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comments4.xml" ContentType="application/vnd.openxmlformats-officedocument.spreadsheetml.comments+xml"/>
  <Override PartName="/xl/threadedComments/threadedComment3.xml" ContentType="application/vnd.ms-excel.threaded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roryarmitage-burns/Downloads/"/>
    </mc:Choice>
  </mc:AlternateContent>
  <xr:revisionPtr revIDLastSave="0" documentId="8_{DB460579-9E34-8646-AC27-8478F013026E}" xr6:coauthVersionLast="47" xr6:coauthVersionMax="47" xr10:uidLastSave="{00000000-0000-0000-0000-000000000000}"/>
  <bookViews>
    <workbookView xWindow="3280" yWindow="780" windowWidth="29400" windowHeight="16640" firstSheet="25" activeTab="32" xr2:uid="{CAB46860-5D4B-4BA3-8A00-8EE4E0CF53BC}"/>
  </bookViews>
  <sheets>
    <sheet name="Notes" sheetId="27" state="hidden" r:id="rId1"/>
    <sheet name="KPI Tracker" sheetId="43" r:id="rId2"/>
    <sheet name="FY26-FY27 Summary" sheetId="70" r:id="rId3"/>
    <sheet name="Scenario" sheetId="75" r:id="rId4"/>
    <sheet name="YoY Comp" sheetId="78" r:id="rId5"/>
    <sheet name="Combined P&amp;L" sheetId="32" r:id="rId6"/>
    <sheet name="Territory P&amp;Ls --&gt;" sheetId="48" r:id="rId7"/>
    <sheet name="UK P&amp;L" sheetId="66" r:id="rId8"/>
    <sheet name="CE P&amp;L" sheetId="51" r:id="rId9"/>
    <sheet name="EE P&amp;L" sheetId="52" r:id="rId10"/>
    <sheet name="ROW P&amp;L" sheetId="65" r:id="rId11"/>
    <sheet name="Non Rev P&amp;L" sheetId="37" r:id="rId12"/>
    <sheet name="ES P&amp;L" sheetId="60" r:id="rId13"/>
    <sheet name="DE P&amp;L" sheetId="77" state="hidden" r:id="rId14"/>
    <sheet name="IT P&amp;L" sheetId="59" r:id="rId15"/>
    <sheet name="RO P&amp;L" sheetId="63" r:id="rId16"/>
    <sheet name="CZ P&amp;L" sheetId="62" r:id="rId17"/>
    <sheet name="HU P&amp;L" sheetId="57" r:id="rId18"/>
    <sheet name="SK P&amp;L" sheetId="61" r:id="rId19"/>
    <sheet name="Input--&gt;" sheetId="44" r:id="rId20"/>
    <sheet name="OH Matrix" sheetId="68" r:id="rId21"/>
    <sheet name="B2B (2)" sheetId="72" state="hidden" r:id="rId22"/>
    <sheet name="PT_CP" sheetId="73" state="hidden" r:id="rId23"/>
    <sheet name="B2B" sheetId="30" r:id="rId24"/>
    <sheet name="PT_CP_B2B" sheetId="74" state="hidden" r:id="rId25"/>
    <sheet name="Amazon" sheetId="35" r:id="rId26"/>
    <sheet name="Overheads" sheetId="56" r:id="rId27"/>
    <sheet name="Payroll" sheetId="67" r:id="rId28"/>
    <sheet name="Fulfilment" sheetId="58" r:id="rId29"/>
    <sheet name="D2C Units" sheetId="45" state="hidden" r:id="rId30"/>
    <sheet name="DTC Inputs--&gt;" sheetId="71" r:id="rId31"/>
    <sheet name="UK" sheetId="16" r:id="rId32"/>
    <sheet name="ES" sheetId="42" r:id="rId33"/>
    <sheet name="RO" sheetId="23" r:id="rId34"/>
    <sheet name="CZ" sheetId="19" r:id="rId35"/>
    <sheet name="SK" sheetId="20" r:id="rId36"/>
    <sheet name="HU" sheetId="22" r:id="rId37"/>
    <sheet name="IT" sheetId="41" r:id="rId38"/>
    <sheet name="Other EU" sheetId="69" r:id="rId39"/>
    <sheet name="B2B (3)" sheetId="76" state="hidden" r:id="rId40"/>
    <sheet name="TikTok" sheetId="55" state="hidden" r:id="rId41"/>
  </sheets>
  <definedNames>
    <definedName name="_xlnm._FilterDatabase" localSheetId="23" hidden="1">B2B!$A$6:$AX$94</definedName>
    <definedName name="_xlnm._FilterDatabase" localSheetId="21" hidden="1">'B2B (2)'!$A$2:$U$86</definedName>
    <definedName name="_xlnm._FilterDatabase" localSheetId="39" hidden="1">'B2B (3)'!$A$3:$U$87</definedName>
    <definedName name="_xlnm._FilterDatabase" localSheetId="26" hidden="1">Overheads!$A$2:$AV$142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153" i="56" l="1"/>
  <c r="R36" i="16"/>
  <c r="S36" i="16"/>
  <c r="T36" i="16"/>
  <c r="U36" i="16"/>
  <c r="V36" i="16"/>
  <c r="AG6" i="62"/>
  <c r="AG13" i="32"/>
  <c r="AV71" i="65"/>
  <c r="AV59" i="65"/>
  <c r="AV12" i="65"/>
  <c r="AV7" i="65"/>
  <c r="AG71" i="65"/>
  <c r="AG59" i="65"/>
  <c r="AG12" i="65"/>
  <c r="AG7" i="65"/>
  <c r="J43" i="78" l="1"/>
  <c r="K43" i="78"/>
  <c r="L43" i="78"/>
  <c r="N43" i="78"/>
  <c r="I43" i="78"/>
  <c r="N72" i="78"/>
  <c r="I72" i="78"/>
  <c r="J72" i="78"/>
  <c r="K72" i="78"/>
  <c r="L72" i="78"/>
  <c r="BD111" i="78"/>
  <c r="BC111" i="78"/>
  <c r="BB111" i="78"/>
  <c r="BA111" i="78"/>
  <c r="AZ111" i="78"/>
  <c r="AY111" i="78"/>
  <c r="BD110" i="78"/>
  <c r="BC110" i="78"/>
  <c r="BB110" i="78"/>
  <c r="BA110" i="78"/>
  <c r="AZ110" i="78"/>
  <c r="AY110" i="78"/>
  <c r="BD109" i="78"/>
  <c r="BC109" i="78"/>
  <c r="BB109" i="78"/>
  <c r="BA109" i="78"/>
  <c r="AZ109" i="78"/>
  <c r="AY109" i="78"/>
  <c r="AP111" i="78"/>
  <c r="AO111" i="78"/>
  <c r="AN111" i="78"/>
  <c r="AM111" i="78"/>
  <c r="AL111" i="78"/>
  <c r="AK111" i="78"/>
  <c r="AP110" i="78"/>
  <c r="AO110" i="78"/>
  <c r="AN110" i="78"/>
  <c r="AM110" i="78"/>
  <c r="AL110" i="78"/>
  <c r="AK110" i="78"/>
  <c r="AP109" i="78"/>
  <c r="AO109" i="78"/>
  <c r="AN109" i="78"/>
  <c r="AM109" i="78"/>
  <c r="AL109" i="78"/>
  <c r="AK109" i="78"/>
  <c r="AB111" i="78"/>
  <c r="AA111" i="78"/>
  <c r="Z111" i="78"/>
  <c r="Y111" i="78"/>
  <c r="X111" i="78"/>
  <c r="W111" i="78"/>
  <c r="AB110" i="78"/>
  <c r="AA110" i="78"/>
  <c r="Z110" i="78"/>
  <c r="Y110" i="78"/>
  <c r="X110" i="78"/>
  <c r="W110" i="78"/>
  <c r="AB109" i="78"/>
  <c r="AA109" i="78"/>
  <c r="Z109" i="78"/>
  <c r="Y109" i="78"/>
  <c r="X109" i="78"/>
  <c r="W109" i="78"/>
  <c r="N111" i="78"/>
  <c r="M111" i="78"/>
  <c r="L111" i="78"/>
  <c r="K111" i="78"/>
  <c r="J111" i="78"/>
  <c r="I111" i="78"/>
  <c r="N110" i="78"/>
  <c r="M110" i="78"/>
  <c r="L110" i="78"/>
  <c r="K110" i="78"/>
  <c r="J110" i="78"/>
  <c r="I110" i="78"/>
  <c r="C110" i="78"/>
  <c r="D110" i="78"/>
  <c r="E110" i="78"/>
  <c r="F110" i="78"/>
  <c r="G110" i="78"/>
  <c r="C111" i="78"/>
  <c r="D111" i="78"/>
  <c r="E111" i="78"/>
  <c r="F111" i="78"/>
  <c r="G111" i="78"/>
  <c r="B111" i="78"/>
  <c r="B110" i="78"/>
  <c r="N109" i="78"/>
  <c r="M109" i="78"/>
  <c r="G109" i="78"/>
  <c r="L109" i="78"/>
  <c r="K109" i="78"/>
  <c r="J109" i="78"/>
  <c r="I109" i="78"/>
  <c r="F109" i="78"/>
  <c r="E109" i="78"/>
  <c r="D109" i="78"/>
  <c r="C109" i="78"/>
  <c r="B109" i="78"/>
  <c r="P6" i="78"/>
  <c r="AR6" i="78"/>
  <c r="BK99" i="78"/>
  <c r="BJ99" i="78"/>
  <c r="BI99" i="78"/>
  <c r="BH99" i="78"/>
  <c r="BG99" i="78"/>
  <c r="BF99" i="78"/>
  <c r="BK97" i="78"/>
  <c r="BJ97" i="78"/>
  <c r="BI97" i="78"/>
  <c r="BH97" i="78"/>
  <c r="BG97" i="78"/>
  <c r="BF97" i="78"/>
  <c r="BK96" i="78"/>
  <c r="BJ96" i="78"/>
  <c r="BI96" i="78"/>
  <c r="BH96" i="78"/>
  <c r="BG96" i="78"/>
  <c r="BF96" i="78"/>
  <c r="BK95" i="78"/>
  <c r="BJ95" i="78"/>
  <c r="BI95" i="78"/>
  <c r="BH95" i="78"/>
  <c r="BG95" i="78"/>
  <c r="BF95" i="78"/>
  <c r="BK94" i="78"/>
  <c r="BJ94" i="78"/>
  <c r="BI94" i="78"/>
  <c r="BH94" i="78"/>
  <c r="BG94" i="78"/>
  <c r="BF94" i="78"/>
  <c r="BK93" i="78"/>
  <c r="BJ93" i="78"/>
  <c r="BI93" i="78"/>
  <c r="BH93" i="78"/>
  <c r="BG93" i="78"/>
  <c r="BF93" i="78"/>
  <c r="BK92" i="78"/>
  <c r="BJ92" i="78"/>
  <c r="BI92" i="78"/>
  <c r="BH92" i="78"/>
  <c r="BG92" i="78"/>
  <c r="BF92" i="78"/>
  <c r="BK91" i="78"/>
  <c r="BJ91" i="78"/>
  <c r="BI91" i="78"/>
  <c r="BH91" i="78"/>
  <c r="BG91" i="78"/>
  <c r="BF91" i="78"/>
  <c r="BK90" i="78"/>
  <c r="BJ90" i="78"/>
  <c r="BI90" i="78"/>
  <c r="BH90" i="78"/>
  <c r="BG90" i="78"/>
  <c r="BF90" i="78"/>
  <c r="BK89" i="78"/>
  <c r="BJ89" i="78"/>
  <c r="BI89" i="78"/>
  <c r="BH89" i="78"/>
  <c r="BG89" i="78"/>
  <c r="BF89" i="78"/>
  <c r="BK71" i="78"/>
  <c r="BJ71" i="78"/>
  <c r="BI71" i="78"/>
  <c r="BH71" i="78"/>
  <c r="BG71" i="78"/>
  <c r="BF71" i="78"/>
  <c r="BK69" i="78"/>
  <c r="BJ69" i="78"/>
  <c r="BI69" i="78"/>
  <c r="BH69" i="78"/>
  <c r="BG69" i="78"/>
  <c r="BF69" i="78"/>
  <c r="BK68" i="78"/>
  <c r="BJ68" i="78"/>
  <c r="BI68" i="78"/>
  <c r="BH68" i="78"/>
  <c r="BG68" i="78"/>
  <c r="BF68" i="78"/>
  <c r="BK67" i="78"/>
  <c r="BJ67" i="78"/>
  <c r="BI67" i="78"/>
  <c r="BH67" i="78"/>
  <c r="BG67" i="78"/>
  <c r="BF67" i="78"/>
  <c r="BK66" i="78"/>
  <c r="BJ66" i="78"/>
  <c r="BI66" i="78"/>
  <c r="BH66" i="78"/>
  <c r="BG66" i="78"/>
  <c r="BF66" i="78"/>
  <c r="BK65" i="78"/>
  <c r="BJ65" i="78"/>
  <c r="BI65" i="78"/>
  <c r="BH65" i="78"/>
  <c r="BG65" i="78"/>
  <c r="BF65" i="78"/>
  <c r="BK64" i="78"/>
  <c r="BJ64" i="78"/>
  <c r="BI64" i="78"/>
  <c r="BH64" i="78"/>
  <c r="BG64" i="78"/>
  <c r="BF64" i="78"/>
  <c r="BK63" i="78"/>
  <c r="BJ63" i="78"/>
  <c r="BI63" i="78"/>
  <c r="BH63" i="78"/>
  <c r="BG63" i="78"/>
  <c r="BF63" i="78"/>
  <c r="BK62" i="78"/>
  <c r="BJ62" i="78"/>
  <c r="BI62" i="78"/>
  <c r="BH62" i="78"/>
  <c r="BG62" i="78"/>
  <c r="BF62" i="78"/>
  <c r="BK61" i="78"/>
  <c r="BJ61" i="78"/>
  <c r="BI61" i="78"/>
  <c r="BH61" i="78"/>
  <c r="BG61" i="78"/>
  <c r="BF61" i="78"/>
  <c r="BK60" i="78"/>
  <c r="BJ60" i="78"/>
  <c r="BI60" i="78"/>
  <c r="BH60" i="78"/>
  <c r="BG60" i="78"/>
  <c r="BF60" i="78"/>
  <c r="BK59" i="78"/>
  <c r="BJ59" i="78"/>
  <c r="BI59" i="78"/>
  <c r="BH59" i="78"/>
  <c r="BG59" i="78"/>
  <c r="BF59" i="78"/>
  <c r="BK42" i="78"/>
  <c r="BJ42" i="78"/>
  <c r="BI42" i="78"/>
  <c r="BH42" i="78"/>
  <c r="BG42" i="78"/>
  <c r="BF42" i="78"/>
  <c r="BK40" i="78"/>
  <c r="BJ40" i="78"/>
  <c r="BI40" i="78"/>
  <c r="BH40" i="78"/>
  <c r="BG40" i="78"/>
  <c r="BF40" i="78"/>
  <c r="BK39" i="78"/>
  <c r="BJ39" i="78"/>
  <c r="BI39" i="78"/>
  <c r="BH39" i="78"/>
  <c r="BG39" i="78"/>
  <c r="BF39" i="78"/>
  <c r="BK38" i="78"/>
  <c r="BJ38" i="78"/>
  <c r="BI38" i="78"/>
  <c r="BH38" i="78"/>
  <c r="BG38" i="78"/>
  <c r="BF38" i="78"/>
  <c r="BK37" i="78"/>
  <c r="BJ37" i="78"/>
  <c r="BI37" i="78"/>
  <c r="BH37" i="78"/>
  <c r="BG37" i="78"/>
  <c r="BF37" i="78"/>
  <c r="BK36" i="78"/>
  <c r="BJ36" i="78"/>
  <c r="BI36" i="78"/>
  <c r="BH36" i="78"/>
  <c r="BG36" i="78"/>
  <c r="BF36" i="78"/>
  <c r="BK20" i="78"/>
  <c r="BJ20" i="78"/>
  <c r="BI20" i="78"/>
  <c r="BH20" i="78"/>
  <c r="BG20" i="78"/>
  <c r="BF20" i="78"/>
  <c r="BK18" i="78"/>
  <c r="BJ18" i="78"/>
  <c r="BI18" i="78"/>
  <c r="BH18" i="78"/>
  <c r="BG18" i="78"/>
  <c r="BF18" i="78"/>
  <c r="BK17" i="78"/>
  <c r="BJ17" i="78"/>
  <c r="BI17" i="78"/>
  <c r="BH17" i="78"/>
  <c r="BG17" i="78"/>
  <c r="BF17" i="78"/>
  <c r="BK16" i="78"/>
  <c r="BJ16" i="78"/>
  <c r="BI16" i="78"/>
  <c r="BH16" i="78"/>
  <c r="BG16" i="78"/>
  <c r="BF16" i="78"/>
  <c r="BK15" i="78"/>
  <c r="BJ15" i="78"/>
  <c r="BI15" i="78"/>
  <c r="BH15" i="78"/>
  <c r="BG15" i="78"/>
  <c r="BF15" i="78"/>
  <c r="BK11" i="78"/>
  <c r="BI11" i="78"/>
  <c r="BH11" i="78"/>
  <c r="BG11" i="78"/>
  <c r="BF11" i="78"/>
  <c r="BK9" i="78"/>
  <c r="BJ9" i="78"/>
  <c r="BI9" i="78"/>
  <c r="BH9" i="78"/>
  <c r="BG9" i="78"/>
  <c r="BF9" i="78"/>
  <c r="BK8" i="78"/>
  <c r="BJ8" i="78"/>
  <c r="BI8" i="78"/>
  <c r="BH8" i="78"/>
  <c r="BG8" i="78"/>
  <c r="BF8" i="78"/>
  <c r="BK7" i="78"/>
  <c r="BJ7" i="78"/>
  <c r="BI7" i="78"/>
  <c r="BH7" i="78"/>
  <c r="BG7" i="78"/>
  <c r="BF7" i="78"/>
  <c r="BK6" i="78"/>
  <c r="BJ6" i="78"/>
  <c r="BI6" i="78"/>
  <c r="BH6" i="78"/>
  <c r="BG6" i="78"/>
  <c r="BF6" i="78"/>
  <c r="BC49" i="78"/>
  <c r="BC55" i="78" s="1"/>
  <c r="BC48" i="78"/>
  <c r="BC54" i="78" s="1"/>
  <c r="BC47" i="78"/>
  <c r="BC53" i="78" s="1"/>
  <c r="BC46" i="78"/>
  <c r="BC52" i="78" s="1"/>
  <c r="BC45" i="78"/>
  <c r="BC51" i="78" s="1"/>
  <c r="AW99" i="78"/>
  <c r="AV99" i="78"/>
  <c r="AU99" i="78"/>
  <c r="AT99" i="78"/>
  <c r="AS99" i="78"/>
  <c r="AR99" i="78"/>
  <c r="AV97" i="78"/>
  <c r="AU97" i="78"/>
  <c r="AT97" i="78"/>
  <c r="AS97" i="78"/>
  <c r="AR97" i="78"/>
  <c r="AW96" i="78"/>
  <c r="AV96" i="78"/>
  <c r="AU96" i="78"/>
  <c r="AT96" i="78"/>
  <c r="AS96" i="78"/>
  <c r="AR96" i="78"/>
  <c r="AW95" i="78"/>
  <c r="AV95" i="78"/>
  <c r="AU95" i="78"/>
  <c r="AT95" i="78"/>
  <c r="AS95" i="78"/>
  <c r="AR95" i="78"/>
  <c r="AW94" i="78"/>
  <c r="AV94" i="78"/>
  <c r="AU94" i="78"/>
  <c r="AT94" i="78"/>
  <c r="AS94" i="78"/>
  <c r="AR94" i="78"/>
  <c r="AW93" i="78"/>
  <c r="AV93" i="78"/>
  <c r="AU93" i="78"/>
  <c r="AT93" i="78"/>
  <c r="AS93" i="78"/>
  <c r="AR93" i="78"/>
  <c r="AW92" i="78"/>
  <c r="AV92" i="78"/>
  <c r="AU92" i="78"/>
  <c r="AT92" i="78"/>
  <c r="AS92" i="78"/>
  <c r="AR92" i="78"/>
  <c r="AW91" i="78"/>
  <c r="AV91" i="78"/>
  <c r="AU91" i="78"/>
  <c r="AT91" i="78"/>
  <c r="AS91" i="78"/>
  <c r="AR91" i="78"/>
  <c r="AW90" i="78"/>
  <c r="AV90" i="78"/>
  <c r="AU90" i="78"/>
  <c r="AT90" i="78"/>
  <c r="AS90" i="78"/>
  <c r="AR90" i="78"/>
  <c r="AW89" i="78"/>
  <c r="AV89" i="78"/>
  <c r="AU89" i="78"/>
  <c r="AT89" i="78"/>
  <c r="AS89" i="78"/>
  <c r="AR89" i="78"/>
  <c r="AW69" i="78"/>
  <c r="AV69" i="78"/>
  <c r="AU69" i="78"/>
  <c r="AT69" i="78"/>
  <c r="AS69" i="78"/>
  <c r="AR69" i="78"/>
  <c r="AW68" i="78"/>
  <c r="AV68" i="78"/>
  <c r="AU68" i="78"/>
  <c r="AT68" i="78"/>
  <c r="AS68" i="78"/>
  <c r="AR68" i="78"/>
  <c r="AW67" i="78"/>
  <c r="AV67" i="78"/>
  <c r="AU67" i="78"/>
  <c r="AT67" i="78"/>
  <c r="AS67" i="78"/>
  <c r="AR67" i="78"/>
  <c r="AW66" i="78"/>
  <c r="AV66" i="78"/>
  <c r="AU66" i="78"/>
  <c r="AT66" i="78"/>
  <c r="AS66" i="78"/>
  <c r="AR66" i="78"/>
  <c r="AW65" i="78"/>
  <c r="AV65" i="78"/>
  <c r="AU65" i="78"/>
  <c r="AT65" i="78"/>
  <c r="AS65" i="78"/>
  <c r="AR65" i="78"/>
  <c r="AW64" i="78"/>
  <c r="AV64" i="78"/>
  <c r="AU64" i="78"/>
  <c r="AT64" i="78"/>
  <c r="AS64" i="78"/>
  <c r="AR64" i="78"/>
  <c r="AW63" i="78"/>
  <c r="AV63" i="78"/>
  <c r="AU63" i="78"/>
  <c r="AT63" i="78"/>
  <c r="AS63" i="78"/>
  <c r="AR63" i="78"/>
  <c r="AW62" i="78"/>
  <c r="AV62" i="78"/>
  <c r="AU62" i="78"/>
  <c r="AT62" i="78"/>
  <c r="AS62" i="78"/>
  <c r="AR62" i="78"/>
  <c r="AW61" i="78"/>
  <c r="AV61" i="78"/>
  <c r="AU61" i="78"/>
  <c r="AT61" i="78"/>
  <c r="AS61" i="78"/>
  <c r="AR61" i="78"/>
  <c r="AW60" i="78"/>
  <c r="AV60" i="78"/>
  <c r="AU60" i="78"/>
  <c r="AT60" i="78"/>
  <c r="AS60" i="78"/>
  <c r="AR60" i="78"/>
  <c r="AW59" i="78"/>
  <c r="AV59" i="78"/>
  <c r="AU59" i="78"/>
  <c r="AT59" i="78"/>
  <c r="AS59" i="78"/>
  <c r="AR59" i="78"/>
  <c r="AW40" i="78"/>
  <c r="AV40" i="78"/>
  <c r="AU40" i="78"/>
  <c r="AT40" i="78"/>
  <c r="AS40" i="78"/>
  <c r="AR40" i="78"/>
  <c r="AW39" i="78"/>
  <c r="AV39" i="78"/>
  <c r="AU39" i="78"/>
  <c r="AT39" i="78"/>
  <c r="AS39" i="78"/>
  <c r="AR39" i="78"/>
  <c r="AW38" i="78"/>
  <c r="AV38" i="78"/>
  <c r="AU38" i="78"/>
  <c r="AT38" i="78"/>
  <c r="AS38" i="78"/>
  <c r="AR38" i="78"/>
  <c r="AW37" i="78"/>
  <c r="AV37" i="78"/>
  <c r="AU37" i="78"/>
  <c r="AT37" i="78"/>
  <c r="AS37" i="78"/>
  <c r="AR37" i="78"/>
  <c r="AW36" i="78"/>
  <c r="AV36" i="78"/>
  <c r="AU36" i="78"/>
  <c r="AT36" i="78"/>
  <c r="AS36" i="78"/>
  <c r="AR36" i="78"/>
  <c r="AW20" i="78"/>
  <c r="AV20" i="78"/>
  <c r="AU20" i="78"/>
  <c r="AT20" i="78"/>
  <c r="AS20" i="78"/>
  <c r="AR20" i="78"/>
  <c r="AW18" i="78"/>
  <c r="AV18" i="78"/>
  <c r="AU18" i="78"/>
  <c r="AT18" i="78"/>
  <c r="AS18" i="78"/>
  <c r="AR18" i="78"/>
  <c r="AW17" i="78"/>
  <c r="AV17" i="78"/>
  <c r="AU17" i="78"/>
  <c r="AT17" i="78"/>
  <c r="AS17" i="78"/>
  <c r="AR17" i="78"/>
  <c r="AW16" i="78"/>
  <c r="AV16" i="78"/>
  <c r="AU16" i="78"/>
  <c r="AT16" i="78"/>
  <c r="AS16" i="78"/>
  <c r="AR16" i="78"/>
  <c r="AW15" i="78"/>
  <c r="AV15" i="78"/>
  <c r="AU15" i="78"/>
  <c r="AT15" i="78"/>
  <c r="AS15" i="78"/>
  <c r="AR15" i="78"/>
  <c r="AW11" i="78"/>
  <c r="AV11" i="78"/>
  <c r="AU11" i="78"/>
  <c r="AT11" i="78"/>
  <c r="AS11" i="78"/>
  <c r="AR11" i="78"/>
  <c r="AW9" i="78"/>
  <c r="AV9" i="78"/>
  <c r="AU9" i="78"/>
  <c r="AT9" i="78"/>
  <c r="AS9" i="78"/>
  <c r="AR9" i="78"/>
  <c r="AW8" i="78"/>
  <c r="AV8" i="78"/>
  <c r="AU8" i="78"/>
  <c r="AT8" i="78"/>
  <c r="AS8" i="78"/>
  <c r="AR8" i="78"/>
  <c r="AW7" i="78"/>
  <c r="AV7" i="78"/>
  <c r="AU7" i="78"/>
  <c r="AT7" i="78"/>
  <c r="AS7" i="78"/>
  <c r="AR7" i="78"/>
  <c r="AO49" i="78"/>
  <c r="AO55" i="78" s="1"/>
  <c r="AO48" i="78"/>
  <c r="AO54" i="78" s="1"/>
  <c r="AO47" i="78"/>
  <c r="AO53" i="78" s="1"/>
  <c r="AO46" i="78"/>
  <c r="AO52" i="78" s="1"/>
  <c r="AO45" i="78"/>
  <c r="AO51" i="78" s="1"/>
  <c r="AW6" i="78"/>
  <c r="AV6" i="78"/>
  <c r="AU6" i="78"/>
  <c r="AT6" i="78"/>
  <c r="AS6" i="78"/>
  <c r="AI9" i="78"/>
  <c r="AH9" i="78"/>
  <c r="AG9" i="78"/>
  <c r="AF9" i="78"/>
  <c r="AE9" i="78"/>
  <c r="AD9" i="78"/>
  <c r="AI8" i="78"/>
  <c r="AH8" i="78"/>
  <c r="AG8" i="78"/>
  <c r="AF8" i="78"/>
  <c r="AE8" i="78"/>
  <c r="AD8" i="78"/>
  <c r="AI7" i="78"/>
  <c r="AH7" i="78"/>
  <c r="AG7" i="78"/>
  <c r="AF7" i="78"/>
  <c r="AE7" i="78"/>
  <c r="AD7" i="78"/>
  <c r="AI6" i="78"/>
  <c r="AH6" i="78"/>
  <c r="AG6" i="78"/>
  <c r="AF6" i="78"/>
  <c r="AE6" i="78"/>
  <c r="AD6" i="78"/>
  <c r="AI11" i="78"/>
  <c r="AG11" i="78"/>
  <c r="AF11" i="78"/>
  <c r="AE11" i="78"/>
  <c r="AD11" i="78"/>
  <c r="AI20" i="78"/>
  <c r="AH20" i="78"/>
  <c r="AG20" i="78"/>
  <c r="AF20" i="78"/>
  <c r="AE20" i="78"/>
  <c r="AD20" i="78"/>
  <c r="AI18" i="78"/>
  <c r="AH18" i="78"/>
  <c r="AG18" i="78"/>
  <c r="AF18" i="78"/>
  <c r="AE18" i="78"/>
  <c r="AD18" i="78"/>
  <c r="AI17" i="78"/>
  <c r="AH17" i="78"/>
  <c r="AG17" i="78"/>
  <c r="AF17" i="78"/>
  <c r="AE17" i="78"/>
  <c r="AD17" i="78"/>
  <c r="AI16" i="78"/>
  <c r="AH16" i="78"/>
  <c r="AG16" i="78"/>
  <c r="AF16" i="78"/>
  <c r="AE16" i="78"/>
  <c r="AD16" i="78"/>
  <c r="AI15" i="78"/>
  <c r="AH15" i="78"/>
  <c r="AG15" i="78"/>
  <c r="AF15" i="78"/>
  <c r="AE15" i="78"/>
  <c r="AD15" i="78"/>
  <c r="U99" i="78"/>
  <c r="T99" i="78"/>
  <c r="S99" i="78"/>
  <c r="R99" i="78"/>
  <c r="Q99" i="78"/>
  <c r="P99" i="78"/>
  <c r="T97" i="78"/>
  <c r="S97" i="78"/>
  <c r="R97" i="78"/>
  <c r="Q97" i="78"/>
  <c r="P97" i="78"/>
  <c r="U96" i="78"/>
  <c r="T96" i="78"/>
  <c r="S96" i="78"/>
  <c r="R96" i="78"/>
  <c r="Q96" i="78"/>
  <c r="P96" i="78"/>
  <c r="U95" i="78"/>
  <c r="T95" i="78"/>
  <c r="S95" i="78"/>
  <c r="R95" i="78"/>
  <c r="Q95" i="78"/>
  <c r="P95" i="78"/>
  <c r="U94" i="78"/>
  <c r="T94" i="78"/>
  <c r="S94" i="78"/>
  <c r="R94" i="78"/>
  <c r="Q94" i="78"/>
  <c r="P94" i="78"/>
  <c r="U93" i="78"/>
  <c r="T93" i="78"/>
  <c r="S93" i="78"/>
  <c r="R93" i="78"/>
  <c r="Q93" i="78"/>
  <c r="P93" i="78"/>
  <c r="U92" i="78"/>
  <c r="T92" i="78"/>
  <c r="S92" i="78"/>
  <c r="R92" i="78"/>
  <c r="Q92" i="78"/>
  <c r="P92" i="78"/>
  <c r="U91" i="78"/>
  <c r="T91" i="78"/>
  <c r="S91" i="78"/>
  <c r="R91" i="78"/>
  <c r="Q91" i="78"/>
  <c r="P91" i="78"/>
  <c r="U90" i="78"/>
  <c r="T90" i="78"/>
  <c r="S90" i="78"/>
  <c r="R90" i="78"/>
  <c r="Q90" i="78"/>
  <c r="P90" i="78"/>
  <c r="U89" i="78"/>
  <c r="T89" i="78"/>
  <c r="S89" i="78"/>
  <c r="R89" i="78"/>
  <c r="Q89" i="78"/>
  <c r="P89" i="78"/>
  <c r="U69" i="78"/>
  <c r="T69" i="78"/>
  <c r="S69" i="78"/>
  <c r="R69" i="78"/>
  <c r="Q69" i="78"/>
  <c r="P69" i="78"/>
  <c r="U68" i="78"/>
  <c r="T68" i="78"/>
  <c r="S68" i="78"/>
  <c r="R68" i="78"/>
  <c r="Q68" i="78"/>
  <c r="P68" i="78"/>
  <c r="U67" i="78"/>
  <c r="T67" i="78"/>
  <c r="S67" i="78"/>
  <c r="R67" i="78"/>
  <c r="Q67" i="78"/>
  <c r="P67" i="78"/>
  <c r="U66" i="78"/>
  <c r="T66" i="78"/>
  <c r="S66" i="78"/>
  <c r="R66" i="78"/>
  <c r="Q66" i="78"/>
  <c r="P66" i="78"/>
  <c r="U65" i="78"/>
  <c r="T65" i="78"/>
  <c r="S65" i="78"/>
  <c r="R65" i="78"/>
  <c r="Q65" i="78"/>
  <c r="P65" i="78"/>
  <c r="U64" i="78"/>
  <c r="T64" i="78"/>
  <c r="S64" i="78"/>
  <c r="R64" i="78"/>
  <c r="Q64" i="78"/>
  <c r="P64" i="78"/>
  <c r="U63" i="78"/>
  <c r="T63" i="78"/>
  <c r="S63" i="78"/>
  <c r="R63" i="78"/>
  <c r="Q63" i="78"/>
  <c r="P63" i="78"/>
  <c r="U62" i="78"/>
  <c r="T62" i="78"/>
  <c r="S62" i="78"/>
  <c r="R62" i="78"/>
  <c r="Q62" i="78"/>
  <c r="P62" i="78"/>
  <c r="U61" i="78"/>
  <c r="T61" i="78"/>
  <c r="S61" i="78"/>
  <c r="R61" i="78"/>
  <c r="Q61" i="78"/>
  <c r="P61" i="78"/>
  <c r="U60" i="78"/>
  <c r="T60" i="78"/>
  <c r="S60" i="78"/>
  <c r="R60" i="78"/>
  <c r="Q60" i="78"/>
  <c r="P60" i="78"/>
  <c r="U59" i="78"/>
  <c r="T59" i="78"/>
  <c r="S59" i="78"/>
  <c r="R59" i="78"/>
  <c r="Q59" i="78"/>
  <c r="P59" i="78"/>
  <c r="U40" i="78"/>
  <c r="T40" i="78"/>
  <c r="S40" i="78"/>
  <c r="R40" i="78"/>
  <c r="Q40" i="78"/>
  <c r="P40" i="78"/>
  <c r="U39" i="78"/>
  <c r="T39" i="78"/>
  <c r="S39" i="78"/>
  <c r="R39" i="78"/>
  <c r="Q39" i="78"/>
  <c r="P39" i="78"/>
  <c r="U38" i="78"/>
  <c r="T38" i="78"/>
  <c r="S38" i="78"/>
  <c r="R38" i="78"/>
  <c r="Q38" i="78"/>
  <c r="P38" i="78"/>
  <c r="U37" i="78"/>
  <c r="T37" i="78"/>
  <c r="S37" i="78"/>
  <c r="R37" i="78"/>
  <c r="Q37" i="78"/>
  <c r="P37" i="78"/>
  <c r="U36" i="78"/>
  <c r="T36" i="78"/>
  <c r="S36" i="78"/>
  <c r="R36" i="78"/>
  <c r="Q36" i="78"/>
  <c r="P36" i="78"/>
  <c r="U20" i="78"/>
  <c r="T20" i="78"/>
  <c r="S20" i="78"/>
  <c r="R20" i="78"/>
  <c r="Q20" i="78"/>
  <c r="P20" i="78"/>
  <c r="U18" i="78"/>
  <c r="T18" i="78"/>
  <c r="S18" i="78"/>
  <c r="R18" i="78"/>
  <c r="Q18" i="78"/>
  <c r="P18" i="78"/>
  <c r="U17" i="78"/>
  <c r="T17" i="78"/>
  <c r="S17" i="78"/>
  <c r="R17" i="78"/>
  <c r="Q17" i="78"/>
  <c r="P17" i="78"/>
  <c r="U16" i="78"/>
  <c r="T16" i="78"/>
  <c r="S16" i="78"/>
  <c r="R16" i="78"/>
  <c r="Q16" i="78"/>
  <c r="P16" i="78"/>
  <c r="U15" i="78"/>
  <c r="T15" i="78"/>
  <c r="S15" i="78"/>
  <c r="R15" i="78"/>
  <c r="Q15" i="78"/>
  <c r="P15" i="78"/>
  <c r="U11" i="78"/>
  <c r="S11" i="78"/>
  <c r="R11" i="78"/>
  <c r="Q11" i="78"/>
  <c r="P11" i="78"/>
  <c r="U9" i="78"/>
  <c r="T9" i="78"/>
  <c r="S9" i="78"/>
  <c r="R9" i="78"/>
  <c r="Q9" i="78"/>
  <c r="P9" i="78"/>
  <c r="U8" i="78"/>
  <c r="T8" i="78"/>
  <c r="S8" i="78"/>
  <c r="R8" i="78"/>
  <c r="Q8" i="78"/>
  <c r="P8" i="78"/>
  <c r="U7" i="78"/>
  <c r="T7" i="78"/>
  <c r="S7" i="78"/>
  <c r="R7" i="78"/>
  <c r="Q7" i="78"/>
  <c r="P7" i="78"/>
  <c r="U6" i="78"/>
  <c r="T6" i="78"/>
  <c r="S6" i="78"/>
  <c r="R6" i="78"/>
  <c r="Q6" i="78"/>
  <c r="G97" i="78"/>
  <c r="AI99" i="78"/>
  <c r="AH99" i="78"/>
  <c r="AG99" i="78"/>
  <c r="AF99" i="78"/>
  <c r="AE99" i="78"/>
  <c r="AD99" i="78"/>
  <c r="AI97" i="78"/>
  <c r="AH97" i="78"/>
  <c r="AG97" i="78"/>
  <c r="AF97" i="78"/>
  <c r="AE97" i="78"/>
  <c r="AD97" i="78"/>
  <c r="AI96" i="78"/>
  <c r="AH96" i="78"/>
  <c r="AG96" i="78"/>
  <c r="AF96" i="78"/>
  <c r="AE96" i="78"/>
  <c r="AD96" i="78"/>
  <c r="AI95" i="78"/>
  <c r="AH95" i="78"/>
  <c r="AG95" i="78"/>
  <c r="AF95" i="78"/>
  <c r="AE95" i="78"/>
  <c r="AD95" i="78"/>
  <c r="AI94" i="78"/>
  <c r="AH94" i="78"/>
  <c r="AG94" i="78"/>
  <c r="AF94" i="78"/>
  <c r="AE94" i="78"/>
  <c r="AD94" i="78"/>
  <c r="AI93" i="78"/>
  <c r="AH93" i="78"/>
  <c r="AG93" i="78"/>
  <c r="AF93" i="78"/>
  <c r="AE93" i="78"/>
  <c r="AD93" i="78"/>
  <c r="AI92" i="78"/>
  <c r="AH92" i="78"/>
  <c r="AG92" i="78"/>
  <c r="AF92" i="78"/>
  <c r="AE92" i="78"/>
  <c r="AD92" i="78"/>
  <c r="AI91" i="78"/>
  <c r="AH91" i="78"/>
  <c r="AG91" i="78"/>
  <c r="AF91" i="78"/>
  <c r="AE91" i="78"/>
  <c r="AD91" i="78"/>
  <c r="AI90" i="78"/>
  <c r="AH90" i="78"/>
  <c r="AG90" i="78"/>
  <c r="AF90" i="78"/>
  <c r="AE90" i="78"/>
  <c r="AD90" i="78"/>
  <c r="AI89" i="78"/>
  <c r="AH89" i="78"/>
  <c r="AG89" i="78"/>
  <c r="AF89" i="78"/>
  <c r="AE89" i="78"/>
  <c r="AD89" i="78"/>
  <c r="AI71" i="78"/>
  <c r="AH71" i="78"/>
  <c r="AG71" i="78"/>
  <c r="AF71" i="78"/>
  <c r="AE71" i="78"/>
  <c r="AD71" i="78"/>
  <c r="AI69" i="78"/>
  <c r="AH69" i="78"/>
  <c r="AG69" i="78"/>
  <c r="AF69" i="78"/>
  <c r="AE69" i="78"/>
  <c r="AD69" i="78"/>
  <c r="AI68" i="78"/>
  <c r="AH68" i="78"/>
  <c r="AG68" i="78"/>
  <c r="AF68" i="78"/>
  <c r="AE68" i="78"/>
  <c r="AD68" i="78"/>
  <c r="AI67" i="78"/>
  <c r="AH67" i="78"/>
  <c r="AG67" i="78"/>
  <c r="AF67" i="78"/>
  <c r="AE67" i="78"/>
  <c r="AD67" i="78"/>
  <c r="AI66" i="78"/>
  <c r="AH66" i="78"/>
  <c r="AG66" i="78"/>
  <c r="AF66" i="78"/>
  <c r="AE66" i="78"/>
  <c r="AD66" i="78"/>
  <c r="AI65" i="78"/>
  <c r="AH65" i="78"/>
  <c r="AG65" i="78"/>
  <c r="AF65" i="78"/>
  <c r="AE65" i="78"/>
  <c r="AD65" i="78"/>
  <c r="AI64" i="78"/>
  <c r="AH64" i="78"/>
  <c r="AG64" i="78"/>
  <c r="AF64" i="78"/>
  <c r="AE64" i="78"/>
  <c r="AD64" i="78"/>
  <c r="AI63" i="78"/>
  <c r="AH63" i="78"/>
  <c r="AG63" i="78"/>
  <c r="AF63" i="78"/>
  <c r="AE63" i="78"/>
  <c r="AD63" i="78"/>
  <c r="AI62" i="78"/>
  <c r="AH62" i="78"/>
  <c r="AG62" i="78"/>
  <c r="AF62" i="78"/>
  <c r="AE62" i="78"/>
  <c r="AD62" i="78"/>
  <c r="AI61" i="78"/>
  <c r="AH61" i="78"/>
  <c r="AG61" i="78"/>
  <c r="AF61" i="78"/>
  <c r="AE61" i="78"/>
  <c r="AD61" i="78"/>
  <c r="AI60" i="78"/>
  <c r="AH60" i="78"/>
  <c r="AG60" i="78"/>
  <c r="AF60" i="78"/>
  <c r="AE60" i="78"/>
  <c r="AD60" i="78"/>
  <c r="AI59" i="78"/>
  <c r="AH59" i="78"/>
  <c r="AG59" i="78"/>
  <c r="AF59" i="78"/>
  <c r="AE59" i="78"/>
  <c r="AD59" i="78"/>
  <c r="AI42" i="78"/>
  <c r="AH42" i="78"/>
  <c r="AG42" i="78"/>
  <c r="AF42" i="78"/>
  <c r="AE42" i="78"/>
  <c r="AD42" i="78"/>
  <c r="AI40" i="78"/>
  <c r="AH40" i="78"/>
  <c r="AG40" i="78"/>
  <c r="AF40" i="78"/>
  <c r="AE40" i="78"/>
  <c r="AD40" i="78"/>
  <c r="AI39" i="78"/>
  <c r="AH39" i="78"/>
  <c r="AG39" i="78"/>
  <c r="AF39" i="78"/>
  <c r="AE39" i="78"/>
  <c r="AD39" i="78"/>
  <c r="AI38" i="78"/>
  <c r="AH38" i="78"/>
  <c r="AG38" i="78"/>
  <c r="AF38" i="78"/>
  <c r="AE38" i="78"/>
  <c r="AD38" i="78"/>
  <c r="AI37" i="78"/>
  <c r="AH37" i="78"/>
  <c r="AG37" i="78"/>
  <c r="AF37" i="78"/>
  <c r="AE37" i="78"/>
  <c r="AD37" i="78"/>
  <c r="AI36" i="78"/>
  <c r="AH36" i="78"/>
  <c r="AG36" i="78"/>
  <c r="AF36" i="78"/>
  <c r="AE36" i="78"/>
  <c r="AD36" i="78"/>
  <c r="AB26" i="78"/>
  <c r="AA26" i="78"/>
  <c r="Z26" i="78"/>
  <c r="Y26" i="78"/>
  <c r="X26" i="78"/>
  <c r="W26" i="78"/>
  <c r="AB25" i="78"/>
  <c r="AA25" i="78"/>
  <c r="Z25" i="78"/>
  <c r="Y25" i="78"/>
  <c r="X25" i="78"/>
  <c r="W25" i="78"/>
  <c r="AB24" i="78"/>
  <c r="AA24" i="78"/>
  <c r="Z24" i="78"/>
  <c r="Y24" i="78"/>
  <c r="X24" i="78"/>
  <c r="W24" i="78"/>
  <c r="AB23" i="78"/>
  <c r="AA23" i="78"/>
  <c r="Z23" i="78"/>
  <c r="Y23" i="78"/>
  <c r="X23" i="78"/>
  <c r="W23" i="78"/>
  <c r="AB22" i="78"/>
  <c r="AA22" i="78"/>
  <c r="Z22" i="78"/>
  <c r="Y22" i="78"/>
  <c r="X22" i="78"/>
  <c r="W22" i="78"/>
  <c r="L105" i="78"/>
  <c r="L106" i="78" s="1"/>
  <c r="K105" i="78"/>
  <c r="K106" i="78" s="1"/>
  <c r="J105" i="78"/>
  <c r="J106" i="78" s="1"/>
  <c r="I105" i="78"/>
  <c r="I106" i="78" s="1"/>
  <c r="N101" i="78"/>
  <c r="BK101" i="78" s="1"/>
  <c r="L101" i="78"/>
  <c r="BI101" i="78" s="1"/>
  <c r="K101" i="78"/>
  <c r="BH101" i="78" s="1"/>
  <c r="J101" i="78"/>
  <c r="BG101" i="78" s="1"/>
  <c r="I101" i="78"/>
  <c r="BF101" i="78" s="1"/>
  <c r="N26" i="78"/>
  <c r="L26" i="78"/>
  <c r="K26" i="78"/>
  <c r="J26" i="78"/>
  <c r="I26" i="78"/>
  <c r="N25" i="78"/>
  <c r="M25" i="78"/>
  <c r="L25" i="78"/>
  <c r="K25" i="78"/>
  <c r="J25" i="78"/>
  <c r="I25" i="78"/>
  <c r="N24" i="78"/>
  <c r="M24" i="78"/>
  <c r="L24" i="78"/>
  <c r="K24" i="78"/>
  <c r="J24" i="78"/>
  <c r="I24" i="78"/>
  <c r="N23" i="78"/>
  <c r="M23" i="78"/>
  <c r="L23" i="78"/>
  <c r="K23" i="78"/>
  <c r="J23" i="78"/>
  <c r="I23" i="78"/>
  <c r="N22" i="78"/>
  <c r="M22" i="78"/>
  <c r="L22" i="78"/>
  <c r="K22" i="78"/>
  <c r="J22" i="78"/>
  <c r="I22" i="78"/>
  <c r="E71" i="78"/>
  <c r="E72" i="78" s="1"/>
  <c r="F71" i="78"/>
  <c r="G71" i="78"/>
  <c r="G72" i="78" s="1"/>
  <c r="C71" i="78"/>
  <c r="C72" i="78" s="1"/>
  <c r="D71" i="78"/>
  <c r="D72" i="78" s="1"/>
  <c r="B71" i="78"/>
  <c r="B72" i="78" s="1"/>
  <c r="G42" i="78"/>
  <c r="G43" i="78" s="1"/>
  <c r="F42" i="78"/>
  <c r="E42" i="78"/>
  <c r="E43" i="78" s="1"/>
  <c r="D42" i="78"/>
  <c r="D43" i="78" s="1"/>
  <c r="C42" i="78"/>
  <c r="C43" i="78" s="1"/>
  <c r="B42" i="78"/>
  <c r="B43" i="78" s="1"/>
  <c r="C26" i="78"/>
  <c r="D26" i="78"/>
  <c r="E26" i="78"/>
  <c r="F26" i="78"/>
  <c r="F32" i="78" s="1"/>
  <c r="G26" i="78"/>
  <c r="G32" i="78" s="1"/>
  <c r="B26" i="78"/>
  <c r="F23" i="78"/>
  <c r="B23" i="78"/>
  <c r="C23" i="78"/>
  <c r="D23" i="78"/>
  <c r="E23" i="78"/>
  <c r="G23" i="78"/>
  <c r="B24" i="78"/>
  <c r="C24" i="78"/>
  <c r="D24" i="78"/>
  <c r="E24" i="78"/>
  <c r="F24" i="78"/>
  <c r="G24" i="78"/>
  <c r="B25" i="78"/>
  <c r="C25" i="78"/>
  <c r="D25" i="78"/>
  <c r="E25" i="78"/>
  <c r="F25" i="78"/>
  <c r="G25" i="78"/>
  <c r="C22" i="78"/>
  <c r="D22" i="78"/>
  <c r="E22" i="78"/>
  <c r="F22" i="78"/>
  <c r="G22" i="78"/>
  <c r="B22" i="78"/>
  <c r="C105" i="78"/>
  <c r="C106" i="78" s="1"/>
  <c r="D105" i="78"/>
  <c r="E105" i="78"/>
  <c r="F105" i="78"/>
  <c r="F106" i="78" s="1"/>
  <c r="B105" i="78"/>
  <c r="B106" i="78" s="1"/>
  <c r="C85" i="78"/>
  <c r="D85" i="78"/>
  <c r="E85" i="78"/>
  <c r="Q9" i="66"/>
  <c r="M11" i="78"/>
  <c r="Q9" i="32"/>
  <c r="E98" i="65"/>
  <c r="F98" i="65"/>
  <c r="G98" i="65"/>
  <c r="H98" i="65"/>
  <c r="I98" i="65"/>
  <c r="J98" i="65"/>
  <c r="K98" i="65"/>
  <c r="L98" i="65"/>
  <c r="D98" i="65"/>
  <c r="E72" i="65"/>
  <c r="F72" i="65"/>
  <c r="G72" i="65"/>
  <c r="H72" i="65"/>
  <c r="I72" i="65"/>
  <c r="J72" i="65"/>
  <c r="K72" i="65"/>
  <c r="L72" i="65"/>
  <c r="D72" i="65"/>
  <c r="E44" i="65"/>
  <c r="F44" i="65"/>
  <c r="G44" i="65"/>
  <c r="H44" i="65"/>
  <c r="I44" i="65"/>
  <c r="J44" i="65"/>
  <c r="K44" i="65"/>
  <c r="L44" i="65"/>
  <c r="D44" i="65"/>
  <c r="Q26" i="37"/>
  <c r="Q44" i="37"/>
  <c r="Q64" i="37"/>
  <c r="H42" i="37"/>
  <c r="G42" i="37"/>
  <c r="F42" i="37"/>
  <c r="E42" i="37"/>
  <c r="D42" i="37"/>
  <c r="L42" i="37"/>
  <c r="K42" i="37"/>
  <c r="J42" i="37"/>
  <c r="I42" i="37"/>
  <c r="M24" i="37"/>
  <c r="N24" i="37"/>
  <c r="O24" i="37"/>
  <c r="L22" i="65"/>
  <c r="K22" i="65"/>
  <c r="J22" i="65"/>
  <c r="I22" i="65"/>
  <c r="H22" i="65"/>
  <c r="G22" i="65"/>
  <c r="F22" i="65"/>
  <c r="E22" i="65"/>
  <c r="D22" i="65"/>
  <c r="E13" i="65"/>
  <c r="F13" i="65"/>
  <c r="G13" i="65"/>
  <c r="H13" i="65"/>
  <c r="I13" i="65"/>
  <c r="J13" i="65"/>
  <c r="K13" i="65"/>
  <c r="L13" i="65"/>
  <c r="D13" i="65"/>
  <c r="M89" i="52"/>
  <c r="N89" i="52"/>
  <c r="O89" i="52"/>
  <c r="M90" i="52"/>
  <c r="N90" i="52"/>
  <c r="O90" i="52"/>
  <c r="M91" i="52"/>
  <c r="N91" i="52"/>
  <c r="O91" i="52"/>
  <c r="M92" i="52"/>
  <c r="N92" i="52"/>
  <c r="O92" i="52"/>
  <c r="M93" i="52"/>
  <c r="N93" i="52"/>
  <c r="O93" i="52"/>
  <c r="E71" i="52"/>
  <c r="F71" i="52"/>
  <c r="G71" i="52"/>
  <c r="H71" i="52"/>
  <c r="I71" i="52"/>
  <c r="J71" i="52"/>
  <c r="K71" i="52"/>
  <c r="L71" i="52"/>
  <c r="D71" i="52"/>
  <c r="E99" i="52"/>
  <c r="E101" i="52" s="1"/>
  <c r="F99" i="52"/>
  <c r="F101" i="52" s="1"/>
  <c r="G99" i="52"/>
  <c r="G101" i="52" s="1"/>
  <c r="H99" i="52"/>
  <c r="H101" i="52" s="1"/>
  <c r="I99" i="52"/>
  <c r="I101" i="52" s="1"/>
  <c r="J99" i="52"/>
  <c r="J101" i="52" s="1"/>
  <c r="K99" i="52"/>
  <c r="K101" i="52" s="1"/>
  <c r="L99" i="52"/>
  <c r="L101" i="52" s="1"/>
  <c r="D99" i="52"/>
  <c r="D101" i="52" s="1"/>
  <c r="Q66" i="52"/>
  <c r="Q67" i="52"/>
  <c r="J43" i="52"/>
  <c r="E43" i="52"/>
  <c r="F43" i="52"/>
  <c r="G43" i="52"/>
  <c r="H43" i="52"/>
  <c r="I43" i="52"/>
  <c r="K43" i="52"/>
  <c r="L43" i="52"/>
  <c r="D43" i="52"/>
  <c r="E21" i="52"/>
  <c r="F21" i="52"/>
  <c r="G21" i="52"/>
  <c r="H21" i="52"/>
  <c r="I21" i="52"/>
  <c r="J21" i="52"/>
  <c r="K21" i="52"/>
  <c r="L21" i="52"/>
  <c r="D21" i="52"/>
  <c r="M89" i="51"/>
  <c r="N89" i="51"/>
  <c r="O89" i="51"/>
  <c r="M90" i="51"/>
  <c r="N90" i="51"/>
  <c r="O90" i="51"/>
  <c r="M91" i="51"/>
  <c r="N91" i="51"/>
  <c r="O91" i="51"/>
  <c r="M92" i="51"/>
  <c r="N92" i="51"/>
  <c r="O92" i="51"/>
  <c r="M93" i="51"/>
  <c r="N93" i="51"/>
  <c r="O93" i="51"/>
  <c r="M94" i="51"/>
  <c r="N94" i="51"/>
  <c r="O94" i="51"/>
  <c r="E99" i="51"/>
  <c r="F99" i="51"/>
  <c r="G99" i="51"/>
  <c r="H99" i="51"/>
  <c r="I99" i="51"/>
  <c r="J99" i="51"/>
  <c r="K99" i="51"/>
  <c r="L99" i="51"/>
  <c r="D99" i="51"/>
  <c r="M95" i="51"/>
  <c r="N95" i="51"/>
  <c r="O95" i="51"/>
  <c r="E21" i="51"/>
  <c r="F21" i="51"/>
  <c r="G21" i="51"/>
  <c r="H21" i="51"/>
  <c r="I21" i="51"/>
  <c r="J21" i="51"/>
  <c r="K21" i="51"/>
  <c r="L21" i="51"/>
  <c r="D21" i="51"/>
  <c r="E12" i="51"/>
  <c r="F12" i="51"/>
  <c r="G12" i="51"/>
  <c r="H12" i="51"/>
  <c r="I12" i="51"/>
  <c r="J12" i="51"/>
  <c r="K12" i="51"/>
  <c r="L12" i="51"/>
  <c r="D12" i="51"/>
  <c r="E71" i="51"/>
  <c r="F71" i="51"/>
  <c r="G71" i="51"/>
  <c r="H71" i="51"/>
  <c r="I71" i="51"/>
  <c r="J71" i="51"/>
  <c r="K71" i="51"/>
  <c r="L71" i="51"/>
  <c r="D71" i="51"/>
  <c r="O43" i="51"/>
  <c r="M43" i="51"/>
  <c r="D43" i="51"/>
  <c r="E43" i="51"/>
  <c r="H43" i="51"/>
  <c r="K43" i="51"/>
  <c r="L43" i="51"/>
  <c r="N43" i="51"/>
  <c r="F43" i="51"/>
  <c r="G43" i="51"/>
  <c r="I43" i="51"/>
  <c r="J43" i="51"/>
  <c r="M99" i="32"/>
  <c r="N99" i="32"/>
  <c r="N71" i="32"/>
  <c r="M71" i="32"/>
  <c r="N43" i="32"/>
  <c r="L21" i="32"/>
  <c r="N21" i="32"/>
  <c r="O21" i="32"/>
  <c r="M21" i="32"/>
  <c r="Q85" i="32"/>
  <c r="O12" i="32"/>
  <c r="N12" i="32"/>
  <c r="M12" i="32"/>
  <c r="E12" i="32"/>
  <c r="F12" i="32"/>
  <c r="G12" i="32"/>
  <c r="H12" i="32"/>
  <c r="I12" i="32"/>
  <c r="J12" i="32"/>
  <c r="K12" i="32"/>
  <c r="L12" i="32"/>
  <c r="D12" i="32"/>
  <c r="AO3" i="68"/>
  <c r="AN3" i="68"/>
  <c r="AM3" i="68"/>
  <c r="AL3" i="68"/>
  <c r="AE3" i="68"/>
  <c r="AK3" i="68"/>
  <c r="AJ3" i="68"/>
  <c r="AI3" i="68"/>
  <c r="AH3" i="68"/>
  <c r="AG3" i="68"/>
  <c r="AF3" i="68"/>
  <c r="AD3" i="68"/>
  <c r="Q11" i="37"/>
  <c r="K21" i="32"/>
  <c r="D21" i="32"/>
  <c r="E21" i="32"/>
  <c r="F21" i="32"/>
  <c r="G21" i="32"/>
  <c r="H21" i="32"/>
  <c r="I21" i="32"/>
  <c r="J21" i="32"/>
  <c r="X155" i="30"/>
  <c r="AF155" i="30"/>
  <c r="M87" i="60"/>
  <c r="N87" i="60"/>
  <c r="O87" i="60"/>
  <c r="M88" i="60"/>
  <c r="N88" i="60"/>
  <c r="O88" i="60"/>
  <c r="Q20" i="37"/>
  <c r="Q21" i="37"/>
  <c r="Q22" i="37"/>
  <c r="Q23" i="37"/>
  <c r="Q10" i="37"/>
  <c r="AV190" i="30"/>
  <c r="AU190" i="30"/>
  <c r="AT190" i="30"/>
  <c r="AS190" i="30"/>
  <c r="AR190" i="30"/>
  <c r="AQ190" i="30"/>
  <c r="AP190" i="30"/>
  <c r="AO190" i="30"/>
  <c r="AN190" i="30"/>
  <c r="AM190" i="30"/>
  <c r="AL190" i="30"/>
  <c r="AK190" i="30"/>
  <c r="AG190" i="30"/>
  <c r="AF190" i="30"/>
  <c r="AE190" i="30"/>
  <c r="AD190" i="30"/>
  <c r="AC190" i="30"/>
  <c r="AB190" i="30"/>
  <c r="AA190" i="30"/>
  <c r="Z190" i="30"/>
  <c r="Y190" i="30"/>
  <c r="X190" i="30"/>
  <c r="W190" i="30"/>
  <c r="V190" i="30"/>
  <c r="Q190" i="30"/>
  <c r="P190" i="30"/>
  <c r="O190" i="30"/>
  <c r="N190" i="30"/>
  <c r="M190" i="30"/>
  <c r="L190" i="30"/>
  <c r="K190" i="30"/>
  <c r="J190" i="30"/>
  <c r="I190" i="30"/>
  <c r="H190" i="30"/>
  <c r="G190" i="30"/>
  <c r="F190" i="30"/>
  <c r="AG160" i="30"/>
  <c r="AF160" i="30"/>
  <c r="AE160" i="30"/>
  <c r="AD160" i="30"/>
  <c r="AC160" i="30"/>
  <c r="AB160" i="30"/>
  <c r="AA160" i="30"/>
  <c r="Z160" i="30"/>
  <c r="Y160" i="30"/>
  <c r="X160" i="30"/>
  <c r="W160" i="30"/>
  <c r="V160" i="30"/>
  <c r="Q160" i="30"/>
  <c r="P160" i="30"/>
  <c r="O160" i="30"/>
  <c r="N160" i="30"/>
  <c r="M160" i="30"/>
  <c r="L160" i="30"/>
  <c r="K160" i="30"/>
  <c r="J160" i="30"/>
  <c r="I160" i="30"/>
  <c r="H160" i="30"/>
  <c r="G160" i="30"/>
  <c r="F160" i="30"/>
  <c r="AV160" i="30"/>
  <c r="AU160" i="30"/>
  <c r="AT160" i="30"/>
  <c r="AS160" i="30"/>
  <c r="AR160" i="30"/>
  <c r="AQ160" i="30"/>
  <c r="AP160" i="30"/>
  <c r="AO160" i="30"/>
  <c r="AN160" i="30"/>
  <c r="AM160" i="30"/>
  <c r="AL160" i="30"/>
  <c r="AK160" i="30"/>
  <c r="AV140" i="30"/>
  <c r="AU140" i="30"/>
  <c r="AT140" i="30"/>
  <c r="AS140" i="30"/>
  <c r="AR140" i="30"/>
  <c r="AQ140" i="30"/>
  <c r="AP140" i="30"/>
  <c r="AO140" i="30"/>
  <c r="AN140" i="30"/>
  <c r="AM140" i="30"/>
  <c r="AL140" i="30"/>
  <c r="AK140" i="30"/>
  <c r="AG140" i="30"/>
  <c r="AF140" i="30"/>
  <c r="AE140" i="30"/>
  <c r="AD140" i="30"/>
  <c r="AC140" i="30"/>
  <c r="AB140" i="30"/>
  <c r="AA140" i="30"/>
  <c r="Z140" i="30"/>
  <c r="Y140" i="30"/>
  <c r="X140" i="30"/>
  <c r="W140" i="30"/>
  <c r="V140" i="30"/>
  <c r="Q140" i="30"/>
  <c r="P140" i="30"/>
  <c r="O140" i="30"/>
  <c r="N140" i="30"/>
  <c r="M140" i="30"/>
  <c r="L140" i="30"/>
  <c r="K140" i="30"/>
  <c r="J140" i="30"/>
  <c r="I140" i="30"/>
  <c r="H140" i="30"/>
  <c r="G140" i="30"/>
  <c r="F140" i="30"/>
  <c r="C140" i="30"/>
  <c r="C160" i="30"/>
  <c r="C190" i="30"/>
  <c r="B138" i="30"/>
  <c r="B158" i="30"/>
  <c r="AB36" i="22"/>
  <c r="AB36" i="19"/>
  <c r="AB36" i="42"/>
  <c r="AA36" i="42"/>
  <c r="Q66" i="66"/>
  <c r="Q67" i="65"/>
  <c r="R2" i="30"/>
  <c r="F165" i="30"/>
  <c r="AG189" i="30"/>
  <c r="AF189" i="30"/>
  <c r="AE189" i="30"/>
  <c r="AD189" i="30"/>
  <c r="AC189" i="30"/>
  <c r="AB189" i="30"/>
  <c r="AA189" i="30"/>
  <c r="Z189" i="30"/>
  <c r="Y189" i="30"/>
  <c r="X189" i="30"/>
  <c r="W189" i="30"/>
  <c r="V189" i="30"/>
  <c r="Q189" i="30"/>
  <c r="P189" i="30"/>
  <c r="O189" i="30"/>
  <c r="N189" i="30"/>
  <c r="M189" i="30"/>
  <c r="L189" i="30"/>
  <c r="K189" i="30"/>
  <c r="J189" i="30"/>
  <c r="I189" i="30"/>
  <c r="H189" i="30"/>
  <c r="G189" i="30"/>
  <c r="F189" i="30"/>
  <c r="AG188" i="30"/>
  <c r="AF188" i="30"/>
  <c r="AE188" i="30"/>
  <c r="AD188" i="30"/>
  <c r="AC188" i="30"/>
  <c r="AB188" i="30"/>
  <c r="AA188" i="30"/>
  <c r="Z188" i="30"/>
  <c r="Y188" i="30"/>
  <c r="X188" i="30"/>
  <c r="W188" i="30"/>
  <c r="V188" i="30"/>
  <c r="Q188" i="30"/>
  <c r="P188" i="30"/>
  <c r="O188" i="30"/>
  <c r="N188" i="30"/>
  <c r="M188" i="30"/>
  <c r="L188" i="30"/>
  <c r="K188" i="30"/>
  <c r="J188" i="30"/>
  <c r="I188" i="30"/>
  <c r="H188" i="30"/>
  <c r="G188" i="30"/>
  <c r="F188" i="30"/>
  <c r="AG187" i="30"/>
  <c r="AF187" i="30"/>
  <c r="AE187" i="30"/>
  <c r="AD187" i="30"/>
  <c r="AC187" i="30"/>
  <c r="AB187" i="30"/>
  <c r="AA187" i="30"/>
  <c r="Z187" i="30"/>
  <c r="Y187" i="30"/>
  <c r="X187" i="30"/>
  <c r="W187" i="30"/>
  <c r="V187" i="30"/>
  <c r="Q187" i="30"/>
  <c r="P187" i="30"/>
  <c r="O187" i="30"/>
  <c r="N187" i="30"/>
  <c r="M187" i="30"/>
  <c r="L187" i="30"/>
  <c r="K187" i="30"/>
  <c r="J187" i="30"/>
  <c r="I187" i="30"/>
  <c r="H187" i="30"/>
  <c r="G187" i="30"/>
  <c r="F187" i="30"/>
  <c r="AG186" i="30"/>
  <c r="AF186" i="30"/>
  <c r="AE186" i="30"/>
  <c r="AD186" i="30"/>
  <c r="AC186" i="30"/>
  <c r="AB186" i="30"/>
  <c r="AA186" i="30"/>
  <c r="Z186" i="30"/>
  <c r="Y186" i="30"/>
  <c r="X186" i="30"/>
  <c r="W186" i="30"/>
  <c r="V186" i="30"/>
  <c r="Q186" i="30"/>
  <c r="P186" i="30"/>
  <c r="O186" i="30"/>
  <c r="N186" i="30"/>
  <c r="M186" i="30"/>
  <c r="L186" i="30"/>
  <c r="K186" i="30"/>
  <c r="J186" i="30"/>
  <c r="I186" i="30"/>
  <c r="H186" i="30"/>
  <c r="G186" i="30"/>
  <c r="F186" i="30"/>
  <c r="AG185" i="30"/>
  <c r="AF185" i="30"/>
  <c r="AE185" i="30"/>
  <c r="AD185" i="30"/>
  <c r="AC185" i="30"/>
  <c r="AB185" i="30"/>
  <c r="AA185" i="30"/>
  <c r="Z185" i="30"/>
  <c r="Y185" i="30"/>
  <c r="X185" i="30"/>
  <c r="W185" i="30"/>
  <c r="V185" i="30"/>
  <c r="Q185" i="30"/>
  <c r="P185" i="30"/>
  <c r="O185" i="30"/>
  <c r="N185" i="30"/>
  <c r="M185" i="30"/>
  <c r="L185" i="30"/>
  <c r="K185" i="30"/>
  <c r="J185" i="30"/>
  <c r="I185" i="30"/>
  <c r="H185" i="30"/>
  <c r="G185" i="30"/>
  <c r="F185" i="30"/>
  <c r="AR184" i="30"/>
  <c r="AG184" i="30"/>
  <c r="AF184" i="30"/>
  <c r="AE184" i="30"/>
  <c r="AD184" i="30"/>
  <c r="AC184" i="30"/>
  <c r="AB184" i="30"/>
  <c r="AA184" i="30"/>
  <c r="Z184" i="30"/>
  <c r="Y184" i="30"/>
  <c r="X184" i="30"/>
  <c r="W184" i="30"/>
  <c r="V184" i="30"/>
  <c r="Q184" i="30"/>
  <c r="P184" i="30"/>
  <c r="O184" i="30"/>
  <c r="N184" i="30"/>
  <c r="M184" i="30"/>
  <c r="L184" i="30"/>
  <c r="K184" i="30"/>
  <c r="J184" i="30"/>
  <c r="I184" i="30"/>
  <c r="H184" i="30"/>
  <c r="G184" i="30"/>
  <c r="F184" i="30"/>
  <c r="AG183" i="30"/>
  <c r="AF183" i="30"/>
  <c r="AE183" i="30"/>
  <c r="AD183" i="30"/>
  <c r="AC183" i="30"/>
  <c r="AB183" i="30"/>
  <c r="AA183" i="30"/>
  <c r="Z183" i="30"/>
  <c r="Y183" i="30"/>
  <c r="X183" i="30"/>
  <c r="W183" i="30"/>
  <c r="V183" i="30"/>
  <c r="Q183" i="30"/>
  <c r="P183" i="30"/>
  <c r="O183" i="30"/>
  <c r="N183" i="30"/>
  <c r="M183" i="30"/>
  <c r="L183" i="30"/>
  <c r="K183" i="30"/>
  <c r="J183" i="30"/>
  <c r="I183" i="30"/>
  <c r="H183" i="30"/>
  <c r="G183" i="30"/>
  <c r="F183" i="30"/>
  <c r="AT182" i="30"/>
  <c r="AP182" i="30"/>
  <c r="AN182" i="30"/>
  <c r="AL182" i="30"/>
  <c r="AG182" i="30"/>
  <c r="AF182" i="30"/>
  <c r="AE182" i="30"/>
  <c r="AD182" i="30"/>
  <c r="AC182" i="30"/>
  <c r="AB182" i="30"/>
  <c r="AA182" i="30"/>
  <c r="Z182" i="30"/>
  <c r="Y182" i="30"/>
  <c r="X182" i="30"/>
  <c r="W182" i="30"/>
  <c r="V182" i="30"/>
  <c r="Q182" i="30"/>
  <c r="P182" i="30"/>
  <c r="O182" i="30"/>
  <c r="N182" i="30"/>
  <c r="M182" i="30"/>
  <c r="L182" i="30"/>
  <c r="K182" i="30"/>
  <c r="J182" i="30"/>
  <c r="I182" i="30"/>
  <c r="H182" i="30"/>
  <c r="G182" i="30"/>
  <c r="F182" i="30"/>
  <c r="AG181" i="30"/>
  <c r="AF181" i="30"/>
  <c r="AE181" i="30"/>
  <c r="AD181" i="30"/>
  <c r="AC181" i="30"/>
  <c r="AB181" i="30"/>
  <c r="AA181" i="30"/>
  <c r="Z181" i="30"/>
  <c r="Y181" i="30"/>
  <c r="X181" i="30"/>
  <c r="W181" i="30"/>
  <c r="V181" i="30"/>
  <c r="Q181" i="30"/>
  <c r="P181" i="30"/>
  <c r="O181" i="30"/>
  <c r="N181" i="30"/>
  <c r="M181" i="30"/>
  <c r="L181" i="30"/>
  <c r="K181" i="30"/>
  <c r="J181" i="30"/>
  <c r="I181" i="30"/>
  <c r="H181" i="30"/>
  <c r="G181" i="30"/>
  <c r="F181" i="30"/>
  <c r="AS180" i="30"/>
  <c r="AQ180" i="30"/>
  <c r="AN180" i="30"/>
  <c r="AG180" i="30"/>
  <c r="AF180" i="30"/>
  <c r="AE180" i="30"/>
  <c r="AD180" i="30"/>
  <c r="AC180" i="30"/>
  <c r="AB180" i="30"/>
  <c r="AA180" i="30"/>
  <c r="Z180" i="30"/>
  <c r="Y180" i="30"/>
  <c r="X180" i="30"/>
  <c r="W180" i="30"/>
  <c r="V180" i="30"/>
  <c r="Q180" i="30"/>
  <c r="P180" i="30"/>
  <c r="O180" i="30"/>
  <c r="N180" i="30"/>
  <c r="M180" i="30"/>
  <c r="L180" i="30"/>
  <c r="K180" i="30"/>
  <c r="J180" i="30"/>
  <c r="I180" i="30"/>
  <c r="H180" i="30"/>
  <c r="G180" i="30"/>
  <c r="F180" i="30"/>
  <c r="AS179" i="30"/>
  <c r="AN179" i="30"/>
  <c r="AG179" i="30"/>
  <c r="AF179" i="30"/>
  <c r="AE179" i="30"/>
  <c r="AD179" i="30"/>
  <c r="AC179" i="30"/>
  <c r="AB179" i="30"/>
  <c r="AA179" i="30"/>
  <c r="Z179" i="30"/>
  <c r="Y179" i="30"/>
  <c r="X179" i="30"/>
  <c r="W179" i="30"/>
  <c r="V179" i="30"/>
  <c r="Q179" i="30"/>
  <c r="P179" i="30"/>
  <c r="O179" i="30"/>
  <c r="N179" i="30"/>
  <c r="M179" i="30"/>
  <c r="L179" i="30"/>
  <c r="K179" i="30"/>
  <c r="J179" i="30"/>
  <c r="I179" i="30"/>
  <c r="H179" i="30"/>
  <c r="G179" i="30"/>
  <c r="F179" i="30"/>
  <c r="AV105" i="30"/>
  <c r="AU105" i="30"/>
  <c r="AT105" i="30"/>
  <c r="AS105" i="30"/>
  <c r="AR105" i="30"/>
  <c r="AQ105" i="30"/>
  <c r="AP105" i="30"/>
  <c r="AO105" i="30"/>
  <c r="AN105" i="30"/>
  <c r="AM105" i="30"/>
  <c r="AL105" i="30"/>
  <c r="AC100" i="30"/>
  <c r="Y97" i="30"/>
  <c r="AV82" i="30"/>
  <c r="AU82" i="30"/>
  <c r="AT82" i="30"/>
  <c r="AS82" i="30"/>
  <c r="AQ82" i="30"/>
  <c r="AP82" i="30"/>
  <c r="AO82" i="30"/>
  <c r="AN82" i="30"/>
  <c r="AM82" i="30"/>
  <c r="AL82" i="30"/>
  <c r="AK82" i="30"/>
  <c r="AV69" i="30"/>
  <c r="AU69" i="30"/>
  <c r="AT69" i="30"/>
  <c r="AS69" i="30"/>
  <c r="AR69" i="30"/>
  <c r="AQ69" i="30"/>
  <c r="AP69" i="30"/>
  <c r="AO69" i="30"/>
  <c r="AN69" i="30"/>
  <c r="AM69" i="30"/>
  <c r="AL69" i="30"/>
  <c r="AK69" i="30"/>
  <c r="AV58" i="30"/>
  <c r="AU58" i="30"/>
  <c r="AT58" i="30"/>
  <c r="AS58" i="30"/>
  <c r="AQ58" i="30"/>
  <c r="AP58" i="30"/>
  <c r="AO58" i="30"/>
  <c r="AN58" i="30"/>
  <c r="AM58" i="30"/>
  <c r="AL58" i="30"/>
  <c r="AK58" i="30"/>
  <c r="X41" i="30"/>
  <c r="AB41" i="30"/>
  <c r="AE41" i="30"/>
  <c r="AV35" i="30"/>
  <c r="AU35" i="30"/>
  <c r="AT35" i="30"/>
  <c r="AS35" i="30"/>
  <c r="AR35" i="30"/>
  <c r="AQ35" i="30"/>
  <c r="AP35" i="30"/>
  <c r="AO35" i="30"/>
  <c r="AN35" i="30"/>
  <c r="AM35" i="30"/>
  <c r="AL35" i="30"/>
  <c r="AK35" i="30"/>
  <c r="AV32" i="30"/>
  <c r="AU32" i="30"/>
  <c r="AT32" i="30"/>
  <c r="AS32" i="30"/>
  <c r="AQ32" i="30"/>
  <c r="AP32" i="30"/>
  <c r="AO32" i="30"/>
  <c r="AN32" i="30"/>
  <c r="AM32" i="30"/>
  <c r="AL32" i="30"/>
  <c r="AK32" i="30"/>
  <c r="AC21" i="30"/>
  <c r="AR21" i="30" s="1"/>
  <c r="AV21" i="30"/>
  <c r="AU21" i="30"/>
  <c r="AT21" i="30"/>
  <c r="AS21" i="30"/>
  <c r="AQ21" i="30"/>
  <c r="AP21" i="30"/>
  <c r="AO21" i="30"/>
  <c r="AN21" i="30"/>
  <c r="AM21" i="30"/>
  <c r="AL21" i="30"/>
  <c r="AK21" i="30"/>
  <c r="AV18" i="30"/>
  <c r="AU18" i="30"/>
  <c r="AT18" i="30"/>
  <c r="AS18" i="30"/>
  <c r="AR18" i="30"/>
  <c r="AQ18" i="30"/>
  <c r="AP18" i="30"/>
  <c r="AO18" i="30"/>
  <c r="AN18" i="30"/>
  <c r="AM18" i="30"/>
  <c r="AL18" i="30"/>
  <c r="AK18" i="30"/>
  <c r="AH15" i="30"/>
  <c r="AV11" i="30"/>
  <c r="AU11" i="30"/>
  <c r="AT11" i="30"/>
  <c r="AS11" i="30"/>
  <c r="AR11" i="30"/>
  <c r="AQ11" i="30"/>
  <c r="AP11" i="30"/>
  <c r="AO11" i="30"/>
  <c r="AN11" i="30"/>
  <c r="AM11" i="30"/>
  <c r="AL11" i="30"/>
  <c r="AK11" i="30"/>
  <c r="C49" i="78" l="1"/>
  <c r="E49" i="78"/>
  <c r="G49" i="78"/>
  <c r="D49" i="78"/>
  <c r="F49" i="78"/>
  <c r="E106" i="78"/>
  <c r="D32" i="78"/>
  <c r="E32" i="78"/>
  <c r="D106" i="78"/>
  <c r="C32" i="78"/>
  <c r="R160" i="30"/>
  <c r="R140" i="30"/>
  <c r="AH140" i="30"/>
  <c r="R190" i="30"/>
  <c r="BJ11" i="78"/>
  <c r="AH11" i="78"/>
  <c r="T11" i="78"/>
  <c r="AR71" i="78"/>
  <c r="P71" i="78"/>
  <c r="AT71" i="78"/>
  <c r="R71" i="78"/>
  <c r="AS71" i="78"/>
  <c r="Q71" i="78"/>
  <c r="AW71" i="78"/>
  <c r="U71" i="78"/>
  <c r="AV71" i="78"/>
  <c r="T71" i="78"/>
  <c r="AU71" i="78"/>
  <c r="S71" i="78"/>
  <c r="AW97" i="78"/>
  <c r="U97" i="78"/>
  <c r="AR42" i="78"/>
  <c r="B101" i="78"/>
  <c r="AS42" i="78"/>
  <c r="AT42" i="78"/>
  <c r="AU42" i="78"/>
  <c r="AV42" i="78"/>
  <c r="AW42" i="78"/>
  <c r="M105" i="78"/>
  <c r="M106" i="78" s="1"/>
  <c r="M101" i="78"/>
  <c r="BJ101" i="78" s="1"/>
  <c r="M26" i="78"/>
  <c r="B45" i="78"/>
  <c r="B28" i="78"/>
  <c r="G45" i="78"/>
  <c r="G28" i="78"/>
  <c r="F45" i="78"/>
  <c r="F28" i="78"/>
  <c r="E45" i="78"/>
  <c r="E28" i="78"/>
  <c r="D45" i="78"/>
  <c r="D28" i="78"/>
  <c r="C45" i="78"/>
  <c r="C28" i="78"/>
  <c r="G48" i="78"/>
  <c r="G31" i="78"/>
  <c r="F48" i="78"/>
  <c r="F31" i="78"/>
  <c r="E48" i="78"/>
  <c r="E31" i="78"/>
  <c r="D48" i="78"/>
  <c r="D31" i="78"/>
  <c r="C48" i="78"/>
  <c r="C31" i="78"/>
  <c r="B48" i="78"/>
  <c r="B31" i="78"/>
  <c r="G47" i="78"/>
  <c r="G30" i="78"/>
  <c r="F47" i="78"/>
  <c r="F30" i="78"/>
  <c r="E47" i="78"/>
  <c r="E30" i="78"/>
  <c r="D47" i="78"/>
  <c r="D30" i="78"/>
  <c r="C47" i="78"/>
  <c r="C30" i="78"/>
  <c r="B47" i="78"/>
  <c r="B30" i="78"/>
  <c r="G46" i="78"/>
  <c r="G29" i="78"/>
  <c r="E46" i="78"/>
  <c r="E29" i="78"/>
  <c r="D46" i="78"/>
  <c r="D29" i="78"/>
  <c r="C46" i="78"/>
  <c r="C29" i="78"/>
  <c r="B46" i="78"/>
  <c r="B29" i="78"/>
  <c r="F46" i="78"/>
  <c r="F29" i="78"/>
  <c r="B49" i="78"/>
  <c r="B32" i="78"/>
  <c r="G77" i="78"/>
  <c r="G83" i="78" s="1"/>
  <c r="G55" i="78"/>
  <c r="F77" i="78"/>
  <c r="F83" i="78" s="1"/>
  <c r="F55" i="78"/>
  <c r="E77" i="78"/>
  <c r="E83" i="78" s="1"/>
  <c r="E55" i="78"/>
  <c r="D77" i="78"/>
  <c r="D83" i="78" s="1"/>
  <c r="D55" i="78"/>
  <c r="C77" i="78"/>
  <c r="C83" i="78" s="1"/>
  <c r="C55" i="78"/>
  <c r="C101" i="78"/>
  <c r="D101" i="78"/>
  <c r="E101" i="78"/>
  <c r="F101" i="78"/>
  <c r="I28" i="78"/>
  <c r="I45" i="78"/>
  <c r="J28" i="78"/>
  <c r="J45" i="78"/>
  <c r="K28" i="78"/>
  <c r="K45" i="78"/>
  <c r="L28" i="78"/>
  <c r="L45" i="78"/>
  <c r="M28" i="78"/>
  <c r="M45" i="78"/>
  <c r="N28" i="78"/>
  <c r="N45" i="78"/>
  <c r="I29" i="78"/>
  <c r="I46" i="78"/>
  <c r="J29" i="78"/>
  <c r="J46" i="78"/>
  <c r="K29" i="78"/>
  <c r="K46" i="78"/>
  <c r="L29" i="78"/>
  <c r="L46" i="78"/>
  <c r="M29" i="78"/>
  <c r="M46" i="78"/>
  <c r="N29" i="78"/>
  <c r="N46" i="78"/>
  <c r="I30" i="78"/>
  <c r="I47" i="78"/>
  <c r="J30" i="78"/>
  <c r="J47" i="78"/>
  <c r="K30" i="78"/>
  <c r="K47" i="78"/>
  <c r="L30" i="78"/>
  <c r="L47" i="78"/>
  <c r="M30" i="78"/>
  <c r="M47" i="78"/>
  <c r="N30" i="78"/>
  <c r="N47" i="78"/>
  <c r="I31" i="78"/>
  <c r="I48" i="78"/>
  <c r="J31" i="78"/>
  <c r="J48" i="78"/>
  <c r="K31" i="78"/>
  <c r="K48" i="78"/>
  <c r="L31" i="78"/>
  <c r="L48" i="78"/>
  <c r="M31" i="78"/>
  <c r="M48" i="78"/>
  <c r="N31" i="78"/>
  <c r="N48" i="78"/>
  <c r="I32" i="78"/>
  <c r="I49" i="78"/>
  <c r="J32" i="78"/>
  <c r="J49" i="78"/>
  <c r="K32" i="78"/>
  <c r="K49" i="78"/>
  <c r="L32" i="78"/>
  <c r="L49" i="78"/>
  <c r="N32" i="78"/>
  <c r="N49" i="78"/>
  <c r="AD101" i="78"/>
  <c r="AE101" i="78"/>
  <c r="AF101" i="78"/>
  <c r="AG101" i="78"/>
  <c r="AI101" i="78"/>
  <c r="W28" i="78"/>
  <c r="W45" i="78"/>
  <c r="X28" i="78"/>
  <c r="X45" i="78"/>
  <c r="Y28" i="78"/>
  <c r="Y45" i="78"/>
  <c r="Z28" i="78"/>
  <c r="Z45" i="78"/>
  <c r="AA28" i="78"/>
  <c r="AA45" i="78"/>
  <c r="AB28" i="78"/>
  <c r="AB45" i="78"/>
  <c r="W29" i="78"/>
  <c r="W46" i="78"/>
  <c r="X29" i="78"/>
  <c r="X46" i="78"/>
  <c r="Y29" i="78"/>
  <c r="Y46" i="78"/>
  <c r="Z29" i="78"/>
  <c r="Z46" i="78"/>
  <c r="AA29" i="78"/>
  <c r="AA46" i="78"/>
  <c r="AB29" i="78"/>
  <c r="AB46" i="78"/>
  <c r="W30" i="78"/>
  <c r="W47" i="78"/>
  <c r="X30" i="78"/>
  <c r="X47" i="78"/>
  <c r="Y30" i="78"/>
  <c r="Y47" i="78"/>
  <c r="Z30" i="78"/>
  <c r="Z47" i="78"/>
  <c r="AA30" i="78"/>
  <c r="AA47" i="78"/>
  <c r="AB30" i="78"/>
  <c r="AB47" i="78"/>
  <c r="W31" i="78"/>
  <c r="W48" i="78"/>
  <c r="X31" i="78"/>
  <c r="X48" i="78"/>
  <c r="Y31" i="78"/>
  <c r="Y48" i="78"/>
  <c r="Z31" i="78"/>
  <c r="Z48" i="78"/>
  <c r="AA31" i="78"/>
  <c r="AA48" i="78"/>
  <c r="AB31" i="78"/>
  <c r="AB48" i="78"/>
  <c r="W32" i="78"/>
  <c r="W49" i="78"/>
  <c r="X32" i="78"/>
  <c r="X49" i="78"/>
  <c r="Y32" i="78"/>
  <c r="Y49" i="78"/>
  <c r="Z32" i="78"/>
  <c r="Z49" i="78"/>
  <c r="AA32" i="78"/>
  <c r="AA49" i="78"/>
  <c r="AB32" i="78"/>
  <c r="AB49" i="78"/>
  <c r="G85" i="78"/>
  <c r="G101" i="78" s="1"/>
  <c r="Q43" i="51"/>
  <c r="Q12" i="37"/>
  <c r="Q15" i="32"/>
  <c r="AW140" i="30"/>
  <c r="AW190" i="30"/>
  <c r="AW160" i="30"/>
  <c r="AH190" i="30"/>
  <c r="AH160" i="30"/>
  <c r="AH185" i="30"/>
  <c r="AH182" i="30"/>
  <c r="AH187" i="30"/>
  <c r="AH184" i="30"/>
  <c r="AH183" i="30"/>
  <c r="AH188" i="30"/>
  <c r="R182" i="30"/>
  <c r="R179" i="30"/>
  <c r="R187" i="30"/>
  <c r="R184" i="30"/>
  <c r="R189" i="30"/>
  <c r="R186" i="30"/>
  <c r="R183" i="30"/>
  <c r="R188" i="30"/>
  <c r="R181" i="30"/>
  <c r="R180" i="30"/>
  <c r="R185" i="30"/>
  <c r="AH189" i="30"/>
  <c r="AH186" i="30"/>
  <c r="AH181" i="30"/>
  <c r="AH180" i="30"/>
  <c r="AH179" i="30"/>
  <c r="Q4" i="22"/>
  <c r="R4" i="22"/>
  <c r="S4" i="22"/>
  <c r="T4" i="22"/>
  <c r="U4" i="22"/>
  <c r="V4" i="22"/>
  <c r="W4" i="22"/>
  <c r="X4" i="22"/>
  <c r="Y4" i="22"/>
  <c r="Z4" i="22"/>
  <c r="AA4" i="22"/>
  <c r="AB4" i="22"/>
  <c r="Y22" i="19"/>
  <c r="D99" i="66"/>
  <c r="E99" i="66"/>
  <c r="F99" i="66"/>
  <c r="G99" i="66"/>
  <c r="H99" i="66"/>
  <c r="I99" i="66"/>
  <c r="J99" i="66"/>
  <c r="K99" i="66"/>
  <c r="L99" i="66"/>
  <c r="D71" i="66"/>
  <c r="E71" i="66"/>
  <c r="F71" i="66"/>
  <c r="G71" i="66"/>
  <c r="H71" i="66"/>
  <c r="I71" i="66"/>
  <c r="J71" i="66"/>
  <c r="K71" i="66"/>
  <c r="L71" i="66"/>
  <c r="E43" i="66"/>
  <c r="F43" i="66"/>
  <c r="G43" i="66"/>
  <c r="H43" i="66"/>
  <c r="I43" i="66"/>
  <c r="J43" i="66"/>
  <c r="K43" i="66"/>
  <c r="L43" i="66"/>
  <c r="D38" i="66"/>
  <c r="D43" i="66" s="1"/>
  <c r="D21" i="66"/>
  <c r="E21" i="66"/>
  <c r="F21" i="66"/>
  <c r="G21" i="66"/>
  <c r="H21" i="66"/>
  <c r="I21" i="66"/>
  <c r="D23" i="66"/>
  <c r="E23" i="66"/>
  <c r="F23" i="66"/>
  <c r="G23" i="66"/>
  <c r="H23" i="66"/>
  <c r="I23" i="66"/>
  <c r="J23" i="66"/>
  <c r="K23" i="66"/>
  <c r="L23" i="66"/>
  <c r="D24" i="66"/>
  <c r="E24" i="66"/>
  <c r="F24" i="66"/>
  <c r="G24" i="66"/>
  <c r="H24" i="66"/>
  <c r="I24" i="66"/>
  <c r="J24" i="66"/>
  <c r="K24" i="66"/>
  <c r="L24" i="66"/>
  <c r="D25" i="66"/>
  <c r="E25" i="66"/>
  <c r="F25" i="66"/>
  <c r="G25" i="66"/>
  <c r="H25" i="66"/>
  <c r="I25" i="66"/>
  <c r="D26" i="66"/>
  <c r="E26" i="66"/>
  <c r="F26" i="66"/>
  <c r="G26" i="66"/>
  <c r="H26" i="66"/>
  <c r="I26" i="66"/>
  <c r="J26" i="66"/>
  <c r="K26" i="66"/>
  <c r="L26" i="66"/>
  <c r="J18" i="66"/>
  <c r="K18" i="66"/>
  <c r="L18" i="66"/>
  <c r="D12" i="66"/>
  <c r="E12" i="66"/>
  <c r="F12" i="66"/>
  <c r="G12" i="66"/>
  <c r="H12" i="66"/>
  <c r="I12" i="66"/>
  <c r="J12" i="66"/>
  <c r="K12" i="66"/>
  <c r="L12" i="66"/>
  <c r="D71" i="32"/>
  <c r="E71" i="32"/>
  <c r="F71" i="32"/>
  <c r="G71" i="32"/>
  <c r="H71" i="32"/>
  <c r="I71" i="32"/>
  <c r="J71" i="32"/>
  <c r="K71" i="32"/>
  <c r="L71" i="32"/>
  <c r="D99" i="32"/>
  <c r="E99" i="32"/>
  <c r="F99" i="32"/>
  <c r="G99" i="32"/>
  <c r="H99" i="32"/>
  <c r="I99" i="32"/>
  <c r="J99" i="32"/>
  <c r="K99" i="32"/>
  <c r="L99" i="32"/>
  <c r="D43" i="32"/>
  <c r="E43" i="32"/>
  <c r="F43" i="32"/>
  <c r="G43" i="32"/>
  <c r="H43" i="32"/>
  <c r="I43" i="32"/>
  <c r="J43" i="32"/>
  <c r="K43" i="32"/>
  <c r="L43" i="32"/>
  <c r="D23" i="32"/>
  <c r="E23" i="32"/>
  <c r="F23" i="32"/>
  <c r="G23" i="32"/>
  <c r="H23" i="32"/>
  <c r="I23" i="32"/>
  <c r="J23" i="32"/>
  <c r="K23" i="32"/>
  <c r="L23" i="32"/>
  <c r="D24" i="32"/>
  <c r="E24" i="32"/>
  <c r="F24" i="32"/>
  <c r="G24" i="32"/>
  <c r="H24" i="32"/>
  <c r="I24" i="32"/>
  <c r="J24" i="32"/>
  <c r="K24" i="32"/>
  <c r="L24" i="32"/>
  <c r="E25" i="32"/>
  <c r="F25" i="32"/>
  <c r="H25" i="32"/>
  <c r="I25" i="32"/>
  <c r="L25" i="32"/>
  <c r="D26" i="32"/>
  <c r="E26" i="32"/>
  <c r="F26" i="32"/>
  <c r="G26" i="32"/>
  <c r="H26" i="32"/>
  <c r="I26" i="32"/>
  <c r="J26" i="32"/>
  <c r="K26" i="32"/>
  <c r="L26" i="32"/>
  <c r="K95" i="77"/>
  <c r="J95" i="77"/>
  <c r="I95" i="77"/>
  <c r="H95" i="77"/>
  <c r="G95" i="77"/>
  <c r="F95" i="77"/>
  <c r="E95" i="77"/>
  <c r="D95" i="77"/>
  <c r="AU93" i="77"/>
  <c r="AF93" i="77"/>
  <c r="Q93" i="77"/>
  <c r="AU92" i="77"/>
  <c r="AF92" i="77"/>
  <c r="Q92" i="77"/>
  <c r="AU91" i="77"/>
  <c r="AF91" i="77"/>
  <c r="Q91" i="77"/>
  <c r="AU90" i="77"/>
  <c r="AF90" i="77"/>
  <c r="Q90" i="77"/>
  <c r="AU89" i="77"/>
  <c r="AF89" i="77"/>
  <c r="Q89" i="77"/>
  <c r="AU88" i="77"/>
  <c r="AF88" i="77"/>
  <c r="Q88" i="77"/>
  <c r="AU87" i="77"/>
  <c r="AF87" i="77"/>
  <c r="Q87" i="77"/>
  <c r="AU86" i="77"/>
  <c r="AF86" i="77"/>
  <c r="AS95" i="77"/>
  <c r="AR95" i="77"/>
  <c r="AQ95" i="77"/>
  <c r="AP95" i="77"/>
  <c r="AO95" i="77"/>
  <c r="AN95" i="77"/>
  <c r="AM95" i="77"/>
  <c r="AL95" i="77"/>
  <c r="AK95" i="77"/>
  <c r="AJ95" i="77"/>
  <c r="AI95" i="77"/>
  <c r="AD95" i="77"/>
  <c r="AC95" i="77"/>
  <c r="AB95" i="77"/>
  <c r="AA95" i="77"/>
  <c r="Z95" i="77"/>
  <c r="Y95" i="77"/>
  <c r="X95" i="77"/>
  <c r="W95" i="77"/>
  <c r="V95" i="77"/>
  <c r="U95" i="77"/>
  <c r="T95" i="77"/>
  <c r="O95" i="77"/>
  <c r="N95" i="77"/>
  <c r="L69" i="77"/>
  <c r="K69" i="77"/>
  <c r="J69" i="77"/>
  <c r="I69" i="77"/>
  <c r="H69" i="77"/>
  <c r="G69" i="77"/>
  <c r="F69" i="77"/>
  <c r="E69" i="77"/>
  <c r="D69" i="77"/>
  <c r="AU67" i="77"/>
  <c r="AF67" i="77"/>
  <c r="Q67" i="77"/>
  <c r="AU66" i="77"/>
  <c r="AF66" i="77"/>
  <c r="O69" i="77"/>
  <c r="N69" i="77"/>
  <c r="AU65" i="77"/>
  <c r="AF65" i="77"/>
  <c r="Q65" i="77"/>
  <c r="AU64" i="77"/>
  <c r="AF64" i="77"/>
  <c r="Q64" i="77"/>
  <c r="AU63" i="77"/>
  <c r="AF63" i="77"/>
  <c r="Q63" i="77"/>
  <c r="AU62" i="77"/>
  <c r="AF62" i="77"/>
  <c r="Q62" i="77"/>
  <c r="AU61" i="77"/>
  <c r="AF61" i="77"/>
  <c r="Q61" i="77"/>
  <c r="AU60" i="77"/>
  <c r="AF60" i="77"/>
  <c r="Q60" i="77"/>
  <c r="AU59" i="77"/>
  <c r="AF59" i="77"/>
  <c r="Q59" i="77"/>
  <c r="AS69" i="77"/>
  <c r="AR69" i="77"/>
  <c r="AQ69" i="77"/>
  <c r="AP69" i="77"/>
  <c r="AO69" i="77"/>
  <c r="AN69" i="77"/>
  <c r="AM69" i="77"/>
  <c r="AL69" i="77"/>
  <c r="AK69" i="77"/>
  <c r="AJ69" i="77"/>
  <c r="AI69" i="77"/>
  <c r="AD69" i="77"/>
  <c r="AC69" i="77"/>
  <c r="AB69" i="77"/>
  <c r="AA69" i="77"/>
  <c r="Z69" i="77"/>
  <c r="Y69" i="77"/>
  <c r="X69" i="77"/>
  <c r="W69" i="77"/>
  <c r="V69" i="77"/>
  <c r="U69" i="77"/>
  <c r="T69" i="77"/>
  <c r="Q58" i="77"/>
  <c r="K42" i="77"/>
  <c r="J42" i="77"/>
  <c r="I42" i="77"/>
  <c r="H42" i="77"/>
  <c r="G42" i="77"/>
  <c r="F42" i="77"/>
  <c r="E42" i="77"/>
  <c r="C40" i="77"/>
  <c r="C39" i="77"/>
  <c r="C38" i="77"/>
  <c r="C37" i="77"/>
  <c r="AU36" i="77"/>
  <c r="AF36" i="77"/>
  <c r="Q36" i="77"/>
  <c r="K25" i="77"/>
  <c r="J25" i="77"/>
  <c r="I25" i="77"/>
  <c r="H25" i="77"/>
  <c r="G25" i="77"/>
  <c r="F25" i="77"/>
  <c r="E25" i="77"/>
  <c r="D25" i="77"/>
  <c r="L24" i="77"/>
  <c r="K24" i="77"/>
  <c r="J24" i="77"/>
  <c r="I24" i="77"/>
  <c r="H24" i="77"/>
  <c r="G24" i="77"/>
  <c r="F24" i="77"/>
  <c r="E24" i="77"/>
  <c r="D24" i="77"/>
  <c r="L23" i="77"/>
  <c r="K23" i="77"/>
  <c r="J23" i="77"/>
  <c r="I23" i="77"/>
  <c r="H23" i="77"/>
  <c r="G23" i="77"/>
  <c r="F23" i="77"/>
  <c r="E23" i="77"/>
  <c r="D23" i="77"/>
  <c r="L22" i="77"/>
  <c r="K22" i="77"/>
  <c r="J22" i="77"/>
  <c r="I22" i="77"/>
  <c r="H22" i="77"/>
  <c r="G22" i="77"/>
  <c r="F22" i="77"/>
  <c r="E22" i="77"/>
  <c r="D22" i="77"/>
  <c r="K20" i="77"/>
  <c r="J20" i="77"/>
  <c r="I20" i="77"/>
  <c r="H20" i="77"/>
  <c r="G20" i="77"/>
  <c r="F20" i="77"/>
  <c r="E20" i="77"/>
  <c r="D20" i="77"/>
  <c r="AS18" i="77"/>
  <c r="AS25" i="77" s="1"/>
  <c r="AR18" i="77"/>
  <c r="AR25" i="77" s="1"/>
  <c r="AQ18" i="77"/>
  <c r="AQ25" i="77" s="1"/>
  <c r="AP18" i="77"/>
  <c r="AP25" i="77" s="1"/>
  <c r="AO18" i="77"/>
  <c r="AO25" i="77" s="1"/>
  <c r="AN18" i="77"/>
  <c r="AN25" i="77" s="1"/>
  <c r="AM18" i="77"/>
  <c r="AM25" i="77" s="1"/>
  <c r="AL18" i="77"/>
  <c r="AL25" i="77" s="1"/>
  <c r="AK18" i="77"/>
  <c r="AK25" i="77" s="1"/>
  <c r="AJ18" i="77"/>
  <c r="AJ25" i="77" s="1"/>
  <c r="AI18" i="77"/>
  <c r="AI25" i="77" s="1"/>
  <c r="AH18" i="77"/>
  <c r="AD18" i="77"/>
  <c r="AD25" i="77" s="1"/>
  <c r="AC18" i="77"/>
  <c r="AC25" i="77" s="1"/>
  <c r="AB18" i="77"/>
  <c r="AB25" i="77" s="1"/>
  <c r="AA18" i="77"/>
  <c r="AA25" i="77" s="1"/>
  <c r="Z18" i="77"/>
  <c r="Z25" i="77" s="1"/>
  <c r="Y18" i="77"/>
  <c r="Y25" i="77" s="1"/>
  <c r="X18" i="77"/>
  <c r="X25" i="77" s="1"/>
  <c r="W18" i="77"/>
  <c r="W25" i="77" s="1"/>
  <c r="V18" i="77"/>
  <c r="V25" i="77" s="1"/>
  <c r="U18" i="77"/>
  <c r="U25" i="77" s="1"/>
  <c r="T18" i="77"/>
  <c r="T25" i="77" s="1"/>
  <c r="S18" i="77"/>
  <c r="O18" i="77"/>
  <c r="O25" i="77" s="1"/>
  <c r="N18" i="77"/>
  <c r="N25" i="77" s="1"/>
  <c r="M18" i="77"/>
  <c r="M25" i="77" s="1"/>
  <c r="L18" i="77"/>
  <c r="L11" i="77"/>
  <c r="K11" i="77"/>
  <c r="K26" i="77" s="1"/>
  <c r="J11" i="77"/>
  <c r="J26" i="77" s="1"/>
  <c r="I11" i="77"/>
  <c r="I26" i="77" s="1"/>
  <c r="H11" i="77"/>
  <c r="H26" i="77" s="1"/>
  <c r="G11" i="77"/>
  <c r="G26" i="77" s="1"/>
  <c r="F11" i="77"/>
  <c r="F26" i="77" s="1"/>
  <c r="E11" i="77"/>
  <c r="E26" i="77" s="1"/>
  <c r="D11" i="77"/>
  <c r="AU9" i="77"/>
  <c r="AF9" i="77"/>
  <c r="Q9" i="77"/>
  <c r="AI3" i="77"/>
  <c r="AJ3" i="77" s="1"/>
  <c r="AK3" i="77" s="1"/>
  <c r="AL3" i="77" s="1"/>
  <c r="AM3" i="77" s="1"/>
  <c r="AN3" i="77" s="1"/>
  <c r="AO3" i="77" s="1"/>
  <c r="AP3" i="77" s="1"/>
  <c r="AQ3" i="77" s="1"/>
  <c r="AR3" i="77" s="1"/>
  <c r="AS3" i="77" s="1"/>
  <c r="T3" i="77"/>
  <c r="U3" i="77" s="1"/>
  <c r="V3" i="77" s="1"/>
  <c r="W3" i="77" s="1"/>
  <c r="X3" i="77" s="1"/>
  <c r="Y3" i="77" s="1"/>
  <c r="Z3" i="77" s="1"/>
  <c r="AA3" i="77" s="1"/>
  <c r="AB3" i="77" s="1"/>
  <c r="AC3" i="77" s="1"/>
  <c r="AD3" i="77" s="1"/>
  <c r="I3" i="77"/>
  <c r="J3" i="77" s="1"/>
  <c r="K3" i="77" s="1"/>
  <c r="L3" i="77" s="1"/>
  <c r="M3" i="77" s="1"/>
  <c r="N3" i="77" s="1"/>
  <c r="O3" i="77" s="1"/>
  <c r="AW3" i="30"/>
  <c r="AV3" i="30"/>
  <c r="AU3" i="30"/>
  <c r="AT3" i="30"/>
  <c r="AS3" i="30"/>
  <c r="AR3" i="30"/>
  <c r="AQ3" i="30"/>
  <c r="AP3" i="30"/>
  <c r="AO3" i="30"/>
  <c r="AN3" i="30"/>
  <c r="AM3" i="30"/>
  <c r="AL3" i="30"/>
  <c r="AK3" i="30"/>
  <c r="AJ3" i="30"/>
  <c r="AI3" i="30"/>
  <c r="AH3" i="30"/>
  <c r="AG3" i="30"/>
  <c r="AF3" i="30"/>
  <c r="AE3" i="30"/>
  <c r="AD3" i="30"/>
  <c r="AC3" i="30"/>
  <c r="AB3" i="30"/>
  <c r="AA3" i="30"/>
  <c r="Z3" i="30"/>
  <c r="Y3" i="30"/>
  <c r="X3" i="30"/>
  <c r="W3" i="30"/>
  <c r="V3" i="30"/>
  <c r="U3" i="30"/>
  <c r="T3" i="30"/>
  <c r="S3" i="30"/>
  <c r="R3" i="30"/>
  <c r="Q3" i="30"/>
  <c r="P3" i="30"/>
  <c r="O3" i="30"/>
  <c r="N3" i="30"/>
  <c r="M3" i="30"/>
  <c r="L3" i="30"/>
  <c r="K3" i="30"/>
  <c r="J3" i="30"/>
  <c r="I3" i="30"/>
  <c r="H3" i="30"/>
  <c r="G3" i="30"/>
  <c r="F3" i="30"/>
  <c r="B103" i="73"/>
  <c r="B102" i="73"/>
  <c r="B101" i="73"/>
  <c r="B100" i="73"/>
  <c r="B99" i="73"/>
  <c r="B98" i="73"/>
  <c r="N1" i="35"/>
  <c r="M1" i="35"/>
  <c r="L1" i="35"/>
  <c r="K1" i="35"/>
  <c r="J1" i="35"/>
  <c r="I1" i="35"/>
  <c r="H1" i="35"/>
  <c r="G1" i="35"/>
  <c r="F1" i="35"/>
  <c r="E1" i="35"/>
  <c r="D1" i="35"/>
  <c r="C1" i="35"/>
  <c r="AP1" i="35"/>
  <c r="AO1" i="35"/>
  <c r="AN1" i="35"/>
  <c r="AM1" i="35"/>
  <c r="AL1" i="35"/>
  <c r="AK1" i="35"/>
  <c r="AJ1" i="35"/>
  <c r="AI1" i="35"/>
  <c r="AH1" i="35"/>
  <c r="AG1" i="35"/>
  <c r="AF1" i="35"/>
  <c r="AE1" i="35"/>
  <c r="AB1" i="35"/>
  <c r="AA1" i="35"/>
  <c r="Z1" i="35"/>
  <c r="Y1" i="35"/>
  <c r="X1" i="35"/>
  <c r="W1" i="35"/>
  <c r="V1" i="35"/>
  <c r="U1" i="35"/>
  <c r="T1" i="35"/>
  <c r="S1" i="35"/>
  <c r="R1" i="35"/>
  <c r="Q1" i="35"/>
  <c r="B97" i="73"/>
  <c r="B96" i="73"/>
  <c r="B95" i="73"/>
  <c r="B94" i="73"/>
  <c r="B93" i="73"/>
  <c r="B92" i="73"/>
  <c r="B91" i="73"/>
  <c r="B90" i="73"/>
  <c r="B89" i="73"/>
  <c r="B88" i="73"/>
  <c r="B87" i="73"/>
  <c r="B86" i="73"/>
  <c r="B85" i="73"/>
  <c r="B84" i="73"/>
  <c r="B83" i="73"/>
  <c r="B82" i="73"/>
  <c r="B81" i="73"/>
  <c r="B80" i="73"/>
  <c r="B79" i="73"/>
  <c r="B78" i="73"/>
  <c r="B77" i="73"/>
  <c r="B76" i="73"/>
  <c r="B75" i="73"/>
  <c r="B74" i="73"/>
  <c r="B73" i="73"/>
  <c r="B72" i="73"/>
  <c r="B71" i="73"/>
  <c r="B70" i="73"/>
  <c r="B69" i="73"/>
  <c r="B68" i="73"/>
  <c r="B67" i="73"/>
  <c r="B66" i="73"/>
  <c r="B65" i="73"/>
  <c r="B64" i="73"/>
  <c r="B63" i="73"/>
  <c r="B62" i="73"/>
  <c r="B61" i="73"/>
  <c r="B60" i="73"/>
  <c r="B59" i="73"/>
  <c r="B58" i="73"/>
  <c r="B57" i="73"/>
  <c r="B56" i="73"/>
  <c r="B55" i="73"/>
  <c r="B54" i="73"/>
  <c r="B53" i="73"/>
  <c r="B52" i="73"/>
  <c r="B51" i="73"/>
  <c r="B50" i="73"/>
  <c r="B49" i="73"/>
  <c r="B48" i="73"/>
  <c r="B47" i="73"/>
  <c r="B46" i="73"/>
  <c r="B45" i="73"/>
  <c r="B44" i="73"/>
  <c r="B43" i="73"/>
  <c r="B42" i="73"/>
  <c r="B41" i="73"/>
  <c r="B40" i="73"/>
  <c r="B39" i="73"/>
  <c r="B38" i="73"/>
  <c r="B37" i="73"/>
  <c r="B36" i="73"/>
  <c r="B35" i="73"/>
  <c r="B34" i="73"/>
  <c r="AW101" i="78" l="1"/>
  <c r="U101" i="78"/>
  <c r="AV101" i="78"/>
  <c r="T101" i="78"/>
  <c r="AU101" i="78"/>
  <c r="S101" i="78"/>
  <c r="AT101" i="78"/>
  <c r="R101" i="78"/>
  <c r="AS101" i="78"/>
  <c r="Q101" i="78"/>
  <c r="AR101" i="78"/>
  <c r="P101" i="78"/>
  <c r="AB55" i="78"/>
  <c r="AB77" i="78"/>
  <c r="AB83" i="78" s="1"/>
  <c r="AA55" i="78"/>
  <c r="AA77" i="78"/>
  <c r="AA83" i="78" s="1"/>
  <c r="Z55" i="78"/>
  <c r="Z77" i="78"/>
  <c r="Z83" i="78" s="1"/>
  <c r="Y55" i="78"/>
  <c r="Y77" i="78"/>
  <c r="Y83" i="78" s="1"/>
  <c r="X55" i="78"/>
  <c r="X77" i="78"/>
  <c r="X83" i="78" s="1"/>
  <c r="W55" i="78"/>
  <c r="W77" i="78"/>
  <c r="W83" i="78" s="1"/>
  <c r="AB54" i="78"/>
  <c r="AB76" i="78"/>
  <c r="AB82" i="78" s="1"/>
  <c r="AA54" i="78"/>
  <c r="AA76" i="78"/>
  <c r="AA82" i="78" s="1"/>
  <c r="Z54" i="78"/>
  <c r="Z76" i="78"/>
  <c r="Z82" i="78" s="1"/>
  <c r="Y54" i="78"/>
  <c r="Y76" i="78"/>
  <c r="Y82" i="78" s="1"/>
  <c r="X54" i="78"/>
  <c r="X76" i="78"/>
  <c r="X82" i="78" s="1"/>
  <c r="W54" i="78"/>
  <c r="W76" i="78"/>
  <c r="W82" i="78" s="1"/>
  <c r="AB53" i="78"/>
  <c r="AB75" i="78"/>
  <c r="AB81" i="78" s="1"/>
  <c r="AA53" i="78"/>
  <c r="AA75" i="78"/>
  <c r="AA81" i="78" s="1"/>
  <c r="Z53" i="78"/>
  <c r="Z75" i="78"/>
  <c r="Z81" i="78" s="1"/>
  <c r="Y53" i="78"/>
  <c r="Y75" i="78"/>
  <c r="Y81" i="78" s="1"/>
  <c r="X53" i="78"/>
  <c r="X75" i="78"/>
  <c r="X81" i="78" s="1"/>
  <c r="W53" i="78"/>
  <c r="W75" i="78"/>
  <c r="W81" i="78" s="1"/>
  <c r="AB52" i="78"/>
  <c r="AB74" i="78"/>
  <c r="AB80" i="78" s="1"/>
  <c r="AA52" i="78"/>
  <c r="AA74" i="78"/>
  <c r="AA80" i="78" s="1"/>
  <c r="Z52" i="78"/>
  <c r="Z74" i="78"/>
  <c r="Z80" i="78" s="1"/>
  <c r="Y52" i="78"/>
  <c r="Y74" i="78"/>
  <c r="Y80" i="78" s="1"/>
  <c r="X52" i="78"/>
  <c r="X74" i="78"/>
  <c r="X80" i="78" s="1"/>
  <c r="W52" i="78"/>
  <c r="W74" i="78"/>
  <c r="W80" i="78" s="1"/>
  <c r="AB51" i="78"/>
  <c r="AB73" i="78"/>
  <c r="AB79" i="78" s="1"/>
  <c r="AA51" i="78"/>
  <c r="AA73" i="78"/>
  <c r="AA79" i="78" s="1"/>
  <c r="Z51" i="78"/>
  <c r="Z73" i="78"/>
  <c r="Z79" i="78" s="1"/>
  <c r="Y51" i="78"/>
  <c r="Y73" i="78"/>
  <c r="Y79" i="78" s="1"/>
  <c r="X51" i="78"/>
  <c r="X73" i="78"/>
  <c r="X79" i="78" s="1"/>
  <c r="W51" i="78"/>
  <c r="W73" i="78"/>
  <c r="W79" i="78" s="1"/>
  <c r="N55" i="78"/>
  <c r="N77" i="78"/>
  <c r="N83" i="78" s="1"/>
  <c r="L55" i="78"/>
  <c r="L77" i="78"/>
  <c r="L83" i="78" s="1"/>
  <c r="K55" i="78"/>
  <c r="K77" i="78"/>
  <c r="K83" i="78" s="1"/>
  <c r="J55" i="78"/>
  <c r="J77" i="78"/>
  <c r="J83" i="78" s="1"/>
  <c r="I55" i="78"/>
  <c r="I77" i="78"/>
  <c r="I83" i="78" s="1"/>
  <c r="N54" i="78"/>
  <c r="N76" i="78"/>
  <c r="N82" i="78" s="1"/>
  <c r="M54" i="78"/>
  <c r="M76" i="78"/>
  <c r="M82" i="78" s="1"/>
  <c r="L54" i="78"/>
  <c r="L76" i="78"/>
  <c r="L82" i="78" s="1"/>
  <c r="K54" i="78"/>
  <c r="K76" i="78"/>
  <c r="K82" i="78" s="1"/>
  <c r="J54" i="78"/>
  <c r="J76" i="78"/>
  <c r="J82" i="78" s="1"/>
  <c r="I54" i="78"/>
  <c r="I76" i="78"/>
  <c r="I82" i="78" s="1"/>
  <c r="N53" i="78"/>
  <c r="N75" i="78"/>
  <c r="N81" i="78" s="1"/>
  <c r="M53" i="78"/>
  <c r="M75" i="78"/>
  <c r="M81" i="78" s="1"/>
  <c r="L53" i="78"/>
  <c r="L75" i="78"/>
  <c r="L81" i="78" s="1"/>
  <c r="K53" i="78"/>
  <c r="K75" i="78"/>
  <c r="K81" i="78" s="1"/>
  <c r="J53" i="78"/>
  <c r="J75" i="78"/>
  <c r="J81" i="78" s="1"/>
  <c r="I53" i="78"/>
  <c r="I75" i="78"/>
  <c r="I81" i="78" s="1"/>
  <c r="N52" i="78"/>
  <c r="N74" i="78"/>
  <c r="N80" i="78" s="1"/>
  <c r="M52" i="78"/>
  <c r="M74" i="78"/>
  <c r="M80" i="78" s="1"/>
  <c r="L52" i="78"/>
  <c r="L74" i="78"/>
  <c r="L80" i="78" s="1"/>
  <c r="K52" i="78"/>
  <c r="K74" i="78"/>
  <c r="K80" i="78" s="1"/>
  <c r="J52" i="78"/>
  <c r="J74" i="78"/>
  <c r="J80" i="78" s="1"/>
  <c r="I52" i="78"/>
  <c r="I74" i="78"/>
  <c r="I80" i="78" s="1"/>
  <c r="N51" i="78"/>
  <c r="N73" i="78"/>
  <c r="N79" i="78" s="1"/>
  <c r="M51" i="78"/>
  <c r="M73" i="78"/>
  <c r="M79" i="78" s="1"/>
  <c r="L51" i="78"/>
  <c r="L73" i="78"/>
  <c r="L79" i="78" s="1"/>
  <c r="K51" i="78"/>
  <c r="K73" i="78"/>
  <c r="K79" i="78" s="1"/>
  <c r="J51" i="78"/>
  <c r="J73" i="78"/>
  <c r="J79" i="78" s="1"/>
  <c r="I73" i="78"/>
  <c r="I79" i="78" s="1"/>
  <c r="I51" i="78"/>
  <c r="B77" i="78"/>
  <c r="B83" i="78" s="1"/>
  <c r="B55" i="78"/>
  <c r="F74" i="78"/>
  <c r="F80" i="78" s="1"/>
  <c r="F52" i="78"/>
  <c r="B74" i="78"/>
  <c r="B80" i="78" s="1"/>
  <c r="B52" i="78"/>
  <c r="C74" i="78"/>
  <c r="C80" i="78" s="1"/>
  <c r="C52" i="78"/>
  <c r="D74" i="78"/>
  <c r="D80" i="78" s="1"/>
  <c r="D52" i="78"/>
  <c r="E74" i="78"/>
  <c r="E80" i="78" s="1"/>
  <c r="E52" i="78"/>
  <c r="G74" i="78"/>
  <c r="G80" i="78" s="1"/>
  <c r="G52" i="78"/>
  <c r="B75" i="78"/>
  <c r="B81" i="78" s="1"/>
  <c r="B53" i="78"/>
  <c r="C75" i="78"/>
  <c r="C81" i="78" s="1"/>
  <c r="C53" i="78"/>
  <c r="D75" i="78"/>
  <c r="D81" i="78" s="1"/>
  <c r="D53" i="78"/>
  <c r="E75" i="78"/>
  <c r="E81" i="78" s="1"/>
  <c r="E53" i="78"/>
  <c r="F75" i="78"/>
  <c r="F81" i="78" s="1"/>
  <c r="F53" i="78"/>
  <c r="G75" i="78"/>
  <c r="G81" i="78" s="1"/>
  <c r="G53" i="78"/>
  <c r="B76" i="78"/>
  <c r="B82" i="78" s="1"/>
  <c r="B54" i="78"/>
  <c r="C76" i="78"/>
  <c r="C82" i="78" s="1"/>
  <c r="C54" i="78"/>
  <c r="D76" i="78"/>
  <c r="D82" i="78" s="1"/>
  <c r="D54" i="78"/>
  <c r="E76" i="78"/>
  <c r="E82" i="78" s="1"/>
  <c r="E54" i="78"/>
  <c r="F76" i="78"/>
  <c r="F82" i="78" s="1"/>
  <c r="F54" i="78"/>
  <c r="G76" i="78"/>
  <c r="G82" i="78" s="1"/>
  <c r="G54" i="78"/>
  <c r="C73" i="78"/>
  <c r="C79" i="78" s="1"/>
  <c r="C51" i="78"/>
  <c r="D73" i="78"/>
  <c r="D79" i="78" s="1"/>
  <c r="D51" i="78"/>
  <c r="E73" i="78"/>
  <c r="E79" i="78" s="1"/>
  <c r="E51" i="78"/>
  <c r="F73" i="78"/>
  <c r="F79" i="78" s="1"/>
  <c r="F51" i="78"/>
  <c r="G73" i="78"/>
  <c r="G79" i="78" s="1"/>
  <c r="G51" i="78"/>
  <c r="B73" i="78"/>
  <c r="B79" i="78" s="1"/>
  <c r="B51" i="78"/>
  <c r="M32" i="78"/>
  <c r="M49" i="78"/>
  <c r="AH101" i="78"/>
  <c r="L72" i="32"/>
  <c r="L22" i="32"/>
  <c r="L27" i="32"/>
  <c r="K72" i="32"/>
  <c r="J72" i="32"/>
  <c r="I72" i="32"/>
  <c r="I22" i="32"/>
  <c r="I27" i="32"/>
  <c r="H72" i="32"/>
  <c r="H22" i="32"/>
  <c r="H27" i="32"/>
  <c r="G72" i="32"/>
  <c r="F72" i="32"/>
  <c r="F22" i="32"/>
  <c r="F27" i="32"/>
  <c r="E72" i="32"/>
  <c r="E22" i="32"/>
  <c r="E27" i="32"/>
  <c r="D72" i="32"/>
  <c r="K25" i="32"/>
  <c r="J25" i="32"/>
  <c r="G25" i="32"/>
  <c r="D25" i="32"/>
  <c r="L48" i="32"/>
  <c r="L32" i="32"/>
  <c r="K48" i="32"/>
  <c r="K32" i="32"/>
  <c r="J48" i="32"/>
  <c r="J32" i="32"/>
  <c r="I48" i="32"/>
  <c r="I32" i="32"/>
  <c r="H48" i="32"/>
  <c r="H32" i="32"/>
  <c r="G48" i="32"/>
  <c r="G32" i="32"/>
  <c r="F48" i="32"/>
  <c r="F32" i="32"/>
  <c r="E48" i="32"/>
  <c r="E32" i="32"/>
  <c r="D48" i="32"/>
  <c r="D32" i="32"/>
  <c r="L47" i="32"/>
  <c r="L31" i="32"/>
  <c r="I47" i="32"/>
  <c r="I31" i="32"/>
  <c r="H47" i="32"/>
  <c r="H31" i="32"/>
  <c r="F47" i="32"/>
  <c r="F31" i="32"/>
  <c r="E47" i="32"/>
  <c r="E31" i="32"/>
  <c r="L46" i="32"/>
  <c r="L30" i="32"/>
  <c r="K46" i="32"/>
  <c r="K30" i="32"/>
  <c r="J46" i="32"/>
  <c r="J30" i="32"/>
  <c r="I46" i="32"/>
  <c r="I30" i="32"/>
  <c r="H46" i="32"/>
  <c r="H30" i="32"/>
  <c r="G46" i="32"/>
  <c r="G30" i="32"/>
  <c r="F46" i="32"/>
  <c r="F30" i="32"/>
  <c r="E46" i="32"/>
  <c r="E30" i="32"/>
  <c r="D46" i="32"/>
  <c r="D30" i="32"/>
  <c r="L45" i="32"/>
  <c r="L29" i="32"/>
  <c r="K45" i="32"/>
  <c r="K29" i="32"/>
  <c r="J45" i="32"/>
  <c r="J29" i="32"/>
  <c r="I45" i="32"/>
  <c r="I29" i="32"/>
  <c r="H45" i="32"/>
  <c r="H29" i="32"/>
  <c r="G45" i="32"/>
  <c r="G29" i="32"/>
  <c r="F45" i="32"/>
  <c r="F29" i="32"/>
  <c r="E45" i="32"/>
  <c r="E29" i="32"/>
  <c r="D45" i="32"/>
  <c r="D29" i="32"/>
  <c r="I22" i="66"/>
  <c r="I27" i="66"/>
  <c r="H22" i="66"/>
  <c r="H27" i="66"/>
  <c r="G22" i="66"/>
  <c r="G27" i="66"/>
  <c r="F22" i="66"/>
  <c r="F27" i="66"/>
  <c r="E22" i="66"/>
  <c r="E27" i="66"/>
  <c r="D22" i="66"/>
  <c r="D27" i="66"/>
  <c r="L21" i="66"/>
  <c r="L25" i="66"/>
  <c r="K21" i="66"/>
  <c r="K25" i="66"/>
  <c r="J21" i="66"/>
  <c r="J25" i="66"/>
  <c r="L48" i="66"/>
  <c r="L32" i="66"/>
  <c r="K48" i="66"/>
  <c r="K32" i="66"/>
  <c r="J48" i="66"/>
  <c r="J32" i="66"/>
  <c r="I48" i="66"/>
  <c r="I32" i="66"/>
  <c r="H48" i="66"/>
  <c r="H32" i="66"/>
  <c r="G48" i="66"/>
  <c r="G32" i="66"/>
  <c r="F48" i="66"/>
  <c r="F32" i="66"/>
  <c r="E48" i="66"/>
  <c r="E32" i="66"/>
  <c r="D48" i="66"/>
  <c r="D32" i="66"/>
  <c r="I47" i="66"/>
  <c r="I31" i="66"/>
  <c r="H47" i="66"/>
  <c r="H31" i="66"/>
  <c r="G47" i="66"/>
  <c r="G31" i="66"/>
  <c r="F47" i="66"/>
  <c r="F31" i="66"/>
  <c r="E47" i="66"/>
  <c r="E31" i="66"/>
  <c r="D47" i="66"/>
  <c r="D31" i="66"/>
  <c r="L46" i="66"/>
  <c r="L30" i="66"/>
  <c r="K46" i="66"/>
  <c r="K30" i="66"/>
  <c r="J46" i="66"/>
  <c r="J30" i="66"/>
  <c r="I46" i="66"/>
  <c r="I30" i="66"/>
  <c r="H46" i="66"/>
  <c r="H30" i="66"/>
  <c r="G46" i="66"/>
  <c r="G30" i="66"/>
  <c r="F46" i="66"/>
  <c r="F30" i="66"/>
  <c r="E46" i="66"/>
  <c r="E30" i="66"/>
  <c r="D46" i="66"/>
  <c r="D30" i="66"/>
  <c r="L45" i="66"/>
  <c r="L29" i="66"/>
  <c r="K45" i="66"/>
  <c r="K29" i="66"/>
  <c r="J45" i="66"/>
  <c r="J29" i="66"/>
  <c r="I45" i="66"/>
  <c r="I29" i="66"/>
  <c r="H45" i="66"/>
  <c r="H29" i="66"/>
  <c r="G45" i="66"/>
  <c r="G29" i="66"/>
  <c r="F45" i="66"/>
  <c r="F29" i="66"/>
  <c r="E45" i="66"/>
  <c r="E29" i="66"/>
  <c r="D45" i="66"/>
  <c r="D29" i="66"/>
  <c r="M15" i="77"/>
  <c r="M11" i="77"/>
  <c r="Q6" i="77"/>
  <c r="N15" i="77"/>
  <c r="N11" i="77"/>
  <c r="O15" i="77"/>
  <c r="O11" i="77"/>
  <c r="S15" i="77"/>
  <c r="S11" i="77"/>
  <c r="AF6" i="77"/>
  <c r="T15" i="77"/>
  <c r="T11" i="77"/>
  <c r="U15" i="77"/>
  <c r="U11" i="77"/>
  <c r="V15" i="77"/>
  <c r="V11" i="77"/>
  <c r="W15" i="77"/>
  <c r="W11" i="77"/>
  <c r="X15" i="77"/>
  <c r="X11" i="77"/>
  <c r="Y15" i="77"/>
  <c r="Y11" i="77"/>
  <c r="Z15" i="77"/>
  <c r="Z11" i="77"/>
  <c r="AA15" i="77"/>
  <c r="AA11" i="77"/>
  <c r="AB15" i="77"/>
  <c r="AB11" i="77"/>
  <c r="AC15" i="77"/>
  <c r="AC11" i="77"/>
  <c r="AD15" i="77"/>
  <c r="AD11" i="77"/>
  <c r="AH15" i="77"/>
  <c r="AH11" i="77"/>
  <c r="AU6" i="77"/>
  <c r="AI15" i="77"/>
  <c r="AI11" i="77"/>
  <c r="AJ15" i="77"/>
  <c r="AJ11" i="77"/>
  <c r="AK15" i="77"/>
  <c r="AK11" i="77"/>
  <c r="AL15" i="77"/>
  <c r="AL11" i="77"/>
  <c r="AM15" i="77"/>
  <c r="AM11" i="77"/>
  <c r="AN15" i="77"/>
  <c r="AN11" i="77"/>
  <c r="AO15" i="77"/>
  <c r="AO11" i="77"/>
  <c r="AP15" i="77"/>
  <c r="AP11" i="77"/>
  <c r="AQ15" i="77"/>
  <c r="AQ11" i="77"/>
  <c r="AR15" i="77"/>
  <c r="AR11" i="77"/>
  <c r="AS15" i="77"/>
  <c r="AS11" i="77"/>
  <c r="M16" i="77"/>
  <c r="Q7" i="77"/>
  <c r="N16" i="77"/>
  <c r="N23" i="77" s="1"/>
  <c r="O16" i="77"/>
  <c r="O23" i="77" s="1"/>
  <c r="S16" i="77"/>
  <c r="AF7" i="77"/>
  <c r="T16" i="77"/>
  <c r="T23" i="77" s="1"/>
  <c r="U16" i="77"/>
  <c r="U23" i="77" s="1"/>
  <c r="V16" i="77"/>
  <c r="V23" i="77" s="1"/>
  <c r="W16" i="77"/>
  <c r="W23" i="77" s="1"/>
  <c r="X16" i="77"/>
  <c r="X23" i="77" s="1"/>
  <c r="Y16" i="77"/>
  <c r="Y23" i="77" s="1"/>
  <c r="Z16" i="77"/>
  <c r="Z23" i="77" s="1"/>
  <c r="AA16" i="77"/>
  <c r="AA23" i="77" s="1"/>
  <c r="AB16" i="77"/>
  <c r="AB23" i="77" s="1"/>
  <c r="AC16" i="77"/>
  <c r="AC23" i="77" s="1"/>
  <c r="AD16" i="77"/>
  <c r="AD23" i="77" s="1"/>
  <c r="AH16" i="77"/>
  <c r="AU7" i="77"/>
  <c r="AI16" i="77"/>
  <c r="AI23" i="77" s="1"/>
  <c r="AJ16" i="77"/>
  <c r="AJ23" i="77" s="1"/>
  <c r="AK16" i="77"/>
  <c r="AK23" i="77" s="1"/>
  <c r="AL16" i="77"/>
  <c r="AL23" i="77" s="1"/>
  <c r="AM16" i="77"/>
  <c r="AM23" i="77" s="1"/>
  <c r="AN16" i="77"/>
  <c r="AN23" i="77" s="1"/>
  <c r="AO16" i="77"/>
  <c r="AO23" i="77" s="1"/>
  <c r="AP16" i="77"/>
  <c r="AP23" i="77" s="1"/>
  <c r="AQ16" i="77"/>
  <c r="AQ23" i="77" s="1"/>
  <c r="AR16" i="77"/>
  <c r="AR23" i="77" s="1"/>
  <c r="AS16" i="77"/>
  <c r="AS23" i="77" s="1"/>
  <c r="M17" i="77"/>
  <c r="Q8" i="77"/>
  <c r="N17" i="77"/>
  <c r="N24" i="77" s="1"/>
  <c r="O17" i="77"/>
  <c r="O24" i="77" s="1"/>
  <c r="S17" i="77"/>
  <c r="AF8" i="77"/>
  <c r="T17" i="77"/>
  <c r="T24" i="77" s="1"/>
  <c r="U17" i="77"/>
  <c r="U24" i="77" s="1"/>
  <c r="V17" i="77"/>
  <c r="V24" i="77" s="1"/>
  <c r="W17" i="77"/>
  <c r="W24" i="77" s="1"/>
  <c r="X17" i="77"/>
  <c r="X24" i="77" s="1"/>
  <c r="Y17" i="77"/>
  <c r="Y24" i="77" s="1"/>
  <c r="Z17" i="77"/>
  <c r="Z24" i="77" s="1"/>
  <c r="AA17" i="77"/>
  <c r="AA24" i="77" s="1"/>
  <c r="AB17" i="77"/>
  <c r="AB24" i="77" s="1"/>
  <c r="AC17" i="77"/>
  <c r="AC24" i="77" s="1"/>
  <c r="AD17" i="77"/>
  <c r="AD24" i="77" s="1"/>
  <c r="AH17" i="77"/>
  <c r="AU8" i="77"/>
  <c r="AI17" i="77"/>
  <c r="AI24" i="77" s="1"/>
  <c r="AJ17" i="77"/>
  <c r="AJ24" i="77" s="1"/>
  <c r="AK17" i="77"/>
  <c r="AK24" i="77" s="1"/>
  <c r="AL17" i="77"/>
  <c r="AL24" i="77" s="1"/>
  <c r="AM17" i="77"/>
  <c r="AM24" i="77" s="1"/>
  <c r="AN17" i="77"/>
  <c r="AN24" i="77" s="1"/>
  <c r="AO17" i="77"/>
  <c r="AO24" i="77" s="1"/>
  <c r="AP17" i="77"/>
  <c r="AP24" i="77" s="1"/>
  <c r="AQ17" i="77"/>
  <c r="AQ24" i="77" s="1"/>
  <c r="AR17" i="77"/>
  <c r="AR24" i="77" s="1"/>
  <c r="AS17" i="77"/>
  <c r="AS24" i="77" s="1"/>
  <c r="D26" i="77"/>
  <c r="Q11" i="77"/>
  <c r="E48" i="77"/>
  <c r="E32" i="77"/>
  <c r="F48" i="77"/>
  <c r="F32" i="77"/>
  <c r="G48" i="77"/>
  <c r="G32" i="77"/>
  <c r="H48" i="77"/>
  <c r="H32" i="77"/>
  <c r="I48" i="77"/>
  <c r="I32" i="77"/>
  <c r="J48" i="77"/>
  <c r="J32" i="77"/>
  <c r="K48" i="77"/>
  <c r="K32" i="77"/>
  <c r="L25" i="77"/>
  <c r="L20" i="77"/>
  <c r="Q18" i="77"/>
  <c r="Q25" i="77" s="1"/>
  <c r="M31" i="77"/>
  <c r="N31" i="77"/>
  <c r="O31" i="77"/>
  <c r="S25" i="77"/>
  <c r="AF18" i="77"/>
  <c r="AF25" i="77" s="1"/>
  <c r="T31" i="77"/>
  <c r="U31" i="77"/>
  <c r="V31" i="77"/>
  <c r="W31" i="77"/>
  <c r="X31" i="77"/>
  <c r="Y31" i="77"/>
  <c r="Z31" i="77"/>
  <c r="AA31" i="77"/>
  <c r="AB31" i="77"/>
  <c r="AC31" i="77"/>
  <c r="AD31" i="77"/>
  <c r="AH25" i="77"/>
  <c r="AU18" i="77"/>
  <c r="AU25" i="77" s="1"/>
  <c r="AI31" i="77"/>
  <c r="AJ31" i="77"/>
  <c r="AK31" i="77"/>
  <c r="AL31" i="77"/>
  <c r="AM31" i="77"/>
  <c r="AN31" i="77"/>
  <c r="AO31" i="77"/>
  <c r="AP31" i="77"/>
  <c r="AQ31" i="77"/>
  <c r="AR31" i="77"/>
  <c r="AS31" i="77"/>
  <c r="D21" i="77"/>
  <c r="E21" i="77"/>
  <c r="F21" i="77"/>
  <c r="G21" i="77"/>
  <c r="H21" i="77"/>
  <c r="I21" i="77"/>
  <c r="J21" i="77"/>
  <c r="K21" i="77"/>
  <c r="D44" i="77"/>
  <c r="D28" i="77"/>
  <c r="E44" i="77"/>
  <c r="E28" i="77"/>
  <c r="F44" i="77"/>
  <c r="F28" i="77"/>
  <c r="G44" i="77"/>
  <c r="G28" i="77"/>
  <c r="H44" i="77"/>
  <c r="H28" i="77"/>
  <c r="I44" i="77"/>
  <c r="I28" i="77"/>
  <c r="J44" i="77"/>
  <c r="J28" i="77"/>
  <c r="K44" i="77"/>
  <c r="K28" i="77"/>
  <c r="L44" i="77"/>
  <c r="L28" i="77"/>
  <c r="D45" i="77"/>
  <c r="D29" i="77"/>
  <c r="E45" i="77"/>
  <c r="E29" i="77"/>
  <c r="F45" i="77"/>
  <c r="F29" i="77"/>
  <c r="G45" i="77"/>
  <c r="G29" i="77"/>
  <c r="H45" i="77"/>
  <c r="H29" i="77"/>
  <c r="I45" i="77"/>
  <c r="I29" i="77"/>
  <c r="J45" i="77"/>
  <c r="J29" i="77"/>
  <c r="K45" i="77"/>
  <c r="K29" i="77"/>
  <c r="L45" i="77"/>
  <c r="L29" i="77"/>
  <c r="D46" i="77"/>
  <c r="D30" i="77"/>
  <c r="E46" i="77"/>
  <c r="E30" i="77"/>
  <c r="F46" i="77"/>
  <c r="F30" i="77"/>
  <c r="G46" i="77"/>
  <c r="G30" i="77"/>
  <c r="H46" i="77"/>
  <c r="H30" i="77"/>
  <c r="I46" i="77"/>
  <c r="I30" i="77"/>
  <c r="J46" i="77"/>
  <c r="J30" i="77"/>
  <c r="K46" i="77"/>
  <c r="K30" i="77"/>
  <c r="L46" i="77"/>
  <c r="L30" i="77"/>
  <c r="D47" i="77"/>
  <c r="D31" i="77"/>
  <c r="E47" i="77"/>
  <c r="E31" i="77"/>
  <c r="F47" i="77"/>
  <c r="F31" i="77"/>
  <c r="G47" i="77"/>
  <c r="G31" i="77"/>
  <c r="H47" i="77"/>
  <c r="H31" i="77"/>
  <c r="I47" i="77"/>
  <c r="I31" i="77"/>
  <c r="J47" i="77"/>
  <c r="J31" i="77"/>
  <c r="K47" i="77"/>
  <c r="K31" i="77"/>
  <c r="AS37" i="77"/>
  <c r="AR37" i="77"/>
  <c r="AQ37" i="77"/>
  <c r="AP37" i="77"/>
  <c r="AO37" i="77"/>
  <c r="AN37" i="77"/>
  <c r="AM37" i="77"/>
  <c r="AL37" i="77"/>
  <c r="AK37" i="77"/>
  <c r="AJ37" i="77"/>
  <c r="AI37" i="77"/>
  <c r="AH37" i="77"/>
  <c r="AD37" i="77"/>
  <c r="AC37" i="77"/>
  <c r="AB37" i="77"/>
  <c r="AA37" i="77"/>
  <c r="Z37" i="77"/>
  <c r="Y37" i="77"/>
  <c r="X37" i="77"/>
  <c r="W37" i="77"/>
  <c r="V37" i="77"/>
  <c r="U37" i="77"/>
  <c r="T37" i="77"/>
  <c r="S37" i="77"/>
  <c r="O37" i="77"/>
  <c r="N37" i="77"/>
  <c r="M37" i="77"/>
  <c r="D42" i="77"/>
  <c r="Q37" i="77"/>
  <c r="AS38" i="77"/>
  <c r="AR38" i="77"/>
  <c r="AQ38" i="77"/>
  <c r="AP38" i="77"/>
  <c r="AO38" i="77"/>
  <c r="AN38" i="77"/>
  <c r="AM38" i="77"/>
  <c r="AL38" i="77"/>
  <c r="AK38" i="77"/>
  <c r="AJ38" i="77"/>
  <c r="AI38" i="77"/>
  <c r="AH38" i="77"/>
  <c r="AU38" i="77" s="1"/>
  <c r="AD38" i="77"/>
  <c r="AC38" i="77"/>
  <c r="AB38" i="77"/>
  <c r="AA38" i="77"/>
  <c r="Z38" i="77"/>
  <c r="Y38" i="77"/>
  <c r="X38" i="77"/>
  <c r="W38" i="77"/>
  <c r="V38" i="77"/>
  <c r="U38" i="77"/>
  <c r="T38" i="77"/>
  <c r="S38" i="77"/>
  <c r="AF38" i="77" s="1"/>
  <c r="O38" i="77"/>
  <c r="N38" i="77"/>
  <c r="M38" i="77"/>
  <c r="Q38" i="77" s="1"/>
  <c r="AS39" i="77"/>
  <c r="AR39" i="77"/>
  <c r="AQ39" i="77"/>
  <c r="AP39" i="77"/>
  <c r="AO39" i="77"/>
  <c r="AN39" i="77"/>
  <c r="AM39" i="77"/>
  <c r="AL39" i="77"/>
  <c r="AK39" i="77"/>
  <c r="AJ39" i="77"/>
  <c r="AI39" i="77"/>
  <c r="AH39" i="77"/>
  <c r="AU39" i="77" s="1"/>
  <c r="AD39" i="77"/>
  <c r="AC39" i="77"/>
  <c r="AB39" i="77"/>
  <c r="AA39" i="77"/>
  <c r="Z39" i="77"/>
  <c r="Y39" i="77"/>
  <c r="X39" i="77"/>
  <c r="W39" i="77"/>
  <c r="V39" i="77"/>
  <c r="U39" i="77"/>
  <c r="T39" i="77"/>
  <c r="S39" i="77"/>
  <c r="AF39" i="77" s="1"/>
  <c r="O39" i="77"/>
  <c r="N39" i="77"/>
  <c r="M39" i="77"/>
  <c r="Q39" i="77" s="1"/>
  <c r="AS40" i="77"/>
  <c r="AS47" i="77" s="1"/>
  <c r="AR40" i="77"/>
  <c r="AR47" i="77" s="1"/>
  <c r="AQ40" i="77"/>
  <c r="AQ47" i="77" s="1"/>
  <c r="AP40" i="77"/>
  <c r="AP47" i="77" s="1"/>
  <c r="AO40" i="77"/>
  <c r="AO47" i="77" s="1"/>
  <c r="AN40" i="77"/>
  <c r="AN47" i="77" s="1"/>
  <c r="AM40" i="77"/>
  <c r="AM47" i="77" s="1"/>
  <c r="AL40" i="77"/>
  <c r="AL47" i="77" s="1"/>
  <c r="AK40" i="77"/>
  <c r="AK47" i="77" s="1"/>
  <c r="AJ40" i="77"/>
  <c r="AJ47" i="77" s="1"/>
  <c r="AI40" i="77"/>
  <c r="AI47" i="77" s="1"/>
  <c r="AH40" i="77"/>
  <c r="AU40" i="77" s="1"/>
  <c r="AD40" i="77"/>
  <c r="AD47" i="77" s="1"/>
  <c r="AC40" i="77"/>
  <c r="AC47" i="77" s="1"/>
  <c r="AB40" i="77"/>
  <c r="AB47" i="77" s="1"/>
  <c r="AA40" i="77"/>
  <c r="AA47" i="77" s="1"/>
  <c r="Z40" i="77"/>
  <c r="Z47" i="77" s="1"/>
  <c r="Y40" i="77"/>
  <c r="Y47" i="77" s="1"/>
  <c r="X40" i="77"/>
  <c r="X47" i="77" s="1"/>
  <c r="W40" i="77"/>
  <c r="W47" i="77" s="1"/>
  <c r="V40" i="77"/>
  <c r="V47" i="77" s="1"/>
  <c r="U40" i="77"/>
  <c r="U47" i="77" s="1"/>
  <c r="T40" i="77"/>
  <c r="T47" i="77" s="1"/>
  <c r="S40" i="77"/>
  <c r="AF40" i="77" s="1"/>
  <c r="O40" i="77"/>
  <c r="O47" i="77" s="1"/>
  <c r="N40" i="77"/>
  <c r="N47" i="77" s="1"/>
  <c r="M40" i="77"/>
  <c r="M47" i="77" s="1"/>
  <c r="S69" i="77"/>
  <c r="AF69" i="77" s="1"/>
  <c r="AF58" i="77"/>
  <c r="AH69" i="77"/>
  <c r="AU69" i="77" s="1"/>
  <c r="AU58" i="77"/>
  <c r="M69" i="77"/>
  <c r="Q66" i="77"/>
  <c r="Q69" i="77"/>
  <c r="M95" i="77"/>
  <c r="Q85" i="77"/>
  <c r="S95" i="77"/>
  <c r="AF95" i="77" s="1"/>
  <c r="AF85" i="77"/>
  <c r="AH95" i="77"/>
  <c r="AU95" i="77" s="1"/>
  <c r="AU85" i="77"/>
  <c r="L95" i="77"/>
  <c r="Q86" i="77"/>
  <c r="Q95" i="77"/>
  <c r="Q96" i="77" s="1"/>
  <c r="AT15" i="30"/>
  <c r="AT181" i="30" s="1"/>
  <c r="AT59" i="30"/>
  <c r="AT83" i="30"/>
  <c r="AT71" i="30"/>
  <c r="AT186" i="30" s="1"/>
  <c r="AT61" i="30"/>
  <c r="AT60" i="30"/>
  <c r="AT50" i="30"/>
  <c r="AT40" i="30"/>
  <c r="AT39" i="30"/>
  <c r="AT29" i="30"/>
  <c r="AT19" i="30"/>
  <c r="AT13" i="30"/>
  <c r="AT180" i="30" s="1"/>
  <c r="AT9" i="30"/>
  <c r="AT8" i="30"/>
  <c r="AT179" i="30" s="1"/>
  <c r="AT7" i="30"/>
  <c r="W147" i="56"/>
  <c r="X147" i="56"/>
  <c r="Y147" i="56"/>
  <c r="Z147" i="56"/>
  <c r="AA147" i="56"/>
  <c r="AB147" i="56"/>
  <c r="AC147" i="56"/>
  <c r="AD147" i="56"/>
  <c r="AE147" i="56"/>
  <c r="AF147" i="56"/>
  <c r="AG147" i="56"/>
  <c r="V147" i="56"/>
  <c r="AH146" i="56"/>
  <c r="AH147" i="56"/>
  <c r="W146" i="56"/>
  <c r="X146" i="56"/>
  <c r="Y146" i="56"/>
  <c r="Z146" i="56"/>
  <c r="AA146" i="56"/>
  <c r="AB146" i="56"/>
  <c r="AC146" i="56"/>
  <c r="AD146" i="56"/>
  <c r="AE146" i="56"/>
  <c r="AF146" i="56"/>
  <c r="AG146" i="56"/>
  <c r="V146" i="56"/>
  <c r="AF28" i="35"/>
  <c r="W145" i="56"/>
  <c r="X145" i="56"/>
  <c r="Y145" i="56"/>
  <c r="Z145" i="56"/>
  <c r="AA145" i="56"/>
  <c r="AB145" i="56"/>
  <c r="AC145" i="56"/>
  <c r="AD145" i="56"/>
  <c r="AE145" i="56"/>
  <c r="AF145" i="56"/>
  <c r="AG145" i="56"/>
  <c r="V145" i="56"/>
  <c r="AH145" i="56" s="1"/>
  <c r="AH144" i="56"/>
  <c r="W144" i="56"/>
  <c r="X144" i="56"/>
  <c r="Y144" i="56"/>
  <c r="Z144" i="56"/>
  <c r="AA144" i="56"/>
  <c r="AB144" i="56"/>
  <c r="AC144" i="56"/>
  <c r="AD144" i="56"/>
  <c r="AE144" i="56"/>
  <c r="AF144" i="56"/>
  <c r="AG144" i="56"/>
  <c r="V144" i="56"/>
  <c r="V143" i="56"/>
  <c r="AH143" i="56"/>
  <c r="AE27" i="35"/>
  <c r="AF27" i="35" s="1"/>
  <c r="AG27" i="35" s="1"/>
  <c r="AH27" i="35" s="1"/>
  <c r="AC47" i="35"/>
  <c r="AQ47" i="35"/>
  <c r="AE49" i="35"/>
  <c r="AH28" i="35"/>
  <c r="AI28" i="35"/>
  <c r="AJ28" i="35"/>
  <c r="AK28" i="35"/>
  <c r="AL28" i="35"/>
  <c r="AM28" i="35"/>
  <c r="AN28" i="35"/>
  <c r="AO28" i="35"/>
  <c r="AP28" i="35"/>
  <c r="AG28" i="35"/>
  <c r="AK63" i="30"/>
  <c r="AL63" i="30"/>
  <c r="AM63" i="30"/>
  <c r="AN63" i="30"/>
  <c r="AO63" i="30"/>
  <c r="AP63" i="30"/>
  <c r="AQ63" i="30"/>
  <c r="AR63" i="30"/>
  <c r="AS63" i="30"/>
  <c r="AT63" i="30"/>
  <c r="AU63" i="30"/>
  <c r="AV63" i="30"/>
  <c r="AP36" i="35"/>
  <c r="AF36" i="35"/>
  <c r="AG36" i="35"/>
  <c r="AH36" i="35"/>
  <c r="AI36" i="35"/>
  <c r="AJ36" i="35"/>
  <c r="AK36" i="35"/>
  <c r="AL36" i="35"/>
  <c r="AM36" i="35"/>
  <c r="AN36" i="35"/>
  <c r="AO36" i="35"/>
  <c r="AE36" i="35"/>
  <c r="AF37" i="35"/>
  <c r="AG37" i="35"/>
  <c r="AH37" i="35"/>
  <c r="AI37" i="35"/>
  <c r="AJ37" i="35"/>
  <c r="AK37" i="35"/>
  <c r="AL37" i="35"/>
  <c r="AM37" i="35"/>
  <c r="AN37" i="35"/>
  <c r="AO37" i="35"/>
  <c r="AP37" i="35"/>
  <c r="AE37" i="35"/>
  <c r="AF26" i="35"/>
  <c r="AG26" i="35"/>
  <c r="AH26" i="35"/>
  <c r="AI26" i="35"/>
  <c r="AJ26" i="35"/>
  <c r="AK26" i="35"/>
  <c r="AL26" i="35"/>
  <c r="AM26" i="35"/>
  <c r="AN26" i="35"/>
  <c r="AO26" i="35"/>
  <c r="AP26" i="35"/>
  <c r="AE26" i="35"/>
  <c r="AG25" i="35"/>
  <c r="AH25" i="35"/>
  <c r="AI25" i="35"/>
  <c r="AJ25" i="35"/>
  <c r="AK25" i="35"/>
  <c r="AL25" i="35"/>
  <c r="AM25" i="35"/>
  <c r="AN25" i="35"/>
  <c r="AO25" i="35"/>
  <c r="AP25" i="35"/>
  <c r="AF25" i="35"/>
  <c r="AE25" i="35"/>
  <c r="AW101" i="30"/>
  <c r="AW102" i="30"/>
  <c r="AW103" i="30"/>
  <c r="AE46" i="35"/>
  <c r="AF46" i="35"/>
  <c r="AX15" i="30"/>
  <c r="AW105" i="30"/>
  <c r="AW107" i="30"/>
  <c r="AH102" i="30"/>
  <c r="AH103" i="30"/>
  <c r="AH104" i="30"/>
  <c r="AH105" i="30"/>
  <c r="AH106" i="30"/>
  <c r="AH107" i="30"/>
  <c r="R102" i="30"/>
  <c r="R103" i="30"/>
  <c r="R104" i="30"/>
  <c r="R105" i="30"/>
  <c r="R106" i="30"/>
  <c r="R107" i="30"/>
  <c r="R40" i="35"/>
  <c r="S40" i="35"/>
  <c r="T40" i="35"/>
  <c r="U40" i="35"/>
  <c r="V40" i="35"/>
  <c r="W40" i="35"/>
  <c r="X40" i="35"/>
  <c r="Y40" i="35"/>
  <c r="Z40" i="35"/>
  <c r="AA40" i="35"/>
  <c r="AB40" i="35"/>
  <c r="Q40" i="35"/>
  <c r="AC40" i="35" s="1"/>
  <c r="AM100" i="30"/>
  <c r="AL100" i="30" s="1"/>
  <c r="AN100" i="30"/>
  <c r="AK100" i="30" s="1"/>
  <c r="AO100" i="30"/>
  <c r="AP100" i="30"/>
  <c r="AQ100" i="30"/>
  <c r="AS100" i="30"/>
  <c r="AT100" i="30"/>
  <c r="AU100" i="30"/>
  <c r="AV100" i="30"/>
  <c r="AK99" i="30"/>
  <c r="AN106" i="30" s="1"/>
  <c r="AL99" i="30"/>
  <c r="AO106" i="30" s="1"/>
  <c r="AM99" i="30"/>
  <c r="AP106" i="30" s="1"/>
  <c r="AN99" i="30"/>
  <c r="AO99" i="30"/>
  <c r="AR106" i="30" s="1"/>
  <c r="AP99" i="30"/>
  <c r="AS106" i="30" s="1"/>
  <c r="AQ99" i="30"/>
  <c r="AT106" i="30" s="1"/>
  <c r="AR99" i="30"/>
  <c r="AU106" i="30" s="1"/>
  <c r="AS99" i="30"/>
  <c r="AV106" i="30" s="1"/>
  <c r="AT99" i="30"/>
  <c r="AU99" i="30"/>
  <c r="AV99" i="30"/>
  <c r="AK97" i="30"/>
  <c r="AL97" i="30"/>
  <c r="AM97" i="30"/>
  <c r="AM104" i="30" s="1"/>
  <c r="AN97" i="30"/>
  <c r="AN104" i="30" s="1"/>
  <c r="AO97" i="30"/>
  <c r="AO104" i="30" s="1"/>
  <c r="AP97" i="30"/>
  <c r="AP104" i="30" s="1"/>
  <c r="AQ97" i="30"/>
  <c r="AQ104" i="30" s="1"/>
  <c r="AR97" i="30"/>
  <c r="AR104" i="30" s="1"/>
  <c r="AS97" i="30"/>
  <c r="AS104" i="30" s="1"/>
  <c r="AT97" i="30"/>
  <c r="AT104" i="30" s="1"/>
  <c r="AU97" i="30"/>
  <c r="AU104" i="30" s="1"/>
  <c r="AV97" i="30"/>
  <c r="AV104" i="30" s="1"/>
  <c r="AK7" i="30"/>
  <c r="AL7" i="30"/>
  <c r="AM7" i="30"/>
  <c r="AN7" i="30"/>
  <c r="AO7" i="30"/>
  <c r="AP7" i="30"/>
  <c r="AQ7" i="30"/>
  <c r="AR7" i="30"/>
  <c r="AS7" i="30"/>
  <c r="AU7" i="30"/>
  <c r="AV7" i="30"/>
  <c r="AK8" i="30"/>
  <c r="AK179" i="30" s="1"/>
  <c r="AL8" i="30"/>
  <c r="AL179" i="30" s="1"/>
  <c r="AM8" i="30"/>
  <c r="AM179" i="30" s="1"/>
  <c r="AO8" i="30"/>
  <c r="AO179" i="30" s="1"/>
  <c r="AP8" i="30"/>
  <c r="AP179" i="30" s="1"/>
  <c r="AQ8" i="30"/>
  <c r="AQ179" i="30" s="1"/>
  <c r="AR8" i="30"/>
  <c r="AR179" i="30" s="1"/>
  <c r="AU8" i="30"/>
  <c r="AU179" i="30" s="1"/>
  <c r="AV8" i="30"/>
  <c r="AV179" i="30" s="1"/>
  <c r="AK9" i="30"/>
  <c r="AL9" i="30"/>
  <c r="AM9" i="30"/>
  <c r="AN9" i="30"/>
  <c r="AO9" i="30"/>
  <c r="AP9" i="30"/>
  <c r="AQ9" i="30"/>
  <c r="AR9" i="30"/>
  <c r="AS9" i="30"/>
  <c r="AU9" i="30"/>
  <c r="AV9" i="30"/>
  <c r="AK10" i="30"/>
  <c r="AL10" i="30"/>
  <c r="AM10" i="30"/>
  <c r="AN10" i="30"/>
  <c r="AO10" i="30"/>
  <c r="AP10" i="30"/>
  <c r="AQ10" i="30"/>
  <c r="AR10" i="30"/>
  <c r="AS10" i="30"/>
  <c r="AT10" i="30"/>
  <c r="AU10" i="30"/>
  <c r="AV10" i="30"/>
  <c r="AK12" i="30"/>
  <c r="AL12" i="30"/>
  <c r="AM12" i="30"/>
  <c r="AN12" i="30"/>
  <c r="AO12" i="30"/>
  <c r="AP12" i="30"/>
  <c r="AQ12" i="30"/>
  <c r="AR12" i="30"/>
  <c r="AS12" i="30"/>
  <c r="AT12" i="30"/>
  <c r="AU12" i="30"/>
  <c r="AV12" i="30"/>
  <c r="AK13" i="30"/>
  <c r="AK180" i="30" s="1"/>
  <c r="AL13" i="30"/>
  <c r="AL180" i="30" s="1"/>
  <c r="AM13" i="30"/>
  <c r="AM180" i="30" s="1"/>
  <c r="AO13" i="30"/>
  <c r="AO180" i="30" s="1"/>
  <c r="AP13" i="30"/>
  <c r="AP180" i="30" s="1"/>
  <c r="AR13" i="30"/>
  <c r="AR180" i="30" s="1"/>
  <c r="AU13" i="30"/>
  <c r="AU180" i="30" s="1"/>
  <c r="AV13" i="30"/>
  <c r="AV180" i="30" s="1"/>
  <c r="AK14" i="30"/>
  <c r="AL14" i="30"/>
  <c r="AM14" i="30"/>
  <c r="AN14" i="30"/>
  <c r="AO14" i="30"/>
  <c r="AP14" i="30"/>
  <c r="AQ14" i="30"/>
  <c r="AR14" i="30"/>
  <c r="AS14" i="30"/>
  <c r="AT14" i="30"/>
  <c r="AU14" i="30"/>
  <c r="AV14" i="30"/>
  <c r="AK15" i="30"/>
  <c r="AK181" i="30" s="1"/>
  <c r="AL15" i="30"/>
  <c r="AL181" i="30" s="1"/>
  <c r="AM15" i="30"/>
  <c r="AM181" i="30" s="1"/>
  <c r="AN15" i="30"/>
  <c r="AN181" i="30" s="1"/>
  <c r="AO15" i="30"/>
  <c r="AO181" i="30" s="1"/>
  <c r="AP15" i="30"/>
  <c r="AP181" i="30" s="1"/>
  <c r="AQ15" i="30"/>
  <c r="AQ181" i="30" s="1"/>
  <c r="AR15" i="30"/>
  <c r="AR181" i="30" s="1"/>
  <c r="AS15" i="30"/>
  <c r="AS181" i="30" s="1"/>
  <c r="AU15" i="30"/>
  <c r="AU181" i="30" s="1"/>
  <c r="AV15" i="30"/>
  <c r="AV181" i="30" s="1"/>
  <c r="AK16" i="30"/>
  <c r="AL16" i="30"/>
  <c r="AM16" i="30"/>
  <c r="AN16" i="30"/>
  <c r="AO16" i="30"/>
  <c r="AP16" i="30"/>
  <c r="AQ16" i="30"/>
  <c r="AR16" i="30"/>
  <c r="AS16" i="30"/>
  <c r="AT16" i="30"/>
  <c r="AU16" i="30"/>
  <c r="AV16" i="30"/>
  <c r="AK17" i="30"/>
  <c r="AK182" i="30" s="1"/>
  <c r="AM17" i="30"/>
  <c r="AM182" i="30" s="1"/>
  <c r="AO17" i="30"/>
  <c r="AO182" i="30" s="1"/>
  <c r="AQ17" i="30"/>
  <c r="AQ182" i="30" s="1"/>
  <c r="AR17" i="30"/>
  <c r="AR182" i="30" s="1"/>
  <c r="AS17" i="30"/>
  <c r="AS182" i="30" s="1"/>
  <c r="AU17" i="30"/>
  <c r="AU182" i="30" s="1"/>
  <c r="AV17" i="30"/>
  <c r="AV182" i="30" s="1"/>
  <c r="AM19" i="30"/>
  <c r="AN19" i="30"/>
  <c r="AP19" i="30"/>
  <c r="AQ19" i="30"/>
  <c r="AS19" i="30"/>
  <c r="AU19" i="30"/>
  <c r="AV19" i="30"/>
  <c r="AK20" i="30"/>
  <c r="AL20" i="30"/>
  <c r="AM20" i="30"/>
  <c r="AN20" i="30"/>
  <c r="AO20" i="30"/>
  <c r="AP20" i="30"/>
  <c r="AQ20" i="30"/>
  <c r="AR20" i="30"/>
  <c r="AS20" i="30"/>
  <c r="AT20" i="30"/>
  <c r="AU20" i="30"/>
  <c r="AV20" i="30"/>
  <c r="AK22" i="30"/>
  <c r="AL22" i="30"/>
  <c r="AM22" i="30"/>
  <c r="AN22" i="30"/>
  <c r="AO22" i="30"/>
  <c r="AP22" i="30"/>
  <c r="AQ22" i="30"/>
  <c r="AR22" i="30"/>
  <c r="AS22" i="30"/>
  <c r="AT22" i="30"/>
  <c r="AU22" i="30"/>
  <c r="AV22" i="30"/>
  <c r="AK23" i="30"/>
  <c r="AL23" i="30"/>
  <c r="AM23" i="30"/>
  <c r="AN23" i="30"/>
  <c r="AO23" i="30"/>
  <c r="AP23" i="30"/>
  <c r="AQ23" i="30"/>
  <c r="AR23" i="30"/>
  <c r="AS23" i="30"/>
  <c r="AT23" i="30"/>
  <c r="AU23" i="30"/>
  <c r="AV23" i="30"/>
  <c r="AK24" i="30"/>
  <c r="AL24" i="30"/>
  <c r="AM24" i="30"/>
  <c r="AN24" i="30"/>
  <c r="AO24" i="30"/>
  <c r="AP24" i="30"/>
  <c r="AQ24" i="30"/>
  <c r="AR24" i="30"/>
  <c r="AS24" i="30"/>
  <c r="AT24" i="30"/>
  <c r="AU24" i="30"/>
  <c r="AV24" i="30"/>
  <c r="AK25" i="30"/>
  <c r="AL25" i="30"/>
  <c r="AM25" i="30"/>
  <c r="AN25" i="30"/>
  <c r="AO25" i="30"/>
  <c r="AP25" i="30"/>
  <c r="AQ25" i="30"/>
  <c r="AR25" i="30"/>
  <c r="AS25" i="30"/>
  <c r="AT25" i="30"/>
  <c r="AU25" i="30"/>
  <c r="AV25" i="30"/>
  <c r="AK26" i="30"/>
  <c r="AL26" i="30"/>
  <c r="AM26" i="30"/>
  <c r="AN26" i="30"/>
  <c r="AO26" i="30"/>
  <c r="AP26" i="30"/>
  <c r="AQ26" i="30"/>
  <c r="AR26" i="30"/>
  <c r="AS26" i="30"/>
  <c r="AT26" i="30"/>
  <c r="AU26" i="30"/>
  <c r="AV26" i="30"/>
  <c r="AK27" i="30"/>
  <c r="AL27" i="30"/>
  <c r="AM27" i="30"/>
  <c r="AN27" i="30"/>
  <c r="AO27" i="30"/>
  <c r="AP27" i="30"/>
  <c r="AQ27" i="30"/>
  <c r="AR27" i="30"/>
  <c r="AS27" i="30"/>
  <c r="AT27" i="30"/>
  <c r="AU27" i="30"/>
  <c r="AV27" i="30"/>
  <c r="AK28" i="30"/>
  <c r="AK183" i="30" s="1"/>
  <c r="AL28" i="30"/>
  <c r="AL183" i="30" s="1"/>
  <c r="AM28" i="30"/>
  <c r="AM183" i="30" s="1"/>
  <c r="AN28" i="30"/>
  <c r="AN183" i="30" s="1"/>
  <c r="AO28" i="30"/>
  <c r="AO183" i="30" s="1"/>
  <c r="AP28" i="30"/>
  <c r="AP183" i="30" s="1"/>
  <c r="AQ28" i="30"/>
  <c r="AQ183" i="30" s="1"/>
  <c r="AR28" i="30"/>
  <c r="AR183" i="30" s="1"/>
  <c r="AS28" i="30"/>
  <c r="AS183" i="30" s="1"/>
  <c r="AT28" i="30"/>
  <c r="AT183" i="30" s="1"/>
  <c r="AU28" i="30"/>
  <c r="AU183" i="30" s="1"/>
  <c r="AV28" i="30"/>
  <c r="AV183" i="30" s="1"/>
  <c r="AK29" i="30"/>
  <c r="AL29" i="30"/>
  <c r="AM29" i="30"/>
  <c r="AN29" i="30"/>
  <c r="AO29" i="30"/>
  <c r="AP29" i="30"/>
  <c r="AQ29" i="30"/>
  <c r="AR29" i="30"/>
  <c r="AS29" i="30"/>
  <c r="AU29" i="30"/>
  <c r="AV29" i="30"/>
  <c r="AK30" i="30"/>
  <c r="AL30" i="30"/>
  <c r="AM30" i="30"/>
  <c r="AN30" i="30"/>
  <c r="AO30" i="30"/>
  <c r="AP30" i="30"/>
  <c r="AQ30" i="30"/>
  <c r="AR30" i="30"/>
  <c r="AS30" i="30"/>
  <c r="AT30" i="30"/>
  <c r="AU30" i="30"/>
  <c r="AV30" i="30"/>
  <c r="AK31" i="30"/>
  <c r="AL31" i="30"/>
  <c r="AM31" i="30"/>
  <c r="AN31" i="30"/>
  <c r="AO31" i="30"/>
  <c r="AP31" i="30"/>
  <c r="AQ31" i="30"/>
  <c r="AR31" i="30"/>
  <c r="AS31" i="30"/>
  <c r="AT31" i="30"/>
  <c r="AU31" i="30"/>
  <c r="AV31" i="30"/>
  <c r="AK33" i="30"/>
  <c r="AK184" i="30" s="1"/>
  <c r="AL33" i="30"/>
  <c r="AL184" i="30" s="1"/>
  <c r="AM33" i="30"/>
  <c r="AM184" i="30" s="1"/>
  <c r="AN33" i="30"/>
  <c r="AN184" i="30" s="1"/>
  <c r="AO33" i="30"/>
  <c r="AO184" i="30" s="1"/>
  <c r="AP33" i="30"/>
  <c r="AP184" i="30" s="1"/>
  <c r="AQ33" i="30"/>
  <c r="AQ184" i="30" s="1"/>
  <c r="AS33" i="30"/>
  <c r="AS184" i="30" s="1"/>
  <c r="AT33" i="30"/>
  <c r="AT184" i="30" s="1"/>
  <c r="AU33" i="30"/>
  <c r="AU184" i="30" s="1"/>
  <c r="AV33" i="30"/>
  <c r="AV184" i="30" s="1"/>
  <c r="AK34" i="30"/>
  <c r="AL34" i="30"/>
  <c r="AM34" i="30"/>
  <c r="AN34" i="30"/>
  <c r="AO34" i="30"/>
  <c r="AP34" i="30"/>
  <c r="AQ34" i="30"/>
  <c r="AR34" i="30"/>
  <c r="AS34" i="30"/>
  <c r="AT34" i="30"/>
  <c r="AU34" i="30"/>
  <c r="AV34" i="30"/>
  <c r="AK36" i="30"/>
  <c r="AL36" i="30"/>
  <c r="AM36" i="30"/>
  <c r="AN36" i="30"/>
  <c r="AO36" i="30"/>
  <c r="AP36" i="30"/>
  <c r="AQ36" i="30"/>
  <c r="AR36" i="30"/>
  <c r="AS36" i="30"/>
  <c r="AT36" i="30"/>
  <c r="AU36" i="30"/>
  <c r="AV36" i="30"/>
  <c r="AK37" i="30"/>
  <c r="AL37" i="30"/>
  <c r="AM37" i="30"/>
  <c r="AN37" i="30"/>
  <c r="AO37" i="30"/>
  <c r="AP37" i="30"/>
  <c r="AQ37" i="30"/>
  <c r="AR37" i="30"/>
  <c r="AS37" i="30"/>
  <c r="AT37" i="30"/>
  <c r="AU37" i="30"/>
  <c r="AV37" i="30"/>
  <c r="AK38" i="30"/>
  <c r="AL38" i="30"/>
  <c r="AM38" i="30"/>
  <c r="AN38" i="30"/>
  <c r="AO38" i="30"/>
  <c r="AP38" i="30"/>
  <c r="AQ38" i="30"/>
  <c r="AR38" i="30"/>
  <c r="AS38" i="30"/>
  <c r="AT38" i="30"/>
  <c r="AU38" i="30"/>
  <c r="AV38" i="30"/>
  <c r="AK39" i="30"/>
  <c r="AL39" i="30"/>
  <c r="AM39" i="30"/>
  <c r="AN39" i="30"/>
  <c r="AO39" i="30"/>
  <c r="AP39" i="30"/>
  <c r="AQ39" i="30"/>
  <c r="AR39" i="30"/>
  <c r="AS39" i="30"/>
  <c r="AU39" i="30"/>
  <c r="AV39" i="30"/>
  <c r="AK40" i="30"/>
  <c r="AL40" i="30"/>
  <c r="AM40" i="30"/>
  <c r="AN40" i="30"/>
  <c r="AO40" i="30"/>
  <c r="AP40" i="30"/>
  <c r="AQ40" i="30"/>
  <c r="AR40" i="30"/>
  <c r="AS40" i="30"/>
  <c r="AU40" i="30"/>
  <c r="AV40" i="30"/>
  <c r="AK41" i="30"/>
  <c r="AL41" i="30"/>
  <c r="AM41" i="30"/>
  <c r="AN41" i="30"/>
  <c r="AO41" i="30"/>
  <c r="AP41" i="30"/>
  <c r="AQ41" i="30"/>
  <c r="AS41" i="30"/>
  <c r="AT41" i="30"/>
  <c r="AU41" i="30"/>
  <c r="AV41" i="30"/>
  <c r="AK42" i="30"/>
  <c r="AL42" i="30"/>
  <c r="AM42" i="30"/>
  <c r="AN42" i="30"/>
  <c r="AO42" i="30"/>
  <c r="AP42" i="30"/>
  <c r="AQ42" i="30"/>
  <c r="AR42" i="30"/>
  <c r="AS42" i="30"/>
  <c r="AT42" i="30"/>
  <c r="AU42" i="30"/>
  <c r="AV42" i="30"/>
  <c r="AK43" i="30"/>
  <c r="AL43" i="30"/>
  <c r="AM43" i="30"/>
  <c r="AN43" i="30"/>
  <c r="AO43" i="30"/>
  <c r="AP43" i="30"/>
  <c r="AQ43" i="30"/>
  <c r="AR43" i="30"/>
  <c r="AS43" i="30"/>
  <c r="AT43" i="30"/>
  <c r="AU43" i="30"/>
  <c r="AV43" i="30"/>
  <c r="AK44" i="30"/>
  <c r="AL44" i="30"/>
  <c r="AM44" i="30"/>
  <c r="AN44" i="30"/>
  <c r="AO44" i="30"/>
  <c r="AP44" i="30"/>
  <c r="AQ44" i="30"/>
  <c r="AR44" i="30"/>
  <c r="AS44" i="30"/>
  <c r="AT44" i="30"/>
  <c r="AU44" i="30"/>
  <c r="AV44" i="30"/>
  <c r="AK45" i="30"/>
  <c r="AL45" i="30"/>
  <c r="AM45" i="30"/>
  <c r="AN45" i="30"/>
  <c r="AO45" i="30"/>
  <c r="AP45" i="30"/>
  <c r="AQ45" i="30"/>
  <c r="AR45" i="30"/>
  <c r="AS45" i="30"/>
  <c r="AT45" i="30"/>
  <c r="AU45" i="30"/>
  <c r="AV45" i="30"/>
  <c r="AK46" i="30"/>
  <c r="AL46" i="30"/>
  <c r="AM46" i="30"/>
  <c r="AN46" i="30"/>
  <c r="AO46" i="30"/>
  <c r="AP46" i="30"/>
  <c r="AQ46" i="30"/>
  <c r="AR46" i="30"/>
  <c r="AS46" i="30"/>
  <c r="AT46" i="30"/>
  <c r="AU46" i="30"/>
  <c r="AV46" i="30"/>
  <c r="AK47" i="30"/>
  <c r="AL47" i="30"/>
  <c r="AM47" i="30"/>
  <c r="AN47" i="30"/>
  <c r="AO47" i="30"/>
  <c r="AP47" i="30"/>
  <c r="AQ47" i="30"/>
  <c r="AR47" i="30"/>
  <c r="AS47" i="30"/>
  <c r="AT47" i="30"/>
  <c r="AU47" i="30"/>
  <c r="AV47" i="30"/>
  <c r="AK48" i="30"/>
  <c r="AL48" i="30"/>
  <c r="AM48" i="30"/>
  <c r="AN48" i="30"/>
  <c r="AO48" i="30"/>
  <c r="AP48" i="30"/>
  <c r="AQ48" i="30"/>
  <c r="AR48" i="30"/>
  <c r="AS48" i="30"/>
  <c r="AT48" i="30"/>
  <c r="AU48" i="30"/>
  <c r="AV48" i="30"/>
  <c r="AK49" i="30"/>
  <c r="AL49" i="30"/>
  <c r="AM49" i="30"/>
  <c r="AN49" i="30"/>
  <c r="AO49" i="30"/>
  <c r="AP49" i="30"/>
  <c r="AQ49" i="30"/>
  <c r="AR49" i="30"/>
  <c r="AS49" i="30"/>
  <c r="AT49" i="30"/>
  <c r="AU49" i="30"/>
  <c r="AV49" i="30"/>
  <c r="AK50" i="30"/>
  <c r="AL50" i="30"/>
  <c r="AM50" i="30"/>
  <c r="AN50" i="30"/>
  <c r="AO50" i="30"/>
  <c r="AP50" i="30"/>
  <c r="AQ50" i="30"/>
  <c r="AR50" i="30"/>
  <c r="AS50" i="30"/>
  <c r="AU50" i="30"/>
  <c r="AV50" i="30"/>
  <c r="AK51" i="30"/>
  <c r="AL51" i="30"/>
  <c r="AM51" i="30"/>
  <c r="AN51" i="30"/>
  <c r="AO51" i="30"/>
  <c r="AP51" i="30"/>
  <c r="AQ51" i="30"/>
  <c r="AR51" i="30"/>
  <c r="AS51" i="30"/>
  <c r="AT51" i="30"/>
  <c r="AU51" i="30"/>
  <c r="AV51" i="30"/>
  <c r="AK52" i="30"/>
  <c r="AK185" i="30" s="1"/>
  <c r="AL52" i="30"/>
  <c r="AL185" i="30" s="1"/>
  <c r="AM52" i="30"/>
  <c r="AM185" i="30" s="1"/>
  <c r="AN52" i="30"/>
  <c r="AN185" i="30" s="1"/>
  <c r="AO52" i="30"/>
  <c r="AO185" i="30" s="1"/>
  <c r="AP52" i="30"/>
  <c r="AP185" i="30" s="1"/>
  <c r="AQ52" i="30"/>
  <c r="AQ185" i="30" s="1"/>
  <c r="AR52" i="30"/>
  <c r="AR185" i="30" s="1"/>
  <c r="AS52" i="30"/>
  <c r="AS185" i="30" s="1"/>
  <c r="AT52" i="30"/>
  <c r="AT185" i="30" s="1"/>
  <c r="AU52" i="30"/>
  <c r="AU185" i="30" s="1"/>
  <c r="AV52" i="30"/>
  <c r="AV185" i="30" s="1"/>
  <c r="AK53" i="30"/>
  <c r="AL53" i="30"/>
  <c r="AM53" i="30"/>
  <c r="AN53" i="30"/>
  <c r="AO53" i="30"/>
  <c r="AP53" i="30"/>
  <c r="AQ53" i="30"/>
  <c r="AR53" i="30"/>
  <c r="AS53" i="30"/>
  <c r="AT53" i="30"/>
  <c r="AU53" i="30"/>
  <c r="AV53" i="30"/>
  <c r="AK54" i="30"/>
  <c r="AL54" i="30"/>
  <c r="AM54" i="30"/>
  <c r="AN54" i="30"/>
  <c r="AO54" i="30"/>
  <c r="AP54" i="30"/>
  <c r="AQ54" i="30"/>
  <c r="AR54" i="30"/>
  <c r="AS54" i="30"/>
  <c r="AT54" i="30"/>
  <c r="AU54" i="30"/>
  <c r="AV54" i="30"/>
  <c r="AK55" i="30"/>
  <c r="AL55" i="30"/>
  <c r="AM55" i="30"/>
  <c r="AN55" i="30"/>
  <c r="AO55" i="30"/>
  <c r="AP55" i="30"/>
  <c r="AQ55" i="30"/>
  <c r="AR55" i="30"/>
  <c r="AS55" i="30"/>
  <c r="AT55" i="30"/>
  <c r="AU55" i="30"/>
  <c r="AV55" i="30"/>
  <c r="AK56" i="30"/>
  <c r="AL56" i="30"/>
  <c r="AM56" i="30"/>
  <c r="AN56" i="30"/>
  <c r="AO56" i="30"/>
  <c r="AP56" i="30"/>
  <c r="AQ56" i="30"/>
  <c r="AR56" i="30"/>
  <c r="AS56" i="30"/>
  <c r="AT56" i="30"/>
  <c r="AU56" i="30"/>
  <c r="AV56" i="30"/>
  <c r="AK57" i="30"/>
  <c r="AL57" i="30"/>
  <c r="AM57" i="30"/>
  <c r="AN57" i="30"/>
  <c r="AO57" i="30"/>
  <c r="AP57" i="30"/>
  <c r="AQ57" i="30"/>
  <c r="AR57" i="30"/>
  <c r="AS57" i="30"/>
  <c r="AT57" i="30"/>
  <c r="AU57" i="30"/>
  <c r="AV57" i="30"/>
  <c r="AK59" i="30"/>
  <c r="AL59" i="30"/>
  <c r="AM59" i="30"/>
  <c r="AN59" i="30"/>
  <c r="AO59" i="30"/>
  <c r="AP59" i="30"/>
  <c r="AQ59" i="30"/>
  <c r="AR59" i="30"/>
  <c r="AS59" i="30"/>
  <c r="AU59" i="30"/>
  <c r="AV59" i="30"/>
  <c r="AK60" i="30"/>
  <c r="AL60" i="30"/>
  <c r="AM60" i="30"/>
  <c r="AN60" i="30"/>
  <c r="AO60" i="30"/>
  <c r="AP60" i="30"/>
  <c r="AQ60" i="30"/>
  <c r="AR60" i="30"/>
  <c r="AS60" i="30"/>
  <c r="AU60" i="30"/>
  <c r="AV60" i="30"/>
  <c r="AK61" i="30"/>
  <c r="AL61" i="30"/>
  <c r="AM61" i="30"/>
  <c r="AN61" i="30"/>
  <c r="AO61" i="30"/>
  <c r="AP61" i="30"/>
  <c r="AQ61" i="30"/>
  <c r="AR61" i="30"/>
  <c r="AS61" i="30"/>
  <c r="AU61" i="30"/>
  <c r="AV61" i="30"/>
  <c r="AK62" i="30"/>
  <c r="AL62" i="30"/>
  <c r="AM62" i="30"/>
  <c r="AN62" i="30"/>
  <c r="AO62" i="30"/>
  <c r="AQ62" i="30"/>
  <c r="AR62" i="30"/>
  <c r="AS62" i="30"/>
  <c r="AT62" i="30"/>
  <c r="AU62" i="30"/>
  <c r="AV62" i="30"/>
  <c r="AK64" i="30"/>
  <c r="AL64" i="30"/>
  <c r="AM64" i="30"/>
  <c r="AN64" i="30"/>
  <c r="AO64" i="30"/>
  <c r="AP64" i="30"/>
  <c r="AQ64" i="30"/>
  <c r="AS64" i="30"/>
  <c r="AT64" i="30"/>
  <c r="AU64" i="30"/>
  <c r="AV64" i="30"/>
  <c r="AK65" i="30"/>
  <c r="AL65" i="30"/>
  <c r="AM65" i="30"/>
  <c r="AN65" i="30"/>
  <c r="AO65" i="30"/>
  <c r="AP65" i="30"/>
  <c r="AQ65" i="30"/>
  <c r="AR65" i="30"/>
  <c r="AS65" i="30"/>
  <c r="AT65" i="30"/>
  <c r="AU65" i="30"/>
  <c r="AV65" i="30"/>
  <c r="AK66" i="30"/>
  <c r="AL66" i="30"/>
  <c r="AM66" i="30"/>
  <c r="AN66" i="30"/>
  <c r="AO66" i="30"/>
  <c r="AP66" i="30"/>
  <c r="AQ66" i="30"/>
  <c r="AR66" i="30"/>
  <c r="AS66" i="30"/>
  <c r="AT66" i="30"/>
  <c r="AU66" i="30"/>
  <c r="AV66" i="30"/>
  <c r="AK67" i="30"/>
  <c r="AL67" i="30"/>
  <c r="AM67" i="30"/>
  <c r="AN67" i="30"/>
  <c r="AO67" i="30"/>
  <c r="AP67" i="30"/>
  <c r="AQ67" i="30"/>
  <c r="AR67" i="30"/>
  <c r="AS67" i="30"/>
  <c r="AT67" i="30"/>
  <c r="AU67" i="30"/>
  <c r="AV67" i="30"/>
  <c r="AK68" i="30"/>
  <c r="AL68" i="30"/>
  <c r="AM68" i="30"/>
  <c r="AN68" i="30"/>
  <c r="AO68" i="30"/>
  <c r="AP68" i="30"/>
  <c r="AQ68" i="30"/>
  <c r="AR68" i="30"/>
  <c r="AS68" i="30"/>
  <c r="AT68" i="30"/>
  <c r="AU68" i="30"/>
  <c r="AV68" i="30"/>
  <c r="AK70" i="30"/>
  <c r="AL70" i="30"/>
  <c r="AM70" i="30"/>
  <c r="AN70" i="30"/>
  <c r="AO70" i="30"/>
  <c r="AP70" i="30"/>
  <c r="AQ70" i="30"/>
  <c r="AR70" i="30"/>
  <c r="AS70" i="30"/>
  <c r="AT70" i="30"/>
  <c r="AU70" i="30"/>
  <c r="AV70" i="30"/>
  <c r="AK71" i="30"/>
  <c r="AK186" i="30" s="1"/>
  <c r="AL71" i="30"/>
  <c r="AL186" i="30" s="1"/>
  <c r="AM71" i="30"/>
  <c r="AM186" i="30" s="1"/>
  <c r="AN71" i="30"/>
  <c r="AN186" i="30" s="1"/>
  <c r="AO71" i="30"/>
  <c r="AO186" i="30" s="1"/>
  <c r="AP71" i="30"/>
  <c r="AP186" i="30" s="1"/>
  <c r="AQ71" i="30"/>
  <c r="AQ186" i="30" s="1"/>
  <c r="AR71" i="30"/>
  <c r="AR186" i="30" s="1"/>
  <c r="AS71" i="30"/>
  <c r="AS186" i="30" s="1"/>
  <c r="AU71" i="30"/>
  <c r="AU186" i="30" s="1"/>
  <c r="AV71" i="30"/>
  <c r="AV186" i="30" s="1"/>
  <c r="AK72" i="30"/>
  <c r="AL72" i="30"/>
  <c r="AM72" i="30"/>
  <c r="AN72" i="30"/>
  <c r="AO72" i="30"/>
  <c r="AP72" i="30"/>
  <c r="AQ72" i="30"/>
  <c r="AR72" i="30"/>
  <c r="AS72" i="30"/>
  <c r="AT72" i="30"/>
  <c r="AU72" i="30"/>
  <c r="AV72" i="30"/>
  <c r="AK73" i="30"/>
  <c r="AL73" i="30"/>
  <c r="AM73" i="30"/>
  <c r="AN73" i="30"/>
  <c r="AO73" i="30"/>
  <c r="AP73" i="30"/>
  <c r="AQ73" i="30"/>
  <c r="AR73" i="30"/>
  <c r="AS73" i="30"/>
  <c r="AT73" i="30"/>
  <c r="AU73" i="30"/>
  <c r="AV73" i="30"/>
  <c r="AK74" i="30"/>
  <c r="AL74" i="30"/>
  <c r="AM74" i="30"/>
  <c r="AN74" i="30"/>
  <c r="AO74" i="30"/>
  <c r="AP74" i="30"/>
  <c r="AQ74" i="30"/>
  <c r="AR74" i="30"/>
  <c r="AS74" i="30"/>
  <c r="AT74" i="30"/>
  <c r="AU74" i="30"/>
  <c r="AV74" i="30"/>
  <c r="AK75" i="30"/>
  <c r="AL75" i="30"/>
  <c r="AM75" i="30"/>
  <c r="AN75" i="30"/>
  <c r="AO75" i="30"/>
  <c r="AP75" i="30"/>
  <c r="AQ75" i="30"/>
  <c r="AR75" i="30"/>
  <c r="AS75" i="30"/>
  <c r="AT75" i="30"/>
  <c r="AU75" i="30"/>
  <c r="AV75" i="30"/>
  <c r="AK76" i="30"/>
  <c r="AL76" i="30"/>
  <c r="AM76" i="30"/>
  <c r="AN76" i="30"/>
  <c r="AO76" i="30"/>
  <c r="AP76" i="30"/>
  <c r="AQ76" i="30"/>
  <c r="AR76" i="30"/>
  <c r="AS76" i="30"/>
  <c r="AT76" i="30"/>
  <c r="AU76" i="30"/>
  <c r="AV76" i="30"/>
  <c r="AK77" i="30"/>
  <c r="AL77" i="30"/>
  <c r="AM77" i="30"/>
  <c r="AN77" i="30"/>
  <c r="AO77" i="30"/>
  <c r="AP77" i="30"/>
  <c r="AQ77" i="30"/>
  <c r="AR77" i="30"/>
  <c r="AS77" i="30"/>
  <c r="AT77" i="30"/>
  <c r="AU77" i="30"/>
  <c r="AV77" i="30"/>
  <c r="AK78" i="30"/>
  <c r="AL78" i="30"/>
  <c r="AM78" i="30"/>
  <c r="AN78" i="30"/>
  <c r="AO78" i="30"/>
  <c r="AP78" i="30"/>
  <c r="AQ78" i="30"/>
  <c r="AR78" i="30"/>
  <c r="AS78" i="30"/>
  <c r="AT78" i="30"/>
  <c r="AU78" i="30"/>
  <c r="AV78" i="30"/>
  <c r="AK79" i="30"/>
  <c r="AL79" i="30"/>
  <c r="AM79" i="30"/>
  <c r="AN79" i="30"/>
  <c r="AO79" i="30"/>
  <c r="AP79" i="30"/>
  <c r="AQ79" i="30"/>
  <c r="AR79" i="30"/>
  <c r="AS79" i="30"/>
  <c r="AT79" i="30"/>
  <c r="AU79" i="30"/>
  <c r="AV79" i="30"/>
  <c r="AK80" i="30"/>
  <c r="AL80" i="30"/>
  <c r="AM80" i="30"/>
  <c r="AN80" i="30"/>
  <c r="AO80" i="30"/>
  <c r="AP80" i="30"/>
  <c r="AQ80" i="30"/>
  <c r="AR80" i="30"/>
  <c r="AS80" i="30"/>
  <c r="AT80" i="30"/>
  <c r="AU80" i="30"/>
  <c r="AV80" i="30"/>
  <c r="AK81" i="30"/>
  <c r="AL81" i="30"/>
  <c r="AM81" i="30"/>
  <c r="AN81" i="30"/>
  <c r="AO81" i="30"/>
  <c r="AP81" i="30"/>
  <c r="AQ81" i="30"/>
  <c r="AR81" i="30"/>
  <c r="AS81" i="30"/>
  <c r="AT81" i="30"/>
  <c r="AU81" i="30"/>
  <c r="AV81" i="30"/>
  <c r="AK83" i="30"/>
  <c r="AL83" i="30"/>
  <c r="AM83" i="30"/>
  <c r="AN83" i="30"/>
  <c r="AO83" i="30"/>
  <c r="AP83" i="30"/>
  <c r="AQ83" i="30"/>
  <c r="AR83" i="30"/>
  <c r="AS83" i="30"/>
  <c r="AU83" i="30"/>
  <c r="AV83" i="30"/>
  <c r="AK84" i="30"/>
  <c r="AK187" i="30" s="1"/>
  <c r="AL84" i="30"/>
  <c r="AL187" i="30" s="1"/>
  <c r="AM84" i="30"/>
  <c r="AM187" i="30" s="1"/>
  <c r="AN84" i="30"/>
  <c r="AN187" i="30" s="1"/>
  <c r="AO84" i="30"/>
  <c r="AO187" i="30" s="1"/>
  <c r="AP84" i="30"/>
  <c r="AP187" i="30" s="1"/>
  <c r="AQ84" i="30"/>
  <c r="AQ187" i="30" s="1"/>
  <c r="AR84" i="30"/>
  <c r="AR187" i="30" s="1"/>
  <c r="AS84" i="30"/>
  <c r="AS187" i="30" s="1"/>
  <c r="AT84" i="30"/>
  <c r="AT187" i="30" s="1"/>
  <c r="AU84" i="30"/>
  <c r="AU187" i="30" s="1"/>
  <c r="AV84" i="30"/>
  <c r="AV187" i="30" s="1"/>
  <c r="AK85" i="30"/>
  <c r="AL85" i="30"/>
  <c r="AM85" i="30"/>
  <c r="AN85" i="30"/>
  <c r="AO85" i="30"/>
  <c r="AP85" i="30"/>
  <c r="AQ85" i="30"/>
  <c r="AR85" i="30"/>
  <c r="AS85" i="30"/>
  <c r="AT85" i="30"/>
  <c r="AU85" i="30"/>
  <c r="AV85" i="30"/>
  <c r="AK86" i="30"/>
  <c r="AL86" i="30"/>
  <c r="AM86" i="30"/>
  <c r="AN86" i="30"/>
  <c r="AO86" i="30"/>
  <c r="AP86" i="30"/>
  <c r="AQ86" i="30"/>
  <c r="AR86" i="30"/>
  <c r="AS86" i="30"/>
  <c r="AT86" i="30"/>
  <c r="AU86" i="30"/>
  <c r="AV86" i="30"/>
  <c r="AK87" i="30"/>
  <c r="AL87" i="30"/>
  <c r="AM87" i="30"/>
  <c r="AN87" i="30"/>
  <c r="AO87" i="30"/>
  <c r="AP87" i="30"/>
  <c r="AQ87" i="30"/>
  <c r="AR87" i="30"/>
  <c r="AS87" i="30"/>
  <c r="AT87" i="30"/>
  <c r="AU87" i="30"/>
  <c r="AV87" i="30"/>
  <c r="AK88" i="30"/>
  <c r="AL88" i="30"/>
  <c r="AM88" i="30"/>
  <c r="AN88" i="30"/>
  <c r="AO88" i="30"/>
  <c r="AP88" i="30"/>
  <c r="AQ88" i="30"/>
  <c r="AR88" i="30"/>
  <c r="AS88" i="30"/>
  <c r="AT88" i="30"/>
  <c r="AU88" i="30"/>
  <c r="AV88" i="30"/>
  <c r="AK89" i="30"/>
  <c r="AK188" i="30" s="1"/>
  <c r="AL89" i="30"/>
  <c r="AL188" i="30" s="1"/>
  <c r="AM89" i="30"/>
  <c r="AM188" i="30" s="1"/>
  <c r="AN89" i="30"/>
  <c r="AN188" i="30" s="1"/>
  <c r="AO89" i="30"/>
  <c r="AO188" i="30" s="1"/>
  <c r="AP89" i="30"/>
  <c r="AP188" i="30" s="1"/>
  <c r="AQ89" i="30"/>
  <c r="AQ188" i="30" s="1"/>
  <c r="AR89" i="30"/>
  <c r="AR188" i="30" s="1"/>
  <c r="AS89" i="30"/>
  <c r="AS188" i="30" s="1"/>
  <c r="AT89" i="30"/>
  <c r="AT188" i="30" s="1"/>
  <c r="AU89" i="30"/>
  <c r="AU188" i="30" s="1"/>
  <c r="AV89" i="30"/>
  <c r="AV188" i="30" s="1"/>
  <c r="AK90" i="30"/>
  <c r="AK189" i="30" s="1"/>
  <c r="AL90" i="30"/>
  <c r="AL189" i="30" s="1"/>
  <c r="AM90" i="30"/>
  <c r="AM189" i="30" s="1"/>
  <c r="AN90" i="30"/>
  <c r="AN189" i="30" s="1"/>
  <c r="AO90" i="30"/>
  <c r="AO189" i="30" s="1"/>
  <c r="AP90" i="30"/>
  <c r="AP189" i="30" s="1"/>
  <c r="AQ90" i="30"/>
  <c r="AQ189" i="30" s="1"/>
  <c r="AR90" i="30"/>
  <c r="AR189" i="30" s="1"/>
  <c r="AS90" i="30"/>
  <c r="AS189" i="30" s="1"/>
  <c r="AT90" i="30"/>
  <c r="AT189" i="30" s="1"/>
  <c r="AU90" i="30"/>
  <c r="AU189" i="30" s="1"/>
  <c r="AV90" i="30"/>
  <c r="AV189" i="30" s="1"/>
  <c r="AK91" i="30"/>
  <c r="AL91" i="30"/>
  <c r="AM91" i="30"/>
  <c r="AN91" i="30"/>
  <c r="AO91" i="30"/>
  <c r="AP91" i="30"/>
  <c r="AQ91" i="30"/>
  <c r="AR91" i="30"/>
  <c r="AS91" i="30"/>
  <c r="AT91" i="30"/>
  <c r="AU91" i="30"/>
  <c r="AV91" i="30"/>
  <c r="AK92" i="30"/>
  <c r="AL92" i="30"/>
  <c r="AM92" i="30"/>
  <c r="AN92" i="30"/>
  <c r="AO92" i="30"/>
  <c r="AP92" i="30"/>
  <c r="AQ92" i="30"/>
  <c r="AR92" i="30"/>
  <c r="AS92" i="30"/>
  <c r="AT92" i="30"/>
  <c r="AU92" i="30"/>
  <c r="AV92" i="30"/>
  <c r="R49" i="35"/>
  <c r="S49" i="35"/>
  <c r="T49" i="35"/>
  <c r="Q49" i="35"/>
  <c r="AI4" i="41"/>
  <c r="W49" i="35"/>
  <c r="AC58" i="30"/>
  <c r="AR58" i="30" s="1"/>
  <c r="AC64" i="30"/>
  <c r="AR64" i="30" s="1"/>
  <c r="AR100" i="30"/>
  <c r="AC82" i="30"/>
  <c r="AR82" i="30" s="1"/>
  <c r="AC41" i="30"/>
  <c r="AR41" i="30" s="1"/>
  <c r="AC32" i="30"/>
  <c r="AR32" i="30" s="1"/>
  <c r="AV140" i="56"/>
  <c r="AV141" i="56"/>
  <c r="AV142" i="56"/>
  <c r="Q36" i="42"/>
  <c r="R36" i="42"/>
  <c r="S36" i="42"/>
  <c r="T36" i="42"/>
  <c r="U36" i="42"/>
  <c r="V36" i="42"/>
  <c r="W36" i="42"/>
  <c r="X36" i="42"/>
  <c r="Y36" i="42"/>
  <c r="Z36" i="42"/>
  <c r="AI15" i="30"/>
  <c r="AI15" i="37"/>
  <c r="AJ15" i="37"/>
  <c r="AK15" i="37"/>
  <c r="AL15" i="37"/>
  <c r="AM15" i="37"/>
  <c r="AN15" i="37"/>
  <c r="AO15" i="37"/>
  <c r="AP15" i="37"/>
  <c r="AQ15" i="37"/>
  <c r="AR15" i="37"/>
  <c r="AS15" i="37"/>
  <c r="X15" i="37"/>
  <c r="Y15" i="37"/>
  <c r="Z15" i="37"/>
  <c r="AA15" i="37"/>
  <c r="AB15" i="37"/>
  <c r="AC15" i="37"/>
  <c r="AD15" i="37"/>
  <c r="Z36" i="23"/>
  <c r="AM36" i="42"/>
  <c r="AC36" i="42"/>
  <c r="AD36" i="42"/>
  <c r="AE36" i="42"/>
  <c r="AF36" i="42"/>
  <c r="AG36" i="42"/>
  <c r="AH36" i="42"/>
  <c r="AI36" i="42"/>
  <c r="AJ36" i="42"/>
  <c r="AK36" i="42"/>
  <c r="AN36" i="42"/>
  <c r="AL36" i="42"/>
  <c r="Q36" i="23"/>
  <c r="Z25" i="42"/>
  <c r="Z4" i="42"/>
  <c r="M55" i="78" l="1"/>
  <c r="M77" i="78"/>
  <c r="M83" i="78" s="1"/>
  <c r="AW184" i="30"/>
  <c r="AW188" i="30"/>
  <c r="AW187" i="30"/>
  <c r="AW186" i="30"/>
  <c r="AW179" i="30"/>
  <c r="AW182" i="30"/>
  <c r="AW183" i="30"/>
  <c r="AW189" i="30"/>
  <c r="AW185" i="30"/>
  <c r="AW181" i="30"/>
  <c r="AW180" i="30"/>
  <c r="AX103" i="30"/>
  <c r="AX107" i="30"/>
  <c r="AX105" i="30"/>
  <c r="AW99" i="30"/>
  <c r="AQ106" i="30"/>
  <c r="AW97" i="30"/>
  <c r="D73" i="66"/>
  <c r="D79" i="66" s="1"/>
  <c r="D51" i="66"/>
  <c r="E73" i="66"/>
  <c r="E79" i="66" s="1"/>
  <c r="E51" i="66"/>
  <c r="F73" i="66"/>
  <c r="F79" i="66" s="1"/>
  <c r="F51" i="66"/>
  <c r="G73" i="66"/>
  <c r="G79" i="66" s="1"/>
  <c r="G51" i="66"/>
  <c r="H73" i="66"/>
  <c r="H79" i="66" s="1"/>
  <c r="H51" i="66"/>
  <c r="I73" i="66"/>
  <c r="I79" i="66" s="1"/>
  <c r="I51" i="66"/>
  <c r="J73" i="66"/>
  <c r="J79" i="66" s="1"/>
  <c r="J51" i="66"/>
  <c r="K73" i="66"/>
  <c r="K79" i="66" s="1"/>
  <c r="K51" i="66"/>
  <c r="L73" i="66"/>
  <c r="L79" i="66" s="1"/>
  <c r="L51" i="66"/>
  <c r="D74" i="66"/>
  <c r="D80" i="66" s="1"/>
  <c r="D52" i="66"/>
  <c r="E74" i="66"/>
  <c r="E80" i="66" s="1"/>
  <c r="E52" i="66"/>
  <c r="F74" i="66"/>
  <c r="F80" i="66" s="1"/>
  <c r="F52" i="66"/>
  <c r="G74" i="66"/>
  <c r="G80" i="66" s="1"/>
  <c r="G52" i="66"/>
  <c r="H74" i="66"/>
  <c r="H80" i="66" s="1"/>
  <c r="H52" i="66"/>
  <c r="I74" i="66"/>
  <c r="I80" i="66" s="1"/>
  <c r="I52" i="66"/>
  <c r="J74" i="66"/>
  <c r="J80" i="66" s="1"/>
  <c r="J52" i="66"/>
  <c r="K74" i="66"/>
  <c r="K80" i="66" s="1"/>
  <c r="K52" i="66"/>
  <c r="L74" i="66"/>
  <c r="L80" i="66" s="1"/>
  <c r="L52" i="66"/>
  <c r="D75" i="66"/>
  <c r="D81" i="66" s="1"/>
  <c r="D53" i="66"/>
  <c r="E75" i="66"/>
  <c r="E81" i="66" s="1"/>
  <c r="E53" i="66"/>
  <c r="F75" i="66"/>
  <c r="F81" i="66" s="1"/>
  <c r="F53" i="66"/>
  <c r="G75" i="66"/>
  <c r="G81" i="66" s="1"/>
  <c r="G53" i="66"/>
  <c r="H75" i="66"/>
  <c r="H81" i="66" s="1"/>
  <c r="H53" i="66"/>
  <c r="I75" i="66"/>
  <c r="I81" i="66" s="1"/>
  <c r="I53" i="66"/>
  <c r="D76" i="66"/>
  <c r="D82" i="66" s="1"/>
  <c r="D54" i="66"/>
  <c r="E76" i="66"/>
  <c r="E82" i="66" s="1"/>
  <c r="E54" i="66"/>
  <c r="F76" i="66"/>
  <c r="F82" i="66" s="1"/>
  <c r="F54" i="66"/>
  <c r="G76" i="66"/>
  <c r="G82" i="66" s="1"/>
  <c r="G54" i="66"/>
  <c r="H76" i="66"/>
  <c r="H82" i="66" s="1"/>
  <c r="H54" i="66"/>
  <c r="I76" i="66"/>
  <c r="I82" i="66" s="1"/>
  <c r="I54" i="66"/>
  <c r="J76" i="66"/>
  <c r="J82" i="66" s="1"/>
  <c r="J54" i="66"/>
  <c r="K76" i="66"/>
  <c r="K82" i="66" s="1"/>
  <c r="K54" i="66"/>
  <c r="L76" i="66"/>
  <c r="L82" i="66" s="1"/>
  <c r="L54" i="66"/>
  <c r="J47" i="66"/>
  <c r="J31" i="66"/>
  <c r="J22" i="66"/>
  <c r="J27" i="66"/>
  <c r="K47" i="66"/>
  <c r="K31" i="66"/>
  <c r="K22" i="66"/>
  <c r="K27" i="66"/>
  <c r="L47" i="66"/>
  <c r="L31" i="66"/>
  <c r="L22" i="66"/>
  <c r="L27" i="66"/>
  <c r="D49" i="66"/>
  <c r="D33" i="66"/>
  <c r="E49" i="66"/>
  <c r="E33" i="66"/>
  <c r="F49" i="66"/>
  <c r="F33" i="66"/>
  <c r="G49" i="66"/>
  <c r="G33" i="66"/>
  <c r="H49" i="66"/>
  <c r="H33" i="66"/>
  <c r="I49" i="66"/>
  <c r="I33" i="66"/>
  <c r="D73" i="32"/>
  <c r="D79" i="32" s="1"/>
  <c r="D51" i="32"/>
  <c r="E73" i="32"/>
  <c r="E79" i="32" s="1"/>
  <c r="E51" i="32"/>
  <c r="F73" i="32"/>
  <c r="F79" i="32" s="1"/>
  <c r="F51" i="32"/>
  <c r="G73" i="32"/>
  <c r="G79" i="32" s="1"/>
  <c r="G51" i="32"/>
  <c r="H73" i="32"/>
  <c r="H79" i="32" s="1"/>
  <c r="H51" i="32"/>
  <c r="I73" i="32"/>
  <c r="I79" i="32" s="1"/>
  <c r="I51" i="32"/>
  <c r="J73" i="32"/>
  <c r="J79" i="32" s="1"/>
  <c r="J51" i="32"/>
  <c r="K73" i="32"/>
  <c r="K79" i="32" s="1"/>
  <c r="K51" i="32"/>
  <c r="L73" i="32"/>
  <c r="L79" i="32" s="1"/>
  <c r="L51" i="32"/>
  <c r="D74" i="32"/>
  <c r="D80" i="32" s="1"/>
  <c r="D52" i="32"/>
  <c r="E74" i="32"/>
  <c r="E80" i="32" s="1"/>
  <c r="E52" i="32"/>
  <c r="F74" i="32"/>
  <c r="F80" i="32" s="1"/>
  <c r="F52" i="32"/>
  <c r="G74" i="32"/>
  <c r="G80" i="32" s="1"/>
  <c r="G52" i="32"/>
  <c r="H74" i="32"/>
  <c r="H80" i="32" s="1"/>
  <c r="H52" i="32"/>
  <c r="I74" i="32"/>
  <c r="I80" i="32" s="1"/>
  <c r="I52" i="32"/>
  <c r="J74" i="32"/>
  <c r="J80" i="32" s="1"/>
  <c r="J52" i="32"/>
  <c r="K74" i="32"/>
  <c r="K80" i="32" s="1"/>
  <c r="K52" i="32"/>
  <c r="L74" i="32"/>
  <c r="L80" i="32" s="1"/>
  <c r="L52" i="32"/>
  <c r="E75" i="32"/>
  <c r="E81" i="32" s="1"/>
  <c r="E53" i="32"/>
  <c r="F75" i="32"/>
  <c r="F81" i="32" s="1"/>
  <c r="F53" i="32"/>
  <c r="H75" i="32"/>
  <c r="H81" i="32" s="1"/>
  <c r="H53" i="32"/>
  <c r="I75" i="32"/>
  <c r="I81" i="32" s="1"/>
  <c r="I53" i="32"/>
  <c r="L75" i="32"/>
  <c r="L81" i="32" s="1"/>
  <c r="L53" i="32"/>
  <c r="D76" i="32"/>
  <c r="D82" i="32" s="1"/>
  <c r="D54" i="32"/>
  <c r="E76" i="32"/>
  <c r="E82" i="32" s="1"/>
  <c r="E54" i="32"/>
  <c r="F76" i="32"/>
  <c r="F82" i="32" s="1"/>
  <c r="F54" i="32"/>
  <c r="G76" i="32"/>
  <c r="G82" i="32" s="1"/>
  <c r="G54" i="32"/>
  <c r="H76" i="32"/>
  <c r="H82" i="32" s="1"/>
  <c r="H54" i="32"/>
  <c r="I76" i="32"/>
  <c r="I82" i="32" s="1"/>
  <c r="I54" i="32"/>
  <c r="J76" i="32"/>
  <c r="J82" i="32" s="1"/>
  <c r="J54" i="32"/>
  <c r="K76" i="32"/>
  <c r="K82" i="32" s="1"/>
  <c r="K54" i="32"/>
  <c r="L76" i="32"/>
  <c r="L82" i="32" s="1"/>
  <c r="L54" i="32"/>
  <c r="D47" i="32"/>
  <c r="D31" i="32"/>
  <c r="D22" i="32"/>
  <c r="D27" i="32"/>
  <c r="G47" i="32"/>
  <c r="G31" i="32"/>
  <c r="G22" i="32"/>
  <c r="G27" i="32"/>
  <c r="J47" i="32"/>
  <c r="J31" i="32"/>
  <c r="J22" i="32"/>
  <c r="J27" i="32"/>
  <c r="K47" i="32"/>
  <c r="K31" i="32"/>
  <c r="K22" i="32"/>
  <c r="K27" i="32"/>
  <c r="E49" i="32"/>
  <c r="E33" i="32"/>
  <c r="F49" i="32"/>
  <c r="F33" i="32"/>
  <c r="H49" i="32"/>
  <c r="H33" i="32"/>
  <c r="I49" i="32"/>
  <c r="I33" i="32"/>
  <c r="L49" i="32"/>
  <c r="L33" i="32"/>
  <c r="L42" i="77"/>
  <c r="Q40" i="77"/>
  <c r="M74" i="77"/>
  <c r="M80" i="77" s="1"/>
  <c r="M53" i="77"/>
  <c r="N74" i="77"/>
  <c r="N80" i="77" s="1"/>
  <c r="N53" i="77"/>
  <c r="O74" i="77"/>
  <c r="O80" i="77" s="1"/>
  <c r="O53" i="77"/>
  <c r="T74" i="77"/>
  <c r="T80" i="77" s="1"/>
  <c r="T53" i="77"/>
  <c r="U74" i="77"/>
  <c r="U80" i="77" s="1"/>
  <c r="U53" i="77"/>
  <c r="V74" i="77"/>
  <c r="V80" i="77" s="1"/>
  <c r="V53" i="77"/>
  <c r="W74" i="77"/>
  <c r="W80" i="77" s="1"/>
  <c r="W53" i="77"/>
  <c r="X74" i="77"/>
  <c r="X80" i="77" s="1"/>
  <c r="X53" i="77"/>
  <c r="Y74" i="77"/>
  <c r="Y80" i="77" s="1"/>
  <c r="Y53" i="77"/>
  <c r="Z74" i="77"/>
  <c r="Z80" i="77" s="1"/>
  <c r="Z53" i="77"/>
  <c r="AA74" i="77"/>
  <c r="AA80" i="77" s="1"/>
  <c r="AA53" i="77"/>
  <c r="AB74" i="77"/>
  <c r="AB80" i="77" s="1"/>
  <c r="AB53" i="77"/>
  <c r="AC74" i="77"/>
  <c r="AC80" i="77" s="1"/>
  <c r="AC53" i="77"/>
  <c r="AD74" i="77"/>
  <c r="AD80" i="77" s="1"/>
  <c r="AD53" i="77"/>
  <c r="AI74" i="77"/>
  <c r="AI80" i="77" s="1"/>
  <c r="AI53" i="77"/>
  <c r="AJ74" i="77"/>
  <c r="AJ80" i="77" s="1"/>
  <c r="AJ53" i="77"/>
  <c r="AK74" i="77"/>
  <c r="AK80" i="77" s="1"/>
  <c r="AK53" i="77"/>
  <c r="AL74" i="77"/>
  <c r="AL80" i="77" s="1"/>
  <c r="AL53" i="77"/>
  <c r="AM74" i="77"/>
  <c r="AM80" i="77" s="1"/>
  <c r="AM53" i="77"/>
  <c r="AN74" i="77"/>
  <c r="AN80" i="77" s="1"/>
  <c r="AN53" i="77"/>
  <c r="AO74" i="77"/>
  <c r="AO80" i="77" s="1"/>
  <c r="AO53" i="77"/>
  <c r="AP74" i="77"/>
  <c r="AP80" i="77" s="1"/>
  <c r="AP53" i="77"/>
  <c r="AQ74" i="77"/>
  <c r="AQ80" i="77" s="1"/>
  <c r="AQ53" i="77"/>
  <c r="AR74" i="77"/>
  <c r="AR80" i="77" s="1"/>
  <c r="AR53" i="77"/>
  <c r="AS74" i="77"/>
  <c r="AS80" i="77" s="1"/>
  <c r="AS53" i="77"/>
  <c r="M42" i="77"/>
  <c r="N42" i="77"/>
  <c r="O42" i="77"/>
  <c r="S42" i="77"/>
  <c r="AF37" i="77"/>
  <c r="T42" i="77"/>
  <c r="U42" i="77"/>
  <c r="V42" i="77"/>
  <c r="W42" i="77"/>
  <c r="X42" i="77"/>
  <c r="Y42" i="77"/>
  <c r="Z42" i="77"/>
  <c r="AA42" i="77"/>
  <c r="AB42" i="77"/>
  <c r="AC42" i="77"/>
  <c r="AD42" i="77"/>
  <c r="AH42" i="77"/>
  <c r="AU37" i="77"/>
  <c r="AI42" i="77"/>
  <c r="AJ42" i="77"/>
  <c r="AK42" i="77"/>
  <c r="AL42" i="77"/>
  <c r="AM42" i="77"/>
  <c r="AN42" i="77"/>
  <c r="AO42" i="77"/>
  <c r="AP42" i="77"/>
  <c r="AQ42" i="77"/>
  <c r="AR42" i="77"/>
  <c r="AS42" i="77"/>
  <c r="K74" i="77"/>
  <c r="K80" i="77" s="1"/>
  <c r="K53" i="77"/>
  <c r="J74" i="77"/>
  <c r="J80" i="77" s="1"/>
  <c r="J53" i="77"/>
  <c r="I74" i="77"/>
  <c r="I80" i="77" s="1"/>
  <c r="I53" i="77"/>
  <c r="H74" i="77"/>
  <c r="H80" i="77" s="1"/>
  <c r="H53" i="77"/>
  <c r="G74" i="77"/>
  <c r="G80" i="77" s="1"/>
  <c r="G53" i="77"/>
  <c r="F74" i="77"/>
  <c r="F80" i="77" s="1"/>
  <c r="F53" i="77"/>
  <c r="E74" i="77"/>
  <c r="E80" i="77" s="1"/>
  <c r="E53" i="77"/>
  <c r="D74" i="77"/>
  <c r="D80" i="77" s="1"/>
  <c r="D53" i="77"/>
  <c r="L73" i="77"/>
  <c r="L79" i="77" s="1"/>
  <c r="L52" i="77"/>
  <c r="K73" i="77"/>
  <c r="K79" i="77" s="1"/>
  <c r="K52" i="77"/>
  <c r="J73" i="77"/>
  <c r="J79" i="77" s="1"/>
  <c r="J52" i="77"/>
  <c r="I73" i="77"/>
  <c r="I79" i="77" s="1"/>
  <c r="I52" i="77"/>
  <c r="H73" i="77"/>
  <c r="H79" i="77" s="1"/>
  <c r="H52" i="77"/>
  <c r="G73" i="77"/>
  <c r="G79" i="77" s="1"/>
  <c r="G52" i="77"/>
  <c r="F73" i="77"/>
  <c r="F79" i="77" s="1"/>
  <c r="F52" i="77"/>
  <c r="E73" i="77"/>
  <c r="E79" i="77" s="1"/>
  <c r="E52" i="77"/>
  <c r="D73" i="77"/>
  <c r="D79" i="77" s="1"/>
  <c r="D52" i="77"/>
  <c r="L72" i="77"/>
  <c r="L78" i="77" s="1"/>
  <c r="L51" i="77"/>
  <c r="K72" i="77"/>
  <c r="K78" i="77" s="1"/>
  <c r="K51" i="77"/>
  <c r="J72" i="77"/>
  <c r="J78" i="77" s="1"/>
  <c r="J51" i="77"/>
  <c r="I72" i="77"/>
  <c r="I78" i="77" s="1"/>
  <c r="I51" i="77"/>
  <c r="H72" i="77"/>
  <c r="H78" i="77" s="1"/>
  <c r="H51" i="77"/>
  <c r="G72" i="77"/>
  <c r="G78" i="77" s="1"/>
  <c r="G51" i="77"/>
  <c r="F72" i="77"/>
  <c r="F78" i="77" s="1"/>
  <c r="F51" i="77"/>
  <c r="E72" i="77"/>
  <c r="E78" i="77" s="1"/>
  <c r="E51" i="77"/>
  <c r="D72" i="77"/>
  <c r="D78" i="77" s="1"/>
  <c r="D51" i="77"/>
  <c r="L71" i="77"/>
  <c r="L77" i="77" s="1"/>
  <c r="L50" i="77"/>
  <c r="K71" i="77"/>
  <c r="K77" i="77" s="1"/>
  <c r="K50" i="77"/>
  <c r="J71" i="77"/>
  <c r="J77" i="77" s="1"/>
  <c r="J50" i="77"/>
  <c r="I71" i="77"/>
  <c r="I77" i="77" s="1"/>
  <c r="I50" i="77"/>
  <c r="H71" i="77"/>
  <c r="H77" i="77" s="1"/>
  <c r="H50" i="77"/>
  <c r="G71" i="77"/>
  <c r="G77" i="77" s="1"/>
  <c r="G50" i="77"/>
  <c r="F71" i="77"/>
  <c r="F77" i="77" s="1"/>
  <c r="F50" i="77"/>
  <c r="E71" i="77"/>
  <c r="E77" i="77" s="1"/>
  <c r="E50" i="77"/>
  <c r="D71" i="77"/>
  <c r="D77" i="77" s="1"/>
  <c r="D50" i="77"/>
  <c r="AU47" i="77"/>
  <c r="AU31" i="77"/>
  <c r="AH47" i="77"/>
  <c r="AH31" i="77"/>
  <c r="AF47" i="77"/>
  <c r="AF31" i="77"/>
  <c r="S47" i="77"/>
  <c r="S31" i="77"/>
  <c r="Q47" i="77"/>
  <c r="Q31" i="77"/>
  <c r="L21" i="77"/>
  <c r="L26" i="77"/>
  <c r="L47" i="77"/>
  <c r="L31" i="77"/>
  <c r="K75" i="77"/>
  <c r="K54" i="77"/>
  <c r="J75" i="77"/>
  <c r="J54" i="77"/>
  <c r="I75" i="77"/>
  <c r="I54" i="77"/>
  <c r="H75" i="77"/>
  <c r="H54" i="77"/>
  <c r="G75" i="77"/>
  <c r="G54" i="77"/>
  <c r="F75" i="77"/>
  <c r="F54" i="77"/>
  <c r="E75" i="77"/>
  <c r="E54" i="77"/>
  <c r="D48" i="77"/>
  <c r="D32" i="77"/>
  <c r="AS46" i="77"/>
  <c r="AS30" i="77"/>
  <c r="AR46" i="77"/>
  <c r="AR30" i="77"/>
  <c r="AQ46" i="77"/>
  <c r="AQ30" i="77"/>
  <c r="AP46" i="77"/>
  <c r="AP30" i="77"/>
  <c r="AO46" i="77"/>
  <c r="AO30" i="77"/>
  <c r="AN46" i="77"/>
  <c r="AN30" i="77"/>
  <c r="AM46" i="77"/>
  <c r="AM30" i="77"/>
  <c r="AL46" i="77"/>
  <c r="AL30" i="77"/>
  <c r="AK46" i="77"/>
  <c r="AK30" i="77"/>
  <c r="AJ46" i="77"/>
  <c r="AJ30" i="77"/>
  <c r="AI46" i="77"/>
  <c r="AI30" i="77"/>
  <c r="AU17" i="77"/>
  <c r="AU24" i="77" s="1"/>
  <c r="AH24" i="77"/>
  <c r="AD46" i="77"/>
  <c r="AD30" i="77"/>
  <c r="AC46" i="77"/>
  <c r="AC30" i="77"/>
  <c r="AB46" i="77"/>
  <c r="AB30" i="77"/>
  <c r="AA46" i="77"/>
  <c r="AA30" i="77"/>
  <c r="Z46" i="77"/>
  <c r="Z30" i="77"/>
  <c r="Y46" i="77"/>
  <c r="Y30" i="77"/>
  <c r="X46" i="77"/>
  <c r="X30" i="77"/>
  <c r="W46" i="77"/>
  <c r="W30" i="77"/>
  <c r="V46" i="77"/>
  <c r="V30" i="77"/>
  <c r="U46" i="77"/>
  <c r="U30" i="77"/>
  <c r="T46" i="77"/>
  <c r="T30" i="77"/>
  <c r="AF17" i="77"/>
  <c r="AF24" i="77" s="1"/>
  <c r="S24" i="77"/>
  <c r="O46" i="77"/>
  <c r="O30" i="77"/>
  <c r="N46" i="77"/>
  <c r="N30" i="77"/>
  <c r="Q17" i="77"/>
  <c r="Q24" i="77" s="1"/>
  <c r="M24" i="77"/>
  <c r="AS45" i="77"/>
  <c r="AS29" i="77"/>
  <c r="AR45" i="77"/>
  <c r="AR29" i="77"/>
  <c r="AQ45" i="77"/>
  <c r="AQ29" i="77"/>
  <c r="AP45" i="77"/>
  <c r="AP29" i="77"/>
  <c r="AO45" i="77"/>
  <c r="AO29" i="77"/>
  <c r="AN45" i="77"/>
  <c r="AN29" i="77"/>
  <c r="AM45" i="77"/>
  <c r="AM29" i="77"/>
  <c r="AL45" i="77"/>
  <c r="AL29" i="77"/>
  <c r="AK45" i="77"/>
  <c r="AK29" i="77"/>
  <c r="AJ45" i="77"/>
  <c r="AJ29" i="77"/>
  <c r="AI45" i="77"/>
  <c r="AI29" i="77"/>
  <c r="AU16" i="77"/>
  <c r="AU23" i="77" s="1"/>
  <c r="AH23" i="77"/>
  <c r="AD45" i="77"/>
  <c r="AD29" i="77"/>
  <c r="AC45" i="77"/>
  <c r="AC29" i="77"/>
  <c r="AB45" i="77"/>
  <c r="AB29" i="77"/>
  <c r="AA45" i="77"/>
  <c r="AA29" i="77"/>
  <c r="Z45" i="77"/>
  <c r="Z29" i="77"/>
  <c r="Y45" i="77"/>
  <c r="Y29" i="77"/>
  <c r="X45" i="77"/>
  <c r="X29" i="77"/>
  <c r="W45" i="77"/>
  <c r="W29" i="77"/>
  <c r="V45" i="77"/>
  <c r="V29" i="77"/>
  <c r="U45" i="77"/>
  <c r="U29" i="77"/>
  <c r="T45" i="77"/>
  <c r="T29" i="77"/>
  <c r="AF16" i="77"/>
  <c r="AF23" i="77" s="1"/>
  <c r="S23" i="77"/>
  <c r="O45" i="77"/>
  <c r="O29" i="77"/>
  <c r="N45" i="77"/>
  <c r="N29" i="77"/>
  <c r="Q16" i="77"/>
  <c r="Q23" i="77" s="1"/>
  <c r="M23" i="77"/>
  <c r="AS20" i="77"/>
  <c r="AS22" i="77"/>
  <c r="AR20" i="77"/>
  <c r="AR22" i="77"/>
  <c r="AQ20" i="77"/>
  <c r="AQ22" i="77"/>
  <c r="AP20" i="77"/>
  <c r="AP22" i="77"/>
  <c r="AO20" i="77"/>
  <c r="AO22" i="77"/>
  <c r="AN20" i="77"/>
  <c r="AN22" i="77"/>
  <c r="AM20" i="77"/>
  <c r="AM22" i="77"/>
  <c r="AL20" i="77"/>
  <c r="AL22" i="77"/>
  <c r="AK20" i="77"/>
  <c r="AK22" i="77"/>
  <c r="AJ20" i="77"/>
  <c r="AJ22" i="77"/>
  <c r="AI20" i="77"/>
  <c r="AI22" i="77"/>
  <c r="AU11" i="77"/>
  <c r="AH20" i="77"/>
  <c r="AU15" i="77"/>
  <c r="AU22" i="77" s="1"/>
  <c r="AH22" i="77"/>
  <c r="AD20" i="77"/>
  <c r="AD22" i="77"/>
  <c r="AC20" i="77"/>
  <c r="AC22" i="77"/>
  <c r="AB20" i="77"/>
  <c r="AB22" i="77"/>
  <c r="AA20" i="77"/>
  <c r="AA22" i="77"/>
  <c r="Z20" i="77"/>
  <c r="Z22" i="77"/>
  <c r="Y20" i="77"/>
  <c r="Y22" i="77"/>
  <c r="X20" i="77"/>
  <c r="X22" i="77"/>
  <c r="W20" i="77"/>
  <c r="W22" i="77"/>
  <c r="V20" i="77"/>
  <c r="V22" i="77"/>
  <c r="U20" i="77"/>
  <c r="U22" i="77"/>
  <c r="T20" i="77"/>
  <c r="T22" i="77"/>
  <c r="AF11" i="77"/>
  <c r="S20" i="77"/>
  <c r="AF15" i="77"/>
  <c r="AF22" i="77" s="1"/>
  <c r="S22" i="77"/>
  <c r="O20" i="77"/>
  <c r="O22" i="77"/>
  <c r="N20" i="77"/>
  <c r="N22" i="77"/>
  <c r="M20" i="77"/>
  <c r="Q15" i="77"/>
  <c r="Q22" i="77" s="1"/>
  <c r="M22" i="77"/>
  <c r="AW106" i="30"/>
  <c r="AX106" i="30" s="1"/>
  <c r="AW104" i="30"/>
  <c r="AX104" i="30" s="1"/>
  <c r="AW100" i="30"/>
  <c r="AK27" i="35"/>
  <c r="AL27" i="35" s="1"/>
  <c r="AM27" i="35" s="1"/>
  <c r="AN27" i="35" s="1"/>
  <c r="AO27" i="35" s="1"/>
  <c r="AP27" i="35" s="1"/>
  <c r="AI27" i="35"/>
  <c r="AJ27" i="35" s="1"/>
  <c r="X49" i="35"/>
  <c r="U49" i="35"/>
  <c r="V49" i="35"/>
  <c r="Q36" i="69"/>
  <c r="R36" i="69"/>
  <c r="S36" i="69"/>
  <c r="T36" i="69"/>
  <c r="U36" i="69"/>
  <c r="V36" i="69"/>
  <c r="W36" i="69"/>
  <c r="X36" i="69"/>
  <c r="Y36" i="69"/>
  <c r="Z36" i="69"/>
  <c r="AA36" i="69"/>
  <c r="AB36" i="69"/>
  <c r="N60" i="75"/>
  <c r="N61" i="75"/>
  <c r="N62" i="75"/>
  <c r="N63" i="75"/>
  <c r="N64" i="75"/>
  <c r="N65" i="75"/>
  <c r="N66" i="75"/>
  <c r="N67" i="75"/>
  <c r="N58" i="75"/>
  <c r="N37" i="75"/>
  <c r="P37" i="75"/>
  <c r="N38" i="75"/>
  <c r="P38" i="75" s="1"/>
  <c r="N39" i="75"/>
  <c r="P39" i="75" s="1"/>
  <c r="N40" i="75"/>
  <c r="P40" i="75"/>
  <c r="N42" i="75"/>
  <c r="N36" i="75"/>
  <c r="P36" i="75" s="1"/>
  <c r="AK97" i="75"/>
  <c r="AK69" i="75"/>
  <c r="AK42" i="75"/>
  <c r="AK20" i="75"/>
  <c r="AK11" i="75"/>
  <c r="AE97" i="75"/>
  <c r="AE69" i="75"/>
  <c r="AE42" i="75"/>
  <c r="AE20" i="75"/>
  <c r="AE11" i="75"/>
  <c r="Y97" i="75"/>
  <c r="Y69" i="75"/>
  <c r="Y42" i="75"/>
  <c r="Y20" i="75"/>
  <c r="Y11" i="75"/>
  <c r="R97" i="75"/>
  <c r="R69" i="75"/>
  <c r="R42" i="75"/>
  <c r="R20" i="75"/>
  <c r="R11" i="75"/>
  <c r="L97" i="75"/>
  <c r="L69" i="75"/>
  <c r="L42" i="75"/>
  <c r="L20" i="75"/>
  <c r="L11" i="75"/>
  <c r="F97" i="75"/>
  <c r="F69" i="75"/>
  <c r="F42" i="75"/>
  <c r="F20" i="75"/>
  <c r="F11" i="75"/>
  <c r="AH97" i="75"/>
  <c r="AH69" i="75"/>
  <c r="AH42" i="75"/>
  <c r="AH20" i="75"/>
  <c r="AH11" i="75"/>
  <c r="AB97" i="75"/>
  <c r="AB69" i="75"/>
  <c r="AB42" i="75"/>
  <c r="AB20" i="75"/>
  <c r="AB11" i="75"/>
  <c r="V97" i="75"/>
  <c r="V69" i="75"/>
  <c r="V42" i="75"/>
  <c r="V20" i="75"/>
  <c r="V11" i="75"/>
  <c r="O97" i="75"/>
  <c r="O69" i="75"/>
  <c r="O42" i="75"/>
  <c r="O20" i="75"/>
  <c r="O11" i="75"/>
  <c r="I97" i="75"/>
  <c r="I69" i="75"/>
  <c r="I42" i="75"/>
  <c r="I20" i="75"/>
  <c r="I11" i="75"/>
  <c r="C97" i="75"/>
  <c r="C69" i="75"/>
  <c r="C42" i="75"/>
  <c r="C20" i="75"/>
  <c r="C11" i="75"/>
  <c r="R36" i="20"/>
  <c r="S36" i="20"/>
  <c r="T36" i="20"/>
  <c r="U36" i="20"/>
  <c r="V36" i="20"/>
  <c r="W36" i="20"/>
  <c r="X36" i="20"/>
  <c r="Y36" i="20"/>
  <c r="Z36" i="20"/>
  <c r="AA36" i="20"/>
  <c r="AB36" i="20"/>
  <c r="Q36" i="20"/>
  <c r="R36" i="22"/>
  <c r="S36" i="22"/>
  <c r="T36" i="22"/>
  <c r="U36" i="22"/>
  <c r="V36" i="22"/>
  <c r="W36" i="22"/>
  <c r="X36" i="22"/>
  <c r="Y36" i="22"/>
  <c r="Z36" i="22"/>
  <c r="AA36" i="22"/>
  <c r="Q36" i="22"/>
  <c r="AH122" i="30"/>
  <c r="C40" i="65"/>
  <c r="V156" i="30"/>
  <c r="AV136" i="30"/>
  <c r="AU136" i="30"/>
  <c r="AT136" i="30"/>
  <c r="AS136" i="30"/>
  <c r="AR136" i="30"/>
  <c r="AQ136" i="30"/>
  <c r="AP136" i="30"/>
  <c r="AO136" i="30"/>
  <c r="AN136" i="30"/>
  <c r="AM136" i="30"/>
  <c r="AL136" i="30"/>
  <c r="AK136" i="30"/>
  <c r="AG136" i="30"/>
  <c r="AF136" i="30"/>
  <c r="AE136" i="30"/>
  <c r="AD136" i="30"/>
  <c r="AC136" i="30"/>
  <c r="AB136" i="30"/>
  <c r="AA136" i="30"/>
  <c r="Z136" i="30"/>
  <c r="Y136" i="30"/>
  <c r="X136" i="30"/>
  <c r="W136" i="30"/>
  <c r="V136" i="30"/>
  <c r="Q136" i="30"/>
  <c r="P136" i="30"/>
  <c r="O136" i="30"/>
  <c r="N136" i="30"/>
  <c r="M136" i="30"/>
  <c r="L136" i="30"/>
  <c r="K136" i="30"/>
  <c r="J136" i="30"/>
  <c r="I136" i="30"/>
  <c r="H136" i="30"/>
  <c r="G136" i="30"/>
  <c r="F136" i="30"/>
  <c r="AV156" i="30"/>
  <c r="AU156" i="30"/>
  <c r="AT156" i="30"/>
  <c r="AS156" i="30"/>
  <c r="AR156" i="30"/>
  <c r="AQ156" i="30"/>
  <c r="AP156" i="30"/>
  <c r="AO156" i="30"/>
  <c r="AN156" i="30"/>
  <c r="AM156" i="30"/>
  <c r="AL156" i="30"/>
  <c r="AK156" i="30"/>
  <c r="AG156" i="30"/>
  <c r="AF156" i="30"/>
  <c r="AE156" i="30"/>
  <c r="AD156" i="30"/>
  <c r="AC156" i="30"/>
  <c r="AB156" i="30"/>
  <c r="AA156" i="30"/>
  <c r="Z156" i="30"/>
  <c r="Y156" i="30"/>
  <c r="X156" i="30"/>
  <c r="W156" i="30"/>
  <c r="Q156" i="30"/>
  <c r="P156" i="30"/>
  <c r="O156" i="30"/>
  <c r="N156" i="30"/>
  <c r="M156" i="30"/>
  <c r="L156" i="30"/>
  <c r="K156" i="30"/>
  <c r="J156" i="30"/>
  <c r="I156" i="30"/>
  <c r="H156" i="30"/>
  <c r="G156" i="30"/>
  <c r="F156" i="30"/>
  <c r="AD63" i="51"/>
  <c r="AC63" i="51"/>
  <c r="AB63" i="51"/>
  <c r="AA63" i="51"/>
  <c r="Z63" i="51"/>
  <c r="Y63" i="51"/>
  <c r="X63" i="51"/>
  <c r="W63" i="51"/>
  <c r="V63" i="51"/>
  <c r="U63" i="51"/>
  <c r="T63" i="51"/>
  <c r="S63" i="51"/>
  <c r="AO125" i="30"/>
  <c r="L77" i="32" l="1"/>
  <c r="L55" i="32"/>
  <c r="I77" i="32"/>
  <c r="I55" i="32"/>
  <c r="H77" i="32"/>
  <c r="H55" i="32"/>
  <c r="F77" i="32"/>
  <c r="F55" i="32"/>
  <c r="E77" i="32"/>
  <c r="E55" i="32"/>
  <c r="K49" i="32"/>
  <c r="K33" i="32"/>
  <c r="K75" i="32"/>
  <c r="K81" i="32" s="1"/>
  <c r="K53" i="32"/>
  <c r="J49" i="32"/>
  <c r="J33" i="32"/>
  <c r="J75" i="32"/>
  <c r="J81" i="32" s="1"/>
  <c r="J53" i="32"/>
  <c r="G49" i="32"/>
  <c r="G33" i="32"/>
  <c r="G75" i="32"/>
  <c r="G81" i="32" s="1"/>
  <c r="G53" i="32"/>
  <c r="D49" i="32"/>
  <c r="D33" i="32"/>
  <c r="D75" i="32"/>
  <c r="D81" i="32" s="1"/>
  <c r="D53" i="32"/>
  <c r="I77" i="66"/>
  <c r="I55" i="66"/>
  <c r="H77" i="66"/>
  <c r="H55" i="66"/>
  <c r="G77" i="66"/>
  <c r="G55" i="66"/>
  <c r="F77" i="66"/>
  <c r="F55" i="66"/>
  <c r="E77" i="66"/>
  <c r="E55" i="66"/>
  <c r="D77" i="66"/>
  <c r="D55" i="66"/>
  <c r="L49" i="66"/>
  <c r="L33" i="66"/>
  <c r="L75" i="66"/>
  <c r="L81" i="66" s="1"/>
  <c r="L53" i="66"/>
  <c r="K49" i="66"/>
  <c r="K33" i="66"/>
  <c r="K75" i="66"/>
  <c r="K81" i="66" s="1"/>
  <c r="K53" i="66"/>
  <c r="J49" i="66"/>
  <c r="J33" i="66"/>
  <c r="J75" i="66"/>
  <c r="J81" i="66" s="1"/>
  <c r="J53" i="66"/>
  <c r="M44" i="77"/>
  <c r="M28" i="77"/>
  <c r="Q44" i="77"/>
  <c r="Q28" i="77"/>
  <c r="M21" i="77"/>
  <c r="Q20" i="77"/>
  <c r="M26" i="77"/>
  <c r="N44" i="77"/>
  <c r="N28" i="77"/>
  <c r="N21" i="77"/>
  <c r="N26" i="77"/>
  <c r="O44" i="77"/>
  <c r="O28" i="77"/>
  <c r="O21" i="77"/>
  <c r="O26" i="77"/>
  <c r="S44" i="77"/>
  <c r="S28" i="77"/>
  <c r="AF44" i="77"/>
  <c r="AF28" i="77"/>
  <c r="S21" i="77"/>
  <c r="AF20" i="77"/>
  <c r="AF21" i="77" s="1"/>
  <c r="S26" i="77"/>
  <c r="AF26" i="77"/>
  <c r="AF96" i="77"/>
  <c r="AF70" i="77"/>
  <c r="T44" i="77"/>
  <c r="T28" i="77"/>
  <c r="T21" i="77"/>
  <c r="T26" i="77"/>
  <c r="U44" i="77"/>
  <c r="U28" i="77"/>
  <c r="U21" i="77"/>
  <c r="U26" i="77"/>
  <c r="V44" i="77"/>
  <c r="V28" i="77"/>
  <c r="V21" i="77"/>
  <c r="V26" i="77"/>
  <c r="W44" i="77"/>
  <c r="W28" i="77"/>
  <c r="W21" i="77"/>
  <c r="W26" i="77"/>
  <c r="X44" i="77"/>
  <c r="X28" i="77"/>
  <c r="X21" i="77"/>
  <c r="X26" i="77"/>
  <c r="Y44" i="77"/>
  <c r="Y28" i="77"/>
  <c r="Y21" i="77"/>
  <c r="Y26" i="77"/>
  <c r="Z44" i="77"/>
  <c r="Z28" i="77"/>
  <c r="Z21" i="77"/>
  <c r="Z26" i="77"/>
  <c r="AA44" i="77"/>
  <c r="AA28" i="77"/>
  <c r="AA21" i="77"/>
  <c r="AA26" i="77"/>
  <c r="AB44" i="77"/>
  <c r="AB28" i="77"/>
  <c r="AB21" i="77"/>
  <c r="AB26" i="77"/>
  <c r="AC44" i="77"/>
  <c r="AC28" i="77"/>
  <c r="AC21" i="77"/>
  <c r="AC26" i="77"/>
  <c r="AD44" i="77"/>
  <c r="AD28" i="77"/>
  <c r="AD21" i="77"/>
  <c r="AD26" i="77"/>
  <c r="AH44" i="77"/>
  <c r="AH28" i="77"/>
  <c r="AU44" i="77"/>
  <c r="AU28" i="77"/>
  <c r="AH21" i="77"/>
  <c r="AU20" i="77"/>
  <c r="AU21" i="77" s="1"/>
  <c r="AH26" i="77"/>
  <c r="AU26" i="77"/>
  <c r="AU96" i="77"/>
  <c r="AI44" i="77"/>
  <c r="AI28" i="77"/>
  <c r="AI21" i="77"/>
  <c r="AI26" i="77"/>
  <c r="AJ44" i="77"/>
  <c r="AJ28" i="77"/>
  <c r="AJ21" i="77"/>
  <c r="AJ26" i="77"/>
  <c r="AK44" i="77"/>
  <c r="AK28" i="77"/>
  <c r="AK21" i="77"/>
  <c r="AK26" i="77"/>
  <c r="AL44" i="77"/>
  <c r="AL28" i="77"/>
  <c r="AL21" i="77"/>
  <c r="AL26" i="77"/>
  <c r="AM44" i="77"/>
  <c r="AM28" i="77"/>
  <c r="AM21" i="77"/>
  <c r="AM26" i="77"/>
  <c r="AN44" i="77"/>
  <c r="AN28" i="77"/>
  <c r="AN21" i="77"/>
  <c r="AN26" i="77"/>
  <c r="AO44" i="77"/>
  <c r="AO28" i="77"/>
  <c r="AO21" i="77"/>
  <c r="AO26" i="77"/>
  <c r="AP44" i="77"/>
  <c r="AP28" i="77"/>
  <c r="AP21" i="77"/>
  <c r="AP26" i="77"/>
  <c r="AQ44" i="77"/>
  <c r="AQ28" i="77"/>
  <c r="AQ21" i="77"/>
  <c r="AQ26" i="77"/>
  <c r="AR44" i="77"/>
  <c r="AR28" i="77"/>
  <c r="AR21" i="77"/>
  <c r="AR26" i="77"/>
  <c r="AS44" i="77"/>
  <c r="AS28" i="77"/>
  <c r="AS21" i="77"/>
  <c r="AS26" i="77"/>
  <c r="M45" i="77"/>
  <c r="M29" i="77"/>
  <c r="Q45" i="77"/>
  <c r="Q29" i="77"/>
  <c r="N72" i="77"/>
  <c r="N78" i="77" s="1"/>
  <c r="N51" i="77"/>
  <c r="O72" i="77"/>
  <c r="O78" i="77" s="1"/>
  <c r="O51" i="77"/>
  <c r="S45" i="77"/>
  <c r="S29" i="77"/>
  <c r="AF45" i="77"/>
  <c r="AF29" i="77"/>
  <c r="T72" i="77"/>
  <c r="T78" i="77" s="1"/>
  <c r="T51" i="77"/>
  <c r="U72" i="77"/>
  <c r="U78" i="77" s="1"/>
  <c r="U51" i="77"/>
  <c r="V72" i="77"/>
  <c r="V78" i="77" s="1"/>
  <c r="V51" i="77"/>
  <c r="W72" i="77"/>
  <c r="W78" i="77" s="1"/>
  <c r="W51" i="77"/>
  <c r="X72" i="77"/>
  <c r="X78" i="77" s="1"/>
  <c r="X51" i="77"/>
  <c r="Y72" i="77"/>
  <c r="Y78" i="77" s="1"/>
  <c r="Y51" i="77"/>
  <c r="Z72" i="77"/>
  <c r="Z78" i="77" s="1"/>
  <c r="Z51" i="77"/>
  <c r="AA72" i="77"/>
  <c r="AA78" i="77" s="1"/>
  <c r="AA51" i="77"/>
  <c r="AB72" i="77"/>
  <c r="AB78" i="77" s="1"/>
  <c r="AB51" i="77"/>
  <c r="AC72" i="77"/>
  <c r="AC78" i="77" s="1"/>
  <c r="AC51" i="77"/>
  <c r="AD72" i="77"/>
  <c r="AD78" i="77" s="1"/>
  <c r="AD51" i="77"/>
  <c r="AH45" i="77"/>
  <c r="AH29" i="77"/>
  <c r="AU45" i="77"/>
  <c r="AU29" i="77"/>
  <c r="AI72" i="77"/>
  <c r="AI78" i="77" s="1"/>
  <c r="AI51" i="77"/>
  <c r="AJ72" i="77"/>
  <c r="AJ78" i="77" s="1"/>
  <c r="AJ51" i="77"/>
  <c r="AK72" i="77"/>
  <c r="AK78" i="77" s="1"/>
  <c r="AK51" i="77"/>
  <c r="AL72" i="77"/>
  <c r="AL78" i="77" s="1"/>
  <c r="AL51" i="77"/>
  <c r="AM72" i="77"/>
  <c r="AM78" i="77" s="1"/>
  <c r="AM51" i="77"/>
  <c r="AN72" i="77"/>
  <c r="AN78" i="77" s="1"/>
  <c r="AN51" i="77"/>
  <c r="AO72" i="77"/>
  <c r="AO78" i="77" s="1"/>
  <c r="AO51" i="77"/>
  <c r="AP72" i="77"/>
  <c r="AP78" i="77" s="1"/>
  <c r="AP51" i="77"/>
  <c r="AQ72" i="77"/>
  <c r="AQ78" i="77" s="1"/>
  <c r="AQ51" i="77"/>
  <c r="AR72" i="77"/>
  <c r="AR78" i="77" s="1"/>
  <c r="AR51" i="77"/>
  <c r="AS72" i="77"/>
  <c r="AS78" i="77" s="1"/>
  <c r="AS51" i="77"/>
  <c r="M46" i="77"/>
  <c r="M30" i="77"/>
  <c r="Q46" i="77"/>
  <c r="Q30" i="77"/>
  <c r="N73" i="77"/>
  <c r="N79" i="77" s="1"/>
  <c r="N52" i="77"/>
  <c r="O73" i="77"/>
  <c r="O79" i="77" s="1"/>
  <c r="O52" i="77"/>
  <c r="S46" i="77"/>
  <c r="S30" i="77"/>
  <c r="AF46" i="77"/>
  <c r="AF30" i="77"/>
  <c r="T73" i="77"/>
  <c r="T79" i="77" s="1"/>
  <c r="T52" i="77"/>
  <c r="U73" i="77"/>
  <c r="U79" i="77" s="1"/>
  <c r="U52" i="77"/>
  <c r="V73" i="77"/>
  <c r="V79" i="77" s="1"/>
  <c r="V52" i="77"/>
  <c r="W73" i="77"/>
  <c r="W79" i="77" s="1"/>
  <c r="W52" i="77"/>
  <c r="X73" i="77"/>
  <c r="X79" i="77" s="1"/>
  <c r="X52" i="77"/>
  <c r="Y73" i="77"/>
  <c r="Y79" i="77" s="1"/>
  <c r="Y52" i="77"/>
  <c r="Z73" i="77"/>
  <c r="Z79" i="77" s="1"/>
  <c r="Z52" i="77"/>
  <c r="AA73" i="77"/>
  <c r="AA79" i="77" s="1"/>
  <c r="AA52" i="77"/>
  <c r="AB73" i="77"/>
  <c r="AB79" i="77" s="1"/>
  <c r="AB52" i="77"/>
  <c r="AC73" i="77"/>
  <c r="AC79" i="77" s="1"/>
  <c r="AC52" i="77"/>
  <c r="AD73" i="77"/>
  <c r="AD79" i="77" s="1"/>
  <c r="AD52" i="77"/>
  <c r="AH46" i="77"/>
  <c r="AH30" i="77"/>
  <c r="AU46" i="77"/>
  <c r="AU30" i="77"/>
  <c r="AI73" i="77"/>
  <c r="AI79" i="77" s="1"/>
  <c r="AI52" i="77"/>
  <c r="AJ73" i="77"/>
  <c r="AJ79" i="77" s="1"/>
  <c r="AJ52" i="77"/>
  <c r="AK73" i="77"/>
  <c r="AK79" i="77" s="1"/>
  <c r="AK52" i="77"/>
  <c r="AL73" i="77"/>
  <c r="AL79" i="77" s="1"/>
  <c r="AL52" i="77"/>
  <c r="AM73" i="77"/>
  <c r="AM79" i="77" s="1"/>
  <c r="AM52" i="77"/>
  <c r="AN73" i="77"/>
  <c r="AN79" i="77" s="1"/>
  <c r="AN52" i="77"/>
  <c r="AO73" i="77"/>
  <c r="AO79" i="77" s="1"/>
  <c r="AO52" i="77"/>
  <c r="AP73" i="77"/>
  <c r="AP79" i="77" s="1"/>
  <c r="AP52" i="77"/>
  <c r="AQ73" i="77"/>
  <c r="AQ79" i="77" s="1"/>
  <c r="AQ52" i="77"/>
  <c r="AR73" i="77"/>
  <c r="AR79" i="77" s="1"/>
  <c r="AR52" i="77"/>
  <c r="AS73" i="77"/>
  <c r="AS79" i="77" s="1"/>
  <c r="AS52" i="77"/>
  <c r="D75" i="77"/>
  <c r="D54" i="77"/>
  <c r="E97" i="77"/>
  <c r="E98" i="77" s="1"/>
  <c r="E81" i="77"/>
  <c r="F97" i="77"/>
  <c r="F98" i="77" s="1"/>
  <c r="F81" i="77"/>
  <c r="G97" i="77"/>
  <c r="G98" i="77" s="1"/>
  <c r="G81" i="77"/>
  <c r="H97" i="77"/>
  <c r="H98" i="77" s="1"/>
  <c r="H81" i="77"/>
  <c r="I97" i="77"/>
  <c r="I98" i="77" s="1"/>
  <c r="I81" i="77"/>
  <c r="J97" i="77"/>
  <c r="J98" i="77" s="1"/>
  <c r="J81" i="77"/>
  <c r="K97" i="77"/>
  <c r="K98" i="77" s="1"/>
  <c r="K81" i="77"/>
  <c r="L74" i="77"/>
  <c r="L80" i="77" s="1"/>
  <c r="L53" i="77"/>
  <c r="L48" i="77"/>
  <c r="L32" i="77"/>
  <c r="Q74" i="77"/>
  <c r="Q80" i="77" s="1"/>
  <c r="Q53" i="77"/>
  <c r="S74" i="77"/>
  <c r="S80" i="77" s="1"/>
  <c r="S53" i="77"/>
  <c r="AF74" i="77"/>
  <c r="AF80" i="77" s="1"/>
  <c r="AF53" i="77"/>
  <c r="AH74" i="77"/>
  <c r="AH80" i="77" s="1"/>
  <c r="AH53" i="77"/>
  <c r="AU74" i="77"/>
  <c r="AU80" i="77" s="1"/>
  <c r="AU53" i="77"/>
  <c r="AU42" i="77"/>
  <c r="AU43" i="77" s="1"/>
  <c r="AF42" i="77"/>
  <c r="AF43" i="77" s="1"/>
  <c r="Q42" i="77"/>
  <c r="Q43" i="77" s="1"/>
  <c r="Y49" i="35"/>
  <c r="R136" i="30"/>
  <c r="AW156" i="30"/>
  <c r="AH136" i="30"/>
  <c r="AW136" i="30"/>
  <c r="R156" i="30"/>
  <c r="AH156" i="30"/>
  <c r="AH59" i="30"/>
  <c r="AW59" i="30"/>
  <c r="AW71" i="30"/>
  <c r="AH71" i="30"/>
  <c r="AC59" i="63"/>
  <c r="S60" i="63"/>
  <c r="T60" i="63"/>
  <c r="U60" i="63"/>
  <c r="V60" i="63"/>
  <c r="W60" i="63"/>
  <c r="X60" i="63"/>
  <c r="Y60" i="63"/>
  <c r="Z60" i="63"/>
  <c r="AA60" i="63"/>
  <c r="AB60" i="63"/>
  <c r="AC60" i="63"/>
  <c r="AD60" i="63"/>
  <c r="AH60" i="63"/>
  <c r="AI60" i="63"/>
  <c r="AJ60" i="63"/>
  <c r="AK60" i="63"/>
  <c r="AL60" i="63"/>
  <c r="AM60" i="63"/>
  <c r="AN60" i="63"/>
  <c r="AO60" i="63"/>
  <c r="AP60" i="63"/>
  <c r="AQ60" i="63"/>
  <c r="AR60" i="63"/>
  <c r="AS60" i="63"/>
  <c r="S59" i="63"/>
  <c r="S68" i="61"/>
  <c r="T68" i="61"/>
  <c r="U68" i="61"/>
  <c r="V68" i="61"/>
  <c r="W68" i="61"/>
  <c r="X68" i="61"/>
  <c r="Y68" i="61"/>
  <c r="Z68" i="61"/>
  <c r="AA68" i="61"/>
  <c r="AB68" i="61"/>
  <c r="AC68" i="61"/>
  <c r="AD68" i="61"/>
  <c r="AH68" i="61"/>
  <c r="AI68" i="61"/>
  <c r="AJ68" i="61"/>
  <c r="AK68" i="61"/>
  <c r="AL68" i="61"/>
  <c r="AM68" i="61"/>
  <c r="AN68" i="61"/>
  <c r="AO68" i="61"/>
  <c r="AP68" i="61"/>
  <c r="AQ68" i="61"/>
  <c r="AR68" i="61"/>
  <c r="AS68" i="61"/>
  <c r="S68" i="57"/>
  <c r="T68" i="57"/>
  <c r="U68" i="57"/>
  <c r="V68" i="57"/>
  <c r="W68" i="57"/>
  <c r="X68" i="57"/>
  <c r="Y68" i="57"/>
  <c r="Z68" i="57"/>
  <c r="AA68" i="57"/>
  <c r="AB68" i="57"/>
  <c r="AC68" i="57"/>
  <c r="AD68" i="57"/>
  <c r="AH68" i="57"/>
  <c r="AI68" i="57"/>
  <c r="AJ68" i="57"/>
  <c r="AK68" i="57"/>
  <c r="AL68" i="57"/>
  <c r="AM68" i="57"/>
  <c r="AN68" i="57"/>
  <c r="AO68" i="57"/>
  <c r="AP68" i="57"/>
  <c r="AQ68" i="57"/>
  <c r="AR68" i="57"/>
  <c r="AS68" i="57"/>
  <c r="N66" i="62"/>
  <c r="O66" i="62"/>
  <c r="S66" i="62"/>
  <c r="T66" i="62"/>
  <c r="U66" i="62"/>
  <c r="V66" i="62"/>
  <c r="W66" i="62"/>
  <c r="X66" i="62"/>
  <c r="Y66" i="62"/>
  <c r="Z66" i="62"/>
  <c r="AA66" i="62"/>
  <c r="AB66" i="62"/>
  <c r="AC66" i="62"/>
  <c r="AD66" i="62"/>
  <c r="AH66" i="62"/>
  <c r="AI66" i="62"/>
  <c r="AJ66" i="62"/>
  <c r="AK66" i="62"/>
  <c r="AL66" i="62"/>
  <c r="AM66" i="62"/>
  <c r="AN66" i="62"/>
  <c r="AO66" i="62"/>
  <c r="AP66" i="62"/>
  <c r="AQ66" i="62"/>
  <c r="AR66" i="62"/>
  <c r="AS66" i="62"/>
  <c r="M66" i="62"/>
  <c r="N68" i="63"/>
  <c r="O68" i="63"/>
  <c r="S68" i="63"/>
  <c r="T68" i="63"/>
  <c r="U68" i="63"/>
  <c r="V68" i="63"/>
  <c r="W68" i="63"/>
  <c r="X68" i="63"/>
  <c r="Y68" i="63"/>
  <c r="Z68" i="63"/>
  <c r="AA68" i="63"/>
  <c r="AB68" i="63"/>
  <c r="AC68" i="63"/>
  <c r="AD68" i="63"/>
  <c r="AH68" i="63"/>
  <c r="AI68" i="63"/>
  <c r="AJ68" i="63"/>
  <c r="AK68" i="63"/>
  <c r="AL68" i="63"/>
  <c r="AM68" i="63"/>
  <c r="AN68" i="63"/>
  <c r="AO68" i="63"/>
  <c r="AP68" i="63"/>
  <c r="AQ68" i="63"/>
  <c r="AR68" i="63"/>
  <c r="AS68" i="63"/>
  <c r="M68" i="63"/>
  <c r="R59" i="30"/>
  <c r="Q68" i="57" l="1"/>
  <c r="AX71" i="30"/>
  <c r="J77" i="66"/>
  <c r="J55" i="66"/>
  <c r="K77" i="66"/>
  <c r="K55" i="66"/>
  <c r="L77" i="66"/>
  <c r="L55" i="66"/>
  <c r="D83" i="66"/>
  <c r="D101" i="66"/>
  <c r="D102" i="66" s="1"/>
  <c r="E83" i="66"/>
  <c r="E101" i="66"/>
  <c r="E102" i="66" s="1"/>
  <c r="F83" i="66"/>
  <c r="F101" i="66"/>
  <c r="F102" i="66" s="1"/>
  <c r="G83" i="66"/>
  <c r="G101" i="66"/>
  <c r="H83" i="66"/>
  <c r="H101" i="66"/>
  <c r="H102" i="66" s="1"/>
  <c r="I83" i="66"/>
  <c r="I101" i="66"/>
  <c r="I102" i="66" s="1"/>
  <c r="D77" i="32"/>
  <c r="D55" i="32"/>
  <c r="G77" i="32"/>
  <c r="G55" i="32"/>
  <c r="J77" i="32"/>
  <c r="J55" i="32"/>
  <c r="K77" i="32"/>
  <c r="K55" i="32"/>
  <c r="E83" i="32"/>
  <c r="E101" i="32"/>
  <c r="E102" i="32" s="1"/>
  <c r="F83" i="32"/>
  <c r="F101" i="32"/>
  <c r="F102" i="32" s="1"/>
  <c r="H83" i="32"/>
  <c r="H101" i="32"/>
  <c r="H102" i="32" s="1"/>
  <c r="I83" i="32"/>
  <c r="I101" i="32"/>
  <c r="I102" i="32" s="1"/>
  <c r="L83" i="32"/>
  <c r="L101" i="32"/>
  <c r="L102" i="32" s="1"/>
  <c r="L75" i="77"/>
  <c r="L54" i="77"/>
  <c r="D97" i="77"/>
  <c r="D98" i="77" s="1"/>
  <c r="D81" i="77"/>
  <c r="AU73" i="77"/>
  <c r="AU79" i="77" s="1"/>
  <c r="AU52" i="77"/>
  <c r="AH73" i="77"/>
  <c r="AH79" i="77" s="1"/>
  <c r="AH52" i="77"/>
  <c r="AF73" i="77"/>
  <c r="AF79" i="77" s="1"/>
  <c r="AF52" i="77"/>
  <c r="S73" i="77"/>
  <c r="S79" i="77" s="1"/>
  <c r="S52" i="77"/>
  <c r="Q73" i="77"/>
  <c r="Q79" i="77" s="1"/>
  <c r="Q52" i="77"/>
  <c r="M73" i="77"/>
  <c r="M79" i="77" s="1"/>
  <c r="M52" i="77"/>
  <c r="AU72" i="77"/>
  <c r="AU78" i="77" s="1"/>
  <c r="AU51" i="77"/>
  <c r="AH72" i="77"/>
  <c r="AH78" i="77" s="1"/>
  <c r="AH51" i="77"/>
  <c r="AF72" i="77"/>
  <c r="AF78" i="77" s="1"/>
  <c r="AF51" i="77"/>
  <c r="S72" i="77"/>
  <c r="S78" i="77" s="1"/>
  <c r="S51" i="77"/>
  <c r="Q72" i="77"/>
  <c r="Q78" i="77" s="1"/>
  <c r="Q51" i="77"/>
  <c r="M72" i="77"/>
  <c r="M78" i="77" s="1"/>
  <c r="M51" i="77"/>
  <c r="AS48" i="77"/>
  <c r="AS32" i="77"/>
  <c r="AS71" i="77"/>
  <c r="AS77" i="77" s="1"/>
  <c r="AS50" i="77"/>
  <c r="AR48" i="77"/>
  <c r="AR32" i="77"/>
  <c r="AR71" i="77"/>
  <c r="AR77" i="77" s="1"/>
  <c r="AR50" i="77"/>
  <c r="AQ48" i="77"/>
  <c r="AQ32" i="77"/>
  <c r="AQ71" i="77"/>
  <c r="AQ77" i="77" s="1"/>
  <c r="AQ50" i="77"/>
  <c r="AP48" i="77"/>
  <c r="AP32" i="77"/>
  <c r="AP71" i="77"/>
  <c r="AP77" i="77" s="1"/>
  <c r="AP50" i="77"/>
  <c r="AO48" i="77"/>
  <c r="AO32" i="77"/>
  <c r="AO71" i="77"/>
  <c r="AO77" i="77" s="1"/>
  <c r="AO50" i="77"/>
  <c r="AN48" i="77"/>
  <c r="AN32" i="77"/>
  <c r="AN71" i="77"/>
  <c r="AN77" i="77" s="1"/>
  <c r="AN50" i="77"/>
  <c r="AM48" i="77"/>
  <c r="AM32" i="77"/>
  <c r="AM71" i="77"/>
  <c r="AM77" i="77" s="1"/>
  <c r="AM50" i="77"/>
  <c r="AL48" i="77"/>
  <c r="AL32" i="77"/>
  <c r="AL71" i="77"/>
  <c r="AL77" i="77" s="1"/>
  <c r="AL50" i="77"/>
  <c r="AK48" i="77"/>
  <c r="AK32" i="77"/>
  <c r="AK71" i="77"/>
  <c r="AK77" i="77" s="1"/>
  <c r="AK50" i="77"/>
  <c r="AJ48" i="77"/>
  <c r="AJ32" i="77"/>
  <c r="AJ71" i="77"/>
  <c r="AJ77" i="77" s="1"/>
  <c r="AJ50" i="77"/>
  <c r="AI48" i="77"/>
  <c r="AI32" i="77"/>
  <c r="AI71" i="77"/>
  <c r="AI77" i="77" s="1"/>
  <c r="AI50" i="77"/>
  <c r="AU48" i="77"/>
  <c r="AU32" i="77"/>
  <c r="AH48" i="77"/>
  <c r="AH32" i="77"/>
  <c r="AU71" i="77"/>
  <c r="AU77" i="77" s="1"/>
  <c r="AU50" i="77"/>
  <c r="AH71" i="77"/>
  <c r="AH77" i="77" s="1"/>
  <c r="AH50" i="77"/>
  <c r="AD48" i="77"/>
  <c r="AD32" i="77"/>
  <c r="AD71" i="77"/>
  <c r="AD77" i="77" s="1"/>
  <c r="AD50" i="77"/>
  <c r="AC48" i="77"/>
  <c r="AC32" i="77"/>
  <c r="AC71" i="77"/>
  <c r="AC77" i="77" s="1"/>
  <c r="AC50" i="77"/>
  <c r="AB48" i="77"/>
  <c r="AB32" i="77"/>
  <c r="AB71" i="77"/>
  <c r="AB77" i="77" s="1"/>
  <c r="AB50" i="77"/>
  <c r="AA48" i="77"/>
  <c r="AA32" i="77"/>
  <c r="AA71" i="77"/>
  <c r="AA77" i="77" s="1"/>
  <c r="AA50" i="77"/>
  <c r="Z48" i="77"/>
  <c r="Z32" i="77"/>
  <c r="Z71" i="77"/>
  <c r="Z77" i="77" s="1"/>
  <c r="Z50" i="77"/>
  <c r="Y48" i="77"/>
  <c r="Y32" i="77"/>
  <c r="Y71" i="77"/>
  <c r="Y77" i="77" s="1"/>
  <c r="Y50" i="77"/>
  <c r="X48" i="77"/>
  <c r="X32" i="77"/>
  <c r="X71" i="77"/>
  <c r="X77" i="77" s="1"/>
  <c r="X50" i="77"/>
  <c r="W48" i="77"/>
  <c r="W32" i="77"/>
  <c r="W71" i="77"/>
  <c r="W77" i="77" s="1"/>
  <c r="W50" i="77"/>
  <c r="V48" i="77"/>
  <c r="V32" i="77"/>
  <c r="V71" i="77"/>
  <c r="V77" i="77" s="1"/>
  <c r="V50" i="77"/>
  <c r="U48" i="77"/>
  <c r="U32" i="77"/>
  <c r="U71" i="77"/>
  <c r="U77" i="77" s="1"/>
  <c r="U50" i="77"/>
  <c r="T48" i="77"/>
  <c r="T32" i="77"/>
  <c r="T71" i="77"/>
  <c r="T77" i="77" s="1"/>
  <c r="T50" i="77"/>
  <c r="AF48" i="77"/>
  <c r="AF32" i="77"/>
  <c r="S48" i="77"/>
  <c r="S32" i="77"/>
  <c r="AF71" i="77"/>
  <c r="AF77" i="77" s="1"/>
  <c r="AF50" i="77"/>
  <c r="S71" i="77"/>
  <c r="S77" i="77" s="1"/>
  <c r="S50" i="77"/>
  <c r="O48" i="77"/>
  <c r="O32" i="77"/>
  <c r="O71" i="77"/>
  <c r="O77" i="77" s="1"/>
  <c r="O50" i="77"/>
  <c r="N48" i="77"/>
  <c r="N32" i="77"/>
  <c r="N71" i="77"/>
  <c r="N77" i="77" s="1"/>
  <c r="N50" i="77"/>
  <c r="M48" i="77"/>
  <c r="M32" i="77"/>
  <c r="Q21" i="77"/>
  <c r="Q26" i="77"/>
  <c r="Q71" i="77"/>
  <c r="Q77" i="77" s="1"/>
  <c r="Q50" i="77"/>
  <c r="M71" i="77"/>
  <c r="M77" i="77" s="1"/>
  <c r="M50" i="77"/>
  <c r="Q68" i="63"/>
  <c r="Q68" i="61"/>
  <c r="AX59" i="30"/>
  <c r="AI59" i="30"/>
  <c r="Z49" i="35"/>
  <c r="AF68" i="63"/>
  <c r="AF66" i="62"/>
  <c r="Q66" i="62"/>
  <c r="AF68" i="57"/>
  <c r="AF68" i="61"/>
  <c r="R71" i="30"/>
  <c r="AI71" i="30" s="1"/>
  <c r="C165" i="30"/>
  <c r="C166" i="30"/>
  <c r="C167" i="30"/>
  <c r="C168" i="30"/>
  <c r="C169" i="30"/>
  <c r="C170" i="30"/>
  <c r="C171" i="30"/>
  <c r="C172" i="30"/>
  <c r="C173" i="30"/>
  <c r="C174" i="30"/>
  <c r="C175" i="30"/>
  <c r="C176" i="30"/>
  <c r="C191" i="30"/>
  <c r="AK178" i="30"/>
  <c r="AL178" i="30"/>
  <c r="AM178" i="30"/>
  <c r="AN178" i="30"/>
  <c r="AO178" i="30"/>
  <c r="AP178" i="30"/>
  <c r="AQ178" i="30"/>
  <c r="AR178" i="30"/>
  <c r="AS178" i="30"/>
  <c r="AT178" i="30"/>
  <c r="AU178" i="30"/>
  <c r="AV178" i="30"/>
  <c r="V178" i="30"/>
  <c r="W178" i="30"/>
  <c r="X178" i="30"/>
  <c r="Y178" i="30"/>
  <c r="Z178" i="30"/>
  <c r="AA178" i="30"/>
  <c r="AB178" i="30"/>
  <c r="AC178" i="30"/>
  <c r="AD178" i="30"/>
  <c r="AE178" i="30"/>
  <c r="AF178" i="30"/>
  <c r="AG178" i="30"/>
  <c r="F178" i="30"/>
  <c r="G178" i="30"/>
  <c r="H178" i="30"/>
  <c r="I178" i="30"/>
  <c r="J178" i="30"/>
  <c r="K178" i="30"/>
  <c r="L178" i="30"/>
  <c r="M178" i="30"/>
  <c r="N178" i="30"/>
  <c r="O178" i="30"/>
  <c r="P178" i="30"/>
  <c r="Q178" i="30"/>
  <c r="AK159" i="30"/>
  <c r="AL159" i="30"/>
  <c r="AM159" i="30"/>
  <c r="AN159" i="30"/>
  <c r="AO159" i="30"/>
  <c r="AP159" i="30"/>
  <c r="AQ159" i="30"/>
  <c r="AR159" i="30"/>
  <c r="AS159" i="30"/>
  <c r="AT159" i="30"/>
  <c r="AU159" i="30"/>
  <c r="AV159" i="30"/>
  <c r="V159" i="30"/>
  <c r="W159" i="30"/>
  <c r="X159" i="30"/>
  <c r="Y159" i="30"/>
  <c r="Z159" i="30"/>
  <c r="AA159" i="30"/>
  <c r="AB159" i="30"/>
  <c r="AC159" i="30"/>
  <c r="AD159" i="30"/>
  <c r="AE159" i="30"/>
  <c r="AF159" i="30"/>
  <c r="AG159" i="30"/>
  <c r="F159" i="30"/>
  <c r="G159" i="30"/>
  <c r="H159" i="30"/>
  <c r="I159" i="30"/>
  <c r="J159" i="30"/>
  <c r="K159" i="30"/>
  <c r="L159" i="30"/>
  <c r="M159" i="30"/>
  <c r="N159" i="30"/>
  <c r="O159" i="30"/>
  <c r="P159" i="30"/>
  <c r="Q159" i="30"/>
  <c r="AK139" i="30"/>
  <c r="AL139" i="30"/>
  <c r="AM139" i="30"/>
  <c r="AN139" i="30"/>
  <c r="AO139" i="30"/>
  <c r="AP139" i="30"/>
  <c r="AQ139" i="30"/>
  <c r="AR139" i="30"/>
  <c r="AS139" i="30"/>
  <c r="AT139" i="30"/>
  <c r="AU139" i="30"/>
  <c r="AV139" i="30"/>
  <c r="V139" i="30"/>
  <c r="W139" i="30"/>
  <c r="X139" i="30"/>
  <c r="Y139" i="30"/>
  <c r="Z139" i="30"/>
  <c r="AA139" i="30"/>
  <c r="AB139" i="30"/>
  <c r="AC139" i="30"/>
  <c r="AD139" i="30"/>
  <c r="AE139" i="30"/>
  <c r="AF139" i="30"/>
  <c r="AG139" i="30"/>
  <c r="F139" i="30"/>
  <c r="G139" i="30"/>
  <c r="H139" i="30"/>
  <c r="I139" i="30"/>
  <c r="J139" i="30"/>
  <c r="K139" i="30"/>
  <c r="L139" i="30"/>
  <c r="M139" i="30"/>
  <c r="N139" i="30"/>
  <c r="O139" i="30"/>
  <c r="P139" i="30"/>
  <c r="Q139" i="30"/>
  <c r="F191" i="30"/>
  <c r="G191" i="30"/>
  <c r="H191" i="30"/>
  <c r="I191" i="30"/>
  <c r="J191" i="30"/>
  <c r="K191" i="30"/>
  <c r="L191" i="30"/>
  <c r="M191" i="30"/>
  <c r="N191" i="30"/>
  <c r="O191" i="30"/>
  <c r="P191" i="30"/>
  <c r="Q191" i="30"/>
  <c r="G165" i="30"/>
  <c r="H165" i="30"/>
  <c r="I165" i="30"/>
  <c r="J165" i="30"/>
  <c r="K165" i="30"/>
  <c r="L165" i="30"/>
  <c r="M165" i="30"/>
  <c r="N165" i="30"/>
  <c r="O165" i="30"/>
  <c r="P165" i="30"/>
  <c r="Q165" i="30"/>
  <c r="F166" i="30"/>
  <c r="G166" i="30"/>
  <c r="H166" i="30"/>
  <c r="I166" i="30"/>
  <c r="J166" i="30"/>
  <c r="K166" i="30"/>
  <c r="L166" i="30"/>
  <c r="M166" i="30"/>
  <c r="N166" i="30"/>
  <c r="O166" i="30"/>
  <c r="P166" i="30"/>
  <c r="Q166" i="30"/>
  <c r="F167" i="30"/>
  <c r="G167" i="30"/>
  <c r="H167" i="30"/>
  <c r="I167" i="30"/>
  <c r="J167" i="30"/>
  <c r="K167" i="30"/>
  <c r="L167" i="30"/>
  <c r="M167" i="30"/>
  <c r="N167" i="30"/>
  <c r="O167" i="30"/>
  <c r="P167" i="30"/>
  <c r="Q167" i="30"/>
  <c r="F168" i="30"/>
  <c r="G168" i="30"/>
  <c r="H168" i="30"/>
  <c r="I168" i="30"/>
  <c r="J168" i="30"/>
  <c r="K168" i="30"/>
  <c r="L168" i="30"/>
  <c r="M168" i="30"/>
  <c r="N168" i="30"/>
  <c r="O168" i="30"/>
  <c r="P168" i="30"/>
  <c r="Q168" i="30"/>
  <c r="F169" i="30"/>
  <c r="G169" i="30"/>
  <c r="H169" i="30"/>
  <c r="I169" i="30"/>
  <c r="J169" i="30"/>
  <c r="K169" i="30"/>
  <c r="L169" i="30"/>
  <c r="M169" i="30"/>
  <c r="N169" i="30"/>
  <c r="O169" i="30"/>
  <c r="P169" i="30"/>
  <c r="Q169" i="30"/>
  <c r="F170" i="30"/>
  <c r="G170" i="30"/>
  <c r="H170" i="30"/>
  <c r="I170" i="30"/>
  <c r="J170" i="30"/>
  <c r="K170" i="30"/>
  <c r="L170" i="30"/>
  <c r="M170" i="30"/>
  <c r="N170" i="30"/>
  <c r="O170" i="30"/>
  <c r="P170" i="30"/>
  <c r="Q170" i="30"/>
  <c r="F171" i="30"/>
  <c r="G171" i="30"/>
  <c r="H171" i="30"/>
  <c r="I171" i="30"/>
  <c r="J171" i="30"/>
  <c r="K171" i="30"/>
  <c r="L171" i="30"/>
  <c r="M171" i="30"/>
  <c r="N171" i="30"/>
  <c r="O171" i="30"/>
  <c r="P171" i="30"/>
  <c r="Q171" i="30"/>
  <c r="F172" i="30"/>
  <c r="G172" i="30"/>
  <c r="H172" i="30"/>
  <c r="I172" i="30"/>
  <c r="J172" i="30"/>
  <c r="K172" i="30"/>
  <c r="L172" i="30"/>
  <c r="M172" i="30"/>
  <c r="N172" i="30"/>
  <c r="O172" i="30"/>
  <c r="P172" i="30"/>
  <c r="Q172" i="30"/>
  <c r="F173" i="30"/>
  <c r="G173" i="30"/>
  <c r="H173" i="30"/>
  <c r="I173" i="30"/>
  <c r="J173" i="30"/>
  <c r="K173" i="30"/>
  <c r="L173" i="30"/>
  <c r="M173" i="30"/>
  <c r="N173" i="30"/>
  <c r="O173" i="30"/>
  <c r="P173" i="30"/>
  <c r="Q173" i="30"/>
  <c r="F174" i="30"/>
  <c r="G174" i="30"/>
  <c r="H174" i="30"/>
  <c r="I174" i="30"/>
  <c r="J174" i="30"/>
  <c r="K174" i="30"/>
  <c r="L174" i="30"/>
  <c r="M174" i="30"/>
  <c r="N174" i="30"/>
  <c r="O174" i="30"/>
  <c r="P174" i="30"/>
  <c r="Q174" i="30"/>
  <c r="F175" i="30"/>
  <c r="G175" i="30"/>
  <c r="H175" i="30"/>
  <c r="I175" i="30"/>
  <c r="J175" i="30"/>
  <c r="K175" i="30"/>
  <c r="L175" i="30"/>
  <c r="M175" i="30"/>
  <c r="N175" i="30"/>
  <c r="O175" i="30"/>
  <c r="P175" i="30"/>
  <c r="Q175" i="30"/>
  <c r="F176" i="30"/>
  <c r="G176" i="30"/>
  <c r="H176" i="30"/>
  <c r="I176" i="30"/>
  <c r="J176" i="30"/>
  <c r="K176" i="30"/>
  <c r="L176" i="30"/>
  <c r="M176" i="30"/>
  <c r="N176" i="30"/>
  <c r="O176" i="30"/>
  <c r="P176" i="30"/>
  <c r="Q176" i="30"/>
  <c r="F177" i="30"/>
  <c r="G177" i="30"/>
  <c r="H177" i="30"/>
  <c r="I177" i="30"/>
  <c r="J177" i="30"/>
  <c r="K177" i="30"/>
  <c r="L177" i="30"/>
  <c r="M177" i="30"/>
  <c r="N177" i="30"/>
  <c r="O177" i="30"/>
  <c r="P177" i="30"/>
  <c r="Q177" i="30"/>
  <c r="F161" i="30"/>
  <c r="G161" i="30"/>
  <c r="H161" i="30"/>
  <c r="I161" i="30"/>
  <c r="J161" i="30"/>
  <c r="K161" i="30"/>
  <c r="L161" i="30"/>
  <c r="M161" i="30"/>
  <c r="N161" i="30"/>
  <c r="O161" i="30"/>
  <c r="P161" i="30"/>
  <c r="Q161" i="30"/>
  <c r="F145" i="30"/>
  <c r="G145" i="30"/>
  <c r="H145" i="30"/>
  <c r="I145" i="30"/>
  <c r="J145" i="30"/>
  <c r="K145" i="30"/>
  <c r="L145" i="30"/>
  <c r="M145" i="30"/>
  <c r="N145" i="30"/>
  <c r="O145" i="30"/>
  <c r="P145" i="30"/>
  <c r="Q145" i="30"/>
  <c r="F146" i="30"/>
  <c r="G146" i="30"/>
  <c r="H146" i="30"/>
  <c r="I146" i="30"/>
  <c r="J146" i="30"/>
  <c r="K146" i="30"/>
  <c r="L146" i="30"/>
  <c r="M146" i="30"/>
  <c r="N146" i="30"/>
  <c r="O146" i="30"/>
  <c r="P146" i="30"/>
  <c r="Q146" i="30"/>
  <c r="F147" i="30"/>
  <c r="G147" i="30"/>
  <c r="H147" i="30"/>
  <c r="I147" i="30"/>
  <c r="J147" i="30"/>
  <c r="K147" i="30"/>
  <c r="L147" i="30"/>
  <c r="M147" i="30"/>
  <c r="N147" i="30"/>
  <c r="O147" i="30"/>
  <c r="P147" i="30"/>
  <c r="Q147" i="30"/>
  <c r="F148" i="30"/>
  <c r="G148" i="30"/>
  <c r="H148" i="30"/>
  <c r="I148" i="30"/>
  <c r="J148" i="30"/>
  <c r="K148" i="30"/>
  <c r="L148" i="30"/>
  <c r="M148" i="30"/>
  <c r="N148" i="30"/>
  <c r="O148" i="30"/>
  <c r="P148" i="30"/>
  <c r="Q148" i="30"/>
  <c r="F149" i="30"/>
  <c r="G149" i="30"/>
  <c r="H149" i="30"/>
  <c r="I149" i="30"/>
  <c r="J149" i="30"/>
  <c r="K149" i="30"/>
  <c r="L149" i="30"/>
  <c r="M149" i="30"/>
  <c r="N149" i="30"/>
  <c r="O149" i="30"/>
  <c r="P149" i="30"/>
  <c r="Q149" i="30"/>
  <c r="F150" i="30"/>
  <c r="G150" i="30"/>
  <c r="H150" i="30"/>
  <c r="I150" i="30"/>
  <c r="J150" i="30"/>
  <c r="K150" i="30"/>
  <c r="L150" i="30"/>
  <c r="M150" i="30"/>
  <c r="N150" i="30"/>
  <c r="O150" i="30"/>
  <c r="P150" i="30"/>
  <c r="Q150" i="30"/>
  <c r="F151" i="30"/>
  <c r="G151" i="30"/>
  <c r="H151" i="30"/>
  <c r="I151" i="30"/>
  <c r="J151" i="30"/>
  <c r="K151" i="30"/>
  <c r="L151" i="30"/>
  <c r="M151" i="30"/>
  <c r="N151" i="30"/>
  <c r="O151" i="30"/>
  <c r="P151" i="30"/>
  <c r="Q151" i="30"/>
  <c r="F152" i="30"/>
  <c r="G152" i="30"/>
  <c r="H152" i="30"/>
  <c r="I152" i="30"/>
  <c r="J152" i="30"/>
  <c r="K152" i="30"/>
  <c r="L152" i="30"/>
  <c r="M152" i="30"/>
  <c r="N152" i="30"/>
  <c r="O152" i="30"/>
  <c r="P152" i="30"/>
  <c r="Q152" i="30"/>
  <c r="F153" i="30"/>
  <c r="G153" i="30"/>
  <c r="H153" i="30"/>
  <c r="I153" i="30"/>
  <c r="J153" i="30"/>
  <c r="K153" i="30"/>
  <c r="L153" i="30"/>
  <c r="M153" i="30"/>
  <c r="N153" i="30"/>
  <c r="O153" i="30"/>
  <c r="P153" i="30"/>
  <c r="Q153" i="30"/>
  <c r="F154" i="30"/>
  <c r="G154" i="30"/>
  <c r="H154" i="30"/>
  <c r="I154" i="30"/>
  <c r="J154" i="30"/>
  <c r="K154" i="30"/>
  <c r="L154" i="30"/>
  <c r="M154" i="30"/>
  <c r="N154" i="30"/>
  <c r="O154" i="30"/>
  <c r="P154" i="30"/>
  <c r="Q154" i="30"/>
  <c r="F155" i="30"/>
  <c r="G155" i="30"/>
  <c r="H155" i="30"/>
  <c r="I155" i="30"/>
  <c r="J155" i="30"/>
  <c r="K155" i="30"/>
  <c r="L155" i="30"/>
  <c r="M155" i="30"/>
  <c r="N155" i="30"/>
  <c r="O155" i="30"/>
  <c r="P155" i="30"/>
  <c r="Q155" i="30"/>
  <c r="F157" i="30"/>
  <c r="G157" i="30"/>
  <c r="H157" i="30"/>
  <c r="I157" i="30"/>
  <c r="J157" i="30"/>
  <c r="K157" i="30"/>
  <c r="L157" i="30"/>
  <c r="M157" i="30"/>
  <c r="N157" i="30"/>
  <c r="O157" i="30"/>
  <c r="P157" i="30"/>
  <c r="Q157" i="30"/>
  <c r="F158" i="30"/>
  <c r="G158" i="30"/>
  <c r="H158" i="30"/>
  <c r="I158" i="30"/>
  <c r="J158" i="30"/>
  <c r="K158" i="30"/>
  <c r="L158" i="30"/>
  <c r="M158" i="30"/>
  <c r="N158" i="30"/>
  <c r="O158" i="30"/>
  <c r="P158" i="30"/>
  <c r="Q158" i="30"/>
  <c r="C16" i="62"/>
  <c r="V165" i="30"/>
  <c r="W165" i="30"/>
  <c r="X165" i="30"/>
  <c r="Y165" i="30"/>
  <c r="Z165" i="30"/>
  <c r="AA165" i="30"/>
  <c r="AB165" i="30"/>
  <c r="AC165" i="30"/>
  <c r="AD165" i="30"/>
  <c r="AE165" i="30"/>
  <c r="AF165" i="30"/>
  <c r="AG165" i="30"/>
  <c r="AK165" i="30"/>
  <c r="AL165" i="30"/>
  <c r="AM165" i="30"/>
  <c r="AN165" i="30"/>
  <c r="AO165" i="30"/>
  <c r="AP165" i="30"/>
  <c r="AQ165" i="30"/>
  <c r="AR165" i="30"/>
  <c r="AS165" i="30"/>
  <c r="AT165" i="30"/>
  <c r="AU165" i="30"/>
  <c r="AV165" i="30"/>
  <c r="V166" i="30"/>
  <c r="W166" i="30"/>
  <c r="X166" i="30"/>
  <c r="Y166" i="30"/>
  <c r="Z166" i="30"/>
  <c r="AA166" i="30"/>
  <c r="AB166" i="30"/>
  <c r="AC166" i="30"/>
  <c r="AD166" i="30"/>
  <c r="AE166" i="30"/>
  <c r="AF166" i="30"/>
  <c r="AG166" i="30"/>
  <c r="AK166" i="30"/>
  <c r="AL166" i="30"/>
  <c r="AM166" i="30"/>
  <c r="AN166" i="30"/>
  <c r="AO166" i="30"/>
  <c r="AP166" i="30"/>
  <c r="AQ166" i="30"/>
  <c r="AR166" i="30"/>
  <c r="AS166" i="30"/>
  <c r="AT166" i="30"/>
  <c r="AU166" i="30"/>
  <c r="AV166" i="30"/>
  <c r="V167" i="30"/>
  <c r="W167" i="30"/>
  <c r="X167" i="30"/>
  <c r="Y167" i="30"/>
  <c r="Z167" i="30"/>
  <c r="AA167" i="30"/>
  <c r="AB167" i="30"/>
  <c r="AC167" i="30"/>
  <c r="AD167" i="30"/>
  <c r="AE167" i="30"/>
  <c r="AF167" i="30"/>
  <c r="AG167" i="30"/>
  <c r="AK167" i="30"/>
  <c r="AL167" i="30"/>
  <c r="AM167" i="30"/>
  <c r="AN167" i="30"/>
  <c r="AO167" i="30"/>
  <c r="AP167" i="30"/>
  <c r="AQ167" i="30"/>
  <c r="AR167" i="30"/>
  <c r="AS167" i="30"/>
  <c r="AT167" i="30"/>
  <c r="AU167" i="30"/>
  <c r="AV167" i="30"/>
  <c r="V168" i="30"/>
  <c r="W168" i="30"/>
  <c r="X168" i="30"/>
  <c r="Y168" i="30"/>
  <c r="Z168" i="30"/>
  <c r="AA168" i="30"/>
  <c r="AB168" i="30"/>
  <c r="AC168" i="30"/>
  <c r="AD168" i="30"/>
  <c r="AE168" i="30"/>
  <c r="AF168" i="30"/>
  <c r="AG168" i="30"/>
  <c r="AK168" i="30"/>
  <c r="AL168" i="30"/>
  <c r="AM168" i="30"/>
  <c r="AN168" i="30"/>
  <c r="AO168" i="30"/>
  <c r="AP168" i="30"/>
  <c r="AQ168" i="30"/>
  <c r="AR168" i="30"/>
  <c r="AS168" i="30"/>
  <c r="AT168" i="30"/>
  <c r="AU168" i="30"/>
  <c r="AV168" i="30"/>
  <c r="V169" i="30"/>
  <c r="W169" i="30"/>
  <c r="X169" i="30"/>
  <c r="Y169" i="30"/>
  <c r="Z169" i="30"/>
  <c r="AA169" i="30"/>
  <c r="AB169" i="30"/>
  <c r="AC169" i="30"/>
  <c r="AD169" i="30"/>
  <c r="AE169" i="30"/>
  <c r="AF169" i="30"/>
  <c r="AG169" i="30"/>
  <c r="AK169" i="30"/>
  <c r="AL169" i="30"/>
  <c r="AM169" i="30"/>
  <c r="AN169" i="30"/>
  <c r="AO169" i="30"/>
  <c r="AP169" i="30"/>
  <c r="AQ169" i="30"/>
  <c r="AR169" i="30"/>
  <c r="AS169" i="30"/>
  <c r="AT169" i="30"/>
  <c r="AU169" i="30"/>
  <c r="AV169" i="30"/>
  <c r="V170" i="30"/>
  <c r="W170" i="30"/>
  <c r="X170" i="30"/>
  <c r="Y170" i="30"/>
  <c r="Z170" i="30"/>
  <c r="AA170" i="30"/>
  <c r="AB170" i="30"/>
  <c r="AC170" i="30"/>
  <c r="AD170" i="30"/>
  <c r="AE170" i="30"/>
  <c r="AF170" i="30"/>
  <c r="AG170" i="30"/>
  <c r="AK170" i="30"/>
  <c r="AL170" i="30"/>
  <c r="AM170" i="30"/>
  <c r="AN170" i="30"/>
  <c r="AO170" i="30"/>
  <c r="AP170" i="30"/>
  <c r="AQ170" i="30"/>
  <c r="AR170" i="30"/>
  <c r="AS170" i="30"/>
  <c r="AT170" i="30"/>
  <c r="AU170" i="30"/>
  <c r="AV170" i="30"/>
  <c r="V171" i="30"/>
  <c r="W171" i="30"/>
  <c r="X171" i="30"/>
  <c r="Y171" i="30"/>
  <c r="Z171" i="30"/>
  <c r="AA171" i="30"/>
  <c r="AB171" i="30"/>
  <c r="AC171" i="30"/>
  <c r="AD171" i="30"/>
  <c r="AE171" i="30"/>
  <c r="AF171" i="30"/>
  <c r="AG171" i="30"/>
  <c r="AK171" i="30"/>
  <c r="AL171" i="30"/>
  <c r="AM171" i="30"/>
  <c r="AN171" i="30"/>
  <c r="AO171" i="30"/>
  <c r="AP171" i="30"/>
  <c r="AQ171" i="30"/>
  <c r="AR171" i="30"/>
  <c r="AS171" i="30"/>
  <c r="AT171" i="30"/>
  <c r="AU171" i="30"/>
  <c r="AV171" i="30"/>
  <c r="V172" i="30"/>
  <c r="W172" i="30"/>
  <c r="X172" i="30"/>
  <c r="Y172" i="30"/>
  <c r="Z172" i="30"/>
  <c r="AA172" i="30"/>
  <c r="AB172" i="30"/>
  <c r="AC172" i="30"/>
  <c r="AD172" i="30"/>
  <c r="AE172" i="30"/>
  <c r="AF172" i="30"/>
  <c r="AG172" i="30"/>
  <c r="AK172" i="30"/>
  <c r="AL172" i="30"/>
  <c r="AM172" i="30"/>
  <c r="AN172" i="30"/>
  <c r="AO172" i="30"/>
  <c r="AP172" i="30"/>
  <c r="AQ172" i="30"/>
  <c r="AR172" i="30"/>
  <c r="AS172" i="30"/>
  <c r="AT172" i="30"/>
  <c r="AU172" i="30"/>
  <c r="AV172" i="30"/>
  <c r="V173" i="30"/>
  <c r="W173" i="30"/>
  <c r="X173" i="30"/>
  <c r="Y173" i="30"/>
  <c r="Z173" i="30"/>
  <c r="AA173" i="30"/>
  <c r="AB173" i="30"/>
  <c r="AC173" i="30"/>
  <c r="AD173" i="30"/>
  <c r="AE173" i="30"/>
  <c r="AF173" i="30"/>
  <c r="AG173" i="30"/>
  <c r="AK173" i="30"/>
  <c r="AL173" i="30"/>
  <c r="AM173" i="30"/>
  <c r="AN173" i="30"/>
  <c r="AO173" i="30"/>
  <c r="AP173" i="30"/>
  <c r="AQ173" i="30"/>
  <c r="AR173" i="30"/>
  <c r="AS173" i="30"/>
  <c r="AT173" i="30"/>
  <c r="AU173" i="30"/>
  <c r="AV173" i="30"/>
  <c r="V174" i="30"/>
  <c r="W174" i="30"/>
  <c r="X174" i="30"/>
  <c r="Y174" i="30"/>
  <c r="Z174" i="30"/>
  <c r="AA174" i="30"/>
  <c r="AB174" i="30"/>
  <c r="AC174" i="30"/>
  <c r="AD174" i="30"/>
  <c r="AE174" i="30"/>
  <c r="AF174" i="30"/>
  <c r="AG174" i="30"/>
  <c r="AK174" i="30"/>
  <c r="AL174" i="30"/>
  <c r="AM174" i="30"/>
  <c r="AN174" i="30"/>
  <c r="AO174" i="30"/>
  <c r="AP174" i="30"/>
  <c r="AQ174" i="30"/>
  <c r="AR174" i="30"/>
  <c r="AS174" i="30"/>
  <c r="AT174" i="30"/>
  <c r="AU174" i="30"/>
  <c r="AV174" i="30"/>
  <c r="V175" i="30"/>
  <c r="W175" i="30"/>
  <c r="X175" i="30"/>
  <c r="Y175" i="30"/>
  <c r="Z175" i="30"/>
  <c r="AA175" i="30"/>
  <c r="AB175" i="30"/>
  <c r="AC175" i="30"/>
  <c r="AD175" i="30"/>
  <c r="AE175" i="30"/>
  <c r="AF175" i="30"/>
  <c r="AG175" i="30"/>
  <c r="AK175" i="30"/>
  <c r="AL175" i="30"/>
  <c r="AM175" i="30"/>
  <c r="AN175" i="30"/>
  <c r="AO175" i="30"/>
  <c r="AP175" i="30"/>
  <c r="AQ175" i="30"/>
  <c r="AR175" i="30"/>
  <c r="AS175" i="30"/>
  <c r="AT175" i="30"/>
  <c r="AU175" i="30"/>
  <c r="AV175" i="30"/>
  <c r="V176" i="30"/>
  <c r="W176" i="30"/>
  <c r="X176" i="30"/>
  <c r="Y176" i="30"/>
  <c r="Z176" i="30"/>
  <c r="AA176" i="30"/>
  <c r="AB176" i="30"/>
  <c r="AC176" i="30"/>
  <c r="AD176" i="30"/>
  <c r="AE176" i="30"/>
  <c r="AF176" i="30"/>
  <c r="AG176" i="30"/>
  <c r="AK176" i="30"/>
  <c r="AL176" i="30"/>
  <c r="AM176" i="30"/>
  <c r="AN176" i="30"/>
  <c r="AO176" i="30"/>
  <c r="AP176" i="30"/>
  <c r="AQ176" i="30"/>
  <c r="AR176" i="30"/>
  <c r="AS176" i="30"/>
  <c r="AT176" i="30"/>
  <c r="AU176" i="30"/>
  <c r="AV176" i="30"/>
  <c r="V177" i="30"/>
  <c r="W177" i="30"/>
  <c r="X177" i="30"/>
  <c r="Y177" i="30"/>
  <c r="Z177" i="30"/>
  <c r="AA177" i="30"/>
  <c r="AB177" i="30"/>
  <c r="AC177" i="30"/>
  <c r="AD177" i="30"/>
  <c r="AE177" i="30"/>
  <c r="AF177" i="30"/>
  <c r="AG177" i="30"/>
  <c r="AK177" i="30"/>
  <c r="AL177" i="30"/>
  <c r="AM177" i="30"/>
  <c r="AN177" i="30"/>
  <c r="AO177" i="30"/>
  <c r="AP177" i="30"/>
  <c r="AQ177" i="30"/>
  <c r="AR177" i="30"/>
  <c r="AS177" i="30"/>
  <c r="AT177" i="30"/>
  <c r="AU177" i="30"/>
  <c r="AV177" i="30"/>
  <c r="V191" i="30"/>
  <c r="W191" i="30"/>
  <c r="X191" i="30"/>
  <c r="Y191" i="30"/>
  <c r="Z191" i="30"/>
  <c r="AA191" i="30"/>
  <c r="AB191" i="30"/>
  <c r="AC191" i="30"/>
  <c r="AD191" i="30"/>
  <c r="AE191" i="30"/>
  <c r="AF191" i="30"/>
  <c r="AG191" i="30"/>
  <c r="AK191" i="30"/>
  <c r="AL191" i="30"/>
  <c r="AM191" i="30"/>
  <c r="AN191" i="30"/>
  <c r="AO191" i="30"/>
  <c r="AP191" i="30"/>
  <c r="AQ191" i="30"/>
  <c r="AR191" i="30"/>
  <c r="AS191" i="30"/>
  <c r="AT191" i="30"/>
  <c r="AU191" i="30"/>
  <c r="AV191" i="30"/>
  <c r="AK145" i="30"/>
  <c r="AL145" i="30"/>
  <c r="AM145" i="30"/>
  <c r="AN145" i="30"/>
  <c r="AO145" i="30"/>
  <c r="AP145" i="30"/>
  <c r="AQ145" i="30"/>
  <c r="AR145" i="30"/>
  <c r="AS145" i="30"/>
  <c r="AT145" i="30"/>
  <c r="AU145" i="30"/>
  <c r="AV145" i="30"/>
  <c r="AK146" i="30"/>
  <c r="AL146" i="30"/>
  <c r="AM146" i="30"/>
  <c r="AN146" i="30"/>
  <c r="AO146" i="30"/>
  <c r="AP146" i="30"/>
  <c r="AQ146" i="30"/>
  <c r="AR146" i="30"/>
  <c r="AS146" i="30"/>
  <c r="AT146" i="30"/>
  <c r="AU146" i="30"/>
  <c r="AV146" i="30"/>
  <c r="AK147" i="30"/>
  <c r="AL147" i="30"/>
  <c r="AM147" i="30"/>
  <c r="AN147" i="30"/>
  <c r="AO147" i="30"/>
  <c r="AP147" i="30"/>
  <c r="AQ147" i="30"/>
  <c r="AR147" i="30"/>
  <c r="AS147" i="30"/>
  <c r="AT147" i="30"/>
  <c r="AU147" i="30"/>
  <c r="AV147" i="30"/>
  <c r="AK148" i="30"/>
  <c r="AL148" i="30"/>
  <c r="AM148" i="30"/>
  <c r="AN148" i="30"/>
  <c r="AO148" i="30"/>
  <c r="AP148" i="30"/>
  <c r="AQ148" i="30"/>
  <c r="AR148" i="30"/>
  <c r="AS148" i="30"/>
  <c r="AT148" i="30"/>
  <c r="AU148" i="30"/>
  <c r="AV148" i="30"/>
  <c r="AK149" i="30"/>
  <c r="AL149" i="30"/>
  <c r="AM149" i="30"/>
  <c r="AN149" i="30"/>
  <c r="AO149" i="30"/>
  <c r="AP149" i="30"/>
  <c r="AQ149" i="30"/>
  <c r="AR149" i="30"/>
  <c r="AS149" i="30"/>
  <c r="AT149" i="30"/>
  <c r="AU149" i="30"/>
  <c r="AV149" i="30"/>
  <c r="AK150" i="30"/>
  <c r="AL150" i="30"/>
  <c r="AM150" i="30"/>
  <c r="AN150" i="30"/>
  <c r="AO150" i="30"/>
  <c r="AP150" i="30"/>
  <c r="AQ150" i="30"/>
  <c r="AR150" i="30"/>
  <c r="AS150" i="30"/>
  <c r="AT150" i="30"/>
  <c r="AU150" i="30"/>
  <c r="AV150" i="30"/>
  <c r="AK151" i="30"/>
  <c r="AL151" i="30"/>
  <c r="AM151" i="30"/>
  <c r="AN151" i="30"/>
  <c r="AO151" i="30"/>
  <c r="AP151" i="30"/>
  <c r="AQ151" i="30"/>
  <c r="AR151" i="30"/>
  <c r="AS151" i="30"/>
  <c r="AT151" i="30"/>
  <c r="AU151" i="30"/>
  <c r="AV151" i="30"/>
  <c r="AK152" i="30"/>
  <c r="AL152" i="30"/>
  <c r="AM152" i="30"/>
  <c r="AN152" i="30"/>
  <c r="AO152" i="30"/>
  <c r="AP152" i="30"/>
  <c r="AQ152" i="30"/>
  <c r="AR152" i="30"/>
  <c r="AS152" i="30"/>
  <c r="AT152" i="30"/>
  <c r="AU152" i="30"/>
  <c r="AV152" i="30"/>
  <c r="AK153" i="30"/>
  <c r="AL153" i="30"/>
  <c r="AM153" i="30"/>
  <c r="AN153" i="30"/>
  <c r="AO153" i="30"/>
  <c r="AP153" i="30"/>
  <c r="AQ153" i="30"/>
  <c r="AR153" i="30"/>
  <c r="AS153" i="30"/>
  <c r="AT153" i="30"/>
  <c r="AU153" i="30"/>
  <c r="AV153" i="30"/>
  <c r="AK154" i="30"/>
  <c r="AL154" i="30"/>
  <c r="AM154" i="30"/>
  <c r="AN154" i="30"/>
  <c r="AO154" i="30"/>
  <c r="AP154" i="30"/>
  <c r="AQ154" i="30"/>
  <c r="AR154" i="30"/>
  <c r="AS154" i="30"/>
  <c r="AT154" i="30"/>
  <c r="AU154" i="30"/>
  <c r="AV154" i="30"/>
  <c r="AK155" i="30"/>
  <c r="AL155" i="30"/>
  <c r="AM155" i="30"/>
  <c r="AN155" i="30"/>
  <c r="AO155" i="30"/>
  <c r="AP155" i="30"/>
  <c r="AQ155" i="30"/>
  <c r="AR155" i="30"/>
  <c r="AS155" i="30"/>
  <c r="AT155" i="30"/>
  <c r="AU155" i="30"/>
  <c r="AV155" i="30"/>
  <c r="AK157" i="30"/>
  <c r="AL157" i="30"/>
  <c r="AM157" i="30"/>
  <c r="AN157" i="30"/>
  <c r="AO157" i="30"/>
  <c r="AP157" i="30"/>
  <c r="AQ157" i="30"/>
  <c r="AR157" i="30"/>
  <c r="AS157" i="30"/>
  <c r="AT157" i="30"/>
  <c r="AU157" i="30"/>
  <c r="AV157" i="30"/>
  <c r="AK158" i="30"/>
  <c r="AL158" i="30"/>
  <c r="AM158" i="30"/>
  <c r="AN158" i="30"/>
  <c r="AO158" i="30"/>
  <c r="AP158" i="30"/>
  <c r="AQ158" i="30"/>
  <c r="AR158" i="30"/>
  <c r="AS158" i="30"/>
  <c r="AT158" i="30"/>
  <c r="AU158" i="30"/>
  <c r="AV158" i="30"/>
  <c r="V145" i="30"/>
  <c r="W145" i="30"/>
  <c r="X145" i="30"/>
  <c r="Y145" i="30"/>
  <c r="Z145" i="30"/>
  <c r="AA145" i="30"/>
  <c r="AB145" i="30"/>
  <c r="AC145" i="30"/>
  <c r="AD145" i="30"/>
  <c r="AE145" i="30"/>
  <c r="AF145" i="30"/>
  <c r="AG145" i="30"/>
  <c r="V146" i="30"/>
  <c r="W146" i="30"/>
  <c r="X146" i="30"/>
  <c r="Y146" i="30"/>
  <c r="Z146" i="30"/>
  <c r="AA146" i="30"/>
  <c r="AB146" i="30"/>
  <c r="AC146" i="30"/>
  <c r="AD146" i="30"/>
  <c r="AE146" i="30"/>
  <c r="AF146" i="30"/>
  <c r="AG146" i="30"/>
  <c r="V147" i="30"/>
  <c r="W147" i="30"/>
  <c r="X147" i="30"/>
  <c r="Y147" i="30"/>
  <c r="Z147" i="30"/>
  <c r="AA147" i="30"/>
  <c r="AB147" i="30"/>
  <c r="AC147" i="30"/>
  <c r="AD147" i="30"/>
  <c r="AE147" i="30"/>
  <c r="AF147" i="30"/>
  <c r="AG147" i="30"/>
  <c r="V148" i="30"/>
  <c r="W148" i="30"/>
  <c r="X148" i="30"/>
  <c r="Y148" i="30"/>
  <c r="Z148" i="30"/>
  <c r="AA148" i="30"/>
  <c r="AB148" i="30"/>
  <c r="AC148" i="30"/>
  <c r="AD148" i="30"/>
  <c r="AE148" i="30"/>
  <c r="AF148" i="30"/>
  <c r="AG148" i="30"/>
  <c r="V149" i="30"/>
  <c r="W149" i="30"/>
  <c r="X149" i="30"/>
  <c r="Y149" i="30"/>
  <c r="Z149" i="30"/>
  <c r="AA149" i="30"/>
  <c r="AB149" i="30"/>
  <c r="AC149" i="30"/>
  <c r="AD149" i="30"/>
  <c r="AE149" i="30"/>
  <c r="AF149" i="30"/>
  <c r="AG149" i="30"/>
  <c r="V150" i="30"/>
  <c r="W150" i="30"/>
  <c r="X150" i="30"/>
  <c r="Y150" i="30"/>
  <c r="Z150" i="30"/>
  <c r="AA150" i="30"/>
  <c r="AB150" i="30"/>
  <c r="AC150" i="30"/>
  <c r="AD150" i="30"/>
  <c r="AE150" i="30"/>
  <c r="AF150" i="30"/>
  <c r="AG150" i="30"/>
  <c r="V151" i="30"/>
  <c r="W151" i="30"/>
  <c r="X151" i="30"/>
  <c r="Y151" i="30"/>
  <c r="Z151" i="30"/>
  <c r="AA151" i="30"/>
  <c r="AB151" i="30"/>
  <c r="AC151" i="30"/>
  <c r="AD151" i="30"/>
  <c r="AE151" i="30"/>
  <c r="AF151" i="30"/>
  <c r="AG151" i="30"/>
  <c r="V152" i="30"/>
  <c r="W152" i="30"/>
  <c r="X152" i="30"/>
  <c r="Y152" i="30"/>
  <c r="Z152" i="30"/>
  <c r="AA152" i="30"/>
  <c r="AB152" i="30"/>
  <c r="AC152" i="30"/>
  <c r="AD152" i="30"/>
  <c r="AE152" i="30"/>
  <c r="AF152" i="30"/>
  <c r="AG152" i="30"/>
  <c r="V153" i="30"/>
  <c r="W153" i="30"/>
  <c r="X153" i="30"/>
  <c r="Y153" i="30"/>
  <c r="Z153" i="30"/>
  <c r="AA153" i="30"/>
  <c r="AB153" i="30"/>
  <c r="AC153" i="30"/>
  <c r="AD153" i="30"/>
  <c r="AE153" i="30"/>
  <c r="AF153" i="30"/>
  <c r="AG153" i="30"/>
  <c r="V154" i="30"/>
  <c r="W154" i="30"/>
  <c r="X154" i="30"/>
  <c r="Y154" i="30"/>
  <c r="Z154" i="30"/>
  <c r="AA154" i="30"/>
  <c r="AB154" i="30"/>
  <c r="AC154" i="30"/>
  <c r="AD154" i="30"/>
  <c r="AE154" i="30"/>
  <c r="AF154" i="30"/>
  <c r="AG154" i="30"/>
  <c r="V155" i="30"/>
  <c r="W155" i="30"/>
  <c r="Y155" i="30"/>
  <c r="Z155" i="30"/>
  <c r="AA155" i="30"/>
  <c r="AB155" i="30"/>
  <c r="AC155" i="30"/>
  <c r="AD155" i="30"/>
  <c r="AE155" i="30"/>
  <c r="AG155" i="30"/>
  <c r="V157" i="30"/>
  <c r="W157" i="30"/>
  <c r="X157" i="30"/>
  <c r="Y157" i="30"/>
  <c r="Z157" i="30"/>
  <c r="AA157" i="30"/>
  <c r="AB157" i="30"/>
  <c r="AC157" i="30"/>
  <c r="AD157" i="30"/>
  <c r="AE157" i="30"/>
  <c r="AF157" i="30"/>
  <c r="AG157" i="30"/>
  <c r="V158" i="30"/>
  <c r="W158" i="30"/>
  <c r="X158" i="30"/>
  <c r="Y158" i="30"/>
  <c r="Z158" i="30"/>
  <c r="AA158" i="30"/>
  <c r="AB158" i="30"/>
  <c r="AC158" i="30"/>
  <c r="AD158" i="30"/>
  <c r="AE158" i="30"/>
  <c r="AF158" i="30"/>
  <c r="AG158" i="30"/>
  <c r="C214" i="76"/>
  <c r="C215" i="76"/>
  <c r="C216" i="76"/>
  <c r="C217" i="76"/>
  <c r="C218" i="76"/>
  <c r="C219" i="76"/>
  <c r="C220" i="76"/>
  <c r="C221" i="76"/>
  <c r="C222" i="76"/>
  <c r="C223" i="76"/>
  <c r="C224" i="76"/>
  <c r="C225" i="76"/>
  <c r="C226" i="76"/>
  <c r="C227" i="76"/>
  <c r="F227" i="76"/>
  <c r="G227" i="76"/>
  <c r="H227" i="76"/>
  <c r="I227" i="76"/>
  <c r="J227" i="76"/>
  <c r="K227" i="76"/>
  <c r="L227" i="76"/>
  <c r="M227" i="76"/>
  <c r="N227" i="76"/>
  <c r="O227" i="76"/>
  <c r="P227" i="76"/>
  <c r="Q227" i="76"/>
  <c r="R227" i="76"/>
  <c r="V227" i="76"/>
  <c r="W227" i="76"/>
  <c r="X227" i="76"/>
  <c r="Y227" i="76"/>
  <c r="Z227" i="76"/>
  <c r="AA227" i="76"/>
  <c r="AB227" i="76"/>
  <c r="AC227" i="76"/>
  <c r="AD227" i="76"/>
  <c r="AE227" i="76"/>
  <c r="AF227" i="76"/>
  <c r="AG227" i="76"/>
  <c r="AH227" i="76"/>
  <c r="F233" i="76"/>
  <c r="G233" i="76"/>
  <c r="H233" i="76"/>
  <c r="I233" i="76"/>
  <c r="J233" i="76"/>
  <c r="K233" i="76"/>
  <c r="L233" i="76"/>
  <c r="M233" i="76"/>
  <c r="N233" i="76"/>
  <c r="O233" i="76"/>
  <c r="P233" i="76"/>
  <c r="Q233" i="76"/>
  <c r="R233" i="76"/>
  <c r="V233" i="76"/>
  <c r="W233" i="76"/>
  <c r="X233" i="76"/>
  <c r="Y233" i="76"/>
  <c r="Z233" i="76"/>
  <c r="AA233" i="76"/>
  <c r="AB233" i="76"/>
  <c r="AC233" i="76"/>
  <c r="AD233" i="76"/>
  <c r="AE233" i="76"/>
  <c r="AF233" i="76"/>
  <c r="AG233" i="76"/>
  <c r="AH233" i="76"/>
  <c r="AK233" i="76"/>
  <c r="AL233" i="76"/>
  <c r="AM233" i="76"/>
  <c r="AN233" i="76"/>
  <c r="AO233" i="76"/>
  <c r="AP233" i="76"/>
  <c r="AQ233" i="76"/>
  <c r="AR233" i="76"/>
  <c r="AS233" i="76"/>
  <c r="AT233" i="76"/>
  <c r="AU233" i="76"/>
  <c r="AV233" i="76"/>
  <c r="AW233" i="76"/>
  <c r="F234" i="76"/>
  <c r="G234" i="76"/>
  <c r="H234" i="76"/>
  <c r="I234" i="76"/>
  <c r="J234" i="76"/>
  <c r="K234" i="76"/>
  <c r="L234" i="76"/>
  <c r="M234" i="76"/>
  <c r="N234" i="76"/>
  <c r="O234" i="76"/>
  <c r="P234" i="76"/>
  <c r="Q234" i="76"/>
  <c r="R234" i="76"/>
  <c r="V234" i="76"/>
  <c r="W234" i="76"/>
  <c r="X234" i="76"/>
  <c r="Y234" i="76"/>
  <c r="Z234" i="76"/>
  <c r="AA234" i="76"/>
  <c r="AB234" i="76"/>
  <c r="AC234" i="76"/>
  <c r="AD234" i="76"/>
  <c r="AE234" i="76"/>
  <c r="AF234" i="76"/>
  <c r="AG234" i="76"/>
  <c r="AH234" i="76"/>
  <c r="AK234" i="76"/>
  <c r="AL234" i="76"/>
  <c r="AM234" i="76"/>
  <c r="AN234" i="76"/>
  <c r="AO234" i="76"/>
  <c r="AP234" i="76"/>
  <c r="AQ234" i="76"/>
  <c r="AR234" i="76"/>
  <c r="AS234" i="76"/>
  <c r="AT234" i="76"/>
  <c r="AU234" i="76"/>
  <c r="AV234" i="76"/>
  <c r="AW234" i="76"/>
  <c r="F235" i="76"/>
  <c r="G235" i="76"/>
  <c r="H235" i="76"/>
  <c r="I235" i="76"/>
  <c r="J235" i="76"/>
  <c r="K235" i="76"/>
  <c r="L235" i="76"/>
  <c r="M235" i="76"/>
  <c r="N235" i="76"/>
  <c r="O235" i="76"/>
  <c r="P235" i="76"/>
  <c r="Q235" i="76"/>
  <c r="R235" i="76"/>
  <c r="V235" i="76"/>
  <c r="W235" i="76"/>
  <c r="X235" i="76"/>
  <c r="Y235" i="76"/>
  <c r="Z235" i="76"/>
  <c r="AA235" i="76"/>
  <c r="AB235" i="76"/>
  <c r="AC235" i="76"/>
  <c r="AD235" i="76"/>
  <c r="AE235" i="76"/>
  <c r="AF235" i="76"/>
  <c r="AG235" i="76"/>
  <c r="AH235" i="76"/>
  <c r="AK235" i="76"/>
  <c r="AL235" i="76"/>
  <c r="AM235" i="76"/>
  <c r="AN235" i="76"/>
  <c r="AO235" i="76"/>
  <c r="AP235" i="76"/>
  <c r="AQ235" i="76"/>
  <c r="AR235" i="76"/>
  <c r="AS235" i="76"/>
  <c r="AT235" i="76"/>
  <c r="AU235" i="76"/>
  <c r="AV235" i="76"/>
  <c r="AW235" i="76"/>
  <c r="F236" i="76"/>
  <c r="G236" i="76"/>
  <c r="H236" i="76"/>
  <c r="I236" i="76"/>
  <c r="J236" i="76"/>
  <c r="K236" i="76"/>
  <c r="L236" i="76"/>
  <c r="M236" i="76"/>
  <c r="N236" i="76"/>
  <c r="O236" i="76"/>
  <c r="P236" i="76"/>
  <c r="Q236" i="76"/>
  <c r="R236" i="76"/>
  <c r="V236" i="76"/>
  <c r="W236" i="76"/>
  <c r="X236" i="76"/>
  <c r="Y236" i="76"/>
  <c r="Z236" i="76"/>
  <c r="AA236" i="76"/>
  <c r="AB236" i="76"/>
  <c r="AC236" i="76"/>
  <c r="AD236" i="76"/>
  <c r="AE236" i="76"/>
  <c r="AF236" i="76"/>
  <c r="AG236" i="76"/>
  <c r="AH236" i="76"/>
  <c r="AK236" i="76"/>
  <c r="AL236" i="76"/>
  <c r="AM236" i="76"/>
  <c r="AN236" i="76"/>
  <c r="AO236" i="76"/>
  <c r="AP236" i="76"/>
  <c r="AQ236" i="76"/>
  <c r="AR236" i="76"/>
  <c r="AS236" i="76"/>
  <c r="AT236" i="76"/>
  <c r="AU236" i="76"/>
  <c r="AV236" i="76"/>
  <c r="AW236" i="76"/>
  <c r="F238" i="76"/>
  <c r="G238" i="76"/>
  <c r="H238" i="76"/>
  <c r="I238" i="76"/>
  <c r="J238" i="76"/>
  <c r="K238" i="76"/>
  <c r="L238" i="76"/>
  <c r="M238" i="76"/>
  <c r="N238" i="76"/>
  <c r="O238" i="76"/>
  <c r="P238" i="76"/>
  <c r="Q238" i="76"/>
  <c r="R238" i="76"/>
  <c r="V238" i="76"/>
  <c r="W238" i="76"/>
  <c r="X238" i="76"/>
  <c r="Y238" i="76"/>
  <c r="Z238" i="76"/>
  <c r="AA238" i="76"/>
  <c r="AB238" i="76"/>
  <c r="AC238" i="76"/>
  <c r="AD238" i="76"/>
  <c r="AE238" i="76"/>
  <c r="AF238" i="76"/>
  <c r="AG238" i="76"/>
  <c r="AH238" i="76"/>
  <c r="AK238" i="76"/>
  <c r="AL238" i="76"/>
  <c r="AM238" i="76"/>
  <c r="AN238" i="76"/>
  <c r="AO238" i="76"/>
  <c r="AP238" i="76"/>
  <c r="AQ238" i="76"/>
  <c r="AR238" i="76"/>
  <c r="AS238" i="76"/>
  <c r="AT238" i="76"/>
  <c r="AU238" i="76"/>
  <c r="AV238" i="76"/>
  <c r="AW238" i="76"/>
  <c r="AA242" i="76"/>
  <c r="AB242" i="76"/>
  <c r="AC242" i="76"/>
  <c r="AD242" i="76"/>
  <c r="AE242" i="76"/>
  <c r="AF242" i="76"/>
  <c r="AG242" i="76"/>
  <c r="AA243" i="76"/>
  <c r="AB243" i="76"/>
  <c r="AC243" i="76"/>
  <c r="AD243" i="76"/>
  <c r="AA244" i="76"/>
  <c r="AB244" i="76"/>
  <c r="AC244" i="76"/>
  <c r="AD244" i="76"/>
  <c r="AA245" i="76"/>
  <c r="AB245" i="76"/>
  <c r="AC245" i="76"/>
  <c r="AD245" i="76"/>
  <c r="AE245" i="76"/>
  <c r="AF245" i="76"/>
  <c r="AG245" i="76"/>
  <c r="Z247" i="76"/>
  <c r="AA247" i="76"/>
  <c r="AB247" i="76"/>
  <c r="AC247" i="76"/>
  <c r="AD247" i="76"/>
  <c r="AB249" i="76"/>
  <c r="AD249" i="76" s="1"/>
  <c r="F260" i="76"/>
  <c r="G260" i="76"/>
  <c r="H260" i="76"/>
  <c r="I260" i="76"/>
  <c r="J260" i="76"/>
  <c r="K260" i="76"/>
  <c r="L260" i="76"/>
  <c r="M260" i="76"/>
  <c r="N260" i="76"/>
  <c r="O260" i="76"/>
  <c r="P260" i="76"/>
  <c r="Q260" i="76"/>
  <c r="R260" i="76"/>
  <c r="V260" i="76"/>
  <c r="W260" i="76"/>
  <c r="X260" i="76"/>
  <c r="Y260" i="76"/>
  <c r="Z260" i="76"/>
  <c r="AA260" i="76"/>
  <c r="AB260" i="76"/>
  <c r="AC260" i="76"/>
  <c r="AD260" i="76"/>
  <c r="AE260" i="76"/>
  <c r="AF260" i="76"/>
  <c r="AG260" i="76"/>
  <c r="AH260" i="76"/>
  <c r="AI260" i="76"/>
  <c r="AK260" i="76"/>
  <c r="AL260" i="76"/>
  <c r="AM260" i="76"/>
  <c r="AN260" i="76"/>
  <c r="AO260" i="76"/>
  <c r="AP260" i="76"/>
  <c r="AQ260" i="76"/>
  <c r="AR260" i="76"/>
  <c r="AS260" i="76"/>
  <c r="AT260" i="76"/>
  <c r="AU260" i="76"/>
  <c r="AV260" i="76"/>
  <c r="AW260" i="76"/>
  <c r="AX260" i="76"/>
  <c r="F261" i="76"/>
  <c r="G261" i="76"/>
  <c r="H261" i="76"/>
  <c r="I261" i="76"/>
  <c r="J261" i="76"/>
  <c r="K261" i="76"/>
  <c r="L261" i="76"/>
  <c r="M261" i="76"/>
  <c r="N261" i="76"/>
  <c r="O261" i="76"/>
  <c r="P261" i="76"/>
  <c r="Q261" i="76"/>
  <c r="R261" i="76"/>
  <c r="V261" i="76"/>
  <c r="W261" i="76"/>
  <c r="X261" i="76"/>
  <c r="Y261" i="76"/>
  <c r="Z261" i="76"/>
  <c r="AA261" i="76"/>
  <c r="AB261" i="76"/>
  <c r="AC261" i="76"/>
  <c r="AD261" i="76"/>
  <c r="AE261" i="76"/>
  <c r="AF261" i="76"/>
  <c r="AG261" i="76"/>
  <c r="AH261" i="76"/>
  <c r="AI261" i="76"/>
  <c r="AK261" i="76"/>
  <c r="AL261" i="76"/>
  <c r="AM261" i="76"/>
  <c r="AN261" i="76"/>
  <c r="AO261" i="76"/>
  <c r="AP261" i="76"/>
  <c r="AQ261" i="76"/>
  <c r="AR261" i="76"/>
  <c r="AS261" i="76"/>
  <c r="AT261" i="76"/>
  <c r="AU261" i="76"/>
  <c r="AV261" i="76"/>
  <c r="AW261" i="76"/>
  <c r="AX261" i="76"/>
  <c r="F262" i="76"/>
  <c r="G262" i="76"/>
  <c r="H262" i="76"/>
  <c r="I262" i="76"/>
  <c r="J262" i="76"/>
  <c r="K262" i="76"/>
  <c r="L262" i="76"/>
  <c r="M262" i="76"/>
  <c r="N262" i="76"/>
  <c r="O262" i="76"/>
  <c r="P262" i="76"/>
  <c r="Q262" i="76"/>
  <c r="R262" i="76"/>
  <c r="V262" i="76"/>
  <c r="W262" i="76"/>
  <c r="X262" i="76"/>
  <c r="Y262" i="76"/>
  <c r="Z262" i="76"/>
  <c r="AA262" i="76"/>
  <c r="AB262" i="76"/>
  <c r="AC262" i="76"/>
  <c r="AD262" i="76"/>
  <c r="AE262" i="76"/>
  <c r="AF262" i="76"/>
  <c r="AG262" i="76"/>
  <c r="AH262" i="76"/>
  <c r="AI262" i="76"/>
  <c r="AK262" i="76"/>
  <c r="AL262" i="76"/>
  <c r="AM262" i="76"/>
  <c r="AN262" i="76"/>
  <c r="AO262" i="76"/>
  <c r="AP262" i="76"/>
  <c r="AQ262" i="76"/>
  <c r="AR262" i="76"/>
  <c r="AS262" i="76"/>
  <c r="AT262" i="76"/>
  <c r="AU262" i="76"/>
  <c r="AV262" i="76"/>
  <c r="AW262" i="76"/>
  <c r="AX262" i="76"/>
  <c r="F263" i="76"/>
  <c r="G263" i="76"/>
  <c r="H263" i="76"/>
  <c r="I263" i="76"/>
  <c r="J263" i="76"/>
  <c r="K263" i="76"/>
  <c r="L263" i="76"/>
  <c r="M263" i="76"/>
  <c r="N263" i="76"/>
  <c r="O263" i="76"/>
  <c r="P263" i="76"/>
  <c r="Q263" i="76"/>
  <c r="R263" i="76"/>
  <c r="V263" i="76"/>
  <c r="W263" i="76"/>
  <c r="X263" i="76"/>
  <c r="Y263" i="76"/>
  <c r="Z263" i="76"/>
  <c r="AA263" i="76"/>
  <c r="AB263" i="76"/>
  <c r="AC263" i="76"/>
  <c r="AD263" i="76"/>
  <c r="AE263" i="76"/>
  <c r="AF263" i="76"/>
  <c r="AG263" i="76"/>
  <c r="AH263" i="76"/>
  <c r="AI263" i="76"/>
  <c r="AK263" i="76"/>
  <c r="AL263" i="76"/>
  <c r="AM263" i="76"/>
  <c r="AN263" i="76"/>
  <c r="AO263" i="76"/>
  <c r="AP263" i="76"/>
  <c r="AQ263" i="76"/>
  <c r="AR263" i="76"/>
  <c r="AS263" i="76"/>
  <c r="AT263" i="76"/>
  <c r="AU263" i="76"/>
  <c r="AV263" i="76"/>
  <c r="AW263" i="76"/>
  <c r="AX263" i="76"/>
  <c r="F264" i="76"/>
  <c r="G264" i="76"/>
  <c r="H264" i="76"/>
  <c r="I264" i="76"/>
  <c r="J264" i="76"/>
  <c r="K264" i="76"/>
  <c r="L264" i="76"/>
  <c r="M264" i="76"/>
  <c r="N264" i="76"/>
  <c r="O264" i="76"/>
  <c r="P264" i="76"/>
  <c r="Q264" i="76"/>
  <c r="R264" i="76"/>
  <c r="V264" i="76"/>
  <c r="W264" i="76"/>
  <c r="X264" i="76"/>
  <c r="Y264" i="76"/>
  <c r="Z264" i="76"/>
  <c r="AA264" i="76"/>
  <c r="AB264" i="76"/>
  <c r="AC264" i="76"/>
  <c r="AD264" i="76"/>
  <c r="AE264" i="76"/>
  <c r="AF264" i="76"/>
  <c r="AG264" i="76"/>
  <c r="AH264" i="76"/>
  <c r="AI264" i="76"/>
  <c r="AK264" i="76"/>
  <c r="AL264" i="76"/>
  <c r="AM264" i="76"/>
  <c r="AN264" i="76"/>
  <c r="AO264" i="76"/>
  <c r="AP264" i="76"/>
  <c r="AQ264" i="76"/>
  <c r="AR264" i="76"/>
  <c r="AS264" i="76"/>
  <c r="AT264" i="76"/>
  <c r="AU264" i="76"/>
  <c r="AV264" i="76"/>
  <c r="AW264" i="76"/>
  <c r="AX264" i="76"/>
  <c r="B266" i="76"/>
  <c r="N266" i="76" s="1"/>
  <c r="B267" i="76"/>
  <c r="L267" i="76" s="1"/>
  <c r="B268" i="76"/>
  <c r="H268" i="76" s="1"/>
  <c r="B269" i="76"/>
  <c r="K269" i="76" s="1"/>
  <c r="B277" i="76"/>
  <c r="K277" i="76" s="1"/>
  <c r="C197" i="76"/>
  <c r="C198" i="76"/>
  <c r="C199" i="76"/>
  <c r="C200" i="76"/>
  <c r="C201" i="76"/>
  <c r="C202" i="76"/>
  <c r="C203" i="76"/>
  <c r="C204" i="76"/>
  <c r="C205" i="76"/>
  <c r="C206" i="76"/>
  <c r="C207" i="76"/>
  <c r="C208" i="76"/>
  <c r="C209" i="76"/>
  <c r="C210" i="76"/>
  <c r="F210" i="76"/>
  <c r="G210" i="76"/>
  <c r="H210" i="76"/>
  <c r="I210" i="76"/>
  <c r="J210" i="76"/>
  <c r="K210" i="76"/>
  <c r="L210" i="76"/>
  <c r="M210" i="76"/>
  <c r="N210" i="76"/>
  <c r="O210" i="76"/>
  <c r="P210" i="76"/>
  <c r="Q210" i="76"/>
  <c r="R210" i="76"/>
  <c r="V210" i="76"/>
  <c r="W210" i="76"/>
  <c r="X210" i="76"/>
  <c r="Y210" i="76"/>
  <c r="Z210" i="76"/>
  <c r="AA210" i="76"/>
  <c r="AB210" i="76"/>
  <c r="AC210" i="76"/>
  <c r="AD210" i="76"/>
  <c r="AE210" i="76"/>
  <c r="AF210" i="76"/>
  <c r="AG210" i="76"/>
  <c r="AH210" i="76"/>
  <c r="C180" i="76"/>
  <c r="C181" i="76"/>
  <c r="C182" i="76"/>
  <c r="C183" i="76"/>
  <c r="C184" i="76"/>
  <c r="C185" i="76"/>
  <c r="C186" i="76"/>
  <c r="C187" i="76"/>
  <c r="C188" i="76"/>
  <c r="C189" i="76"/>
  <c r="C190" i="76"/>
  <c r="C191" i="76"/>
  <c r="C192" i="76"/>
  <c r="C193" i="76"/>
  <c r="F193" i="76"/>
  <c r="G193" i="76"/>
  <c r="H193" i="76"/>
  <c r="I193" i="76"/>
  <c r="J193" i="76"/>
  <c r="K193" i="76"/>
  <c r="L193" i="76"/>
  <c r="M193" i="76"/>
  <c r="N193" i="76"/>
  <c r="O193" i="76"/>
  <c r="P193" i="76"/>
  <c r="Q193" i="76"/>
  <c r="R193" i="76"/>
  <c r="V193" i="76"/>
  <c r="W193" i="76"/>
  <c r="X193" i="76"/>
  <c r="Y193" i="76"/>
  <c r="Z193" i="76"/>
  <c r="AA193" i="76"/>
  <c r="AB193" i="76"/>
  <c r="AC193" i="76"/>
  <c r="AD193" i="76"/>
  <c r="AE193" i="76"/>
  <c r="AF193" i="76"/>
  <c r="AG193" i="76"/>
  <c r="AH193" i="76"/>
  <c r="F160" i="76"/>
  <c r="G160" i="76"/>
  <c r="H160" i="76"/>
  <c r="I160" i="76"/>
  <c r="J160" i="76"/>
  <c r="K160" i="76"/>
  <c r="L160" i="76"/>
  <c r="M160" i="76"/>
  <c r="N160" i="76"/>
  <c r="O160" i="76"/>
  <c r="P160" i="76"/>
  <c r="Q160" i="76"/>
  <c r="R160" i="76"/>
  <c r="V160" i="76"/>
  <c r="W160" i="76"/>
  <c r="X160" i="76"/>
  <c r="Y160" i="76"/>
  <c r="Z160" i="76"/>
  <c r="AA160" i="76"/>
  <c r="AB160" i="76"/>
  <c r="AC160" i="76"/>
  <c r="AD160" i="76"/>
  <c r="AE160" i="76"/>
  <c r="AF160" i="76"/>
  <c r="AG160" i="76"/>
  <c r="AH160" i="76"/>
  <c r="F161" i="76"/>
  <c r="G161" i="76"/>
  <c r="H161" i="76"/>
  <c r="I161" i="76"/>
  <c r="J161" i="76"/>
  <c r="K161" i="76"/>
  <c r="L161" i="76"/>
  <c r="M161" i="76"/>
  <c r="N161" i="76"/>
  <c r="O161" i="76"/>
  <c r="P161" i="76"/>
  <c r="Q161" i="76"/>
  <c r="R161" i="76"/>
  <c r="V161" i="76"/>
  <c r="W161" i="76"/>
  <c r="X161" i="76"/>
  <c r="Y161" i="76"/>
  <c r="Z161" i="76"/>
  <c r="AA161" i="76"/>
  <c r="AB161" i="76"/>
  <c r="AC161" i="76"/>
  <c r="AD161" i="76"/>
  <c r="AE161" i="76"/>
  <c r="AF161" i="76"/>
  <c r="AG161" i="76"/>
  <c r="AH161" i="76"/>
  <c r="F162" i="76"/>
  <c r="G162" i="76"/>
  <c r="H162" i="76"/>
  <c r="I162" i="76"/>
  <c r="J162" i="76"/>
  <c r="K162" i="76"/>
  <c r="L162" i="76"/>
  <c r="M162" i="76"/>
  <c r="N162" i="76"/>
  <c r="O162" i="76"/>
  <c r="P162" i="76"/>
  <c r="Q162" i="76"/>
  <c r="R162" i="76"/>
  <c r="V162" i="76"/>
  <c r="W162" i="76"/>
  <c r="X162" i="76"/>
  <c r="Y162" i="76"/>
  <c r="Z162" i="76"/>
  <c r="AA162" i="76"/>
  <c r="AB162" i="76"/>
  <c r="AC162" i="76"/>
  <c r="AD162" i="76"/>
  <c r="AE162" i="76"/>
  <c r="AF162" i="76"/>
  <c r="AG162" i="76"/>
  <c r="AH162" i="76"/>
  <c r="F163" i="76"/>
  <c r="G163" i="76"/>
  <c r="H163" i="76"/>
  <c r="I163" i="76"/>
  <c r="J163" i="76"/>
  <c r="K163" i="76"/>
  <c r="L163" i="76"/>
  <c r="M163" i="76"/>
  <c r="N163" i="76"/>
  <c r="O163" i="76"/>
  <c r="P163" i="76"/>
  <c r="Q163" i="76"/>
  <c r="R163" i="76"/>
  <c r="V163" i="76"/>
  <c r="W163" i="76"/>
  <c r="X163" i="76"/>
  <c r="Y163" i="76"/>
  <c r="Z163" i="76"/>
  <c r="AA163" i="76"/>
  <c r="AB163" i="76"/>
  <c r="AC163" i="76"/>
  <c r="AD163" i="76"/>
  <c r="AE163" i="76"/>
  <c r="AF163" i="76"/>
  <c r="AG163" i="76"/>
  <c r="AH163" i="76"/>
  <c r="F164" i="76"/>
  <c r="G164" i="76"/>
  <c r="H164" i="76"/>
  <c r="I164" i="76"/>
  <c r="J164" i="76"/>
  <c r="K164" i="76"/>
  <c r="L164" i="76"/>
  <c r="M164" i="76"/>
  <c r="N164" i="76"/>
  <c r="O164" i="76"/>
  <c r="P164" i="76"/>
  <c r="Q164" i="76"/>
  <c r="R164" i="76"/>
  <c r="V164" i="76"/>
  <c r="W164" i="76"/>
  <c r="X164" i="76"/>
  <c r="Y164" i="76"/>
  <c r="Z164" i="76"/>
  <c r="AA164" i="76"/>
  <c r="AB164" i="76"/>
  <c r="AC164" i="76"/>
  <c r="AD164" i="76"/>
  <c r="AE164" i="76"/>
  <c r="AF164" i="76"/>
  <c r="AG164" i="76"/>
  <c r="AH164" i="76"/>
  <c r="F165" i="76"/>
  <c r="G165" i="76"/>
  <c r="H165" i="76"/>
  <c r="I165" i="76"/>
  <c r="J165" i="76"/>
  <c r="K165" i="76"/>
  <c r="L165" i="76"/>
  <c r="M165" i="76"/>
  <c r="N165" i="76"/>
  <c r="O165" i="76"/>
  <c r="P165" i="76"/>
  <c r="Q165" i="76"/>
  <c r="R165" i="76"/>
  <c r="V165" i="76"/>
  <c r="W165" i="76"/>
  <c r="X165" i="76"/>
  <c r="Y165" i="76"/>
  <c r="Z165" i="76"/>
  <c r="AA165" i="76"/>
  <c r="AB165" i="76"/>
  <c r="AC165" i="76"/>
  <c r="AD165" i="76"/>
  <c r="AE165" i="76"/>
  <c r="AF165" i="76"/>
  <c r="AG165" i="76"/>
  <c r="AH165" i="76"/>
  <c r="F166" i="76"/>
  <c r="G166" i="76"/>
  <c r="H166" i="76"/>
  <c r="I166" i="76"/>
  <c r="J166" i="76"/>
  <c r="K166" i="76"/>
  <c r="L166" i="76"/>
  <c r="M166" i="76"/>
  <c r="N166" i="76"/>
  <c r="O166" i="76"/>
  <c r="P166" i="76"/>
  <c r="Q166" i="76"/>
  <c r="R166" i="76"/>
  <c r="V166" i="76"/>
  <c r="W166" i="76"/>
  <c r="X166" i="76"/>
  <c r="Y166" i="76"/>
  <c r="Z166" i="76"/>
  <c r="AA166" i="76"/>
  <c r="AB166" i="76"/>
  <c r="AC166" i="76"/>
  <c r="AD166" i="76"/>
  <c r="AE166" i="76"/>
  <c r="AF166" i="76"/>
  <c r="AG166" i="76"/>
  <c r="AH166" i="76"/>
  <c r="F167" i="76"/>
  <c r="G167" i="76"/>
  <c r="H167" i="76"/>
  <c r="I167" i="76"/>
  <c r="J167" i="76"/>
  <c r="K167" i="76"/>
  <c r="L167" i="76"/>
  <c r="M167" i="76"/>
  <c r="N167" i="76"/>
  <c r="O167" i="76"/>
  <c r="P167" i="76"/>
  <c r="Q167" i="76"/>
  <c r="R167" i="76"/>
  <c r="V167" i="76"/>
  <c r="W167" i="76"/>
  <c r="X167" i="76"/>
  <c r="Y167" i="76"/>
  <c r="Z167" i="76"/>
  <c r="AA167" i="76"/>
  <c r="AB167" i="76"/>
  <c r="AC167" i="76"/>
  <c r="AD167" i="76"/>
  <c r="AE167" i="76"/>
  <c r="AF167" i="76"/>
  <c r="AG167" i="76"/>
  <c r="AH167" i="76"/>
  <c r="F168" i="76"/>
  <c r="G168" i="76"/>
  <c r="H168" i="76"/>
  <c r="I168" i="76"/>
  <c r="J168" i="76"/>
  <c r="K168" i="76"/>
  <c r="L168" i="76"/>
  <c r="M168" i="76"/>
  <c r="N168" i="76"/>
  <c r="O168" i="76"/>
  <c r="P168" i="76"/>
  <c r="Q168" i="76"/>
  <c r="R168" i="76"/>
  <c r="V168" i="76"/>
  <c r="W168" i="76"/>
  <c r="X168" i="76"/>
  <c r="Y168" i="76"/>
  <c r="Z168" i="76"/>
  <c r="AA168" i="76"/>
  <c r="AB168" i="76"/>
  <c r="AC168" i="76"/>
  <c r="AD168" i="76"/>
  <c r="AE168" i="76"/>
  <c r="AF168" i="76"/>
  <c r="AG168" i="76"/>
  <c r="AH168" i="76"/>
  <c r="F169" i="76"/>
  <c r="G169" i="76"/>
  <c r="H169" i="76"/>
  <c r="I169" i="76"/>
  <c r="J169" i="76"/>
  <c r="K169" i="76"/>
  <c r="L169" i="76"/>
  <c r="M169" i="76"/>
  <c r="N169" i="76"/>
  <c r="O169" i="76"/>
  <c r="P169" i="76"/>
  <c r="Q169" i="76"/>
  <c r="R169" i="76"/>
  <c r="V169" i="76"/>
  <c r="W169" i="76"/>
  <c r="X169" i="76"/>
  <c r="Y169" i="76"/>
  <c r="Z169" i="76"/>
  <c r="AA169" i="76"/>
  <c r="AB169" i="76"/>
  <c r="AC169" i="76"/>
  <c r="AD169" i="76"/>
  <c r="AE169" i="76"/>
  <c r="AF169" i="76"/>
  <c r="AG169" i="76"/>
  <c r="AH169" i="76"/>
  <c r="F170" i="76"/>
  <c r="G170" i="76"/>
  <c r="H170" i="76"/>
  <c r="I170" i="76"/>
  <c r="J170" i="76"/>
  <c r="K170" i="76"/>
  <c r="L170" i="76"/>
  <c r="M170" i="76"/>
  <c r="N170" i="76"/>
  <c r="O170" i="76"/>
  <c r="P170" i="76"/>
  <c r="Q170" i="76"/>
  <c r="R170" i="76"/>
  <c r="V170" i="76"/>
  <c r="W170" i="76"/>
  <c r="X170" i="76"/>
  <c r="Y170" i="76"/>
  <c r="Z170" i="76"/>
  <c r="AA170" i="76"/>
  <c r="AB170" i="76"/>
  <c r="AC170" i="76"/>
  <c r="AD170" i="76"/>
  <c r="AE170" i="76"/>
  <c r="AF170" i="76"/>
  <c r="AG170" i="76"/>
  <c r="AH170" i="76"/>
  <c r="F171" i="76"/>
  <c r="G171" i="76"/>
  <c r="H171" i="76"/>
  <c r="I171" i="76"/>
  <c r="J171" i="76"/>
  <c r="K171" i="76"/>
  <c r="L171" i="76"/>
  <c r="M171" i="76"/>
  <c r="N171" i="76"/>
  <c r="O171" i="76"/>
  <c r="P171" i="76"/>
  <c r="Q171" i="76"/>
  <c r="R171" i="76"/>
  <c r="V171" i="76"/>
  <c r="W171" i="76"/>
  <c r="X171" i="76"/>
  <c r="Y171" i="76"/>
  <c r="Z171" i="76"/>
  <c r="AA171" i="76"/>
  <c r="AB171" i="76"/>
  <c r="AC171" i="76"/>
  <c r="AD171" i="76"/>
  <c r="AE171" i="76"/>
  <c r="AF171" i="76"/>
  <c r="AG171" i="76"/>
  <c r="AH171" i="76"/>
  <c r="F172" i="76"/>
  <c r="G172" i="76"/>
  <c r="H172" i="76"/>
  <c r="I172" i="76"/>
  <c r="J172" i="76"/>
  <c r="K172" i="76"/>
  <c r="L172" i="76"/>
  <c r="M172" i="76"/>
  <c r="N172" i="76"/>
  <c r="O172" i="76"/>
  <c r="P172" i="76"/>
  <c r="Q172" i="76"/>
  <c r="R172" i="76"/>
  <c r="V172" i="76"/>
  <c r="W172" i="76"/>
  <c r="X172" i="76"/>
  <c r="Y172" i="76"/>
  <c r="Z172" i="76"/>
  <c r="AA172" i="76"/>
  <c r="AB172" i="76"/>
  <c r="AC172" i="76"/>
  <c r="AD172" i="76"/>
  <c r="AE172" i="76"/>
  <c r="AF172" i="76"/>
  <c r="AG172" i="76"/>
  <c r="AH172" i="76"/>
  <c r="F173" i="76"/>
  <c r="G173" i="76"/>
  <c r="H173" i="76"/>
  <c r="I173" i="76"/>
  <c r="J173" i="76"/>
  <c r="K173" i="76"/>
  <c r="L173" i="76"/>
  <c r="M173" i="76"/>
  <c r="N173" i="76"/>
  <c r="O173" i="76"/>
  <c r="P173" i="76"/>
  <c r="Q173" i="76"/>
  <c r="R173" i="76"/>
  <c r="V173" i="76"/>
  <c r="W173" i="76"/>
  <c r="X173" i="76"/>
  <c r="Y173" i="76"/>
  <c r="Z173" i="76"/>
  <c r="AA173" i="76"/>
  <c r="AB173" i="76"/>
  <c r="AC173" i="76"/>
  <c r="AD173" i="76"/>
  <c r="AE173" i="76"/>
  <c r="AF173" i="76"/>
  <c r="AG173" i="76"/>
  <c r="AH173" i="76"/>
  <c r="F174" i="76"/>
  <c r="G174" i="76"/>
  <c r="H174" i="76"/>
  <c r="I174" i="76"/>
  <c r="J174" i="76"/>
  <c r="K174" i="76"/>
  <c r="L174" i="76"/>
  <c r="M174" i="76"/>
  <c r="N174" i="76"/>
  <c r="O174" i="76"/>
  <c r="P174" i="76"/>
  <c r="Q174" i="76"/>
  <c r="R174" i="76"/>
  <c r="V174" i="76"/>
  <c r="W174" i="76"/>
  <c r="X174" i="76"/>
  <c r="Y174" i="76"/>
  <c r="Z174" i="76"/>
  <c r="AA174" i="76"/>
  <c r="AB174" i="76"/>
  <c r="AC174" i="76"/>
  <c r="AD174" i="76"/>
  <c r="AE174" i="76"/>
  <c r="AF174" i="76"/>
  <c r="AG174" i="76"/>
  <c r="AH174" i="76"/>
  <c r="R175" i="76"/>
  <c r="AH175" i="76"/>
  <c r="F176" i="76"/>
  <c r="G176" i="76"/>
  <c r="H176" i="76"/>
  <c r="I176" i="76"/>
  <c r="J176" i="76"/>
  <c r="K176" i="76"/>
  <c r="L176" i="76"/>
  <c r="M176" i="76"/>
  <c r="N176" i="76"/>
  <c r="O176" i="76"/>
  <c r="P176" i="76"/>
  <c r="Q176" i="76"/>
  <c r="R176" i="76"/>
  <c r="V176" i="76"/>
  <c r="W176" i="76"/>
  <c r="X176" i="76"/>
  <c r="Y176" i="76"/>
  <c r="Z176" i="76"/>
  <c r="AA176" i="76"/>
  <c r="AB176" i="76"/>
  <c r="AC176" i="76"/>
  <c r="AD176" i="76"/>
  <c r="AE176" i="76"/>
  <c r="AF176" i="76"/>
  <c r="AG176" i="76"/>
  <c r="AH176" i="76"/>
  <c r="C128" i="76"/>
  <c r="F128" i="76"/>
  <c r="C129" i="76"/>
  <c r="C130" i="76"/>
  <c r="C131" i="76"/>
  <c r="C132" i="76"/>
  <c r="C133" i="76"/>
  <c r="C134" i="76"/>
  <c r="C135" i="76"/>
  <c r="C136" i="76"/>
  <c r="C137" i="76"/>
  <c r="C138" i="76"/>
  <c r="C139" i="76"/>
  <c r="C140" i="76"/>
  <c r="C141" i="76"/>
  <c r="F142" i="76"/>
  <c r="G142" i="76"/>
  <c r="G146" i="76" s="1"/>
  <c r="H142" i="76"/>
  <c r="H146" i="76" s="1"/>
  <c r="I142" i="76"/>
  <c r="I146" i="76" s="1"/>
  <c r="J142" i="76"/>
  <c r="J146" i="76" s="1"/>
  <c r="K142" i="76"/>
  <c r="K146" i="76" s="1"/>
  <c r="L142" i="76"/>
  <c r="L146" i="76" s="1"/>
  <c r="M142" i="76"/>
  <c r="M146" i="76" s="1"/>
  <c r="N142" i="76"/>
  <c r="N146" i="76" s="1"/>
  <c r="O142" i="76"/>
  <c r="O146" i="76" s="1"/>
  <c r="P142" i="76"/>
  <c r="P146" i="76" s="1"/>
  <c r="Q142" i="76"/>
  <c r="Q146" i="76" s="1"/>
  <c r="R142" i="76"/>
  <c r="V142" i="76"/>
  <c r="W142" i="76"/>
  <c r="X142" i="76"/>
  <c r="Y142" i="76"/>
  <c r="Z142" i="76"/>
  <c r="AA142" i="76"/>
  <c r="AB142" i="76"/>
  <c r="AC142" i="76"/>
  <c r="AD142" i="76"/>
  <c r="AE142" i="76"/>
  <c r="AF142" i="76"/>
  <c r="AG142" i="76"/>
  <c r="AH142" i="76"/>
  <c r="AK142" i="76"/>
  <c r="AL142" i="76"/>
  <c r="AM142" i="76"/>
  <c r="AN142" i="76"/>
  <c r="AO142" i="76"/>
  <c r="AP142" i="76"/>
  <c r="AQ142" i="76"/>
  <c r="AR142" i="76"/>
  <c r="AS142" i="76"/>
  <c r="AT142" i="76"/>
  <c r="AU142" i="76"/>
  <c r="AV142" i="76"/>
  <c r="AW142" i="76"/>
  <c r="C111" i="76"/>
  <c r="F111" i="76"/>
  <c r="G111" i="76"/>
  <c r="H111" i="76"/>
  <c r="I111" i="76"/>
  <c r="J111" i="76"/>
  <c r="K111" i="76"/>
  <c r="L111" i="76"/>
  <c r="M111" i="76"/>
  <c r="N111" i="76"/>
  <c r="O111" i="76"/>
  <c r="P111" i="76"/>
  <c r="Q111" i="76"/>
  <c r="R111" i="76"/>
  <c r="V111" i="76"/>
  <c r="W111" i="76"/>
  <c r="X111" i="76"/>
  <c r="Y111" i="76"/>
  <c r="Z111" i="76"/>
  <c r="AA111" i="76"/>
  <c r="AB111" i="76"/>
  <c r="AC111" i="76"/>
  <c r="AD111" i="76"/>
  <c r="AE111" i="76"/>
  <c r="AF111" i="76"/>
  <c r="AG111" i="76"/>
  <c r="AH111" i="76"/>
  <c r="AK111" i="76"/>
  <c r="AL111" i="76"/>
  <c r="AM111" i="76"/>
  <c r="AN111" i="76"/>
  <c r="AO111" i="76"/>
  <c r="AP111" i="76"/>
  <c r="AQ111" i="76"/>
  <c r="AR111" i="76"/>
  <c r="AS111" i="76"/>
  <c r="AT111" i="76"/>
  <c r="AU111" i="76"/>
  <c r="AV111" i="76"/>
  <c r="AW111" i="76"/>
  <c r="C112" i="76"/>
  <c r="F112" i="76"/>
  <c r="G112" i="76"/>
  <c r="H112" i="76"/>
  <c r="I112" i="76"/>
  <c r="J112" i="76"/>
  <c r="K112" i="76"/>
  <c r="L112" i="76"/>
  <c r="M112" i="76"/>
  <c r="N112" i="76"/>
  <c r="O112" i="76"/>
  <c r="P112" i="76"/>
  <c r="Q112" i="76"/>
  <c r="R112" i="76"/>
  <c r="V112" i="76"/>
  <c r="W112" i="76"/>
  <c r="X112" i="76"/>
  <c r="Y112" i="76"/>
  <c r="Z112" i="76"/>
  <c r="AA112" i="76"/>
  <c r="AB112" i="76"/>
  <c r="AC112" i="76"/>
  <c r="AD112" i="76"/>
  <c r="AE112" i="76"/>
  <c r="AF112" i="76"/>
  <c r="AG112" i="76"/>
  <c r="AH112" i="76"/>
  <c r="AK112" i="76"/>
  <c r="AL112" i="76"/>
  <c r="AM112" i="76"/>
  <c r="AN112" i="76"/>
  <c r="AO112" i="76"/>
  <c r="AP112" i="76"/>
  <c r="AQ112" i="76"/>
  <c r="AR112" i="76"/>
  <c r="AS112" i="76"/>
  <c r="AT112" i="76"/>
  <c r="AU112" i="76"/>
  <c r="AV112" i="76"/>
  <c r="AW112" i="76"/>
  <c r="C113" i="76"/>
  <c r="F113" i="76"/>
  <c r="G113" i="76"/>
  <c r="H113" i="76"/>
  <c r="I113" i="76"/>
  <c r="J113" i="76"/>
  <c r="K113" i="76"/>
  <c r="L113" i="76"/>
  <c r="M113" i="76"/>
  <c r="N113" i="76"/>
  <c r="O113" i="76"/>
  <c r="P113" i="76"/>
  <c r="Q113" i="76"/>
  <c r="R113" i="76"/>
  <c r="V113" i="76"/>
  <c r="W113" i="76"/>
  <c r="X113" i="76"/>
  <c r="Y113" i="76"/>
  <c r="Z113" i="76"/>
  <c r="AA113" i="76"/>
  <c r="AB113" i="76"/>
  <c r="AC113" i="76"/>
  <c r="AD113" i="76"/>
  <c r="AE113" i="76"/>
  <c r="AF113" i="76"/>
  <c r="AG113" i="76"/>
  <c r="AH113" i="76"/>
  <c r="AK113" i="76"/>
  <c r="AL113" i="76"/>
  <c r="AM113" i="76"/>
  <c r="AN113" i="76"/>
  <c r="AO113" i="76"/>
  <c r="AP113" i="76"/>
  <c r="AQ113" i="76"/>
  <c r="AR113" i="76"/>
  <c r="AS113" i="76"/>
  <c r="AT113" i="76"/>
  <c r="AU113" i="76"/>
  <c r="AV113" i="76"/>
  <c r="AW113" i="76"/>
  <c r="C114" i="76"/>
  <c r="F114" i="76"/>
  <c r="G114" i="76"/>
  <c r="H114" i="76"/>
  <c r="I114" i="76"/>
  <c r="J114" i="76"/>
  <c r="K114" i="76"/>
  <c r="L114" i="76"/>
  <c r="M114" i="76"/>
  <c r="N114" i="76"/>
  <c r="O114" i="76"/>
  <c r="P114" i="76"/>
  <c r="Q114" i="76"/>
  <c r="R114" i="76"/>
  <c r="V114" i="76"/>
  <c r="W114" i="76"/>
  <c r="X114" i="76"/>
  <c r="Y114" i="76"/>
  <c r="Z114" i="76"/>
  <c r="AA114" i="76"/>
  <c r="AB114" i="76"/>
  <c r="AC114" i="76"/>
  <c r="AD114" i="76"/>
  <c r="AE114" i="76"/>
  <c r="AF114" i="76"/>
  <c r="AG114" i="76"/>
  <c r="AH114" i="76"/>
  <c r="AK114" i="76"/>
  <c r="AL114" i="76"/>
  <c r="AM114" i="76"/>
  <c r="AN114" i="76"/>
  <c r="AO114" i="76"/>
  <c r="AP114" i="76"/>
  <c r="AQ114" i="76"/>
  <c r="AR114" i="76"/>
  <c r="AS114" i="76"/>
  <c r="AT114" i="76"/>
  <c r="AU114" i="76"/>
  <c r="AV114" i="76"/>
  <c r="AW114" i="76"/>
  <c r="C115" i="76"/>
  <c r="F115" i="76"/>
  <c r="G115" i="76"/>
  <c r="H115" i="76"/>
  <c r="I115" i="76"/>
  <c r="J115" i="76"/>
  <c r="K115" i="76"/>
  <c r="L115" i="76"/>
  <c r="M115" i="76"/>
  <c r="N115" i="76"/>
  <c r="O115" i="76"/>
  <c r="P115" i="76"/>
  <c r="Q115" i="76"/>
  <c r="R115" i="76"/>
  <c r="V115" i="76"/>
  <c r="W115" i="76"/>
  <c r="X115" i="76"/>
  <c r="Y115" i="76"/>
  <c r="Z115" i="76"/>
  <c r="AA115" i="76"/>
  <c r="AB115" i="76"/>
  <c r="AC115" i="76"/>
  <c r="AD115" i="76"/>
  <c r="AE115" i="76"/>
  <c r="AF115" i="76"/>
  <c r="AG115" i="76"/>
  <c r="AH115" i="76"/>
  <c r="AK115" i="76"/>
  <c r="AL115" i="76"/>
  <c r="AM115" i="76"/>
  <c r="AN115" i="76"/>
  <c r="AO115" i="76"/>
  <c r="AP115" i="76"/>
  <c r="AQ115" i="76"/>
  <c r="AR115" i="76"/>
  <c r="AS115" i="76"/>
  <c r="AT115" i="76"/>
  <c r="AU115" i="76"/>
  <c r="AV115" i="76"/>
  <c r="AW115" i="76"/>
  <c r="C116" i="76"/>
  <c r="F116" i="76"/>
  <c r="G116" i="76"/>
  <c r="H116" i="76"/>
  <c r="I116" i="76"/>
  <c r="J116" i="76"/>
  <c r="K116" i="76"/>
  <c r="L116" i="76"/>
  <c r="M116" i="76"/>
  <c r="N116" i="76"/>
  <c r="O116" i="76"/>
  <c r="P116" i="76"/>
  <c r="Q116" i="76"/>
  <c r="R116" i="76"/>
  <c r="V116" i="76"/>
  <c r="W116" i="76"/>
  <c r="X116" i="76"/>
  <c r="Y116" i="76"/>
  <c r="Z116" i="76"/>
  <c r="AA116" i="76"/>
  <c r="AB116" i="76"/>
  <c r="AC116" i="76"/>
  <c r="AD116" i="76"/>
  <c r="AE116" i="76"/>
  <c r="AF116" i="76"/>
  <c r="AG116" i="76"/>
  <c r="AH116" i="76"/>
  <c r="AK116" i="76"/>
  <c r="AL116" i="76"/>
  <c r="AM116" i="76"/>
  <c r="AN116" i="76"/>
  <c r="AO116" i="76"/>
  <c r="AP116" i="76"/>
  <c r="AQ116" i="76"/>
  <c r="AR116" i="76"/>
  <c r="AS116" i="76"/>
  <c r="AT116" i="76"/>
  <c r="AU116" i="76"/>
  <c r="AV116" i="76"/>
  <c r="AW116" i="76"/>
  <c r="C117" i="76"/>
  <c r="F117" i="76"/>
  <c r="G117" i="76"/>
  <c r="H117" i="76"/>
  <c r="I117" i="76"/>
  <c r="J117" i="76"/>
  <c r="K117" i="76"/>
  <c r="L117" i="76"/>
  <c r="M117" i="76"/>
  <c r="N117" i="76"/>
  <c r="O117" i="76"/>
  <c r="P117" i="76"/>
  <c r="Q117" i="76"/>
  <c r="R117" i="76"/>
  <c r="V117" i="76"/>
  <c r="W117" i="76"/>
  <c r="X117" i="76"/>
  <c r="Y117" i="76"/>
  <c r="Z117" i="76"/>
  <c r="AA117" i="76"/>
  <c r="AB117" i="76"/>
  <c r="AC117" i="76"/>
  <c r="AD117" i="76"/>
  <c r="AE117" i="76"/>
  <c r="AF117" i="76"/>
  <c r="AG117" i="76"/>
  <c r="AH117" i="76"/>
  <c r="AK117" i="76"/>
  <c r="AL117" i="76"/>
  <c r="AM117" i="76"/>
  <c r="AN117" i="76"/>
  <c r="AO117" i="76"/>
  <c r="AP117" i="76"/>
  <c r="AQ117" i="76"/>
  <c r="AR117" i="76"/>
  <c r="AS117" i="76"/>
  <c r="AT117" i="76"/>
  <c r="AU117" i="76"/>
  <c r="AV117" i="76"/>
  <c r="AW117" i="76"/>
  <c r="C118" i="76"/>
  <c r="F118" i="76"/>
  <c r="G118" i="76"/>
  <c r="H118" i="76"/>
  <c r="I118" i="76"/>
  <c r="J118" i="76"/>
  <c r="K118" i="76"/>
  <c r="L118" i="76"/>
  <c r="M118" i="76"/>
  <c r="N118" i="76"/>
  <c r="O118" i="76"/>
  <c r="P118" i="76"/>
  <c r="Q118" i="76"/>
  <c r="R118" i="76"/>
  <c r="V118" i="76"/>
  <c r="W118" i="76"/>
  <c r="X118" i="76"/>
  <c r="Y118" i="76"/>
  <c r="Z118" i="76"/>
  <c r="AA118" i="76"/>
  <c r="AB118" i="76"/>
  <c r="AC118" i="76"/>
  <c r="AD118" i="76"/>
  <c r="AE118" i="76"/>
  <c r="AF118" i="76"/>
  <c r="AG118" i="76"/>
  <c r="AH118" i="76"/>
  <c r="AK118" i="76"/>
  <c r="AL118" i="76"/>
  <c r="AM118" i="76"/>
  <c r="AN118" i="76"/>
  <c r="AO118" i="76"/>
  <c r="AP118" i="76"/>
  <c r="AQ118" i="76"/>
  <c r="AR118" i="76"/>
  <c r="AS118" i="76"/>
  <c r="AT118" i="76"/>
  <c r="AU118" i="76"/>
  <c r="AV118" i="76"/>
  <c r="AW118" i="76"/>
  <c r="C119" i="76"/>
  <c r="F119" i="76"/>
  <c r="G119" i="76"/>
  <c r="H119" i="76"/>
  <c r="I119" i="76"/>
  <c r="J119" i="76"/>
  <c r="K119" i="76"/>
  <c r="L119" i="76"/>
  <c r="M119" i="76"/>
  <c r="N119" i="76"/>
  <c r="O119" i="76"/>
  <c r="P119" i="76"/>
  <c r="Q119" i="76"/>
  <c r="R119" i="76"/>
  <c r="V119" i="76"/>
  <c r="W119" i="76"/>
  <c r="X119" i="76"/>
  <c r="Y119" i="76"/>
  <c r="Z119" i="76"/>
  <c r="AA119" i="76"/>
  <c r="AB119" i="76"/>
  <c r="AC119" i="76"/>
  <c r="AD119" i="76"/>
  <c r="AE119" i="76"/>
  <c r="AF119" i="76"/>
  <c r="AG119" i="76"/>
  <c r="AH119" i="76"/>
  <c r="AK119" i="76"/>
  <c r="AL119" i="76"/>
  <c r="AM119" i="76"/>
  <c r="AN119" i="76"/>
  <c r="AO119" i="76"/>
  <c r="AP119" i="76"/>
  <c r="AQ119" i="76"/>
  <c r="AR119" i="76"/>
  <c r="AS119" i="76"/>
  <c r="AT119" i="76"/>
  <c r="AU119" i="76"/>
  <c r="AV119" i="76"/>
  <c r="AW119" i="76"/>
  <c r="C120" i="76"/>
  <c r="F120" i="76"/>
  <c r="G120" i="76"/>
  <c r="H120" i="76"/>
  <c r="I120" i="76"/>
  <c r="J120" i="76"/>
  <c r="K120" i="76"/>
  <c r="L120" i="76"/>
  <c r="M120" i="76"/>
  <c r="N120" i="76"/>
  <c r="O120" i="76"/>
  <c r="P120" i="76"/>
  <c r="Q120" i="76"/>
  <c r="R120" i="76"/>
  <c r="V120" i="76"/>
  <c r="W120" i="76"/>
  <c r="X120" i="76"/>
  <c r="Y120" i="76"/>
  <c r="Z120" i="76"/>
  <c r="AA120" i="76"/>
  <c r="AB120" i="76"/>
  <c r="AC120" i="76"/>
  <c r="AD120" i="76"/>
  <c r="AE120" i="76"/>
  <c r="AF120" i="76"/>
  <c r="AG120" i="76"/>
  <c r="AH120" i="76"/>
  <c r="AK120" i="76"/>
  <c r="AL120" i="76"/>
  <c r="AM120" i="76"/>
  <c r="AN120" i="76"/>
  <c r="AO120" i="76"/>
  <c r="AP120" i="76"/>
  <c r="AQ120" i="76"/>
  <c r="AR120" i="76"/>
  <c r="AS120" i="76"/>
  <c r="AT120" i="76"/>
  <c r="AU120" i="76"/>
  <c r="AV120" i="76"/>
  <c r="AW120" i="76"/>
  <c r="C121" i="76"/>
  <c r="F121" i="76"/>
  <c r="G121" i="76"/>
  <c r="H121" i="76"/>
  <c r="I121" i="76"/>
  <c r="J121" i="76"/>
  <c r="K121" i="76"/>
  <c r="L121" i="76"/>
  <c r="M121" i="76"/>
  <c r="N121" i="76"/>
  <c r="O121" i="76"/>
  <c r="P121" i="76"/>
  <c r="Q121" i="76"/>
  <c r="R121" i="76"/>
  <c r="V121" i="76"/>
  <c r="W121" i="76"/>
  <c r="X121" i="76"/>
  <c r="Y121" i="76"/>
  <c r="Z121" i="76"/>
  <c r="AA121" i="76"/>
  <c r="AB121" i="76"/>
  <c r="AC121" i="76"/>
  <c r="AD121" i="76"/>
  <c r="AE121" i="76"/>
  <c r="AF121" i="76"/>
  <c r="AG121" i="76"/>
  <c r="AH121" i="76"/>
  <c r="AK121" i="76"/>
  <c r="AL121" i="76"/>
  <c r="AM121" i="76"/>
  <c r="AN121" i="76"/>
  <c r="AO121" i="76"/>
  <c r="AP121" i="76"/>
  <c r="AQ121" i="76"/>
  <c r="AR121" i="76"/>
  <c r="AS121" i="76"/>
  <c r="AT121" i="76"/>
  <c r="AU121" i="76"/>
  <c r="AV121" i="76"/>
  <c r="AW121" i="76"/>
  <c r="C122" i="76"/>
  <c r="F122" i="76"/>
  <c r="G122" i="76"/>
  <c r="H122" i="76"/>
  <c r="I122" i="76"/>
  <c r="J122" i="76"/>
  <c r="K122" i="76"/>
  <c r="L122" i="76"/>
  <c r="M122" i="76"/>
  <c r="N122" i="76"/>
  <c r="O122" i="76"/>
  <c r="P122" i="76"/>
  <c r="Q122" i="76"/>
  <c r="R122" i="76"/>
  <c r="V122" i="76"/>
  <c r="W122" i="76"/>
  <c r="X122" i="76"/>
  <c r="Y122" i="76"/>
  <c r="Z122" i="76"/>
  <c r="AA122" i="76"/>
  <c r="AB122" i="76"/>
  <c r="AC122" i="76"/>
  <c r="AD122" i="76"/>
  <c r="AE122" i="76"/>
  <c r="AF122" i="76"/>
  <c r="AG122" i="76"/>
  <c r="AH122" i="76"/>
  <c r="AK122" i="76"/>
  <c r="AL122" i="76"/>
  <c r="AM122" i="76"/>
  <c r="AN122" i="76"/>
  <c r="AO122" i="76"/>
  <c r="AP122" i="76"/>
  <c r="AQ122" i="76"/>
  <c r="AR122" i="76"/>
  <c r="AS122" i="76"/>
  <c r="AT122" i="76"/>
  <c r="AU122" i="76"/>
  <c r="AV122" i="76"/>
  <c r="AW122" i="76"/>
  <c r="C123" i="76"/>
  <c r="F123" i="76"/>
  <c r="G123" i="76"/>
  <c r="H123" i="76"/>
  <c r="I123" i="76"/>
  <c r="J123" i="76"/>
  <c r="K123" i="76"/>
  <c r="L123" i="76"/>
  <c r="M123" i="76"/>
  <c r="N123" i="76"/>
  <c r="O123" i="76"/>
  <c r="P123" i="76"/>
  <c r="Q123" i="76"/>
  <c r="R123" i="76"/>
  <c r="V123" i="76"/>
  <c r="W123" i="76"/>
  <c r="X123" i="76"/>
  <c r="Y123" i="76"/>
  <c r="Z123" i="76"/>
  <c r="AA123" i="76"/>
  <c r="AB123" i="76"/>
  <c r="AC123" i="76"/>
  <c r="AD123" i="76"/>
  <c r="AE123" i="76"/>
  <c r="AF123" i="76"/>
  <c r="AG123" i="76"/>
  <c r="AH123" i="76"/>
  <c r="AK123" i="76"/>
  <c r="AL123" i="76"/>
  <c r="AM123" i="76"/>
  <c r="AN123" i="76"/>
  <c r="AO123" i="76"/>
  <c r="AP123" i="76"/>
  <c r="AQ123" i="76"/>
  <c r="AR123" i="76"/>
  <c r="AS123" i="76"/>
  <c r="AT123" i="76"/>
  <c r="AU123" i="76"/>
  <c r="AV123" i="76"/>
  <c r="AW123" i="76"/>
  <c r="C124" i="76"/>
  <c r="F124" i="76"/>
  <c r="G124" i="76"/>
  <c r="H124" i="76"/>
  <c r="I124" i="76"/>
  <c r="J124" i="76"/>
  <c r="K124" i="76"/>
  <c r="L124" i="76"/>
  <c r="M124" i="76"/>
  <c r="N124" i="76"/>
  <c r="O124" i="76"/>
  <c r="P124" i="76"/>
  <c r="Q124" i="76"/>
  <c r="R124" i="76"/>
  <c r="V124" i="76"/>
  <c r="W124" i="76"/>
  <c r="X124" i="76"/>
  <c r="Y124" i="76"/>
  <c r="Z124" i="76"/>
  <c r="AA124" i="76"/>
  <c r="AB124" i="76"/>
  <c r="AC124" i="76"/>
  <c r="AD124" i="76"/>
  <c r="AE124" i="76"/>
  <c r="AF124" i="76"/>
  <c r="AG124" i="76"/>
  <c r="AH124" i="76"/>
  <c r="AK124" i="76"/>
  <c r="AL124" i="76"/>
  <c r="AM124" i="76"/>
  <c r="AN124" i="76"/>
  <c r="AO124" i="76"/>
  <c r="AP124" i="76"/>
  <c r="AQ124" i="76"/>
  <c r="AR124" i="76"/>
  <c r="AS124" i="76"/>
  <c r="AT124" i="76"/>
  <c r="AU124" i="76"/>
  <c r="AV124" i="76"/>
  <c r="AW124" i="76"/>
  <c r="F125" i="76"/>
  <c r="G125" i="76"/>
  <c r="H125" i="76"/>
  <c r="I125" i="76"/>
  <c r="J125" i="76"/>
  <c r="K125" i="76"/>
  <c r="L125" i="76"/>
  <c r="M125" i="76"/>
  <c r="N125" i="76"/>
  <c r="O125" i="76"/>
  <c r="P125" i="76"/>
  <c r="Q125" i="76"/>
  <c r="R125" i="76"/>
  <c r="V125" i="76"/>
  <c r="W125" i="76"/>
  <c r="X125" i="76"/>
  <c r="Y125" i="76"/>
  <c r="Z125" i="76"/>
  <c r="AA125" i="76"/>
  <c r="AB125" i="76"/>
  <c r="AC125" i="76"/>
  <c r="AD125" i="76"/>
  <c r="AE125" i="76"/>
  <c r="AF125" i="76"/>
  <c r="AG125" i="76"/>
  <c r="AH125" i="76"/>
  <c r="AK125" i="76"/>
  <c r="AL125" i="76"/>
  <c r="AM125" i="76"/>
  <c r="AN125" i="76"/>
  <c r="AO125" i="76"/>
  <c r="AP125" i="76"/>
  <c r="AQ125" i="76"/>
  <c r="AR125" i="76"/>
  <c r="AS125" i="76"/>
  <c r="AT125" i="76"/>
  <c r="AU125" i="76"/>
  <c r="AV125" i="76"/>
  <c r="AW125" i="76"/>
  <c r="R92" i="76"/>
  <c r="AH92" i="76"/>
  <c r="R93" i="76"/>
  <c r="AH93" i="76"/>
  <c r="R94" i="76"/>
  <c r="AH94" i="76"/>
  <c r="AE244" i="76" s="1"/>
  <c r="R95" i="76"/>
  <c r="AH95" i="76"/>
  <c r="R96" i="76"/>
  <c r="AH96" i="76"/>
  <c r="R99" i="76"/>
  <c r="F1" i="76"/>
  <c r="G1" i="76"/>
  <c r="H1" i="76"/>
  <c r="I1" i="76"/>
  <c r="J1" i="76"/>
  <c r="K1" i="76"/>
  <c r="L1" i="76"/>
  <c r="M1" i="76"/>
  <c r="N1" i="76"/>
  <c r="O1" i="76"/>
  <c r="P1" i="76"/>
  <c r="R4" i="76"/>
  <c r="AH4" i="76"/>
  <c r="AW4" i="76"/>
  <c r="R5" i="76"/>
  <c r="AH5" i="76"/>
  <c r="AW5" i="76"/>
  <c r="R6" i="76"/>
  <c r="AH6" i="76"/>
  <c r="AW6" i="76"/>
  <c r="R7" i="76"/>
  <c r="AH7" i="76"/>
  <c r="AW7" i="76"/>
  <c r="R8" i="76"/>
  <c r="AH8" i="76"/>
  <c r="AW8" i="76"/>
  <c r="R9" i="76"/>
  <c r="AH9" i="76"/>
  <c r="AW9" i="76"/>
  <c r="R10" i="76"/>
  <c r="AH10" i="76"/>
  <c r="AW10" i="76"/>
  <c r="R11" i="76"/>
  <c r="AH11" i="76"/>
  <c r="AW11" i="76"/>
  <c r="R12" i="76"/>
  <c r="AH12" i="76"/>
  <c r="AW12" i="76"/>
  <c r="R13" i="76"/>
  <c r="AH13" i="76"/>
  <c r="AW13" i="76"/>
  <c r="R14" i="76"/>
  <c r="AH14" i="76"/>
  <c r="AW14" i="76"/>
  <c r="R15" i="76"/>
  <c r="AH15" i="76"/>
  <c r="AW15" i="76"/>
  <c r="R16" i="76"/>
  <c r="AH16" i="76"/>
  <c r="AW16" i="76"/>
  <c r="R17" i="76"/>
  <c r="AH17" i="76"/>
  <c r="AW17" i="76"/>
  <c r="R18" i="76"/>
  <c r="AH18" i="76"/>
  <c r="AW18" i="76"/>
  <c r="R19" i="76"/>
  <c r="AH19" i="76"/>
  <c r="AW19" i="76"/>
  <c r="R20" i="76"/>
  <c r="AH20" i="76"/>
  <c r="AW20" i="76"/>
  <c r="R21" i="76"/>
  <c r="AH21" i="76"/>
  <c r="AW21" i="76"/>
  <c r="R22" i="76"/>
  <c r="AH22" i="76"/>
  <c r="AW22" i="76"/>
  <c r="R23" i="76"/>
  <c r="AH23" i="76"/>
  <c r="AW23" i="76"/>
  <c r="R24" i="76"/>
  <c r="AH24" i="76"/>
  <c r="AW24" i="76"/>
  <c r="R25" i="76"/>
  <c r="AH25" i="76"/>
  <c r="AW25" i="76"/>
  <c r="R26" i="76"/>
  <c r="AH26" i="76"/>
  <c r="AW26" i="76"/>
  <c r="R27" i="76"/>
  <c r="AH27" i="76"/>
  <c r="AW27" i="76"/>
  <c r="R28" i="76"/>
  <c r="AH28" i="76"/>
  <c r="AW28" i="76"/>
  <c r="R29" i="76"/>
  <c r="AH29" i="76"/>
  <c r="AW29" i="76"/>
  <c r="R30" i="76"/>
  <c r="AH30" i="76"/>
  <c r="AW30" i="76"/>
  <c r="R31" i="76"/>
  <c r="AH31" i="76"/>
  <c r="AW31" i="76"/>
  <c r="R32" i="76"/>
  <c r="AH32" i="76"/>
  <c r="AW32" i="76"/>
  <c r="R33" i="76"/>
  <c r="AH33" i="76"/>
  <c r="AW33" i="76"/>
  <c r="R34" i="76"/>
  <c r="AH34" i="76"/>
  <c r="AW34" i="76"/>
  <c r="R35" i="76"/>
  <c r="AH35" i="76"/>
  <c r="AW35" i="76"/>
  <c r="R36" i="76"/>
  <c r="AH36" i="76"/>
  <c r="AW36" i="76"/>
  <c r="R37" i="76"/>
  <c r="AH37" i="76"/>
  <c r="AW37" i="76"/>
  <c r="R38" i="76"/>
  <c r="AH38" i="76"/>
  <c r="AW38" i="76"/>
  <c r="R39" i="76"/>
  <c r="AH39" i="76"/>
  <c r="AW39" i="76"/>
  <c r="R40" i="76"/>
  <c r="AH40" i="76"/>
  <c r="AW40" i="76"/>
  <c r="R41" i="76"/>
  <c r="AH41" i="76"/>
  <c r="AW41" i="76"/>
  <c r="R42" i="76"/>
  <c r="AH42" i="76"/>
  <c r="AW42" i="76"/>
  <c r="R43" i="76"/>
  <c r="AH43" i="76"/>
  <c r="AW43" i="76"/>
  <c r="R44" i="76"/>
  <c r="AH44" i="76"/>
  <c r="AW44" i="76"/>
  <c r="R45" i="76"/>
  <c r="AH45" i="76"/>
  <c r="AW45" i="76"/>
  <c r="R46" i="76"/>
  <c r="AH46" i="76"/>
  <c r="AW46" i="76"/>
  <c r="R47" i="76"/>
  <c r="AH47" i="76"/>
  <c r="AW47" i="76"/>
  <c r="R48" i="76"/>
  <c r="AH48" i="76"/>
  <c r="AW48" i="76"/>
  <c r="R49" i="76"/>
  <c r="AH49" i="76"/>
  <c r="AW49" i="76"/>
  <c r="R50" i="76"/>
  <c r="AH50" i="76"/>
  <c r="AW50" i="76"/>
  <c r="R51" i="76"/>
  <c r="AH51" i="76"/>
  <c r="AW51" i="76"/>
  <c r="R52" i="76"/>
  <c r="AH52" i="76"/>
  <c r="AW52" i="76"/>
  <c r="R53" i="76"/>
  <c r="AH53" i="76"/>
  <c r="AW53" i="76"/>
  <c r="R54" i="76"/>
  <c r="AH54" i="76"/>
  <c r="AW54" i="76"/>
  <c r="R55" i="76"/>
  <c r="AH55" i="76"/>
  <c r="AW55" i="76"/>
  <c r="R56" i="76"/>
  <c r="AH56" i="76"/>
  <c r="AW56" i="76"/>
  <c r="R57" i="76"/>
  <c r="AH57" i="76"/>
  <c r="AW57" i="76"/>
  <c r="R58" i="76"/>
  <c r="AH58" i="76"/>
  <c r="AW58" i="76"/>
  <c r="R59" i="76"/>
  <c r="AH59" i="76"/>
  <c r="AW59" i="76"/>
  <c r="R60" i="76"/>
  <c r="AH60" i="76"/>
  <c r="AW60" i="76"/>
  <c r="R61" i="76"/>
  <c r="AH61" i="76"/>
  <c r="AW61" i="76"/>
  <c r="R62" i="76"/>
  <c r="AH62" i="76"/>
  <c r="AW62" i="76"/>
  <c r="R63" i="76"/>
  <c r="AH63" i="76"/>
  <c r="AW63" i="76"/>
  <c r="R64" i="76"/>
  <c r="AH64" i="76"/>
  <c r="AW64" i="76"/>
  <c r="R65" i="76"/>
  <c r="AH65" i="76"/>
  <c r="AW65" i="76"/>
  <c r="R66" i="76"/>
  <c r="AH66" i="76"/>
  <c r="AW66" i="76"/>
  <c r="R67" i="76"/>
  <c r="AH67" i="76"/>
  <c r="AW67" i="76"/>
  <c r="R68" i="76"/>
  <c r="AH68" i="76"/>
  <c r="AW68" i="76"/>
  <c r="R69" i="76"/>
  <c r="AH69" i="76"/>
  <c r="AW69" i="76"/>
  <c r="R70" i="76"/>
  <c r="AH70" i="76"/>
  <c r="AW70" i="76"/>
  <c r="R71" i="76"/>
  <c r="AH71" i="76"/>
  <c r="AW71" i="76"/>
  <c r="R72" i="76"/>
  <c r="AH72" i="76"/>
  <c r="AW72" i="76"/>
  <c r="R73" i="76"/>
  <c r="AH73" i="76"/>
  <c r="AW73" i="76"/>
  <c r="R74" i="76"/>
  <c r="AH74" i="76"/>
  <c r="AW74" i="76"/>
  <c r="R75" i="76"/>
  <c r="AH75" i="76"/>
  <c r="AW75" i="76"/>
  <c r="R76" i="76"/>
  <c r="AH76" i="76"/>
  <c r="AW76" i="76"/>
  <c r="R77" i="76"/>
  <c r="AH77" i="76"/>
  <c r="AW77" i="76"/>
  <c r="R78" i="76"/>
  <c r="AH78" i="76"/>
  <c r="AW78" i="76"/>
  <c r="R79" i="76"/>
  <c r="AH79" i="76"/>
  <c r="AW79" i="76"/>
  <c r="R80" i="76"/>
  <c r="AH80" i="76"/>
  <c r="AW80" i="76"/>
  <c r="R81" i="76"/>
  <c r="AH81" i="76"/>
  <c r="AW81" i="76"/>
  <c r="R82" i="76"/>
  <c r="AH82" i="76"/>
  <c r="AW82" i="76"/>
  <c r="R83" i="76"/>
  <c r="AH83" i="76"/>
  <c r="AW83" i="76"/>
  <c r="R84" i="76"/>
  <c r="AH84" i="76"/>
  <c r="AW84" i="76"/>
  <c r="R85" i="76"/>
  <c r="AH85" i="76"/>
  <c r="AW85" i="76"/>
  <c r="R86" i="76"/>
  <c r="AH86" i="76"/>
  <c r="AW86" i="76"/>
  <c r="R87" i="76"/>
  <c r="AH87" i="76"/>
  <c r="AW87" i="76"/>
  <c r="E89" i="76"/>
  <c r="F89" i="76"/>
  <c r="F101" i="76" s="1"/>
  <c r="G89" i="76"/>
  <c r="G101" i="76" s="1"/>
  <c r="H89" i="76"/>
  <c r="H101" i="76" s="1"/>
  <c r="I89" i="76"/>
  <c r="I101" i="76" s="1"/>
  <c r="J89" i="76"/>
  <c r="J101" i="76" s="1"/>
  <c r="K89" i="76"/>
  <c r="K101" i="76" s="1"/>
  <c r="L89" i="76"/>
  <c r="L101" i="76" s="1"/>
  <c r="M89" i="76"/>
  <c r="M101" i="76" s="1"/>
  <c r="N89" i="76"/>
  <c r="O89" i="76"/>
  <c r="P89" i="76"/>
  <c r="Q89" i="76"/>
  <c r="R89" i="76"/>
  <c r="R101" i="76" s="1"/>
  <c r="T89" i="76"/>
  <c r="T101" i="76" s="1"/>
  <c r="V89" i="76"/>
  <c r="V101" i="76" s="1"/>
  <c r="W89" i="76"/>
  <c r="W101" i="76" s="1"/>
  <c r="X89" i="76"/>
  <c r="X101" i="76" s="1"/>
  <c r="Y89" i="76"/>
  <c r="Y101" i="76" s="1"/>
  <c r="Z89" i="76"/>
  <c r="Z101" i="76" s="1"/>
  <c r="AA89" i="76"/>
  <c r="AA101" i="76" s="1"/>
  <c r="AB89" i="76"/>
  <c r="AB101" i="76" s="1"/>
  <c r="AC89" i="76"/>
  <c r="AC101" i="76" s="1"/>
  <c r="AD89" i="76"/>
  <c r="AD101" i="76" s="1"/>
  <c r="AE89" i="76"/>
  <c r="AE101" i="76" s="1"/>
  <c r="AF89" i="76"/>
  <c r="AF101" i="76" s="1"/>
  <c r="AG89" i="76"/>
  <c r="AG101" i="76" s="1"/>
  <c r="AH89" i="76"/>
  <c r="AH101" i="76" s="1"/>
  <c r="AK89" i="76"/>
  <c r="AK101" i="76" s="1"/>
  <c r="AL89" i="76"/>
  <c r="AL101" i="76" s="1"/>
  <c r="AM89" i="76"/>
  <c r="AM101" i="76" s="1"/>
  <c r="AN89" i="76"/>
  <c r="AN101" i="76" s="1"/>
  <c r="AO89" i="76"/>
  <c r="AO101" i="76" s="1"/>
  <c r="AP89" i="76"/>
  <c r="AP101" i="76" s="1"/>
  <c r="AQ89" i="76"/>
  <c r="AQ101" i="76" s="1"/>
  <c r="AR89" i="76"/>
  <c r="AR101" i="76" s="1"/>
  <c r="AS89" i="76"/>
  <c r="AS101" i="76" s="1"/>
  <c r="AT89" i="76"/>
  <c r="AT101" i="76" s="1"/>
  <c r="AU89" i="76"/>
  <c r="AU101" i="76" s="1"/>
  <c r="AV89" i="76"/>
  <c r="AV101" i="76" s="1"/>
  <c r="AW89" i="76"/>
  <c r="AW101" i="76" s="1"/>
  <c r="C145" i="30"/>
  <c r="C146" i="30"/>
  <c r="C147" i="30"/>
  <c r="C148" i="30"/>
  <c r="C149" i="30"/>
  <c r="C150" i="30"/>
  <c r="C151" i="30"/>
  <c r="C152" i="30"/>
  <c r="C153" i="30"/>
  <c r="C154" i="30"/>
  <c r="C155" i="30"/>
  <c r="C157" i="30"/>
  <c r="C158" i="30"/>
  <c r="C161" i="30"/>
  <c r="AK125" i="30"/>
  <c r="AL125" i="30"/>
  <c r="AM125" i="30"/>
  <c r="AN125" i="30"/>
  <c r="AP125" i="30"/>
  <c r="AQ125" i="30"/>
  <c r="AR125" i="30"/>
  <c r="AS125" i="30"/>
  <c r="AT125" i="30"/>
  <c r="AU125" i="30"/>
  <c r="AV125" i="30"/>
  <c r="AK126" i="30"/>
  <c r="AL126" i="30"/>
  <c r="AM126" i="30"/>
  <c r="AN126" i="30"/>
  <c r="AO126" i="30"/>
  <c r="AP126" i="30"/>
  <c r="AQ126" i="30"/>
  <c r="AR126" i="30"/>
  <c r="AS126" i="30"/>
  <c r="AT126" i="30"/>
  <c r="AU126" i="30"/>
  <c r="AV126" i="30"/>
  <c r="AK127" i="30"/>
  <c r="AL127" i="30"/>
  <c r="AM127" i="30"/>
  <c r="AN127" i="30"/>
  <c r="AO127" i="30"/>
  <c r="AP127" i="30"/>
  <c r="AQ127" i="30"/>
  <c r="AR127" i="30"/>
  <c r="AS127" i="30"/>
  <c r="AT127" i="30"/>
  <c r="AU127" i="30"/>
  <c r="AV127" i="30"/>
  <c r="AK128" i="30"/>
  <c r="AL128" i="30"/>
  <c r="AM128" i="30"/>
  <c r="AN128" i="30"/>
  <c r="AO128" i="30"/>
  <c r="AP128" i="30"/>
  <c r="AQ128" i="30"/>
  <c r="AR128" i="30"/>
  <c r="AS128" i="30"/>
  <c r="AT128" i="30"/>
  <c r="AU128" i="30"/>
  <c r="AV128" i="30"/>
  <c r="AK129" i="30"/>
  <c r="AL129" i="30"/>
  <c r="AM129" i="30"/>
  <c r="AN129" i="30"/>
  <c r="AO129" i="30"/>
  <c r="AP129" i="30"/>
  <c r="AQ129" i="30"/>
  <c r="AR129" i="30"/>
  <c r="AS129" i="30"/>
  <c r="AT129" i="30"/>
  <c r="AU129" i="30"/>
  <c r="AV129" i="30"/>
  <c r="AK130" i="30"/>
  <c r="AL130" i="30"/>
  <c r="AM130" i="30"/>
  <c r="AN130" i="30"/>
  <c r="AO130" i="30"/>
  <c r="AP130" i="30"/>
  <c r="AQ130" i="30"/>
  <c r="AR130" i="30"/>
  <c r="AS130" i="30"/>
  <c r="AT130" i="30"/>
  <c r="AU130" i="30"/>
  <c r="AV130" i="30"/>
  <c r="AK131" i="30"/>
  <c r="AL131" i="30"/>
  <c r="AM131" i="30"/>
  <c r="AN131" i="30"/>
  <c r="AO131" i="30"/>
  <c r="AP131" i="30"/>
  <c r="AQ131" i="30"/>
  <c r="AR131" i="30"/>
  <c r="AS131" i="30"/>
  <c r="AT131" i="30"/>
  <c r="AU131" i="30"/>
  <c r="AV131" i="30"/>
  <c r="AK132" i="30"/>
  <c r="AL132" i="30"/>
  <c r="AM132" i="30"/>
  <c r="AN132" i="30"/>
  <c r="AO132" i="30"/>
  <c r="AP132" i="30"/>
  <c r="AQ132" i="30"/>
  <c r="AR132" i="30"/>
  <c r="AS132" i="30"/>
  <c r="AT132" i="30"/>
  <c r="AU132" i="30"/>
  <c r="AV132" i="30"/>
  <c r="AK133" i="30"/>
  <c r="AL133" i="30"/>
  <c r="AM133" i="30"/>
  <c r="AN133" i="30"/>
  <c r="AO133" i="30"/>
  <c r="AP133" i="30"/>
  <c r="AQ133" i="30"/>
  <c r="AR133" i="30"/>
  <c r="AS133" i="30"/>
  <c r="AT133" i="30"/>
  <c r="AU133" i="30"/>
  <c r="AV133" i="30"/>
  <c r="AK134" i="30"/>
  <c r="AL134" i="30"/>
  <c r="AM134" i="30"/>
  <c r="AN134" i="30"/>
  <c r="AO134" i="30"/>
  <c r="AP134" i="30"/>
  <c r="AQ134" i="30"/>
  <c r="AR134" i="30"/>
  <c r="AS134" i="30"/>
  <c r="AT134" i="30"/>
  <c r="AU134" i="30"/>
  <c r="AV134" i="30"/>
  <c r="AK135" i="30"/>
  <c r="AL135" i="30"/>
  <c r="AM135" i="30"/>
  <c r="AN135" i="30"/>
  <c r="AO135" i="30"/>
  <c r="AP135" i="30"/>
  <c r="AQ135" i="30"/>
  <c r="AR135" i="30"/>
  <c r="AS135" i="30"/>
  <c r="AT135" i="30"/>
  <c r="AU135" i="30"/>
  <c r="AV135" i="30"/>
  <c r="AK137" i="30"/>
  <c r="AL137" i="30"/>
  <c r="AM137" i="30"/>
  <c r="AN137" i="30"/>
  <c r="AO137" i="30"/>
  <c r="AP137" i="30"/>
  <c r="AQ137" i="30"/>
  <c r="AR137" i="30"/>
  <c r="AS137" i="30"/>
  <c r="AT137" i="30"/>
  <c r="AU137" i="30"/>
  <c r="AV137" i="30"/>
  <c r="AK138" i="30"/>
  <c r="AL138" i="30"/>
  <c r="AM138" i="30"/>
  <c r="AN138" i="30"/>
  <c r="AO138" i="30"/>
  <c r="AP138" i="30"/>
  <c r="AQ138" i="30"/>
  <c r="AR138" i="30"/>
  <c r="AS138" i="30"/>
  <c r="AT138" i="30"/>
  <c r="AU138" i="30"/>
  <c r="AV138" i="30"/>
  <c r="V125" i="30"/>
  <c r="W125" i="30"/>
  <c r="X125" i="30"/>
  <c r="Y125" i="30"/>
  <c r="Z125" i="30"/>
  <c r="AA125" i="30"/>
  <c r="AB125" i="30"/>
  <c r="AC125" i="30"/>
  <c r="AD125" i="30"/>
  <c r="AE125" i="30"/>
  <c r="AF125" i="30"/>
  <c r="AG125" i="30"/>
  <c r="V126" i="30"/>
  <c r="W126" i="30"/>
  <c r="X126" i="30"/>
  <c r="Y126" i="30"/>
  <c r="Z126" i="30"/>
  <c r="AA126" i="30"/>
  <c r="AB126" i="30"/>
  <c r="AC126" i="30"/>
  <c r="AD126" i="30"/>
  <c r="AE126" i="30"/>
  <c r="AF126" i="30"/>
  <c r="AG126" i="30"/>
  <c r="V127" i="30"/>
  <c r="W127" i="30"/>
  <c r="X127" i="30"/>
  <c r="Y127" i="30"/>
  <c r="Z127" i="30"/>
  <c r="AA127" i="30"/>
  <c r="AB127" i="30"/>
  <c r="AC127" i="30"/>
  <c r="AD127" i="30"/>
  <c r="AE127" i="30"/>
  <c r="AF127" i="30"/>
  <c r="AG127" i="30"/>
  <c r="V128" i="30"/>
  <c r="W128" i="30"/>
  <c r="X128" i="30"/>
  <c r="Y128" i="30"/>
  <c r="Z128" i="30"/>
  <c r="AA128" i="30"/>
  <c r="AB128" i="30"/>
  <c r="AC128" i="30"/>
  <c r="AD128" i="30"/>
  <c r="AE128" i="30"/>
  <c r="AF128" i="30"/>
  <c r="AG128" i="30"/>
  <c r="V129" i="30"/>
  <c r="W129" i="30"/>
  <c r="X129" i="30"/>
  <c r="Y129" i="30"/>
  <c r="Z129" i="30"/>
  <c r="AA129" i="30"/>
  <c r="AB129" i="30"/>
  <c r="AC129" i="30"/>
  <c r="AD129" i="30"/>
  <c r="AE129" i="30"/>
  <c r="AF129" i="30"/>
  <c r="AG129" i="30"/>
  <c r="V130" i="30"/>
  <c r="W130" i="30"/>
  <c r="X130" i="30"/>
  <c r="Y130" i="30"/>
  <c r="Z130" i="30"/>
  <c r="AA130" i="30"/>
  <c r="AB130" i="30"/>
  <c r="AC130" i="30"/>
  <c r="AD130" i="30"/>
  <c r="AE130" i="30"/>
  <c r="AF130" i="30"/>
  <c r="AG130" i="30"/>
  <c r="V131" i="30"/>
  <c r="W131" i="30"/>
  <c r="X131" i="30"/>
  <c r="Y131" i="30"/>
  <c r="Z131" i="30"/>
  <c r="AA131" i="30"/>
  <c r="AB131" i="30"/>
  <c r="AC131" i="30"/>
  <c r="AD131" i="30"/>
  <c r="AE131" i="30"/>
  <c r="AF131" i="30"/>
  <c r="AG131" i="30"/>
  <c r="V132" i="30"/>
  <c r="W132" i="30"/>
  <c r="X132" i="30"/>
  <c r="Y132" i="30"/>
  <c r="Z132" i="30"/>
  <c r="AA132" i="30"/>
  <c r="AB132" i="30"/>
  <c r="AC132" i="30"/>
  <c r="AD132" i="30"/>
  <c r="AE132" i="30"/>
  <c r="AF132" i="30"/>
  <c r="AG132" i="30"/>
  <c r="V133" i="30"/>
  <c r="W133" i="30"/>
  <c r="X133" i="30"/>
  <c r="Y133" i="30"/>
  <c r="Z133" i="30"/>
  <c r="AA133" i="30"/>
  <c r="AB133" i="30"/>
  <c r="AC133" i="30"/>
  <c r="AD133" i="30"/>
  <c r="AE133" i="30"/>
  <c r="AF133" i="30"/>
  <c r="AG133" i="30"/>
  <c r="V134" i="30"/>
  <c r="W134" i="30"/>
  <c r="X134" i="30"/>
  <c r="Y134" i="30"/>
  <c r="Z134" i="30"/>
  <c r="AA134" i="30"/>
  <c r="AB134" i="30"/>
  <c r="AC134" i="30"/>
  <c r="AD134" i="30"/>
  <c r="AE134" i="30"/>
  <c r="AF134" i="30"/>
  <c r="AG134" i="30"/>
  <c r="V135" i="30"/>
  <c r="W135" i="30"/>
  <c r="X135" i="30"/>
  <c r="Y135" i="30"/>
  <c r="Z135" i="30"/>
  <c r="AA135" i="30"/>
  <c r="AB135" i="30"/>
  <c r="AC135" i="30"/>
  <c r="AD135" i="30"/>
  <c r="AE135" i="30"/>
  <c r="AF135" i="30"/>
  <c r="AG135" i="30"/>
  <c r="V137" i="30"/>
  <c r="W137" i="30"/>
  <c r="X137" i="30"/>
  <c r="Y137" i="30"/>
  <c r="Z137" i="30"/>
  <c r="AA137" i="30"/>
  <c r="AB137" i="30"/>
  <c r="AC137" i="30"/>
  <c r="AD137" i="30"/>
  <c r="AE137" i="30"/>
  <c r="AF137" i="30"/>
  <c r="AG137" i="30"/>
  <c r="V138" i="30"/>
  <c r="W138" i="30"/>
  <c r="X138" i="30"/>
  <c r="Y138" i="30"/>
  <c r="Z138" i="30"/>
  <c r="AA138" i="30"/>
  <c r="AB138" i="30"/>
  <c r="AC138" i="30"/>
  <c r="AD138" i="30"/>
  <c r="AE138" i="30"/>
  <c r="AF138" i="30"/>
  <c r="AG138" i="30"/>
  <c r="F125" i="30"/>
  <c r="G125" i="30"/>
  <c r="H125" i="30"/>
  <c r="I125" i="30"/>
  <c r="J125" i="30"/>
  <c r="K125" i="30"/>
  <c r="L125" i="30"/>
  <c r="M125" i="30"/>
  <c r="N125" i="30"/>
  <c r="O125" i="30"/>
  <c r="P125" i="30"/>
  <c r="Q125" i="30"/>
  <c r="F126" i="30"/>
  <c r="G126" i="30"/>
  <c r="H126" i="30"/>
  <c r="I126" i="30"/>
  <c r="J126" i="30"/>
  <c r="K126" i="30"/>
  <c r="L126" i="30"/>
  <c r="M126" i="30"/>
  <c r="N126" i="30"/>
  <c r="O126" i="30"/>
  <c r="P126" i="30"/>
  <c r="Q126" i="30"/>
  <c r="F127" i="30"/>
  <c r="G127" i="30"/>
  <c r="H127" i="30"/>
  <c r="I127" i="30"/>
  <c r="J127" i="30"/>
  <c r="K127" i="30"/>
  <c r="L127" i="30"/>
  <c r="M127" i="30"/>
  <c r="N127" i="30"/>
  <c r="O127" i="30"/>
  <c r="P127" i="30"/>
  <c r="Q127" i="30"/>
  <c r="F128" i="30"/>
  <c r="G128" i="30"/>
  <c r="H128" i="30"/>
  <c r="I128" i="30"/>
  <c r="J128" i="30"/>
  <c r="K128" i="30"/>
  <c r="L128" i="30"/>
  <c r="M128" i="30"/>
  <c r="N128" i="30"/>
  <c r="O128" i="30"/>
  <c r="P128" i="30"/>
  <c r="Q128" i="30"/>
  <c r="F129" i="30"/>
  <c r="G129" i="30"/>
  <c r="H129" i="30"/>
  <c r="I129" i="30"/>
  <c r="J129" i="30"/>
  <c r="K129" i="30"/>
  <c r="L129" i="30"/>
  <c r="M129" i="30"/>
  <c r="N129" i="30"/>
  <c r="O129" i="30"/>
  <c r="P129" i="30"/>
  <c r="Q129" i="30"/>
  <c r="F130" i="30"/>
  <c r="G130" i="30"/>
  <c r="H130" i="30"/>
  <c r="I130" i="30"/>
  <c r="J130" i="30"/>
  <c r="K130" i="30"/>
  <c r="L130" i="30"/>
  <c r="M130" i="30"/>
  <c r="N130" i="30"/>
  <c r="O130" i="30"/>
  <c r="P130" i="30"/>
  <c r="Q130" i="30"/>
  <c r="F131" i="30"/>
  <c r="G131" i="30"/>
  <c r="H131" i="30"/>
  <c r="I131" i="30"/>
  <c r="J131" i="30"/>
  <c r="K131" i="30"/>
  <c r="L131" i="30"/>
  <c r="M131" i="30"/>
  <c r="N131" i="30"/>
  <c r="O131" i="30"/>
  <c r="P131" i="30"/>
  <c r="Q131" i="30"/>
  <c r="F132" i="30"/>
  <c r="G132" i="30"/>
  <c r="H132" i="30"/>
  <c r="I132" i="30"/>
  <c r="J132" i="30"/>
  <c r="K132" i="30"/>
  <c r="L132" i="30"/>
  <c r="M132" i="30"/>
  <c r="N132" i="30"/>
  <c r="O132" i="30"/>
  <c r="P132" i="30"/>
  <c r="Q132" i="30"/>
  <c r="F133" i="30"/>
  <c r="G133" i="30"/>
  <c r="H133" i="30"/>
  <c r="I133" i="30"/>
  <c r="J133" i="30"/>
  <c r="K133" i="30"/>
  <c r="L133" i="30"/>
  <c r="M133" i="30"/>
  <c r="N133" i="30"/>
  <c r="O133" i="30"/>
  <c r="P133" i="30"/>
  <c r="Q133" i="30"/>
  <c r="F134" i="30"/>
  <c r="G134" i="30"/>
  <c r="H134" i="30"/>
  <c r="I134" i="30"/>
  <c r="J134" i="30"/>
  <c r="K134" i="30"/>
  <c r="L134" i="30"/>
  <c r="M134" i="30"/>
  <c r="N134" i="30"/>
  <c r="O134" i="30"/>
  <c r="P134" i="30"/>
  <c r="Q134" i="30"/>
  <c r="F135" i="30"/>
  <c r="G135" i="30"/>
  <c r="H135" i="30"/>
  <c r="I135" i="30"/>
  <c r="J135" i="30"/>
  <c r="K135" i="30"/>
  <c r="L135" i="30"/>
  <c r="M135" i="30"/>
  <c r="N135" i="30"/>
  <c r="O135" i="30"/>
  <c r="P135" i="30"/>
  <c r="Q135" i="30"/>
  <c r="F137" i="30"/>
  <c r="G137" i="30"/>
  <c r="H137" i="30"/>
  <c r="I137" i="30"/>
  <c r="J137" i="30"/>
  <c r="K137" i="30"/>
  <c r="L137" i="30"/>
  <c r="M137" i="30"/>
  <c r="N137" i="30"/>
  <c r="O137" i="30"/>
  <c r="P137" i="30"/>
  <c r="Q137" i="30"/>
  <c r="F138" i="30"/>
  <c r="G138" i="30"/>
  <c r="H138" i="30"/>
  <c r="I138" i="30"/>
  <c r="J138" i="30"/>
  <c r="K138" i="30"/>
  <c r="L138" i="30"/>
  <c r="M138" i="30"/>
  <c r="N138" i="30"/>
  <c r="O138" i="30"/>
  <c r="P138" i="30"/>
  <c r="Q138" i="30"/>
  <c r="F141" i="30"/>
  <c r="G141" i="30"/>
  <c r="H141" i="30"/>
  <c r="I141" i="30"/>
  <c r="J141" i="30"/>
  <c r="K141" i="30"/>
  <c r="L141" i="30"/>
  <c r="M141" i="30"/>
  <c r="N141" i="30"/>
  <c r="O141" i="30"/>
  <c r="P141" i="30"/>
  <c r="Q141" i="30"/>
  <c r="F4" i="30"/>
  <c r="F94" i="30"/>
  <c r="F113" i="30" s="1"/>
  <c r="F209" i="30"/>
  <c r="F210" i="30"/>
  <c r="F211" i="30"/>
  <c r="F212" i="30"/>
  <c r="C141" i="30"/>
  <c r="C138" i="30"/>
  <c r="C137" i="30"/>
  <c r="C135" i="30"/>
  <c r="C134" i="30"/>
  <c r="C133" i="30"/>
  <c r="C132" i="30"/>
  <c r="C131" i="30"/>
  <c r="C130" i="30"/>
  <c r="C129" i="30"/>
  <c r="C128" i="30"/>
  <c r="C127" i="30"/>
  <c r="C126" i="30"/>
  <c r="C125" i="30"/>
  <c r="AH60" i="66"/>
  <c r="B217" i="30"/>
  <c r="AH97" i="32"/>
  <c r="AI97" i="32"/>
  <c r="AJ97" i="32"/>
  <c r="AK97" i="32"/>
  <c r="AL97" i="32"/>
  <c r="AM97" i="32"/>
  <c r="AN97" i="32"/>
  <c r="AO97" i="32"/>
  <c r="AP97" i="32"/>
  <c r="AQ97" i="32"/>
  <c r="AR97" i="32"/>
  <c r="AS97" i="32"/>
  <c r="AF266" i="76" l="1"/>
  <c r="AS266" i="76"/>
  <c r="AQ266" i="76"/>
  <c r="AO266" i="76"/>
  <c r="W266" i="76"/>
  <c r="F266" i="76"/>
  <c r="AG266" i="76"/>
  <c r="AM266" i="76"/>
  <c r="V266" i="76"/>
  <c r="AK266" i="76"/>
  <c r="Q266" i="76"/>
  <c r="AU266" i="76"/>
  <c r="AE266" i="76"/>
  <c r="L266" i="76"/>
  <c r="M266" i="76"/>
  <c r="AT266" i="76"/>
  <c r="AC266" i="76"/>
  <c r="K266" i="76"/>
  <c r="I266" i="76"/>
  <c r="H266" i="76"/>
  <c r="P266" i="76"/>
  <c r="AB266" i="76"/>
  <c r="Z266" i="76"/>
  <c r="AP266" i="76"/>
  <c r="X266" i="76"/>
  <c r="G266" i="76"/>
  <c r="AS66" i="51"/>
  <c r="AD66" i="51"/>
  <c r="AS66" i="52"/>
  <c r="AD66" i="52"/>
  <c r="AQ66" i="51"/>
  <c r="AB66" i="51"/>
  <c r="AQ66" i="52"/>
  <c r="AB66" i="52"/>
  <c r="AP66" i="51"/>
  <c r="AA66" i="51"/>
  <c r="AP66" i="52"/>
  <c r="AA66" i="52"/>
  <c r="AO66" i="51"/>
  <c r="Z66" i="51"/>
  <c r="AO66" i="52"/>
  <c r="Z66" i="52"/>
  <c r="Y66" i="52"/>
  <c r="AN66" i="51"/>
  <c r="Y66" i="51"/>
  <c r="AN66" i="52"/>
  <c r="AM66" i="51"/>
  <c r="X66" i="51"/>
  <c r="AM66" i="52"/>
  <c r="X66" i="52"/>
  <c r="AL66" i="51"/>
  <c r="W66" i="51"/>
  <c r="AL66" i="52"/>
  <c r="W66" i="52"/>
  <c r="AK66" i="51"/>
  <c r="V66" i="51"/>
  <c r="AK66" i="52"/>
  <c r="V66" i="52"/>
  <c r="AI66" i="51"/>
  <c r="T66" i="51"/>
  <c r="AI66" i="52"/>
  <c r="T66" i="52"/>
  <c r="AH66" i="51"/>
  <c r="S66" i="51"/>
  <c r="AH66" i="52"/>
  <c r="S66" i="52"/>
  <c r="AC66" i="52"/>
  <c r="G102" i="66"/>
  <c r="AR66" i="52"/>
  <c r="AR66" i="51"/>
  <c r="AC66" i="51"/>
  <c r="U66" i="52"/>
  <c r="AJ66" i="52"/>
  <c r="U66" i="51"/>
  <c r="AJ66" i="51"/>
  <c r="W66" i="66"/>
  <c r="AL66" i="66"/>
  <c r="AS67" i="65"/>
  <c r="AI67" i="65"/>
  <c r="AA67" i="65"/>
  <c r="AK66" i="66"/>
  <c r="AR67" i="65"/>
  <c r="AH67" i="65"/>
  <c r="Z67" i="65"/>
  <c r="AJ66" i="66"/>
  <c r="AQ67" i="65"/>
  <c r="Y67" i="65"/>
  <c r="V67" i="65"/>
  <c r="AI66" i="66"/>
  <c r="AP67" i="65"/>
  <c r="X67" i="65"/>
  <c r="AS66" i="66"/>
  <c r="AR66" i="66"/>
  <c r="AH66" i="66"/>
  <c r="AO67" i="65"/>
  <c r="W67" i="65"/>
  <c r="AM67" i="65"/>
  <c r="T67" i="65"/>
  <c r="AQ66" i="66"/>
  <c r="AN67" i="65"/>
  <c r="U67" i="65"/>
  <c r="AP66" i="66"/>
  <c r="AO66" i="66"/>
  <c r="AL67" i="65"/>
  <c r="AD67" i="65"/>
  <c r="S67" i="65"/>
  <c r="AN66" i="66"/>
  <c r="AK67" i="65"/>
  <c r="AC67" i="65"/>
  <c r="AM66" i="66"/>
  <c r="AJ67" i="65"/>
  <c r="AB67" i="65"/>
  <c r="AC249" i="76"/>
  <c r="AC66" i="66"/>
  <c r="AK66" i="65"/>
  <c r="AM65" i="65"/>
  <c r="AB66" i="65"/>
  <c r="AC65" i="65"/>
  <c r="V65" i="65"/>
  <c r="AJ66" i="65"/>
  <c r="AL65" i="65"/>
  <c r="AA66" i="65"/>
  <c r="AB65" i="65"/>
  <c r="V66" i="65"/>
  <c r="AS66" i="65"/>
  <c r="AI66" i="65"/>
  <c r="AK65" i="65"/>
  <c r="Z66" i="65"/>
  <c r="AA65" i="65"/>
  <c r="AR66" i="65"/>
  <c r="AH66" i="65"/>
  <c r="AJ65" i="65"/>
  <c r="Y66" i="65"/>
  <c r="Z65" i="65"/>
  <c r="AQ66" i="65"/>
  <c r="AS65" i="65"/>
  <c r="AI65" i="65"/>
  <c r="X66" i="65"/>
  <c r="Y65" i="65"/>
  <c r="AQ65" i="65"/>
  <c r="U66" i="65"/>
  <c r="AP66" i="65"/>
  <c r="AR65" i="65"/>
  <c r="AH65" i="65"/>
  <c r="W66" i="65"/>
  <c r="X65" i="65"/>
  <c r="AO66" i="65"/>
  <c r="W65" i="65"/>
  <c r="AN66" i="65"/>
  <c r="AP65" i="65"/>
  <c r="T66" i="65"/>
  <c r="U65" i="65"/>
  <c r="AM66" i="65"/>
  <c r="AO65" i="65"/>
  <c r="AD66" i="65"/>
  <c r="S66" i="65"/>
  <c r="T65" i="65"/>
  <c r="AL66" i="65"/>
  <c r="AN65" i="65"/>
  <c r="AC66" i="65"/>
  <c r="AD65" i="65"/>
  <c r="S65" i="65"/>
  <c r="X66" i="66"/>
  <c r="S66" i="66"/>
  <c r="Z66" i="66"/>
  <c r="V66" i="66"/>
  <c r="U66" i="66"/>
  <c r="AD66" i="66"/>
  <c r="T66" i="66"/>
  <c r="AB66" i="66"/>
  <c r="AA66" i="66"/>
  <c r="Y66" i="66"/>
  <c r="AN266" i="76"/>
  <c r="Y266" i="76"/>
  <c r="J266" i="76"/>
  <c r="AR266" i="76"/>
  <c r="AD266" i="76"/>
  <c r="O266" i="76"/>
  <c r="R266" i="76" s="1"/>
  <c r="AV266" i="76"/>
  <c r="AL266" i="76"/>
  <c r="AA266" i="76"/>
  <c r="K83" i="32"/>
  <c r="K101" i="32"/>
  <c r="K102" i="32" s="1"/>
  <c r="J83" i="32"/>
  <c r="J101" i="32"/>
  <c r="J102" i="32" s="1"/>
  <c r="G83" i="32"/>
  <c r="G101" i="32"/>
  <c r="G102" i="32" s="1"/>
  <c r="D83" i="32"/>
  <c r="D101" i="32"/>
  <c r="D102" i="32" s="1"/>
  <c r="L83" i="66"/>
  <c r="L101" i="66"/>
  <c r="L102" i="66" s="1"/>
  <c r="K83" i="66"/>
  <c r="K101" i="66"/>
  <c r="K102" i="66" s="1"/>
  <c r="J83" i="66"/>
  <c r="J101" i="66"/>
  <c r="J102" i="66" s="1"/>
  <c r="Q48" i="77"/>
  <c r="Q32" i="77"/>
  <c r="M75" i="77"/>
  <c r="M54" i="77"/>
  <c r="N75" i="77"/>
  <c r="N54" i="77"/>
  <c r="O75" i="77"/>
  <c r="O54" i="77"/>
  <c r="S75" i="77"/>
  <c r="S54" i="77"/>
  <c r="AF75" i="77"/>
  <c r="AF54" i="77"/>
  <c r="T75" i="77"/>
  <c r="T54" i="77"/>
  <c r="U75" i="77"/>
  <c r="U54" i="77"/>
  <c r="V75" i="77"/>
  <c r="V54" i="77"/>
  <c r="W75" i="77"/>
  <c r="W54" i="77"/>
  <c r="X75" i="77"/>
  <c r="X54" i="77"/>
  <c r="Y75" i="77"/>
  <c r="Y54" i="77"/>
  <c r="Z75" i="77"/>
  <c r="Z54" i="77"/>
  <c r="AA75" i="77"/>
  <c r="AA54" i="77"/>
  <c r="AB75" i="77"/>
  <c r="AB54" i="77"/>
  <c r="AC75" i="77"/>
  <c r="AC54" i="77"/>
  <c r="AD75" i="77"/>
  <c r="AD54" i="77"/>
  <c r="AH75" i="77"/>
  <c r="AH54" i="77"/>
  <c r="AU75" i="77"/>
  <c r="AU54" i="77"/>
  <c r="AI75" i="77"/>
  <c r="AI54" i="77"/>
  <c r="AJ75" i="77"/>
  <c r="AJ54" i="77"/>
  <c r="AK75" i="77"/>
  <c r="AK54" i="77"/>
  <c r="AL75" i="77"/>
  <c r="AL54" i="77"/>
  <c r="AM75" i="77"/>
  <c r="AM54" i="77"/>
  <c r="AN75" i="77"/>
  <c r="AN54" i="77"/>
  <c r="AO75" i="77"/>
  <c r="AO54" i="77"/>
  <c r="AP75" i="77"/>
  <c r="AP54" i="77"/>
  <c r="AQ75" i="77"/>
  <c r="AQ54" i="77"/>
  <c r="AR75" i="77"/>
  <c r="AR54" i="77"/>
  <c r="AS75" i="77"/>
  <c r="AS54" i="77"/>
  <c r="L97" i="77"/>
  <c r="L98" i="77" s="1"/>
  <c r="L81" i="77"/>
  <c r="V142" i="30"/>
  <c r="AB49" i="35"/>
  <c r="AA49" i="35"/>
  <c r="AA68" i="65"/>
  <c r="AP269" i="76"/>
  <c r="AE269" i="76"/>
  <c r="H269" i="76"/>
  <c r="AR269" i="76"/>
  <c r="AG269" i="76"/>
  <c r="J269" i="76"/>
  <c r="AM269" i="76"/>
  <c r="W269" i="76"/>
  <c r="AQ269" i="76"/>
  <c r="AF269" i="76"/>
  <c r="V269" i="76"/>
  <c r="I269" i="76"/>
  <c r="AO269" i="76"/>
  <c r="AD269" i="76"/>
  <c r="Q269" i="76"/>
  <c r="G269" i="76"/>
  <c r="AN269" i="76"/>
  <c r="AC269" i="76"/>
  <c r="P269" i="76"/>
  <c r="F269" i="76"/>
  <c r="AV269" i="76"/>
  <c r="AL269" i="76"/>
  <c r="AA269" i="76"/>
  <c r="N269" i="76"/>
  <c r="M269" i="76"/>
  <c r="O269" i="76"/>
  <c r="AU269" i="76"/>
  <c r="AK269" i="76"/>
  <c r="Z269" i="76"/>
  <c r="AT269" i="76"/>
  <c r="Y269" i="76"/>
  <c r="L269" i="76"/>
  <c r="AB269" i="76"/>
  <c r="AS269" i="76"/>
  <c r="X269" i="76"/>
  <c r="AL64" i="66"/>
  <c r="AP64" i="52"/>
  <c r="AJ64" i="51"/>
  <c r="AS238" i="30"/>
  <c r="AT236" i="30"/>
  <c r="AT234" i="30"/>
  <c r="AT232" i="30"/>
  <c r="P238" i="30"/>
  <c r="H236" i="30"/>
  <c r="I234" i="30"/>
  <c r="K232" i="30"/>
  <c r="Z238" i="30"/>
  <c r="AN234" i="30"/>
  <c r="AK64" i="66"/>
  <c r="AO64" i="52"/>
  <c r="AS64" i="51"/>
  <c r="AI64" i="51"/>
  <c r="AR238" i="30"/>
  <c r="AS236" i="30"/>
  <c r="AS234" i="30"/>
  <c r="AS232" i="30"/>
  <c r="AK236" i="30"/>
  <c r="O238" i="30"/>
  <c r="Q236" i="30"/>
  <c r="G236" i="30"/>
  <c r="H234" i="30"/>
  <c r="J232" i="30"/>
  <c r="F232" i="30"/>
  <c r="Y238" i="30"/>
  <c r="AN64" i="52"/>
  <c r="AR64" i="51"/>
  <c r="AH64" i="51"/>
  <c r="AQ238" i="30"/>
  <c r="AR236" i="30"/>
  <c r="AR234" i="30"/>
  <c r="AR232" i="30"/>
  <c r="N238" i="30"/>
  <c r="P236" i="30"/>
  <c r="G234" i="30"/>
  <c r="AS64" i="66"/>
  <c r="AM64" i="52"/>
  <c r="AK234" i="30"/>
  <c r="P234" i="30"/>
  <c r="H232" i="30"/>
  <c r="AG238" i="30"/>
  <c r="AR64" i="66"/>
  <c r="AD238" i="30"/>
  <c r="F238" i="30"/>
  <c r="AJ64" i="66"/>
  <c r="AP64" i="51"/>
  <c r="AO238" i="30"/>
  <c r="AP236" i="30"/>
  <c r="AP234" i="30"/>
  <c r="AP232" i="30"/>
  <c r="L238" i="30"/>
  <c r="N236" i="30"/>
  <c r="O234" i="30"/>
  <c r="Q232" i="30"/>
  <c r="G232" i="30"/>
  <c r="AF238" i="30"/>
  <c r="AQ64" i="66"/>
  <c r="AK64" i="52"/>
  <c r="AM238" i="30"/>
  <c r="AM234" i="30"/>
  <c r="M234" i="30"/>
  <c r="AL232" i="30"/>
  <c r="I238" i="30"/>
  <c r="L234" i="30"/>
  <c r="AQ64" i="51"/>
  <c r="AP238" i="30"/>
  <c r="AQ236" i="30"/>
  <c r="AQ234" i="30"/>
  <c r="AQ232" i="30"/>
  <c r="M238" i="30"/>
  <c r="O236" i="30"/>
  <c r="W238" i="30"/>
  <c r="AH64" i="66"/>
  <c r="AL64" i="52"/>
  <c r="O232" i="30"/>
  <c r="N232" i="30"/>
  <c r="AN236" i="30"/>
  <c r="AN232" i="30"/>
  <c r="K238" i="30"/>
  <c r="N234" i="30"/>
  <c r="F236" i="30"/>
  <c r="AE238" i="30"/>
  <c r="AN64" i="51"/>
  <c r="AM236" i="30"/>
  <c r="J238" i="30"/>
  <c r="AM64" i="51"/>
  <c r="AL234" i="30"/>
  <c r="K236" i="30"/>
  <c r="AP64" i="66"/>
  <c r="AJ64" i="52"/>
  <c r="AO64" i="66"/>
  <c r="AS64" i="52"/>
  <c r="AI64" i="52"/>
  <c r="AV238" i="30"/>
  <c r="AN64" i="66"/>
  <c r="AR64" i="52"/>
  <c r="AH64" i="52"/>
  <c r="AL64" i="51"/>
  <c r="AU238" i="30"/>
  <c r="AV236" i="30"/>
  <c r="AV234" i="30"/>
  <c r="AV232" i="30"/>
  <c r="H238" i="30"/>
  <c r="J236" i="30"/>
  <c r="K234" i="30"/>
  <c r="M232" i="30"/>
  <c r="AB238" i="30"/>
  <c r="AN238" i="30"/>
  <c r="AK232" i="30"/>
  <c r="M236" i="30"/>
  <c r="P232" i="30"/>
  <c r="V238" i="30"/>
  <c r="L236" i="30"/>
  <c r="AL238" i="30"/>
  <c r="AL236" i="30"/>
  <c r="AC238" i="30"/>
  <c r="AM64" i="66"/>
  <c r="AQ64" i="52"/>
  <c r="AK64" i="51"/>
  <c r="AT238" i="30"/>
  <c r="AU236" i="30"/>
  <c r="AU234" i="30"/>
  <c r="AU232" i="30"/>
  <c r="AK238" i="30"/>
  <c r="Q238" i="30"/>
  <c r="G238" i="30"/>
  <c r="I236" i="30"/>
  <c r="J234" i="30"/>
  <c r="L232" i="30"/>
  <c r="F234" i="30"/>
  <c r="AA238" i="30"/>
  <c r="Q234" i="30"/>
  <c r="I232" i="30"/>
  <c r="X238" i="30"/>
  <c r="AI64" i="66"/>
  <c r="AO64" i="51"/>
  <c r="AM232" i="30"/>
  <c r="AJ65" i="66"/>
  <c r="AN65" i="52"/>
  <c r="AR65" i="51"/>
  <c r="AH65" i="51"/>
  <c r="AR239" i="30"/>
  <c r="AT237" i="30"/>
  <c r="AT235" i="30"/>
  <c r="AT233" i="30"/>
  <c r="AK237" i="30"/>
  <c r="M235" i="30"/>
  <c r="O239" i="30"/>
  <c r="Q237" i="30"/>
  <c r="G237" i="30"/>
  <c r="J233" i="30"/>
  <c r="F233" i="30"/>
  <c r="Y239" i="30"/>
  <c r="X239" i="30"/>
  <c r="AR65" i="66"/>
  <c r="AI65" i="52"/>
  <c r="AS65" i="66"/>
  <c r="AI65" i="66"/>
  <c r="AM65" i="52"/>
  <c r="AQ65" i="51"/>
  <c r="AQ239" i="30"/>
  <c r="AS237" i="30"/>
  <c r="AS235" i="30"/>
  <c r="AS233" i="30"/>
  <c r="L235" i="30"/>
  <c r="N239" i="30"/>
  <c r="P237" i="30"/>
  <c r="I233" i="30"/>
  <c r="AH65" i="66"/>
  <c r="AL65" i="52"/>
  <c r="AP65" i="51"/>
  <c r="AP239" i="30"/>
  <c r="AR237" i="30"/>
  <c r="AR235" i="30"/>
  <c r="K235" i="30"/>
  <c r="AG239" i="30"/>
  <c r="AO239" i="30"/>
  <c r="AQ237" i="30"/>
  <c r="AQ235" i="30"/>
  <c r="AQ233" i="30"/>
  <c r="L239" i="30"/>
  <c r="N237" i="30"/>
  <c r="G233" i="30"/>
  <c r="AJ65" i="52"/>
  <c r="H235" i="30"/>
  <c r="G235" i="30"/>
  <c r="F235" i="30"/>
  <c r="AN65" i="51"/>
  <c r="AN239" i="30"/>
  <c r="AP237" i="30"/>
  <c r="AP235" i="30"/>
  <c r="AP233" i="30"/>
  <c r="AK233" i="30"/>
  <c r="I235" i="30"/>
  <c r="K239" i="30"/>
  <c r="M237" i="30"/>
  <c r="P233" i="30"/>
  <c r="AE239" i="30"/>
  <c r="V239" i="30"/>
  <c r="AS65" i="52"/>
  <c r="AM65" i="51"/>
  <c r="I239" i="30"/>
  <c r="AC239" i="30"/>
  <c r="AU239" i="30"/>
  <c r="AL235" i="30"/>
  <c r="AB239" i="30"/>
  <c r="AQ65" i="66"/>
  <c r="AO65" i="51"/>
  <c r="J235" i="30"/>
  <c r="Q233" i="30"/>
  <c r="AF239" i="30"/>
  <c r="AM235" i="30"/>
  <c r="AP65" i="66"/>
  <c r="O233" i="30"/>
  <c r="Q235" i="30"/>
  <c r="P235" i="30"/>
  <c r="AO65" i="66"/>
  <c r="N233" i="30"/>
  <c r="AN65" i="66"/>
  <c r="AR65" i="52"/>
  <c r="AH65" i="52"/>
  <c r="AL65" i="51"/>
  <c r="AM65" i="66"/>
  <c r="AQ65" i="52"/>
  <c r="AK65" i="51"/>
  <c r="AL65" i="66"/>
  <c r="AP65" i="52"/>
  <c r="AJ65" i="51"/>
  <c r="AT239" i="30"/>
  <c r="AV237" i="30"/>
  <c r="AV235" i="30"/>
  <c r="AV233" i="30"/>
  <c r="AK239" i="30"/>
  <c r="O235" i="30"/>
  <c r="Q239" i="30"/>
  <c r="G239" i="30"/>
  <c r="I237" i="30"/>
  <c r="L233" i="30"/>
  <c r="F237" i="30"/>
  <c r="AA239" i="30"/>
  <c r="AM239" i="30"/>
  <c r="AN237" i="30"/>
  <c r="AN235" i="30"/>
  <c r="AN233" i="30"/>
  <c r="J239" i="30"/>
  <c r="AD239" i="30"/>
  <c r="AV239" i="30"/>
  <c r="AL239" i="30"/>
  <c r="AM237" i="30"/>
  <c r="AM233" i="30"/>
  <c r="K237" i="30"/>
  <c r="F239" i="30"/>
  <c r="AL233" i="30"/>
  <c r="H239" i="30"/>
  <c r="M233" i="30"/>
  <c r="AK65" i="66"/>
  <c r="AO65" i="52"/>
  <c r="AS65" i="51"/>
  <c r="AI65" i="51"/>
  <c r="AS239" i="30"/>
  <c r="AU237" i="30"/>
  <c r="AU235" i="30"/>
  <c r="AU233" i="30"/>
  <c r="N235" i="30"/>
  <c r="P239" i="30"/>
  <c r="H237" i="30"/>
  <c r="K233" i="30"/>
  <c r="Z239" i="30"/>
  <c r="AR233" i="30"/>
  <c r="AK235" i="30"/>
  <c r="M239" i="30"/>
  <c r="O237" i="30"/>
  <c r="H233" i="30"/>
  <c r="W239" i="30"/>
  <c r="AK65" i="52"/>
  <c r="L237" i="30"/>
  <c r="AL237" i="30"/>
  <c r="J237" i="30"/>
  <c r="AB267" i="76"/>
  <c r="Q267" i="76"/>
  <c r="P267" i="76"/>
  <c r="AP267" i="76"/>
  <c r="O267" i="76"/>
  <c r="AO267" i="76"/>
  <c r="H267" i="76"/>
  <c r="G267" i="76"/>
  <c r="AM267" i="76"/>
  <c r="F267" i="76"/>
  <c r="AN267" i="76"/>
  <c r="AD267" i="76"/>
  <c r="AE267" i="76"/>
  <c r="AC267" i="76"/>
  <c r="AA65" i="52"/>
  <c r="AD237" i="30"/>
  <c r="AB236" i="30"/>
  <c r="Y64" i="52"/>
  <c r="AA64" i="51"/>
  <c r="AD234" i="30"/>
  <c r="Y64" i="66"/>
  <c r="AB232" i="30"/>
  <c r="Z65" i="52"/>
  <c r="AC237" i="30"/>
  <c r="AB65" i="51"/>
  <c r="AE235" i="30"/>
  <c r="Z65" i="66"/>
  <c r="AC233" i="30"/>
  <c r="X64" i="52"/>
  <c r="AA236" i="30"/>
  <c r="AC234" i="30"/>
  <c r="Z64" i="51"/>
  <c r="AA232" i="30"/>
  <c r="X64" i="66"/>
  <c r="AC65" i="51"/>
  <c r="AF235" i="30"/>
  <c r="Y65" i="52"/>
  <c r="AB237" i="30"/>
  <c r="AD235" i="30"/>
  <c r="AA65" i="51"/>
  <c r="Y65" i="66"/>
  <c r="AB233" i="30"/>
  <c r="W64" i="52"/>
  <c r="Z236" i="30"/>
  <c r="Y64" i="51"/>
  <c r="AB234" i="30"/>
  <c r="W64" i="66"/>
  <c r="Z232" i="30"/>
  <c r="AA237" i="30"/>
  <c r="X65" i="52"/>
  <c r="Z65" i="51"/>
  <c r="AC235" i="30"/>
  <c r="X65" i="66"/>
  <c r="AA233" i="30"/>
  <c r="Y236" i="30"/>
  <c r="V64" i="52"/>
  <c r="AA234" i="30"/>
  <c r="X64" i="51"/>
  <c r="V64" i="66"/>
  <c r="Y232" i="30"/>
  <c r="S65" i="51"/>
  <c r="V235" i="30"/>
  <c r="Y65" i="51"/>
  <c r="AB235" i="30"/>
  <c r="W65" i="66"/>
  <c r="Z233" i="30"/>
  <c r="X236" i="30"/>
  <c r="U64" i="52"/>
  <c r="Z234" i="30"/>
  <c r="W64" i="51"/>
  <c r="U64" i="66"/>
  <c r="X232" i="30"/>
  <c r="V65" i="52"/>
  <c r="Y237" i="30"/>
  <c r="V65" i="66"/>
  <c r="Y233" i="30"/>
  <c r="AD64" i="52"/>
  <c r="AG236" i="30"/>
  <c r="T64" i="52"/>
  <c r="W236" i="30"/>
  <c r="V64" i="51"/>
  <c r="Y234" i="30"/>
  <c r="AD64" i="66"/>
  <c r="AG232" i="30"/>
  <c r="T64" i="66"/>
  <c r="W232" i="30"/>
  <c r="Z237" i="30"/>
  <c r="W65" i="52"/>
  <c r="U65" i="52"/>
  <c r="X237" i="30"/>
  <c r="U65" i="66"/>
  <c r="X233" i="30"/>
  <c r="AC64" i="52"/>
  <c r="AF236" i="30"/>
  <c r="S64" i="52"/>
  <c r="V236" i="30"/>
  <c r="U64" i="51"/>
  <c r="X234" i="30"/>
  <c r="AF232" i="30"/>
  <c r="AC64" i="66"/>
  <c r="S64" i="66"/>
  <c r="V232" i="30"/>
  <c r="AG237" i="30"/>
  <c r="AD65" i="52"/>
  <c r="AB64" i="52"/>
  <c r="AE236" i="30"/>
  <c r="AG234" i="30"/>
  <c r="AD64" i="51"/>
  <c r="T64" i="51"/>
  <c r="W234" i="30"/>
  <c r="AE232" i="30"/>
  <c r="AB64" i="66"/>
  <c r="AD233" i="30"/>
  <c r="AA65" i="66"/>
  <c r="AH132" i="30"/>
  <c r="Z235" i="30"/>
  <c r="W65" i="51"/>
  <c r="Y235" i="30"/>
  <c r="V65" i="51"/>
  <c r="AD65" i="66"/>
  <c r="AG233" i="30"/>
  <c r="AF237" i="30"/>
  <c r="AC65" i="52"/>
  <c r="V237" i="30"/>
  <c r="S65" i="52"/>
  <c r="U65" i="51"/>
  <c r="X235" i="30"/>
  <c r="AC65" i="66"/>
  <c r="AF233" i="30"/>
  <c r="S65" i="66"/>
  <c r="V233" i="30"/>
  <c r="AA64" i="52"/>
  <c r="AD236" i="30"/>
  <c r="AC64" i="51"/>
  <c r="AF234" i="30"/>
  <c r="V234" i="30"/>
  <c r="S64" i="51"/>
  <c r="AA64" i="66"/>
  <c r="AD232" i="30"/>
  <c r="X65" i="51"/>
  <c r="AA235" i="30"/>
  <c r="T65" i="52"/>
  <c r="W237" i="30"/>
  <c r="T65" i="66"/>
  <c r="W233" i="30"/>
  <c r="AB65" i="52"/>
  <c r="AE237" i="30"/>
  <c r="AD65" i="51"/>
  <c r="AG235" i="30"/>
  <c r="T65" i="51"/>
  <c r="W235" i="30"/>
  <c r="AB65" i="66"/>
  <c r="AE233" i="30"/>
  <c r="Z64" i="52"/>
  <c r="AC236" i="30"/>
  <c r="AB64" i="51"/>
  <c r="AE234" i="30"/>
  <c r="Z64" i="66"/>
  <c r="AC232" i="30"/>
  <c r="AO237" i="30"/>
  <c r="AO234" i="30"/>
  <c r="AO235" i="30"/>
  <c r="AO233" i="30"/>
  <c r="AO236" i="30"/>
  <c r="AO232" i="30"/>
  <c r="AM268" i="76"/>
  <c r="AG277" i="76"/>
  <c r="J277" i="76"/>
  <c r="AO268" i="76"/>
  <c r="AD268" i="76"/>
  <c r="Q268" i="76"/>
  <c r="AR277" i="76"/>
  <c r="W277" i="76"/>
  <c r="G268" i="76"/>
  <c r="AQ277" i="76"/>
  <c r="AF277" i="76"/>
  <c r="V277" i="76"/>
  <c r="I277" i="76"/>
  <c r="AN268" i="76"/>
  <c r="AC268" i="76"/>
  <c r="P268" i="76"/>
  <c r="F268" i="76"/>
  <c r="AO277" i="76"/>
  <c r="AD277" i="76"/>
  <c r="Q277" i="76"/>
  <c r="G277" i="76"/>
  <c r="AV268" i="76"/>
  <c r="AL268" i="76"/>
  <c r="AA268" i="76"/>
  <c r="N268" i="76"/>
  <c r="AN277" i="76"/>
  <c r="AC277" i="76"/>
  <c r="P277" i="76"/>
  <c r="F277" i="76"/>
  <c r="AU268" i="76"/>
  <c r="AK268" i="76"/>
  <c r="Z268" i="76"/>
  <c r="M268" i="76"/>
  <c r="AT268" i="76"/>
  <c r="Y268" i="76"/>
  <c r="L268" i="76"/>
  <c r="L270" i="76" s="1"/>
  <c r="L272" i="76" s="1"/>
  <c r="AV277" i="76"/>
  <c r="AL277" i="76"/>
  <c r="AA277" i="76"/>
  <c r="N277" i="76"/>
  <c r="AS268" i="76"/>
  <c r="X268" i="76"/>
  <c r="K268" i="76"/>
  <c r="AE277" i="76"/>
  <c r="H277" i="76"/>
  <c r="AB268" i="76"/>
  <c r="AM277" i="76"/>
  <c r="O277" i="76"/>
  <c r="AU277" i="76"/>
  <c r="Z277" i="76"/>
  <c r="AR268" i="76"/>
  <c r="AG268" i="76"/>
  <c r="W268" i="76"/>
  <c r="AT277" i="76"/>
  <c r="Y277" i="76"/>
  <c r="L277" i="76"/>
  <c r="AQ268" i="76"/>
  <c r="AF268" i="76"/>
  <c r="V268" i="76"/>
  <c r="I268" i="76"/>
  <c r="AP277" i="76"/>
  <c r="O268" i="76"/>
  <c r="AB277" i="76"/>
  <c r="AK277" i="76"/>
  <c r="M277" i="76"/>
  <c r="J268" i="76"/>
  <c r="AS277" i="76"/>
  <c r="X277" i="76"/>
  <c r="AP268" i="76"/>
  <c r="AE268" i="76"/>
  <c r="AP192" i="30"/>
  <c r="P192" i="30"/>
  <c r="P162" i="30"/>
  <c r="J162" i="30"/>
  <c r="H162" i="30"/>
  <c r="J192" i="30"/>
  <c r="H192" i="30"/>
  <c r="F162" i="30"/>
  <c r="O192" i="30"/>
  <c r="AW165" i="30"/>
  <c r="K162" i="30"/>
  <c r="M162" i="30"/>
  <c r="M192" i="30"/>
  <c r="I162" i="30"/>
  <c r="Q192" i="30"/>
  <c r="G192" i="30"/>
  <c r="F192" i="30"/>
  <c r="AB162" i="30"/>
  <c r="AS162" i="30"/>
  <c r="AE192" i="30"/>
  <c r="AH139" i="30"/>
  <c r="AH137" i="30"/>
  <c r="AH128" i="30"/>
  <c r="AH126" i="30"/>
  <c r="AW125" i="30"/>
  <c r="AC162" i="30"/>
  <c r="AW135" i="30"/>
  <c r="AF142" i="30"/>
  <c r="AT162" i="30"/>
  <c r="AW175" i="30"/>
  <c r="AD192" i="30"/>
  <c r="AS267" i="76"/>
  <c r="X267" i="76"/>
  <c r="K267" i="76"/>
  <c r="AR267" i="76"/>
  <c r="AG267" i="76"/>
  <c r="W267" i="76"/>
  <c r="J267" i="76"/>
  <c r="AQ267" i="76"/>
  <c r="AF267" i="76"/>
  <c r="V267" i="76"/>
  <c r="I267" i="76"/>
  <c r="AV267" i="76"/>
  <c r="AL267" i="76"/>
  <c r="AA267" i="76"/>
  <c r="N267" i="76"/>
  <c r="AU267" i="76"/>
  <c r="AK267" i="76"/>
  <c r="Z267" i="76"/>
  <c r="M267" i="76"/>
  <c r="AT267" i="76"/>
  <c r="Y267" i="76"/>
  <c r="R152" i="30"/>
  <c r="R146" i="30"/>
  <c r="R178" i="30"/>
  <c r="R157" i="30"/>
  <c r="R170" i="30"/>
  <c r="X142" i="30"/>
  <c r="AW129" i="30"/>
  <c r="AN192" i="30"/>
  <c r="AG142" i="30"/>
  <c r="W142" i="30"/>
  <c r="AH130" i="30"/>
  <c r="AH129" i="30"/>
  <c r="AE142" i="30"/>
  <c r="Y142" i="30"/>
  <c r="AW137" i="30"/>
  <c r="AW131" i="30"/>
  <c r="AW126" i="30"/>
  <c r="Z162" i="30"/>
  <c r="AO162" i="30"/>
  <c r="AQ162" i="30"/>
  <c r="AM162" i="30"/>
  <c r="AC192" i="30"/>
  <c r="AW167" i="30"/>
  <c r="AW166" i="30"/>
  <c r="AH165" i="30"/>
  <c r="R174" i="30"/>
  <c r="R172" i="30"/>
  <c r="R169" i="30"/>
  <c r="R139" i="30"/>
  <c r="AH159" i="30"/>
  <c r="AW178" i="30"/>
  <c r="AG162" i="30"/>
  <c r="W162" i="30"/>
  <c r="Y162" i="30"/>
  <c r="AW174" i="30"/>
  <c r="AO192" i="30"/>
  <c r="R154" i="30"/>
  <c r="N192" i="30"/>
  <c r="R191" i="30"/>
  <c r="AC142" i="30"/>
  <c r="X162" i="30"/>
  <c r="AU162" i="30"/>
  <c r="AK162" i="30"/>
  <c r="AW191" i="30"/>
  <c r="AG192" i="30"/>
  <c r="W192" i="30"/>
  <c r="AW169" i="30"/>
  <c r="R153" i="30"/>
  <c r="N162" i="30"/>
  <c r="R161" i="30"/>
  <c r="R176" i="30"/>
  <c r="AD142" i="30"/>
  <c r="AH141" i="30"/>
  <c r="AB142" i="30"/>
  <c r="AH125" i="30"/>
  <c r="AW130" i="30"/>
  <c r="AU142" i="30"/>
  <c r="AK142" i="30"/>
  <c r="AB192" i="30"/>
  <c r="AS192" i="30"/>
  <c r="AW173" i="30"/>
  <c r="AH169" i="30"/>
  <c r="R177" i="30"/>
  <c r="R168" i="30"/>
  <c r="R166" i="30"/>
  <c r="L192" i="30"/>
  <c r="AW159" i="30"/>
  <c r="AT142" i="30"/>
  <c r="AD162" i="30"/>
  <c r="AF162" i="30"/>
  <c r="V162" i="30"/>
  <c r="AH176" i="30"/>
  <c r="X192" i="30"/>
  <c r="R158" i="30"/>
  <c r="L162" i="30"/>
  <c r="R167" i="30"/>
  <c r="K192" i="30"/>
  <c r="AQ142" i="30"/>
  <c r="AS142" i="30"/>
  <c r="AT192" i="30"/>
  <c r="R147" i="30"/>
  <c r="AH178" i="30"/>
  <c r="AH191" i="30"/>
  <c r="AQ192" i="30"/>
  <c r="AW170" i="30"/>
  <c r="AW168" i="30"/>
  <c r="AF192" i="30"/>
  <c r="AH166" i="30"/>
  <c r="AA192" i="30"/>
  <c r="O162" i="30"/>
  <c r="R171" i="30"/>
  <c r="I192" i="30"/>
  <c r="R159" i="30"/>
  <c r="AH131" i="30"/>
  <c r="AH133" i="30"/>
  <c r="AN142" i="30"/>
  <c r="AW141" i="30"/>
  <c r="AW132" i="30"/>
  <c r="AW128" i="30"/>
  <c r="AM142" i="30"/>
  <c r="AP162" i="30"/>
  <c r="AH177" i="30"/>
  <c r="AH173" i="30"/>
  <c r="Z192" i="30"/>
  <c r="AR192" i="30"/>
  <c r="AM192" i="30"/>
  <c r="R151" i="30"/>
  <c r="AW139" i="30"/>
  <c r="AH135" i="30"/>
  <c r="AW134" i="30"/>
  <c r="AO142" i="30"/>
  <c r="AH171" i="30"/>
  <c r="AP142" i="30"/>
  <c r="AW133" i="30"/>
  <c r="AR142" i="30"/>
  <c r="AH138" i="30"/>
  <c r="AH127" i="30"/>
  <c r="AA142" i="30"/>
  <c r="AV142" i="30"/>
  <c r="AL142" i="30"/>
  <c r="AW177" i="30"/>
  <c r="AW176" i="30"/>
  <c r="AH175" i="30"/>
  <c r="AV192" i="30"/>
  <c r="AL192" i="30"/>
  <c r="AH172" i="30"/>
  <c r="AH168" i="30"/>
  <c r="Y192" i="30"/>
  <c r="R155" i="30"/>
  <c r="R149" i="30"/>
  <c r="R175" i="30"/>
  <c r="AH134" i="30"/>
  <c r="AW138" i="30"/>
  <c r="Z142" i="30"/>
  <c r="AE162" i="30"/>
  <c r="AA162" i="30"/>
  <c r="AV162" i="30"/>
  <c r="AL162" i="30"/>
  <c r="AR162" i="30"/>
  <c r="AN162" i="30"/>
  <c r="AW172" i="30"/>
  <c r="AW171" i="30"/>
  <c r="AH170" i="30"/>
  <c r="AH167" i="30"/>
  <c r="AU192" i="30"/>
  <c r="AK192" i="30"/>
  <c r="R150" i="30"/>
  <c r="R148" i="30"/>
  <c r="Q162" i="30"/>
  <c r="R145" i="30"/>
  <c r="R173" i="30"/>
  <c r="R165" i="30"/>
  <c r="AW127" i="30"/>
  <c r="V192" i="30"/>
  <c r="AH174" i="30"/>
  <c r="G162" i="30"/>
  <c r="AH161" i="30"/>
  <c r="AH158" i="30"/>
  <c r="AH157" i="30"/>
  <c r="AH155" i="30"/>
  <c r="AH154" i="30"/>
  <c r="AH153" i="30"/>
  <c r="AH152" i="30"/>
  <c r="AH151" i="30"/>
  <c r="AH150" i="30"/>
  <c r="AH149" i="30"/>
  <c r="AH148" i="30"/>
  <c r="AH147" i="30"/>
  <c r="AH146" i="30"/>
  <c r="AH145" i="30"/>
  <c r="AW161" i="30"/>
  <c r="AW158" i="30"/>
  <c r="AW157" i="30"/>
  <c r="AW155" i="30"/>
  <c r="AW154" i="30"/>
  <c r="AW153" i="30"/>
  <c r="AW152" i="30"/>
  <c r="AW151" i="30"/>
  <c r="AW150" i="30"/>
  <c r="AW149" i="30"/>
  <c r="AW148" i="30"/>
  <c r="AW147" i="30"/>
  <c r="AW146" i="30"/>
  <c r="AW145" i="30"/>
  <c r="Q101" i="76"/>
  <c r="Q103" i="76"/>
  <c r="P101" i="76"/>
  <c r="P103" i="76"/>
  <c r="O101" i="76"/>
  <c r="O103" i="76"/>
  <c r="N101" i="76"/>
  <c r="N103" i="76"/>
  <c r="AF244" i="76"/>
  <c r="AG244" i="76"/>
  <c r="AE243" i="76"/>
  <c r="F146" i="76"/>
  <c r="AG226" i="76"/>
  <c r="AG209" i="76"/>
  <c r="AG192" i="76"/>
  <c r="AF226" i="76"/>
  <c r="AF209" i="76"/>
  <c r="AF192" i="76"/>
  <c r="AE226" i="76"/>
  <c r="AE209" i="76"/>
  <c r="AE192" i="76"/>
  <c r="AD226" i="76"/>
  <c r="AD209" i="76"/>
  <c r="AD192" i="76"/>
  <c r="AC226" i="76"/>
  <c r="AC209" i="76"/>
  <c r="AC192" i="76"/>
  <c r="AB226" i="76"/>
  <c r="AB209" i="76"/>
  <c r="AB192" i="76"/>
  <c r="AA226" i="76"/>
  <c r="AA209" i="76"/>
  <c r="AA192" i="76"/>
  <c r="Z226" i="76"/>
  <c r="Z209" i="76"/>
  <c r="Z192" i="76"/>
  <c r="Y226" i="76"/>
  <c r="Y209" i="76"/>
  <c r="Y192" i="76"/>
  <c r="X226" i="76"/>
  <c r="X209" i="76"/>
  <c r="X192" i="76"/>
  <c r="W226" i="76"/>
  <c r="W209" i="76"/>
  <c r="W192" i="76"/>
  <c r="V226" i="76"/>
  <c r="AH226" i="76" s="1"/>
  <c r="V209" i="76"/>
  <c r="AH209" i="76" s="1"/>
  <c r="V192" i="76"/>
  <c r="AH192" i="76" s="1"/>
  <c r="Q226" i="76"/>
  <c r="Q209" i="76"/>
  <c r="Q192" i="76"/>
  <c r="P226" i="76"/>
  <c r="P209" i="76"/>
  <c r="P192" i="76"/>
  <c r="O226" i="76"/>
  <c r="O209" i="76"/>
  <c r="O192" i="76"/>
  <c r="N226" i="76"/>
  <c r="N209" i="76"/>
  <c r="N192" i="76"/>
  <c r="M226" i="76"/>
  <c r="M209" i="76"/>
  <c r="M192" i="76"/>
  <c r="L226" i="76"/>
  <c r="L209" i="76"/>
  <c r="L192" i="76"/>
  <c r="K226" i="76"/>
  <c r="K209" i="76"/>
  <c r="K192" i="76"/>
  <c r="J226" i="76"/>
  <c r="J209" i="76"/>
  <c r="J192" i="76"/>
  <c r="I226" i="76"/>
  <c r="I209" i="76"/>
  <c r="I192" i="76"/>
  <c r="H226" i="76"/>
  <c r="H209" i="76"/>
  <c r="H192" i="76"/>
  <c r="G226" i="76"/>
  <c r="G209" i="76"/>
  <c r="G192" i="76"/>
  <c r="F226" i="76"/>
  <c r="R226" i="76" s="1"/>
  <c r="F209" i="76"/>
  <c r="R209" i="76" s="1"/>
  <c r="F192" i="76"/>
  <c r="R192" i="76" s="1"/>
  <c r="AG225" i="76"/>
  <c r="AG208" i="76"/>
  <c r="AG191" i="76"/>
  <c r="AF225" i="76"/>
  <c r="AF208" i="76"/>
  <c r="AF191" i="76"/>
  <c r="AE225" i="76"/>
  <c r="AE208" i="76"/>
  <c r="AE191" i="76"/>
  <c r="AD225" i="76"/>
  <c r="AD208" i="76"/>
  <c r="AD191" i="76"/>
  <c r="AC225" i="76"/>
  <c r="AC208" i="76"/>
  <c r="AC191" i="76"/>
  <c r="AB225" i="76"/>
  <c r="AB208" i="76"/>
  <c r="AB191" i="76"/>
  <c r="AA225" i="76"/>
  <c r="AA208" i="76"/>
  <c r="AA191" i="76"/>
  <c r="Z225" i="76"/>
  <c r="Z208" i="76"/>
  <c r="Z191" i="76"/>
  <c r="Y225" i="76"/>
  <c r="Y208" i="76"/>
  <c r="Y191" i="76"/>
  <c r="X225" i="76"/>
  <c r="X208" i="76"/>
  <c r="X191" i="76"/>
  <c r="W225" i="76"/>
  <c r="W208" i="76"/>
  <c r="W191" i="76"/>
  <c r="V225" i="76"/>
  <c r="AH225" i="76" s="1"/>
  <c r="V208" i="76"/>
  <c r="AH208" i="76" s="1"/>
  <c r="V191" i="76"/>
  <c r="AH191" i="76" s="1"/>
  <c r="Q225" i="76"/>
  <c r="Q208" i="76"/>
  <c r="Q191" i="76"/>
  <c r="P225" i="76"/>
  <c r="P208" i="76"/>
  <c r="P191" i="76"/>
  <c r="O225" i="76"/>
  <c r="O208" i="76"/>
  <c r="O191" i="76"/>
  <c r="N225" i="76"/>
  <c r="N208" i="76"/>
  <c r="N191" i="76"/>
  <c r="M225" i="76"/>
  <c r="M208" i="76"/>
  <c r="M191" i="76"/>
  <c r="L225" i="76"/>
  <c r="L208" i="76"/>
  <c r="L191" i="76"/>
  <c r="K225" i="76"/>
  <c r="K208" i="76"/>
  <c r="K191" i="76"/>
  <c r="J225" i="76"/>
  <c r="J208" i="76"/>
  <c r="J191" i="76"/>
  <c r="I225" i="76"/>
  <c r="I208" i="76"/>
  <c r="I191" i="76"/>
  <c r="H225" i="76"/>
  <c r="H208" i="76"/>
  <c r="H191" i="76"/>
  <c r="G225" i="76"/>
  <c r="G208" i="76"/>
  <c r="G191" i="76"/>
  <c r="F225" i="76"/>
  <c r="R225" i="76" s="1"/>
  <c r="F208" i="76"/>
  <c r="R208" i="76" s="1"/>
  <c r="F191" i="76"/>
  <c r="R191" i="76" s="1"/>
  <c r="AG224" i="76"/>
  <c r="AG207" i="76"/>
  <c r="AG190" i="76"/>
  <c r="AF224" i="76"/>
  <c r="AF207" i="76"/>
  <c r="AF190" i="76"/>
  <c r="AE224" i="76"/>
  <c r="AE207" i="76"/>
  <c r="AE190" i="76"/>
  <c r="AD224" i="76"/>
  <c r="AD207" i="76"/>
  <c r="AD190" i="76"/>
  <c r="AC224" i="76"/>
  <c r="AC207" i="76"/>
  <c r="AC190" i="76"/>
  <c r="AB224" i="76"/>
  <c r="AB207" i="76"/>
  <c r="AB190" i="76"/>
  <c r="AA224" i="76"/>
  <c r="AA207" i="76"/>
  <c r="AA190" i="76"/>
  <c r="Z224" i="76"/>
  <c r="Z207" i="76"/>
  <c r="Z190" i="76"/>
  <c r="Y224" i="76"/>
  <c r="Y207" i="76"/>
  <c r="Y190" i="76"/>
  <c r="X224" i="76"/>
  <c r="X207" i="76"/>
  <c r="X190" i="76"/>
  <c r="W224" i="76"/>
  <c r="W207" i="76"/>
  <c r="W190" i="76"/>
  <c r="V224" i="76"/>
  <c r="AH224" i="76" s="1"/>
  <c r="V207" i="76"/>
  <c r="AH207" i="76" s="1"/>
  <c r="V190" i="76"/>
  <c r="AH190" i="76" s="1"/>
  <c r="Q224" i="76"/>
  <c r="Q207" i="76"/>
  <c r="Q190" i="76"/>
  <c r="P224" i="76"/>
  <c r="P207" i="76"/>
  <c r="P190" i="76"/>
  <c r="O224" i="76"/>
  <c r="O207" i="76"/>
  <c r="O190" i="76"/>
  <c r="N224" i="76"/>
  <c r="N207" i="76"/>
  <c r="N190" i="76"/>
  <c r="M224" i="76"/>
  <c r="M207" i="76"/>
  <c r="M190" i="76"/>
  <c r="L224" i="76"/>
  <c r="L207" i="76"/>
  <c r="L190" i="76"/>
  <c r="K224" i="76"/>
  <c r="K207" i="76"/>
  <c r="K190" i="76"/>
  <c r="J224" i="76"/>
  <c r="J207" i="76"/>
  <c r="J190" i="76"/>
  <c r="I224" i="76"/>
  <c r="I207" i="76"/>
  <c r="I190" i="76"/>
  <c r="H224" i="76"/>
  <c r="H207" i="76"/>
  <c r="H190" i="76"/>
  <c r="G224" i="76"/>
  <c r="G207" i="76"/>
  <c r="G190" i="76"/>
  <c r="F224" i="76"/>
  <c r="R224" i="76" s="1"/>
  <c r="F207" i="76"/>
  <c r="R207" i="76" s="1"/>
  <c r="F190" i="76"/>
  <c r="R190" i="76" s="1"/>
  <c r="AG223" i="76"/>
  <c r="AG206" i="76"/>
  <c r="AG189" i="76"/>
  <c r="AF223" i="76"/>
  <c r="AF206" i="76"/>
  <c r="AF189" i="76"/>
  <c r="AE223" i="76"/>
  <c r="AE206" i="76"/>
  <c r="AE189" i="76"/>
  <c r="AD223" i="76"/>
  <c r="AD206" i="76"/>
  <c r="AD189" i="76"/>
  <c r="AC223" i="76"/>
  <c r="AC206" i="76"/>
  <c r="AC189" i="76"/>
  <c r="AB223" i="76"/>
  <c r="AB206" i="76"/>
  <c r="AB189" i="76"/>
  <c r="AA223" i="76"/>
  <c r="AA206" i="76"/>
  <c r="AA189" i="76"/>
  <c r="Z223" i="76"/>
  <c r="Z206" i="76"/>
  <c r="Z189" i="76"/>
  <c r="Y223" i="76"/>
  <c r="Y206" i="76"/>
  <c r="Y189" i="76"/>
  <c r="X223" i="76"/>
  <c r="X206" i="76"/>
  <c r="X189" i="76"/>
  <c r="W223" i="76"/>
  <c r="W206" i="76"/>
  <c r="W189" i="76"/>
  <c r="V223" i="76"/>
  <c r="AH223" i="76" s="1"/>
  <c r="V206" i="76"/>
  <c r="AH206" i="76" s="1"/>
  <c r="V189" i="76"/>
  <c r="AH189" i="76" s="1"/>
  <c r="Q223" i="76"/>
  <c r="Q206" i="76"/>
  <c r="Q189" i="76"/>
  <c r="P223" i="76"/>
  <c r="P206" i="76"/>
  <c r="P189" i="76"/>
  <c r="O223" i="76"/>
  <c r="O206" i="76"/>
  <c r="O189" i="76"/>
  <c r="N223" i="76"/>
  <c r="N206" i="76"/>
  <c r="N189" i="76"/>
  <c r="M223" i="76"/>
  <c r="M206" i="76"/>
  <c r="M189" i="76"/>
  <c r="L223" i="76"/>
  <c r="L206" i="76"/>
  <c r="L189" i="76"/>
  <c r="K223" i="76"/>
  <c r="K206" i="76"/>
  <c r="K189" i="76"/>
  <c r="J223" i="76"/>
  <c r="J206" i="76"/>
  <c r="J189" i="76"/>
  <c r="I223" i="76"/>
  <c r="I206" i="76"/>
  <c r="I189" i="76"/>
  <c r="H223" i="76"/>
  <c r="H206" i="76"/>
  <c r="H189" i="76"/>
  <c r="G223" i="76"/>
  <c r="G206" i="76"/>
  <c r="G189" i="76"/>
  <c r="F223" i="76"/>
  <c r="R223" i="76" s="1"/>
  <c r="F206" i="76"/>
  <c r="R206" i="76" s="1"/>
  <c r="F189" i="76"/>
  <c r="R189" i="76" s="1"/>
  <c r="AG222" i="76"/>
  <c r="AG205" i="76"/>
  <c r="AG188" i="76"/>
  <c r="AF222" i="76"/>
  <c r="AF205" i="76"/>
  <c r="AF188" i="76"/>
  <c r="AE222" i="76"/>
  <c r="AE205" i="76"/>
  <c r="AE188" i="76"/>
  <c r="AD222" i="76"/>
  <c r="AD205" i="76"/>
  <c r="AD188" i="76"/>
  <c r="AC222" i="76"/>
  <c r="AC205" i="76"/>
  <c r="AC188" i="76"/>
  <c r="AB222" i="76"/>
  <c r="AB205" i="76"/>
  <c r="AB188" i="76"/>
  <c r="AA222" i="76"/>
  <c r="AA205" i="76"/>
  <c r="AA188" i="76"/>
  <c r="Z222" i="76"/>
  <c r="Z205" i="76"/>
  <c r="Z188" i="76"/>
  <c r="Y222" i="76"/>
  <c r="Y205" i="76"/>
  <c r="Y188" i="76"/>
  <c r="X222" i="76"/>
  <c r="X205" i="76"/>
  <c r="X188" i="76"/>
  <c r="W222" i="76"/>
  <c r="W205" i="76"/>
  <c r="W188" i="76"/>
  <c r="V222" i="76"/>
  <c r="AH222" i="76" s="1"/>
  <c r="V205" i="76"/>
  <c r="AH205" i="76" s="1"/>
  <c r="V188" i="76"/>
  <c r="AH188" i="76" s="1"/>
  <c r="Q222" i="76"/>
  <c r="Q205" i="76"/>
  <c r="Q188" i="76"/>
  <c r="P222" i="76"/>
  <c r="P205" i="76"/>
  <c r="P188" i="76"/>
  <c r="O222" i="76"/>
  <c r="O205" i="76"/>
  <c r="O188" i="76"/>
  <c r="N222" i="76"/>
  <c r="N205" i="76"/>
  <c r="N188" i="76"/>
  <c r="M222" i="76"/>
  <c r="M205" i="76"/>
  <c r="M188" i="76"/>
  <c r="L222" i="76"/>
  <c r="L205" i="76"/>
  <c r="L188" i="76"/>
  <c r="K222" i="76"/>
  <c r="K205" i="76"/>
  <c r="K188" i="76"/>
  <c r="J222" i="76"/>
  <c r="J205" i="76"/>
  <c r="J188" i="76"/>
  <c r="I222" i="76"/>
  <c r="I205" i="76"/>
  <c r="I188" i="76"/>
  <c r="H222" i="76"/>
  <c r="H205" i="76"/>
  <c r="H188" i="76"/>
  <c r="G222" i="76"/>
  <c r="G205" i="76"/>
  <c r="G188" i="76"/>
  <c r="F222" i="76"/>
  <c r="R222" i="76" s="1"/>
  <c r="F205" i="76"/>
  <c r="R205" i="76" s="1"/>
  <c r="F188" i="76"/>
  <c r="R188" i="76" s="1"/>
  <c r="AG221" i="76"/>
  <c r="AG204" i="76"/>
  <c r="AG187" i="76"/>
  <c r="AF221" i="76"/>
  <c r="AF204" i="76"/>
  <c r="AF187" i="76"/>
  <c r="AE221" i="76"/>
  <c r="AE204" i="76"/>
  <c r="AE187" i="76"/>
  <c r="AD221" i="76"/>
  <c r="AD204" i="76"/>
  <c r="AD187" i="76"/>
  <c r="AC221" i="76"/>
  <c r="AC204" i="76"/>
  <c r="AC187" i="76"/>
  <c r="AB221" i="76"/>
  <c r="AB204" i="76"/>
  <c r="AB187" i="76"/>
  <c r="AA221" i="76"/>
  <c r="AA204" i="76"/>
  <c r="AA187" i="76"/>
  <c r="Z221" i="76"/>
  <c r="Z204" i="76"/>
  <c r="Z187" i="76"/>
  <c r="Y221" i="76"/>
  <c r="Y204" i="76"/>
  <c r="Y187" i="76"/>
  <c r="X221" i="76"/>
  <c r="X204" i="76"/>
  <c r="X187" i="76"/>
  <c r="W221" i="76"/>
  <c r="W204" i="76"/>
  <c r="W187" i="76"/>
  <c r="V221" i="76"/>
  <c r="AH221" i="76" s="1"/>
  <c r="V204" i="76"/>
  <c r="AH204" i="76" s="1"/>
  <c r="V187" i="76"/>
  <c r="AH187" i="76" s="1"/>
  <c r="Q221" i="76"/>
  <c r="Q204" i="76"/>
  <c r="Q187" i="76"/>
  <c r="P221" i="76"/>
  <c r="P204" i="76"/>
  <c r="P187" i="76"/>
  <c r="O221" i="76"/>
  <c r="O204" i="76"/>
  <c r="O187" i="76"/>
  <c r="N221" i="76"/>
  <c r="N204" i="76"/>
  <c r="N187" i="76"/>
  <c r="M221" i="76"/>
  <c r="M204" i="76"/>
  <c r="M187" i="76"/>
  <c r="L221" i="76"/>
  <c r="L204" i="76"/>
  <c r="L187" i="76"/>
  <c r="K221" i="76"/>
  <c r="K204" i="76"/>
  <c r="K187" i="76"/>
  <c r="J221" i="76"/>
  <c r="J204" i="76"/>
  <c r="J187" i="76"/>
  <c r="I221" i="76"/>
  <c r="I204" i="76"/>
  <c r="I187" i="76"/>
  <c r="H221" i="76"/>
  <c r="H204" i="76"/>
  <c r="H187" i="76"/>
  <c r="G221" i="76"/>
  <c r="G204" i="76"/>
  <c r="G187" i="76"/>
  <c r="F221" i="76"/>
  <c r="R221" i="76" s="1"/>
  <c r="F204" i="76"/>
  <c r="R204" i="76" s="1"/>
  <c r="F187" i="76"/>
  <c r="R187" i="76" s="1"/>
  <c r="AG220" i="76"/>
  <c r="AG203" i="76"/>
  <c r="AG186" i="76"/>
  <c r="AF220" i="76"/>
  <c r="AF203" i="76"/>
  <c r="AF186" i="76"/>
  <c r="AE220" i="76"/>
  <c r="AE203" i="76"/>
  <c r="AE186" i="76"/>
  <c r="AD220" i="76"/>
  <c r="AD203" i="76"/>
  <c r="AD186" i="76"/>
  <c r="AC220" i="76"/>
  <c r="AC203" i="76"/>
  <c r="AC186" i="76"/>
  <c r="AB220" i="76"/>
  <c r="AB203" i="76"/>
  <c r="AB186" i="76"/>
  <c r="AA220" i="76"/>
  <c r="AA203" i="76"/>
  <c r="AA186" i="76"/>
  <c r="Z220" i="76"/>
  <c r="Z203" i="76"/>
  <c r="Z186" i="76"/>
  <c r="Y220" i="76"/>
  <c r="Y203" i="76"/>
  <c r="Y186" i="76"/>
  <c r="X220" i="76"/>
  <c r="X203" i="76"/>
  <c r="X186" i="76"/>
  <c r="W220" i="76"/>
  <c r="W203" i="76"/>
  <c r="W186" i="76"/>
  <c r="V220" i="76"/>
  <c r="AH220" i="76" s="1"/>
  <c r="V203" i="76"/>
  <c r="AH203" i="76" s="1"/>
  <c r="V186" i="76"/>
  <c r="AH186" i="76" s="1"/>
  <c r="Q220" i="76"/>
  <c r="Q203" i="76"/>
  <c r="Q186" i="76"/>
  <c r="P220" i="76"/>
  <c r="P203" i="76"/>
  <c r="P186" i="76"/>
  <c r="O220" i="76"/>
  <c r="O203" i="76"/>
  <c r="O186" i="76"/>
  <c r="N220" i="76"/>
  <c r="N203" i="76"/>
  <c r="N186" i="76"/>
  <c r="M220" i="76"/>
  <c r="M203" i="76"/>
  <c r="M186" i="76"/>
  <c r="L220" i="76"/>
  <c r="L203" i="76"/>
  <c r="L186" i="76"/>
  <c r="K220" i="76"/>
  <c r="K203" i="76"/>
  <c r="K186" i="76"/>
  <c r="J220" i="76"/>
  <c r="J203" i="76"/>
  <c r="J186" i="76"/>
  <c r="I220" i="76"/>
  <c r="I203" i="76"/>
  <c r="I186" i="76"/>
  <c r="H220" i="76"/>
  <c r="H203" i="76"/>
  <c r="H186" i="76"/>
  <c r="G220" i="76"/>
  <c r="G203" i="76"/>
  <c r="G186" i="76"/>
  <c r="F220" i="76"/>
  <c r="R220" i="76" s="1"/>
  <c r="F203" i="76"/>
  <c r="R203" i="76" s="1"/>
  <c r="F186" i="76"/>
  <c r="R186" i="76" s="1"/>
  <c r="AG219" i="76"/>
  <c r="AG202" i="76"/>
  <c r="AG185" i="76"/>
  <c r="AF219" i="76"/>
  <c r="AF202" i="76"/>
  <c r="AF185" i="76"/>
  <c r="AE219" i="76"/>
  <c r="AE202" i="76"/>
  <c r="AE185" i="76"/>
  <c r="AD219" i="76"/>
  <c r="AD202" i="76"/>
  <c r="AD185" i="76"/>
  <c r="AC219" i="76"/>
  <c r="AC202" i="76"/>
  <c r="AC185" i="76"/>
  <c r="AB219" i="76"/>
  <c r="AB202" i="76"/>
  <c r="AB185" i="76"/>
  <c r="AA219" i="76"/>
  <c r="AA202" i="76"/>
  <c r="AA185" i="76"/>
  <c r="Z219" i="76"/>
  <c r="Z202" i="76"/>
  <c r="Z185" i="76"/>
  <c r="Y219" i="76"/>
  <c r="Y202" i="76"/>
  <c r="Y185" i="76"/>
  <c r="X219" i="76"/>
  <c r="X202" i="76"/>
  <c r="X185" i="76"/>
  <c r="W219" i="76"/>
  <c r="W202" i="76"/>
  <c r="W185" i="76"/>
  <c r="V219" i="76"/>
  <c r="AH219" i="76" s="1"/>
  <c r="V202" i="76"/>
  <c r="AH202" i="76" s="1"/>
  <c r="V185" i="76"/>
  <c r="AH185" i="76" s="1"/>
  <c r="Q219" i="76"/>
  <c r="Q202" i="76"/>
  <c r="Q185" i="76"/>
  <c r="P219" i="76"/>
  <c r="P202" i="76"/>
  <c r="P185" i="76"/>
  <c r="O219" i="76"/>
  <c r="O202" i="76"/>
  <c r="O185" i="76"/>
  <c r="N219" i="76"/>
  <c r="N202" i="76"/>
  <c r="N185" i="76"/>
  <c r="M219" i="76"/>
  <c r="M202" i="76"/>
  <c r="M185" i="76"/>
  <c r="L219" i="76"/>
  <c r="L202" i="76"/>
  <c r="L185" i="76"/>
  <c r="K219" i="76"/>
  <c r="K202" i="76"/>
  <c r="K185" i="76"/>
  <c r="J219" i="76"/>
  <c r="J202" i="76"/>
  <c r="J185" i="76"/>
  <c r="I219" i="76"/>
  <c r="I202" i="76"/>
  <c r="I185" i="76"/>
  <c r="H219" i="76"/>
  <c r="H202" i="76"/>
  <c r="H185" i="76"/>
  <c r="G219" i="76"/>
  <c r="G202" i="76"/>
  <c r="G185" i="76"/>
  <c r="F219" i="76"/>
  <c r="R219" i="76" s="1"/>
  <c r="F202" i="76"/>
  <c r="R202" i="76" s="1"/>
  <c r="F185" i="76"/>
  <c r="R185" i="76" s="1"/>
  <c r="AG218" i="76"/>
  <c r="AG201" i="76"/>
  <c r="AG184" i="76"/>
  <c r="AF218" i="76"/>
  <c r="AF201" i="76"/>
  <c r="AF184" i="76"/>
  <c r="AE218" i="76"/>
  <c r="AE201" i="76"/>
  <c r="AE184" i="76"/>
  <c r="AD218" i="76"/>
  <c r="AD201" i="76"/>
  <c r="AD184" i="76"/>
  <c r="AC218" i="76"/>
  <c r="AC201" i="76"/>
  <c r="AC184" i="76"/>
  <c r="AB218" i="76"/>
  <c r="AB201" i="76"/>
  <c r="AB184" i="76"/>
  <c r="AA218" i="76"/>
  <c r="AA201" i="76"/>
  <c r="AA184" i="76"/>
  <c r="Z218" i="76"/>
  <c r="Z201" i="76"/>
  <c r="Z184" i="76"/>
  <c r="Y218" i="76"/>
  <c r="Y201" i="76"/>
  <c r="Y184" i="76"/>
  <c r="X218" i="76"/>
  <c r="X201" i="76"/>
  <c r="X184" i="76"/>
  <c r="W218" i="76"/>
  <c r="W201" i="76"/>
  <c r="W184" i="76"/>
  <c r="V218" i="76"/>
  <c r="AH218" i="76" s="1"/>
  <c r="V201" i="76"/>
  <c r="AH201" i="76" s="1"/>
  <c r="V184" i="76"/>
  <c r="AH184" i="76" s="1"/>
  <c r="Q218" i="76"/>
  <c r="Q201" i="76"/>
  <c r="Q184" i="76"/>
  <c r="P218" i="76"/>
  <c r="P201" i="76"/>
  <c r="P184" i="76"/>
  <c r="O218" i="76"/>
  <c r="O201" i="76"/>
  <c r="O184" i="76"/>
  <c r="N218" i="76"/>
  <c r="N201" i="76"/>
  <c r="N184" i="76"/>
  <c r="M218" i="76"/>
  <c r="M201" i="76"/>
  <c r="M184" i="76"/>
  <c r="L218" i="76"/>
  <c r="L201" i="76"/>
  <c r="L184" i="76"/>
  <c r="K218" i="76"/>
  <c r="K201" i="76"/>
  <c r="K184" i="76"/>
  <c r="J218" i="76"/>
  <c r="J201" i="76"/>
  <c r="J184" i="76"/>
  <c r="I218" i="76"/>
  <c r="I201" i="76"/>
  <c r="I184" i="76"/>
  <c r="H218" i="76"/>
  <c r="H201" i="76"/>
  <c r="H184" i="76"/>
  <c r="G218" i="76"/>
  <c r="G201" i="76"/>
  <c r="G184" i="76"/>
  <c r="F218" i="76"/>
  <c r="R218" i="76" s="1"/>
  <c r="F201" i="76"/>
  <c r="R201" i="76" s="1"/>
  <c r="F184" i="76"/>
  <c r="R184" i="76" s="1"/>
  <c r="AG217" i="76"/>
  <c r="AG200" i="76"/>
  <c r="AG183" i="76"/>
  <c r="AF217" i="76"/>
  <c r="AF200" i="76"/>
  <c r="AF183" i="76"/>
  <c r="AE217" i="76"/>
  <c r="AE200" i="76"/>
  <c r="AE183" i="76"/>
  <c r="AD217" i="76"/>
  <c r="AD200" i="76"/>
  <c r="AD183" i="76"/>
  <c r="AC217" i="76"/>
  <c r="AC200" i="76"/>
  <c r="AC183" i="76"/>
  <c r="AB217" i="76"/>
  <c r="AB200" i="76"/>
  <c r="AB183" i="76"/>
  <c r="AA217" i="76"/>
  <c r="AA200" i="76"/>
  <c r="AA183" i="76"/>
  <c r="Z217" i="76"/>
  <c r="Z200" i="76"/>
  <c r="Z183" i="76"/>
  <c r="Y217" i="76"/>
  <c r="Y200" i="76"/>
  <c r="Y183" i="76"/>
  <c r="X217" i="76"/>
  <c r="X200" i="76"/>
  <c r="X183" i="76"/>
  <c r="W217" i="76"/>
  <c r="W200" i="76"/>
  <c r="W183" i="76"/>
  <c r="V217" i="76"/>
  <c r="AH217" i="76" s="1"/>
  <c r="V200" i="76"/>
  <c r="AH200" i="76" s="1"/>
  <c r="V183" i="76"/>
  <c r="AH183" i="76" s="1"/>
  <c r="Q217" i="76"/>
  <c r="Q200" i="76"/>
  <c r="Q183" i="76"/>
  <c r="P217" i="76"/>
  <c r="P200" i="76"/>
  <c r="P183" i="76"/>
  <c r="O217" i="76"/>
  <c r="O200" i="76"/>
  <c r="O183" i="76"/>
  <c r="N217" i="76"/>
  <c r="N200" i="76"/>
  <c r="N183" i="76"/>
  <c r="M217" i="76"/>
  <c r="M200" i="76"/>
  <c r="M183" i="76"/>
  <c r="L217" i="76"/>
  <c r="L200" i="76"/>
  <c r="L183" i="76"/>
  <c r="K217" i="76"/>
  <c r="K200" i="76"/>
  <c r="K183" i="76"/>
  <c r="J217" i="76"/>
  <c r="J200" i="76"/>
  <c r="J183" i="76"/>
  <c r="I217" i="76"/>
  <c r="I200" i="76"/>
  <c r="I183" i="76"/>
  <c r="H217" i="76"/>
  <c r="H200" i="76"/>
  <c r="H183" i="76"/>
  <c r="G217" i="76"/>
  <c r="G200" i="76"/>
  <c r="G183" i="76"/>
  <c r="F217" i="76"/>
  <c r="R217" i="76" s="1"/>
  <c r="F200" i="76"/>
  <c r="R200" i="76" s="1"/>
  <c r="F183" i="76"/>
  <c r="R183" i="76" s="1"/>
  <c r="AG216" i="76"/>
  <c r="AG199" i="76"/>
  <c r="AG182" i="76"/>
  <c r="AF216" i="76"/>
  <c r="AF199" i="76"/>
  <c r="AF182" i="76"/>
  <c r="AE216" i="76"/>
  <c r="AE199" i="76"/>
  <c r="AE182" i="76"/>
  <c r="AD216" i="76"/>
  <c r="AD199" i="76"/>
  <c r="AD182" i="76"/>
  <c r="AC216" i="76"/>
  <c r="AC199" i="76"/>
  <c r="AC182" i="76"/>
  <c r="AB216" i="76"/>
  <c r="AB199" i="76"/>
  <c r="AB182" i="76"/>
  <c r="AA216" i="76"/>
  <c r="AA199" i="76"/>
  <c r="AA182" i="76"/>
  <c r="Z216" i="76"/>
  <c r="Z199" i="76"/>
  <c r="Z182" i="76"/>
  <c r="Y216" i="76"/>
  <c r="Y199" i="76"/>
  <c r="Y182" i="76"/>
  <c r="X216" i="76"/>
  <c r="X199" i="76"/>
  <c r="X182" i="76"/>
  <c r="W216" i="76"/>
  <c r="W199" i="76"/>
  <c r="W182" i="76"/>
  <c r="V216" i="76"/>
  <c r="AH216" i="76" s="1"/>
  <c r="V199" i="76"/>
  <c r="AH199" i="76" s="1"/>
  <c r="V182" i="76"/>
  <c r="AH182" i="76" s="1"/>
  <c r="Q216" i="76"/>
  <c r="Q199" i="76"/>
  <c r="Q182" i="76"/>
  <c r="P216" i="76"/>
  <c r="P199" i="76"/>
  <c r="P182" i="76"/>
  <c r="O216" i="76"/>
  <c r="O199" i="76"/>
  <c r="O182" i="76"/>
  <c r="N216" i="76"/>
  <c r="N199" i="76"/>
  <c r="N182" i="76"/>
  <c r="M216" i="76"/>
  <c r="M199" i="76"/>
  <c r="M182" i="76"/>
  <c r="L216" i="76"/>
  <c r="L199" i="76"/>
  <c r="L182" i="76"/>
  <c r="K216" i="76"/>
  <c r="K199" i="76"/>
  <c r="K182" i="76"/>
  <c r="J216" i="76"/>
  <c r="J199" i="76"/>
  <c r="J182" i="76"/>
  <c r="I216" i="76"/>
  <c r="I199" i="76"/>
  <c r="I182" i="76"/>
  <c r="H216" i="76"/>
  <c r="H199" i="76"/>
  <c r="H182" i="76"/>
  <c r="G216" i="76"/>
  <c r="G199" i="76"/>
  <c r="G182" i="76"/>
  <c r="F216" i="76"/>
  <c r="R216" i="76" s="1"/>
  <c r="F199" i="76"/>
  <c r="R199" i="76" s="1"/>
  <c r="F182" i="76"/>
  <c r="R182" i="76" s="1"/>
  <c r="AG215" i="76"/>
  <c r="AG198" i="76"/>
  <c r="AG181" i="76"/>
  <c r="AF215" i="76"/>
  <c r="AF198" i="76"/>
  <c r="AF181" i="76"/>
  <c r="AE215" i="76"/>
  <c r="AE198" i="76"/>
  <c r="AE181" i="76"/>
  <c r="AD215" i="76"/>
  <c r="AD198" i="76"/>
  <c r="AD181" i="76"/>
  <c r="AC215" i="76"/>
  <c r="AC198" i="76"/>
  <c r="AC181" i="76"/>
  <c r="AB215" i="76"/>
  <c r="AB198" i="76"/>
  <c r="AB181" i="76"/>
  <c r="AA215" i="76"/>
  <c r="AA198" i="76"/>
  <c r="AA181" i="76"/>
  <c r="Z215" i="76"/>
  <c r="Z198" i="76"/>
  <c r="Z181" i="76"/>
  <c r="Y215" i="76"/>
  <c r="Y198" i="76"/>
  <c r="Y181" i="76"/>
  <c r="X215" i="76"/>
  <c r="X198" i="76"/>
  <c r="X181" i="76"/>
  <c r="W215" i="76"/>
  <c r="W198" i="76"/>
  <c r="W181" i="76"/>
  <c r="V215" i="76"/>
  <c r="AH215" i="76" s="1"/>
  <c r="V198" i="76"/>
  <c r="AH198" i="76" s="1"/>
  <c r="V181" i="76"/>
  <c r="AH181" i="76" s="1"/>
  <c r="Q215" i="76"/>
  <c r="Q198" i="76"/>
  <c r="Q181" i="76"/>
  <c r="P215" i="76"/>
  <c r="P198" i="76"/>
  <c r="P181" i="76"/>
  <c r="O215" i="76"/>
  <c r="O198" i="76"/>
  <c r="O181" i="76"/>
  <c r="N215" i="76"/>
  <c r="N198" i="76"/>
  <c r="N181" i="76"/>
  <c r="M215" i="76"/>
  <c r="M198" i="76"/>
  <c r="M181" i="76"/>
  <c r="L215" i="76"/>
  <c r="L198" i="76"/>
  <c r="L181" i="76"/>
  <c r="K215" i="76"/>
  <c r="K198" i="76"/>
  <c r="K181" i="76"/>
  <c r="J215" i="76"/>
  <c r="J198" i="76"/>
  <c r="J181" i="76"/>
  <c r="I215" i="76"/>
  <c r="I198" i="76"/>
  <c r="I181" i="76"/>
  <c r="H215" i="76"/>
  <c r="H198" i="76"/>
  <c r="H181" i="76"/>
  <c r="G215" i="76"/>
  <c r="G198" i="76"/>
  <c r="G181" i="76"/>
  <c r="F215" i="76"/>
  <c r="R215" i="76" s="1"/>
  <c r="F198" i="76"/>
  <c r="R198" i="76" s="1"/>
  <c r="F181" i="76"/>
  <c r="R181" i="76" s="1"/>
  <c r="AG214" i="76"/>
  <c r="AG228" i="76" s="1"/>
  <c r="AG197" i="76"/>
  <c r="AG211" i="76" s="1"/>
  <c r="AG180" i="76"/>
  <c r="AG194" i="76" s="1"/>
  <c r="AF214" i="76"/>
  <c r="AF228" i="76" s="1"/>
  <c r="AF197" i="76"/>
  <c r="AF211" i="76" s="1"/>
  <c r="AF180" i="76"/>
  <c r="AF194" i="76" s="1"/>
  <c r="AE214" i="76"/>
  <c r="AE228" i="76" s="1"/>
  <c r="AE197" i="76"/>
  <c r="AE211" i="76" s="1"/>
  <c r="AE180" i="76"/>
  <c r="AE194" i="76" s="1"/>
  <c r="AD214" i="76"/>
  <c r="AD228" i="76" s="1"/>
  <c r="AD197" i="76"/>
  <c r="AD211" i="76" s="1"/>
  <c r="AD180" i="76"/>
  <c r="AD194" i="76" s="1"/>
  <c r="AC214" i="76"/>
  <c r="AC228" i="76" s="1"/>
  <c r="AC197" i="76"/>
  <c r="AC211" i="76" s="1"/>
  <c r="AC180" i="76"/>
  <c r="AC194" i="76" s="1"/>
  <c r="AB214" i="76"/>
  <c r="AB228" i="76" s="1"/>
  <c r="AB197" i="76"/>
  <c r="AB211" i="76" s="1"/>
  <c r="AB180" i="76"/>
  <c r="AB194" i="76" s="1"/>
  <c r="AA214" i="76"/>
  <c r="AA228" i="76" s="1"/>
  <c r="AA197" i="76"/>
  <c r="AA211" i="76" s="1"/>
  <c r="AA180" i="76"/>
  <c r="AA194" i="76" s="1"/>
  <c r="Z214" i="76"/>
  <c r="Z228" i="76" s="1"/>
  <c r="Z197" i="76"/>
  <c r="Z211" i="76" s="1"/>
  <c r="Z180" i="76"/>
  <c r="Z194" i="76" s="1"/>
  <c r="Y214" i="76"/>
  <c r="Y228" i="76" s="1"/>
  <c r="Y197" i="76"/>
  <c r="Y211" i="76" s="1"/>
  <c r="Y180" i="76"/>
  <c r="Y194" i="76" s="1"/>
  <c r="X214" i="76"/>
  <c r="X228" i="76" s="1"/>
  <c r="X197" i="76"/>
  <c r="X211" i="76" s="1"/>
  <c r="X180" i="76"/>
  <c r="X194" i="76" s="1"/>
  <c r="W214" i="76"/>
  <c r="W228" i="76" s="1"/>
  <c r="W197" i="76"/>
  <c r="W211" i="76" s="1"/>
  <c r="W180" i="76"/>
  <c r="W194" i="76" s="1"/>
  <c r="V214" i="76"/>
  <c r="V197" i="76"/>
  <c r="V180" i="76"/>
  <c r="Q214" i="76"/>
  <c r="Q228" i="76" s="1"/>
  <c r="Q197" i="76"/>
  <c r="Q211" i="76" s="1"/>
  <c r="Q180" i="76"/>
  <c r="Q194" i="76" s="1"/>
  <c r="P214" i="76"/>
  <c r="P228" i="76" s="1"/>
  <c r="P197" i="76"/>
  <c r="P211" i="76" s="1"/>
  <c r="P180" i="76"/>
  <c r="P194" i="76" s="1"/>
  <c r="O214" i="76"/>
  <c r="O228" i="76" s="1"/>
  <c r="O197" i="76"/>
  <c r="O211" i="76" s="1"/>
  <c r="O180" i="76"/>
  <c r="O194" i="76" s="1"/>
  <c r="N214" i="76"/>
  <c r="N228" i="76" s="1"/>
  <c r="N197" i="76"/>
  <c r="N211" i="76" s="1"/>
  <c r="N180" i="76"/>
  <c r="N194" i="76" s="1"/>
  <c r="M214" i="76"/>
  <c r="M228" i="76" s="1"/>
  <c r="M197" i="76"/>
  <c r="M211" i="76" s="1"/>
  <c r="M180" i="76"/>
  <c r="M194" i="76" s="1"/>
  <c r="L214" i="76"/>
  <c r="L228" i="76" s="1"/>
  <c r="L197" i="76"/>
  <c r="L211" i="76" s="1"/>
  <c r="L180" i="76"/>
  <c r="L194" i="76" s="1"/>
  <c r="K214" i="76"/>
  <c r="K228" i="76" s="1"/>
  <c r="K197" i="76"/>
  <c r="K211" i="76" s="1"/>
  <c r="K180" i="76"/>
  <c r="K194" i="76" s="1"/>
  <c r="J214" i="76"/>
  <c r="J228" i="76" s="1"/>
  <c r="J197" i="76"/>
  <c r="J211" i="76" s="1"/>
  <c r="J180" i="76"/>
  <c r="J194" i="76" s="1"/>
  <c r="I214" i="76"/>
  <c r="I228" i="76" s="1"/>
  <c r="I197" i="76"/>
  <c r="I211" i="76" s="1"/>
  <c r="I180" i="76"/>
  <c r="I194" i="76" s="1"/>
  <c r="H214" i="76"/>
  <c r="H228" i="76" s="1"/>
  <c r="H197" i="76"/>
  <c r="H211" i="76" s="1"/>
  <c r="H180" i="76"/>
  <c r="H194" i="76" s="1"/>
  <c r="G214" i="76"/>
  <c r="G228" i="76" s="1"/>
  <c r="G197" i="76"/>
  <c r="G211" i="76" s="1"/>
  <c r="G180" i="76"/>
  <c r="G194" i="76" s="1"/>
  <c r="F214" i="76"/>
  <c r="F197" i="76"/>
  <c r="F180" i="76"/>
  <c r="F284" i="76"/>
  <c r="G284" i="76"/>
  <c r="H284" i="76"/>
  <c r="I284" i="76"/>
  <c r="J284" i="76"/>
  <c r="K284" i="76"/>
  <c r="L284" i="76"/>
  <c r="M284" i="76"/>
  <c r="N284" i="76"/>
  <c r="O284" i="76"/>
  <c r="P284" i="76"/>
  <c r="Q284" i="76"/>
  <c r="V284" i="76"/>
  <c r="W284" i="76"/>
  <c r="X284" i="76"/>
  <c r="Y284" i="76"/>
  <c r="Z284" i="76"/>
  <c r="AA284" i="76"/>
  <c r="AB284" i="76"/>
  <c r="AC284" i="76"/>
  <c r="AD284" i="76"/>
  <c r="AE284" i="76"/>
  <c r="AF284" i="76"/>
  <c r="AG284" i="76"/>
  <c r="AK284" i="76"/>
  <c r="AL284" i="76"/>
  <c r="AM284" i="76"/>
  <c r="AN284" i="76"/>
  <c r="AO284" i="76"/>
  <c r="AP284" i="76"/>
  <c r="AQ284" i="76"/>
  <c r="AR284" i="76"/>
  <c r="AS284" i="76"/>
  <c r="AT284" i="76"/>
  <c r="AU284" i="76"/>
  <c r="AV284" i="76"/>
  <c r="F286" i="76"/>
  <c r="G286" i="76"/>
  <c r="H286" i="76"/>
  <c r="I286" i="76"/>
  <c r="J286" i="76"/>
  <c r="K286" i="76"/>
  <c r="L286" i="76"/>
  <c r="M286" i="76"/>
  <c r="N286" i="76"/>
  <c r="O286" i="76"/>
  <c r="P286" i="76"/>
  <c r="Q286" i="76"/>
  <c r="V286" i="76"/>
  <c r="W286" i="76"/>
  <c r="X286" i="76"/>
  <c r="Y286" i="76"/>
  <c r="Z286" i="76"/>
  <c r="AA286" i="76"/>
  <c r="AB286" i="76"/>
  <c r="AC286" i="76"/>
  <c r="AD286" i="76"/>
  <c r="AE286" i="76"/>
  <c r="AF286" i="76"/>
  <c r="AG286" i="76"/>
  <c r="AK286" i="76"/>
  <c r="AL286" i="76"/>
  <c r="AM286" i="76"/>
  <c r="AN286" i="76"/>
  <c r="AO286" i="76"/>
  <c r="AP286" i="76"/>
  <c r="AQ286" i="76"/>
  <c r="AR286" i="76"/>
  <c r="AS286" i="76"/>
  <c r="AT286" i="76"/>
  <c r="AU286" i="76"/>
  <c r="AV286" i="76"/>
  <c r="F288" i="76"/>
  <c r="G288" i="76"/>
  <c r="H288" i="76"/>
  <c r="I288" i="76"/>
  <c r="J288" i="76"/>
  <c r="K288" i="76"/>
  <c r="L288" i="76"/>
  <c r="M288" i="76"/>
  <c r="N288" i="76"/>
  <c r="O288" i="76"/>
  <c r="P288" i="76"/>
  <c r="Q288" i="76"/>
  <c r="V288" i="76"/>
  <c r="W288" i="76"/>
  <c r="X288" i="76"/>
  <c r="Y288" i="76"/>
  <c r="Z288" i="76"/>
  <c r="AA288" i="76"/>
  <c r="AB288" i="76"/>
  <c r="AC288" i="76"/>
  <c r="AD288" i="76"/>
  <c r="AE288" i="76"/>
  <c r="AF288" i="76"/>
  <c r="AG288" i="76"/>
  <c r="AK288" i="76"/>
  <c r="AL288" i="76"/>
  <c r="AM288" i="76"/>
  <c r="AN288" i="76"/>
  <c r="AO288" i="76"/>
  <c r="AP288" i="76"/>
  <c r="AQ288" i="76"/>
  <c r="AR288" i="76"/>
  <c r="AS288" i="76"/>
  <c r="AT288" i="76"/>
  <c r="AU288" i="76"/>
  <c r="AV288" i="76"/>
  <c r="F290" i="76"/>
  <c r="G290" i="76"/>
  <c r="H290" i="76"/>
  <c r="I290" i="76"/>
  <c r="J290" i="76"/>
  <c r="K290" i="76"/>
  <c r="L290" i="76"/>
  <c r="M290" i="76"/>
  <c r="N290" i="76"/>
  <c r="O290" i="76"/>
  <c r="P290" i="76"/>
  <c r="Q290" i="76"/>
  <c r="V290" i="76"/>
  <c r="W290" i="76"/>
  <c r="X290" i="76"/>
  <c r="Y290" i="76"/>
  <c r="Z290" i="76"/>
  <c r="AA290" i="76"/>
  <c r="AB290" i="76"/>
  <c r="AC290" i="76"/>
  <c r="AD290" i="76"/>
  <c r="AE290" i="76"/>
  <c r="AF290" i="76"/>
  <c r="AG290" i="76"/>
  <c r="AK290" i="76"/>
  <c r="AL290" i="76"/>
  <c r="AM290" i="76"/>
  <c r="AN290" i="76"/>
  <c r="AO290" i="76"/>
  <c r="AP290" i="76"/>
  <c r="AQ290" i="76"/>
  <c r="AR290" i="76"/>
  <c r="AS290" i="76"/>
  <c r="AT290" i="76"/>
  <c r="AU290" i="76"/>
  <c r="AV290" i="76"/>
  <c r="F283" i="76"/>
  <c r="G283" i="76"/>
  <c r="H283" i="76"/>
  <c r="I283" i="76"/>
  <c r="J283" i="76"/>
  <c r="K283" i="76"/>
  <c r="L283" i="76"/>
  <c r="M283" i="76"/>
  <c r="N283" i="76"/>
  <c r="O283" i="76"/>
  <c r="P283" i="76"/>
  <c r="Q283" i="76"/>
  <c r="V283" i="76"/>
  <c r="W283" i="76"/>
  <c r="X283" i="76"/>
  <c r="Y283" i="76"/>
  <c r="Z283" i="76"/>
  <c r="AA283" i="76"/>
  <c r="AB283" i="76"/>
  <c r="AC283" i="76"/>
  <c r="AD283" i="76"/>
  <c r="AE283" i="76"/>
  <c r="AF283" i="76"/>
  <c r="AG283" i="76"/>
  <c r="AK283" i="76"/>
  <c r="AL283" i="76"/>
  <c r="AM283" i="76"/>
  <c r="AN283" i="76"/>
  <c r="AO283" i="76"/>
  <c r="AP283" i="76"/>
  <c r="AQ283" i="76"/>
  <c r="AR283" i="76"/>
  <c r="AS283" i="76"/>
  <c r="AT283" i="76"/>
  <c r="AU283" i="76"/>
  <c r="AV283" i="76"/>
  <c r="F285" i="76"/>
  <c r="G285" i="76"/>
  <c r="H285" i="76"/>
  <c r="I285" i="76"/>
  <c r="J285" i="76"/>
  <c r="K285" i="76"/>
  <c r="L285" i="76"/>
  <c r="M285" i="76"/>
  <c r="N285" i="76"/>
  <c r="O285" i="76"/>
  <c r="P285" i="76"/>
  <c r="Q285" i="76"/>
  <c r="V285" i="76"/>
  <c r="W285" i="76"/>
  <c r="X285" i="76"/>
  <c r="Y285" i="76"/>
  <c r="Z285" i="76"/>
  <c r="AA285" i="76"/>
  <c r="AB285" i="76"/>
  <c r="AC285" i="76"/>
  <c r="AD285" i="76"/>
  <c r="AE285" i="76"/>
  <c r="AF285" i="76"/>
  <c r="AG285" i="76"/>
  <c r="AK285" i="76"/>
  <c r="AL285" i="76"/>
  <c r="AM285" i="76"/>
  <c r="AN285" i="76"/>
  <c r="AO285" i="76"/>
  <c r="AP285" i="76"/>
  <c r="AQ285" i="76"/>
  <c r="AR285" i="76"/>
  <c r="AS285" i="76"/>
  <c r="AT285" i="76"/>
  <c r="AU285" i="76"/>
  <c r="AV285" i="76"/>
  <c r="F287" i="76"/>
  <c r="G287" i="76"/>
  <c r="H287" i="76"/>
  <c r="I287" i="76"/>
  <c r="J287" i="76"/>
  <c r="K287" i="76"/>
  <c r="L287" i="76"/>
  <c r="M287" i="76"/>
  <c r="N287" i="76"/>
  <c r="O287" i="76"/>
  <c r="P287" i="76"/>
  <c r="Q287" i="76"/>
  <c r="V287" i="76"/>
  <c r="W287" i="76"/>
  <c r="X287" i="76"/>
  <c r="Y287" i="76"/>
  <c r="Z287" i="76"/>
  <c r="AA287" i="76"/>
  <c r="AB287" i="76"/>
  <c r="AC287" i="76"/>
  <c r="AD287" i="76"/>
  <c r="AE287" i="76"/>
  <c r="AF287" i="76"/>
  <c r="AG287" i="76"/>
  <c r="AK287" i="76"/>
  <c r="AL287" i="76"/>
  <c r="AM287" i="76"/>
  <c r="AN287" i="76"/>
  <c r="AO287" i="76"/>
  <c r="AP287" i="76"/>
  <c r="AQ287" i="76"/>
  <c r="AR287" i="76"/>
  <c r="AS287" i="76"/>
  <c r="AT287" i="76"/>
  <c r="AU287" i="76"/>
  <c r="AV287" i="76"/>
  <c r="F289" i="76"/>
  <c r="G289" i="76"/>
  <c r="H289" i="76"/>
  <c r="I289" i="76"/>
  <c r="J289" i="76"/>
  <c r="K289" i="76"/>
  <c r="L289" i="76"/>
  <c r="M289" i="76"/>
  <c r="N289" i="76"/>
  <c r="O289" i="76"/>
  <c r="P289" i="76"/>
  <c r="Q289" i="76"/>
  <c r="V289" i="76"/>
  <c r="W289" i="76"/>
  <c r="X289" i="76"/>
  <c r="Y289" i="76"/>
  <c r="Z289" i="76"/>
  <c r="AA289" i="76"/>
  <c r="AB289" i="76"/>
  <c r="AC289" i="76"/>
  <c r="AD289" i="76"/>
  <c r="AE289" i="76"/>
  <c r="AF289" i="76"/>
  <c r="AG289" i="76"/>
  <c r="AK289" i="76"/>
  <c r="AL289" i="76"/>
  <c r="AM289" i="76"/>
  <c r="AN289" i="76"/>
  <c r="AO289" i="76"/>
  <c r="AP289" i="76"/>
  <c r="AQ289" i="76"/>
  <c r="AR289" i="76"/>
  <c r="AS289" i="76"/>
  <c r="AT289" i="76"/>
  <c r="AU289" i="76"/>
  <c r="AV289" i="76"/>
  <c r="AW258" i="76"/>
  <c r="AV258" i="76"/>
  <c r="AU258" i="76"/>
  <c r="AT258" i="76"/>
  <c r="AS258" i="76"/>
  <c r="AR258" i="76"/>
  <c r="AQ258" i="76"/>
  <c r="AP258" i="76"/>
  <c r="AO258" i="76"/>
  <c r="AN258" i="76"/>
  <c r="AM258" i="76"/>
  <c r="AL258" i="76"/>
  <c r="AK258" i="76"/>
  <c r="AH258" i="76"/>
  <c r="AG258" i="76"/>
  <c r="AF258" i="76"/>
  <c r="AE258" i="76"/>
  <c r="AD258" i="76"/>
  <c r="AC258" i="76"/>
  <c r="AB258" i="76"/>
  <c r="AA258" i="76"/>
  <c r="Z258" i="76"/>
  <c r="Y258" i="76"/>
  <c r="X258" i="76"/>
  <c r="W258" i="76"/>
  <c r="V258" i="76"/>
  <c r="R258" i="76"/>
  <c r="Q258" i="76"/>
  <c r="P258" i="76"/>
  <c r="O258" i="76"/>
  <c r="N258" i="76"/>
  <c r="M258" i="76"/>
  <c r="L258" i="76"/>
  <c r="K258" i="76"/>
  <c r="J258" i="76"/>
  <c r="I258" i="76"/>
  <c r="H258" i="76"/>
  <c r="G258" i="76"/>
  <c r="F258" i="76"/>
  <c r="F213" i="30"/>
  <c r="F207" i="30" s="1"/>
  <c r="R141" i="30"/>
  <c r="F217" i="30"/>
  <c r="AG240" i="30" l="1"/>
  <c r="AM66" i="32"/>
  <c r="Y66" i="32"/>
  <c r="AW266" i="76"/>
  <c r="AX266" i="76" s="1"/>
  <c r="AH266" i="76"/>
  <c r="V66" i="32"/>
  <c r="AB66" i="32"/>
  <c r="X66" i="32"/>
  <c r="AA66" i="32"/>
  <c r="AR66" i="32"/>
  <c r="S66" i="32"/>
  <c r="AU66" i="52"/>
  <c r="AP66" i="32"/>
  <c r="AS66" i="32"/>
  <c r="T66" i="32"/>
  <c r="AQ66" i="32"/>
  <c r="Z66" i="32"/>
  <c r="AH66" i="32"/>
  <c r="AF66" i="52"/>
  <c r="AI66" i="32"/>
  <c r="AD66" i="32"/>
  <c r="AN66" i="32"/>
  <c r="AU66" i="51"/>
  <c r="AC66" i="32"/>
  <c r="AF66" i="51"/>
  <c r="U66" i="32"/>
  <c r="AJ66" i="32"/>
  <c r="AO66" i="32"/>
  <c r="AU67" i="65"/>
  <c r="AK66" i="32"/>
  <c r="AL66" i="32"/>
  <c r="W66" i="32"/>
  <c r="P270" i="76"/>
  <c r="P272" i="76" s="1"/>
  <c r="AU66" i="66"/>
  <c r="AF67" i="65"/>
  <c r="AF66" i="66"/>
  <c r="AG270" i="76"/>
  <c r="AG272" i="76" s="1"/>
  <c r="Y270" i="76"/>
  <c r="Y272" i="76" s="1"/>
  <c r="AP270" i="76"/>
  <c r="AP272" i="76" s="1"/>
  <c r="AI266" i="76"/>
  <c r="AS97" i="77"/>
  <c r="AS98" i="77" s="1"/>
  <c r="AS81" i="77"/>
  <c r="AR97" i="77"/>
  <c r="AR98" i="77" s="1"/>
  <c r="AR81" i="77"/>
  <c r="AQ97" i="77"/>
  <c r="AQ98" i="77" s="1"/>
  <c r="AQ81" i="77"/>
  <c r="AP97" i="77"/>
  <c r="AP98" i="77" s="1"/>
  <c r="AP81" i="77"/>
  <c r="AO97" i="77"/>
  <c r="AO98" i="77" s="1"/>
  <c r="AO81" i="77"/>
  <c r="AN97" i="77"/>
  <c r="AN98" i="77" s="1"/>
  <c r="AN81" i="77"/>
  <c r="AM97" i="77"/>
  <c r="AM98" i="77" s="1"/>
  <c r="AM81" i="77"/>
  <c r="AL97" i="77"/>
  <c r="AL98" i="77" s="1"/>
  <c r="AL81" i="77"/>
  <c r="AK97" i="77"/>
  <c r="AK98" i="77" s="1"/>
  <c r="AK81" i="77"/>
  <c r="AJ97" i="77"/>
  <c r="AJ98" i="77" s="1"/>
  <c r="AJ81" i="77"/>
  <c r="AI97" i="77"/>
  <c r="AI98" i="77" s="1"/>
  <c r="AI81" i="77"/>
  <c r="AU97" i="77"/>
  <c r="AU98" i="77" s="1"/>
  <c r="AU81" i="77"/>
  <c r="AH97" i="77"/>
  <c r="AH98" i="77" s="1"/>
  <c r="AH81" i="77"/>
  <c r="AD97" i="77"/>
  <c r="AD98" i="77" s="1"/>
  <c r="AD81" i="77"/>
  <c r="AC97" i="77"/>
  <c r="AC98" i="77" s="1"/>
  <c r="AC81" i="77"/>
  <c r="AB97" i="77"/>
  <c r="AB98" i="77" s="1"/>
  <c r="AB81" i="77"/>
  <c r="AA97" i="77"/>
  <c r="AA98" i="77" s="1"/>
  <c r="AA81" i="77"/>
  <c r="Z97" i="77"/>
  <c r="Z98" i="77" s="1"/>
  <c r="Z81" i="77"/>
  <c r="Y97" i="77"/>
  <c r="Y98" i="77" s="1"/>
  <c r="Y81" i="77"/>
  <c r="X97" i="77"/>
  <c r="X98" i="77" s="1"/>
  <c r="X81" i="77"/>
  <c r="W97" i="77"/>
  <c r="W98" i="77" s="1"/>
  <c r="W81" i="77"/>
  <c r="V97" i="77"/>
  <c r="V98" i="77" s="1"/>
  <c r="V81" i="77"/>
  <c r="U97" i="77"/>
  <c r="U98" i="77" s="1"/>
  <c r="U81" i="77"/>
  <c r="T97" i="77"/>
  <c r="T98" i="77" s="1"/>
  <c r="T81" i="77"/>
  <c r="AF97" i="77"/>
  <c r="AF98" i="77" s="1"/>
  <c r="AF81" i="77"/>
  <c r="S97" i="77"/>
  <c r="S98" i="77" s="1"/>
  <c r="S81" i="77"/>
  <c r="O97" i="77"/>
  <c r="O98" i="77" s="1"/>
  <c r="O81" i="77"/>
  <c r="N97" i="77"/>
  <c r="N98" i="77" s="1"/>
  <c r="N81" i="77"/>
  <c r="M97" i="77"/>
  <c r="M98" i="77" s="1"/>
  <c r="M81" i="77"/>
  <c r="Q75" i="77"/>
  <c r="Q54" i="77"/>
  <c r="AC49" i="35"/>
  <c r="H270" i="76"/>
  <c r="H272" i="76" s="1"/>
  <c r="AB270" i="76"/>
  <c r="AB272" i="76" s="1"/>
  <c r="AE270" i="76"/>
  <c r="AE272" i="76" s="1"/>
  <c r="AD270" i="76"/>
  <c r="AD272" i="76" s="1"/>
  <c r="W270" i="76"/>
  <c r="W272" i="76" s="1"/>
  <c r="AO270" i="76"/>
  <c r="AO272" i="76" s="1"/>
  <c r="AC270" i="76"/>
  <c r="AC272" i="76" s="1"/>
  <c r="AH269" i="76"/>
  <c r="R269" i="76"/>
  <c r="O270" i="76"/>
  <c r="O272" i="76" s="1"/>
  <c r="AN270" i="76"/>
  <c r="AN272" i="76" s="1"/>
  <c r="AW269" i="76"/>
  <c r="AX269" i="76" s="1"/>
  <c r="AH238" i="30"/>
  <c r="AH239" i="30"/>
  <c r="AM270" i="76"/>
  <c r="AM272" i="76" s="1"/>
  <c r="K270" i="76"/>
  <c r="K272" i="76" s="1"/>
  <c r="I270" i="76"/>
  <c r="I272" i="76" s="1"/>
  <c r="M270" i="76"/>
  <c r="M272" i="76" s="1"/>
  <c r="AF270" i="76"/>
  <c r="AF272" i="76" s="1"/>
  <c r="Z270" i="76"/>
  <c r="Z272" i="76" s="1"/>
  <c r="AU270" i="76"/>
  <c r="AU272" i="76" s="1"/>
  <c r="AR270" i="76"/>
  <c r="AR272" i="76" s="1"/>
  <c r="AA270" i="76"/>
  <c r="AA272" i="76" s="1"/>
  <c r="Q270" i="76"/>
  <c r="Q272" i="76" s="1"/>
  <c r="G270" i="76"/>
  <c r="G272" i="76" s="1"/>
  <c r="AH237" i="30"/>
  <c r="AH232" i="30"/>
  <c r="AH235" i="30"/>
  <c r="AH233" i="30"/>
  <c r="AH234" i="30"/>
  <c r="AH236" i="30"/>
  <c r="AS270" i="76"/>
  <c r="AS272" i="76" s="1"/>
  <c r="X270" i="76"/>
  <c r="X272" i="76" s="1"/>
  <c r="AT270" i="76"/>
  <c r="AT272" i="76" s="1"/>
  <c r="AW277" i="76"/>
  <c r="AX277" i="76" s="1"/>
  <c r="AQ270" i="76"/>
  <c r="AQ272" i="76" s="1"/>
  <c r="R268" i="76"/>
  <c r="J270" i="76"/>
  <c r="J272" i="76" s="1"/>
  <c r="AW268" i="76"/>
  <c r="AX268" i="76" s="1"/>
  <c r="N270" i="76"/>
  <c r="N272" i="76" s="1"/>
  <c r="F270" i="76"/>
  <c r="F272" i="76" s="1"/>
  <c r="R277" i="76"/>
  <c r="AL270" i="76"/>
  <c r="AL272" i="76" s="1"/>
  <c r="AH268" i="76"/>
  <c r="AH277" i="76"/>
  <c r="AV270" i="76"/>
  <c r="AV272" i="76" s="1"/>
  <c r="AW192" i="30"/>
  <c r="R162" i="30"/>
  <c r="AH142" i="30"/>
  <c r="V270" i="76"/>
  <c r="AH267" i="76"/>
  <c r="R267" i="76"/>
  <c r="AK270" i="76"/>
  <c r="AW267" i="76"/>
  <c r="AX267" i="76" s="1"/>
  <c r="R192" i="30"/>
  <c r="AW142" i="30"/>
  <c r="AH192" i="30"/>
  <c r="AW162" i="30"/>
  <c r="AH162" i="30"/>
  <c r="AW289" i="76"/>
  <c r="AX289" i="76" s="1"/>
  <c r="AH289" i="76"/>
  <c r="R289" i="76"/>
  <c r="AW287" i="76"/>
  <c r="AX287" i="76" s="1"/>
  <c r="AH287" i="76"/>
  <c r="R287" i="76"/>
  <c r="AW285" i="76"/>
  <c r="AX285" i="76" s="1"/>
  <c r="AH285" i="76"/>
  <c r="R285" i="76"/>
  <c r="AV291" i="76"/>
  <c r="AU291" i="76"/>
  <c r="AT291" i="76"/>
  <c r="AS291" i="76"/>
  <c r="AR291" i="76"/>
  <c r="AQ291" i="76"/>
  <c r="AP291" i="76"/>
  <c r="AO291" i="76"/>
  <c r="AN291" i="76"/>
  <c r="AM291" i="76"/>
  <c r="AL291" i="76"/>
  <c r="AW283" i="76"/>
  <c r="AK291" i="76"/>
  <c r="AG291" i="76"/>
  <c r="AF291" i="76"/>
  <c r="AE291" i="76"/>
  <c r="AD291" i="76"/>
  <c r="AC291" i="76"/>
  <c r="AB291" i="76"/>
  <c r="AA291" i="76"/>
  <c r="Z291" i="76"/>
  <c r="Y291" i="76"/>
  <c r="X291" i="76"/>
  <c r="W291" i="76"/>
  <c r="AH283" i="76"/>
  <c r="V291" i="76"/>
  <c r="Q291" i="76"/>
  <c r="P291" i="76"/>
  <c r="O291" i="76"/>
  <c r="N291" i="76"/>
  <c r="M291" i="76"/>
  <c r="L291" i="76"/>
  <c r="K291" i="76"/>
  <c r="J291" i="76"/>
  <c r="I291" i="76"/>
  <c r="H291" i="76"/>
  <c r="G291" i="76"/>
  <c r="R283" i="76"/>
  <c r="F291" i="76"/>
  <c r="AW290" i="76"/>
  <c r="AX290" i="76" s="1"/>
  <c r="AH290" i="76"/>
  <c r="R290" i="76"/>
  <c r="AW288" i="76"/>
  <c r="AX288" i="76" s="1"/>
  <c r="AH288" i="76"/>
  <c r="R288" i="76"/>
  <c r="AW286" i="76"/>
  <c r="AX286" i="76" s="1"/>
  <c r="AH286" i="76"/>
  <c r="R286" i="76"/>
  <c r="AW284" i="76"/>
  <c r="AX284" i="76" s="1"/>
  <c r="AH284" i="76"/>
  <c r="R284" i="76"/>
  <c r="R180" i="76"/>
  <c r="R194" i="76" s="1"/>
  <c r="F194" i="76"/>
  <c r="R197" i="76"/>
  <c r="F211" i="76"/>
  <c r="R211" i="76" s="1"/>
  <c r="R214" i="76"/>
  <c r="F228" i="76"/>
  <c r="R228" i="76" s="1"/>
  <c r="AH180" i="76"/>
  <c r="AH194" i="76" s="1"/>
  <c r="V194" i="76"/>
  <c r="AH197" i="76"/>
  <c r="V211" i="76"/>
  <c r="AH211" i="76" s="1"/>
  <c r="AH214" i="76"/>
  <c r="V228" i="76"/>
  <c r="AH228" i="76" s="1"/>
  <c r="AF243" i="76"/>
  <c r="AG243" i="76"/>
  <c r="AE247" i="76"/>
  <c r="F142" i="30"/>
  <c r="AF66" i="32" l="1"/>
  <c r="AU66" i="32"/>
  <c r="Q97" i="77"/>
  <c r="Q98" i="77" s="1"/>
  <c r="Q81" i="77"/>
  <c r="AI269" i="76"/>
  <c r="R270" i="76"/>
  <c r="R272" i="76" s="1"/>
  <c r="AI277" i="76"/>
  <c r="AI268" i="76"/>
  <c r="AK272" i="76"/>
  <c r="AW270" i="76"/>
  <c r="AI267" i="76"/>
  <c r="AH270" i="76"/>
  <c r="V272" i="76"/>
  <c r="AF247" i="76"/>
  <c r="AG247" i="76"/>
  <c r="AE249" i="76"/>
  <c r="AI284" i="76"/>
  <c r="AI286" i="76"/>
  <c r="AI288" i="76"/>
  <c r="AI290" i="76"/>
  <c r="R291" i="76"/>
  <c r="AI283" i="76"/>
  <c r="AH291" i="76"/>
  <c r="AX283" i="76"/>
  <c r="AW291" i="76"/>
  <c r="AI285" i="76"/>
  <c r="AI287" i="76"/>
  <c r="AI289" i="76"/>
  <c r="AG96" i="75"/>
  <c r="AG88" i="75"/>
  <c r="AG89" i="75"/>
  <c r="AG90" i="75"/>
  <c r="AG91" i="75"/>
  <c r="AI91" i="75" s="1"/>
  <c r="AG92" i="75"/>
  <c r="AG93" i="75"/>
  <c r="AG94" i="75"/>
  <c r="AI94" i="75" s="1"/>
  <c r="AG87" i="75"/>
  <c r="AG60" i="75"/>
  <c r="AG61" i="75"/>
  <c r="AG62" i="75"/>
  <c r="AI62" i="75" s="1"/>
  <c r="AG63" i="75"/>
  <c r="AG64" i="75"/>
  <c r="AG65" i="75"/>
  <c r="AI65" i="75" s="1"/>
  <c r="AG66" i="75"/>
  <c r="AG67" i="75"/>
  <c r="AI67" i="75" s="1"/>
  <c r="AG58" i="75"/>
  <c r="AG42" i="75"/>
  <c r="AG37" i="75"/>
  <c r="AI37" i="75" s="1"/>
  <c r="AG38" i="75"/>
  <c r="AI38" i="75" s="1"/>
  <c r="AG39" i="75"/>
  <c r="AI39" i="75" s="1"/>
  <c r="AG40" i="75"/>
  <c r="AI40" i="75" s="1"/>
  <c r="AG36" i="75"/>
  <c r="AG20" i="75"/>
  <c r="AI20" i="75" s="1"/>
  <c r="AG11" i="75"/>
  <c r="AD96" i="75"/>
  <c r="AI87" i="75"/>
  <c r="AI88" i="75"/>
  <c r="AI89" i="75"/>
  <c r="AI90" i="75"/>
  <c r="AI92" i="75"/>
  <c r="AI93" i="75"/>
  <c r="AI96" i="75"/>
  <c r="AI58" i="75"/>
  <c r="AI60" i="75"/>
  <c r="AI61" i="75"/>
  <c r="AI63" i="75"/>
  <c r="AI64" i="75"/>
  <c r="AI66" i="75"/>
  <c r="U50" i="75"/>
  <c r="X50" i="75"/>
  <c r="AA50" i="75"/>
  <c r="AD50" i="75"/>
  <c r="AG50" i="75"/>
  <c r="AJ50" i="75"/>
  <c r="U51" i="75"/>
  <c r="X51" i="75"/>
  <c r="AA51" i="75"/>
  <c r="AD51" i="75"/>
  <c r="AG51" i="75"/>
  <c r="AJ51" i="75"/>
  <c r="U52" i="75"/>
  <c r="X52" i="75"/>
  <c r="AA52" i="75"/>
  <c r="AD52" i="75"/>
  <c r="AG52" i="75"/>
  <c r="AJ52" i="75"/>
  <c r="U53" i="75"/>
  <c r="X53" i="75"/>
  <c r="AA53" i="75"/>
  <c r="AD53" i="75"/>
  <c r="AG53" i="75"/>
  <c r="AJ53" i="75"/>
  <c r="U54" i="75"/>
  <c r="X54" i="75"/>
  <c r="AA54" i="75"/>
  <c r="AD54" i="75"/>
  <c r="AG54" i="75"/>
  <c r="AJ54" i="75"/>
  <c r="U44" i="75"/>
  <c r="X44" i="75"/>
  <c r="AA44" i="75"/>
  <c r="AD44" i="75"/>
  <c r="AG44" i="75"/>
  <c r="AJ44" i="75"/>
  <c r="U45" i="75"/>
  <c r="X45" i="75"/>
  <c r="AA45" i="75"/>
  <c r="AD45" i="75"/>
  <c r="AG45" i="75"/>
  <c r="AJ45" i="75"/>
  <c r="U46" i="75"/>
  <c r="X46" i="75"/>
  <c r="AA46" i="75"/>
  <c r="AD46" i="75"/>
  <c r="AG46" i="75"/>
  <c r="AJ46" i="75"/>
  <c r="U47" i="75"/>
  <c r="X47" i="75"/>
  <c r="AA47" i="75"/>
  <c r="AD47" i="75"/>
  <c r="AG47" i="75"/>
  <c r="AJ47" i="75"/>
  <c r="U48" i="75"/>
  <c r="X48" i="75"/>
  <c r="AA48" i="75"/>
  <c r="AD48" i="75"/>
  <c r="AG48" i="75"/>
  <c r="AJ48" i="75"/>
  <c r="AI42" i="75"/>
  <c r="U28" i="75"/>
  <c r="X28" i="75"/>
  <c r="AA28" i="75"/>
  <c r="AD28" i="75"/>
  <c r="AG28" i="75"/>
  <c r="AJ28" i="75"/>
  <c r="U29" i="75"/>
  <c r="X29" i="75"/>
  <c r="AA29" i="75"/>
  <c r="AD29" i="75"/>
  <c r="AG29" i="75"/>
  <c r="AJ29" i="75"/>
  <c r="U30" i="75"/>
  <c r="X30" i="75"/>
  <c r="AA30" i="75"/>
  <c r="AD30" i="75"/>
  <c r="AG30" i="75"/>
  <c r="AJ30" i="75"/>
  <c r="U31" i="75"/>
  <c r="X31" i="75"/>
  <c r="AA31" i="75"/>
  <c r="AD31" i="75"/>
  <c r="AG31" i="75"/>
  <c r="AJ31" i="75"/>
  <c r="U32" i="75"/>
  <c r="X32" i="75"/>
  <c r="AA32" i="75"/>
  <c r="AD32" i="75"/>
  <c r="AG32" i="75"/>
  <c r="AJ32" i="75"/>
  <c r="U22" i="75"/>
  <c r="X22" i="75"/>
  <c r="AA22" i="75"/>
  <c r="AD22" i="75"/>
  <c r="AG22" i="75"/>
  <c r="AJ22" i="75"/>
  <c r="U23" i="75"/>
  <c r="X23" i="75"/>
  <c r="AA23" i="75"/>
  <c r="AD23" i="75"/>
  <c r="AG23" i="75"/>
  <c r="AJ23" i="75"/>
  <c r="U24" i="75"/>
  <c r="X24" i="75"/>
  <c r="AA24" i="75"/>
  <c r="AD24" i="75"/>
  <c r="AG24" i="75"/>
  <c r="AJ24" i="75"/>
  <c r="U25" i="75"/>
  <c r="X25" i="75"/>
  <c r="AA25" i="75"/>
  <c r="AD25" i="75"/>
  <c r="AG25" i="75"/>
  <c r="AJ25" i="75"/>
  <c r="U26" i="75"/>
  <c r="X26" i="75"/>
  <c r="AA26" i="75"/>
  <c r="AD26" i="75"/>
  <c r="AG26" i="75"/>
  <c r="AJ26" i="75"/>
  <c r="AI11" i="75"/>
  <c r="AI90" i="52"/>
  <c r="AJ90" i="52"/>
  <c r="AK90" i="52"/>
  <c r="AL90" i="52"/>
  <c r="AM90" i="52"/>
  <c r="AN90" i="52"/>
  <c r="AO90" i="52"/>
  <c r="AP90" i="52"/>
  <c r="AQ90" i="52"/>
  <c r="AR90" i="52"/>
  <c r="AS90" i="52"/>
  <c r="AH90" i="52"/>
  <c r="T90" i="52"/>
  <c r="U90" i="52"/>
  <c r="V90" i="52"/>
  <c r="W90" i="52"/>
  <c r="X90" i="52"/>
  <c r="Y90" i="52"/>
  <c r="Z90" i="52"/>
  <c r="AA90" i="52"/>
  <c r="AB90" i="52"/>
  <c r="AC90" i="52"/>
  <c r="AD90" i="52"/>
  <c r="S90" i="52"/>
  <c r="AI53" i="37"/>
  <c r="AJ53" i="37"/>
  <c r="AK53" i="37"/>
  <c r="AL53" i="37"/>
  <c r="AM53" i="37"/>
  <c r="AN53" i="37"/>
  <c r="AO53" i="37"/>
  <c r="AP53" i="37"/>
  <c r="AQ53" i="37"/>
  <c r="AR53" i="37"/>
  <c r="AS53" i="37"/>
  <c r="AH53" i="37"/>
  <c r="T53" i="37"/>
  <c r="U53" i="37"/>
  <c r="V53" i="37"/>
  <c r="W53" i="37"/>
  <c r="X53" i="37"/>
  <c r="Y53" i="37"/>
  <c r="Z53" i="37"/>
  <c r="AA53" i="37"/>
  <c r="AB53" i="37"/>
  <c r="AC53" i="37"/>
  <c r="AD53" i="37"/>
  <c r="S53" i="37"/>
  <c r="K92" i="75"/>
  <c r="M92" i="75" s="1"/>
  <c r="K94" i="75"/>
  <c r="M94" i="75" s="1"/>
  <c r="M93" i="75"/>
  <c r="N96" i="75"/>
  <c r="P96" i="75" s="1"/>
  <c r="N89" i="75"/>
  <c r="N90" i="75"/>
  <c r="P90" i="75" s="1"/>
  <c r="N91" i="75"/>
  <c r="P91" i="75" s="1"/>
  <c r="N92" i="75"/>
  <c r="P92" i="75" s="1"/>
  <c r="N93" i="75"/>
  <c r="P93" i="75" s="1"/>
  <c r="N94" i="75"/>
  <c r="P94" i="75" s="1"/>
  <c r="N20" i="75"/>
  <c r="P20" i="75" s="1"/>
  <c r="P58" i="75"/>
  <c r="P60" i="75"/>
  <c r="P61" i="75"/>
  <c r="P62" i="75"/>
  <c r="P66" i="75"/>
  <c r="P67" i="75"/>
  <c r="P15" i="75"/>
  <c r="P16" i="75"/>
  <c r="P17" i="75"/>
  <c r="P18" i="75"/>
  <c r="P11" i="75"/>
  <c r="P6" i="75"/>
  <c r="P7" i="75"/>
  <c r="P8" i="75"/>
  <c r="P9" i="75"/>
  <c r="K96" i="75"/>
  <c r="M96" i="75" s="1"/>
  <c r="K91" i="75"/>
  <c r="M91" i="75" s="1"/>
  <c r="K90" i="75"/>
  <c r="M90" i="75" s="1"/>
  <c r="K89" i="75"/>
  <c r="M89" i="75" s="1"/>
  <c r="K88" i="75"/>
  <c r="M88" i="75" s="1"/>
  <c r="K87" i="75"/>
  <c r="M87" i="75" s="1"/>
  <c r="H94" i="75"/>
  <c r="J94" i="75" s="1"/>
  <c r="H93" i="75"/>
  <c r="J93" i="75" s="1"/>
  <c r="H92" i="75"/>
  <c r="J92" i="75" s="1"/>
  <c r="H91" i="75"/>
  <c r="J91" i="75" s="1"/>
  <c r="H90" i="75"/>
  <c r="J90" i="75" s="1"/>
  <c r="H89" i="75"/>
  <c r="J89" i="75" s="1"/>
  <c r="E94" i="75"/>
  <c r="G94" i="75" s="1"/>
  <c r="E93" i="75"/>
  <c r="G93" i="75" s="1"/>
  <c r="E92" i="75"/>
  <c r="G92" i="75" s="1"/>
  <c r="E91" i="75"/>
  <c r="G91" i="75" s="1"/>
  <c r="E90" i="75"/>
  <c r="G90" i="75" s="1"/>
  <c r="E89" i="75"/>
  <c r="G89" i="75"/>
  <c r="H16" i="73"/>
  <c r="N8" i="73"/>
  <c r="K20" i="73"/>
  <c r="F69" i="73"/>
  <c r="F52" i="73"/>
  <c r="Y102" i="73"/>
  <c r="L4" i="73"/>
  <c r="R103" i="73"/>
  <c r="G98" i="73"/>
  <c r="Y12" i="73"/>
  <c r="U16" i="73"/>
  <c r="F8" i="73"/>
  <c r="U102" i="73"/>
  <c r="AD8" i="73"/>
  <c r="F70" i="73"/>
  <c r="AA16" i="73"/>
  <c r="F93" i="73"/>
  <c r="AC8" i="73"/>
  <c r="V20" i="73"/>
  <c r="AE12" i="73"/>
  <c r="H101" i="73"/>
  <c r="F83" i="73"/>
  <c r="F73" i="73"/>
  <c r="AE8" i="73"/>
  <c r="V101" i="73"/>
  <c r="Y8" i="73"/>
  <c r="L99" i="73"/>
  <c r="R4" i="73"/>
  <c r="I102" i="73"/>
  <c r="F68" i="73"/>
  <c r="U98" i="73"/>
  <c r="AF4" i="73"/>
  <c r="G103" i="73"/>
  <c r="N20" i="73"/>
  <c r="W99" i="73"/>
  <c r="F55" i="73"/>
  <c r="M98" i="73"/>
  <c r="L98" i="73"/>
  <c r="I8" i="73"/>
  <c r="H100" i="73"/>
  <c r="Z24" i="73"/>
  <c r="T4" i="73"/>
  <c r="K16" i="73"/>
  <c r="AC100" i="73"/>
  <c r="J103" i="73"/>
  <c r="F53" i="73"/>
  <c r="U103" i="73"/>
  <c r="Z100" i="73"/>
  <c r="M20" i="73"/>
  <c r="V16" i="73"/>
  <c r="S4" i="73"/>
  <c r="AC102" i="73"/>
  <c r="M102" i="73"/>
  <c r="O24" i="73"/>
  <c r="F86" i="73"/>
  <c r="G4" i="73"/>
  <c r="F97" i="73"/>
  <c r="AF12" i="73"/>
  <c r="K32" i="73"/>
  <c r="F94" i="73"/>
  <c r="T16" i="73"/>
  <c r="O101" i="73"/>
  <c r="F90" i="73"/>
  <c r="AC98" i="73"/>
  <c r="L8" i="73"/>
  <c r="Q100" i="73"/>
  <c r="O28" i="73"/>
  <c r="G12" i="73"/>
  <c r="U12" i="73"/>
  <c r="AB8" i="73"/>
  <c r="O12" i="73"/>
  <c r="G24" i="73"/>
  <c r="V8" i="73"/>
  <c r="AE102" i="73"/>
  <c r="S99" i="73"/>
  <c r="X20" i="73"/>
  <c r="J101" i="73"/>
  <c r="Q16" i="73"/>
  <c r="AF100" i="73"/>
  <c r="M28" i="73"/>
  <c r="L20" i="73"/>
  <c r="P100" i="73"/>
  <c r="AF24" i="73"/>
  <c r="T102" i="73"/>
  <c r="AC4" i="73"/>
  <c r="AD103" i="73"/>
  <c r="F50" i="73"/>
  <c r="Q98" i="73"/>
  <c r="Z16" i="73"/>
  <c r="AE28" i="73"/>
  <c r="O16" i="73"/>
  <c r="AD32" i="73"/>
  <c r="N4" i="73"/>
  <c r="AF8" i="73"/>
  <c r="I100" i="73"/>
  <c r="U99" i="73"/>
  <c r="AA8" i="73"/>
  <c r="AA32" i="73"/>
  <c r="J32" i="73"/>
  <c r="AB12" i="73"/>
  <c r="R24" i="73"/>
  <c r="G99" i="73"/>
  <c r="AD98" i="73"/>
  <c r="M24" i="73"/>
  <c r="X24" i="73"/>
  <c r="K101" i="73"/>
  <c r="Y32" i="73"/>
  <c r="R16" i="73"/>
  <c r="P28" i="73"/>
  <c r="F67" i="73"/>
  <c r="F16" i="73"/>
  <c r="F38" i="73"/>
  <c r="F91" i="73"/>
  <c r="AE99" i="73"/>
  <c r="T99" i="73"/>
  <c r="H8" i="73"/>
  <c r="J8" i="73"/>
  <c r="AC16" i="73"/>
  <c r="R101" i="73"/>
  <c r="N102" i="73"/>
  <c r="F101" i="73"/>
  <c r="K24" i="73"/>
  <c r="I32" i="73"/>
  <c r="F12" i="73"/>
  <c r="F20" i="73"/>
  <c r="AF28" i="73"/>
  <c r="Q12" i="73"/>
  <c r="L16" i="73"/>
  <c r="AB102" i="73"/>
  <c r="U4" i="73"/>
  <c r="Y101" i="73"/>
  <c r="AB98" i="73"/>
  <c r="W24" i="73"/>
  <c r="AD100" i="73"/>
  <c r="S32" i="73"/>
  <c r="G102" i="73"/>
  <c r="Q24" i="73"/>
  <c r="F35" i="73"/>
  <c r="X4" i="73"/>
  <c r="AB4" i="73"/>
  <c r="V102" i="73"/>
  <c r="S12" i="73"/>
  <c r="AD102" i="73"/>
  <c r="K12" i="73"/>
  <c r="J28" i="73"/>
  <c r="AC20" i="73"/>
  <c r="AB20" i="73"/>
  <c r="F51" i="73"/>
  <c r="Z99" i="73"/>
  <c r="AE20" i="73"/>
  <c r="K98" i="73"/>
  <c r="S98" i="73"/>
  <c r="Q102" i="73"/>
  <c r="W20" i="73"/>
  <c r="R100" i="73"/>
  <c r="N16" i="73"/>
  <c r="F71" i="73"/>
  <c r="X100" i="73"/>
  <c r="U8" i="73"/>
  <c r="R12" i="73"/>
  <c r="I20" i="73"/>
  <c r="H28" i="73"/>
  <c r="S103" i="73"/>
  <c r="L102" i="73"/>
  <c r="J98" i="73"/>
  <c r="X16" i="73"/>
  <c r="Q99" i="73"/>
  <c r="AF102" i="73"/>
  <c r="F36" i="73"/>
  <c r="Z8" i="73"/>
  <c r="T101" i="73"/>
  <c r="M8" i="73"/>
  <c r="P103" i="73"/>
  <c r="V99" i="73"/>
  <c r="L24" i="73"/>
  <c r="J16" i="73"/>
  <c r="H4" i="73"/>
  <c r="Q4" i="73"/>
  <c r="I101" i="73"/>
  <c r="H99" i="73"/>
  <c r="Y28" i="73"/>
  <c r="K99" i="73"/>
  <c r="G16" i="73"/>
  <c r="J99" i="73"/>
  <c r="U28" i="73"/>
  <c r="AA99" i="73"/>
  <c r="X98" i="73"/>
  <c r="AE24" i="73"/>
  <c r="P12" i="73"/>
  <c r="N12" i="73"/>
  <c r="Z32" i="73"/>
  <c r="F32" i="73"/>
  <c r="W4" i="73"/>
  <c r="S101" i="73"/>
  <c r="P101" i="73"/>
  <c r="T100" i="73"/>
  <c r="N32" i="73"/>
  <c r="X8" i="73"/>
  <c r="Z20" i="73"/>
  <c r="AD24" i="73"/>
  <c r="S24" i="73"/>
  <c r="M12" i="73"/>
  <c r="G20" i="73"/>
  <c r="AF103" i="73"/>
  <c r="K103" i="73"/>
  <c r="H20" i="73"/>
  <c r="AC24" i="73"/>
  <c r="AB28" i="73"/>
  <c r="AD16" i="73"/>
  <c r="Y100" i="73"/>
  <c r="U32" i="73"/>
  <c r="AA102" i="73"/>
  <c r="O103" i="73"/>
  <c r="N103" i="73"/>
  <c r="W101" i="73"/>
  <c r="F103" i="73"/>
  <c r="X99" i="73"/>
  <c r="Z102" i="73"/>
  <c r="V4" i="73"/>
  <c r="R102" i="73"/>
  <c r="J12" i="73"/>
  <c r="AB100" i="73"/>
  <c r="G101" i="73"/>
  <c r="T103" i="73"/>
  <c r="AE101" i="73"/>
  <c r="S102" i="73"/>
  <c r="K8" i="73"/>
  <c r="F92" i="73"/>
  <c r="F100" i="73"/>
  <c r="AA24" i="73"/>
  <c r="R20" i="73"/>
  <c r="Z28" i="73"/>
  <c r="M99" i="73"/>
  <c r="P32" i="73"/>
  <c r="AA103" i="73"/>
  <c r="H102" i="73"/>
  <c r="M32" i="73"/>
  <c r="O102" i="73"/>
  <c r="O8" i="73"/>
  <c r="I4" i="73"/>
  <c r="R99" i="73"/>
  <c r="F96" i="73"/>
  <c r="F99" i="73"/>
  <c r="AB99" i="73"/>
  <c r="F98" i="73"/>
  <c r="N100" i="73"/>
  <c r="T28" i="73"/>
  <c r="P98" i="73"/>
  <c r="AA28" i="73"/>
  <c r="F57" i="73"/>
  <c r="AB101" i="73"/>
  <c r="Z101" i="73"/>
  <c r="P8" i="73"/>
  <c r="AC103" i="73"/>
  <c r="AC101" i="73"/>
  <c r="J20" i="73"/>
  <c r="M100" i="73"/>
  <c r="O32" i="73"/>
  <c r="H103" i="73"/>
  <c r="L28" i="73"/>
  <c r="P24" i="73"/>
  <c r="O100" i="73"/>
  <c r="T24" i="73"/>
  <c r="Q103" i="73"/>
  <c r="AA12" i="73"/>
  <c r="J4" i="73"/>
  <c r="AE103" i="73"/>
  <c r="Y98" i="73"/>
  <c r="J102" i="73"/>
  <c r="AF101" i="73"/>
  <c r="S28" i="73"/>
  <c r="F54" i="73"/>
  <c r="K4" i="73"/>
  <c r="J100" i="73"/>
  <c r="F89" i="73"/>
  <c r="R28" i="73"/>
  <c r="N24" i="73"/>
  <c r="W32" i="73"/>
  <c r="V24" i="73"/>
  <c r="V12" i="73"/>
  <c r="F41" i="73"/>
  <c r="V100" i="73"/>
  <c r="P4" i="73"/>
  <c r="F72" i="73"/>
  <c r="I12" i="73"/>
  <c r="X102" i="73"/>
  <c r="AE100" i="73"/>
  <c r="AF16" i="73"/>
  <c r="F56" i="73"/>
  <c r="K102" i="73"/>
  <c r="Q20" i="73"/>
  <c r="AF20" i="73"/>
  <c r="M103" i="73"/>
  <c r="U101" i="73"/>
  <c r="AC28" i="73"/>
  <c r="V32" i="73"/>
  <c r="I99" i="73"/>
  <c r="G28" i="73"/>
  <c r="O98" i="73"/>
  <c r="Z12" i="73"/>
  <c r="AD28" i="73"/>
  <c r="W16" i="73"/>
  <c r="L101" i="73"/>
  <c r="F102" i="73"/>
  <c r="F37" i="73"/>
  <c r="V103" i="73"/>
  <c r="T98" i="73"/>
  <c r="T8" i="73"/>
  <c r="AE32" i="73"/>
  <c r="AA98" i="73"/>
  <c r="AB103" i="73"/>
  <c r="W28" i="73"/>
  <c r="Q101" i="73"/>
  <c r="W102" i="73"/>
  <c r="AD20" i="73"/>
  <c r="X103" i="73"/>
  <c r="S20" i="73"/>
  <c r="I98" i="73"/>
  <c r="H24" i="73"/>
  <c r="J24" i="73"/>
  <c r="AC12" i="73"/>
  <c r="S8" i="73"/>
  <c r="AA4" i="73"/>
  <c r="I28" i="73"/>
  <c r="AA100" i="73"/>
  <c r="F82" i="73"/>
  <c r="I16" i="73"/>
  <c r="Q32" i="73"/>
  <c r="H98" i="73"/>
  <c r="X101" i="73"/>
  <c r="S100" i="73"/>
  <c r="AE4" i="73"/>
  <c r="W103" i="73"/>
  <c r="I24" i="73"/>
  <c r="Y24" i="73"/>
  <c r="G100" i="73"/>
  <c r="G8" i="73"/>
  <c r="N99" i="73"/>
  <c r="AA20" i="73"/>
  <c r="Q28" i="73"/>
  <c r="K28" i="73"/>
  <c r="Y103" i="73"/>
  <c r="L12" i="73"/>
  <c r="AE16" i="73"/>
  <c r="AF32" i="73"/>
  <c r="AB24" i="73"/>
  <c r="Z4" i="73"/>
  <c r="P20" i="73"/>
  <c r="L103" i="73"/>
  <c r="R8" i="73"/>
  <c r="AD12" i="73"/>
  <c r="O4" i="73"/>
  <c r="AD99" i="73"/>
  <c r="M4" i="73"/>
  <c r="U24" i="73"/>
  <c r="H32" i="73"/>
  <c r="U100" i="73"/>
  <c r="I103" i="73"/>
  <c r="F4" i="73"/>
  <c r="X12" i="73"/>
  <c r="H12" i="73"/>
  <c r="AE98" i="73"/>
  <c r="W100" i="73"/>
  <c r="AB32" i="73"/>
  <c r="Q8" i="73"/>
  <c r="W12" i="73"/>
  <c r="T12" i="73"/>
  <c r="X32" i="73"/>
  <c r="R32" i="73"/>
  <c r="F34" i="73"/>
  <c r="M101" i="73"/>
  <c r="Y20" i="73"/>
  <c r="V28" i="73"/>
  <c r="F85" i="73"/>
  <c r="Z103" i="73"/>
  <c r="W98" i="73"/>
  <c r="F66" i="73"/>
  <c r="AB16" i="73"/>
  <c r="AC99" i="73"/>
  <c r="AF98" i="73"/>
  <c r="Y4" i="73"/>
  <c r="Y16" i="73"/>
  <c r="F84" i="73"/>
  <c r="P99" i="73"/>
  <c r="R98" i="73"/>
  <c r="T20" i="73"/>
  <c r="Y99" i="73"/>
  <c r="F24" i="73"/>
  <c r="O99" i="73"/>
  <c r="V98" i="73"/>
  <c r="F28" i="73"/>
  <c r="W8" i="73"/>
  <c r="S16" i="73"/>
  <c r="M16" i="73"/>
  <c r="T32" i="73"/>
  <c r="AD4" i="73"/>
  <c r="N98" i="73"/>
  <c r="P102" i="73"/>
  <c r="L100" i="73"/>
  <c r="N101" i="73"/>
  <c r="AA101" i="73"/>
  <c r="G32" i="73"/>
  <c r="L32" i="73"/>
  <c r="O20" i="73"/>
  <c r="X28" i="73"/>
  <c r="N28" i="73"/>
  <c r="AF99" i="73"/>
  <c r="U20" i="73"/>
  <c r="AC32" i="73"/>
  <c r="K100" i="73"/>
  <c r="P16" i="73"/>
  <c r="AD101" i="73"/>
  <c r="Z98" i="73"/>
  <c r="AH272" i="76" l="1"/>
  <c r="AI270" i="76"/>
  <c r="AX270" i="76"/>
  <c r="AW272" i="76"/>
  <c r="AX291" i="76"/>
  <c r="AI291" i="76"/>
  <c r="AF249" i="76"/>
  <c r="AG249" i="76"/>
  <c r="P89" i="75"/>
  <c r="AX272" i="76" l="1"/>
  <c r="AI272" i="76"/>
  <c r="AV212" i="30"/>
  <c r="AU212" i="30"/>
  <c r="AT212" i="30"/>
  <c r="AS212" i="30"/>
  <c r="AR212" i="30"/>
  <c r="AQ212" i="30"/>
  <c r="AP212" i="30"/>
  <c r="AO212" i="30"/>
  <c r="AN212" i="30"/>
  <c r="AM212" i="30"/>
  <c r="AL212" i="30"/>
  <c r="AK212" i="30"/>
  <c r="AV211" i="30"/>
  <c r="AU211" i="30"/>
  <c r="AT211" i="30"/>
  <c r="AS211" i="30"/>
  <c r="AR211" i="30"/>
  <c r="AQ211" i="30"/>
  <c r="AP211" i="30"/>
  <c r="AO211" i="30"/>
  <c r="AN211" i="30"/>
  <c r="AM211" i="30"/>
  <c r="AL211" i="30"/>
  <c r="AK211" i="30"/>
  <c r="AV210" i="30"/>
  <c r="AU210" i="30"/>
  <c r="AT210" i="30"/>
  <c r="AS210" i="30"/>
  <c r="AR210" i="30"/>
  <c r="AQ210" i="30"/>
  <c r="AP210" i="30"/>
  <c r="AO210" i="30"/>
  <c r="AN210" i="30"/>
  <c r="AM210" i="30"/>
  <c r="AL210" i="30"/>
  <c r="AK210" i="30"/>
  <c r="AV209" i="30"/>
  <c r="AU209" i="30"/>
  <c r="AT209" i="30"/>
  <c r="AS209" i="30"/>
  <c r="AR209" i="30"/>
  <c r="AQ209" i="30"/>
  <c r="AP209" i="30"/>
  <c r="AO209" i="30"/>
  <c r="AN209" i="30"/>
  <c r="AM209" i="30"/>
  <c r="AL209" i="30"/>
  <c r="AK209" i="30"/>
  <c r="Q94" i="30"/>
  <c r="P94" i="30"/>
  <c r="O94" i="30"/>
  <c r="M94" i="30"/>
  <c r="L94" i="30"/>
  <c r="K94" i="30"/>
  <c r="J94" i="30"/>
  <c r="I94" i="30"/>
  <c r="H94" i="30"/>
  <c r="G94" i="30"/>
  <c r="N94" i="30"/>
  <c r="R101" i="30"/>
  <c r="R100" i="30"/>
  <c r="R99" i="30"/>
  <c r="R98" i="30"/>
  <c r="R97" i="30"/>
  <c r="AP213" i="30" l="1"/>
  <c r="AO213" i="30"/>
  <c r="AT213" i="30"/>
  <c r="AS213" i="30"/>
  <c r="AW209" i="30"/>
  <c r="AV213" i="30"/>
  <c r="AW210" i="30"/>
  <c r="AR213" i="30"/>
  <c r="AL213" i="30"/>
  <c r="AM213" i="30"/>
  <c r="AN213" i="30"/>
  <c r="AW211" i="30"/>
  <c r="AQ213" i="30"/>
  <c r="AW212" i="30"/>
  <c r="AK213" i="30"/>
  <c r="AU213" i="30"/>
  <c r="AW213" i="30" l="1"/>
  <c r="AG212" i="30" l="1"/>
  <c r="AX212" i="30" s="1"/>
  <c r="AF212" i="30"/>
  <c r="AE212" i="30"/>
  <c r="AD212" i="30"/>
  <c r="AC212" i="30"/>
  <c r="AB212" i="30"/>
  <c r="AA212" i="30"/>
  <c r="Z212" i="30"/>
  <c r="Y212" i="30"/>
  <c r="X212" i="30"/>
  <c r="W212" i="30"/>
  <c r="V212" i="30"/>
  <c r="AG211" i="30"/>
  <c r="AX211" i="30" s="1"/>
  <c r="AF211" i="30"/>
  <c r="AE211" i="30"/>
  <c r="AD211" i="30"/>
  <c r="AC211" i="30"/>
  <c r="AB211" i="30"/>
  <c r="AA211" i="30"/>
  <c r="Z211" i="30"/>
  <c r="Y211" i="30"/>
  <c r="X211" i="30"/>
  <c r="W211" i="30"/>
  <c r="V211" i="30"/>
  <c r="AG210" i="30"/>
  <c r="AX210" i="30" s="1"/>
  <c r="AF210" i="30"/>
  <c r="AE210" i="30"/>
  <c r="AD210" i="30"/>
  <c r="AC210" i="30"/>
  <c r="AB210" i="30"/>
  <c r="AA210" i="30"/>
  <c r="Z210" i="30"/>
  <c r="Y210" i="30"/>
  <c r="X210" i="30"/>
  <c r="W210" i="30"/>
  <c r="V210" i="30"/>
  <c r="AG209" i="30"/>
  <c r="AX209" i="30" s="1"/>
  <c r="AF209" i="30"/>
  <c r="AE209" i="30"/>
  <c r="AD209" i="30"/>
  <c r="AC209" i="30"/>
  <c r="AB209" i="30"/>
  <c r="AA209" i="30"/>
  <c r="Z209" i="30"/>
  <c r="Y209" i="30"/>
  <c r="X209" i="30"/>
  <c r="W209" i="30"/>
  <c r="V209" i="30"/>
  <c r="Q212" i="30"/>
  <c r="P212" i="30"/>
  <c r="O212" i="30"/>
  <c r="N212" i="30"/>
  <c r="M212" i="30"/>
  <c r="L212" i="30"/>
  <c r="K212" i="30"/>
  <c r="J212" i="30"/>
  <c r="I212" i="30"/>
  <c r="H212" i="30"/>
  <c r="G212" i="30"/>
  <c r="Q211" i="30"/>
  <c r="P211" i="30"/>
  <c r="O211" i="30"/>
  <c r="N211" i="30"/>
  <c r="M211" i="30"/>
  <c r="L211" i="30"/>
  <c r="K211" i="30"/>
  <c r="J211" i="30"/>
  <c r="I211" i="30"/>
  <c r="H211" i="30"/>
  <c r="G211" i="30"/>
  <c r="Q210" i="30"/>
  <c r="P210" i="30"/>
  <c r="O210" i="30"/>
  <c r="N210" i="30"/>
  <c r="M210" i="30"/>
  <c r="L210" i="30"/>
  <c r="K210" i="30"/>
  <c r="J210" i="30"/>
  <c r="I210" i="30"/>
  <c r="H210" i="30"/>
  <c r="G210" i="30"/>
  <c r="Q209" i="30"/>
  <c r="P209" i="30"/>
  <c r="O209" i="30"/>
  <c r="N209" i="30"/>
  <c r="M209" i="30"/>
  <c r="L209" i="30"/>
  <c r="K209" i="30"/>
  <c r="J209" i="30"/>
  <c r="I209" i="30"/>
  <c r="H209" i="30"/>
  <c r="G209" i="30"/>
  <c r="B218" i="30"/>
  <c r="B216" i="30"/>
  <c r="B215" i="30"/>
  <c r="P4" i="30"/>
  <c r="O4" i="30"/>
  <c r="N4" i="30"/>
  <c r="M4" i="30"/>
  <c r="L4" i="30"/>
  <c r="K4" i="30"/>
  <c r="J4" i="30"/>
  <c r="I4" i="30"/>
  <c r="H4" i="30"/>
  <c r="G4" i="30"/>
  <c r="F218" i="30" l="1"/>
  <c r="F216" i="30"/>
  <c r="F215" i="30"/>
  <c r="AM216" i="30"/>
  <c r="AN216" i="30"/>
  <c r="AQ216" i="30"/>
  <c r="AT216" i="30"/>
  <c r="AO216" i="30"/>
  <c r="AV216" i="30"/>
  <c r="AU216" i="30"/>
  <c r="AP216" i="30"/>
  <c r="AR216" i="30"/>
  <c r="AS216" i="30"/>
  <c r="AL216" i="30"/>
  <c r="AK216" i="30"/>
  <c r="AS217" i="30"/>
  <c r="AK217" i="30"/>
  <c r="AQ217" i="30"/>
  <c r="AP217" i="30"/>
  <c r="AV217" i="30"/>
  <c r="AR217" i="30"/>
  <c r="AT217" i="30"/>
  <c r="AM217" i="30"/>
  <c r="AU217" i="30"/>
  <c r="AO217" i="30"/>
  <c r="AN217" i="30"/>
  <c r="AL217" i="30"/>
  <c r="AU218" i="30"/>
  <c r="AT218" i="30"/>
  <c r="AM218" i="30"/>
  <c r="AN218" i="30"/>
  <c r="AS218" i="30"/>
  <c r="AQ218" i="30"/>
  <c r="AK218" i="30"/>
  <c r="AO218" i="30"/>
  <c r="AL218" i="30"/>
  <c r="AP218" i="30"/>
  <c r="AV218" i="30"/>
  <c r="AR218" i="30"/>
  <c r="V215" i="30"/>
  <c r="AP215" i="30"/>
  <c r="AM215" i="30"/>
  <c r="AR215" i="30"/>
  <c r="AS215" i="30"/>
  <c r="AV215" i="30"/>
  <c r="AN215" i="30"/>
  <c r="AT215" i="30"/>
  <c r="AO215" i="30"/>
  <c r="AQ215" i="30"/>
  <c r="AL215" i="30"/>
  <c r="AK215" i="30"/>
  <c r="AU215" i="30"/>
  <c r="Z217" i="30"/>
  <c r="X216" i="30"/>
  <c r="AG218" i="30"/>
  <c r="AA215" i="30"/>
  <c r="V218" i="30"/>
  <c r="AA216" i="30"/>
  <c r="Y217" i="30"/>
  <c r="AE215" i="30"/>
  <c r="AA217" i="30"/>
  <c r="Y218" i="30"/>
  <c r="W218" i="30"/>
  <c r="AF215" i="30"/>
  <c r="AD216" i="30"/>
  <c r="Z218" i="30"/>
  <c r="X218" i="30"/>
  <c r="Y215" i="30"/>
  <c r="W215" i="30"/>
  <c r="AG215" i="30"/>
  <c r="AE216" i="30"/>
  <c r="AC217" i="30"/>
  <c r="AB216" i="30"/>
  <c r="X215" i="30"/>
  <c r="V216" i="30"/>
  <c r="AF216" i="30"/>
  <c r="AD217" i="30"/>
  <c r="AB218" i="30"/>
  <c r="AC216" i="30"/>
  <c r="W216" i="30"/>
  <c r="AE217" i="30"/>
  <c r="AE218" i="30"/>
  <c r="X217" i="30"/>
  <c r="AF218" i="30"/>
  <c r="AD213" i="30"/>
  <c r="AB217" i="30"/>
  <c r="R210" i="30"/>
  <c r="AH212" i="30"/>
  <c r="AE213" i="30"/>
  <c r="AB215" i="30"/>
  <c r="Y216" i="30"/>
  <c r="V217" i="30"/>
  <c r="AF217" i="30"/>
  <c r="AC218" i="30"/>
  <c r="V213" i="30"/>
  <c r="AC215" i="30"/>
  <c r="Z216" i="30"/>
  <c r="W217" i="30"/>
  <c r="AD218" i="30"/>
  <c r="AH209" i="30"/>
  <c r="AF213" i="30"/>
  <c r="AG217" i="30"/>
  <c r="W213" i="30"/>
  <c r="AG213" i="30"/>
  <c r="AX213" i="30" s="1"/>
  <c r="AD215" i="30"/>
  <c r="X213" i="30"/>
  <c r="AH210" i="30"/>
  <c r="Y213" i="30"/>
  <c r="Z213" i="30"/>
  <c r="AH211" i="30"/>
  <c r="AA213" i="30"/>
  <c r="AB213" i="30"/>
  <c r="AC213" i="30"/>
  <c r="Z215" i="30"/>
  <c r="AG216" i="30"/>
  <c r="AA218" i="30"/>
  <c r="R211" i="30"/>
  <c r="L213" i="30"/>
  <c r="K216" i="30"/>
  <c r="J215" i="30"/>
  <c r="I213" i="30"/>
  <c r="H217" i="30"/>
  <c r="G218" i="30"/>
  <c r="Q218" i="30"/>
  <c r="R212" i="30"/>
  <c r="K213" i="30"/>
  <c r="J213" i="30"/>
  <c r="I217" i="30"/>
  <c r="M215" i="30"/>
  <c r="M218" i="30"/>
  <c r="Q215" i="30"/>
  <c r="O217" i="30"/>
  <c r="N218" i="30"/>
  <c r="R209" i="30"/>
  <c r="G216" i="30"/>
  <c r="Q216" i="30"/>
  <c r="P217" i="30"/>
  <c r="I215" i="30"/>
  <c r="H216" i="30"/>
  <c r="P218" i="30"/>
  <c r="M213" i="30"/>
  <c r="K215" i="30"/>
  <c r="I216" i="30"/>
  <c r="G217" i="30"/>
  <c r="Q217" i="30"/>
  <c r="O218" i="30"/>
  <c r="N213" i="30"/>
  <c r="L215" i="30"/>
  <c r="J216" i="30"/>
  <c r="O213" i="30"/>
  <c r="P213" i="30"/>
  <c r="N215" i="30"/>
  <c r="L216" i="30"/>
  <c r="J217" i="30"/>
  <c r="H218" i="30"/>
  <c r="G213" i="30"/>
  <c r="Q213" i="30"/>
  <c r="O215" i="30"/>
  <c r="M216" i="30"/>
  <c r="K217" i="30"/>
  <c r="I218" i="30"/>
  <c r="H213" i="30"/>
  <c r="P215" i="30"/>
  <c r="N216" i="30"/>
  <c r="L217" i="30"/>
  <c r="J218" i="30"/>
  <c r="G215" i="30"/>
  <c r="O216" i="30"/>
  <c r="K218" i="30"/>
  <c r="M217" i="30"/>
  <c r="P216" i="30"/>
  <c r="L218" i="30"/>
  <c r="H215" i="30"/>
  <c r="N217" i="30"/>
  <c r="F219" i="30" l="1"/>
  <c r="F221" i="30" s="1"/>
  <c r="AI210" i="30"/>
  <c r="AW237" i="30"/>
  <c r="AX237" i="30" s="1"/>
  <c r="F240" i="30"/>
  <c r="AW216" i="30"/>
  <c r="AX216" i="30" s="1"/>
  <c r="AW238" i="30"/>
  <c r="AX238" i="30" s="1"/>
  <c r="AW235" i="30"/>
  <c r="AX235" i="30" s="1"/>
  <c r="AK240" i="30"/>
  <c r="AW232" i="30"/>
  <c r="AX232" i="30" s="1"/>
  <c r="AT240" i="30"/>
  <c r="AU240" i="30"/>
  <c r="AM240" i="30"/>
  <c r="AO240" i="30"/>
  <c r="AQ240" i="30"/>
  <c r="AL240" i="30"/>
  <c r="AW239" i="30"/>
  <c r="AX239" i="30" s="1"/>
  <c r="AS240" i="30"/>
  <c r="AW236" i="30"/>
  <c r="AX236" i="30" s="1"/>
  <c r="AW233" i="30"/>
  <c r="AX233" i="30" s="1"/>
  <c r="AN240" i="30"/>
  <c r="AP240" i="30"/>
  <c r="AW234" i="30"/>
  <c r="AX234" i="30" s="1"/>
  <c r="AV240" i="30"/>
  <c r="AR240" i="30"/>
  <c r="V219" i="30"/>
  <c r="V221" i="30" s="1"/>
  <c r="AW217" i="30"/>
  <c r="AX217" i="30" s="1"/>
  <c r="AT219" i="30"/>
  <c r="AT221" i="30" s="1"/>
  <c r="AV219" i="30"/>
  <c r="AV221" i="30" s="1"/>
  <c r="AR219" i="30"/>
  <c r="AR221" i="30" s="1"/>
  <c r="AU219" i="30"/>
  <c r="AU221" i="30" s="1"/>
  <c r="AM219" i="30"/>
  <c r="AM221" i="30" s="1"/>
  <c r="AP219" i="30"/>
  <c r="AP221" i="30" s="1"/>
  <c r="AW218" i="30"/>
  <c r="AX218" i="30" s="1"/>
  <c r="AL219" i="30"/>
  <c r="AL221" i="30" s="1"/>
  <c r="AQ219" i="30"/>
  <c r="AQ221" i="30" s="1"/>
  <c r="AO219" i="30"/>
  <c r="AO221" i="30" s="1"/>
  <c r="AN219" i="30"/>
  <c r="AN221" i="30" s="1"/>
  <c r="AS219" i="30"/>
  <c r="AS221" i="30" s="1"/>
  <c r="AW215" i="30"/>
  <c r="AX215" i="30" s="1"/>
  <c r="AK219" i="30"/>
  <c r="X219" i="30"/>
  <c r="X221" i="30" s="1"/>
  <c r="AI209" i="30"/>
  <c r="AI211" i="30"/>
  <c r="AA219" i="30"/>
  <c r="AA221" i="30" s="1"/>
  <c r="AI212" i="30"/>
  <c r="AC219" i="30"/>
  <c r="AC221" i="30" s="1"/>
  <c r="AE219" i="30"/>
  <c r="AE221" i="30" s="1"/>
  <c r="W219" i="30"/>
  <c r="W221" i="30" s="1"/>
  <c r="AG219" i="30"/>
  <c r="AG221" i="30" s="1"/>
  <c r="Y219" i="30"/>
  <c r="Y221" i="30" s="1"/>
  <c r="AB219" i="30"/>
  <c r="AB221" i="30" s="1"/>
  <c r="AH216" i="30"/>
  <c r="AF219" i="30"/>
  <c r="AF221" i="30" s="1"/>
  <c r="AD219" i="30"/>
  <c r="AD221" i="30" s="1"/>
  <c r="L219" i="30"/>
  <c r="L221" i="30" s="1"/>
  <c r="R218" i="30"/>
  <c r="AH213" i="30"/>
  <c r="AH215" i="30"/>
  <c r="Z219" i="30"/>
  <c r="AH217" i="30"/>
  <c r="AH218" i="30"/>
  <c r="N219" i="30"/>
  <c r="N221" i="30" s="1"/>
  <c r="R238" i="30"/>
  <c r="R215" i="30"/>
  <c r="R216" i="30"/>
  <c r="R239" i="30"/>
  <c r="R217" i="30"/>
  <c r="J219" i="30"/>
  <c r="J221" i="30" s="1"/>
  <c r="I219" i="30"/>
  <c r="I221" i="30" s="1"/>
  <c r="R213" i="30"/>
  <c r="M219" i="30"/>
  <c r="M221" i="30" s="1"/>
  <c r="P219" i="30"/>
  <c r="P221" i="30" s="1"/>
  <c r="Q219" i="30"/>
  <c r="Q221" i="30" s="1"/>
  <c r="O219" i="30"/>
  <c r="O221" i="30" s="1"/>
  <c r="G219" i="30"/>
  <c r="G221" i="30" s="1"/>
  <c r="K219" i="30"/>
  <c r="K221" i="30" s="1"/>
  <c r="H219" i="30"/>
  <c r="H221" i="30" s="1"/>
  <c r="AW240" i="30" l="1"/>
  <c r="AI216" i="30"/>
  <c r="AW219" i="30"/>
  <c r="AX219" i="30" s="1"/>
  <c r="AK221" i="30"/>
  <c r="AI218" i="30"/>
  <c r="AI215" i="30"/>
  <c r="AI213" i="30"/>
  <c r="AI217" i="30"/>
  <c r="AI239" i="30"/>
  <c r="AH219" i="30"/>
  <c r="Z221" i="30"/>
  <c r="R219" i="30"/>
  <c r="R221" i="30" s="1"/>
  <c r="AI219" i="30" l="1"/>
  <c r="AW221" i="30"/>
  <c r="AX221" i="30" s="1"/>
  <c r="AH221" i="30"/>
  <c r="AI221" i="30" s="1"/>
  <c r="V46" i="67" l="1"/>
  <c r="W46" i="67" s="1"/>
  <c r="X46" i="67" s="1"/>
  <c r="Y46" i="67" s="1"/>
  <c r="Z46" i="67" s="1"/>
  <c r="AA46" i="67" s="1"/>
  <c r="AB46" i="67" s="1"/>
  <c r="AC46" i="67" s="1"/>
  <c r="AD46" i="67" s="1"/>
  <c r="AE46" i="67" s="1"/>
  <c r="AF46" i="67" s="1"/>
  <c r="V49" i="67"/>
  <c r="W49" i="67"/>
  <c r="X49" i="67" s="1"/>
  <c r="Y49" i="67" s="1"/>
  <c r="Z49" i="67" s="1"/>
  <c r="AA49" i="67" s="1"/>
  <c r="AB49" i="67" s="1"/>
  <c r="AC49" i="67" s="1"/>
  <c r="AD49" i="67" s="1"/>
  <c r="AE49" i="67" s="1"/>
  <c r="AF49" i="67" s="1"/>
  <c r="N88" i="72"/>
  <c r="V37" i="67"/>
  <c r="W37" i="67" s="1"/>
  <c r="X37" i="67" s="1"/>
  <c r="Y37" i="67" s="1"/>
  <c r="Z37" i="67" s="1"/>
  <c r="AA37" i="67" s="1"/>
  <c r="AB37" i="67" s="1"/>
  <c r="AC37" i="67" s="1"/>
  <c r="AD37" i="67" s="1"/>
  <c r="AE37" i="67" s="1"/>
  <c r="AF37" i="67" s="1"/>
  <c r="U52" i="67"/>
  <c r="V52" i="67" s="1"/>
  <c r="W52" i="67" s="1"/>
  <c r="X52" i="67" s="1"/>
  <c r="Y52" i="67" s="1"/>
  <c r="Z52" i="67" s="1"/>
  <c r="AA52" i="67" s="1"/>
  <c r="AB52" i="67" s="1"/>
  <c r="AC52" i="67" s="1"/>
  <c r="AD52" i="67" s="1"/>
  <c r="AE52" i="67" s="1"/>
  <c r="AF52" i="67" s="1"/>
  <c r="U51" i="67"/>
  <c r="V51" i="67" s="1"/>
  <c r="W51" i="67" s="1"/>
  <c r="X51" i="67" s="1"/>
  <c r="Y51" i="67" s="1"/>
  <c r="Z51" i="67" s="1"/>
  <c r="AA51" i="67" s="1"/>
  <c r="AB51" i="67" s="1"/>
  <c r="AC51" i="67" s="1"/>
  <c r="AD51" i="67" s="1"/>
  <c r="AE51" i="67" s="1"/>
  <c r="AF51" i="67" s="1"/>
  <c r="U50" i="67"/>
  <c r="V50" i="67" s="1"/>
  <c r="W50" i="67" s="1"/>
  <c r="X50" i="67" s="1"/>
  <c r="Y50" i="67" s="1"/>
  <c r="Z50" i="67" s="1"/>
  <c r="AA50" i="67" s="1"/>
  <c r="AB50" i="67" s="1"/>
  <c r="AC50" i="67" s="1"/>
  <c r="AD50" i="67" s="1"/>
  <c r="AE50" i="67" s="1"/>
  <c r="AF50" i="67" s="1"/>
  <c r="U49" i="67"/>
  <c r="U48" i="67"/>
  <c r="V48" i="67" s="1"/>
  <c r="W48" i="67" s="1"/>
  <c r="X48" i="67" s="1"/>
  <c r="Y48" i="67" s="1"/>
  <c r="Z48" i="67" s="1"/>
  <c r="AA48" i="67" s="1"/>
  <c r="AB48" i="67" s="1"/>
  <c r="AC48" i="67" s="1"/>
  <c r="AD48" i="67" s="1"/>
  <c r="AE48" i="67" s="1"/>
  <c r="AF48" i="67" s="1"/>
  <c r="U47" i="67"/>
  <c r="V47" i="67" s="1"/>
  <c r="W47" i="67" s="1"/>
  <c r="X47" i="67" s="1"/>
  <c r="Y47" i="67" s="1"/>
  <c r="Z47" i="67" s="1"/>
  <c r="AA47" i="67" s="1"/>
  <c r="AB47" i="67" s="1"/>
  <c r="AC47" i="67" s="1"/>
  <c r="AD47" i="67" s="1"/>
  <c r="AE47" i="67" s="1"/>
  <c r="AF47" i="67" s="1"/>
  <c r="U46" i="67"/>
  <c r="U44" i="67"/>
  <c r="V44" i="67" s="1"/>
  <c r="W44" i="67" s="1"/>
  <c r="X44" i="67" s="1"/>
  <c r="Y44" i="67" s="1"/>
  <c r="Z44" i="67" s="1"/>
  <c r="AA44" i="67" s="1"/>
  <c r="AB44" i="67" s="1"/>
  <c r="AC44" i="67" s="1"/>
  <c r="AD44" i="67" s="1"/>
  <c r="AE44" i="67" s="1"/>
  <c r="AF44" i="67" s="1"/>
  <c r="U43" i="67"/>
  <c r="V43" i="67" s="1"/>
  <c r="W43" i="67" s="1"/>
  <c r="X43" i="67" s="1"/>
  <c r="Y43" i="67" s="1"/>
  <c r="Z43" i="67" s="1"/>
  <c r="AA43" i="67" s="1"/>
  <c r="AB43" i="67" s="1"/>
  <c r="AC43" i="67" s="1"/>
  <c r="AD43" i="67" s="1"/>
  <c r="AE43" i="67" s="1"/>
  <c r="AF43" i="67" s="1"/>
  <c r="U38" i="67"/>
  <c r="V38" i="67" s="1"/>
  <c r="W38" i="67" s="1"/>
  <c r="X38" i="67" s="1"/>
  <c r="Y38" i="67" s="1"/>
  <c r="Z38" i="67" s="1"/>
  <c r="AA38" i="67" s="1"/>
  <c r="AB38" i="67" s="1"/>
  <c r="AC38" i="67" s="1"/>
  <c r="AD38" i="67" s="1"/>
  <c r="AE38" i="67" s="1"/>
  <c r="AF38" i="67" s="1"/>
  <c r="U39" i="67"/>
  <c r="V39" i="67" s="1"/>
  <c r="W39" i="67" s="1"/>
  <c r="X39" i="67" s="1"/>
  <c r="Y39" i="67" s="1"/>
  <c r="Z39" i="67" s="1"/>
  <c r="AA39" i="67" s="1"/>
  <c r="AB39" i="67" s="1"/>
  <c r="AC39" i="67" s="1"/>
  <c r="AD39" i="67" s="1"/>
  <c r="AE39" i="67" s="1"/>
  <c r="AF39" i="67" s="1"/>
  <c r="U40" i="67"/>
  <c r="V40" i="67" s="1"/>
  <c r="W40" i="67" s="1"/>
  <c r="X40" i="67" s="1"/>
  <c r="Y40" i="67" s="1"/>
  <c r="Z40" i="67" s="1"/>
  <c r="AA40" i="67" s="1"/>
  <c r="AB40" i="67" s="1"/>
  <c r="AC40" i="67" s="1"/>
  <c r="AD40" i="67" s="1"/>
  <c r="AE40" i="67" s="1"/>
  <c r="AF40" i="67" s="1"/>
  <c r="U41" i="67"/>
  <c r="V41" i="67" s="1"/>
  <c r="W41" i="67" s="1"/>
  <c r="X41" i="67" s="1"/>
  <c r="Y41" i="67" s="1"/>
  <c r="Z41" i="67" s="1"/>
  <c r="AA41" i="67" s="1"/>
  <c r="AB41" i="67" s="1"/>
  <c r="AC41" i="67" s="1"/>
  <c r="AD41" i="67" s="1"/>
  <c r="AE41" i="67" s="1"/>
  <c r="AF41" i="67" s="1"/>
  <c r="U42" i="67"/>
  <c r="V42" i="67" s="1"/>
  <c r="W42" i="67" s="1"/>
  <c r="X42" i="67" s="1"/>
  <c r="Y42" i="67" s="1"/>
  <c r="Z42" i="67" s="1"/>
  <c r="AA42" i="67" s="1"/>
  <c r="AB42" i="67" s="1"/>
  <c r="AC42" i="67" s="1"/>
  <c r="AD42" i="67" s="1"/>
  <c r="AE42" i="67" s="1"/>
  <c r="AF42" i="67" s="1"/>
  <c r="U37" i="67"/>
  <c r="F37" i="67"/>
  <c r="F1" i="74"/>
  <c r="G1" i="74" s="1"/>
  <c r="B33" i="73"/>
  <c r="B32" i="73"/>
  <c r="B31" i="73"/>
  <c r="B30" i="73"/>
  <c r="H1" i="74" l="1"/>
  <c r="F30" i="73"/>
  <c r="F33" i="73"/>
  <c r="I1" i="74" l="1"/>
  <c r="J1" i="74" l="1"/>
  <c r="K1" i="74" l="1"/>
  <c r="L1" i="74" l="1"/>
  <c r="M1" i="74" l="1"/>
  <c r="N1" i="74" l="1"/>
  <c r="O1" i="74" l="1"/>
  <c r="P1" i="74" l="1"/>
  <c r="Q1" i="74" l="1"/>
  <c r="R1" i="74" l="1"/>
  <c r="S1" i="74" l="1"/>
  <c r="B6" i="73" l="1"/>
  <c r="B7" i="73"/>
  <c r="B8" i="73"/>
  <c r="B9" i="73"/>
  <c r="B10" i="73"/>
  <c r="B11" i="73"/>
  <c r="B12" i="73"/>
  <c r="B13" i="73"/>
  <c r="B14" i="73"/>
  <c r="B15" i="73"/>
  <c r="B16" i="73"/>
  <c r="B17" i="73"/>
  <c r="B18" i="73"/>
  <c r="B19" i="73"/>
  <c r="B20" i="73"/>
  <c r="B21" i="73"/>
  <c r="B22" i="73"/>
  <c r="B23" i="73"/>
  <c r="B24" i="73"/>
  <c r="B25" i="73"/>
  <c r="B26" i="73"/>
  <c r="B27" i="73"/>
  <c r="B28" i="73"/>
  <c r="B29" i="73"/>
  <c r="B3" i="73"/>
  <c r="B4" i="73"/>
  <c r="B5" i="73"/>
  <c r="B2" i="73"/>
  <c r="F13" i="73"/>
  <c r="F5" i="73"/>
  <c r="F17" i="73"/>
  <c r="F21" i="73"/>
  <c r="G1" i="73" l="1"/>
  <c r="S8" i="66"/>
  <c r="L71" i="63"/>
  <c r="L64" i="60"/>
  <c r="L71" i="60"/>
  <c r="AH90" i="72"/>
  <c r="AH91" i="72"/>
  <c r="AH92" i="72"/>
  <c r="AH93" i="72"/>
  <c r="AH89" i="72"/>
  <c r="S61" i="52"/>
  <c r="G92" i="73"/>
  <c r="G36" i="73"/>
  <c r="G93" i="73"/>
  <c r="G54" i="73"/>
  <c r="G73" i="73"/>
  <c r="G91" i="73"/>
  <c r="G51" i="73"/>
  <c r="G94" i="73"/>
  <c r="G35" i="73"/>
  <c r="G69" i="73"/>
  <c r="G52" i="73"/>
  <c r="G57" i="73"/>
  <c r="G55" i="73"/>
  <c r="G67" i="73"/>
  <c r="G86" i="73"/>
  <c r="G82" i="73"/>
  <c r="G53" i="73"/>
  <c r="G84" i="73"/>
  <c r="G41" i="73"/>
  <c r="G50" i="73"/>
  <c r="G83" i="73"/>
  <c r="G71" i="73"/>
  <c r="G66" i="73"/>
  <c r="G72" i="73"/>
  <c r="G5" i="73"/>
  <c r="G56" i="73"/>
  <c r="G17" i="73"/>
  <c r="G34" i="73"/>
  <c r="G70" i="73"/>
  <c r="F31" i="73"/>
  <c r="G33" i="73"/>
  <c r="G85" i="73"/>
  <c r="G13" i="73"/>
  <c r="G89" i="73"/>
  <c r="G38" i="73"/>
  <c r="G90" i="73"/>
  <c r="G96" i="73"/>
  <c r="G37" i="73"/>
  <c r="G97" i="73"/>
  <c r="G68" i="73"/>
  <c r="S17" i="66" l="1"/>
  <c r="S24" i="66" s="1"/>
  <c r="S30" i="66" s="1"/>
  <c r="H1" i="73"/>
  <c r="R41" i="30"/>
  <c r="AG168" i="72"/>
  <c r="AG165" i="72"/>
  <c r="AG167" i="72"/>
  <c r="AE165" i="72"/>
  <c r="AE166" i="72"/>
  <c r="AE167" i="72"/>
  <c r="AE168" i="72"/>
  <c r="H56" i="73"/>
  <c r="H55" i="73"/>
  <c r="H71" i="73"/>
  <c r="H17" i="73"/>
  <c r="H68" i="73"/>
  <c r="H94" i="73"/>
  <c r="H52" i="73"/>
  <c r="H5" i="73"/>
  <c r="H85" i="73"/>
  <c r="H86" i="73"/>
  <c r="H91" i="73"/>
  <c r="H53" i="73"/>
  <c r="H57" i="73"/>
  <c r="H90" i="73"/>
  <c r="H41" i="73"/>
  <c r="H50" i="73"/>
  <c r="H36" i="73"/>
  <c r="H83" i="73"/>
  <c r="H37" i="73"/>
  <c r="H51" i="73"/>
  <c r="H66" i="73"/>
  <c r="G30" i="73"/>
  <c r="H72" i="73"/>
  <c r="H38" i="73"/>
  <c r="H33" i="73"/>
  <c r="H54" i="73"/>
  <c r="H69" i="73"/>
  <c r="H84" i="73"/>
  <c r="H73" i="73"/>
  <c r="H67" i="73"/>
  <c r="H13" i="73"/>
  <c r="G31" i="73"/>
  <c r="H70" i="73"/>
  <c r="H97" i="73"/>
  <c r="H89" i="73"/>
  <c r="H96" i="73"/>
  <c r="H92" i="73"/>
  <c r="H93" i="73"/>
  <c r="H34" i="73"/>
  <c r="H82" i="73"/>
  <c r="H35" i="73"/>
  <c r="G21" i="73"/>
  <c r="I1" i="73" l="1"/>
  <c r="I70" i="73"/>
  <c r="H21" i="73"/>
  <c r="I41" i="73"/>
  <c r="I85" i="73"/>
  <c r="I96" i="73"/>
  <c r="I84" i="73"/>
  <c r="I86" i="73"/>
  <c r="I17" i="73"/>
  <c r="I73" i="73"/>
  <c r="I38" i="73"/>
  <c r="I51" i="73"/>
  <c r="I50" i="73"/>
  <c r="I83" i="73"/>
  <c r="H30" i="73"/>
  <c r="I82" i="73"/>
  <c r="I37" i="73"/>
  <c r="I68" i="73"/>
  <c r="I97" i="73"/>
  <c r="I94" i="73"/>
  <c r="H31" i="73"/>
  <c r="I69" i="73"/>
  <c r="I36" i="73"/>
  <c r="I5" i="73"/>
  <c r="I53" i="73"/>
  <c r="I93" i="73"/>
  <c r="I33" i="73"/>
  <c r="I92" i="73"/>
  <c r="I13" i="73"/>
  <c r="I52" i="73"/>
  <c r="I72" i="73"/>
  <c r="I54" i="73"/>
  <c r="I57" i="73"/>
  <c r="I56" i="73"/>
  <c r="I89" i="73"/>
  <c r="R130" i="30" l="1"/>
  <c r="R138" i="30"/>
  <c r="R137" i="30"/>
  <c r="R127" i="30"/>
  <c r="R132" i="30"/>
  <c r="R131" i="30"/>
  <c r="R128" i="30"/>
  <c r="R129" i="30"/>
  <c r="R135" i="30"/>
  <c r="R134" i="30"/>
  <c r="R126" i="30"/>
  <c r="R125" i="30"/>
  <c r="R133" i="30"/>
  <c r="AI238" i="30"/>
  <c r="J1" i="73"/>
  <c r="I30" i="73"/>
  <c r="J73" i="73"/>
  <c r="J82" i="73"/>
  <c r="J70" i="73"/>
  <c r="J53" i="73"/>
  <c r="I21" i="73"/>
  <c r="J54" i="73"/>
  <c r="J36" i="73"/>
  <c r="J72" i="73"/>
  <c r="J57" i="73"/>
  <c r="J50" i="73"/>
  <c r="J97" i="73"/>
  <c r="J84" i="73"/>
  <c r="J52" i="73"/>
  <c r="J89" i="73"/>
  <c r="J51" i="73"/>
  <c r="J41" i="73"/>
  <c r="J33" i="73"/>
  <c r="J93" i="73"/>
  <c r="J85" i="73"/>
  <c r="J86" i="73"/>
  <c r="J92" i="73"/>
  <c r="J38" i="73"/>
  <c r="J56" i="73"/>
  <c r="J68" i="73"/>
  <c r="J37" i="73"/>
  <c r="J83" i="73"/>
  <c r="J13" i="73"/>
  <c r="J5" i="73"/>
  <c r="J96" i="73"/>
  <c r="J17" i="73"/>
  <c r="J69" i="73"/>
  <c r="J94" i="73"/>
  <c r="R142" i="30" l="1"/>
  <c r="X240" i="30"/>
  <c r="AE240" i="30"/>
  <c r="AX240" i="30"/>
  <c r="AF240" i="30"/>
  <c r="AD240" i="30"/>
  <c r="Z240" i="30"/>
  <c r="W240" i="30"/>
  <c r="V240" i="30"/>
  <c r="AC240" i="30"/>
  <c r="Y240" i="30"/>
  <c r="AA240" i="30"/>
  <c r="H240" i="30"/>
  <c r="I240" i="30"/>
  <c r="AB240" i="30"/>
  <c r="P240" i="30"/>
  <c r="R236" i="30"/>
  <c r="R234" i="30"/>
  <c r="N240" i="30"/>
  <c r="R237" i="30"/>
  <c r="L240" i="30"/>
  <c r="J240" i="30"/>
  <c r="O240" i="30"/>
  <c r="K240" i="30"/>
  <c r="Q240" i="30"/>
  <c r="G240" i="30"/>
  <c r="R233" i="30"/>
  <c r="R232" i="30"/>
  <c r="R235" i="30"/>
  <c r="M240" i="30"/>
  <c r="K1" i="73"/>
  <c r="K84" i="73"/>
  <c r="K33" i="73"/>
  <c r="K50" i="73"/>
  <c r="K96" i="73"/>
  <c r="K82" i="73"/>
  <c r="K92" i="73"/>
  <c r="K5" i="73"/>
  <c r="K57" i="73"/>
  <c r="K52" i="73"/>
  <c r="K53" i="73"/>
  <c r="K83" i="73"/>
  <c r="K86" i="73"/>
  <c r="K72" i="73"/>
  <c r="J21" i="73"/>
  <c r="K89" i="73"/>
  <c r="J30" i="73"/>
  <c r="K97" i="73"/>
  <c r="K70" i="73"/>
  <c r="K54" i="73"/>
  <c r="K73" i="73"/>
  <c r="K56" i="73"/>
  <c r="K38" i="73"/>
  <c r="K93" i="73"/>
  <c r="K85" i="73"/>
  <c r="K68" i="73"/>
  <c r="K69" i="73"/>
  <c r="K36" i="73"/>
  <c r="K51" i="73"/>
  <c r="K17" i="73"/>
  <c r="K41" i="73"/>
  <c r="K94" i="73"/>
  <c r="K13" i="73"/>
  <c r="K37" i="73"/>
  <c r="AH240" i="30" l="1"/>
  <c r="AI233" i="30"/>
  <c r="AI232" i="30"/>
  <c r="AI236" i="30"/>
  <c r="AI234" i="30"/>
  <c r="AI237" i="30"/>
  <c r="AI235" i="30"/>
  <c r="R240" i="30"/>
  <c r="L1" i="73"/>
  <c r="AH98" i="30"/>
  <c r="X161" i="72"/>
  <c r="AU159" i="72"/>
  <c r="AT159" i="72"/>
  <c r="AS159" i="72"/>
  <c r="AR159" i="72"/>
  <c r="AQ159" i="72"/>
  <c r="AP159" i="72"/>
  <c r="AO159" i="72"/>
  <c r="AN159" i="72"/>
  <c r="AM159" i="72"/>
  <c r="AL159" i="72"/>
  <c r="AK159" i="72"/>
  <c r="AK161" i="72" s="1"/>
  <c r="AJ159" i="72"/>
  <c r="AG159" i="72"/>
  <c r="AF159" i="72"/>
  <c r="AE159" i="72"/>
  <c r="AD159" i="72"/>
  <c r="AC159" i="72"/>
  <c r="AB159" i="72"/>
  <c r="AA159" i="72"/>
  <c r="Z159" i="72"/>
  <c r="Y159" i="72"/>
  <c r="Y161" i="72" s="1"/>
  <c r="X159" i="72"/>
  <c r="W159" i="72"/>
  <c r="V159" i="72"/>
  <c r="Q159" i="72"/>
  <c r="P159" i="72"/>
  <c r="O159" i="72"/>
  <c r="N159" i="72"/>
  <c r="M159" i="72"/>
  <c r="L159" i="72"/>
  <c r="K159" i="72"/>
  <c r="J159" i="72"/>
  <c r="I159" i="72"/>
  <c r="H159" i="72"/>
  <c r="G159" i="72"/>
  <c r="F159" i="72"/>
  <c r="AU158" i="72"/>
  <c r="AT158" i="72"/>
  <c r="AS158" i="72"/>
  <c r="AR158" i="72"/>
  <c r="AQ158" i="72"/>
  <c r="AP158" i="72"/>
  <c r="AO158" i="72"/>
  <c r="AN158" i="72"/>
  <c r="AM158" i="72"/>
  <c r="AL158" i="72"/>
  <c r="AK158" i="72"/>
  <c r="AJ158" i="72"/>
  <c r="AG158" i="72"/>
  <c r="AF158" i="72"/>
  <c r="AE158" i="72"/>
  <c r="AD158" i="72"/>
  <c r="AC158" i="72"/>
  <c r="AB158" i="72"/>
  <c r="AA158" i="72"/>
  <c r="Z158" i="72"/>
  <c r="Y158" i="72"/>
  <c r="X158" i="72"/>
  <c r="W158" i="72"/>
  <c r="V158" i="72"/>
  <c r="Q158" i="72"/>
  <c r="P158" i="72"/>
  <c r="O158" i="72"/>
  <c r="N158" i="72"/>
  <c r="M158" i="72"/>
  <c r="L158" i="72"/>
  <c r="K158" i="72"/>
  <c r="J158" i="72"/>
  <c r="I158" i="72"/>
  <c r="H158" i="72"/>
  <c r="G158" i="72"/>
  <c r="F158" i="72"/>
  <c r="AU157" i="72"/>
  <c r="AT157" i="72"/>
  <c r="AS157" i="72"/>
  <c r="AR157" i="72"/>
  <c r="AQ157" i="72"/>
  <c r="AP157" i="72"/>
  <c r="AO157" i="72"/>
  <c r="AN157" i="72"/>
  <c r="AM157" i="72"/>
  <c r="AL157" i="72"/>
  <c r="AK157" i="72"/>
  <c r="AJ157" i="72"/>
  <c r="AG157" i="72"/>
  <c r="AF157" i="72"/>
  <c r="AE157" i="72"/>
  <c r="AD157" i="72"/>
  <c r="AC157" i="72"/>
  <c r="AB157" i="72"/>
  <c r="AA157" i="72"/>
  <c r="Z157" i="72"/>
  <c r="Y157" i="72"/>
  <c r="X157" i="72"/>
  <c r="W157" i="72"/>
  <c r="V157" i="72"/>
  <c r="Q157" i="72"/>
  <c r="P157" i="72"/>
  <c r="O157" i="72"/>
  <c r="N157" i="72"/>
  <c r="M157" i="72"/>
  <c r="L157" i="72"/>
  <c r="K157" i="72"/>
  <c r="J157" i="72"/>
  <c r="I157" i="72"/>
  <c r="H157" i="72"/>
  <c r="G157" i="72"/>
  <c r="F157" i="72"/>
  <c r="AU156" i="72"/>
  <c r="AU161" i="72" s="1"/>
  <c r="AT156" i="72"/>
  <c r="AT161" i="72" s="1"/>
  <c r="AS156" i="72"/>
  <c r="AS161" i="72" s="1"/>
  <c r="AR156" i="72"/>
  <c r="AQ156" i="72"/>
  <c r="AP156" i="72"/>
  <c r="AO156" i="72"/>
  <c r="AO161" i="72" s="1"/>
  <c r="AN156" i="72"/>
  <c r="AN161" i="72" s="1"/>
  <c r="AM156" i="72"/>
  <c r="AM161" i="72" s="1"/>
  <c r="AL156" i="72"/>
  <c r="AL161" i="72" s="1"/>
  <c r="AK156" i="72"/>
  <c r="AJ156" i="72"/>
  <c r="AG156" i="72"/>
  <c r="AF156" i="72"/>
  <c r="AF161" i="72" s="1"/>
  <c r="AE156" i="72"/>
  <c r="AD156" i="72"/>
  <c r="AC156" i="72"/>
  <c r="AC161" i="72" s="1"/>
  <c r="AB156" i="72"/>
  <c r="AB161" i="72" s="1"/>
  <c r="AA156" i="72"/>
  <c r="AA161" i="72" s="1"/>
  <c r="Z156" i="72"/>
  <c r="Z161" i="72" s="1"/>
  <c r="Y156" i="72"/>
  <c r="X156" i="72"/>
  <c r="W156" i="72"/>
  <c r="V156" i="72"/>
  <c r="V161" i="72" s="1"/>
  <c r="Q156" i="72"/>
  <c r="P156" i="72"/>
  <c r="O156" i="72"/>
  <c r="O161" i="72" s="1"/>
  <c r="N156" i="72"/>
  <c r="M156" i="72"/>
  <c r="M161" i="72" s="1"/>
  <c r="L156" i="72"/>
  <c r="L161" i="72" s="1"/>
  <c r="K156" i="72"/>
  <c r="K161" i="72" s="1"/>
  <c r="J156" i="72"/>
  <c r="J161" i="72" s="1"/>
  <c r="I156" i="72"/>
  <c r="I161" i="72" s="1"/>
  <c r="H156" i="72"/>
  <c r="H161" i="72" s="1"/>
  <c r="G156" i="72"/>
  <c r="F156" i="72"/>
  <c r="Q152" i="72"/>
  <c r="P152" i="72"/>
  <c r="O152" i="72"/>
  <c r="N152" i="72"/>
  <c r="M152" i="72"/>
  <c r="L152" i="72"/>
  <c r="K152" i="72"/>
  <c r="J152" i="72"/>
  <c r="I152" i="72"/>
  <c r="H152" i="72"/>
  <c r="G152" i="72"/>
  <c r="F152" i="72"/>
  <c r="Q145" i="72"/>
  <c r="P145" i="72"/>
  <c r="O145" i="72"/>
  <c r="N145" i="72"/>
  <c r="M145" i="72"/>
  <c r="L145" i="72"/>
  <c r="K145" i="72"/>
  <c r="J145" i="72"/>
  <c r="I145" i="72"/>
  <c r="H145" i="72"/>
  <c r="G145" i="72"/>
  <c r="F145" i="72"/>
  <c r="R137" i="72"/>
  <c r="Q137" i="72"/>
  <c r="P137" i="72"/>
  <c r="O137" i="72"/>
  <c r="N137" i="72"/>
  <c r="M137" i="72"/>
  <c r="L137" i="72"/>
  <c r="K137" i="72"/>
  <c r="J137" i="72"/>
  <c r="I137" i="72"/>
  <c r="H137" i="72"/>
  <c r="G137" i="72"/>
  <c r="F137" i="72"/>
  <c r="Q116" i="72"/>
  <c r="P116" i="72"/>
  <c r="O116" i="72"/>
  <c r="N116" i="72"/>
  <c r="M116" i="72"/>
  <c r="L116" i="72"/>
  <c r="K116" i="72"/>
  <c r="J116" i="72"/>
  <c r="I116" i="72"/>
  <c r="H116" i="72"/>
  <c r="G116" i="72"/>
  <c r="F116" i="72"/>
  <c r="Q108" i="72"/>
  <c r="P108" i="72"/>
  <c r="O108" i="72"/>
  <c r="N108" i="72"/>
  <c r="M108" i="72"/>
  <c r="L108" i="72"/>
  <c r="K108" i="72"/>
  <c r="J108" i="72"/>
  <c r="I108" i="72"/>
  <c r="H108" i="72"/>
  <c r="G108" i="72"/>
  <c r="F108" i="72"/>
  <c r="N98" i="72"/>
  <c r="AU96" i="72"/>
  <c r="AT96" i="72"/>
  <c r="AS96" i="72"/>
  <c r="AR96" i="72"/>
  <c r="AM96" i="72"/>
  <c r="AL96" i="72"/>
  <c r="AK96" i="72"/>
  <c r="AJ96" i="72"/>
  <c r="AG96" i="72"/>
  <c r="AB96" i="72"/>
  <c r="AA96" i="72"/>
  <c r="Z96" i="72"/>
  <c r="Y96" i="72"/>
  <c r="X96" i="72"/>
  <c r="W96" i="72"/>
  <c r="P96" i="72"/>
  <c r="O96" i="72"/>
  <c r="N96" i="72"/>
  <c r="M96" i="72"/>
  <c r="L96" i="72"/>
  <c r="K96" i="72"/>
  <c r="F96" i="72"/>
  <c r="R95" i="72"/>
  <c r="AG166" i="72"/>
  <c r="R89" i="72"/>
  <c r="AU88" i="72"/>
  <c r="AT88" i="72"/>
  <c r="AS88" i="72"/>
  <c r="AR88" i="72"/>
  <c r="AQ88" i="72"/>
  <c r="AQ96" i="72" s="1"/>
  <c r="AP88" i="72"/>
  <c r="AP96" i="72" s="1"/>
  <c r="AO88" i="72"/>
  <c r="AO96" i="72" s="1"/>
  <c r="AN88" i="72"/>
  <c r="AN96" i="72" s="1"/>
  <c r="AM88" i="72"/>
  <c r="AL88" i="72"/>
  <c r="AK88" i="72"/>
  <c r="AJ88" i="72"/>
  <c r="AG88" i="72"/>
  <c r="AF88" i="72"/>
  <c r="AF96" i="72" s="1"/>
  <c r="AE88" i="72"/>
  <c r="AE96" i="72" s="1"/>
  <c r="AD88" i="72"/>
  <c r="AD96" i="72" s="1"/>
  <c r="AC88" i="72"/>
  <c r="AC96" i="72" s="1"/>
  <c r="AB88" i="72"/>
  <c r="AA88" i="72"/>
  <c r="Z88" i="72"/>
  <c r="Y88" i="72"/>
  <c r="X88" i="72"/>
  <c r="W88" i="72"/>
  <c r="V88" i="72"/>
  <c r="V96" i="72" s="1"/>
  <c r="T88" i="72"/>
  <c r="T96" i="72" s="1"/>
  <c r="Q88" i="72"/>
  <c r="Q98" i="72" s="1"/>
  <c r="P88" i="72"/>
  <c r="P98" i="72" s="1"/>
  <c r="O88" i="72"/>
  <c r="O98" i="72" s="1"/>
  <c r="M88" i="72"/>
  <c r="L88" i="72"/>
  <c r="K88" i="72"/>
  <c r="J88" i="72"/>
  <c r="J96" i="72" s="1"/>
  <c r="I88" i="72"/>
  <c r="I96" i="72" s="1"/>
  <c r="H88" i="72"/>
  <c r="H96" i="72" s="1"/>
  <c r="G88" i="72"/>
  <c r="G96" i="72" s="1"/>
  <c r="F88" i="72"/>
  <c r="E88" i="72"/>
  <c r="AV86" i="72"/>
  <c r="AH86" i="72"/>
  <c r="R86" i="72"/>
  <c r="AV85" i="72"/>
  <c r="AH85" i="72"/>
  <c r="R85" i="72"/>
  <c r="AV84" i="72"/>
  <c r="AH84" i="72"/>
  <c r="R84" i="72"/>
  <c r="AV83" i="72"/>
  <c r="AH83" i="72"/>
  <c r="R83" i="72"/>
  <c r="AV82" i="72"/>
  <c r="AH82" i="72"/>
  <c r="R82" i="72"/>
  <c r="AV81" i="72"/>
  <c r="AH81" i="72"/>
  <c r="R81" i="72"/>
  <c r="AV80" i="72"/>
  <c r="AH80" i="72"/>
  <c r="R80" i="72"/>
  <c r="AV79" i="72"/>
  <c r="AH79" i="72"/>
  <c r="R79" i="72"/>
  <c r="AV78" i="72"/>
  <c r="AH78" i="72"/>
  <c r="R78" i="72"/>
  <c r="AV77" i="72"/>
  <c r="AH77" i="72"/>
  <c r="R77" i="72"/>
  <c r="AV76" i="72"/>
  <c r="AH76" i="72"/>
  <c r="R76" i="72"/>
  <c r="AV75" i="72"/>
  <c r="AH75" i="72"/>
  <c r="R75" i="72"/>
  <c r="AV74" i="72"/>
  <c r="AH74" i="72"/>
  <c r="R74" i="72"/>
  <c r="AV73" i="72"/>
  <c r="AH73" i="72"/>
  <c r="R73" i="72"/>
  <c r="AV72" i="72"/>
  <c r="AH72" i="72"/>
  <c r="R72" i="72"/>
  <c r="AV71" i="72"/>
  <c r="AH71" i="72"/>
  <c r="R71" i="72"/>
  <c r="AV70" i="72"/>
  <c r="AH70" i="72"/>
  <c r="R70" i="72"/>
  <c r="AV69" i="72"/>
  <c r="AH69" i="72"/>
  <c r="R69" i="72"/>
  <c r="AV68" i="72"/>
  <c r="AH68" i="72"/>
  <c r="R68" i="72"/>
  <c r="AV67" i="72"/>
  <c r="AH67" i="72"/>
  <c r="R67" i="72"/>
  <c r="AV66" i="72"/>
  <c r="AH66" i="72"/>
  <c r="R66" i="72"/>
  <c r="AV65" i="72"/>
  <c r="AH65" i="72"/>
  <c r="R65" i="72"/>
  <c r="AV64" i="72"/>
  <c r="AH64" i="72"/>
  <c r="R64" i="72"/>
  <c r="AV63" i="72"/>
  <c r="AH63" i="72"/>
  <c r="R63" i="72"/>
  <c r="AV62" i="72"/>
  <c r="AH62" i="72"/>
  <c r="R62" i="72"/>
  <c r="AV61" i="72"/>
  <c r="AH61" i="72"/>
  <c r="R61" i="72"/>
  <c r="AV60" i="72"/>
  <c r="AH60" i="72"/>
  <c r="R60" i="72"/>
  <c r="AV59" i="72"/>
  <c r="AH59" i="72"/>
  <c r="R59" i="72"/>
  <c r="AV58" i="72"/>
  <c r="AH58" i="72"/>
  <c r="R58" i="72"/>
  <c r="AV57" i="72"/>
  <c r="AH57" i="72"/>
  <c r="R57" i="72"/>
  <c r="AV56" i="72"/>
  <c r="AH56" i="72"/>
  <c r="R56" i="72"/>
  <c r="AV55" i="72"/>
  <c r="AH55" i="72"/>
  <c r="R55" i="72"/>
  <c r="AV54" i="72"/>
  <c r="AH54" i="72"/>
  <c r="R54" i="72"/>
  <c r="AV53" i="72"/>
  <c r="AH53" i="72"/>
  <c r="R53" i="72"/>
  <c r="AV52" i="72"/>
  <c r="AH52" i="72"/>
  <c r="R52" i="72"/>
  <c r="AV51" i="72"/>
  <c r="AH51" i="72"/>
  <c r="R51" i="72"/>
  <c r="AV50" i="72"/>
  <c r="AH50" i="72"/>
  <c r="R50" i="72"/>
  <c r="AV49" i="72"/>
  <c r="AH49" i="72"/>
  <c r="R49" i="72"/>
  <c r="AV48" i="72"/>
  <c r="AH48" i="72"/>
  <c r="R48" i="72"/>
  <c r="AV47" i="72"/>
  <c r="AH47" i="72"/>
  <c r="R47" i="72"/>
  <c r="AV46" i="72"/>
  <c r="AH46" i="72"/>
  <c r="R46" i="72"/>
  <c r="AV45" i="72"/>
  <c r="AH45" i="72"/>
  <c r="R45" i="72"/>
  <c r="AV44" i="72"/>
  <c r="AH44" i="72"/>
  <c r="R44" i="72"/>
  <c r="AV43" i="72"/>
  <c r="AH43" i="72"/>
  <c r="R43" i="72"/>
  <c r="AV42" i="72"/>
  <c r="AH42" i="72"/>
  <c r="R42" i="72"/>
  <c r="AV41" i="72"/>
  <c r="AH41" i="72"/>
  <c r="R41" i="72"/>
  <c r="AV40" i="72"/>
  <c r="AH40" i="72"/>
  <c r="R40" i="72"/>
  <c r="AV39" i="72"/>
  <c r="AH39" i="72"/>
  <c r="R39" i="72"/>
  <c r="AV38" i="72"/>
  <c r="AH38" i="72"/>
  <c r="R38" i="72"/>
  <c r="AV37" i="72"/>
  <c r="AH37" i="72"/>
  <c r="R37" i="72"/>
  <c r="AV36" i="72"/>
  <c r="AH36" i="72"/>
  <c r="R36" i="72"/>
  <c r="AV35" i="72"/>
  <c r="AH35" i="72"/>
  <c r="R35" i="72"/>
  <c r="AV34" i="72"/>
  <c r="AH34" i="72"/>
  <c r="R34" i="72"/>
  <c r="AV33" i="72"/>
  <c r="AH33" i="72"/>
  <c r="R33" i="72"/>
  <c r="AV32" i="72"/>
  <c r="AH32" i="72"/>
  <c r="R32" i="72"/>
  <c r="AV31" i="72"/>
  <c r="AH31" i="72"/>
  <c r="R31" i="72"/>
  <c r="AV30" i="72"/>
  <c r="AH30" i="72"/>
  <c r="R30" i="72"/>
  <c r="AV29" i="72"/>
  <c r="AH29" i="72"/>
  <c r="R29" i="72"/>
  <c r="AV28" i="72"/>
  <c r="AH28" i="72"/>
  <c r="R28" i="72"/>
  <c r="AV27" i="72"/>
  <c r="AH27" i="72"/>
  <c r="R27" i="72"/>
  <c r="AV26" i="72"/>
  <c r="AH26" i="72"/>
  <c r="R26" i="72"/>
  <c r="AV25" i="72"/>
  <c r="AH25" i="72"/>
  <c r="R25" i="72"/>
  <c r="AV24" i="72"/>
  <c r="AH24" i="72"/>
  <c r="R24" i="72"/>
  <c r="AV23" i="72"/>
  <c r="AH23" i="72"/>
  <c r="R23" i="72"/>
  <c r="AV22" i="72"/>
  <c r="AH22" i="72"/>
  <c r="R22" i="72"/>
  <c r="AV21" i="72"/>
  <c r="AH21" i="72"/>
  <c r="R21" i="72"/>
  <c r="AV20" i="72"/>
  <c r="AH20" i="72"/>
  <c r="R20" i="72"/>
  <c r="AV19" i="72"/>
  <c r="AH19" i="72"/>
  <c r="R19" i="72"/>
  <c r="AV18" i="72"/>
  <c r="AH18" i="72"/>
  <c r="R18" i="72"/>
  <c r="AV17" i="72"/>
  <c r="AH17" i="72"/>
  <c r="R17" i="72"/>
  <c r="AV16" i="72"/>
  <c r="AH16" i="72"/>
  <c r="R16" i="72"/>
  <c r="AV15" i="72"/>
  <c r="AH15" i="72"/>
  <c r="R15" i="72"/>
  <c r="AV14" i="72"/>
  <c r="AH14" i="72"/>
  <c r="R14" i="72"/>
  <c r="AV13" i="72"/>
  <c r="AH13" i="72"/>
  <c r="R13" i="72"/>
  <c r="AV12" i="72"/>
  <c r="AH12" i="72"/>
  <c r="R12" i="72"/>
  <c r="AV11" i="72"/>
  <c r="AH11" i="72"/>
  <c r="R11" i="72"/>
  <c r="AV10" i="72"/>
  <c r="AH10" i="72"/>
  <c r="R10" i="72"/>
  <c r="AV9" i="72"/>
  <c r="AH9" i="72"/>
  <c r="R9" i="72"/>
  <c r="AV8" i="72"/>
  <c r="AH8" i="72"/>
  <c r="R8" i="72"/>
  <c r="R88" i="72" s="1"/>
  <c r="R96" i="72" s="1"/>
  <c r="AV7" i="72"/>
  <c r="AH7" i="72"/>
  <c r="R7" i="72"/>
  <c r="AV6" i="72"/>
  <c r="AH6" i="72"/>
  <c r="R6" i="72"/>
  <c r="AV5" i="72"/>
  <c r="AH5" i="72"/>
  <c r="AH88" i="72" s="1"/>
  <c r="AH96" i="72" s="1"/>
  <c r="R5" i="72"/>
  <c r="AV4" i="72"/>
  <c r="AH4" i="72"/>
  <c r="R4" i="72"/>
  <c r="AV3" i="72"/>
  <c r="AV88" i="72" s="1"/>
  <c r="AV96" i="72" s="1"/>
  <c r="AH3" i="72"/>
  <c r="R3" i="72"/>
  <c r="L41" i="73"/>
  <c r="L94" i="73"/>
  <c r="L37" i="73"/>
  <c r="L70" i="73"/>
  <c r="L36" i="73"/>
  <c r="L73" i="73"/>
  <c r="L53" i="73"/>
  <c r="L56" i="73"/>
  <c r="L38" i="73"/>
  <c r="L54" i="73"/>
  <c r="L69" i="73"/>
  <c r="L17" i="73"/>
  <c r="L68" i="73"/>
  <c r="L57" i="73"/>
  <c r="L85" i="73"/>
  <c r="K30" i="73"/>
  <c r="L52" i="73"/>
  <c r="L97" i="73"/>
  <c r="L51" i="73"/>
  <c r="L86" i="73"/>
  <c r="L92" i="73"/>
  <c r="L84" i="73"/>
  <c r="L93" i="73"/>
  <c r="L13" i="73"/>
  <c r="L5" i="73"/>
  <c r="L33" i="73"/>
  <c r="K21" i="73"/>
  <c r="L83" i="73"/>
  <c r="L72" i="73"/>
  <c r="L82" i="73"/>
  <c r="L96" i="73"/>
  <c r="L89" i="73"/>
  <c r="AI240" i="30" l="1"/>
  <c r="N161" i="72"/>
  <c r="M1" i="73"/>
  <c r="AV156" i="72"/>
  <c r="AS166" i="72" s="1"/>
  <c r="R158" i="72"/>
  <c r="AC167" i="72" s="1"/>
  <c r="AH158" i="72"/>
  <c r="AV159" i="72"/>
  <c r="AS165" i="72" s="1"/>
  <c r="AV158" i="72"/>
  <c r="AS167" i="72" s="1"/>
  <c r="R159" i="72"/>
  <c r="AC165" i="72" s="1"/>
  <c r="AH157" i="72"/>
  <c r="AQ168" i="72" s="1"/>
  <c r="AT168" i="72" s="1"/>
  <c r="R156" i="72"/>
  <c r="AC166" i="72" s="1"/>
  <c r="AF166" i="72" s="1"/>
  <c r="P161" i="72"/>
  <c r="AD161" i="72"/>
  <c r="AP161" i="72"/>
  <c r="AV157" i="72"/>
  <c r="AS168" i="72" s="1"/>
  <c r="AH159" i="72"/>
  <c r="AR161" i="72"/>
  <c r="R157" i="72"/>
  <c r="AC168" i="72" s="1"/>
  <c r="G161" i="72"/>
  <c r="Q161" i="72"/>
  <c r="AE161" i="72"/>
  <c r="AQ161" i="72"/>
  <c r="W161" i="72"/>
  <c r="AH161" i="72" s="1"/>
  <c r="AG161" i="72"/>
  <c r="AJ161" i="72"/>
  <c r="AV161" i="72" s="1"/>
  <c r="AQ167" i="72"/>
  <c r="AT167" i="72" s="1"/>
  <c r="AQ165" i="72"/>
  <c r="AT165" i="72" s="1"/>
  <c r="AH156" i="72"/>
  <c r="Q96" i="72"/>
  <c r="F161" i="72"/>
  <c r="M56" i="73"/>
  <c r="M51" i="73"/>
  <c r="L21" i="73"/>
  <c r="M38" i="73"/>
  <c r="M89" i="73"/>
  <c r="M92" i="73"/>
  <c r="M70" i="73"/>
  <c r="M69" i="73"/>
  <c r="M73" i="73"/>
  <c r="L30" i="73"/>
  <c r="M84" i="73"/>
  <c r="M17" i="73"/>
  <c r="M41" i="73"/>
  <c r="M13" i="73"/>
  <c r="M85" i="73"/>
  <c r="M33" i="73"/>
  <c r="M94" i="73"/>
  <c r="M37" i="73"/>
  <c r="M82" i="73"/>
  <c r="M93" i="73"/>
  <c r="M68" i="73"/>
  <c r="M57" i="73"/>
  <c r="M52" i="73"/>
  <c r="M96" i="73"/>
  <c r="M53" i="73"/>
  <c r="M54" i="73"/>
  <c r="M97" i="73"/>
  <c r="M86" i="73"/>
  <c r="M83" i="73"/>
  <c r="M72" i="73"/>
  <c r="M36" i="73"/>
  <c r="M5" i="73"/>
  <c r="AF168" i="72" l="1"/>
  <c r="AH168" i="72"/>
  <c r="AF167" i="72"/>
  <c r="AH167" i="72"/>
  <c r="AH166" i="72"/>
  <c r="AF165" i="72"/>
  <c r="AH165" i="72"/>
  <c r="N1" i="73"/>
  <c r="R161" i="72"/>
  <c r="AQ166" i="72"/>
  <c r="AT166" i="72" s="1"/>
  <c r="N72" i="73"/>
  <c r="N92" i="73"/>
  <c r="N97" i="73"/>
  <c r="M30" i="73"/>
  <c r="N85" i="73"/>
  <c r="N56" i="73"/>
  <c r="N53" i="73"/>
  <c r="N57" i="73"/>
  <c r="N52" i="73"/>
  <c r="N68" i="73"/>
  <c r="N83" i="73"/>
  <c r="N54" i="73"/>
  <c r="N36" i="73"/>
  <c r="N69" i="73"/>
  <c r="N96" i="73"/>
  <c r="N5" i="73"/>
  <c r="N70" i="73"/>
  <c r="N33" i="73"/>
  <c r="N82" i="73"/>
  <c r="N84" i="73"/>
  <c r="N86" i="73"/>
  <c r="N41" i="73"/>
  <c r="N13" i="73"/>
  <c r="N93" i="73"/>
  <c r="N17" i="73"/>
  <c r="M21" i="73"/>
  <c r="N89" i="73"/>
  <c r="N37" i="73"/>
  <c r="N38" i="73"/>
  <c r="N51" i="73"/>
  <c r="N94" i="73"/>
  <c r="N73" i="73"/>
  <c r="O1" i="73" l="1"/>
  <c r="AH101" i="30"/>
  <c r="AX101" i="30" s="1"/>
  <c r="AH59" i="60"/>
  <c r="AI59" i="60"/>
  <c r="AJ59" i="60"/>
  <c r="AK59" i="60"/>
  <c r="AL59" i="60"/>
  <c r="AM59" i="60"/>
  <c r="AN59" i="60"/>
  <c r="AO59" i="60"/>
  <c r="AP59" i="60"/>
  <c r="AQ59" i="60"/>
  <c r="AR59" i="60"/>
  <c r="AS59" i="60"/>
  <c r="AH60" i="60"/>
  <c r="AI60" i="60"/>
  <c r="AJ60" i="60"/>
  <c r="AK60" i="60"/>
  <c r="AL60" i="60"/>
  <c r="AM60" i="60"/>
  <c r="AN60" i="60"/>
  <c r="AO60" i="60"/>
  <c r="AP60" i="60"/>
  <c r="AQ60" i="60"/>
  <c r="AR60" i="60"/>
  <c r="AS60" i="60"/>
  <c r="AH59" i="62"/>
  <c r="AI59" i="62"/>
  <c r="AJ59" i="62"/>
  <c r="AK59" i="62"/>
  <c r="AL59" i="62"/>
  <c r="AM59" i="62"/>
  <c r="AN59" i="62"/>
  <c r="AO59" i="62"/>
  <c r="AP59" i="62"/>
  <c r="AQ59" i="62"/>
  <c r="AR59" i="62"/>
  <c r="AS59" i="62"/>
  <c r="AH59" i="59"/>
  <c r="AI59" i="59"/>
  <c r="AJ59" i="59"/>
  <c r="AK59" i="59"/>
  <c r="AL59" i="59"/>
  <c r="AM59" i="59"/>
  <c r="AN59" i="59"/>
  <c r="AO59" i="59"/>
  <c r="AP59" i="59"/>
  <c r="AQ59" i="59"/>
  <c r="AR59" i="59"/>
  <c r="AS59" i="59"/>
  <c r="AH60" i="57"/>
  <c r="AI60" i="57"/>
  <c r="AJ60" i="57"/>
  <c r="AK60" i="57"/>
  <c r="AL60" i="57"/>
  <c r="AM60" i="57"/>
  <c r="AN60" i="57"/>
  <c r="AO60" i="57"/>
  <c r="AP60" i="57"/>
  <c r="AQ60" i="57"/>
  <c r="AR60" i="57"/>
  <c r="AS60" i="57"/>
  <c r="S59" i="62"/>
  <c r="T59" i="62"/>
  <c r="U59" i="62"/>
  <c r="V59" i="62"/>
  <c r="W59" i="62"/>
  <c r="X59" i="62"/>
  <c r="Y59" i="62"/>
  <c r="Z59" i="62"/>
  <c r="AA59" i="62"/>
  <c r="AB59" i="62"/>
  <c r="AC59" i="62"/>
  <c r="AD59" i="62"/>
  <c r="S59" i="60"/>
  <c r="T59" i="60"/>
  <c r="U59" i="60"/>
  <c r="V59" i="60"/>
  <c r="W59" i="60"/>
  <c r="X59" i="60"/>
  <c r="Y59" i="60"/>
  <c r="Z59" i="60"/>
  <c r="AA59" i="60"/>
  <c r="AB59" i="60"/>
  <c r="AC59" i="60"/>
  <c r="AD59" i="60"/>
  <c r="S60" i="60"/>
  <c r="T60" i="60"/>
  <c r="U60" i="60"/>
  <c r="V60" i="60"/>
  <c r="W60" i="60"/>
  <c r="X60" i="60"/>
  <c r="Y60" i="60"/>
  <c r="Z60" i="60"/>
  <c r="AA60" i="60"/>
  <c r="AB60" i="60"/>
  <c r="AC60" i="60"/>
  <c r="AD60" i="60"/>
  <c r="AC58" i="59"/>
  <c r="S59" i="59"/>
  <c r="T59" i="59"/>
  <c r="U59" i="59"/>
  <c r="V59" i="59"/>
  <c r="W59" i="59"/>
  <c r="X59" i="59"/>
  <c r="Y59" i="59"/>
  <c r="Z59" i="59"/>
  <c r="AA59" i="59"/>
  <c r="AB59" i="59"/>
  <c r="AC59" i="59"/>
  <c r="AD59" i="59"/>
  <c r="S59" i="57"/>
  <c r="T59" i="57"/>
  <c r="U59" i="57"/>
  <c r="V59" i="57"/>
  <c r="W59" i="57"/>
  <c r="X59" i="57"/>
  <c r="Y59" i="57"/>
  <c r="Z59" i="57"/>
  <c r="AA59" i="57"/>
  <c r="AB59" i="57"/>
  <c r="AC59" i="57"/>
  <c r="AD59" i="57"/>
  <c r="S60" i="57"/>
  <c r="T60" i="57"/>
  <c r="U60" i="57"/>
  <c r="V60" i="57"/>
  <c r="W60" i="57"/>
  <c r="X60" i="57"/>
  <c r="Y60" i="57"/>
  <c r="Z60" i="57"/>
  <c r="AA60" i="57"/>
  <c r="AB60" i="57"/>
  <c r="AC60" i="57"/>
  <c r="AD60" i="57"/>
  <c r="S59" i="61"/>
  <c r="T59" i="61"/>
  <c r="U59" i="61"/>
  <c r="V59" i="61"/>
  <c r="W59" i="61"/>
  <c r="X59" i="61"/>
  <c r="Y59" i="61"/>
  <c r="Z59" i="61"/>
  <c r="AA59" i="61"/>
  <c r="AB59" i="61"/>
  <c r="AC59" i="61"/>
  <c r="AD59" i="61"/>
  <c r="S60" i="61"/>
  <c r="T60" i="61"/>
  <c r="U60" i="61"/>
  <c r="V60" i="61"/>
  <c r="W60" i="61"/>
  <c r="X60" i="61"/>
  <c r="Y60" i="61"/>
  <c r="Z60" i="61"/>
  <c r="AA60" i="61"/>
  <c r="AB60" i="61"/>
  <c r="AC60" i="61"/>
  <c r="AD60" i="61"/>
  <c r="P3" i="68"/>
  <c r="Q3" i="68"/>
  <c r="R3" i="68"/>
  <c r="S3" i="68"/>
  <c r="T3" i="68"/>
  <c r="U3" i="68"/>
  <c r="V3" i="68"/>
  <c r="W3" i="68"/>
  <c r="X3" i="68"/>
  <c r="Y3" i="68"/>
  <c r="Z3" i="68"/>
  <c r="AA3" i="68"/>
  <c r="R4" i="16"/>
  <c r="S4" i="16"/>
  <c r="T4" i="16"/>
  <c r="U4" i="16"/>
  <c r="V4" i="16"/>
  <c r="W4" i="16"/>
  <c r="X4" i="16"/>
  <c r="Y4" i="16"/>
  <c r="Z4" i="16"/>
  <c r="AA4" i="16"/>
  <c r="AB4" i="16"/>
  <c r="AC4" i="16"/>
  <c r="AD4" i="16"/>
  <c r="AE4" i="16"/>
  <c r="AF4" i="16"/>
  <c r="AG4" i="16"/>
  <c r="AH4" i="16"/>
  <c r="AI4" i="16"/>
  <c r="AJ4" i="16"/>
  <c r="AK4" i="16"/>
  <c r="AL4" i="16"/>
  <c r="AM4" i="16"/>
  <c r="AN4" i="16"/>
  <c r="R15" i="16"/>
  <c r="S15" i="16"/>
  <c r="T15" i="16"/>
  <c r="U15" i="16"/>
  <c r="V15" i="16"/>
  <c r="W15" i="16"/>
  <c r="X15" i="16"/>
  <c r="Y15" i="16"/>
  <c r="Z15" i="16"/>
  <c r="AA15" i="16"/>
  <c r="AB15" i="16"/>
  <c r="AC15" i="16"/>
  <c r="AD15" i="16"/>
  <c r="AE15" i="16"/>
  <c r="AF15" i="16"/>
  <c r="AG15" i="16"/>
  <c r="AH15" i="16"/>
  <c r="AI15" i="16"/>
  <c r="AJ15" i="16"/>
  <c r="AK15" i="16"/>
  <c r="AL15" i="16"/>
  <c r="AM15" i="16"/>
  <c r="AN15" i="16"/>
  <c r="Q15" i="16"/>
  <c r="AD8" i="16"/>
  <c r="AE8" i="16"/>
  <c r="AF8" i="16"/>
  <c r="AG8" i="16"/>
  <c r="AH8" i="16"/>
  <c r="AI8" i="16"/>
  <c r="AJ8" i="16"/>
  <c r="AK8" i="16"/>
  <c r="AL8" i="16"/>
  <c r="AM8" i="16"/>
  <c r="AN8" i="16"/>
  <c r="AC8" i="16"/>
  <c r="AH17" i="16"/>
  <c r="AI17" i="16"/>
  <c r="AJ17" i="16"/>
  <c r="AK17" i="16"/>
  <c r="AL17" i="16"/>
  <c r="AM17" i="16"/>
  <c r="AN17" i="16"/>
  <c r="AG17" i="16"/>
  <c r="R8" i="16"/>
  <c r="S8" i="16" s="1"/>
  <c r="T8" i="16" s="1"/>
  <c r="U8" i="16" s="1"/>
  <c r="V8" i="16" s="1"/>
  <c r="W8" i="16" s="1"/>
  <c r="X8" i="16" s="1"/>
  <c r="Y8" i="16" s="1"/>
  <c r="Z8" i="16" s="1"/>
  <c r="AA8" i="16" s="1"/>
  <c r="AB8" i="16" s="1"/>
  <c r="AC4" i="22"/>
  <c r="AD4" i="22"/>
  <c r="AE4" i="22"/>
  <c r="AF4" i="22"/>
  <c r="G8" i="23"/>
  <c r="Y4" i="23"/>
  <c r="AK4" i="23" s="1"/>
  <c r="Z4" i="23"/>
  <c r="AA4" i="23"/>
  <c r="AM4" i="23" s="1"/>
  <c r="AB4" i="23"/>
  <c r="AN4" i="23" s="1"/>
  <c r="AL4" i="23"/>
  <c r="R4" i="23"/>
  <c r="AD4" i="23" s="1"/>
  <c r="S4" i="23"/>
  <c r="AE4" i="23" s="1"/>
  <c r="T4" i="23"/>
  <c r="AF4" i="23" s="1"/>
  <c r="U4" i="23"/>
  <c r="AG4" i="23" s="1"/>
  <c r="V4" i="23"/>
  <c r="AH4" i="23" s="1"/>
  <c r="W4" i="23"/>
  <c r="AI4" i="23" s="1"/>
  <c r="X4" i="23"/>
  <c r="AJ4" i="23" s="1"/>
  <c r="Q4" i="23"/>
  <c r="AC4" i="23" s="1"/>
  <c r="Q4" i="19"/>
  <c r="R4" i="19"/>
  <c r="S4" i="19"/>
  <c r="T4" i="19"/>
  <c r="U4" i="19"/>
  <c r="V4" i="19"/>
  <c r="W4" i="19"/>
  <c r="X4" i="19"/>
  <c r="Y4" i="19"/>
  <c r="Z4" i="19"/>
  <c r="AA4" i="19"/>
  <c r="AB4" i="19"/>
  <c r="R36" i="23"/>
  <c r="T59" i="63" s="1"/>
  <c r="AS94" i="57"/>
  <c r="AR94" i="57"/>
  <c r="AQ94" i="57"/>
  <c r="AP94" i="57"/>
  <c r="AO94" i="57"/>
  <c r="AN94" i="57"/>
  <c r="AM94" i="57"/>
  <c r="AL94" i="57"/>
  <c r="AK94" i="57"/>
  <c r="AJ94" i="57"/>
  <c r="AI94" i="57"/>
  <c r="AH94" i="57"/>
  <c r="AS93" i="57"/>
  <c r="AR93" i="57"/>
  <c r="AQ93" i="57"/>
  <c r="AP93" i="57"/>
  <c r="AO93" i="57"/>
  <c r="AN93" i="57"/>
  <c r="AM93" i="57"/>
  <c r="AL93" i="57"/>
  <c r="AK93" i="57"/>
  <c r="AJ93" i="57"/>
  <c r="AI93" i="57"/>
  <c r="AH93" i="57"/>
  <c r="AS92" i="57"/>
  <c r="AR92" i="57"/>
  <c r="AQ92" i="57"/>
  <c r="AP92" i="57"/>
  <c r="AO92" i="57"/>
  <c r="AN92" i="57"/>
  <c r="AM92" i="57"/>
  <c r="AL92" i="57"/>
  <c r="AK92" i="57"/>
  <c r="AJ92" i="57"/>
  <c r="AI92" i="57"/>
  <c r="AH92" i="57"/>
  <c r="AD94" i="57"/>
  <c r="AC94" i="57"/>
  <c r="AB94" i="57"/>
  <c r="AA94" i="57"/>
  <c r="Z94" i="57"/>
  <c r="Y94" i="57"/>
  <c r="X94" i="57"/>
  <c r="W94" i="57"/>
  <c r="V94" i="57"/>
  <c r="U94" i="57"/>
  <c r="T94" i="57"/>
  <c r="S94" i="57"/>
  <c r="AD93" i="57"/>
  <c r="AC93" i="57"/>
  <c r="AB93" i="57"/>
  <c r="AA93" i="57"/>
  <c r="Z93" i="57"/>
  <c r="Y93" i="57"/>
  <c r="X93" i="57"/>
  <c r="W93" i="57"/>
  <c r="V93" i="57"/>
  <c r="U93" i="57"/>
  <c r="T93" i="57"/>
  <c r="S93" i="57"/>
  <c r="AD92" i="57"/>
  <c r="AC92" i="57"/>
  <c r="AB92" i="57"/>
  <c r="AA92" i="57"/>
  <c r="Z92" i="57"/>
  <c r="Y92" i="57"/>
  <c r="X92" i="57"/>
  <c r="W92" i="57"/>
  <c r="V92" i="57"/>
  <c r="U92" i="57"/>
  <c r="T92" i="57"/>
  <c r="S92" i="57"/>
  <c r="L67" i="57"/>
  <c r="L65" i="57"/>
  <c r="AS66" i="59"/>
  <c r="AR66" i="59"/>
  <c r="AQ66" i="59"/>
  <c r="AP66" i="59"/>
  <c r="AO66" i="59"/>
  <c r="AN66" i="59"/>
  <c r="AM66" i="59"/>
  <c r="AL66" i="59"/>
  <c r="AK66" i="59"/>
  <c r="AJ66" i="59"/>
  <c r="AI66" i="59"/>
  <c r="AH66" i="59"/>
  <c r="AD66" i="59"/>
  <c r="AC66" i="59"/>
  <c r="AB66" i="59"/>
  <c r="AA66" i="59"/>
  <c r="Z66" i="59"/>
  <c r="Y66" i="59"/>
  <c r="X66" i="59"/>
  <c r="W66" i="59"/>
  <c r="V66" i="59"/>
  <c r="U66" i="59"/>
  <c r="T66" i="59"/>
  <c r="S66" i="59"/>
  <c r="AS65" i="62"/>
  <c r="AR65" i="62"/>
  <c r="AQ65" i="62"/>
  <c r="AP65" i="62"/>
  <c r="AO65" i="62"/>
  <c r="AN65" i="62"/>
  <c r="AM65" i="62"/>
  <c r="AL65" i="62"/>
  <c r="AK65" i="62"/>
  <c r="AJ65" i="62"/>
  <c r="AI65" i="62"/>
  <c r="AH65" i="62"/>
  <c r="AD65" i="62"/>
  <c r="AC65" i="62"/>
  <c r="AB65" i="62"/>
  <c r="AA65" i="62"/>
  <c r="Z65" i="62"/>
  <c r="Y65" i="62"/>
  <c r="X65" i="62"/>
  <c r="W65" i="62"/>
  <c r="V65" i="62"/>
  <c r="U65" i="62"/>
  <c r="T65" i="62"/>
  <c r="S65" i="62"/>
  <c r="AS67" i="63"/>
  <c r="AR67" i="63"/>
  <c r="AQ67" i="63"/>
  <c r="AP67" i="63"/>
  <c r="AO67" i="63"/>
  <c r="AN67" i="63"/>
  <c r="AM67" i="63"/>
  <c r="AL67" i="63"/>
  <c r="AK67" i="63"/>
  <c r="AJ67" i="63"/>
  <c r="AI67" i="63"/>
  <c r="AH67" i="63"/>
  <c r="AD67" i="63"/>
  <c r="AC67" i="63"/>
  <c r="AB67" i="63"/>
  <c r="AA67" i="63"/>
  <c r="Z67" i="63"/>
  <c r="Y67" i="63"/>
  <c r="X67" i="63"/>
  <c r="W67" i="63"/>
  <c r="V67" i="63"/>
  <c r="U67" i="63"/>
  <c r="T67" i="63"/>
  <c r="S67" i="63"/>
  <c r="AS67" i="60"/>
  <c r="AR67" i="60"/>
  <c r="AQ67" i="60"/>
  <c r="AP67" i="60"/>
  <c r="AO67" i="60"/>
  <c r="AN67" i="60"/>
  <c r="AM67" i="60"/>
  <c r="AL67" i="60"/>
  <c r="AK67" i="60"/>
  <c r="AJ67" i="60"/>
  <c r="AI67" i="60"/>
  <c r="AH67" i="60"/>
  <c r="AD67" i="60"/>
  <c r="AC67" i="60"/>
  <c r="AB67" i="60"/>
  <c r="AA67" i="60"/>
  <c r="Z67" i="60"/>
  <c r="Y67" i="60"/>
  <c r="X67" i="60"/>
  <c r="W67" i="60"/>
  <c r="V67" i="60"/>
  <c r="U67" i="60"/>
  <c r="T67" i="60"/>
  <c r="S67" i="60"/>
  <c r="O67" i="60"/>
  <c r="N67" i="60"/>
  <c r="M67" i="60"/>
  <c r="S3" i="35"/>
  <c r="T3" i="35"/>
  <c r="U3" i="35"/>
  <c r="V3" i="35"/>
  <c r="W3" i="35"/>
  <c r="X3" i="35"/>
  <c r="Y3" i="35"/>
  <c r="Z3" i="35"/>
  <c r="AA3" i="35"/>
  <c r="AB3" i="35"/>
  <c r="Z36" i="19"/>
  <c r="AB58" i="62" s="1"/>
  <c r="AI8" i="66"/>
  <c r="AJ8" i="66"/>
  <c r="AK8" i="66"/>
  <c r="AL8" i="66"/>
  <c r="AM8" i="66"/>
  <c r="AN8" i="66"/>
  <c r="AO8" i="66"/>
  <c r="AP8" i="66"/>
  <c r="AQ8" i="66"/>
  <c r="AR8" i="66"/>
  <c r="AS8" i="66"/>
  <c r="AI9" i="65"/>
  <c r="AI1" i="65" s="1"/>
  <c r="AJ9" i="65"/>
  <c r="AJ1" i="65" s="1"/>
  <c r="AK9" i="65"/>
  <c r="AK1" i="65" s="1"/>
  <c r="AL9" i="65"/>
  <c r="AL1" i="65" s="1"/>
  <c r="AM9" i="65"/>
  <c r="AM1" i="65" s="1"/>
  <c r="AN9" i="65"/>
  <c r="AN1" i="65" s="1"/>
  <c r="AO9" i="65"/>
  <c r="AO1" i="65" s="1"/>
  <c r="AP9" i="65"/>
  <c r="AP1" i="65" s="1"/>
  <c r="AQ9" i="65"/>
  <c r="AQ1" i="65" s="1"/>
  <c r="AR9" i="65"/>
  <c r="AR1" i="65" s="1"/>
  <c r="AS9" i="65"/>
  <c r="AS1" i="65" s="1"/>
  <c r="AI8" i="52"/>
  <c r="AI17" i="52" s="1"/>
  <c r="AJ8" i="52"/>
  <c r="AJ17" i="52" s="1"/>
  <c r="AK8" i="52"/>
  <c r="AL8" i="52"/>
  <c r="AM8" i="52"/>
  <c r="AM17" i="52" s="1"/>
  <c r="AN8" i="52"/>
  <c r="AN17" i="52" s="1"/>
  <c r="AO8" i="52"/>
  <c r="AO17" i="52" s="1"/>
  <c r="AP8" i="52"/>
  <c r="AP17" i="52" s="1"/>
  <c r="AQ8" i="52"/>
  <c r="AQ17" i="52" s="1"/>
  <c r="AR8" i="52"/>
  <c r="AR17" i="52" s="1"/>
  <c r="AS8" i="52"/>
  <c r="AS17" i="52" s="1"/>
  <c r="AI8" i="51"/>
  <c r="AI17" i="51" s="1"/>
  <c r="AJ8" i="51"/>
  <c r="AJ17" i="51" s="1"/>
  <c r="AK8" i="51"/>
  <c r="AK17" i="51" s="1"/>
  <c r="AL8" i="51"/>
  <c r="AL17" i="51" s="1"/>
  <c r="AM8" i="51"/>
  <c r="AM17" i="51" s="1"/>
  <c r="AN8" i="51"/>
  <c r="AN17" i="51" s="1"/>
  <c r="AO8" i="51"/>
  <c r="AO17" i="51" s="1"/>
  <c r="AP8" i="51"/>
  <c r="AQ8" i="51"/>
  <c r="AR8" i="51"/>
  <c r="AS8" i="51"/>
  <c r="AS20" i="65"/>
  <c r="AR20" i="65"/>
  <c r="AQ20" i="65"/>
  <c r="AP20" i="65"/>
  <c r="AO20" i="65"/>
  <c r="AN20" i="65"/>
  <c r="AM20" i="65"/>
  <c r="AL20" i="65"/>
  <c r="AK20" i="65"/>
  <c r="AJ20" i="65"/>
  <c r="AI20" i="65"/>
  <c r="AH20" i="65"/>
  <c r="AD20" i="65"/>
  <c r="AC20" i="65"/>
  <c r="AB20" i="65"/>
  <c r="AA20" i="65"/>
  <c r="Z20" i="65"/>
  <c r="Y20" i="65"/>
  <c r="X20" i="65"/>
  <c r="W20" i="65"/>
  <c r="V20" i="65"/>
  <c r="U20" i="65"/>
  <c r="T20" i="65"/>
  <c r="S20" i="65"/>
  <c r="AS17" i="65"/>
  <c r="AR17" i="65"/>
  <c r="AQ17" i="65"/>
  <c r="AP17" i="65"/>
  <c r="AO17" i="65"/>
  <c r="AN17" i="65"/>
  <c r="AM17" i="65"/>
  <c r="AL17" i="65"/>
  <c r="AK17" i="65"/>
  <c r="AJ17" i="65"/>
  <c r="AI17" i="65"/>
  <c r="AH17" i="65"/>
  <c r="AD17" i="65"/>
  <c r="AC17" i="65"/>
  <c r="AB17" i="65"/>
  <c r="AA17" i="65"/>
  <c r="Z17" i="65"/>
  <c r="Y17" i="65"/>
  <c r="X17" i="65"/>
  <c r="W17" i="65"/>
  <c r="V17" i="65"/>
  <c r="U17" i="65"/>
  <c r="T17" i="65"/>
  <c r="S17" i="65"/>
  <c r="C41" i="52"/>
  <c r="C40" i="52"/>
  <c r="B226" i="30"/>
  <c r="C38" i="52"/>
  <c r="C41" i="51"/>
  <c r="C40" i="51"/>
  <c r="C39" i="51"/>
  <c r="C38" i="51"/>
  <c r="AF62" i="62"/>
  <c r="M34" i="73"/>
  <c r="I34" i="73"/>
  <c r="K91" i="73"/>
  <c r="M35" i="73"/>
  <c r="O5" i="73"/>
  <c r="O13" i="73"/>
  <c r="I35" i="73"/>
  <c r="O94" i="73"/>
  <c r="K66" i="73"/>
  <c r="O37" i="73"/>
  <c r="I67" i="73"/>
  <c r="O66" i="73"/>
  <c r="O72" i="73"/>
  <c r="N35" i="73"/>
  <c r="M66" i="73"/>
  <c r="I91" i="73"/>
  <c r="K35" i="73"/>
  <c r="O52" i="73"/>
  <c r="O68" i="73"/>
  <c r="O93" i="73"/>
  <c r="O73" i="73"/>
  <c r="O67" i="73"/>
  <c r="G39" i="73"/>
  <c r="O33" i="73"/>
  <c r="L35" i="73"/>
  <c r="J66" i="73"/>
  <c r="J35" i="73"/>
  <c r="O70" i="73"/>
  <c r="O38" i="73"/>
  <c r="J67" i="73"/>
  <c r="L66" i="73"/>
  <c r="O97" i="73"/>
  <c r="N34" i="73"/>
  <c r="L34" i="73"/>
  <c r="H39" i="73"/>
  <c r="J91" i="73"/>
  <c r="O41" i="73"/>
  <c r="O84" i="73"/>
  <c r="J34" i="73"/>
  <c r="O56" i="73"/>
  <c r="K34" i="73"/>
  <c r="N21" i="73"/>
  <c r="F39" i="73"/>
  <c r="O89" i="73"/>
  <c r="M91" i="73"/>
  <c r="O83" i="73"/>
  <c r="N30" i="73"/>
  <c r="I66" i="73"/>
  <c r="O69" i="73"/>
  <c r="O51" i="73"/>
  <c r="N67" i="73"/>
  <c r="O54" i="73"/>
  <c r="L91" i="73"/>
  <c r="N91" i="73"/>
  <c r="O91" i="73"/>
  <c r="L67" i="73"/>
  <c r="O35" i="73"/>
  <c r="O17" i="73"/>
  <c r="O85" i="73"/>
  <c r="O53" i="73"/>
  <c r="O96" i="73"/>
  <c r="O82" i="73"/>
  <c r="M67" i="73"/>
  <c r="O34" i="73"/>
  <c r="O36" i="73"/>
  <c r="K67" i="73"/>
  <c r="O92" i="73"/>
  <c r="O86" i="73"/>
  <c r="O57" i="73"/>
  <c r="N66" i="73"/>
  <c r="B276" i="76" l="1"/>
  <c r="B225" i="30"/>
  <c r="AA19" i="35"/>
  <c r="AA8" i="35"/>
  <c r="AA10" i="35"/>
  <c r="AA7" i="35"/>
  <c r="AA11" i="35"/>
  <c r="AA9" i="35"/>
  <c r="AA18" i="35"/>
  <c r="W11" i="35"/>
  <c r="W7" i="35"/>
  <c r="W18" i="35"/>
  <c r="W8" i="35"/>
  <c r="W19" i="35"/>
  <c r="W10" i="35"/>
  <c r="W9" i="35"/>
  <c r="V11" i="35"/>
  <c r="V18" i="35"/>
  <c r="V10" i="35"/>
  <c r="V19" i="35"/>
  <c r="V9" i="35"/>
  <c r="V7" i="35"/>
  <c r="V8" i="35"/>
  <c r="Z8" i="35"/>
  <c r="Z9" i="35"/>
  <c r="Z10" i="35"/>
  <c r="Z7" i="35"/>
  <c r="Z11" i="35"/>
  <c r="Z18" i="35"/>
  <c r="Z19" i="35"/>
  <c r="S19" i="35"/>
  <c r="S9" i="35"/>
  <c r="S18" i="35"/>
  <c r="S8" i="35"/>
  <c r="S7" i="35"/>
  <c r="S10" i="35"/>
  <c r="S11" i="35"/>
  <c r="Y10" i="35"/>
  <c r="Y7" i="35"/>
  <c r="Y11" i="35"/>
  <c r="Y18" i="35"/>
  <c r="Y9" i="35"/>
  <c r="Y19" i="35"/>
  <c r="Y8" i="35"/>
  <c r="U18" i="35"/>
  <c r="U19" i="35"/>
  <c r="U9" i="35"/>
  <c r="U10" i="35"/>
  <c r="U11" i="35"/>
  <c r="U8" i="35"/>
  <c r="U7" i="35"/>
  <c r="T19" i="35"/>
  <c r="T11" i="35"/>
  <c r="T18" i="35"/>
  <c r="T9" i="35"/>
  <c r="T8" i="35"/>
  <c r="T10" i="35"/>
  <c r="T7" i="35"/>
  <c r="AB9" i="35"/>
  <c r="AB8" i="35"/>
  <c r="AB10" i="35"/>
  <c r="AB7" i="35"/>
  <c r="AB18" i="35"/>
  <c r="AB19" i="35"/>
  <c r="AB11" i="35"/>
  <c r="X10" i="35"/>
  <c r="X7" i="35"/>
  <c r="X8" i="35"/>
  <c r="X11" i="35"/>
  <c r="X18" i="35"/>
  <c r="X19" i="35"/>
  <c r="X9" i="35"/>
  <c r="F226" i="30"/>
  <c r="AU226" i="30"/>
  <c r="AS226" i="30"/>
  <c r="AL226" i="30"/>
  <c r="AK226" i="30"/>
  <c r="AT226" i="30"/>
  <c r="AQ226" i="30"/>
  <c r="AV226" i="30"/>
  <c r="AN226" i="30"/>
  <c r="AM226" i="30"/>
  <c r="AO226" i="30"/>
  <c r="AR226" i="30"/>
  <c r="AP226" i="30"/>
  <c r="AF226" i="30"/>
  <c r="AB226" i="30"/>
  <c r="AE226" i="30"/>
  <c r="O226" i="30"/>
  <c r="J226" i="30"/>
  <c r="L226" i="30"/>
  <c r="X226" i="30"/>
  <c r="N226" i="30"/>
  <c r="AG226" i="30"/>
  <c r="AD226" i="30"/>
  <c r="I226" i="30"/>
  <c r="G226" i="30"/>
  <c r="Y226" i="30"/>
  <c r="W226" i="30"/>
  <c r="V226" i="30"/>
  <c r="P226" i="30"/>
  <c r="AC226" i="30"/>
  <c r="AA226" i="30"/>
  <c r="K226" i="30"/>
  <c r="H226" i="30"/>
  <c r="M226" i="30"/>
  <c r="Z226" i="30"/>
  <c r="Q226" i="30"/>
  <c r="P1" i="73"/>
  <c r="AO39" i="52"/>
  <c r="AN39" i="52"/>
  <c r="AL39" i="52"/>
  <c r="AL39" i="51"/>
  <c r="AM39" i="51"/>
  <c r="AP39" i="52"/>
  <c r="AN39" i="51"/>
  <c r="AQ39" i="52"/>
  <c r="AR39" i="51"/>
  <c r="AI39" i="52"/>
  <c r="AQ39" i="51"/>
  <c r="AF17" i="65"/>
  <c r="AF20" i="65"/>
  <c r="AP39" i="51"/>
  <c r="AO39" i="51"/>
  <c r="AS39" i="52"/>
  <c r="AI39" i="51"/>
  <c r="AJ39" i="51"/>
  <c r="AM39" i="52"/>
  <c r="AK39" i="51"/>
  <c r="AP17" i="51"/>
  <c r="AK39" i="52"/>
  <c r="AS39" i="51"/>
  <c r="AB70" i="35"/>
  <c r="AA70" i="35"/>
  <c r="Z70" i="35"/>
  <c r="Y70" i="35"/>
  <c r="X70" i="35"/>
  <c r="W70" i="35"/>
  <c r="V70" i="35"/>
  <c r="U70" i="35"/>
  <c r="T70" i="35"/>
  <c r="T57" i="35"/>
  <c r="V67" i="59" s="1"/>
  <c r="S70" i="35"/>
  <c r="AK17" i="52"/>
  <c r="AR39" i="52"/>
  <c r="AL17" i="52"/>
  <c r="AJ39" i="52"/>
  <c r="AQ17" i="51"/>
  <c r="AR17" i="51"/>
  <c r="AS17" i="51"/>
  <c r="AF67" i="63"/>
  <c r="AF65" i="62"/>
  <c r="AF92" i="57"/>
  <c r="AF93" i="57"/>
  <c r="AF94" i="57"/>
  <c r="P82" i="73"/>
  <c r="P69" i="73"/>
  <c r="P97" i="73"/>
  <c r="P38" i="73"/>
  <c r="P93" i="73"/>
  <c r="P86" i="73"/>
  <c r="P51" i="73"/>
  <c r="P89" i="73"/>
  <c r="P85" i="73"/>
  <c r="P36" i="73"/>
  <c r="P37" i="73"/>
  <c r="P73" i="73"/>
  <c r="P92" i="73"/>
  <c r="P84" i="73"/>
  <c r="O30" i="73"/>
  <c r="P41" i="73"/>
  <c r="P13" i="73"/>
  <c r="P66" i="73"/>
  <c r="P57" i="73"/>
  <c r="P54" i="73"/>
  <c r="P91" i="73"/>
  <c r="P96" i="73"/>
  <c r="P17" i="73"/>
  <c r="P70" i="73"/>
  <c r="P33" i="73"/>
  <c r="P34" i="73"/>
  <c r="P52" i="73"/>
  <c r="P5" i="73"/>
  <c r="P35" i="73"/>
  <c r="P56" i="73"/>
  <c r="P67" i="73"/>
  <c r="P72" i="73"/>
  <c r="P53" i="73"/>
  <c r="P94" i="73"/>
  <c r="P68" i="73"/>
  <c r="P83" i="73"/>
  <c r="O21" i="73"/>
  <c r="F225" i="30" l="1"/>
  <c r="AQ225" i="30"/>
  <c r="Y225" i="30"/>
  <c r="M225" i="30"/>
  <c r="AR225" i="30"/>
  <c r="H225" i="30"/>
  <c r="AN225" i="30"/>
  <c r="AB225" i="30"/>
  <c r="AA225" i="30"/>
  <c r="AE225" i="30"/>
  <c r="AO225" i="30"/>
  <c r="AC225" i="30"/>
  <c r="N225" i="30"/>
  <c r="Q225" i="30"/>
  <c r="AV225" i="30"/>
  <c r="Z225" i="30"/>
  <c r="G225" i="30"/>
  <c r="O225" i="30"/>
  <c r="I225" i="30"/>
  <c r="AK225" i="30"/>
  <c r="AM225" i="30"/>
  <c r="AF225" i="30"/>
  <c r="P225" i="30"/>
  <c r="AU225" i="30"/>
  <c r="AT225" i="30"/>
  <c r="V225" i="30"/>
  <c r="W225" i="30"/>
  <c r="AS225" i="30"/>
  <c r="J225" i="30"/>
  <c r="AP225" i="30"/>
  <c r="AG225" i="30"/>
  <c r="X225" i="30"/>
  <c r="AL225" i="30"/>
  <c r="AD225" i="30"/>
  <c r="L225" i="30"/>
  <c r="K225" i="30"/>
  <c r="AD276" i="76"/>
  <c r="Z276" i="76"/>
  <c r="AQ276" i="76"/>
  <c r="Q276" i="76"/>
  <c r="F276" i="76"/>
  <c r="AK276" i="76"/>
  <c r="J276" i="76"/>
  <c r="AP276" i="76"/>
  <c r="AB276" i="76"/>
  <c r="AU276" i="76"/>
  <c r="W276" i="76"/>
  <c r="P276" i="76"/>
  <c r="V276" i="76"/>
  <c r="N276" i="76"/>
  <c r="AG276" i="76"/>
  <c r="AO276" i="76"/>
  <c r="AA276" i="76"/>
  <c r="AR276" i="76"/>
  <c r="O276" i="76"/>
  <c r="AL276" i="76"/>
  <c r="K276" i="76"/>
  <c r="AN276" i="76"/>
  <c r="I276" i="76"/>
  <c r="AF276" i="76"/>
  <c r="AS276" i="76"/>
  <c r="L276" i="76"/>
  <c r="AV276" i="76"/>
  <c r="X276" i="76"/>
  <c r="H276" i="76"/>
  <c r="Y276" i="76"/>
  <c r="AC276" i="76"/>
  <c r="AM276" i="76"/>
  <c r="AT276" i="76"/>
  <c r="G276" i="76"/>
  <c r="M276" i="76"/>
  <c r="AE276" i="76"/>
  <c r="K18" i="75"/>
  <c r="M18" i="75" s="1"/>
  <c r="K15" i="75"/>
  <c r="M15" i="75" s="1"/>
  <c r="R226" i="30"/>
  <c r="AH226" i="30"/>
  <c r="AW226" i="30"/>
  <c r="AX226" i="30" s="1"/>
  <c r="Q1" i="73"/>
  <c r="AU142" i="56"/>
  <c r="AT142" i="56"/>
  <c r="AS142" i="56"/>
  <c r="AR142" i="56"/>
  <c r="AQ142" i="56"/>
  <c r="AP142" i="56"/>
  <c r="AO142" i="56"/>
  <c r="AN142" i="56"/>
  <c r="AM142" i="56"/>
  <c r="AL142" i="56"/>
  <c r="AK142" i="56"/>
  <c r="AJ142" i="56"/>
  <c r="AU110" i="56"/>
  <c r="AT110" i="56"/>
  <c r="AS110" i="56"/>
  <c r="AR110" i="56"/>
  <c r="AQ110" i="56"/>
  <c r="AP110" i="56"/>
  <c r="AO110" i="56"/>
  <c r="AN110" i="56"/>
  <c r="AM110" i="56"/>
  <c r="AL110" i="56"/>
  <c r="AK110" i="56"/>
  <c r="AJ110" i="56"/>
  <c r="AU73" i="56"/>
  <c r="AT73" i="56"/>
  <c r="AS73" i="56"/>
  <c r="AR73" i="56"/>
  <c r="AQ73" i="56"/>
  <c r="AP73" i="56"/>
  <c r="AO73" i="56"/>
  <c r="AN73" i="56"/>
  <c r="AM73" i="56"/>
  <c r="AL73" i="56"/>
  <c r="AK73" i="56"/>
  <c r="AJ73" i="56"/>
  <c r="AU66" i="56"/>
  <c r="AT66" i="56"/>
  <c r="AS66" i="56"/>
  <c r="AR66" i="56"/>
  <c r="AQ66" i="56"/>
  <c r="AP66" i="56"/>
  <c r="AO66" i="56"/>
  <c r="AN66" i="56"/>
  <c r="AM66" i="56"/>
  <c r="AL66" i="56"/>
  <c r="AK66" i="56"/>
  <c r="AJ66" i="56"/>
  <c r="AU49" i="56"/>
  <c r="AT49" i="56"/>
  <c r="AS49" i="56"/>
  <c r="AR49" i="56"/>
  <c r="AQ49" i="56"/>
  <c r="AP49" i="56"/>
  <c r="AO49" i="56"/>
  <c r="AN49" i="56"/>
  <c r="AM49" i="56"/>
  <c r="AL49" i="56"/>
  <c r="AK49" i="56"/>
  <c r="AJ49" i="56"/>
  <c r="AU42" i="56"/>
  <c r="AT42" i="56"/>
  <c r="AS42" i="56"/>
  <c r="AR42" i="56"/>
  <c r="AQ42" i="56"/>
  <c r="AP42" i="56"/>
  <c r="AO42" i="56"/>
  <c r="AN42" i="56"/>
  <c r="AM42" i="56"/>
  <c r="AU35" i="56"/>
  <c r="AT35" i="56"/>
  <c r="AS35" i="56"/>
  <c r="AR35" i="56"/>
  <c r="AQ35" i="56"/>
  <c r="AP35" i="56"/>
  <c r="AO35" i="56"/>
  <c r="AN35" i="56"/>
  <c r="AM35" i="56"/>
  <c r="AL35" i="56"/>
  <c r="AK35" i="56"/>
  <c r="AJ35" i="56"/>
  <c r="AU33" i="56"/>
  <c r="AT33" i="56"/>
  <c r="AS33" i="56"/>
  <c r="AR33" i="56"/>
  <c r="AQ33" i="56"/>
  <c r="AP33" i="56"/>
  <c r="AO33" i="56"/>
  <c r="AN33" i="56"/>
  <c r="AM33" i="56"/>
  <c r="AL33" i="56"/>
  <c r="AK33" i="56"/>
  <c r="AJ33" i="56"/>
  <c r="AU32" i="56"/>
  <c r="AT32" i="56"/>
  <c r="AS32" i="56"/>
  <c r="AR32" i="56"/>
  <c r="AQ32" i="56"/>
  <c r="AP32" i="56"/>
  <c r="AO32" i="56"/>
  <c r="AN32" i="56"/>
  <c r="AM32" i="56"/>
  <c r="AL32" i="56"/>
  <c r="AK32" i="56"/>
  <c r="AJ32" i="56"/>
  <c r="AJ31" i="56"/>
  <c r="AK31" i="56" s="1"/>
  <c r="AL31" i="56" s="1"/>
  <c r="AM31" i="56" s="1"/>
  <c r="AN31" i="56" s="1"/>
  <c r="AO31" i="56" s="1"/>
  <c r="AP31" i="56" s="1"/>
  <c r="AQ31" i="56" s="1"/>
  <c r="AR31" i="56" s="1"/>
  <c r="AS31" i="56" s="1"/>
  <c r="AT31" i="56" s="1"/>
  <c r="AU31" i="56" s="1"/>
  <c r="AJ30" i="56"/>
  <c r="AK30" i="56" s="1"/>
  <c r="AL30" i="56" s="1"/>
  <c r="AM30" i="56" s="1"/>
  <c r="AN30" i="56" s="1"/>
  <c r="AO30" i="56" s="1"/>
  <c r="AP30" i="56" s="1"/>
  <c r="AQ30" i="56" s="1"/>
  <c r="AR30" i="56" s="1"/>
  <c r="AS30" i="56" s="1"/>
  <c r="AT30" i="56" s="1"/>
  <c r="AU30" i="56" s="1"/>
  <c r="AJ29" i="56"/>
  <c r="AK29" i="56" s="1"/>
  <c r="AL29" i="56" s="1"/>
  <c r="AM29" i="56" s="1"/>
  <c r="AN29" i="56" s="1"/>
  <c r="AO29" i="56" s="1"/>
  <c r="AP29" i="56" s="1"/>
  <c r="AQ29" i="56" s="1"/>
  <c r="AR29" i="56" s="1"/>
  <c r="AS29" i="56" s="1"/>
  <c r="AT29" i="56" s="1"/>
  <c r="AU29" i="56" s="1"/>
  <c r="AU28" i="56"/>
  <c r="AT28" i="56"/>
  <c r="AS28" i="56"/>
  <c r="AR28" i="56"/>
  <c r="AQ28" i="56"/>
  <c r="AP28" i="56"/>
  <c r="AO28" i="56"/>
  <c r="AN28" i="56"/>
  <c r="AM28" i="56"/>
  <c r="AL28" i="56"/>
  <c r="AK28" i="56"/>
  <c r="AJ28" i="56"/>
  <c r="AU27" i="56"/>
  <c r="AT27" i="56"/>
  <c r="AS27" i="56"/>
  <c r="AR27" i="56"/>
  <c r="AQ27" i="56"/>
  <c r="AP27" i="56"/>
  <c r="AO27" i="56"/>
  <c r="AN27" i="56"/>
  <c r="AM27" i="56"/>
  <c r="AL27" i="56"/>
  <c r="AK27" i="56"/>
  <c r="AJ27" i="56"/>
  <c r="AU19" i="56"/>
  <c r="AT19" i="56"/>
  <c r="AS19" i="56"/>
  <c r="AR19" i="56"/>
  <c r="AQ19" i="56"/>
  <c r="AP19" i="56"/>
  <c r="AO19" i="56"/>
  <c r="AN19" i="56"/>
  <c r="AM19" i="56"/>
  <c r="AL19" i="56"/>
  <c r="AK19" i="56"/>
  <c r="AJ19" i="56"/>
  <c r="AU11" i="56"/>
  <c r="AT11" i="56"/>
  <c r="AS11" i="56"/>
  <c r="AR11" i="56"/>
  <c r="AQ11" i="56"/>
  <c r="AP11" i="56"/>
  <c r="AO11" i="56"/>
  <c r="AN11" i="56"/>
  <c r="AM11" i="56"/>
  <c r="AL11" i="56"/>
  <c r="AK11" i="56"/>
  <c r="AJ11" i="56"/>
  <c r="AF67" i="60"/>
  <c r="AF63" i="60"/>
  <c r="AF62" i="60"/>
  <c r="AF61" i="60"/>
  <c r="AF63" i="63"/>
  <c r="AF62" i="63"/>
  <c r="AF61" i="63"/>
  <c r="AF61" i="62"/>
  <c r="AF60" i="62"/>
  <c r="AF67" i="61"/>
  <c r="AF63" i="61"/>
  <c r="AF62" i="61"/>
  <c r="AF61" i="61"/>
  <c r="AS87" i="59"/>
  <c r="AR87" i="59"/>
  <c r="AQ87" i="59"/>
  <c r="AP87" i="59"/>
  <c r="AO87" i="59"/>
  <c r="AN87" i="59"/>
  <c r="AM87" i="59"/>
  <c r="AL87" i="59"/>
  <c r="AK87" i="59"/>
  <c r="AJ87" i="59"/>
  <c r="AI87" i="59"/>
  <c r="AH87" i="59"/>
  <c r="AD87" i="59"/>
  <c r="AC87" i="59"/>
  <c r="AB87" i="59"/>
  <c r="AA87" i="59"/>
  <c r="Z87" i="59"/>
  <c r="Y87" i="59"/>
  <c r="X87" i="59"/>
  <c r="W87" i="59"/>
  <c r="V87" i="59"/>
  <c r="U87" i="59"/>
  <c r="T87" i="59"/>
  <c r="S87" i="59"/>
  <c r="AS86" i="59"/>
  <c r="AR86" i="59"/>
  <c r="AQ86" i="59"/>
  <c r="AP86" i="59"/>
  <c r="AO86" i="59"/>
  <c r="AN86" i="59"/>
  <c r="AM86" i="59"/>
  <c r="AL86" i="59"/>
  <c r="AK86" i="59"/>
  <c r="AJ86" i="59"/>
  <c r="AI86" i="59"/>
  <c r="AH86" i="59"/>
  <c r="AD86" i="59"/>
  <c r="AC86" i="59"/>
  <c r="AB86" i="59"/>
  <c r="AA86" i="59"/>
  <c r="Z86" i="59"/>
  <c r="Y86" i="59"/>
  <c r="X86" i="59"/>
  <c r="W86" i="59"/>
  <c r="V86" i="59"/>
  <c r="U86" i="59"/>
  <c r="T86" i="59"/>
  <c r="S86" i="59"/>
  <c r="AF93" i="59"/>
  <c r="AF92" i="59"/>
  <c r="AF91" i="59"/>
  <c r="AF90" i="59"/>
  <c r="AF89" i="59"/>
  <c r="AF88" i="59"/>
  <c r="AS88" i="57"/>
  <c r="AR88" i="57"/>
  <c r="AQ88" i="57"/>
  <c r="AP88" i="57"/>
  <c r="AO88" i="57"/>
  <c r="AN88" i="57"/>
  <c r="AM88" i="57"/>
  <c r="AL88" i="57"/>
  <c r="AK88" i="57"/>
  <c r="AJ88" i="57"/>
  <c r="AI88" i="57"/>
  <c r="AH88" i="57"/>
  <c r="AD88" i="57"/>
  <c r="AC88" i="57"/>
  <c r="AB88" i="57"/>
  <c r="AA88" i="57"/>
  <c r="Z88" i="57"/>
  <c r="Y88" i="57"/>
  <c r="X88" i="57"/>
  <c r="W88" i="57"/>
  <c r="V88" i="57"/>
  <c r="U88" i="57"/>
  <c r="T88" i="57"/>
  <c r="S88" i="57"/>
  <c r="AS87" i="57"/>
  <c r="AR87" i="57"/>
  <c r="AQ87" i="57"/>
  <c r="AP87" i="57"/>
  <c r="AO87" i="57"/>
  <c r="AN87" i="57"/>
  <c r="AM87" i="57"/>
  <c r="AL87" i="57"/>
  <c r="AK87" i="57"/>
  <c r="AJ87" i="57"/>
  <c r="AI87" i="57"/>
  <c r="AH87" i="57"/>
  <c r="AD87" i="57"/>
  <c r="AC87" i="57"/>
  <c r="AB87" i="57"/>
  <c r="AA87" i="57"/>
  <c r="Z87" i="57"/>
  <c r="Y87" i="57"/>
  <c r="X87" i="57"/>
  <c r="W87" i="57"/>
  <c r="V87" i="57"/>
  <c r="U87" i="57"/>
  <c r="T87" i="57"/>
  <c r="S87" i="57"/>
  <c r="AF91" i="57"/>
  <c r="AF90" i="57"/>
  <c r="AF89" i="57"/>
  <c r="AS52" i="37"/>
  <c r="AR52" i="37"/>
  <c r="AQ52" i="37"/>
  <c r="AP52" i="37"/>
  <c r="AO52" i="37"/>
  <c r="AN52" i="37"/>
  <c r="AM52" i="37"/>
  <c r="AL52" i="37"/>
  <c r="AK52" i="37"/>
  <c r="AJ52" i="37"/>
  <c r="AI52" i="37"/>
  <c r="AH52" i="37"/>
  <c r="AD52" i="37"/>
  <c r="AC52" i="37"/>
  <c r="AB52" i="37"/>
  <c r="AA52" i="37"/>
  <c r="Z52" i="37"/>
  <c r="Y52" i="37"/>
  <c r="X52" i="37"/>
  <c r="W52" i="37"/>
  <c r="V52" i="37"/>
  <c r="U52" i="37"/>
  <c r="T52" i="37"/>
  <c r="S52" i="37"/>
  <c r="AS89" i="65"/>
  <c r="AR89" i="65"/>
  <c r="AQ89" i="65"/>
  <c r="AP89" i="65"/>
  <c r="AO89" i="65"/>
  <c r="AN89" i="65"/>
  <c r="AM89" i="65"/>
  <c r="AL89" i="65"/>
  <c r="AK89" i="65"/>
  <c r="AJ89" i="65"/>
  <c r="AI89" i="65"/>
  <c r="AH89" i="65"/>
  <c r="AD89" i="65"/>
  <c r="AC89" i="65"/>
  <c r="AB89" i="65"/>
  <c r="AA89" i="65"/>
  <c r="Z89" i="65"/>
  <c r="Y89" i="65"/>
  <c r="X89" i="65"/>
  <c r="W89" i="65"/>
  <c r="V89" i="65"/>
  <c r="U89" i="65"/>
  <c r="T89" i="65"/>
  <c r="S89" i="65"/>
  <c r="AS88" i="65"/>
  <c r="AR88" i="65"/>
  <c r="AQ88" i="65"/>
  <c r="AP88" i="65"/>
  <c r="AO88" i="65"/>
  <c r="AN88" i="65"/>
  <c r="AM88" i="65"/>
  <c r="AL88" i="65"/>
  <c r="AK88" i="65"/>
  <c r="AJ88" i="65"/>
  <c r="AI88" i="65"/>
  <c r="AH88" i="65"/>
  <c r="AD88" i="65"/>
  <c r="AC88" i="65"/>
  <c r="AB88" i="65"/>
  <c r="AA88" i="65"/>
  <c r="Z88" i="65"/>
  <c r="Y88" i="65"/>
  <c r="X88" i="65"/>
  <c r="W88" i="65"/>
  <c r="V88" i="65"/>
  <c r="U88" i="65"/>
  <c r="T88" i="65"/>
  <c r="S88" i="65"/>
  <c r="AS89" i="52"/>
  <c r="AR89" i="52"/>
  <c r="AQ89" i="52"/>
  <c r="AP89" i="52"/>
  <c r="AO89" i="52"/>
  <c r="AN89" i="52"/>
  <c r="AM89" i="52"/>
  <c r="AL89" i="52"/>
  <c r="AK89" i="52"/>
  <c r="AJ89" i="52"/>
  <c r="AI89" i="52"/>
  <c r="AH89" i="52"/>
  <c r="AD89" i="52"/>
  <c r="AC89" i="52"/>
  <c r="AB89" i="52"/>
  <c r="AA89" i="52"/>
  <c r="Z89" i="52"/>
  <c r="Y89" i="52"/>
  <c r="X89" i="52"/>
  <c r="W89" i="52"/>
  <c r="V89" i="52"/>
  <c r="U89" i="52"/>
  <c r="T89" i="52"/>
  <c r="S89" i="52"/>
  <c r="S90" i="51"/>
  <c r="T90" i="51"/>
  <c r="U90" i="51"/>
  <c r="V90" i="51"/>
  <c r="W90" i="51"/>
  <c r="X90" i="51"/>
  <c r="Y90" i="51"/>
  <c r="Z90" i="51"/>
  <c r="AA90" i="51"/>
  <c r="AB90" i="51"/>
  <c r="AC90" i="51"/>
  <c r="AD90" i="51"/>
  <c r="AI89" i="51"/>
  <c r="AJ89" i="51"/>
  <c r="AK89" i="51"/>
  <c r="AL89" i="51"/>
  <c r="AM89" i="51"/>
  <c r="AN89" i="51"/>
  <c r="AO89" i="51"/>
  <c r="AP89" i="51"/>
  <c r="AQ89" i="51"/>
  <c r="AR89" i="51"/>
  <c r="AS89" i="51"/>
  <c r="AI90" i="51"/>
  <c r="AJ90" i="51"/>
  <c r="AK90" i="51"/>
  <c r="AL90" i="51"/>
  <c r="AM90" i="51"/>
  <c r="AN90" i="51"/>
  <c r="AO90" i="51"/>
  <c r="AP90" i="51"/>
  <c r="AQ90" i="51"/>
  <c r="AR90" i="51"/>
  <c r="AS90" i="51"/>
  <c r="AH90" i="51"/>
  <c r="AH89" i="51"/>
  <c r="T89" i="51"/>
  <c r="U89" i="51"/>
  <c r="V89" i="51"/>
  <c r="W89" i="51"/>
  <c r="X89" i="51"/>
  <c r="Y89" i="51"/>
  <c r="Z89" i="51"/>
  <c r="AA89" i="51"/>
  <c r="AB89" i="51"/>
  <c r="AC89" i="51"/>
  <c r="AD89" i="51"/>
  <c r="S89" i="51"/>
  <c r="AI89" i="66"/>
  <c r="AJ89" i="66"/>
  <c r="AK89" i="66"/>
  <c r="AL89" i="66"/>
  <c r="AM89" i="66"/>
  <c r="AN89" i="66"/>
  <c r="AO89" i="66"/>
  <c r="AP89" i="66"/>
  <c r="AQ89" i="66"/>
  <c r="AR89" i="66"/>
  <c r="AS89" i="66"/>
  <c r="AI90" i="66"/>
  <c r="AJ90" i="66"/>
  <c r="AK90" i="66"/>
  <c r="AL90" i="66"/>
  <c r="AM90" i="66"/>
  <c r="AN90" i="66"/>
  <c r="AO90" i="66"/>
  <c r="AP90" i="66"/>
  <c r="AQ90" i="66"/>
  <c r="AR90" i="66"/>
  <c r="AS90" i="66"/>
  <c r="AH90" i="66"/>
  <c r="AH89" i="66"/>
  <c r="T90" i="66"/>
  <c r="U90" i="66"/>
  <c r="V90" i="66"/>
  <c r="W90" i="66"/>
  <c r="X90" i="66"/>
  <c r="Y90" i="66"/>
  <c r="Z90" i="66"/>
  <c r="AA90" i="66"/>
  <c r="AB90" i="66"/>
  <c r="AC90" i="66"/>
  <c r="AD90" i="66"/>
  <c r="S90" i="66"/>
  <c r="T89" i="66"/>
  <c r="U89" i="66"/>
  <c r="V89" i="66"/>
  <c r="W89" i="66"/>
  <c r="X89" i="66"/>
  <c r="Y89" i="66"/>
  <c r="Z89" i="66"/>
  <c r="AA89" i="66"/>
  <c r="AB89" i="66"/>
  <c r="AC89" i="66"/>
  <c r="AD89" i="66"/>
  <c r="S89" i="66"/>
  <c r="Q92" i="73"/>
  <c r="Q35" i="73"/>
  <c r="P30" i="73"/>
  <c r="Q34" i="73"/>
  <c r="Q82" i="73"/>
  <c r="Q69" i="73"/>
  <c r="Q66" i="73"/>
  <c r="Q50" i="73"/>
  <c r="Q54" i="73"/>
  <c r="Q68" i="73"/>
  <c r="Q94" i="73"/>
  <c r="Q73" i="73"/>
  <c r="Q56" i="73"/>
  <c r="Q13" i="73"/>
  <c r="Q96" i="73"/>
  <c r="Q37" i="73"/>
  <c r="Q57" i="73"/>
  <c r="Q86" i="73"/>
  <c r="Q84" i="73"/>
  <c r="Q38" i="73"/>
  <c r="Q72" i="73"/>
  <c r="Q85" i="73"/>
  <c r="Q52" i="73"/>
  <c r="Q17" i="73"/>
  <c r="Q41" i="73"/>
  <c r="Q97" i="73"/>
  <c r="Q70" i="73"/>
  <c r="Q51" i="73"/>
  <c r="Q53" i="73"/>
  <c r="Q91" i="73"/>
  <c r="P21" i="73"/>
  <c r="Q93" i="73"/>
  <c r="Q5" i="73"/>
  <c r="Q67" i="73"/>
  <c r="Q33" i="73"/>
  <c r="Q89" i="73"/>
  <c r="Q83" i="73"/>
  <c r="Q36" i="73"/>
  <c r="AW276" i="76" l="1"/>
  <c r="AX276" i="76" s="1"/>
  <c r="R225" i="30"/>
  <c r="R276" i="76"/>
  <c r="AW225" i="30"/>
  <c r="AX225" i="30" s="1"/>
  <c r="AH276" i="76"/>
  <c r="AH225" i="30"/>
  <c r="AI225" i="30" s="1"/>
  <c r="AI226" i="30"/>
  <c r="R1" i="73"/>
  <c r="AF59" i="62"/>
  <c r="AF88" i="65"/>
  <c r="AF60" i="61"/>
  <c r="AF89" i="52"/>
  <c r="H87" i="75" s="1"/>
  <c r="J87" i="75" s="1"/>
  <c r="AF53" i="37"/>
  <c r="N88" i="75" s="1"/>
  <c r="AF60" i="63"/>
  <c r="AF88" i="57"/>
  <c r="AF86" i="59"/>
  <c r="AF89" i="65"/>
  <c r="AF90" i="52"/>
  <c r="H88" i="75" s="1"/>
  <c r="J88" i="75" s="1"/>
  <c r="AF87" i="59"/>
  <c r="AF59" i="61"/>
  <c r="AF52" i="37"/>
  <c r="N87" i="75" s="1"/>
  <c r="P87" i="75" s="1"/>
  <c r="AF87" i="57"/>
  <c r="AF60" i="60"/>
  <c r="AF59" i="60"/>
  <c r="AF89" i="51"/>
  <c r="E87" i="75" s="1"/>
  <c r="AF90" i="51"/>
  <c r="E88" i="75" s="1"/>
  <c r="G88" i="75" s="1"/>
  <c r="R91" i="73"/>
  <c r="R33" i="73"/>
  <c r="R83" i="73"/>
  <c r="R85" i="73"/>
  <c r="R51" i="73"/>
  <c r="R37" i="73"/>
  <c r="R41" i="73"/>
  <c r="R52" i="73"/>
  <c r="Q21" i="73"/>
  <c r="R82" i="73"/>
  <c r="R96" i="73"/>
  <c r="R36" i="73"/>
  <c r="R69" i="73"/>
  <c r="R94" i="73"/>
  <c r="R53" i="73"/>
  <c r="R73" i="73"/>
  <c r="R90" i="73"/>
  <c r="R35" i="73"/>
  <c r="R50" i="73"/>
  <c r="R70" i="73"/>
  <c r="R89" i="73"/>
  <c r="R84" i="73"/>
  <c r="R34" i="73"/>
  <c r="R68" i="73"/>
  <c r="R86" i="73"/>
  <c r="R92" i="73"/>
  <c r="R67" i="73"/>
  <c r="R54" i="73"/>
  <c r="R57" i="73"/>
  <c r="R5" i="73"/>
  <c r="R66" i="73"/>
  <c r="R72" i="73"/>
  <c r="R38" i="73"/>
  <c r="R56" i="73"/>
  <c r="Q30" i="73"/>
  <c r="R93" i="73"/>
  <c r="R13" i="73"/>
  <c r="R17" i="73"/>
  <c r="R97" i="73"/>
  <c r="AI276" i="76" l="1"/>
  <c r="G87" i="75"/>
  <c r="P88" i="75"/>
  <c r="S1" i="73"/>
  <c r="AS8" i="60"/>
  <c r="AR8" i="60"/>
  <c r="AQ8" i="60"/>
  <c r="AP8" i="60"/>
  <c r="AO8" i="60"/>
  <c r="AN8" i="60"/>
  <c r="AM8" i="60"/>
  <c r="AL8" i="60"/>
  <c r="AK8" i="60"/>
  <c r="AJ8" i="60"/>
  <c r="AI8" i="60"/>
  <c r="AH8" i="60"/>
  <c r="AS8" i="63"/>
  <c r="AR8" i="63"/>
  <c r="AR1" i="63" s="1"/>
  <c r="AQ8" i="63"/>
  <c r="AQ1" i="63" s="1"/>
  <c r="AP8" i="63"/>
  <c r="AP1" i="63" s="1"/>
  <c r="AO8" i="63"/>
  <c r="AN8" i="63"/>
  <c r="AN1" i="63" s="1"/>
  <c r="AM8" i="63"/>
  <c r="AM1" i="63" s="1"/>
  <c r="AL8" i="63"/>
  <c r="AL1" i="63" s="1"/>
  <c r="AK8" i="63"/>
  <c r="AK1" i="63" s="1"/>
  <c r="AJ8" i="63"/>
  <c r="AI8" i="63"/>
  <c r="AH8" i="63"/>
  <c r="AS7" i="62"/>
  <c r="AR7" i="62"/>
  <c r="AQ7" i="62"/>
  <c r="AP7" i="62"/>
  <c r="AO7" i="62"/>
  <c r="AN7" i="62"/>
  <c r="AM7" i="62"/>
  <c r="AL7" i="62"/>
  <c r="AK7" i="62"/>
  <c r="AJ7" i="62"/>
  <c r="AI7" i="62"/>
  <c r="AH7" i="62"/>
  <c r="AS8" i="61"/>
  <c r="AR8" i="61"/>
  <c r="AQ8" i="61"/>
  <c r="AP8" i="61"/>
  <c r="AO8" i="61"/>
  <c r="AN8" i="61"/>
  <c r="AM8" i="61"/>
  <c r="AL8" i="61"/>
  <c r="AK8" i="61"/>
  <c r="AJ8" i="61"/>
  <c r="AI8" i="61"/>
  <c r="AH8" i="61"/>
  <c r="AS7" i="59"/>
  <c r="AR7" i="59"/>
  <c r="AQ7" i="59"/>
  <c r="AP7" i="59"/>
  <c r="AO7" i="59"/>
  <c r="AN7" i="59"/>
  <c r="AM7" i="59"/>
  <c r="AL7" i="59"/>
  <c r="AK7" i="59"/>
  <c r="AJ7" i="59"/>
  <c r="AI7" i="59"/>
  <c r="AH7" i="59"/>
  <c r="AI8" i="57"/>
  <c r="AI1" i="57" s="1"/>
  <c r="AJ8" i="57"/>
  <c r="AJ1" i="57" s="1"/>
  <c r="AK8" i="57"/>
  <c r="AK1" i="57" s="1"/>
  <c r="AL8" i="57"/>
  <c r="AL1" i="57" s="1"/>
  <c r="AM8" i="57"/>
  <c r="AM1" i="57" s="1"/>
  <c r="AN8" i="57"/>
  <c r="AN1" i="57" s="1"/>
  <c r="AO8" i="57"/>
  <c r="AO1" i="57" s="1"/>
  <c r="AP8" i="57"/>
  <c r="AP1" i="57" s="1"/>
  <c r="AQ8" i="57"/>
  <c r="AQ1" i="57" s="1"/>
  <c r="AR8" i="57"/>
  <c r="AR1" i="57" s="1"/>
  <c r="AS8" i="57"/>
  <c r="AS1" i="57" s="1"/>
  <c r="AH8" i="57"/>
  <c r="AH1" i="57" s="1"/>
  <c r="AH9" i="65"/>
  <c r="AH1" i="65" s="1"/>
  <c r="AU1" i="65" s="1"/>
  <c r="AH8" i="52"/>
  <c r="AH8" i="51"/>
  <c r="AH8" i="66"/>
  <c r="L355" i="69"/>
  <c r="L359" i="69" s="1"/>
  <c r="L360" i="69" s="1"/>
  <c r="K355" i="69"/>
  <c r="K359" i="69" s="1"/>
  <c r="K360" i="69" s="1"/>
  <c r="J355" i="69"/>
  <c r="J359" i="69" s="1"/>
  <c r="J360" i="69" s="1"/>
  <c r="I355" i="69"/>
  <c r="I359" i="69" s="1"/>
  <c r="I360" i="69" s="1"/>
  <c r="H355" i="69"/>
  <c r="H359" i="69" s="1"/>
  <c r="H360" i="69" s="1"/>
  <c r="G355" i="69"/>
  <c r="G359" i="69" s="1"/>
  <c r="G360" i="69" s="1"/>
  <c r="F355" i="69"/>
  <c r="F359" i="69" s="1"/>
  <c r="F360" i="69" s="1"/>
  <c r="E355" i="69"/>
  <c r="E359" i="69" s="1"/>
  <c r="E360" i="69" s="1"/>
  <c r="L354" i="69"/>
  <c r="K354" i="69"/>
  <c r="J354" i="69"/>
  <c r="I354" i="69"/>
  <c r="H354" i="69"/>
  <c r="G354" i="69"/>
  <c r="F354" i="69"/>
  <c r="E354" i="69"/>
  <c r="I209" i="69"/>
  <c r="I210" i="69" s="1"/>
  <c r="H209" i="69"/>
  <c r="H210" i="69" s="1"/>
  <c r="G209" i="69"/>
  <c r="G210" i="69" s="1"/>
  <c r="F209" i="69"/>
  <c r="F210" i="69" s="1"/>
  <c r="E209" i="69"/>
  <c r="E210" i="69" s="1"/>
  <c r="L204" i="69"/>
  <c r="K204" i="69"/>
  <c r="J204" i="69"/>
  <c r="I204" i="69"/>
  <c r="H204" i="69"/>
  <c r="G204" i="69"/>
  <c r="F204" i="69"/>
  <c r="E204" i="69"/>
  <c r="K50" i="69"/>
  <c r="J50" i="69"/>
  <c r="I50" i="69"/>
  <c r="I54" i="69" s="1"/>
  <c r="I55" i="69" s="1"/>
  <c r="H50" i="69"/>
  <c r="H54" i="69" s="1"/>
  <c r="H55" i="69" s="1"/>
  <c r="F54" i="69"/>
  <c r="F55" i="69" s="1"/>
  <c r="G54" i="69"/>
  <c r="G55" i="69" s="1"/>
  <c r="E54" i="69"/>
  <c r="E55" i="69" s="1"/>
  <c r="F49" i="69"/>
  <c r="G49" i="69"/>
  <c r="H49" i="69"/>
  <c r="I49" i="69"/>
  <c r="J49" i="69"/>
  <c r="K49" i="69"/>
  <c r="L49" i="69"/>
  <c r="E21" i="69"/>
  <c r="J355" i="41"/>
  <c r="K355" i="41"/>
  <c r="L355" i="41"/>
  <c r="L359" i="41" s="1"/>
  <c r="L360" i="41" s="1"/>
  <c r="L354" i="41"/>
  <c r="K354" i="41"/>
  <c r="J354" i="41"/>
  <c r="I354" i="41"/>
  <c r="H354" i="41"/>
  <c r="G354" i="41"/>
  <c r="F354" i="41"/>
  <c r="E354" i="41"/>
  <c r="L204" i="41"/>
  <c r="K204" i="41"/>
  <c r="J204" i="41"/>
  <c r="I204" i="41"/>
  <c r="H204" i="41"/>
  <c r="G204" i="41"/>
  <c r="F204" i="41"/>
  <c r="E204" i="41"/>
  <c r="K50" i="41"/>
  <c r="L50" i="41"/>
  <c r="L54" i="41" s="1"/>
  <c r="L55" i="41" s="1"/>
  <c r="S69" i="73"/>
  <c r="S85" i="73"/>
  <c r="S96" i="73"/>
  <c r="S91" i="73"/>
  <c r="S36" i="73"/>
  <c r="S94" i="73"/>
  <c r="S41" i="73"/>
  <c r="S53" i="73"/>
  <c r="S73" i="73"/>
  <c r="S86" i="73"/>
  <c r="S97" i="73"/>
  <c r="S17" i="73"/>
  <c r="S38" i="73"/>
  <c r="S72" i="73"/>
  <c r="S67" i="73"/>
  <c r="S37" i="73"/>
  <c r="S34" i="73"/>
  <c r="S56" i="73"/>
  <c r="S13" i="73"/>
  <c r="S51" i="73"/>
  <c r="S66" i="73"/>
  <c r="S70" i="73"/>
  <c r="S93" i="73"/>
  <c r="R30" i="73"/>
  <c r="S33" i="73"/>
  <c r="S92" i="73"/>
  <c r="S89" i="73"/>
  <c r="S82" i="73"/>
  <c r="R21" i="73"/>
  <c r="S68" i="73"/>
  <c r="S5" i="73"/>
  <c r="S54" i="73"/>
  <c r="S35" i="73"/>
  <c r="S52" i="73"/>
  <c r="S84" i="73"/>
  <c r="S83" i="73"/>
  <c r="S50" i="73"/>
  <c r="S57" i="73"/>
  <c r="AO1" i="63" l="1"/>
  <c r="AI1" i="63"/>
  <c r="AJ1" i="63"/>
  <c r="AH1" i="63"/>
  <c r="AS1" i="63"/>
  <c r="AI1" i="61"/>
  <c r="AS1" i="61"/>
  <c r="AJ1" i="61"/>
  <c r="AK1" i="61"/>
  <c r="AL1" i="61"/>
  <c r="AM1" i="61"/>
  <c r="AU1" i="57"/>
  <c r="AN1" i="61"/>
  <c r="AO1" i="61"/>
  <c r="AP1" i="61"/>
  <c r="AQ1" i="61"/>
  <c r="AH1" i="61"/>
  <c r="AR1" i="61"/>
  <c r="T1" i="73"/>
  <c r="AH17" i="51"/>
  <c r="AH39" i="51"/>
  <c r="AH17" i="52"/>
  <c r="AH39" i="52"/>
  <c r="AU9" i="65"/>
  <c r="AU8" i="52"/>
  <c r="AU8" i="57"/>
  <c r="AU7" i="59"/>
  <c r="AU8" i="61"/>
  <c r="AU7" i="62"/>
  <c r="AU8" i="63"/>
  <c r="AU8" i="60"/>
  <c r="AI90" i="32"/>
  <c r="AJ90" i="32"/>
  <c r="AK90" i="32"/>
  <c r="AL90" i="32"/>
  <c r="AM90" i="32"/>
  <c r="AN90" i="32"/>
  <c r="AO90" i="32"/>
  <c r="AP90" i="32"/>
  <c r="AQ90" i="32"/>
  <c r="AR90" i="32"/>
  <c r="AS90" i="32"/>
  <c r="AH90" i="32"/>
  <c r="T90" i="32"/>
  <c r="U90" i="32"/>
  <c r="V90" i="32"/>
  <c r="W90" i="32"/>
  <c r="X90" i="32"/>
  <c r="Y90" i="32"/>
  <c r="Z90" i="32"/>
  <c r="AA90" i="32"/>
  <c r="AB90" i="32"/>
  <c r="AC90" i="32"/>
  <c r="AD90" i="32"/>
  <c r="S90" i="32"/>
  <c r="R36" i="41"/>
  <c r="S36" i="41"/>
  <c r="T36" i="41"/>
  <c r="U36" i="41"/>
  <c r="V36" i="41"/>
  <c r="W36" i="41"/>
  <c r="X36" i="41"/>
  <c r="Y36" i="41"/>
  <c r="Z36" i="41"/>
  <c r="AB36" i="41"/>
  <c r="Q36" i="41"/>
  <c r="T86" i="73"/>
  <c r="T52" i="73"/>
  <c r="T54" i="73"/>
  <c r="T66" i="73"/>
  <c r="T96" i="73"/>
  <c r="T89" i="73"/>
  <c r="S30" i="73"/>
  <c r="T21" i="73"/>
  <c r="T91" i="73"/>
  <c r="T57" i="73"/>
  <c r="T37" i="73"/>
  <c r="T30" i="73"/>
  <c r="T72" i="73"/>
  <c r="T83" i="73"/>
  <c r="T17" i="73"/>
  <c r="T84" i="73"/>
  <c r="T56" i="73"/>
  <c r="T94" i="73"/>
  <c r="T38" i="73"/>
  <c r="T67" i="73"/>
  <c r="T70" i="73"/>
  <c r="T73" i="73"/>
  <c r="T33" i="73"/>
  <c r="T85" i="73"/>
  <c r="T68" i="73"/>
  <c r="T82" i="73"/>
  <c r="T36" i="73"/>
  <c r="T69" i="73"/>
  <c r="T5" i="73"/>
  <c r="T41" i="73"/>
  <c r="T13" i="73"/>
  <c r="T92" i="73"/>
  <c r="T34" i="73"/>
  <c r="T51" i="73"/>
  <c r="T93" i="73"/>
  <c r="T35" i="73"/>
  <c r="S21" i="73"/>
  <c r="T97" i="73"/>
  <c r="T53" i="73"/>
  <c r="AU1" i="63" l="1"/>
  <c r="AA7" i="75"/>
  <c r="AU1" i="61"/>
  <c r="AD7" i="75"/>
  <c r="AF7" i="75" s="1"/>
  <c r="U1" i="73"/>
  <c r="AN36" i="41"/>
  <c r="AS58" i="59" s="1"/>
  <c r="AD58" i="59"/>
  <c r="AH36" i="41"/>
  <c r="AM58" i="59" s="1"/>
  <c r="X58" i="59"/>
  <c r="AG36" i="41"/>
  <c r="AL58" i="59" s="1"/>
  <c r="W58" i="59"/>
  <c r="AF36" i="41"/>
  <c r="AK58" i="59" s="1"/>
  <c r="V58" i="59"/>
  <c r="AE36" i="41"/>
  <c r="AJ58" i="59" s="1"/>
  <c r="U58" i="59"/>
  <c r="AC36" i="41"/>
  <c r="AH58" i="59" s="1"/>
  <c r="S58" i="59"/>
  <c r="AD36" i="41"/>
  <c r="AI58" i="59" s="1"/>
  <c r="T58" i="59"/>
  <c r="AL36" i="41"/>
  <c r="AQ58" i="59" s="1"/>
  <c r="AB58" i="59"/>
  <c r="AK36" i="41"/>
  <c r="AP58" i="59" s="1"/>
  <c r="AA58" i="59"/>
  <c r="AJ36" i="41"/>
  <c r="AO58" i="59" s="1"/>
  <c r="Z58" i="59"/>
  <c r="AI36" i="41"/>
  <c r="AN58" i="59" s="1"/>
  <c r="Y58" i="59"/>
  <c r="AC7" i="75"/>
  <c r="N360" i="22"/>
  <c r="O360" i="22"/>
  <c r="P360" i="22"/>
  <c r="Q360" i="22"/>
  <c r="R360" i="22"/>
  <c r="S360" i="22"/>
  <c r="T360" i="22"/>
  <c r="U360" i="22"/>
  <c r="V360" i="22"/>
  <c r="W360" i="22"/>
  <c r="X360" i="22"/>
  <c r="Y360" i="22"/>
  <c r="Z360" i="22"/>
  <c r="AA360" i="22"/>
  <c r="AB360" i="22"/>
  <c r="AC360" i="22"/>
  <c r="AD360" i="22"/>
  <c r="AE360" i="22"/>
  <c r="AF360" i="22"/>
  <c r="AG360" i="22"/>
  <c r="AH360" i="22"/>
  <c r="AI360" i="22"/>
  <c r="AJ360" i="22"/>
  <c r="AK360" i="22"/>
  <c r="AL360" i="22"/>
  <c r="AM360" i="22"/>
  <c r="AN360" i="22"/>
  <c r="AD36" i="20"/>
  <c r="AI59" i="61" s="1"/>
  <c r="AE36" i="20"/>
  <c r="AJ59" i="61" s="1"/>
  <c r="AF36" i="20"/>
  <c r="AK59" i="61" s="1"/>
  <c r="AG36" i="20"/>
  <c r="AL59" i="61" s="1"/>
  <c r="AH36" i="20"/>
  <c r="AM59" i="61" s="1"/>
  <c r="AI36" i="20"/>
  <c r="AN59" i="61" s="1"/>
  <c r="AJ36" i="20"/>
  <c r="AO59" i="61" s="1"/>
  <c r="AK36" i="20"/>
  <c r="AP59" i="61" s="1"/>
  <c r="AL36" i="20"/>
  <c r="AQ59" i="61" s="1"/>
  <c r="AM36" i="20"/>
  <c r="AR59" i="61" s="1"/>
  <c r="AC36" i="20"/>
  <c r="AH59" i="61" s="1"/>
  <c r="AD36" i="23"/>
  <c r="AI59" i="63" s="1"/>
  <c r="S36" i="23"/>
  <c r="T36" i="23"/>
  <c r="U36" i="23"/>
  <c r="V36" i="23"/>
  <c r="W36" i="23"/>
  <c r="X36" i="23"/>
  <c r="Y36" i="23"/>
  <c r="AC36" i="23"/>
  <c r="AH59" i="63" s="1"/>
  <c r="AD36" i="22"/>
  <c r="AI59" i="57" s="1"/>
  <c r="AE36" i="22"/>
  <c r="AJ59" i="57" s="1"/>
  <c r="AF36" i="22"/>
  <c r="AK59" i="57" s="1"/>
  <c r="AG36" i="22"/>
  <c r="AL59" i="57" s="1"/>
  <c r="AH36" i="22"/>
  <c r="AM59" i="57" s="1"/>
  <c r="AI36" i="22"/>
  <c r="AN59" i="57" s="1"/>
  <c r="AJ36" i="22"/>
  <c r="AO59" i="57" s="1"/>
  <c r="AK36" i="22"/>
  <c r="AP59" i="57" s="1"/>
  <c r="AM36" i="22"/>
  <c r="AR59" i="57" s="1"/>
  <c r="AN36" i="22"/>
  <c r="AS59" i="57" s="1"/>
  <c r="AC36" i="22"/>
  <c r="AH59" i="57" s="1"/>
  <c r="J417" i="69"/>
  <c r="K417" i="69" s="1"/>
  <c r="L417" i="69" s="1"/>
  <c r="M417" i="69" s="1"/>
  <c r="N417" i="69" s="1"/>
  <c r="O417" i="69" s="1"/>
  <c r="P417" i="69" s="1"/>
  <c r="Q417" i="69" s="1"/>
  <c r="R417" i="69" s="1"/>
  <c r="S417" i="69" s="1"/>
  <c r="T417" i="69" s="1"/>
  <c r="U417" i="69" s="1"/>
  <c r="V417" i="69" s="1"/>
  <c r="W417" i="69" s="1"/>
  <c r="X417" i="69" s="1"/>
  <c r="Y417" i="69" s="1"/>
  <c r="Z417" i="69" s="1"/>
  <c r="AA417" i="69" s="1"/>
  <c r="AB417" i="69" s="1"/>
  <c r="AC417" i="69" s="1"/>
  <c r="AD417" i="69" s="1"/>
  <c r="AE417" i="69" s="1"/>
  <c r="AF417" i="69" s="1"/>
  <c r="AG417" i="69" s="1"/>
  <c r="AH417" i="69" s="1"/>
  <c r="AI417" i="69" s="1"/>
  <c r="AJ417" i="69" s="1"/>
  <c r="AK417" i="69" s="1"/>
  <c r="AL417" i="69" s="1"/>
  <c r="AM417" i="69" s="1"/>
  <c r="AN417" i="69" s="1"/>
  <c r="J376" i="69"/>
  <c r="K376" i="69" s="1"/>
  <c r="L376" i="69" s="1"/>
  <c r="M376" i="69" s="1"/>
  <c r="N376" i="69" s="1"/>
  <c r="O376" i="69" s="1"/>
  <c r="P376" i="69" s="1"/>
  <c r="Q376" i="69" s="1"/>
  <c r="R376" i="69" s="1"/>
  <c r="S376" i="69" s="1"/>
  <c r="T376" i="69" s="1"/>
  <c r="U376" i="69" s="1"/>
  <c r="V376" i="69" s="1"/>
  <c r="W376" i="69" s="1"/>
  <c r="X376" i="69" s="1"/>
  <c r="Y376" i="69" s="1"/>
  <c r="Z376" i="69" s="1"/>
  <c r="AA376" i="69" s="1"/>
  <c r="AB376" i="69" s="1"/>
  <c r="AC376" i="69" s="1"/>
  <c r="AD376" i="69" s="1"/>
  <c r="AE376" i="69" s="1"/>
  <c r="AF376" i="69" s="1"/>
  <c r="AG376" i="69" s="1"/>
  <c r="AH376" i="69" s="1"/>
  <c r="AI376" i="69" s="1"/>
  <c r="AJ376" i="69" s="1"/>
  <c r="AK376" i="69" s="1"/>
  <c r="AL376" i="69" s="1"/>
  <c r="AM376" i="69" s="1"/>
  <c r="AN376" i="69" s="1"/>
  <c r="F365" i="69"/>
  <c r="F459" i="69" s="1"/>
  <c r="F368" i="69" s="1"/>
  <c r="AN360" i="69"/>
  <c r="AM360" i="69"/>
  <c r="AL360" i="69"/>
  <c r="AK360" i="69"/>
  <c r="AJ360" i="69"/>
  <c r="AI360" i="69"/>
  <c r="AH360" i="69"/>
  <c r="AG360" i="69"/>
  <c r="AF360" i="69"/>
  <c r="AE360" i="69"/>
  <c r="AD360" i="69"/>
  <c r="AC360" i="69"/>
  <c r="AB360" i="69"/>
  <c r="AA360" i="69"/>
  <c r="Z360" i="69"/>
  <c r="Y360" i="69"/>
  <c r="X360" i="69"/>
  <c r="W360" i="69"/>
  <c r="V360" i="69"/>
  <c r="U360" i="69"/>
  <c r="T360" i="69"/>
  <c r="S360" i="69"/>
  <c r="R360" i="69"/>
  <c r="Q360" i="69"/>
  <c r="P360" i="69"/>
  <c r="O360" i="69"/>
  <c r="N360" i="69"/>
  <c r="M360" i="69"/>
  <c r="I365" i="69"/>
  <c r="U350" i="69"/>
  <c r="U352" i="69" s="1"/>
  <c r="S350" i="69"/>
  <c r="S352" i="69" s="1"/>
  <c r="S354" i="69" s="1"/>
  <c r="S355" i="69" s="1"/>
  <c r="P350" i="69"/>
  <c r="P352" i="69" s="1"/>
  <c r="P354" i="69" s="1"/>
  <c r="N350" i="69"/>
  <c r="N352" i="69" s="1"/>
  <c r="L350" i="69"/>
  <c r="K350" i="69"/>
  <c r="J350" i="69"/>
  <c r="AD266" i="69"/>
  <c r="AE266" i="69" s="1"/>
  <c r="AF266" i="69" s="1"/>
  <c r="AG266" i="69" s="1"/>
  <c r="AH266" i="69" s="1"/>
  <c r="AI266" i="69" s="1"/>
  <c r="AJ266" i="69" s="1"/>
  <c r="AK266" i="69" s="1"/>
  <c r="AL266" i="69" s="1"/>
  <c r="AM266" i="69" s="1"/>
  <c r="AN266" i="69" s="1"/>
  <c r="J226" i="69"/>
  <c r="K226" i="69" s="1"/>
  <c r="L226" i="69" s="1"/>
  <c r="M226" i="69" s="1"/>
  <c r="N226" i="69" s="1"/>
  <c r="O226" i="69" s="1"/>
  <c r="P226" i="69" s="1"/>
  <c r="Q226" i="69" s="1"/>
  <c r="R226" i="69" s="1"/>
  <c r="S226" i="69" s="1"/>
  <c r="T226" i="69" s="1"/>
  <c r="U226" i="69" s="1"/>
  <c r="V226" i="69" s="1"/>
  <c r="W226" i="69" s="1"/>
  <c r="X226" i="69" s="1"/>
  <c r="Y226" i="69" s="1"/>
  <c r="Z226" i="69" s="1"/>
  <c r="AA226" i="69" s="1"/>
  <c r="AB226" i="69" s="1"/>
  <c r="AC226" i="69" s="1"/>
  <c r="AD226" i="69" s="1"/>
  <c r="AE226" i="69" s="1"/>
  <c r="AF226" i="69" s="1"/>
  <c r="AG226" i="69" s="1"/>
  <c r="AH226" i="69" s="1"/>
  <c r="AI226" i="69" s="1"/>
  <c r="AJ226" i="69" s="1"/>
  <c r="AK226" i="69" s="1"/>
  <c r="AL226" i="69" s="1"/>
  <c r="AM226" i="69" s="1"/>
  <c r="AN226" i="69" s="1"/>
  <c r="I215" i="69"/>
  <c r="I312" i="69" s="1"/>
  <c r="AM312" i="69" s="1"/>
  <c r="H215" i="69"/>
  <c r="G215" i="69"/>
  <c r="G310" i="69" s="1"/>
  <c r="F215" i="69"/>
  <c r="F309" i="69" s="1"/>
  <c r="AM309" i="69" s="1"/>
  <c r="E215" i="69"/>
  <c r="H214" i="69"/>
  <c r="F214" i="69"/>
  <c r="H213" i="69"/>
  <c r="H230" i="69" s="1"/>
  <c r="G213" i="69"/>
  <c r="F213" i="69"/>
  <c r="E213" i="69"/>
  <c r="E227" i="69" s="1"/>
  <c r="X227" i="69" s="1"/>
  <c r="I214" i="69"/>
  <c r="G214" i="69"/>
  <c r="G270" i="69" s="1"/>
  <c r="X270" i="69" s="1"/>
  <c r="U200" i="69"/>
  <c r="U202" i="69" s="1"/>
  <c r="S200" i="69"/>
  <c r="S202" i="69" s="1"/>
  <c r="S204" i="69" s="1"/>
  <c r="P200" i="69"/>
  <c r="N200" i="69"/>
  <c r="L200" i="69"/>
  <c r="K200" i="69"/>
  <c r="J200" i="69"/>
  <c r="G154" i="69"/>
  <c r="J154" i="69" s="1"/>
  <c r="M154" i="69" s="1"/>
  <c r="P154" i="69" s="1"/>
  <c r="S154" i="69" s="1"/>
  <c r="V154" i="69" s="1"/>
  <c r="Y154" i="69" s="1"/>
  <c r="AB154" i="69" s="1"/>
  <c r="AE154" i="69" s="1"/>
  <c r="AH154" i="69" s="1"/>
  <c r="AK154" i="69" s="1"/>
  <c r="AN154" i="69" s="1"/>
  <c r="F154" i="69"/>
  <c r="I154" i="69" s="1"/>
  <c r="L154" i="69" s="1"/>
  <c r="O154" i="69" s="1"/>
  <c r="R154" i="69" s="1"/>
  <c r="U154" i="69" s="1"/>
  <c r="X154" i="69" s="1"/>
  <c r="AA154" i="69" s="1"/>
  <c r="AD154" i="69" s="1"/>
  <c r="AG154" i="69" s="1"/>
  <c r="AJ154" i="69" s="1"/>
  <c r="AM154" i="69" s="1"/>
  <c r="E154" i="69"/>
  <c r="H154" i="69" s="1"/>
  <c r="K154" i="69" s="1"/>
  <c r="N154" i="69" s="1"/>
  <c r="Q154" i="69" s="1"/>
  <c r="T154" i="69" s="1"/>
  <c r="W154" i="69" s="1"/>
  <c r="Z154" i="69" s="1"/>
  <c r="AC154" i="69" s="1"/>
  <c r="AF154" i="69" s="1"/>
  <c r="AI154" i="69" s="1"/>
  <c r="AL154" i="69" s="1"/>
  <c r="E112" i="69"/>
  <c r="F112" i="69" s="1"/>
  <c r="G112" i="69" s="1"/>
  <c r="H112" i="69" s="1"/>
  <c r="I112" i="69" s="1"/>
  <c r="J112" i="69" s="1"/>
  <c r="K112" i="69" s="1"/>
  <c r="L112" i="69" s="1"/>
  <c r="M112" i="69" s="1"/>
  <c r="N112" i="69" s="1"/>
  <c r="O112" i="69" s="1"/>
  <c r="P112" i="69" s="1"/>
  <c r="Q112" i="69" s="1"/>
  <c r="R112" i="69" s="1"/>
  <c r="S112" i="69" s="1"/>
  <c r="T112" i="69" s="1"/>
  <c r="U112" i="69" s="1"/>
  <c r="V112" i="69" s="1"/>
  <c r="W112" i="69" s="1"/>
  <c r="X112" i="69" s="1"/>
  <c r="Y112" i="69" s="1"/>
  <c r="Z112" i="69" s="1"/>
  <c r="AA112" i="69" s="1"/>
  <c r="AB112" i="69" s="1"/>
  <c r="AC112" i="69" s="1"/>
  <c r="AD112" i="69" s="1"/>
  <c r="AE112" i="69" s="1"/>
  <c r="AF112" i="69" s="1"/>
  <c r="AG112" i="69" s="1"/>
  <c r="AH112" i="69" s="1"/>
  <c r="AI112" i="69" s="1"/>
  <c r="AJ112" i="69" s="1"/>
  <c r="AK112" i="69" s="1"/>
  <c r="AL112" i="69" s="1"/>
  <c r="AM112" i="69" s="1"/>
  <c r="AN112" i="69" s="1"/>
  <c r="AA111" i="69"/>
  <c r="AB111" i="69" s="1"/>
  <c r="AC111" i="69" s="1"/>
  <c r="AD111" i="69" s="1"/>
  <c r="AE111" i="69" s="1"/>
  <c r="AF111" i="69" s="1"/>
  <c r="AG111" i="69" s="1"/>
  <c r="AH111" i="69" s="1"/>
  <c r="AI111" i="69" s="1"/>
  <c r="J71" i="69"/>
  <c r="K71" i="69" s="1"/>
  <c r="L71" i="69" s="1"/>
  <c r="M71" i="69" s="1"/>
  <c r="N71" i="69" s="1"/>
  <c r="O71" i="69" s="1"/>
  <c r="P71" i="69" s="1"/>
  <c r="Q71" i="69" s="1"/>
  <c r="R71" i="69" s="1"/>
  <c r="S71" i="69" s="1"/>
  <c r="T71" i="69" s="1"/>
  <c r="U71" i="69" s="1"/>
  <c r="V71" i="69" s="1"/>
  <c r="W71" i="69" s="1"/>
  <c r="X71" i="69" s="1"/>
  <c r="Y71" i="69" s="1"/>
  <c r="Z71" i="69" s="1"/>
  <c r="AA71" i="69" s="1"/>
  <c r="AB71" i="69" s="1"/>
  <c r="AC71" i="69" s="1"/>
  <c r="AD71" i="69" s="1"/>
  <c r="AE71" i="69" s="1"/>
  <c r="AF71" i="69" s="1"/>
  <c r="AG71" i="69" s="1"/>
  <c r="AH71" i="69" s="1"/>
  <c r="AI71" i="69" s="1"/>
  <c r="AJ71" i="69" s="1"/>
  <c r="AK71" i="69" s="1"/>
  <c r="AL71" i="69" s="1"/>
  <c r="AM71" i="69" s="1"/>
  <c r="AN71" i="69" s="1"/>
  <c r="H71" i="69"/>
  <c r="F71" i="69"/>
  <c r="I60" i="69"/>
  <c r="I159" i="69" s="1"/>
  <c r="X159" i="69" s="1"/>
  <c r="H60" i="69"/>
  <c r="H158" i="69" s="1"/>
  <c r="AI158" i="69" s="1"/>
  <c r="G60" i="69"/>
  <c r="G157" i="69" s="1"/>
  <c r="F60" i="69"/>
  <c r="F156" i="69" s="1"/>
  <c r="E60" i="69"/>
  <c r="E155" i="69" s="1"/>
  <c r="AF155" i="69" s="1"/>
  <c r="I59" i="69"/>
  <c r="I117" i="69" s="1"/>
  <c r="L117" i="69" s="1"/>
  <c r="H59" i="69"/>
  <c r="H116" i="69" s="1"/>
  <c r="G59" i="69"/>
  <c r="G115" i="69" s="1"/>
  <c r="I58" i="69"/>
  <c r="I76" i="69" s="1"/>
  <c r="H58" i="69"/>
  <c r="G58" i="69"/>
  <c r="I52" i="69"/>
  <c r="H52" i="69"/>
  <c r="G52" i="69"/>
  <c r="F52" i="69"/>
  <c r="E52" i="69"/>
  <c r="E49" i="69"/>
  <c r="Z48" i="69"/>
  <c r="AA48" i="69" s="1"/>
  <c r="AB48" i="69" s="1"/>
  <c r="AC48" i="69" s="1"/>
  <c r="AD48" i="69" s="1"/>
  <c r="AE48" i="69" s="1"/>
  <c r="AF48" i="69" s="1"/>
  <c r="AG48" i="69" s="1"/>
  <c r="AH48" i="69" s="1"/>
  <c r="AI48" i="69" s="1"/>
  <c r="AJ48" i="69" s="1"/>
  <c r="AK48" i="69" s="1"/>
  <c r="AL48" i="69" s="1"/>
  <c r="AM48" i="69" s="1"/>
  <c r="AN48" i="69" s="1"/>
  <c r="X48" i="69"/>
  <c r="V48" i="69"/>
  <c r="R48" i="69"/>
  <c r="S48" i="69" s="1"/>
  <c r="T48" i="69" s="1"/>
  <c r="U45" i="69"/>
  <c r="U47" i="69" s="1"/>
  <c r="S45" i="69"/>
  <c r="P45" i="69"/>
  <c r="P47" i="69" s="1"/>
  <c r="P49" i="69" s="1"/>
  <c r="P50" i="69" s="1"/>
  <c r="N45" i="69"/>
  <c r="N47" i="69" s="1"/>
  <c r="L45" i="69"/>
  <c r="K45" i="69"/>
  <c r="J45" i="69"/>
  <c r="AN42" i="69"/>
  <c r="AM42" i="69"/>
  <c r="AL42" i="69"/>
  <c r="AK42" i="69"/>
  <c r="AJ42" i="69"/>
  <c r="AI42" i="69"/>
  <c r="AH42" i="69"/>
  <c r="AG42" i="69"/>
  <c r="AF42" i="69"/>
  <c r="AE42" i="69"/>
  <c r="AD42" i="69"/>
  <c r="AC42" i="69"/>
  <c r="AB42" i="69"/>
  <c r="AA42" i="69"/>
  <c r="Z42" i="69"/>
  <c r="Y42" i="69"/>
  <c r="X42" i="69"/>
  <c r="W42" i="69"/>
  <c r="V42" i="69"/>
  <c r="U42" i="69"/>
  <c r="T42" i="69"/>
  <c r="S42" i="69"/>
  <c r="R42" i="69"/>
  <c r="Q42" i="69"/>
  <c r="P42" i="69"/>
  <c r="O42" i="69"/>
  <c r="N42" i="69"/>
  <c r="M42" i="69"/>
  <c r="T45" i="69"/>
  <c r="T47" i="69" s="1"/>
  <c r="Q200" i="69"/>
  <c r="O36" i="69"/>
  <c r="O200" i="69" s="1"/>
  <c r="M36" i="69"/>
  <c r="I23" i="69"/>
  <c r="H23" i="69"/>
  <c r="G23" i="69"/>
  <c r="F23" i="69"/>
  <c r="E23" i="69"/>
  <c r="M22" i="69"/>
  <c r="N22" i="69" s="1"/>
  <c r="O22" i="69" s="1"/>
  <c r="P22" i="69" s="1"/>
  <c r="R22" i="69" s="1"/>
  <c r="S22" i="69" s="1"/>
  <c r="T22" i="69" s="1"/>
  <c r="U22" i="69" s="1"/>
  <c r="V22" i="69" s="1"/>
  <c r="W22" i="69" s="1"/>
  <c r="X22" i="69" s="1"/>
  <c r="Y22" i="69" s="1"/>
  <c r="Z22" i="69" s="1"/>
  <c r="AA22" i="69" s="1"/>
  <c r="AB22" i="69" s="1"/>
  <c r="AC22" i="69" s="1"/>
  <c r="AD22" i="69" s="1"/>
  <c r="AE22" i="69" s="1"/>
  <c r="AF22" i="69" s="1"/>
  <c r="AG22" i="69" s="1"/>
  <c r="AH22" i="69" s="1"/>
  <c r="AI22" i="69" s="1"/>
  <c r="AJ22" i="69" s="1"/>
  <c r="AK22" i="69" s="1"/>
  <c r="AL22" i="69" s="1"/>
  <c r="AM22" i="69" s="1"/>
  <c r="AN22" i="69" s="1"/>
  <c r="I21" i="69"/>
  <c r="H21" i="69"/>
  <c r="G21" i="69"/>
  <c r="F21" i="69"/>
  <c r="I18" i="69"/>
  <c r="H18" i="69"/>
  <c r="G18" i="69"/>
  <c r="F18" i="69"/>
  <c r="E18" i="69"/>
  <c r="M17" i="69"/>
  <c r="N17" i="69" s="1"/>
  <c r="O17" i="69" s="1"/>
  <c r="P17" i="69" s="1"/>
  <c r="R17" i="69" s="1"/>
  <c r="S17" i="69" s="1"/>
  <c r="T17" i="69" s="1"/>
  <c r="U17" i="69" s="1"/>
  <c r="V17" i="69" s="1"/>
  <c r="W17" i="69" s="1"/>
  <c r="X17" i="69" s="1"/>
  <c r="Y17" i="69" s="1"/>
  <c r="Z17" i="69" s="1"/>
  <c r="AA17" i="69" s="1"/>
  <c r="AB17" i="69" s="1"/>
  <c r="AC17" i="69" s="1"/>
  <c r="AD17" i="69" s="1"/>
  <c r="AE17" i="69" s="1"/>
  <c r="AF17" i="69" s="1"/>
  <c r="AG17" i="69" s="1"/>
  <c r="AH17" i="69" s="1"/>
  <c r="AI17" i="69" s="1"/>
  <c r="AJ17" i="69" s="1"/>
  <c r="AK17" i="69" s="1"/>
  <c r="AL17" i="69" s="1"/>
  <c r="AM17" i="69" s="1"/>
  <c r="AN17" i="69" s="1"/>
  <c r="I16" i="69"/>
  <c r="H16" i="69"/>
  <c r="G16" i="69"/>
  <c r="F16" i="69"/>
  <c r="E16" i="69"/>
  <c r="L13" i="69"/>
  <c r="L8" i="69" s="1"/>
  <c r="K13" i="69"/>
  <c r="K8" i="69" s="1"/>
  <c r="I13" i="69"/>
  <c r="I8" i="69" s="1"/>
  <c r="H13" i="69"/>
  <c r="H8" i="69" s="1"/>
  <c r="G13" i="69"/>
  <c r="G8" i="69" s="1"/>
  <c r="F13" i="69"/>
  <c r="F8" i="69" s="1"/>
  <c r="E13" i="69"/>
  <c r="E8" i="69" s="1"/>
  <c r="L7" i="69"/>
  <c r="K7" i="69"/>
  <c r="J7" i="69"/>
  <c r="I7" i="69"/>
  <c r="H7" i="69"/>
  <c r="G7" i="69"/>
  <c r="F7" i="69"/>
  <c r="E7" i="69"/>
  <c r="X4" i="69"/>
  <c r="X7" i="69" s="1"/>
  <c r="W4" i="69"/>
  <c r="AI4" i="69" s="1"/>
  <c r="AI7" i="69" s="1"/>
  <c r="V4" i="69"/>
  <c r="V7" i="69" s="1"/>
  <c r="U4" i="69"/>
  <c r="U7" i="69" s="1"/>
  <c r="T4" i="69"/>
  <c r="T7" i="69" s="1"/>
  <c r="S4" i="69"/>
  <c r="S7" i="69" s="1"/>
  <c r="R4" i="69"/>
  <c r="R7" i="69" s="1"/>
  <c r="Q4" i="69"/>
  <c r="AC4" i="69" s="1"/>
  <c r="AC7" i="69" s="1"/>
  <c r="M4" i="69"/>
  <c r="Y4" i="69" s="1"/>
  <c r="AK4" i="69" s="1"/>
  <c r="AK7" i="69" s="1"/>
  <c r="E7" i="41"/>
  <c r="F7" i="41"/>
  <c r="G7" i="41"/>
  <c r="H7" i="41"/>
  <c r="I7" i="41"/>
  <c r="J359" i="22"/>
  <c r="J355" i="22"/>
  <c r="K359" i="22"/>
  <c r="K355" i="22"/>
  <c r="L355" i="22"/>
  <c r="L354" i="22"/>
  <c r="K354" i="22"/>
  <c r="J354" i="22"/>
  <c r="I354" i="22"/>
  <c r="H354" i="22"/>
  <c r="G354" i="22"/>
  <c r="F354" i="22"/>
  <c r="E354" i="22"/>
  <c r="K209" i="22"/>
  <c r="K210" i="22" s="1"/>
  <c r="K205" i="22"/>
  <c r="J209" i="22"/>
  <c r="J210" i="22" s="1"/>
  <c r="J205" i="22"/>
  <c r="L204" i="22"/>
  <c r="K204" i="22"/>
  <c r="J204" i="22"/>
  <c r="I204" i="22"/>
  <c r="H204" i="22"/>
  <c r="G204" i="22"/>
  <c r="F204" i="22"/>
  <c r="E204" i="22"/>
  <c r="J54" i="22"/>
  <c r="J55" i="22" s="1"/>
  <c r="J50" i="22"/>
  <c r="K54" i="22"/>
  <c r="K55" i="22" s="1"/>
  <c r="K50" i="22"/>
  <c r="L54" i="22"/>
  <c r="L55" i="22" s="1"/>
  <c r="L50" i="22"/>
  <c r="E7" i="22"/>
  <c r="F7" i="22"/>
  <c r="G7" i="22"/>
  <c r="H7" i="22"/>
  <c r="I7" i="22"/>
  <c r="L359" i="20"/>
  <c r="L360" i="20" s="1"/>
  <c r="L355" i="20"/>
  <c r="K359" i="20"/>
  <c r="K360" i="20" s="1"/>
  <c r="K355" i="20"/>
  <c r="J359" i="20"/>
  <c r="J360" i="20" s="1"/>
  <c r="J355" i="20"/>
  <c r="J209" i="20"/>
  <c r="J205" i="20"/>
  <c r="K209" i="20"/>
  <c r="K210" i="20" s="1"/>
  <c r="K205" i="20"/>
  <c r="L54" i="20"/>
  <c r="L55" i="20" s="1"/>
  <c r="K54" i="20"/>
  <c r="K55" i="20" s="1"/>
  <c r="K50" i="20"/>
  <c r="J54" i="20"/>
  <c r="J55" i="20" s="1"/>
  <c r="J50" i="20"/>
  <c r="E7" i="20"/>
  <c r="F7" i="20"/>
  <c r="G7" i="20"/>
  <c r="H7" i="20"/>
  <c r="I7" i="20"/>
  <c r="J7" i="20"/>
  <c r="K7" i="20"/>
  <c r="J358" i="19"/>
  <c r="J354" i="19"/>
  <c r="K358" i="19"/>
  <c r="K354" i="19"/>
  <c r="L358" i="19"/>
  <c r="L354" i="19"/>
  <c r="K209" i="19"/>
  <c r="K210" i="19" s="1"/>
  <c r="J209" i="19"/>
  <c r="J205" i="19"/>
  <c r="K54" i="19"/>
  <c r="K55" i="19" s="1"/>
  <c r="K50" i="19"/>
  <c r="L55" i="19"/>
  <c r="L50" i="19"/>
  <c r="H7" i="19"/>
  <c r="J7" i="19"/>
  <c r="K7" i="19"/>
  <c r="L7" i="19"/>
  <c r="J7" i="23"/>
  <c r="K7" i="23"/>
  <c r="L7" i="23"/>
  <c r="L355" i="23"/>
  <c r="L359" i="23" s="1"/>
  <c r="L360" i="23" s="1"/>
  <c r="K355" i="23"/>
  <c r="K359" i="23" s="1"/>
  <c r="K360" i="23" s="1"/>
  <c r="J359" i="23"/>
  <c r="J360" i="23" s="1"/>
  <c r="J355" i="23"/>
  <c r="L354" i="23"/>
  <c r="K354" i="23"/>
  <c r="J354" i="23"/>
  <c r="I354" i="23"/>
  <c r="H354" i="23"/>
  <c r="G354" i="23"/>
  <c r="F354" i="23"/>
  <c r="E354" i="23"/>
  <c r="J209" i="23"/>
  <c r="J205" i="23"/>
  <c r="K210" i="23"/>
  <c r="K209" i="23"/>
  <c r="L204" i="23"/>
  <c r="K204" i="23"/>
  <c r="J204" i="23"/>
  <c r="I204" i="23"/>
  <c r="H204" i="23"/>
  <c r="G204" i="23"/>
  <c r="F204" i="23"/>
  <c r="E204" i="23"/>
  <c r="Q4" i="41"/>
  <c r="L360" i="42"/>
  <c r="L359" i="42" s="1"/>
  <c r="K360" i="42"/>
  <c r="K359" i="42" s="1"/>
  <c r="J360" i="42"/>
  <c r="J359" i="42" s="1"/>
  <c r="J355" i="42"/>
  <c r="K355" i="42"/>
  <c r="L355" i="42"/>
  <c r="K210" i="42"/>
  <c r="K205" i="42"/>
  <c r="J55" i="42"/>
  <c r="J54" i="42"/>
  <c r="K55" i="42"/>
  <c r="K54" i="42"/>
  <c r="L54" i="42"/>
  <c r="L49" i="42"/>
  <c r="K49" i="42"/>
  <c r="J49" i="42"/>
  <c r="J354" i="16"/>
  <c r="K354" i="16"/>
  <c r="L354" i="16"/>
  <c r="L353" i="16"/>
  <c r="K353" i="16"/>
  <c r="J353" i="16"/>
  <c r="I353" i="16"/>
  <c r="H353" i="16"/>
  <c r="G353" i="16"/>
  <c r="F353" i="16"/>
  <c r="E353" i="16"/>
  <c r="J55" i="16"/>
  <c r="J54" i="16"/>
  <c r="K55" i="16"/>
  <c r="K54" i="16"/>
  <c r="L55" i="16"/>
  <c r="L54" i="16"/>
  <c r="L209" i="16"/>
  <c r="L210" i="16" s="1"/>
  <c r="K209" i="16"/>
  <c r="K210" i="16" s="1"/>
  <c r="J209" i="16"/>
  <c r="J205" i="16"/>
  <c r="K205" i="16"/>
  <c r="L205" i="16"/>
  <c r="L204" i="16"/>
  <c r="K204" i="16"/>
  <c r="J204" i="16"/>
  <c r="J49" i="16"/>
  <c r="K49" i="16"/>
  <c r="L49" i="16"/>
  <c r="J50" i="16"/>
  <c r="K50" i="16"/>
  <c r="L50" i="16"/>
  <c r="U94" i="73"/>
  <c r="U85" i="73"/>
  <c r="U92" i="73"/>
  <c r="U3" i="73"/>
  <c r="U34" i="73"/>
  <c r="U83" i="73"/>
  <c r="U35" i="73"/>
  <c r="U68" i="73"/>
  <c r="U89" i="73"/>
  <c r="U31" i="73"/>
  <c r="U33" i="73"/>
  <c r="U97" i="73"/>
  <c r="U51" i="73"/>
  <c r="U86" i="73"/>
  <c r="U13" i="73"/>
  <c r="U52" i="73"/>
  <c r="U5" i="73"/>
  <c r="U96" i="73"/>
  <c r="U69" i="73"/>
  <c r="U91" i="73"/>
  <c r="U15" i="73"/>
  <c r="U50" i="73"/>
  <c r="U67" i="73"/>
  <c r="U37" i="73"/>
  <c r="U19" i="73"/>
  <c r="U82" i="73"/>
  <c r="U56" i="73"/>
  <c r="U66" i="73"/>
  <c r="U53" i="73"/>
  <c r="U70" i="73"/>
  <c r="U57" i="73"/>
  <c r="U11" i="73"/>
  <c r="U73" i="73"/>
  <c r="U38" i="73"/>
  <c r="U21" i="73"/>
  <c r="U30" i="73"/>
  <c r="U36" i="73"/>
  <c r="U72" i="73"/>
  <c r="U17" i="73"/>
  <c r="U84" i="73"/>
  <c r="U54" i="73"/>
  <c r="U41" i="73"/>
  <c r="U93" i="73"/>
  <c r="AJ36" i="23" l="1"/>
  <c r="AO59" i="63" s="1"/>
  <c r="Z59" i="63"/>
  <c r="AI36" i="23"/>
  <c r="AN59" i="63" s="1"/>
  <c r="Y59" i="63"/>
  <c r="AH36" i="23"/>
  <c r="AM59" i="63" s="1"/>
  <c r="X59" i="63"/>
  <c r="AG36" i="23"/>
  <c r="AL59" i="63" s="1"/>
  <c r="W59" i="63"/>
  <c r="AF36" i="23"/>
  <c r="AK59" i="63" s="1"/>
  <c r="V59" i="63"/>
  <c r="V1" i="73"/>
  <c r="AE36" i="23"/>
  <c r="AJ59" i="63" s="1"/>
  <c r="U59" i="63"/>
  <c r="AK36" i="23"/>
  <c r="AP59" i="63" s="1"/>
  <c r="AA59" i="63"/>
  <c r="AE116" i="69"/>
  <c r="K56" i="16"/>
  <c r="L56" i="16"/>
  <c r="J56" i="42"/>
  <c r="K56" i="42"/>
  <c r="O45" i="69"/>
  <c r="O47" i="69" s="1"/>
  <c r="O49" i="69" s="1"/>
  <c r="O50" i="69" s="1"/>
  <c r="S364" i="69"/>
  <c r="S432" i="69" s="1"/>
  <c r="R45" i="69"/>
  <c r="G63" i="69"/>
  <c r="N49" i="69"/>
  <c r="N50" i="69" s="1"/>
  <c r="AG4" i="69"/>
  <c r="AG7" i="69" s="1"/>
  <c r="AH4" i="69"/>
  <c r="AH7" i="69" s="1"/>
  <c r="W7" i="69"/>
  <c r="O350" i="69"/>
  <c r="O352" i="69" s="1"/>
  <c r="O354" i="69" s="1"/>
  <c r="O355" i="69" s="1"/>
  <c r="P202" i="69"/>
  <c r="Q350" i="69"/>
  <c r="Q352" i="69" s="1"/>
  <c r="Q354" i="69" s="1"/>
  <c r="Q355" i="69" s="1"/>
  <c r="AK115" i="69"/>
  <c r="J56" i="16"/>
  <c r="L312" i="69"/>
  <c r="AJ312" i="69"/>
  <c r="H219" i="69"/>
  <c r="L116" i="69"/>
  <c r="P117" i="69"/>
  <c r="Q117" i="69"/>
  <c r="W117" i="69"/>
  <c r="AE117" i="69"/>
  <c r="M157" i="69"/>
  <c r="AL158" i="69"/>
  <c r="M270" i="69"/>
  <c r="U159" i="69"/>
  <c r="AC155" i="69"/>
  <c r="AJ309" i="69"/>
  <c r="AI155" i="69"/>
  <c r="S157" i="69"/>
  <c r="R159" i="69"/>
  <c r="P270" i="69"/>
  <c r="V270" i="69"/>
  <c r="F218" i="69"/>
  <c r="X309" i="69"/>
  <c r="AD309" i="69"/>
  <c r="E25" i="69"/>
  <c r="E27" i="69" s="1"/>
  <c r="E28" i="69" s="1"/>
  <c r="I25" i="69"/>
  <c r="I27" i="69" s="1"/>
  <c r="I28" i="69" s="1"/>
  <c r="H25" i="69"/>
  <c r="H27" i="69" s="1"/>
  <c r="H28" i="69" s="1"/>
  <c r="G25" i="69"/>
  <c r="G27" i="69" s="1"/>
  <c r="G28" i="69" s="1"/>
  <c r="F25" i="69"/>
  <c r="F27" i="69" s="1"/>
  <c r="F28" i="69" s="1"/>
  <c r="Q7" i="69"/>
  <c r="N4" i="69"/>
  <c r="N7" i="69" s="1"/>
  <c r="M7" i="69"/>
  <c r="AJ4" i="69"/>
  <c r="AJ7" i="69" s="1"/>
  <c r="Y7" i="69"/>
  <c r="T49" i="69"/>
  <c r="T50" i="69" s="1"/>
  <c r="AN76" i="69"/>
  <c r="AB76" i="69"/>
  <c r="P76" i="69"/>
  <c r="AM76" i="69"/>
  <c r="AA76" i="69"/>
  <c r="O76" i="69"/>
  <c r="M76" i="69"/>
  <c r="AL76" i="69"/>
  <c r="Z76" i="69"/>
  <c r="N76" i="69"/>
  <c r="AK76" i="69"/>
  <c r="Y76" i="69"/>
  <c r="AI76" i="69"/>
  <c r="S76" i="69"/>
  <c r="AH76" i="69"/>
  <c r="R76" i="69"/>
  <c r="AG76" i="69"/>
  <c r="Q76" i="69"/>
  <c r="AF76" i="69"/>
  <c r="L76" i="69"/>
  <c r="AE76" i="69"/>
  <c r="K76" i="69"/>
  <c r="AD76" i="69"/>
  <c r="J76" i="69"/>
  <c r="U76" i="69"/>
  <c r="T76" i="69"/>
  <c r="X76" i="69"/>
  <c r="V76" i="69"/>
  <c r="AJ76" i="69"/>
  <c r="AC76" i="69"/>
  <c r="W76" i="69"/>
  <c r="AJ111" i="69"/>
  <c r="AK111" i="69" s="1"/>
  <c r="AL111" i="69" s="1"/>
  <c r="AM111" i="69" s="1"/>
  <c r="AN111" i="69" s="1"/>
  <c r="AL115" i="69"/>
  <c r="J60" i="69"/>
  <c r="M350" i="69"/>
  <c r="M352" i="69" s="1"/>
  <c r="M200" i="69"/>
  <c r="M45" i="69"/>
  <c r="G227" i="69"/>
  <c r="AA115" i="69"/>
  <c r="O115" i="69"/>
  <c r="Z115" i="69"/>
  <c r="M115" i="69"/>
  <c r="AD115" i="69"/>
  <c r="P115" i="69"/>
  <c r="AC115" i="69"/>
  <c r="N115" i="69"/>
  <c r="Y115" i="69"/>
  <c r="K115" i="69"/>
  <c r="AB115" i="69"/>
  <c r="L115" i="69"/>
  <c r="AG115" i="69"/>
  <c r="I115" i="69"/>
  <c r="AF115" i="69"/>
  <c r="H115" i="69"/>
  <c r="AE115" i="69"/>
  <c r="X115" i="69"/>
  <c r="W115" i="69"/>
  <c r="V115" i="69"/>
  <c r="I227" i="69"/>
  <c r="H155" i="69"/>
  <c r="H63" i="69" s="1"/>
  <c r="T155" i="69"/>
  <c r="N155" i="69"/>
  <c r="Z155" i="69"/>
  <c r="W155" i="69"/>
  <c r="Q155" i="69"/>
  <c r="K155" i="69"/>
  <c r="AL155" i="69"/>
  <c r="U116" i="69"/>
  <c r="I156" i="69"/>
  <c r="I63" i="69" s="1"/>
  <c r="X156" i="69"/>
  <c r="R156" i="69"/>
  <c r="L156" i="69"/>
  <c r="AM156" i="69"/>
  <c r="AJ156" i="69"/>
  <c r="AG156" i="69"/>
  <c r="AD156" i="69"/>
  <c r="AA156" i="69"/>
  <c r="U156" i="69"/>
  <c r="O156" i="69"/>
  <c r="Q115" i="69"/>
  <c r="Z116" i="69"/>
  <c r="AK117" i="69"/>
  <c r="F269" i="69"/>
  <c r="AC230" i="69"/>
  <c r="Q230" i="69"/>
  <c r="AE230" i="69"/>
  <c r="R230" i="69"/>
  <c r="AB230" i="69"/>
  <c r="O230" i="69"/>
  <c r="AK230" i="69"/>
  <c r="X230" i="69"/>
  <c r="K230" i="69"/>
  <c r="AM230" i="69"/>
  <c r="V230" i="69"/>
  <c r="AL230" i="69"/>
  <c r="U230" i="69"/>
  <c r="AJ230" i="69"/>
  <c r="T230" i="69"/>
  <c r="AH230" i="69"/>
  <c r="P230" i="69"/>
  <c r="W230" i="69"/>
  <c r="S230" i="69"/>
  <c r="N230" i="69"/>
  <c r="M230" i="69"/>
  <c r="AG230" i="69"/>
  <c r="I230" i="69"/>
  <c r="AD230" i="69"/>
  <c r="AA230" i="69"/>
  <c r="Z230" i="69"/>
  <c r="Y230" i="69"/>
  <c r="L230" i="69"/>
  <c r="J230" i="69"/>
  <c r="T350" i="69"/>
  <c r="T352" i="69" s="1"/>
  <c r="T200" i="69"/>
  <c r="U49" i="69"/>
  <c r="U50" i="69" s="1"/>
  <c r="P59" i="69"/>
  <c r="P52" i="69"/>
  <c r="P58" i="69"/>
  <c r="E58" i="69"/>
  <c r="E59" i="69"/>
  <c r="J157" i="69"/>
  <c r="AB157" i="69"/>
  <c r="V157" i="69"/>
  <c r="P157" i="69"/>
  <c r="AN157" i="69"/>
  <c r="R115" i="69"/>
  <c r="AA116" i="69"/>
  <c r="AL117" i="69"/>
  <c r="Y157" i="69"/>
  <c r="H271" i="69"/>
  <c r="AF230" i="69"/>
  <c r="G364" i="69"/>
  <c r="G363" i="69"/>
  <c r="V350" i="69"/>
  <c r="V352" i="69" s="1"/>
  <c r="V200" i="69"/>
  <c r="V45" i="69"/>
  <c r="F59" i="69"/>
  <c r="F58" i="69"/>
  <c r="S115" i="69"/>
  <c r="AB116" i="69"/>
  <c r="AM117" i="69"/>
  <c r="AE157" i="69"/>
  <c r="U204" i="69"/>
  <c r="U205" i="69" s="1"/>
  <c r="U207" i="69" s="1"/>
  <c r="AI230" i="69"/>
  <c r="AB310" i="69"/>
  <c r="S310" i="69"/>
  <c r="P310" i="69"/>
  <c r="J310" i="69"/>
  <c r="Y310" i="69"/>
  <c r="M310" i="69"/>
  <c r="AH310" i="69"/>
  <c r="AE310" i="69"/>
  <c r="V310" i="69"/>
  <c r="AK310" i="69"/>
  <c r="G218" i="69"/>
  <c r="J52" i="69"/>
  <c r="O159" i="69"/>
  <c r="AM159" i="69"/>
  <c r="AG159" i="69"/>
  <c r="AA159" i="69"/>
  <c r="AJ159" i="69"/>
  <c r="AD159" i="69"/>
  <c r="L159" i="69"/>
  <c r="T115" i="69"/>
  <c r="AC116" i="69"/>
  <c r="AH157" i="69"/>
  <c r="AN230" i="69"/>
  <c r="AN310" i="69"/>
  <c r="I462" i="69"/>
  <c r="AI227" i="69"/>
  <c r="W227" i="69"/>
  <c r="K227" i="69"/>
  <c r="AB227" i="69"/>
  <c r="O227" i="69"/>
  <c r="AM227" i="69"/>
  <c r="Z227" i="69"/>
  <c r="M227" i="69"/>
  <c r="AH227" i="69"/>
  <c r="U227" i="69"/>
  <c r="H227" i="69"/>
  <c r="AK227" i="69"/>
  <c r="S227" i="69"/>
  <c r="AJ227" i="69"/>
  <c r="R227" i="69"/>
  <c r="AG227" i="69"/>
  <c r="Q227" i="69"/>
  <c r="AE227" i="69"/>
  <c r="N227" i="69"/>
  <c r="T227" i="69"/>
  <c r="P227" i="69"/>
  <c r="L227" i="69"/>
  <c r="AN227" i="69"/>
  <c r="J227" i="69"/>
  <c r="AD227" i="69"/>
  <c r="F227" i="69"/>
  <c r="AL227" i="69"/>
  <c r="AF227" i="69"/>
  <c r="AC227" i="69"/>
  <c r="AA227" i="69"/>
  <c r="Y227" i="69"/>
  <c r="P60" i="69"/>
  <c r="U115" i="69"/>
  <c r="AK157" i="69"/>
  <c r="S47" i="69"/>
  <c r="AH115" i="69"/>
  <c r="E216" i="69"/>
  <c r="H75" i="69"/>
  <c r="H64" i="69"/>
  <c r="I64" i="69"/>
  <c r="J115" i="69"/>
  <c r="AH117" i="69"/>
  <c r="V117" i="69"/>
  <c r="J117" i="69"/>
  <c r="AN117" i="69"/>
  <c r="AA117" i="69"/>
  <c r="N117" i="69"/>
  <c r="AJ117" i="69"/>
  <c r="U117" i="69"/>
  <c r="AI117" i="69"/>
  <c r="T117" i="69"/>
  <c r="AF117" i="69"/>
  <c r="AG117" i="69"/>
  <c r="S117" i="69"/>
  <c r="R117" i="69"/>
  <c r="AD117" i="69"/>
  <c r="K117" i="69"/>
  <c r="AC117" i="69"/>
  <c r="AB117" i="69"/>
  <c r="Z117" i="69"/>
  <c r="Y117" i="69"/>
  <c r="X117" i="69"/>
  <c r="E63" i="69"/>
  <c r="AI115" i="69"/>
  <c r="M117" i="69"/>
  <c r="F228" i="69"/>
  <c r="F219" i="69"/>
  <c r="AD116" i="69"/>
  <c r="R116" i="69"/>
  <c r="AG116" i="69"/>
  <c r="T116" i="69"/>
  <c r="AM116" i="69"/>
  <c r="Y116" i="69"/>
  <c r="K116" i="69"/>
  <c r="AL116" i="69"/>
  <c r="X116" i="69"/>
  <c r="J116" i="69"/>
  <c r="AJ116" i="69"/>
  <c r="AK116" i="69"/>
  <c r="W116" i="69"/>
  <c r="I116" i="69"/>
  <c r="V116" i="69"/>
  <c r="S116" i="69"/>
  <c r="Q116" i="69"/>
  <c r="P116" i="69"/>
  <c r="AI116" i="69"/>
  <c r="O116" i="69"/>
  <c r="AH116" i="69"/>
  <c r="N116" i="69"/>
  <c r="AF116" i="69"/>
  <c r="M116" i="69"/>
  <c r="V227" i="69"/>
  <c r="G74" i="69"/>
  <c r="G64" i="69"/>
  <c r="F63" i="69"/>
  <c r="AJ115" i="69"/>
  <c r="O117" i="69"/>
  <c r="G219" i="69"/>
  <c r="G229" i="69"/>
  <c r="E308" i="69"/>
  <c r="E218" i="69" s="1"/>
  <c r="N354" i="69"/>
  <c r="N355" i="69" s="1"/>
  <c r="J363" i="69"/>
  <c r="J365" i="69"/>
  <c r="J364" i="69"/>
  <c r="K158" i="69"/>
  <c r="AF158" i="69"/>
  <c r="Z158" i="69"/>
  <c r="T158" i="69"/>
  <c r="W158" i="69"/>
  <c r="Q158" i="69"/>
  <c r="N158" i="69"/>
  <c r="AC158" i="69"/>
  <c r="N202" i="69"/>
  <c r="S363" i="69"/>
  <c r="S365" i="69"/>
  <c r="I272" i="69"/>
  <c r="AG270" i="69"/>
  <c r="U270" i="69"/>
  <c r="I270" i="69"/>
  <c r="AB270" i="69"/>
  <c r="O270" i="69"/>
  <c r="AN270" i="69"/>
  <c r="AA270" i="69"/>
  <c r="N270" i="69"/>
  <c r="AL270" i="69"/>
  <c r="Y270" i="69"/>
  <c r="L270" i="69"/>
  <c r="AI270" i="69"/>
  <c r="R270" i="69"/>
  <c r="AM270" i="69"/>
  <c r="T270" i="69"/>
  <c r="AJ270" i="69"/>
  <c r="Q270" i="69"/>
  <c r="AD270" i="69"/>
  <c r="J270" i="69"/>
  <c r="AE270" i="69"/>
  <c r="AC270" i="69"/>
  <c r="Z270" i="69"/>
  <c r="W270" i="69"/>
  <c r="AK270" i="69"/>
  <c r="AH270" i="69"/>
  <c r="AF270" i="69"/>
  <c r="S270" i="69"/>
  <c r="S205" i="69"/>
  <c r="H270" i="69"/>
  <c r="K270" i="69"/>
  <c r="H365" i="69"/>
  <c r="H364" i="69"/>
  <c r="F364" i="69"/>
  <c r="F363" i="69"/>
  <c r="AD4" i="69"/>
  <c r="AD7" i="69" s="1"/>
  <c r="O202" i="69"/>
  <c r="AE4" i="69"/>
  <c r="AE7" i="69" s="1"/>
  <c r="Q45" i="69"/>
  <c r="E214" i="69"/>
  <c r="E219" i="69" s="1"/>
  <c r="AF4" i="69"/>
  <c r="AF7" i="69" s="1"/>
  <c r="Q202" i="69"/>
  <c r="H311" i="69"/>
  <c r="AA309" i="69"/>
  <c r="O309" i="69"/>
  <c r="L309" i="69"/>
  <c r="AG309" i="69"/>
  <c r="I309" i="69"/>
  <c r="I218" i="69" s="1"/>
  <c r="R309" i="69"/>
  <c r="U309" i="69"/>
  <c r="G365" i="69"/>
  <c r="I213" i="69"/>
  <c r="AG312" i="69"/>
  <c r="AD312" i="69"/>
  <c r="AA312" i="69"/>
  <c r="U312" i="69"/>
  <c r="P355" i="69"/>
  <c r="O312" i="69"/>
  <c r="R312" i="69"/>
  <c r="U354" i="69"/>
  <c r="U355" i="69" s="1"/>
  <c r="E363" i="69"/>
  <c r="E365" i="69"/>
  <c r="E364" i="69"/>
  <c r="X312" i="69"/>
  <c r="U459" i="69"/>
  <c r="I459" i="69"/>
  <c r="AG459" i="69"/>
  <c r="AA459" i="69"/>
  <c r="R459" i="69"/>
  <c r="O459" i="69"/>
  <c r="AJ459" i="69"/>
  <c r="L459" i="69"/>
  <c r="AM459" i="69"/>
  <c r="X459" i="69"/>
  <c r="AD459" i="69"/>
  <c r="I364" i="69"/>
  <c r="I363" i="69"/>
  <c r="V19" i="73"/>
  <c r="V50" i="73"/>
  <c r="V56" i="73"/>
  <c r="V82" i="73"/>
  <c r="V38" i="73"/>
  <c r="V70" i="73"/>
  <c r="V51" i="73"/>
  <c r="O50" i="73"/>
  <c r="V52" i="73"/>
  <c r="V36" i="73"/>
  <c r="V34" i="73"/>
  <c r="V72" i="73"/>
  <c r="V17" i="73"/>
  <c r="V15" i="73"/>
  <c r="V85" i="73"/>
  <c r="V96" i="73"/>
  <c r="V31" i="73"/>
  <c r="V86" i="73"/>
  <c r="V5" i="73"/>
  <c r="V73" i="73"/>
  <c r="V11" i="73"/>
  <c r="V92" i="73"/>
  <c r="L50" i="73"/>
  <c r="N50" i="73"/>
  <c r="V67" i="73"/>
  <c r="M50" i="73"/>
  <c r="V37" i="73"/>
  <c r="V21" i="73"/>
  <c r="V30" i="73"/>
  <c r="V93" i="73"/>
  <c r="V97" i="73"/>
  <c r="V3" i="73"/>
  <c r="V33" i="73"/>
  <c r="V83" i="73"/>
  <c r="V91" i="73"/>
  <c r="V69" i="73"/>
  <c r="V57" i="73"/>
  <c r="V89" i="73"/>
  <c r="V13" i="73"/>
  <c r="V35" i="73"/>
  <c r="V68" i="73"/>
  <c r="V94" i="73"/>
  <c r="V54" i="73"/>
  <c r="V41" i="73"/>
  <c r="V53" i="73"/>
  <c r="V66" i="73"/>
  <c r="P50" i="73"/>
  <c r="V84" i="73"/>
  <c r="W1" i="73" l="1"/>
  <c r="S356" i="69"/>
  <c r="R200" i="69"/>
  <c r="R202" i="69" s="1"/>
  <c r="R350" i="69"/>
  <c r="R352" i="69" s="1"/>
  <c r="R354" i="69" s="1"/>
  <c r="R355" i="69" s="1"/>
  <c r="N52" i="69"/>
  <c r="N58" i="69"/>
  <c r="N60" i="69"/>
  <c r="N164" i="69" s="1"/>
  <c r="N59" i="69"/>
  <c r="N122" i="69" s="1"/>
  <c r="O60" i="69"/>
  <c r="O165" i="69" s="1"/>
  <c r="O59" i="69"/>
  <c r="O123" i="69" s="1"/>
  <c r="O58" i="69"/>
  <c r="O52" i="69"/>
  <c r="O4" i="69"/>
  <c r="O7" i="69" s="1"/>
  <c r="Z4" i="69"/>
  <c r="Z7" i="69" s="1"/>
  <c r="P204" i="69"/>
  <c r="P205" i="69" s="1"/>
  <c r="AN116" i="69"/>
  <c r="I368" i="69"/>
  <c r="F216" i="69"/>
  <c r="H421" i="69"/>
  <c r="G420" i="69"/>
  <c r="K365" i="69"/>
  <c r="K364" i="69"/>
  <c r="K363" i="69"/>
  <c r="O364" i="69"/>
  <c r="O363" i="69"/>
  <c r="O365" i="69"/>
  <c r="N363" i="69"/>
  <c r="N364" i="69"/>
  <c r="N365" i="69"/>
  <c r="T58" i="69"/>
  <c r="T59" i="69"/>
  <c r="T60" i="69"/>
  <c r="T52" i="69"/>
  <c r="AM115" i="69"/>
  <c r="M47" i="69"/>
  <c r="J423" i="69"/>
  <c r="J382" i="69"/>
  <c r="J369" i="69"/>
  <c r="L60" i="69"/>
  <c r="AG74" i="69"/>
  <c r="U74" i="69"/>
  <c r="I74" i="69"/>
  <c r="AF74" i="69"/>
  <c r="T74" i="69"/>
  <c r="H74" i="69"/>
  <c r="AD74" i="69"/>
  <c r="AE74" i="69"/>
  <c r="S74" i="69"/>
  <c r="AB74" i="69"/>
  <c r="M74" i="69"/>
  <c r="AA74" i="69"/>
  <c r="L74" i="69"/>
  <c r="Z74" i="69"/>
  <c r="K74" i="69"/>
  <c r="Y74" i="69"/>
  <c r="J74" i="69"/>
  <c r="AN74" i="69"/>
  <c r="X74" i="69"/>
  <c r="AM74" i="69"/>
  <c r="W74" i="69"/>
  <c r="O74" i="69"/>
  <c r="Q74" i="69"/>
  <c r="N74" i="69"/>
  <c r="AL74" i="69"/>
  <c r="AK74" i="69"/>
  <c r="P74" i="69"/>
  <c r="AJ74" i="69"/>
  <c r="AI74" i="69"/>
  <c r="AH74" i="69"/>
  <c r="AC74" i="69"/>
  <c r="V74" i="69"/>
  <c r="R74" i="69"/>
  <c r="G379" i="69"/>
  <c r="G369" i="69"/>
  <c r="M202" i="69"/>
  <c r="G460" i="69"/>
  <c r="G368" i="69" s="1"/>
  <c r="V47" i="69"/>
  <c r="U58" i="69"/>
  <c r="U60" i="69"/>
  <c r="U59" i="69"/>
  <c r="AJ228" i="69"/>
  <c r="X228" i="69"/>
  <c r="L228" i="69"/>
  <c r="AF228" i="69"/>
  <c r="S228" i="69"/>
  <c r="AD228" i="69"/>
  <c r="Q228" i="69"/>
  <c r="AM228" i="69"/>
  <c r="Z228" i="69"/>
  <c r="M228" i="69"/>
  <c r="AK228" i="69"/>
  <c r="T228" i="69"/>
  <c r="AI228" i="69"/>
  <c r="R228" i="69"/>
  <c r="AH228" i="69"/>
  <c r="P228" i="69"/>
  <c r="AE228" i="69"/>
  <c r="N228" i="69"/>
  <c r="AL228" i="69"/>
  <c r="I228" i="69"/>
  <c r="AG228" i="69"/>
  <c r="H228" i="69"/>
  <c r="AC228" i="69"/>
  <c r="G228" i="69"/>
  <c r="G216" i="69" s="1"/>
  <c r="AB228" i="69"/>
  <c r="W228" i="69"/>
  <c r="J228" i="69"/>
  <c r="AN228" i="69"/>
  <c r="AA228" i="69"/>
  <c r="Y228" i="69"/>
  <c r="V228" i="69"/>
  <c r="U228" i="69"/>
  <c r="O228" i="69"/>
  <c r="K228" i="69"/>
  <c r="P166" i="69"/>
  <c r="W350" i="69"/>
  <c r="W352" i="69" s="1"/>
  <c r="W200" i="69"/>
  <c r="W45" i="69"/>
  <c r="AG432" i="69"/>
  <c r="U432" i="69"/>
  <c r="AC432" i="69"/>
  <c r="AB432" i="69"/>
  <c r="AI432" i="69"/>
  <c r="AF432" i="69"/>
  <c r="AL432" i="69"/>
  <c r="T432" i="69"/>
  <c r="Y432" i="69"/>
  <c r="AN432" i="69"/>
  <c r="V432" i="69"/>
  <c r="AJ432" i="69"/>
  <c r="AK432" i="69"/>
  <c r="AE432" i="69"/>
  <c r="AD432" i="69"/>
  <c r="Z432" i="69"/>
  <c r="AH432" i="69"/>
  <c r="AM432" i="69"/>
  <c r="AA432" i="69"/>
  <c r="X432" i="69"/>
  <c r="W432" i="69"/>
  <c r="V202" i="69"/>
  <c r="E268" i="69"/>
  <c r="E217" i="69" s="1"/>
  <c r="E220" i="69" s="1"/>
  <c r="E221" i="69" s="1"/>
  <c r="V354" i="69"/>
  <c r="V355" i="69" s="1"/>
  <c r="T354" i="69"/>
  <c r="T355" i="69" s="1"/>
  <c r="P364" i="69"/>
  <c r="P365" i="69"/>
  <c r="P363" i="69"/>
  <c r="Q47" i="69"/>
  <c r="H461" i="69"/>
  <c r="M354" i="69"/>
  <c r="M355" i="69" s="1"/>
  <c r="I369" i="69"/>
  <c r="I381" i="69"/>
  <c r="U52" i="69"/>
  <c r="F114" i="69"/>
  <c r="I422" i="69"/>
  <c r="O204" i="69"/>
  <c r="O205" i="69" s="1"/>
  <c r="S472" i="69"/>
  <c r="Z308" i="69"/>
  <c r="K308" i="69"/>
  <c r="H308" i="69"/>
  <c r="H218" i="69" s="1"/>
  <c r="AL308" i="69"/>
  <c r="AF308" i="69"/>
  <c r="AI308" i="69"/>
  <c r="AC308" i="69"/>
  <c r="W308" i="69"/>
  <c r="Q308" i="69"/>
  <c r="T308" i="69"/>
  <c r="N308" i="69"/>
  <c r="S49" i="69"/>
  <c r="S50" i="69" s="1"/>
  <c r="K23" i="69"/>
  <c r="K21" i="69"/>
  <c r="E72" i="69"/>
  <c r="E61" i="69" s="1"/>
  <c r="E64" i="69"/>
  <c r="E418" i="69"/>
  <c r="Q204" i="69"/>
  <c r="Q205" i="69" s="1"/>
  <c r="S391" i="69"/>
  <c r="S369" i="69"/>
  <c r="AJ271" i="69"/>
  <c r="X271" i="69"/>
  <c r="L271" i="69"/>
  <c r="AH271" i="69"/>
  <c r="U271" i="69"/>
  <c r="AG271" i="69"/>
  <c r="T271" i="69"/>
  <c r="AE271" i="69"/>
  <c r="R271" i="69"/>
  <c r="AL271" i="69"/>
  <c r="S271" i="69"/>
  <c r="Z271" i="69"/>
  <c r="W271" i="69"/>
  <c r="AI271" i="69"/>
  <c r="O271" i="69"/>
  <c r="Y271" i="69"/>
  <c r="V271" i="69"/>
  <c r="Q271" i="69"/>
  <c r="AN271" i="69"/>
  <c r="N271" i="69"/>
  <c r="I271" i="69"/>
  <c r="AM271" i="69"/>
  <c r="AK271" i="69"/>
  <c r="AF271" i="69"/>
  <c r="AB271" i="69"/>
  <c r="AD271" i="69"/>
  <c r="AC271" i="69"/>
  <c r="AA271" i="69"/>
  <c r="P271" i="69"/>
  <c r="M271" i="69"/>
  <c r="K271" i="69"/>
  <c r="J271" i="69"/>
  <c r="P83" i="69"/>
  <c r="P64" i="69"/>
  <c r="S207" i="69"/>
  <c r="S214" i="69"/>
  <c r="S215" i="69"/>
  <c r="S213" i="69"/>
  <c r="E458" i="69"/>
  <c r="AJ75" i="69"/>
  <c r="X75" i="69"/>
  <c r="L75" i="69"/>
  <c r="AI75" i="69"/>
  <c r="W75" i="69"/>
  <c r="K75" i="69"/>
  <c r="U75" i="69"/>
  <c r="AH75" i="69"/>
  <c r="V75" i="69"/>
  <c r="J75" i="69"/>
  <c r="AG75" i="69"/>
  <c r="I75" i="69"/>
  <c r="AE75" i="69"/>
  <c r="O75" i="69"/>
  <c r="AD75" i="69"/>
  <c r="N75" i="69"/>
  <c r="AC75" i="69"/>
  <c r="M75" i="69"/>
  <c r="AB75" i="69"/>
  <c r="AA75" i="69"/>
  <c r="Z75" i="69"/>
  <c r="Q75" i="69"/>
  <c r="Y75" i="69"/>
  <c r="P75" i="69"/>
  <c r="AN75" i="69"/>
  <c r="T75" i="69"/>
  <c r="R75" i="69"/>
  <c r="AM75" i="69"/>
  <c r="AL75" i="69"/>
  <c r="AK75" i="69"/>
  <c r="AF75" i="69"/>
  <c r="S75" i="69"/>
  <c r="Q364" i="69"/>
  <c r="Q363" i="69"/>
  <c r="Q365" i="69"/>
  <c r="AE269" i="69"/>
  <c r="S269" i="69"/>
  <c r="AJ269" i="69"/>
  <c r="W269" i="69"/>
  <c r="J269" i="69"/>
  <c r="AI269" i="69"/>
  <c r="V269" i="69"/>
  <c r="I269" i="69"/>
  <c r="AG269" i="69"/>
  <c r="T269" i="69"/>
  <c r="G269" i="69"/>
  <c r="AH269" i="69"/>
  <c r="P269" i="69"/>
  <c r="AK269" i="69"/>
  <c r="O269" i="69"/>
  <c r="AD269" i="69"/>
  <c r="M269" i="69"/>
  <c r="Z269" i="69"/>
  <c r="AN269" i="69"/>
  <c r="N269" i="69"/>
  <c r="AM269" i="69"/>
  <c r="L269" i="69"/>
  <c r="AL269" i="69"/>
  <c r="K269" i="69"/>
  <c r="AC269" i="69"/>
  <c r="AF269" i="69"/>
  <c r="AB269" i="69"/>
  <c r="AA269" i="69"/>
  <c r="Y269" i="69"/>
  <c r="R269" i="69"/>
  <c r="X269" i="69"/>
  <c r="U269" i="69"/>
  <c r="Q269" i="69"/>
  <c r="H269" i="69"/>
  <c r="U364" i="69"/>
  <c r="U365" i="69"/>
  <c r="U363" i="69"/>
  <c r="F419" i="69"/>
  <c r="U215" i="69"/>
  <c r="U214" i="69"/>
  <c r="U213" i="69"/>
  <c r="J463" i="69"/>
  <c r="N204" i="69"/>
  <c r="N205" i="69" s="1"/>
  <c r="T202" i="69"/>
  <c r="H363" i="69"/>
  <c r="AN272" i="69"/>
  <c r="AB272" i="69"/>
  <c r="P272" i="69"/>
  <c r="AC272" i="69"/>
  <c r="O272" i="69"/>
  <c r="AA272" i="69"/>
  <c r="N272" i="69"/>
  <c r="AL272" i="69"/>
  <c r="Y272" i="69"/>
  <c r="L272" i="69"/>
  <c r="AM272" i="69"/>
  <c r="V272" i="69"/>
  <c r="AF272" i="69"/>
  <c r="K272" i="69"/>
  <c r="AD272" i="69"/>
  <c r="U272" i="69"/>
  <c r="R272" i="69"/>
  <c r="AK272" i="69"/>
  <c r="Q272" i="69"/>
  <c r="AJ272" i="69"/>
  <c r="M272" i="69"/>
  <c r="AH272" i="69"/>
  <c r="J272" i="69"/>
  <c r="AE272" i="69"/>
  <c r="S272" i="69"/>
  <c r="Z272" i="69"/>
  <c r="X272" i="69"/>
  <c r="W272" i="69"/>
  <c r="T272" i="69"/>
  <c r="AI272" i="69"/>
  <c r="AG272" i="69"/>
  <c r="F73" i="69"/>
  <c r="F64" i="69"/>
  <c r="E113" i="69"/>
  <c r="AC311" i="69"/>
  <c r="W311" i="69"/>
  <c r="T311" i="69"/>
  <c r="N311" i="69"/>
  <c r="AI311" i="69"/>
  <c r="Z311" i="69"/>
  <c r="AL311" i="69"/>
  <c r="AF311" i="69"/>
  <c r="Q311" i="69"/>
  <c r="K311" i="69"/>
  <c r="K16" i="69"/>
  <c r="K18" i="69"/>
  <c r="I231" i="69"/>
  <c r="I219" i="69"/>
  <c r="R47" i="69"/>
  <c r="AL229" i="69"/>
  <c r="Z229" i="69"/>
  <c r="N229" i="69"/>
  <c r="AK229" i="69"/>
  <c r="X229" i="69"/>
  <c r="K229" i="69"/>
  <c r="AI229" i="69"/>
  <c r="V229" i="69"/>
  <c r="I229" i="69"/>
  <c r="AE229" i="69"/>
  <c r="R229" i="69"/>
  <c r="AM229" i="69"/>
  <c r="T229" i="69"/>
  <c r="AJ229" i="69"/>
  <c r="S229" i="69"/>
  <c r="AH229" i="69"/>
  <c r="Q229" i="69"/>
  <c r="AF229" i="69"/>
  <c r="O229" i="69"/>
  <c r="AB229" i="69"/>
  <c r="AA229" i="69"/>
  <c r="Y229" i="69"/>
  <c r="W229" i="69"/>
  <c r="M229" i="69"/>
  <c r="P229" i="69"/>
  <c r="L229" i="69"/>
  <c r="J229" i="69"/>
  <c r="H229" i="69"/>
  <c r="U229" i="69"/>
  <c r="AN229" i="69"/>
  <c r="AG229" i="69"/>
  <c r="AD229" i="69"/>
  <c r="AC229" i="69"/>
  <c r="L365" i="69"/>
  <c r="L364" i="69"/>
  <c r="L363" i="69"/>
  <c r="E377" i="69"/>
  <c r="E369" i="69"/>
  <c r="F378" i="69"/>
  <c r="F369" i="69"/>
  <c r="L52" i="69"/>
  <c r="AA462" i="69"/>
  <c r="O462" i="69"/>
  <c r="AJ462" i="69"/>
  <c r="X462" i="69"/>
  <c r="AD462" i="69"/>
  <c r="R462" i="69"/>
  <c r="AG462" i="69"/>
  <c r="U462" i="69"/>
  <c r="AM462" i="69"/>
  <c r="L462" i="69"/>
  <c r="P124" i="69"/>
  <c r="P51" i="69"/>
  <c r="AN115" i="69"/>
  <c r="J160" i="69"/>
  <c r="J63" i="69" s="1"/>
  <c r="W51" i="73"/>
  <c r="W19" i="73"/>
  <c r="W85" i="73"/>
  <c r="W92" i="73"/>
  <c r="W30" i="73"/>
  <c r="W3" i="73"/>
  <c r="W84" i="73"/>
  <c r="W11" i="73"/>
  <c r="W91" i="73"/>
  <c r="W31" i="73"/>
  <c r="W37" i="73"/>
  <c r="W53" i="73"/>
  <c r="W35" i="73"/>
  <c r="W68" i="73"/>
  <c r="W38" i="73"/>
  <c r="W94" i="73"/>
  <c r="W50" i="73"/>
  <c r="W72" i="73"/>
  <c r="W56" i="73"/>
  <c r="W41" i="73"/>
  <c r="W33" i="73"/>
  <c r="W86" i="73"/>
  <c r="W73" i="73"/>
  <c r="W82" i="73"/>
  <c r="W21" i="73"/>
  <c r="W89" i="73"/>
  <c r="W83" i="73"/>
  <c r="W5" i="73"/>
  <c r="W54" i="73"/>
  <c r="W17" i="73"/>
  <c r="W97" i="73"/>
  <c r="W93" i="73"/>
  <c r="W66" i="73"/>
  <c r="W13" i="73"/>
  <c r="W52" i="73"/>
  <c r="W67" i="73"/>
  <c r="W36" i="73"/>
  <c r="W57" i="73"/>
  <c r="W70" i="73"/>
  <c r="W96" i="73"/>
  <c r="W34" i="73"/>
  <c r="W69" i="73"/>
  <c r="W15" i="73"/>
  <c r="X1" i="73" l="1"/>
  <c r="O64" i="69"/>
  <c r="AA4" i="69"/>
  <c r="AA7" i="69" s="1"/>
  <c r="N51" i="69"/>
  <c r="N64" i="69"/>
  <c r="N81" i="69"/>
  <c r="O81" i="69" s="1"/>
  <c r="AL4" i="69"/>
  <c r="AL7" i="69" s="1"/>
  <c r="P4" i="69"/>
  <c r="O82" i="69"/>
  <c r="Y82" i="69" s="1"/>
  <c r="O51" i="69"/>
  <c r="P213" i="69"/>
  <c r="P214" i="69"/>
  <c r="P215" i="69"/>
  <c r="P319" i="69" s="1"/>
  <c r="V319" i="69" s="1"/>
  <c r="P207" i="69"/>
  <c r="I216" i="69"/>
  <c r="H216" i="69"/>
  <c r="O215" i="69"/>
  <c r="O214" i="69"/>
  <c r="O213" i="69"/>
  <c r="O207" i="69"/>
  <c r="R363" i="69"/>
  <c r="R365" i="69"/>
  <c r="R364" i="69"/>
  <c r="K60" i="69"/>
  <c r="K52" i="69"/>
  <c r="S58" i="69"/>
  <c r="S60" i="69"/>
  <c r="S59" i="69"/>
  <c r="S52" i="69"/>
  <c r="N213" i="69"/>
  <c r="N215" i="69"/>
  <c r="N214" i="69"/>
  <c r="N207" i="69"/>
  <c r="V365" i="69"/>
  <c r="V363" i="69"/>
  <c r="V364" i="69"/>
  <c r="K215" i="69"/>
  <c r="L465" i="69"/>
  <c r="L368" i="69" s="1"/>
  <c r="U369" i="69"/>
  <c r="U393" i="69"/>
  <c r="U88" i="69"/>
  <c r="U9" i="69"/>
  <c r="U64" i="69"/>
  <c r="M363" i="69"/>
  <c r="M365" i="69"/>
  <c r="M364" i="69"/>
  <c r="O468" i="69"/>
  <c r="AD72" i="69"/>
  <c r="R72" i="69"/>
  <c r="F72" i="69"/>
  <c r="F61" i="69" s="1"/>
  <c r="AC72" i="69"/>
  <c r="Q72" i="69"/>
  <c r="AN72" i="69"/>
  <c r="AB72" i="69"/>
  <c r="P72" i="69"/>
  <c r="AG72" i="69"/>
  <c r="O72" i="69"/>
  <c r="AF72" i="69"/>
  <c r="N72" i="69"/>
  <c r="AE72" i="69"/>
  <c r="M72" i="69"/>
  <c r="AA72" i="69"/>
  <c r="L72" i="69"/>
  <c r="Z72" i="69"/>
  <c r="K72" i="69"/>
  <c r="Y72" i="69"/>
  <c r="J72" i="69"/>
  <c r="T72" i="69"/>
  <c r="S72" i="69"/>
  <c r="AM72" i="69"/>
  <c r="I72" i="69"/>
  <c r="AL72" i="69"/>
  <c r="H72" i="69"/>
  <c r="AK72" i="69"/>
  <c r="G72" i="69"/>
  <c r="AJ72" i="69"/>
  <c r="AI72" i="69"/>
  <c r="AH72" i="69"/>
  <c r="X72" i="69"/>
  <c r="W72" i="69"/>
  <c r="V72" i="69"/>
  <c r="U72" i="69"/>
  <c r="L23" i="69"/>
  <c r="L21" i="69"/>
  <c r="M20" i="69"/>
  <c r="O428" i="69"/>
  <c r="O356" i="69"/>
  <c r="AK114" i="69"/>
  <c r="Y114" i="69"/>
  <c r="M114" i="69"/>
  <c r="AH114" i="69"/>
  <c r="U114" i="69"/>
  <c r="H114" i="69"/>
  <c r="AI114" i="69"/>
  <c r="T114" i="69"/>
  <c r="AG114" i="69"/>
  <c r="S114" i="69"/>
  <c r="AE114" i="69"/>
  <c r="Q114" i="69"/>
  <c r="AF114" i="69"/>
  <c r="R114" i="69"/>
  <c r="X114" i="69"/>
  <c r="W114" i="69"/>
  <c r="V114" i="69"/>
  <c r="AN114" i="69"/>
  <c r="P114" i="69"/>
  <c r="AM114" i="69"/>
  <c r="O114" i="69"/>
  <c r="AL114" i="69"/>
  <c r="N114" i="69"/>
  <c r="AB114" i="69"/>
  <c r="AD114" i="69"/>
  <c r="AA114" i="69"/>
  <c r="Z114" i="69"/>
  <c r="L114" i="69"/>
  <c r="AC114" i="69"/>
  <c r="K114" i="69"/>
  <c r="J114" i="69"/>
  <c r="I114" i="69"/>
  <c r="G114" i="69"/>
  <c r="AJ114" i="69"/>
  <c r="T170" i="69"/>
  <c r="AE463" i="69"/>
  <c r="S463" i="69"/>
  <c r="AN463" i="69"/>
  <c r="AK463" i="69"/>
  <c r="AB463" i="69"/>
  <c r="P463" i="69"/>
  <c r="Y463" i="69"/>
  <c r="V463" i="69"/>
  <c r="AH463" i="69"/>
  <c r="M463" i="69"/>
  <c r="T128" i="69"/>
  <c r="T51" i="69"/>
  <c r="AD124" i="69"/>
  <c r="R124" i="69"/>
  <c r="AN124" i="69"/>
  <c r="AA124" i="69"/>
  <c r="AM124" i="69"/>
  <c r="Y124" i="69"/>
  <c r="AL124" i="69"/>
  <c r="X124" i="69"/>
  <c r="AJ124" i="69"/>
  <c r="AK124" i="69"/>
  <c r="W124" i="69"/>
  <c r="V124" i="69"/>
  <c r="AC124" i="69"/>
  <c r="AB124" i="69"/>
  <c r="Z124" i="69"/>
  <c r="U124" i="69"/>
  <c r="T124" i="69"/>
  <c r="S124" i="69"/>
  <c r="AG124" i="69"/>
  <c r="AF124" i="69"/>
  <c r="AE124" i="69"/>
  <c r="Q124" i="69"/>
  <c r="AH124" i="69"/>
  <c r="AI124" i="69"/>
  <c r="AG122" i="69"/>
  <c r="U122" i="69"/>
  <c r="AM122" i="69"/>
  <c r="Z122" i="69"/>
  <c r="AH122" i="69"/>
  <c r="S122" i="69"/>
  <c r="AF122" i="69"/>
  <c r="R122" i="69"/>
  <c r="P122" i="69"/>
  <c r="AE122" i="69"/>
  <c r="Q122" i="69"/>
  <c r="AD122" i="69"/>
  <c r="AK122" i="69"/>
  <c r="AJ122" i="69"/>
  <c r="AI122" i="69"/>
  <c r="AC122" i="69"/>
  <c r="AB122" i="69"/>
  <c r="AA122" i="69"/>
  <c r="AN122" i="69"/>
  <c r="AL122" i="69"/>
  <c r="Y122" i="69"/>
  <c r="X122" i="69"/>
  <c r="W122" i="69"/>
  <c r="V122" i="69"/>
  <c r="T122" i="69"/>
  <c r="O122" i="69"/>
  <c r="Q49" i="69"/>
  <c r="Q50" i="69" s="1"/>
  <c r="V204" i="69"/>
  <c r="V205" i="69" s="1"/>
  <c r="W202" i="69"/>
  <c r="V460" i="69"/>
  <c r="J460" i="69"/>
  <c r="J368" i="69" s="1"/>
  <c r="P460" i="69"/>
  <c r="AN460" i="69"/>
  <c r="AH460" i="69"/>
  <c r="M460" i="69"/>
  <c r="S460" i="69"/>
  <c r="AE460" i="69"/>
  <c r="AB460" i="69"/>
  <c r="Y460" i="69"/>
  <c r="AK460" i="69"/>
  <c r="T87" i="69"/>
  <c r="T64" i="69"/>
  <c r="K424" i="69"/>
  <c r="U284" i="69"/>
  <c r="U206" i="69"/>
  <c r="AC391" i="69"/>
  <c r="AF391" i="69"/>
  <c r="AD391" i="69"/>
  <c r="AM391" i="69"/>
  <c r="X391" i="69"/>
  <c r="Z391" i="69"/>
  <c r="AL391" i="69"/>
  <c r="V391" i="69"/>
  <c r="AI391" i="69"/>
  <c r="Y391" i="69"/>
  <c r="W391" i="69"/>
  <c r="T391" i="69"/>
  <c r="AN391" i="69"/>
  <c r="AH391" i="69"/>
  <c r="AJ391" i="69"/>
  <c r="AA391" i="69"/>
  <c r="U391" i="69"/>
  <c r="AK391" i="69"/>
  <c r="AG391" i="69"/>
  <c r="AE391" i="69"/>
  <c r="AB391" i="69"/>
  <c r="P369" i="69"/>
  <c r="P388" i="69"/>
  <c r="W354" i="69"/>
  <c r="W355" i="69" s="1"/>
  <c r="M204" i="69"/>
  <c r="M205" i="69" s="1"/>
  <c r="K464" i="69"/>
  <c r="M49" i="69"/>
  <c r="M50" i="69" s="1"/>
  <c r="AG268" i="69"/>
  <c r="U268" i="69"/>
  <c r="I268" i="69"/>
  <c r="I217" i="69" s="1"/>
  <c r="AF268" i="69"/>
  <c r="T268" i="69"/>
  <c r="H268" i="69"/>
  <c r="H217" i="69" s="1"/>
  <c r="AD268" i="69"/>
  <c r="R268" i="69"/>
  <c r="F268" i="69"/>
  <c r="F217" i="69" s="1"/>
  <c r="F220" i="69" s="1"/>
  <c r="F221" i="69" s="1"/>
  <c r="AJ268" i="69"/>
  <c r="S268" i="69"/>
  <c r="AH268" i="69"/>
  <c r="O268" i="69"/>
  <c r="AC268" i="69"/>
  <c r="M268" i="69"/>
  <c r="Y268" i="69"/>
  <c r="G268" i="69"/>
  <c r="G217" i="69" s="1"/>
  <c r="G220" i="69" s="1"/>
  <c r="G221" i="69" s="1"/>
  <c r="Z268" i="69"/>
  <c r="X268" i="69"/>
  <c r="W268" i="69"/>
  <c r="AN268" i="69"/>
  <c r="Q268" i="69"/>
  <c r="AI268" i="69"/>
  <c r="AE268" i="69"/>
  <c r="AB268" i="69"/>
  <c r="AA268" i="69"/>
  <c r="N268" i="69"/>
  <c r="L268" i="69"/>
  <c r="K268" i="69"/>
  <c r="J268" i="69"/>
  <c r="AM268" i="69"/>
  <c r="AL268" i="69"/>
  <c r="AK268" i="69"/>
  <c r="V268" i="69"/>
  <c r="P268" i="69"/>
  <c r="R204" i="69"/>
  <c r="R205" i="69" s="1"/>
  <c r="AB166" i="69"/>
  <c r="AH166" i="69"/>
  <c r="AE166" i="69"/>
  <c r="Y166" i="69"/>
  <c r="S166" i="69"/>
  <c r="AN166" i="69"/>
  <c r="AK166" i="69"/>
  <c r="V166" i="69"/>
  <c r="AE382" i="69"/>
  <c r="S382" i="69"/>
  <c r="AG382" i="69"/>
  <c r="T382" i="69"/>
  <c r="AC382" i="69"/>
  <c r="O382" i="69"/>
  <c r="AN382" i="69"/>
  <c r="Z382" i="69"/>
  <c r="L382" i="69"/>
  <c r="AK382" i="69"/>
  <c r="W382" i="69"/>
  <c r="AH382" i="69"/>
  <c r="N382" i="69"/>
  <c r="AF382" i="69"/>
  <c r="M382" i="69"/>
  <c r="AI382" i="69"/>
  <c r="AD382" i="69"/>
  <c r="AA382" i="69"/>
  <c r="V382" i="69"/>
  <c r="R382" i="69"/>
  <c r="AM382" i="69"/>
  <c r="AB382" i="69"/>
  <c r="Y382" i="69"/>
  <c r="X382" i="69"/>
  <c r="K382" i="69"/>
  <c r="AL382" i="69"/>
  <c r="AJ382" i="69"/>
  <c r="U382" i="69"/>
  <c r="Q382" i="69"/>
  <c r="P382" i="69"/>
  <c r="AE123" i="69"/>
  <c r="S123" i="69"/>
  <c r="AM123" i="69"/>
  <c r="Z123" i="69"/>
  <c r="AJ123" i="69"/>
  <c r="V123" i="69"/>
  <c r="AI123" i="69"/>
  <c r="U123" i="69"/>
  <c r="R123" i="69"/>
  <c r="AH123" i="69"/>
  <c r="T123" i="69"/>
  <c r="AG123" i="69"/>
  <c r="AD123" i="69"/>
  <c r="AC123" i="69"/>
  <c r="AB123" i="69"/>
  <c r="AA123" i="69"/>
  <c r="Y123" i="69"/>
  <c r="X123" i="69"/>
  <c r="AF123" i="69"/>
  <c r="P123" i="69"/>
  <c r="AN123" i="69"/>
  <c r="AL123" i="69"/>
  <c r="AK123" i="69"/>
  <c r="W123" i="69"/>
  <c r="Q123" i="69"/>
  <c r="T204" i="69"/>
  <c r="T205" i="69" s="1"/>
  <c r="S241" i="69"/>
  <c r="S219" i="69"/>
  <c r="U474" i="69"/>
  <c r="AH422" i="69"/>
  <c r="V422" i="69"/>
  <c r="J422" i="69"/>
  <c r="AF422" i="69"/>
  <c r="S422" i="69"/>
  <c r="AK422" i="69"/>
  <c r="W422" i="69"/>
  <c r="AI422" i="69"/>
  <c r="R422" i="69"/>
  <c r="AE422" i="69"/>
  <c r="P422" i="69"/>
  <c r="X422" i="69"/>
  <c r="Z422" i="69"/>
  <c r="AN422" i="69"/>
  <c r="T422" i="69"/>
  <c r="AJ422" i="69"/>
  <c r="N422" i="69"/>
  <c r="AL422" i="69"/>
  <c r="K422" i="69"/>
  <c r="AG422" i="69"/>
  <c r="AC422" i="69"/>
  <c r="L422" i="69"/>
  <c r="AM422" i="69"/>
  <c r="Q422" i="69"/>
  <c r="M422" i="69"/>
  <c r="AD422" i="69"/>
  <c r="AB422" i="69"/>
  <c r="O422" i="69"/>
  <c r="U422" i="69"/>
  <c r="AA422" i="69"/>
  <c r="Y422" i="69"/>
  <c r="AE379" i="69"/>
  <c r="S379" i="69"/>
  <c r="AK379" i="69"/>
  <c r="AN379" i="69"/>
  <c r="Z379" i="69"/>
  <c r="M379" i="69"/>
  <c r="AJ379" i="69"/>
  <c r="W379" i="69"/>
  <c r="J379" i="69"/>
  <c r="AG379" i="69"/>
  <c r="T379" i="69"/>
  <c r="AH379" i="69"/>
  <c r="P379" i="69"/>
  <c r="AF379" i="69"/>
  <c r="O379" i="69"/>
  <c r="AM379" i="69"/>
  <c r="Q379" i="69"/>
  <c r="AL379" i="69"/>
  <c r="N379" i="69"/>
  <c r="AD379" i="69"/>
  <c r="K379" i="69"/>
  <c r="AA379" i="69"/>
  <c r="X379" i="69"/>
  <c r="L379" i="69"/>
  <c r="Y379" i="69"/>
  <c r="AB379" i="69"/>
  <c r="V379" i="69"/>
  <c r="U379" i="69"/>
  <c r="I379" i="69"/>
  <c r="AI379" i="69"/>
  <c r="AC379" i="69"/>
  <c r="R379" i="69"/>
  <c r="H379" i="69"/>
  <c r="AG231" i="69"/>
  <c r="U231" i="69"/>
  <c r="AL231" i="69"/>
  <c r="Y231" i="69"/>
  <c r="L231" i="69"/>
  <c r="AJ231" i="69"/>
  <c r="W231" i="69"/>
  <c r="J231" i="69"/>
  <c r="AE231" i="69"/>
  <c r="R231" i="69"/>
  <c r="Z231" i="69"/>
  <c r="X231" i="69"/>
  <c r="AN231" i="69"/>
  <c r="V231" i="69"/>
  <c r="AK231" i="69"/>
  <c r="S231" i="69"/>
  <c r="O231" i="69"/>
  <c r="AM231" i="69"/>
  <c r="N231" i="69"/>
  <c r="AI231" i="69"/>
  <c r="M231" i="69"/>
  <c r="AH231" i="69"/>
  <c r="K231" i="69"/>
  <c r="AC231" i="69"/>
  <c r="AF231" i="69"/>
  <c r="AD231" i="69"/>
  <c r="AB231" i="69"/>
  <c r="AA231" i="69"/>
  <c r="T231" i="69"/>
  <c r="Q231" i="69"/>
  <c r="P231" i="69"/>
  <c r="U434" i="69"/>
  <c r="U356" i="69"/>
  <c r="V49" i="69"/>
  <c r="V50" i="69" s="1"/>
  <c r="O387" i="69"/>
  <c r="O369" i="69"/>
  <c r="AJ113" i="69"/>
  <c r="X113" i="69"/>
  <c r="L113" i="69"/>
  <c r="AD113" i="69"/>
  <c r="Q113" i="69"/>
  <c r="AA113" i="69"/>
  <c r="M113" i="69"/>
  <c r="AN113" i="69"/>
  <c r="Z113" i="69"/>
  <c r="K113" i="69"/>
  <c r="AL113" i="69"/>
  <c r="W113" i="69"/>
  <c r="AM113" i="69"/>
  <c r="Y113" i="69"/>
  <c r="J113" i="69"/>
  <c r="I113" i="69"/>
  <c r="AI113" i="69"/>
  <c r="P113" i="69"/>
  <c r="AH113" i="69"/>
  <c r="O113" i="69"/>
  <c r="AG113" i="69"/>
  <c r="N113" i="69"/>
  <c r="AF113" i="69"/>
  <c r="H113" i="69"/>
  <c r="AE113" i="69"/>
  <c r="G113" i="69"/>
  <c r="AC113" i="69"/>
  <c r="F113" i="69"/>
  <c r="F62" i="69" s="1"/>
  <c r="T113" i="69"/>
  <c r="S113" i="69"/>
  <c r="R113" i="69"/>
  <c r="AB113" i="69"/>
  <c r="U113" i="69"/>
  <c r="AK113" i="69"/>
  <c r="V113" i="69"/>
  <c r="W461" i="69"/>
  <c r="K461" i="69"/>
  <c r="Z461" i="69"/>
  <c r="N461" i="69"/>
  <c r="AF461" i="69"/>
  <c r="Q461" i="69"/>
  <c r="AL461" i="69"/>
  <c r="AC461" i="69"/>
  <c r="AI461" i="69"/>
  <c r="T461" i="69"/>
  <c r="E62" i="69"/>
  <c r="E65" i="69" s="1"/>
  <c r="E66" i="69" s="1"/>
  <c r="X350" i="69"/>
  <c r="X352" i="69" s="1"/>
  <c r="X200" i="69"/>
  <c r="X45" i="69"/>
  <c r="K369" i="69"/>
  <c r="K383" i="69"/>
  <c r="U219" i="69"/>
  <c r="U243" i="69"/>
  <c r="AN377" i="69"/>
  <c r="AB377" i="69"/>
  <c r="P377" i="69"/>
  <c r="AD377" i="69"/>
  <c r="Q377" i="69"/>
  <c r="AM377" i="69"/>
  <c r="Z377" i="69"/>
  <c r="M377" i="69"/>
  <c r="AJ377" i="69"/>
  <c r="W377" i="69"/>
  <c r="J377" i="69"/>
  <c r="AG377" i="69"/>
  <c r="O377" i="69"/>
  <c r="AF377" i="69"/>
  <c r="N377" i="69"/>
  <c r="V377" i="69"/>
  <c r="U377" i="69"/>
  <c r="AL377" i="69"/>
  <c r="S377" i="69"/>
  <c r="K377" i="69"/>
  <c r="AI377" i="69"/>
  <c r="H377" i="69"/>
  <c r="AA377" i="69"/>
  <c r="AK377" i="69"/>
  <c r="AH377" i="69"/>
  <c r="AE377" i="69"/>
  <c r="T377" i="69"/>
  <c r="AC377" i="69"/>
  <c r="X377" i="69"/>
  <c r="Y377" i="69"/>
  <c r="R377" i="69"/>
  <c r="L377" i="69"/>
  <c r="I377" i="69"/>
  <c r="G377" i="69"/>
  <c r="F377" i="69"/>
  <c r="F366" i="69" s="1"/>
  <c r="U324" i="69"/>
  <c r="T458" i="69"/>
  <c r="H458" i="69"/>
  <c r="H368" i="69" s="1"/>
  <c r="W458" i="69"/>
  <c r="K458" i="69"/>
  <c r="Q458" i="69"/>
  <c r="AI458" i="69"/>
  <c r="AL458" i="69"/>
  <c r="AC458" i="69"/>
  <c r="AF458" i="69"/>
  <c r="Z458" i="69"/>
  <c r="N458" i="69"/>
  <c r="Q213" i="69"/>
  <c r="Q215" i="69"/>
  <c r="Q214" i="69"/>
  <c r="Q207" i="69"/>
  <c r="P469" i="69"/>
  <c r="R165" i="69"/>
  <c r="U165" i="69"/>
  <c r="AL164" i="69"/>
  <c r="AF164" i="69"/>
  <c r="AD165" i="69"/>
  <c r="AA165" i="69"/>
  <c r="X165" i="69"/>
  <c r="AI164" i="69"/>
  <c r="T164" i="69"/>
  <c r="Q164" i="69"/>
  <c r="W164" i="69"/>
  <c r="AJ165" i="69"/>
  <c r="AG165" i="69"/>
  <c r="AM165" i="69"/>
  <c r="AC164" i="69"/>
  <c r="Z164" i="69"/>
  <c r="E366" i="69"/>
  <c r="Q470" i="69"/>
  <c r="E368" i="69"/>
  <c r="P356" i="69"/>
  <c r="P429" i="69"/>
  <c r="N467" i="69"/>
  <c r="AM420" i="69"/>
  <c r="AA420" i="69"/>
  <c r="O420" i="69"/>
  <c r="AF420" i="69"/>
  <c r="S420" i="69"/>
  <c r="AD420" i="69"/>
  <c r="P420" i="69"/>
  <c r="AK420" i="69"/>
  <c r="V420" i="69"/>
  <c r="AI420" i="69"/>
  <c r="T420" i="69"/>
  <c r="AE420" i="69"/>
  <c r="L420" i="69"/>
  <c r="AB420" i="69"/>
  <c r="I420" i="69"/>
  <c r="X420" i="69"/>
  <c r="AN420" i="69"/>
  <c r="R420" i="69"/>
  <c r="U420" i="69"/>
  <c r="Q420" i="69"/>
  <c r="M420" i="69"/>
  <c r="AJ420" i="69"/>
  <c r="AH420" i="69"/>
  <c r="AC420" i="69"/>
  <c r="AG420" i="69"/>
  <c r="Y420" i="69"/>
  <c r="J420" i="69"/>
  <c r="AL420" i="69"/>
  <c r="K420" i="69"/>
  <c r="Z420" i="69"/>
  <c r="W420" i="69"/>
  <c r="N420" i="69"/>
  <c r="H420" i="69"/>
  <c r="S282" i="69"/>
  <c r="S206" i="69"/>
  <c r="AC378" i="69"/>
  <c r="Q378" i="69"/>
  <c r="AH378" i="69"/>
  <c r="U378" i="69"/>
  <c r="H378" i="69"/>
  <c r="AE378" i="69"/>
  <c r="R378" i="69"/>
  <c r="AN378" i="69"/>
  <c r="AA378" i="69"/>
  <c r="N378" i="69"/>
  <c r="AG378" i="69"/>
  <c r="O378" i="69"/>
  <c r="AF378" i="69"/>
  <c r="M378" i="69"/>
  <c r="AB378" i="69"/>
  <c r="I378" i="69"/>
  <c r="Z378" i="69"/>
  <c r="G378" i="69"/>
  <c r="X378" i="69"/>
  <c r="AJ378" i="69"/>
  <c r="AD378" i="69"/>
  <c r="T378" i="69"/>
  <c r="AM378" i="69"/>
  <c r="AL378" i="69"/>
  <c r="AK378" i="69"/>
  <c r="V378" i="69"/>
  <c r="K378" i="69"/>
  <c r="J378" i="69"/>
  <c r="AI378" i="69"/>
  <c r="Y378" i="69"/>
  <c r="W378" i="69"/>
  <c r="S378" i="69"/>
  <c r="P378" i="69"/>
  <c r="L378" i="69"/>
  <c r="L18" i="69"/>
  <c r="M15" i="69"/>
  <c r="L16" i="69"/>
  <c r="L162" i="69"/>
  <c r="L63" i="69" s="1"/>
  <c r="L369" i="69"/>
  <c r="L384" i="69"/>
  <c r="R49" i="69"/>
  <c r="R50" i="69" s="1"/>
  <c r="Q369" i="69"/>
  <c r="Q389" i="69"/>
  <c r="L215" i="69"/>
  <c r="AJ418" i="69"/>
  <c r="X418" i="69"/>
  <c r="L418" i="69"/>
  <c r="AI418" i="69"/>
  <c r="V418" i="69"/>
  <c r="I418" i="69"/>
  <c r="AB418" i="69"/>
  <c r="N418" i="69"/>
  <c r="AC418" i="69"/>
  <c r="M418" i="69"/>
  <c r="Z418" i="69"/>
  <c r="J418" i="69"/>
  <c r="Y418" i="69"/>
  <c r="F418" i="69"/>
  <c r="F367" i="69" s="1"/>
  <c r="AK418" i="69"/>
  <c r="Q418" i="69"/>
  <c r="AF418" i="69"/>
  <c r="K418" i="69"/>
  <c r="AA418" i="69"/>
  <c r="AH418" i="69"/>
  <c r="G418" i="69"/>
  <c r="AG418" i="69"/>
  <c r="AD418" i="69"/>
  <c r="AL418" i="69"/>
  <c r="AE418" i="69"/>
  <c r="U418" i="69"/>
  <c r="H418" i="69"/>
  <c r="W418" i="69"/>
  <c r="AN418" i="69"/>
  <c r="R418" i="69"/>
  <c r="AM418" i="69"/>
  <c r="T418" i="69"/>
  <c r="S418" i="69"/>
  <c r="O418" i="69"/>
  <c r="P418" i="69"/>
  <c r="AN472" i="69"/>
  <c r="AH472" i="69"/>
  <c r="AB472" i="69"/>
  <c r="AE472" i="69"/>
  <c r="V472" i="69"/>
  <c r="AK472" i="69"/>
  <c r="Y472" i="69"/>
  <c r="AL381" i="69"/>
  <c r="Z381" i="69"/>
  <c r="N381" i="69"/>
  <c r="AK381" i="69"/>
  <c r="X381" i="69"/>
  <c r="K381" i="69"/>
  <c r="AF381" i="69"/>
  <c r="R381" i="69"/>
  <c r="AC381" i="69"/>
  <c r="O381" i="69"/>
  <c r="AN381" i="69"/>
  <c r="Y381" i="69"/>
  <c r="J381" i="69"/>
  <c r="AA381" i="69"/>
  <c r="W381" i="69"/>
  <c r="S381" i="69"/>
  <c r="AM381" i="69"/>
  <c r="Q381" i="69"/>
  <c r="AI381" i="69"/>
  <c r="M381" i="69"/>
  <c r="V381" i="69"/>
  <c r="T381" i="69"/>
  <c r="AJ381" i="69"/>
  <c r="U381" i="69"/>
  <c r="P381" i="69"/>
  <c r="L381" i="69"/>
  <c r="AD381" i="69"/>
  <c r="AB381" i="69"/>
  <c r="AG381" i="69"/>
  <c r="AE381" i="69"/>
  <c r="AH381" i="69"/>
  <c r="T364" i="69"/>
  <c r="T363" i="69"/>
  <c r="T365" i="69"/>
  <c r="U51" i="69"/>
  <c r="U129" i="69"/>
  <c r="U10" i="69"/>
  <c r="J215" i="69"/>
  <c r="N427" i="69"/>
  <c r="N356" i="69"/>
  <c r="AD421" i="69"/>
  <c r="R421" i="69"/>
  <c r="AL421" i="69"/>
  <c r="Y421" i="69"/>
  <c r="L421" i="69"/>
  <c r="AN421" i="69"/>
  <c r="Z421" i="69"/>
  <c r="K421" i="69"/>
  <c r="AI421" i="69"/>
  <c r="T421" i="69"/>
  <c r="AG421" i="69"/>
  <c r="Q421" i="69"/>
  <c r="AJ421" i="69"/>
  <c r="P421" i="69"/>
  <c r="AK421" i="69"/>
  <c r="O421" i="69"/>
  <c r="AE421" i="69"/>
  <c r="J421" i="69"/>
  <c r="AA421" i="69"/>
  <c r="N421" i="69"/>
  <c r="M421" i="69"/>
  <c r="AH421" i="69"/>
  <c r="AM421" i="69"/>
  <c r="AC421" i="69"/>
  <c r="W421" i="69"/>
  <c r="S421" i="69"/>
  <c r="I421" i="69"/>
  <c r="AB421" i="69"/>
  <c r="X421" i="69"/>
  <c r="V421" i="69"/>
  <c r="AF421" i="69"/>
  <c r="U421" i="69"/>
  <c r="S322" i="69"/>
  <c r="S160" i="69"/>
  <c r="AN160" i="69"/>
  <c r="AH160" i="69"/>
  <c r="M160" i="69"/>
  <c r="AK160" i="69"/>
  <c r="AE160" i="69"/>
  <c r="AB160" i="69"/>
  <c r="P160" i="69"/>
  <c r="Y160" i="69"/>
  <c r="V160" i="69"/>
  <c r="K25" i="69"/>
  <c r="K27" i="69" s="1"/>
  <c r="K28" i="69" s="1"/>
  <c r="W47" i="69"/>
  <c r="AE73" i="69"/>
  <c r="S73" i="69"/>
  <c r="G73" i="69"/>
  <c r="AD73" i="69"/>
  <c r="R73" i="69"/>
  <c r="AC73" i="69"/>
  <c r="Q73" i="69"/>
  <c r="AN73" i="69"/>
  <c r="AB73" i="69"/>
  <c r="M73" i="69"/>
  <c r="AA73" i="69"/>
  <c r="L73" i="69"/>
  <c r="Z73" i="69"/>
  <c r="K73" i="69"/>
  <c r="Y73" i="69"/>
  <c r="J73" i="69"/>
  <c r="AM73" i="69"/>
  <c r="X73" i="69"/>
  <c r="I73" i="69"/>
  <c r="AL73" i="69"/>
  <c r="W73" i="69"/>
  <c r="H73" i="69"/>
  <c r="O73" i="69"/>
  <c r="AF73" i="69"/>
  <c r="N73" i="69"/>
  <c r="V73" i="69"/>
  <c r="AK73" i="69"/>
  <c r="AJ73" i="69"/>
  <c r="U73" i="69"/>
  <c r="P73" i="69"/>
  <c r="AI73" i="69"/>
  <c r="AH73" i="69"/>
  <c r="AG73" i="69"/>
  <c r="T73" i="69"/>
  <c r="L425" i="69"/>
  <c r="H369" i="69"/>
  <c r="H380" i="69"/>
  <c r="AK419" i="69"/>
  <c r="Y419" i="69"/>
  <c r="M419" i="69"/>
  <c r="AN419" i="69"/>
  <c r="AA419" i="69"/>
  <c r="N419" i="69"/>
  <c r="AI419" i="69"/>
  <c r="U419" i="69"/>
  <c r="G419" i="69"/>
  <c r="X419" i="69"/>
  <c r="I419" i="69"/>
  <c r="AL419" i="69"/>
  <c r="V419" i="69"/>
  <c r="AC419" i="69"/>
  <c r="J419" i="69"/>
  <c r="T419" i="69"/>
  <c r="AJ419" i="69"/>
  <c r="Q419" i="69"/>
  <c r="AF419" i="69"/>
  <c r="L419" i="69"/>
  <c r="AB419" i="69"/>
  <c r="Z419" i="69"/>
  <c r="S419" i="69"/>
  <c r="AH419" i="69"/>
  <c r="AG419" i="69"/>
  <c r="AD419" i="69"/>
  <c r="P419" i="69"/>
  <c r="K419" i="69"/>
  <c r="O419" i="69"/>
  <c r="H419" i="69"/>
  <c r="AM419" i="69"/>
  <c r="AE419" i="69"/>
  <c r="W419" i="69"/>
  <c r="R419" i="69"/>
  <c r="Q430" i="69"/>
  <c r="Q356" i="69"/>
  <c r="AJ83" i="69"/>
  <c r="X83" i="69"/>
  <c r="AI83" i="69"/>
  <c r="W83" i="69"/>
  <c r="AG83" i="69"/>
  <c r="U83" i="69"/>
  <c r="AH83" i="69"/>
  <c r="V83" i="69"/>
  <c r="AM83" i="69"/>
  <c r="S83" i="69"/>
  <c r="AL83" i="69"/>
  <c r="R83" i="69"/>
  <c r="Q83" i="69"/>
  <c r="AK83" i="69"/>
  <c r="AF83" i="69"/>
  <c r="AE83" i="69"/>
  <c r="AD83" i="69"/>
  <c r="AN83" i="69"/>
  <c r="AC83" i="69"/>
  <c r="AB83" i="69"/>
  <c r="AA83" i="69"/>
  <c r="Z83" i="69"/>
  <c r="Y83" i="69"/>
  <c r="T83" i="69"/>
  <c r="E367" i="69"/>
  <c r="U171" i="69"/>
  <c r="AM423" i="69"/>
  <c r="AA423" i="69"/>
  <c r="O423" i="69"/>
  <c r="AB423" i="69"/>
  <c r="N423" i="69"/>
  <c r="AH423" i="69"/>
  <c r="T423" i="69"/>
  <c r="AI423" i="69"/>
  <c r="S423" i="69"/>
  <c r="AF423" i="69"/>
  <c r="Q423" i="69"/>
  <c r="AC423" i="69"/>
  <c r="AJ423" i="69"/>
  <c r="M423" i="69"/>
  <c r="AD423" i="69"/>
  <c r="X423" i="69"/>
  <c r="AG423" i="69"/>
  <c r="AE423" i="69"/>
  <c r="Y423" i="69"/>
  <c r="P423" i="69"/>
  <c r="L423" i="69"/>
  <c r="AK423" i="69"/>
  <c r="W423" i="69"/>
  <c r="K423" i="69"/>
  <c r="R423" i="69"/>
  <c r="AL423" i="69"/>
  <c r="AN423" i="69"/>
  <c r="Z423" i="69"/>
  <c r="V423" i="69"/>
  <c r="U423" i="69"/>
  <c r="N386" i="69"/>
  <c r="N369" i="69"/>
  <c r="X41" i="73"/>
  <c r="X31" i="73"/>
  <c r="X92" i="73"/>
  <c r="X70" i="73"/>
  <c r="X67" i="73"/>
  <c r="X53" i="73"/>
  <c r="X96" i="73"/>
  <c r="X73" i="73"/>
  <c r="X97" i="73"/>
  <c r="X37" i="73"/>
  <c r="X57" i="73"/>
  <c r="X66" i="73"/>
  <c r="X94" i="73"/>
  <c r="X52" i="73"/>
  <c r="X13" i="73"/>
  <c r="X82" i="73"/>
  <c r="X86" i="73"/>
  <c r="X15" i="73"/>
  <c r="X89" i="73"/>
  <c r="X21" i="73"/>
  <c r="X17" i="73"/>
  <c r="X3" i="73"/>
  <c r="X38" i="73"/>
  <c r="X36" i="73"/>
  <c r="X68" i="73"/>
  <c r="X19" i="73"/>
  <c r="X11" i="73"/>
  <c r="X51" i="73"/>
  <c r="X83" i="73"/>
  <c r="X50" i="73"/>
  <c r="X35" i="73"/>
  <c r="X30" i="73"/>
  <c r="X69" i="73"/>
  <c r="X85" i="73"/>
  <c r="X34" i="73"/>
  <c r="X93" i="73"/>
  <c r="X72" i="73"/>
  <c r="X84" i="73"/>
  <c r="X56" i="73"/>
  <c r="X91" i="73"/>
  <c r="X54" i="73"/>
  <c r="X5" i="73"/>
  <c r="X33" i="73"/>
  <c r="Y1" i="73" l="1"/>
  <c r="AM4" i="69"/>
  <c r="AM7" i="69" s="1"/>
  <c r="T81" i="69"/>
  <c r="AF81" i="69"/>
  <c r="V81" i="69"/>
  <c r="AK81" i="69"/>
  <c r="AA81" i="69"/>
  <c r="AI81" i="69"/>
  <c r="AG81" i="69"/>
  <c r="AM81" i="69"/>
  <c r="R81" i="69"/>
  <c r="AB81" i="69"/>
  <c r="AH81" i="69"/>
  <c r="W81" i="69"/>
  <c r="S81" i="69"/>
  <c r="Y81" i="69"/>
  <c r="AC81" i="69"/>
  <c r="AJ81" i="69"/>
  <c r="AE81" i="69"/>
  <c r="Z81" i="69"/>
  <c r="X81" i="69"/>
  <c r="AD81" i="69"/>
  <c r="U81" i="69"/>
  <c r="P81" i="69"/>
  <c r="AL81" i="69"/>
  <c r="I220" i="69"/>
  <c r="I221" i="69" s="1"/>
  <c r="AN81" i="69"/>
  <c r="Q81" i="69"/>
  <c r="S82" i="69"/>
  <c r="AL82" i="69"/>
  <c r="AM82" i="69"/>
  <c r="V82" i="69"/>
  <c r="G62" i="69"/>
  <c r="Q82" i="69"/>
  <c r="Z82" i="69"/>
  <c r="AK82" i="69"/>
  <c r="R82" i="69"/>
  <c r="AA82" i="69"/>
  <c r="AF82" i="69"/>
  <c r="AH82" i="69"/>
  <c r="AC82" i="69"/>
  <c r="AB82" i="69"/>
  <c r="AD82" i="69"/>
  <c r="W82" i="69"/>
  <c r="P82" i="69"/>
  <c r="T82" i="69"/>
  <c r="X82" i="69"/>
  <c r="AE82" i="69"/>
  <c r="AN82" i="69"/>
  <c r="AJ82" i="69"/>
  <c r="P7" i="69"/>
  <c r="AB4" i="69"/>
  <c r="AI82" i="69"/>
  <c r="AG82" i="69"/>
  <c r="U82" i="69"/>
  <c r="Y319" i="69"/>
  <c r="AE319" i="69"/>
  <c r="H220" i="69"/>
  <c r="H221" i="69" s="1"/>
  <c r="H366" i="69"/>
  <c r="AH319" i="69"/>
  <c r="S319" i="69"/>
  <c r="P279" i="69"/>
  <c r="P206" i="69"/>
  <c r="P10" i="69"/>
  <c r="AK319" i="69"/>
  <c r="P238" i="69"/>
  <c r="P219" i="69"/>
  <c r="P9" i="69"/>
  <c r="AB319" i="69"/>
  <c r="AN319" i="69"/>
  <c r="F370" i="69"/>
  <c r="F371" i="69" s="1"/>
  <c r="K367" i="69"/>
  <c r="I61" i="69"/>
  <c r="G367" i="69"/>
  <c r="G366" i="69"/>
  <c r="K368" i="69"/>
  <c r="L25" i="69"/>
  <c r="L27" i="69" s="1"/>
  <c r="L28" i="69" s="1"/>
  <c r="R215" i="69"/>
  <c r="R213" i="69"/>
  <c r="R214" i="69"/>
  <c r="R207" i="69"/>
  <c r="V215" i="69"/>
  <c r="V214" i="69"/>
  <c r="V213" i="69"/>
  <c r="V207" i="69"/>
  <c r="Q59" i="69"/>
  <c r="Q58" i="69"/>
  <c r="Q60" i="69"/>
  <c r="Q52" i="69"/>
  <c r="M215" i="69"/>
  <c r="M214" i="69"/>
  <c r="M213" i="69"/>
  <c r="M207" i="69"/>
  <c r="T215" i="69"/>
  <c r="T214" i="69"/>
  <c r="T213" i="69"/>
  <c r="T207" i="69"/>
  <c r="AN469" i="69"/>
  <c r="AH469" i="69"/>
  <c r="AB469" i="69"/>
  <c r="S469" i="69"/>
  <c r="Y469" i="69"/>
  <c r="AK469" i="69"/>
  <c r="V469" i="69"/>
  <c r="AE469" i="69"/>
  <c r="V435" i="69"/>
  <c r="V356" i="69"/>
  <c r="L315" i="69"/>
  <c r="L218" i="69" s="1"/>
  <c r="AL88" i="69"/>
  <c r="Z88" i="69"/>
  <c r="AK88" i="69"/>
  <c r="X88" i="69"/>
  <c r="AJ88" i="69"/>
  <c r="W88" i="69"/>
  <c r="AH88" i="69"/>
  <c r="AI88" i="69"/>
  <c r="V88" i="69"/>
  <c r="AN88" i="69"/>
  <c r="AM88" i="69"/>
  <c r="AG88" i="69"/>
  <c r="AF88" i="69"/>
  <c r="AE88" i="69"/>
  <c r="AD88" i="69"/>
  <c r="AC88" i="69"/>
  <c r="AB88" i="69"/>
  <c r="AA88" i="69"/>
  <c r="Y88" i="69"/>
  <c r="V369" i="69"/>
  <c r="V394" i="69"/>
  <c r="I62" i="69"/>
  <c r="AD468" i="69"/>
  <c r="X468" i="69"/>
  <c r="R468" i="69"/>
  <c r="AJ468" i="69"/>
  <c r="U468" i="69"/>
  <c r="AM468" i="69"/>
  <c r="AA468" i="69"/>
  <c r="AG468" i="69"/>
  <c r="AL389" i="69"/>
  <c r="Z389" i="69"/>
  <c r="AK389" i="69"/>
  <c r="X389" i="69"/>
  <c r="AI389" i="69"/>
  <c r="V389" i="69"/>
  <c r="AM389" i="69"/>
  <c r="U389" i="69"/>
  <c r="AJ389" i="69"/>
  <c r="S389" i="69"/>
  <c r="AF389" i="69"/>
  <c r="AC389" i="69"/>
  <c r="Y389" i="69"/>
  <c r="W389" i="69"/>
  <c r="AN389" i="69"/>
  <c r="AH389" i="69"/>
  <c r="AE389" i="69"/>
  <c r="AA389" i="69"/>
  <c r="R389" i="69"/>
  <c r="AG389" i="69"/>
  <c r="AD389" i="69"/>
  <c r="AB389" i="69"/>
  <c r="T389" i="69"/>
  <c r="X47" i="69"/>
  <c r="Q320" i="69"/>
  <c r="AF241" i="69"/>
  <c r="T241" i="69"/>
  <c r="AI241" i="69"/>
  <c r="V241" i="69"/>
  <c r="AG241" i="69"/>
  <c r="AB241" i="69"/>
  <c r="AM241" i="69"/>
  <c r="W241" i="69"/>
  <c r="AL241" i="69"/>
  <c r="U241" i="69"/>
  <c r="AK241" i="69"/>
  <c r="AH241" i="69"/>
  <c r="AN241" i="69"/>
  <c r="AJ241" i="69"/>
  <c r="AE241" i="69"/>
  <c r="AD241" i="69"/>
  <c r="Z241" i="69"/>
  <c r="AC241" i="69"/>
  <c r="AA241" i="69"/>
  <c r="Y241" i="69"/>
  <c r="X241" i="69"/>
  <c r="M466" i="69"/>
  <c r="M368" i="69" s="1"/>
  <c r="R431" i="69"/>
  <c r="R356" i="69"/>
  <c r="S9" i="69"/>
  <c r="S86" i="69"/>
  <c r="S64" i="69"/>
  <c r="AM386" i="69"/>
  <c r="AA386" i="69"/>
  <c r="O386" i="69"/>
  <c r="AK386" i="69"/>
  <c r="Y386" i="69"/>
  <c r="AN386" i="69"/>
  <c r="X386" i="69"/>
  <c r="AF386" i="69"/>
  <c r="Q386" i="69"/>
  <c r="AC386" i="69"/>
  <c r="W386" i="69"/>
  <c r="AI386" i="69"/>
  <c r="P386" i="69"/>
  <c r="AH386" i="69"/>
  <c r="AJ386" i="69"/>
  <c r="AG386" i="69"/>
  <c r="AD386" i="69"/>
  <c r="AE386" i="69"/>
  <c r="Z386" i="69"/>
  <c r="S386" i="69"/>
  <c r="AL386" i="69"/>
  <c r="T386" i="69"/>
  <c r="U386" i="69"/>
  <c r="R386" i="69"/>
  <c r="AB386" i="69"/>
  <c r="V386" i="69"/>
  <c r="AD162" i="69"/>
  <c r="X162" i="69"/>
  <c r="R162" i="69"/>
  <c r="AM162" i="69"/>
  <c r="AJ162" i="69"/>
  <c r="AG162" i="69"/>
  <c r="AA162" i="69"/>
  <c r="U162" i="69"/>
  <c r="O162" i="69"/>
  <c r="O63" i="69" s="1"/>
  <c r="AH380" i="69"/>
  <c r="V380" i="69"/>
  <c r="J380" i="69"/>
  <c r="J366" i="69" s="1"/>
  <c r="AD380" i="69"/>
  <c r="Q380" i="69"/>
  <c r="AJ380" i="69"/>
  <c r="U380" i="69"/>
  <c r="AF380" i="69"/>
  <c r="R380" i="69"/>
  <c r="AB380" i="69"/>
  <c r="N380" i="69"/>
  <c r="AM380" i="69"/>
  <c r="T380" i="69"/>
  <c r="AL380" i="69"/>
  <c r="S380" i="69"/>
  <c r="AA380" i="69"/>
  <c r="Z380" i="69"/>
  <c r="X380" i="69"/>
  <c r="Y380" i="69"/>
  <c r="P380" i="69"/>
  <c r="AN380" i="69"/>
  <c r="K380" i="69"/>
  <c r="K366" i="69" s="1"/>
  <c r="L380" i="69"/>
  <c r="I380" i="69"/>
  <c r="I366" i="69" s="1"/>
  <c r="AG380" i="69"/>
  <c r="AI380" i="69"/>
  <c r="O380" i="69"/>
  <c r="M380" i="69"/>
  <c r="AK380" i="69"/>
  <c r="AE380" i="69"/>
  <c r="AC380" i="69"/>
  <c r="W380" i="69"/>
  <c r="J23" i="69"/>
  <c r="AD430" i="69"/>
  <c r="R430" i="69"/>
  <c r="AI430" i="69"/>
  <c r="V430" i="69"/>
  <c r="AE430" i="69"/>
  <c r="AG430" i="69"/>
  <c r="AC430" i="69"/>
  <c r="Z430" i="69"/>
  <c r="AB430" i="69"/>
  <c r="X430" i="69"/>
  <c r="AM430" i="69"/>
  <c r="T430" i="69"/>
  <c r="AJ430" i="69"/>
  <c r="AH430" i="69"/>
  <c r="AA430" i="69"/>
  <c r="AN430" i="69"/>
  <c r="AK430" i="69"/>
  <c r="AL430" i="69"/>
  <c r="Y430" i="69"/>
  <c r="S430" i="69"/>
  <c r="W430" i="69"/>
  <c r="AF430" i="69"/>
  <c r="U430" i="69"/>
  <c r="N15" i="69"/>
  <c r="AI464" i="69"/>
  <c r="AC464" i="69"/>
  <c r="W464" i="69"/>
  <c r="N464" i="69"/>
  <c r="N368" i="69" s="1"/>
  <c r="Q464" i="69"/>
  <c r="T464" i="69"/>
  <c r="AL464" i="69"/>
  <c r="AF464" i="69"/>
  <c r="Z464" i="69"/>
  <c r="AG424" i="69"/>
  <c r="U424" i="69"/>
  <c r="AK424" i="69"/>
  <c r="X424" i="69"/>
  <c r="AF424" i="69"/>
  <c r="R424" i="69"/>
  <c r="AJ424" i="69"/>
  <c r="T424" i="69"/>
  <c r="AH424" i="69"/>
  <c r="Q424" i="69"/>
  <c r="AL424" i="69"/>
  <c r="P424" i="69"/>
  <c r="Z424" i="69"/>
  <c r="V424" i="69"/>
  <c r="AI424" i="69"/>
  <c r="N424" i="69"/>
  <c r="AC424" i="69"/>
  <c r="AB424" i="69"/>
  <c r="Y424" i="69"/>
  <c r="S424" i="69"/>
  <c r="O424" i="69"/>
  <c r="L424" i="69"/>
  <c r="L367" i="69" s="1"/>
  <c r="AD424" i="69"/>
  <c r="AN424" i="69"/>
  <c r="AM424" i="69"/>
  <c r="M424" i="69"/>
  <c r="AE424" i="69"/>
  <c r="AA424" i="69"/>
  <c r="W424" i="69"/>
  <c r="AN129" i="69"/>
  <c r="AB129" i="69"/>
  <c r="AI129" i="69"/>
  <c r="V129" i="69"/>
  <c r="AG129" i="69"/>
  <c r="AJ129" i="69"/>
  <c r="AH129" i="69"/>
  <c r="AF129" i="69"/>
  <c r="AE129" i="69"/>
  <c r="AC129" i="69"/>
  <c r="AA129" i="69"/>
  <c r="Z129" i="69"/>
  <c r="Y129" i="69"/>
  <c r="X129" i="69"/>
  <c r="W129" i="69"/>
  <c r="AD129" i="69"/>
  <c r="AM129" i="69"/>
  <c r="AL129" i="69"/>
  <c r="AK129" i="69"/>
  <c r="Q280" i="69"/>
  <c r="Q206" i="69"/>
  <c r="AN434" i="69"/>
  <c r="AB434" i="69"/>
  <c r="AA434" i="69"/>
  <c r="AE434" i="69"/>
  <c r="AM434" i="69"/>
  <c r="X434" i="69"/>
  <c r="AK434" i="69"/>
  <c r="V434" i="69"/>
  <c r="AH434" i="69"/>
  <c r="Y434" i="69"/>
  <c r="AI434" i="69"/>
  <c r="AD434" i="69"/>
  <c r="AC434" i="69"/>
  <c r="W434" i="69"/>
  <c r="AF434" i="69"/>
  <c r="Z434" i="69"/>
  <c r="AG434" i="69"/>
  <c r="AL434" i="69"/>
  <c r="AJ434" i="69"/>
  <c r="M356" i="69"/>
  <c r="M426" i="69"/>
  <c r="K161" i="69"/>
  <c r="K63" i="69" s="1"/>
  <c r="I367" i="69"/>
  <c r="AL470" i="69"/>
  <c r="W470" i="69"/>
  <c r="AI470" i="69"/>
  <c r="AC470" i="69"/>
  <c r="AF470" i="69"/>
  <c r="Z470" i="69"/>
  <c r="T470" i="69"/>
  <c r="Y350" i="69"/>
  <c r="Y352" i="69" s="1"/>
  <c r="Y200" i="69"/>
  <c r="Y45" i="69"/>
  <c r="E370" i="69"/>
  <c r="E371" i="69" s="1"/>
  <c r="Q239" i="69"/>
  <c r="Q219" i="69"/>
  <c r="X202" i="69"/>
  <c r="AG474" i="69"/>
  <c r="AA474" i="69"/>
  <c r="AM474" i="69"/>
  <c r="X474" i="69"/>
  <c r="AJ474" i="69"/>
  <c r="AD474" i="69"/>
  <c r="M385" i="69"/>
  <c r="M369" i="69"/>
  <c r="N277" i="69"/>
  <c r="N206" i="69"/>
  <c r="N10" i="69"/>
  <c r="R471" i="69"/>
  <c r="AN425" i="69"/>
  <c r="AB425" i="69"/>
  <c r="P425" i="69"/>
  <c r="AH425" i="69"/>
  <c r="U425" i="69"/>
  <c r="AF425" i="69"/>
  <c r="R425" i="69"/>
  <c r="AL425" i="69"/>
  <c r="W425" i="69"/>
  <c r="AJ425" i="69"/>
  <c r="T425" i="69"/>
  <c r="Z425" i="69"/>
  <c r="AK425" i="69"/>
  <c r="O425" i="69"/>
  <c r="AE425" i="69"/>
  <c r="AA425" i="69"/>
  <c r="AC425" i="69"/>
  <c r="Y425" i="69"/>
  <c r="V425" i="69"/>
  <c r="AD425" i="69"/>
  <c r="X425" i="69"/>
  <c r="Q425" i="69"/>
  <c r="S425" i="69"/>
  <c r="M425" i="69"/>
  <c r="N425" i="69"/>
  <c r="AM425" i="69"/>
  <c r="AI425" i="69"/>
  <c r="AG425" i="69"/>
  <c r="T473" i="69"/>
  <c r="X354" i="69"/>
  <c r="X355" i="69" s="1"/>
  <c r="H62" i="69"/>
  <c r="AH87" i="69"/>
  <c r="V87" i="69"/>
  <c r="AE87" i="69"/>
  <c r="AD87" i="69"/>
  <c r="AB87" i="69"/>
  <c r="AC87" i="69"/>
  <c r="AM87" i="69"/>
  <c r="U87" i="69"/>
  <c r="AL87" i="69"/>
  <c r="AK87" i="69"/>
  <c r="AJ87" i="69"/>
  <c r="AI87" i="69"/>
  <c r="AG87" i="69"/>
  <c r="X87" i="69"/>
  <c r="W87" i="69"/>
  <c r="Z87" i="69"/>
  <c r="AA87" i="69"/>
  <c r="Y87" i="69"/>
  <c r="AN87" i="69"/>
  <c r="AF87" i="69"/>
  <c r="AJ465" i="69"/>
  <c r="AD465" i="69"/>
  <c r="AG465" i="69"/>
  <c r="AA465" i="69"/>
  <c r="AM465" i="69"/>
  <c r="U465" i="69"/>
  <c r="X465" i="69"/>
  <c r="R465" i="69"/>
  <c r="O465" i="69"/>
  <c r="O368" i="69" s="1"/>
  <c r="N317" i="69"/>
  <c r="R369" i="69"/>
  <c r="R390" i="69"/>
  <c r="N236" i="69"/>
  <c r="N219" i="69"/>
  <c r="N9" i="69"/>
  <c r="AJ171" i="69"/>
  <c r="AG171" i="69"/>
  <c r="AD171" i="69"/>
  <c r="X171" i="69"/>
  <c r="AA171" i="69"/>
  <c r="AM171" i="69"/>
  <c r="T356" i="69"/>
  <c r="T433" i="69"/>
  <c r="T467" i="69"/>
  <c r="Z467" i="69"/>
  <c r="AC467" i="69"/>
  <c r="AI467" i="69"/>
  <c r="Q467" i="69"/>
  <c r="W467" i="69"/>
  <c r="AL467" i="69"/>
  <c r="AF467" i="69"/>
  <c r="AC243" i="69"/>
  <c r="AD243" i="69"/>
  <c r="AJ243" i="69"/>
  <c r="V243" i="69"/>
  <c r="AH243" i="69"/>
  <c r="AB243" i="69"/>
  <c r="AK243" i="69"/>
  <c r="AI243" i="69"/>
  <c r="AG243" i="69"/>
  <c r="AE243" i="69"/>
  <c r="Y243" i="69"/>
  <c r="X243" i="69"/>
  <c r="W243" i="69"/>
  <c r="AN243" i="69"/>
  <c r="AM243" i="69"/>
  <c r="AL243" i="69"/>
  <c r="AA243" i="69"/>
  <c r="AF243" i="69"/>
  <c r="Z243" i="69"/>
  <c r="AK387" i="69"/>
  <c r="Y387" i="69"/>
  <c r="AI387" i="69"/>
  <c r="W387" i="69"/>
  <c r="AB387" i="69"/>
  <c r="AL387" i="69"/>
  <c r="U387" i="69"/>
  <c r="AG387" i="69"/>
  <c r="R387" i="69"/>
  <c r="AD387" i="69"/>
  <c r="AE387" i="69"/>
  <c r="AC387" i="69"/>
  <c r="AJ387" i="69"/>
  <c r="AH387" i="69"/>
  <c r="AA387" i="69"/>
  <c r="AM387" i="69"/>
  <c r="V387" i="69"/>
  <c r="Q387" i="69"/>
  <c r="P387" i="69"/>
  <c r="AN387" i="69"/>
  <c r="AF387" i="69"/>
  <c r="Z387" i="69"/>
  <c r="T387" i="69"/>
  <c r="S387" i="69"/>
  <c r="X387" i="69"/>
  <c r="AJ388" i="69"/>
  <c r="X388" i="69"/>
  <c r="AH388" i="69"/>
  <c r="V388" i="69"/>
  <c r="AE388" i="69"/>
  <c r="Q388" i="69"/>
  <c r="AB388" i="69"/>
  <c r="AN388" i="69"/>
  <c r="Y388" i="69"/>
  <c r="AK388" i="69"/>
  <c r="T388" i="69"/>
  <c r="AA388" i="69"/>
  <c r="Z388" i="69"/>
  <c r="AI388" i="69"/>
  <c r="AG388" i="69"/>
  <c r="AD388" i="69"/>
  <c r="AF388" i="69"/>
  <c r="AL388" i="69"/>
  <c r="AC388" i="69"/>
  <c r="W388" i="69"/>
  <c r="R388" i="69"/>
  <c r="U388" i="69"/>
  <c r="AM388" i="69"/>
  <c r="S388" i="69"/>
  <c r="AJ128" i="69"/>
  <c r="X128" i="69"/>
  <c r="AC128" i="69"/>
  <c r="AN128" i="69"/>
  <c r="AA128" i="69"/>
  <c r="AM128" i="69"/>
  <c r="W128" i="69"/>
  <c r="AL128" i="69"/>
  <c r="V128" i="69"/>
  <c r="AK128" i="69"/>
  <c r="U128" i="69"/>
  <c r="AI128" i="69"/>
  <c r="AB128" i="69"/>
  <c r="Z128" i="69"/>
  <c r="Y128" i="69"/>
  <c r="AF128" i="69"/>
  <c r="AE128" i="69"/>
  <c r="AD128" i="69"/>
  <c r="AH128" i="69"/>
  <c r="AG128" i="69"/>
  <c r="Z170" i="69"/>
  <c r="W170" i="69"/>
  <c r="AL170" i="69"/>
  <c r="AI170" i="69"/>
  <c r="AF170" i="69"/>
  <c r="AC170" i="69"/>
  <c r="G61" i="69"/>
  <c r="K314" i="69"/>
  <c r="K218" i="69" s="1"/>
  <c r="O219" i="69"/>
  <c r="O237" i="69"/>
  <c r="O9" i="69"/>
  <c r="AK383" i="69"/>
  <c r="Y383" i="69"/>
  <c r="M383" i="69"/>
  <c r="AC383" i="69"/>
  <c r="P383" i="69"/>
  <c r="AB383" i="69"/>
  <c r="N383" i="69"/>
  <c r="AM383" i="69"/>
  <c r="X383" i="69"/>
  <c r="AI383" i="69"/>
  <c r="U383" i="69"/>
  <c r="V383" i="69"/>
  <c r="AN383" i="69"/>
  <c r="T383" i="69"/>
  <c r="AA383" i="69"/>
  <c r="Z383" i="69"/>
  <c r="S383" i="69"/>
  <c r="W383" i="69"/>
  <c r="Q383" i="69"/>
  <c r="AJ383" i="69"/>
  <c r="AL383" i="69"/>
  <c r="AH383" i="69"/>
  <c r="AG383" i="69"/>
  <c r="R383" i="69"/>
  <c r="AD383" i="69"/>
  <c r="O383" i="69"/>
  <c r="L383" i="69"/>
  <c r="AF383" i="69"/>
  <c r="AE383" i="69"/>
  <c r="V60" i="69"/>
  <c r="V59" i="69"/>
  <c r="V58" i="69"/>
  <c r="V52" i="69"/>
  <c r="M60" i="69"/>
  <c r="M59" i="69"/>
  <c r="M58" i="69"/>
  <c r="M52" i="69"/>
  <c r="J313" i="69"/>
  <c r="V475" i="69"/>
  <c r="R59" i="69"/>
  <c r="R58" i="69"/>
  <c r="R60" i="69"/>
  <c r="R52" i="69"/>
  <c r="AM324" i="69"/>
  <c r="AD324" i="69"/>
  <c r="AG324" i="69"/>
  <c r="X324" i="69"/>
  <c r="AJ324" i="69"/>
  <c r="AA324" i="69"/>
  <c r="AF384" i="69"/>
  <c r="T384" i="69"/>
  <c r="AM384" i="69"/>
  <c r="Z384" i="69"/>
  <c r="M384" i="69"/>
  <c r="AB384" i="69"/>
  <c r="N384" i="69"/>
  <c r="AL384" i="69"/>
  <c r="X384" i="69"/>
  <c r="AI384" i="69"/>
  <c r="U384" i="69"/>
  <c r="AE384" i="69"/>
  <c r="AD384" i="69"/>
  <c r="S384" i="69"/>
  <c r="R384" i="69"/>
  <c r="AK384" i="69"/>
  <c r="P384" i="69"/>
  <c r="Y384" i="69"/>
  <c r="V384" i="69"/>
  <c r="AN384" i="69"/>
  <c r="AG384" i="69"/>
  <c r="AH384" i="69"/>
  <c r="AA384" i="69"/>
  <c r="AJ384" i="69"/>
  <c r="AC384" i="69"/>
  <c r="W384" i="69"/>
  <c r="Q384" i="69"/>
  <c r="O384" i="69"/>
  <c r="AD429" i="69"/>
  <c r="R429" i="69"/>
  <c r="AG429" i="69"/>
  <c r="T429" i="69"/>
  <c r="AN429" i="69"/>
  <c r="Z429" i="69"/>
  <c r="Y429" i="69"/>
  <c r="AL429" i="69"/>
  <c r="W429" i="69"/>
  <c r="AF429" i="69"/>
  <c r="AH429" i="69"/>
  <c r="AB429" i="69"/>
  <c r="V429" i="69"/>
  <c r="AE429" i="69"/>
  <c r="AC429" i="69"/>
  <c r="X429" i="69"/>
  <c r="AI429" i="69"/>
  <c r="AA429" i="69"/>
  <c r="S429" i="69"/>
  <c r="AM429" i="69"/>
  <c r="AK429" i="69"/>
  <c r="AJ429" i="69"/>
  <c r="U429" i="69"/>
  <c r="Q429" i="69"/>
  <c r="AE428" i="69"/>
  <c r="S428" i="69"/>
  <c r="AF428" i="69"/>
  <c r="R428" i="69"/>
  <c r="AK428" i="69"/>
  <c r="W428" i="69"/>
  <c r="AI428" i="69"/>
  <c r="T428" i="69"/>
  <c r="AG428" i="69"/>
  <c r="P428" i="69"/>
  <c r="AM428" i="69"/>
  <c r="U428" i="69"/>
  <c r="AL428" i="69"/>
  <c r="AD428" i="69"/>
  <c r="AA428" i="69"/>
  <c r="AB428" i="69"/>
  <c r="Z428" i="69"/>
  <c r="X428" i="69"/>
  <c r="Q428" i="69"/>
  <c r="AN428" i="69"/>
  <c r="AH428" i="69"/>
  <c r="AJ428" i="69"/>
  <c r="Y428" i="69"/>
  <c r="V428" i="69"/>
  <c r="AC428" i="69"/>
  <c r="F65" i="69"/>
  <c r="F66" i="69" s="1"/>
  <c r="S127" i="69"/>
  <c r="S51" i="69"/>
  <c r="S10" i="69"/>
  <c r="O278" i="69"/>
  <c r="O206" i="69"/>
  <c r="O10" i="69"/>
  <c r="AN393" i="69"/>
  <c r="AB393" i="69"/>
  <c r="AK393" i="69"/>
  <c r="X393" i="69"/>
  <c r="AE393" i="69"/>
  <c r="AC393" i="69"/>
  <c r="AF393" i="69"/>
  <c r="AL393" i="69"/>
  <c r="AH393" i="69"/>
  <c r="AA393" i="69"/>
  <c r="AD393" i="69"/>
  <c r="Z393" i="69"/>
  <c r="AJ393" i="69"/>
  <c r="AI393" i="69"/>
  <c r="Y393" i="69"/>
  <c r="AG393" i="69"/>
  <c r="W393" i="69"/>
  <c r="AM393" i="69"/>
  <c r="V393" i="69"/>
  <c r="T392" i="69"/>
  <c r="T369" i="69"/>
  <c r="H367" i="69"/>
  <c r="AM282" i="69"/>
  <c r="AA282" i="69"/>
  <c r="AL282" i="69"/>
  <c r="Y282" i="69"/>
  <c r="AK282" i="69"/>
  <c r="X282" i="69"/>
  <c r="AI282" i="69"/>
  <c r="V282" i="69"/>
  <c r="U282" i="69"/>
  <c r="AJ282" i="69"/>
  <c r="AE282" i="69"/>
  <c r="AD282" i="69"/>
  <c r="AC282" i="69"/>
  <c r="T282" i="69"/>
  <c r="AH282" i="69"/>
  <c r="AG282" i="69"/>
  <c r="AF282" i="69"/>
  <c r="Z282" i="69"/>
  <c r="AN282" i="69"/>
  <c r="AB282" i="69"/>
  <c r="W282" i="69"/>
  <c r="W365" i="69"/>
  <c r="W364" i="69"/>
  <c r="W363" i="69"/>
  <c r="W204" i="69"/>
  <c r="W205" i="69" s="1"/>
  <c r="W49" i="69"/>
  <c r="W50" i="69" s="1"/>
  <c r="AG427" i="69"/>
  <c r="U427" i="69"/>
  <c r="AE427" i="69"/>
  <c r="R427" i="69"/>
  <c r="AI427" i="69"/>
  <c r="T427" i="69"/>
  <c r="AC427" i="69"/>
  <c r="AA427" i="69"/>
  <c r="Z427" i="69"/>
  <c r="W427" i="69"/>
  <c r="AL427" i="69"/>
  <c r="Q427" i="69"/>
  <c r="AH427" i="69"/>
  <c r="AB427" i="69"/>
  <c r="Y427" i="69"/>
  <c r="V427" i="69"/>
  <c r="AN427" i="69"/>
  <c r="AK427" i="69"/>
  <c r="P427" i="69"/>
  <c r="AM427" i="69"/>
  <c r="AD427" i="69"/>
  <c r="X427" i="69"/>
  <c r="S427" i="69"/>
  <c r="AJ427" i="69"/>
  <c r="O427" i="69"/>
  <c r="AF427" i="69"/>
  <c r="AE322" i="69"/>
  <c r="AN322" i="69"/>
  <c r="Y322" i="69"/>
  <c r="V322" i="69"/>
  <c r="AK322" i="69"/>
  <c r="AH322" i="69"/>
  <c r="AB322" i="69"/>
  <c r="J367" i="69"/>
  <c r="AH284" i="69"/>
  <c r="V284" i="69"/>
  <c r="AK284" i="69"/>
  <c r="X284" i="69"/>
  <c r="AJ284" i="69"/>
  <c r="W284" i="69"/>
  <c r="AG284" i="69"/>
  <c r="AF284" i="69"/>
  <c r="AD284" i="69"/>
  <c r="AE284" i="69"/>
  <c r="AC284" i="69"/>
  <c r="AB284" i="69"/>
  <c r="Z284" i="69"/>
  <c r="Y284" i="69"/>
  <c r="AN284" i="69"/>
  <c r="AI284" i="69"/>
  <c r="AM284" i="69"/>
  <c r="AL284" i="69"/>
  <c r="AA284" i="69"/>
  <c r="N20" i="69"/>
  <c r="H61" i="69"/>
  <c r="S169" i="69"/>
  <c r="O318" i="69"/>
  <c r="Y37" i="73"/>
  <c r="Y82" i="73"/>
  <c r="Y21" i="73"/>
  <c r="Y19" i="73"/>
  <c r="Y35" i="73"/>
  <c r="Y86" i="73"/>
  <c r="Y31" i="73"/>
  <c r="Y13" i="73"/>
  <c r="Y53" i="73"/>
  <c r="Y96" i="73"/>
  <c r="Y56" i="73"/>
  <c r="Y92" i="73"/>
  <c r="Y69" i="73"/>
  <c r="Y66" i="73"/>
  <c r="Y54" i="73"/>
  <c r="Y67" i="73"/>
  <c r="Y34" i="73"/>
  <c r="Y73" i="73"/>
  <c r="Y85" i="73"/>
  <c r="Y89" i="73"/>
  <c r="Y84" i="73"/>
  <c r="Y70" i="73"/>
  <c r="Y41" i="73"/>
  <c r="Y72" i="73"/>
  <c r="Y83" i="73"/>
  <c r="Y94" i="73"/>
  <c r="Y38" i="73"/>
  <c r="Y52" i="73"/>
  <c r="Y17" i="73"/>
  <c r="Y3" i="73"/>
  <c r="Y51" i="73"/>
  <c r="Y15" i="73"/>
  <c r="Y11" i="73"/>
  <c r="Y97" i="73"/>
  <c r="Y93" i="73"/>
  <c r="Y50" i="73"/>
  <c r="Y91" i="73"/>
  <c r="Y57" i="73"/>
  <c r="Y5" i="73"/>
  <c r="Y68" i="73"/>
  <c r="Y33" i="73"/>
  <c r="Y30" i="73"/>
  <c r="Y36" i="73"/>
  <c r="Z1" i="73" l="1"/>
  <c r="AN4" i="69"/>
  <c r="AN7" i="69" s="1"/>
  <c r="AB7" i="69"/>
  <c r="G65" i="69"/>
  <c r="G66" i="69" s="1"/>
  <c r="AL279" i="69"/>
  <c r="AE279" i="69"/>
  <c r="U279" i="69"/>
  <c r="V279" i="69"/>
  <c r="AI279" i="69"/>
  <c r="T279" i="69"/>
  <c r="AK279" i="69"/>
  <c r="Y279" i="69"/>
  <c r="Q279" i="69"/>
  <c r="S279" i="69"/>
  <c r="R279" i="69"/>
  <c r="AJ279" i="69"/>
  <c r="W279" i="69"/>
  <c r="AC279" i="69"/>
  <c r="X279" i="69"/>
  <c r="AH279" i="69"/>
  <c r="AF279" i="69"/>
  <c r="AB279" i="69"/>
  <c r="AG279" i="69"/>
  <c r="AD279" i="69"/>
  <c r="AM279" i="69"/>
  <c r="AA279" i="69"/>
  <c r="Z279" i="69"/>
  <c r="AN279" i="69"/>
  <c r="I370" i="69"/>
  <c r="I371" i="69" s="1"/>
  <c r="H370" i="69"/>
  <c r="H371" i="69" s="1"/>
  <c r="Y238" i="69"/>
  <c r="R238" i="69"/>
  <c r="AJ238" i="69"/>
  <c r="AG238" i="69"/>
  <c r="U238" i="69"/>
  <c r="W238" i="69"/>
  <c r="AB238" i="69"/>
  <c r="Z238" i="69"/>
  <c r="AM238" i="69"/>
  <c r="X238" i="69"/>
  <c r="AH238" i="69"/>
  <c r="AF238" i="69"/>
  <c r="AA238" i="69"/>
  <c r="S238" i="69"/>
  <c r="AD238" i="69"/>
  <c r="AC238" i="69"/>
  <c r="AK238" i="69"/>
  <c r="V238" i="69"/>
  <c r="Q238" i="69"/>
  <c r="T238" i="69"/>
  <c r="AE238" i="69"/>
  <c r="AL238" i="69"/>
  <c r="AI238" i="69"/>
  <c r="AN238" i="69"/>
  <c r="G370" i="69"/>
  <c r="G371" i="69" s="1"/>
  <c r="J370" i="69"/>
  <c r="J371" i="69" s="1"/>
  <c r="I65" i="69"/>
  <c r="I66" i="69" s="1"/>
  <c r="K370" i="69"/>
  <c r="K371" i="69" s="1"/>
  <c r="Q368" i="69"/>
  <c r="R368" i="69"/>
  <c r="T368" i="69"/>
  <c r="L366" i="69"/>
  <c r="L370" i="69" s="1"/>
  <c r="L371" i="69" s="1"/>
  <c r="H65" i="69"/>
  <c r="H66" i="69" s="1"/>
  <c r="M366" i="69"/>
  <c r="W215" i="69"/>
  <c r="W214" i="69"/>
  <c r="W213" i="69"/>
  <c r="W207" i="69"/>
  <c r="W60" i="69"/>
  <c r="W59" i="69"/>
  <c r="W58" i="69"/>
  <c r="W52" i="69"/>
  <c r="AJ433" i="69"/>
  <c r="X433" i="69"/>
  <c r="AH433" i="69"/>
  <c r="U433" i="69"/>
  <c r="AK433" i="69"/>
  <c r="V433" i="69"/>
  <c r="AC433" i="69"/>
  <c r="AA433" i="69"/>
  <c r="AI433" i="69"/>
  <c r="Y433" i="69"/>
  <c r="AN433" i="69"/>
  <c r="AG433" i="69"/>
  <c r="W433" i="69"/>
  <c r="AM433" i="69"/>
  <c r="Z433" i="69"/>
  <c r="AL433" i="69"/>
  <c r="AD433" i="69"/>
  <c r="AF433" i="69"/>
  <c r="AE433" i="69"/>
  <c r="AB433" i="69"/>
  <c r="AJ280" i="69"/>
  <c r="X280" i="69"/>
  <c r="AE280" i="69"/>
  <c r="R280" i="69"/>
  <c r="AD280" i="69"/>
  <c r="AB280" i="69"/>
  <c r="AG280" i="69"/>
  <c r="AC280" i="69"/>
  <c r="AI280" i="69"/>
  <c r="AH280" i="69"/>
  <c r="AF280" i="69"/>
  <c r="W280" i="69"/>
  <c r="T280" i="69"/>
  <c r="S280" i="69"/>
  <c r="AM280" i="69"/>
  <c r="AN280" i="69"/>
  <c r="AL280" i="69"/>
  <c r="AK280" i="69"/>
  <c r="AA280" i="69"/>
  <c r="V280" i="69"/>
  <c r="Z280" i="69"/>
  <c r="Y280" i="69"/>
  <c r="U280" i="69"/>
  <c r="V51" i="69"/>
  <c r="V10" i="69"/>
  <c r="V130" i="69"/>
  <c r="AK475" i="69"/>
  <c r="AB475" i="69"/>
  <c r="Y475" i="69"/>
  <c r="AN475" i="69"/>
  <c r="AH475" i="69"/>
  <c r="AE475" i="69"/>
  <c r="AC317" i="69"/>
  <c r="AL317" i="69"/>
  <c r="AF317" i="69"/>
  <c r="Q317" i="69"/>
  <c r="AI317" i="69"/>
  <c r="Z317" i="69"/>
  <c r="T317" i="69"/>
  <c r="W317" i="69"/>
  <c r="AM277" i="69"/>
  <c r="AA277" i="69"/>
  <c r="O277" i="69"/>
  <c r="AB277" i="69"/>
  <c r="AN277" i="69"/>
  <c r="Z277" i="69"/>
  <c r="AK277" i="69"/>
  <c r="X277" i="69"/>
  <c r="AJ277" i="69"/>
  <c r="T277" i="69"/>
  <c r="AH277" i="69"/>
  <c r="R277" i="69"/>
  <c r="Y277" i="69"/>
  <c r="V277" i="69"/>
  <c r="AI277" i="69"/>
  <c r="P277" i="69"/>
  <c r="AE277" i="69"/>
  <c r="AD277" i="69"/>
  <c r="AC277" i="69"/>
  <c r="U277" i="69"/>
  <c r="W277" i="69"/>
  <c r="S277" i="69"/>
  <c r="Q277" i="69"/>
  <c r="AF277" i="69"/>
  <c r="AL277" i="69"/>
  <c r="AG277" i="69"/>
  <c r="AG394" i="69"/>
  <c r="AE394" i="69"/>
  <c r="AN394" i="69"/>
  <c r="Z394" i="69"/>
  <c r="AL394" i="69"/>
  <c r="X394" i="69"/>
  <c r="AC394" i="69"/>
  <c r="AK394" i="69"/>
  <c r="AH394" i="69"/>
  <c r="AB394" i="69"/>
  <c r="AJ394" i="69"/>
  <c r="AI394" i="69"/>
  <c r="AD394" i="69"/>
  <c r="Y394" i="69"/>
  <c r="AA394" i="69"/>
  <c r="AF394" i="69"/>
  <c r="W394" i="69"/>
  <c r="AM394" i="69"/>
  <c r="O20" i="69"/>
  <c r="O21" i="69" s="1"/>
  <c r="N23" i="69"/>
  <c r="M219" i="69"/>
  <c r="M235" i="69"/>
  <c r="Q167" i="69"/>
  <c r="AF392" i="69"/>
  <c r="AK392" i="69"/>
  <c r="X392" i="69"/>
  <c r="AI392" i="69"/>
  <c r="V392" i="69"/>
  <c r="AH392" i="69"/>
  <c r="AN392" i="69"/>
  <c r="W392" i="69"/>
  <c r="AJ392" i="69"/>
  <c r="AD392" i="69"/>
  <c r="AA392" i="69"/>
  <c r="Z392" i="69"/>
  <c r="AB392" i="69"/>
  <c r="Y392" i="69"/>
  <c r="AG392" i="69"/>
  <c r="AC392" i="69"/>
  <c r="AM392" i="69"/>
  <c r="AL392" i="69"/>
  <c r="AE392" i="69"/>
  <c r="U392" i="69"/>
  <c r="R9" i="69"/>
  <c r="R85" i="69"/>
  <c r="R64" i="69"/>
  <c r="AM390" i="69"/>
  <c r="AA390" i="69"/>
  <c r="AB390" i="69"/>
  <c r="AL390" i="69"/>
  <c r="Y390" i="69"/>
  <c r="AE390" i="69"/>
  <c r="AF390" i="69"/>
  <c r="Z390" i="69"/>
  <c r="AN390" i="69"/>
  <c r="V390" i="69"/>
  <c r="W390" i="69"/>
  <c r="U390" i="69"/>
  <c r="AK390" i="69"/>
  <c r="AI390" i="69"/>
  <c r="AJ390" i="69"/>
  <c r="AG390" i="69"/>
  <c r="T390" i="69"/>
  <c r="AH390" i="69"/>
  <c r="AD390" i="69"/>
  <c r="AC390" i="69"/>
  <c r="X390" i="69"/>
  <c r="S390" i="69"/>
  <c r="X365" i="69"/>
  <c r="X363" i="69"/>
  <c r="X364" i="69"/>
  <c r="AJ426" i="69"/>
  <c r="X426" i="69"/>
  <c r="AF426" i="69"/>
  <c r="S426" i="69"/>
  <c r="AG426" i="69"/>
  <c r="R426" i="69"/>
  <c r="R367" i="69" s="1"/>
  <c r="Z426" i="69"/>
  <c r="AM426" i="69"/>
  <c r="W426" i="69"/>
  <c r="AI426" i="69"/>
  <c r="P426" i="69"/>
  <c r="P367" i="69" s="1"/>
  <c r="AC426" i="69"/>
  <c r="Y426" i="69"/>
  <c r="AN426" i="69"/>
  <c r="T426" i="69"/>
  <c r="AB426" i="69"/>
  <c r="AA426" i="69"/>
  <c r="U426" i="69"/>
  <c r="AK426" i="69"/>
  <c r="AH426" i="69"/>
  <c r="AD426" i="69"/>
  <c r="AL426" i="69"/>
  <c r="O426" i="69"/>
  <c r="O367" i="69" s="1"/>
  <c r="Q426" i="69"/>
  <c r="Q367" i="69" s="1"/>
  <c r="V426" i="69"/>
  <c r="AE426" i="69"/>
  <c r="N426" i="69"/>
  <c r="N367" i="69" s="1"/>
  <c r="J21" i="69"/>
  <c r="V325" i="69"/>
  <c r="R126" i="69"/>
  <c r="R51" i="69"/>
  <c r="R10" i="69"/>
  <c r="V89" i="69"/>
  <c r="V64" i="69"/>
  <c r="V9" i="69"/>
  <c r="W473" i="69"/>
  <c r="AI473" i="69"/>
  <c r="AC473" i="69"/>
  <c r="Z473" i="69"/>
  <c r="AF473" i="69"/>
  <c r="AL473" i="69"/>
  <c r="AG127" i="69"/>
  <c r="U127" i="69"/>
  <c r="AK127" i="69"/>
  <c r="X127" i="69"/>
  <c r="AI127" i="69"/>
  <c r="V127" i="69"/>
  <c r="AC127" i="69"/>
  <c r="AB127" i="69"/>
  <c r="AA127" i="69"/>
  <c r="Z127" i="69"/>
  <c r="W127" i="69"/>
  <c r="T127" i="69"/>
  <c r="AN127" i="69"/>
  <c r="AM127" i="69"/>
  <c r="AL127" i="69"/>
  <c r="Y127" i="69"/>
  <c r="AJ127" i="69"/>
  <c r="AH127" i="69"/>
  <c r="AF127" i="69"/>
  <c r="AE127" i="69"/>
  <c r="AD127" i="69"/>
  <c r="V172" i="69"/>
  <c r="R315" i="69"/>
  <c r="O315" i="69"/>
  <c r="O218" i="69" s="1"/>
  <c r="X315" i="69"/>
  <c r="AD315" i="69"/>
  <c r="AM315" i="69"/>
  <c r="AA315" i="69"/>
  <c r="AG315" i="69"/>
  <c r="U315" i="69"/>
  <c r="AJ315" i="69"/>
  <c r="AK313" i="69"/>
  <c r="AN313" i="69"/>
  <c r="AH313" i="69"/>
  <c r="AB313" i="69"/>
  <c r="Y313" i="69"/>
  <c r="S313" i="69"/>
  <c r="V313" i="69"/>
  <c r="AE313" i="69"/>
  <c r="P313" i="69"/>
  <c r="M313" i="69"/>
  <c r="AC239" i="69"/>
  <c r="AN239" i="69"/>
  <c r="AA239" i="69"/>
  <c r="AL239" i="69"/>
  <c r="Y239" i="69"/>
  <c r="AH239" i="69"/>
  <c r="U239" i="69"/>
  <c r="AF239" i="69"/>
  <c r="AE239" i="69"/>
  <c r="AD239" i="69"/>
  <c r="Z239" i="69"/>
  <c r="AG239" i="69"/>
  <c r="AB239" i="69"/>
  <c r="X239" i="69"/>
  <c r="W239" i="69"/>
  <c r="S239" i="69"/>
  <c r="AM239" i="69"/>
  <c r="AK239" i="69"/>
  <c r="AJ239" i="69"/>
  <c r="AI239" i="69"/>
  <c r="T239" i="69"/>
  <c r="V239" i="69"/>
  <c r="R239" i="69"/>
  <c r="AE431" i="69"/>
  <c r="S431" i="69"/>
  <c r="AL431" i="69"/>
  <c r="Y431" i="69"/>
  <c r="AJ431" i="69"/>
  <c r="V431" i="69"/>
  <c r="Z431" i="69"/>
  <c r="AM431" i="69"/>
  <c r="W431" i="69"/>
  <c r="U431" i="69"/>
  <c r="AB431" i="69"/>
  <c r="T431" i="69"/>
  <c r="AI431" i="69"/>
  <c r="AK431" i="69"/>
  <c r="AH431" i="69"/>
  <c r="AF431" i="69"/>
  <c r="AN431" i="69"/>
  <c r="AC431" i="69"/>
  <c r="AG431" i="69"/>
  <c r="AD431" i="69"/>
  <c r="X431" i="69"/>
  <c r="AA431" i="69"/>
  <c r="J218" i="69"/>
  <c r="AN385" i="69"/>
  <c r="AB385" i="69"/>
  <c r="P385" i="69"/>
  <c r="P366" i="69" s="1"/>
  <c r="AK385" i="69"/>
  <c r="X385" i="69"/>
  <c r="AC385" i="69"/>
  <c r="N385" i="69"/>
  <c r="N366" i="69" s="1"/>
  <c r="AM385" i="69"/>
  <c r="Y385" i="69"/>
  <c r="AI385" i="69"/>
  <c r="U385" i="69"/>
  <c r="V385" i="69"/>
  <c r="T385" i="69"/>
  <c r="AJ385" i="69"/>
  <c r="O385" i="69"/>
  <c r="O366" i="69" s="1"/>
  <c r="AH385" i="69"/>
  <c r="AF385" i="69"/>
  <c r="AA385" i="69"/>
  <c r="W385" i="69"/>
  <c r="Z385" i="69"/>
  <c r="S385" i="69"/>
  <c r="R385" i="69"/>
  <c r="R366" i="69" s="1"/>
  <c r="AE385" i="69"/>
  <c r="AD385" i="69"/>
  <c r="Q385" i="69"/>
  <c r="Q366" i="69" s="1"/>
  <c r="AL385" i="69"/>
  <c r="AG385" i="69"/>
  <c r="T242" i="69"/>
  <c r="T219" i="69"/>
  <c r="T9" i="69"/>
  <c r="M316" i="69"/>
  <c r="X318" i="69"/>
  <c r="AJ318" i="69"/>
  <c r="AM318" i="69"/>
  <c r="AG318" i="69"/>
  <c r="AD318" i="69"/>
  <c r="U318" i="69"/>
  <c r="R318" i="69"/>
  <c r="AA318" i="69"/>
  <c r="W369" i="69"/>
  <c r="W395" i="69"/>
  <c r="N21" i="69"/>
  <c r="Y47" i="69"/>
  <c r="T283" i="69"/>
  <c r="T206" i="69"/>
  <c r="T10" i="69"/>
  <c r="W436" i="69"/>
  <c r="W356" i="69"/>
  <c r="M64" i="69"/>
  <c r="M9" i="69"/>
  <c r="M80" i="69"/>
  <c r="Y202" i="69"/>
  <c r="O15" i="69"/>
  <c r="T323" i="69"/>
  <c r="R281" i="69"/>
  <c r="R206" i="69"/>
  <c r="AA471" i="69"/>
  <c r="U471" i="69"/>
  <c r="U368" i="69" s="1"/>
  <c r="AG471" i="69"/>
  <c r="AJ471" i="69"/>
  <c r="X471" i="69"/>
  <c r="AD471" i="69"/>
  <c r="AM471" i="69"/>
  <c r="AI314" i="69"/>
  <c r="AL314" i="69"/>
  <c r="W314" i="69"/>
  <c r="T314" i="69"/>
  <c r="Q314" i="69"/>
  <c r="AF314" i="69"/>
  <c r="AC314" i="69"/>
  <c r="Z314" i="69"/>
  <c r="N314" i="69"/>
  <c r="N218" i="69" s="1"/>
  <c r="X204" i="69"/>
  <c r="X205" i="69" s="1"/>
  <c r="AG435" i="69"/>
  <c r="AI435" i="69"/>
  <c r="AN435" i="69"/>
  <c r="Z435" i="69"/>
  <c r="AK435" i="69"/>
  <c r="AH435" i="69"/>
  <c r="AF435" i="69"/>
  <c r="AA435" i="69"/>
  <c r="W435" i="69"/>
  <c r="AL435" i="69"/>
  <c r="AM435" i="69"/>
  <c r="AJ435" i="69"/>
  <c r="AD435" i="69"/>
  <c r="AB435" i="69"/>
  <c r="X435" i="69"/>
  <c r="AE435" i="69"/>
  <c r="AC435" i="69"/>
  <c r="Y435" i="69"/>
  <c r="M206" i="69"/>
  <c r="M276" i="69"/>
  <c r="Q51" i="69"/>
  <c r="Q125" i="69"/>
  <c r="Q10" i="69"/>
  <c r="AB169" i="69"/>
  <c r="AN169" i="69"/>
  <c r="AK169" i="69"/>
  <c r="AH169" i="69"/>
  <c r="Y169" i="69"/>
  <c r="AE169" i="69"/>
  <c r="V169" i="69"/>
  <c r="W476" i="69"/>
  <c r="M51" i="69"/>
  <c r="M10" i="69"/>
  <c r="M23" i="69" s="1"/>
  <c r="M121" i="69"/>
  <c r="AD237" i="69"/>
  <c r="R237" i="69"/>
  <c r="AK237" i="69"/>
  <c r="X237" i="69"/>
  <c r="AI237" i="69"/>
  <c r="V237" i="69"/>
  <c r="AE237" i="69"/>
  <c r="Q237" i="69"/>
  <c r="AB237" i="69"/>
  <c r="AA237" i="69"/>
  <c r="Z237" i="69"/>
  <c r="AN237" i="69"/>
  <c r="W237" i="69"/>
  <c r="AC237" i="69"/>
  <c r="Y237" i="69"/>
  <c r="U237" i="69"/>
  <c r="T237" i="69"/>
  <c r="AM237" i="69"/>
  <c r="AL237" i="69"/>
  <c r="AJ237" i="69"/>
  <c r="AH237" i="69"/>
  <c r="AG237" i="69"/>
  <c r="AF237" i="69"/>
  <c r="S237" i="69"/>
  <c r="P237" i="69"/>
  <c r="Z350" i="69"/>
  <c r="Z352" i="69" s="1"/>
  <c r="Z200" i="69"/>
  <c r="Z45" i="69"/>
  <c r="J18" i="69"/>
  <c r="AM86" i="69"/>
  <c r="AA86" i="69"/>
  <c r="AL86" i="69"/>
  <c r="Z86" i="69"/>
  <c r="AJ86" i="69"/>
  <c r="X86" i="69"/>
  <c r="AK86" i="69"/>
  <c r="Y86" i="69"/>
  <c r="V86" i="69"/>
  <c r="U86" i="69"/>
  <c r="T86" i="69"/>
  <c r="AN86" i="69"/>
  <c r="AI86" i="69"/>
  <c r="AH86" i="69"/>
  <c r="AG86" i="69"/>
  <c r="AF86" i="69"/>
  <c r="AE86" i="69"/>
  <c r="AD86" i="69"/>
  <c r="AC86" i="69"/>
  <c r="AB86" i="69"/>
  <c r="W86" i="69"/>
  <c r="AK466" i="69"/>
  <c r="S466" i="69"/>
  <c r="S368" i="69" s="1"/>
  <c r="AE466" i="69"/>
  <c r="V466" i="69"/>
  <c r="V368" i="69" s="1"/>
  <c r="AN466" i="69"/>
  <c r="AH466" i="69"/>
  <c r="AB466" i="69"/>
  <c r="Y466" i="69"/>
  <c r="P466" i="69"/>
  <c r="P368" i="69" s="1"/>
  <c r="V244" i="69"/>
  <c r="V219" i="69"/>
  <c r="R240" i="69"/>
  <c r="R219" i="69"/>
  <c r="M367" i="69"/>
  <c r="X49" i="69"/>
  <c r="X50" i="69" s="1"/>
  <c r="Q9" i="69"/>
  <c r="Q84" i="69"/>
  <c r="Q64" i="69"/>
  <c r="AK278" i="69"/>
  <c r="Y278" i="69"/>
  <c r="AB278" i="69"/>
  <c r="AN278" i="69"/>
  <c r="AA278" i="69"/>
  <c r="AL278" i="69"/>
  <c r="X278" i="69"/>
  <c r="AD278" i="69"/>
  <c r="Z278" i="69"/>
  <c r="T278" i="69"/>
  <c r="AM278" i="69"/>
  <c r="S278" i="69"/>
  <c r="AJ278" i="69"/>
  <c r="R278" i="69"/>
  <c r="AF278" i="69"/>
  <c r="AH278" i="69"/>
  <c r="AG278" i="69"/>
  <c r="AE278" i="69"/>
  <c r="W278" i="69"/>
  <c r="AI278" i="69"/>
  <c r="U278" i="69"/>
  <c r="AC278" i="69"/>
  <c r="V278" i="69"/>
  <c r="Q278" i="69"/>
  <c r="P278" i="69"/>
  <c r="R168" i="69"/>
  <c r="R63" i="69" s="1"/>
  <c r="M163" i="69"/>
  <c r="M63" i="69" s="1"/>
  <c r="AF236" i="69"/>
  <c r="T236" i="69"/>
  <c r="AK236" i="69"/>
  <c r="X236" i="69"/>
  <c r="AI236" i="69"/>
  <c r="V236" i="69"/>
  <c r="AD236" i="69"/>
  <c r="Q236" i="69"/>
  <c r="AL236" i="69"/>
  <c r="S236" i="69"/>
  <c r="AJ236" i="69"/>
  <c r="R236" i="69"/>
  <c r="AH236" i="69"/>
  <c r="P236" i="69"/>
  <c r="AE236" i="69"/>
  <c r="AA236" i="69"/>
  <c r="Z236" i="69"/>
  <c r="Y236" i="69"/>
  <c r="W236" i="69"/>
  <c r="AG236" i="69"/>
  <c r="AC236" i="69"/>
  <c r="AB236" i="69"/>
  <c r="U236" i="69"/>
  <c r="O236" i="69"/>
  <c r="AN236" i="69"/>
  <c r="AM236" i="69"/>
  <c r="Y354" i="69"/>
  <c r="Y355" i="69" s="1"/>
  <c r="W161" i="69"/>
  <c r="N161" i="69"/>
  <c r="N63" i="69" s="1"/>
  <c r="AF161" i="69"/>
  <c r="AC161" i="69"/>
  <c r="Z161" i="69"/>
  <c r="T161" i="69"/>
  <c r="AI161" i="69"/>
  <c r="Q161" i="69"/>
  <c r="AL161" i="69"/>
  <c r="Z320" i="69"/>
  <c r="AI320" i="69"/>
  <c r="AC320" i="69"/>
  <c r="AL320" i="69"/>
  <c r="W320" i="69"/>
  <c r="AF320" i="69"/>
  <c r="T320" i="69"/>
  <c r="V206" i="69"/>
  <c r="V285" i="69"/>
  <c r="R321" i="69"/>
  <c r="Z35" i="73"/>
  <c r="Z11" i="73"/>
  <c r="Z92" i="73"/>
  <c r="Z57" i="73"/>
  <c r="Z15" i="73"/>
  <c r="Z19" i="73"/>
  <c r="Z85" i="73"/>
  <c r="Z17" i="73"/>
  <c r="Z82" i="73"/>
  <c r="Z93" i="73"/>
  <c r="Z13" i="73"/>
  <c r="Z31" i="73"/>
  <c r="Z21" i="73"/>
  <c r="Z96" i="73"/>
  <c r="Z36" i="73"/>
  <c r="Z89" i="73"/>
  <c r="Z5" i="73"/>
  <c r="Z52" i="73"/>
  <c r="Z67" i="73"/>
  <c r="Z38" i="73"/>
  <c r="Z83" i="73"/>
  <c r="Z54" i="73"/>
  <c r="Z53" i="73"/>
  <c r="Z97" i="73"/>
  <c r="Z66" i="73"/>
  <c r="Z33" i="73"/>
  <c r="Z94" i="73"/>
  <c r="Z69" i="73"/>
  <c r="Z30" i="73"/>
  <c r="Z68" i="73"/>
  <c r="Z86" i="73"/>
  <c r="Z72" i="73"/>
  <c r="Z37" i="73"/>
  <c r="Z41" i="73"/>
  <c r="Z3" i="73"/>
  <c r="Z73" i="73"/>
  <c r="Z70" i="73"/>
  <c r="Z84" i="73"/>
  <c r="Z51" i="73"/>
  <c r="Z56" i="73"/>
  <c r="Z91" i="73"/>
  <c r="Z34" i="73"/>
  <c r="Z50" i="73"/>
  <c r="AA1" i="73" l="1"/>
  <c r="S367" i="69"/>
  <c r="T366" i="69"/>
  <c r="W368" i="69"/>
  <c r="P370" i="69"/>
  <c r="P371" i="69" s="1"/>
  <c r="M218" i="69"/>
  <c r="Q63" i="69"/>
  <c r="M370" i="69"/>
  <c r="M371" i="69" s="1"/>
  <c r="O370" i="69"/>
  <c r="O371" i="69" s="1"/>
  <c r="R218" i="69"/>
  <c r="V366" i="69"/>
  <c r="U367" i="69"/>
  <c r="W367" i="69"/>
  <c r="S366" i="69"/>
  <c r="N370" i="69"/>
  <c r="N371" i="69" s="1"/>
  <c r="T218" i="69"/>
  <c r="T367" i="69"/>
  <c r="Q370" i="69"/>
  <c r="Q371" i="69" s="1"/>
  <c r="Q218" i="69"/>
  <c r="W366" i="69"/>
  <c r="V367" i="69"/>
  <c r="X60" i="69"/>
  <c r="X59" i="69"/>
  <c r="X58" i="69"/>
  <c r="X52" i="69"/>
  <c r="X214" i="69"/>
  <c r="X213" i="69"/>
  <c r="X215" i="69"/>
  <c r="X207" i="69"/>
  <c r="Y365" i="69"/>
  <c r="Y363" i="69"/>
  <c r="Y364" i="69"/>
  <c r="AI235" i="69"/>
  <c r="W235" i="69"/>
  <c r="AL235" i="69"/>
  <c r="Y235" i="69"/>
  <c r="AJ235" i="69"/>
  <c r="V235" i="69"/>
  <c r="AE235" i="69"/>
  <c r="R235" i="69"/>
  <c r="AC235" i="69"/>
  <c r="AB235" i="69"/>
  <c r="AA235" i="69"/>
  <c r="X235" i="69"/>
  <c r="AD235" i="69"/>
  <c r="Z235" i="69"/>
  <c r="U235" i="69"/>
  <c r="T235" i="69"/>
  <c r="AN235" i="69"/>
  <c r="P235" i="69"/>
  <c r="O235" i="69"/>
  <c r="N235" i="69"/>
  <c r="AM235" i="69"/>
  <c r="Q235" i="69"/>
  <c r="AH235" i="69"/>
  <c r="AF235" i="69"/>
  <c r="S235" i="69"/>
  <c r="AK235" i="69"/>
  <c r="AG235" i="69"/>
  <c r="W90" i="69"/>
  <c r="W64" i="69"/>
  <c r="W9" i="69"/>
  <c r="M21" i="69"/>
  <c r="W173" i="69"/>
  <c r="AA350" i="69"/>
  <c r="AA352" i="69" s="1"/>
  <c r="AA45" i="69"/>
  <c r="AA200" i="69"/>
  <c r="AM436" i="69"/>
  <c r="AA436" i="69"/>
  <c r="AD436" i="69"/>
  <c r="AJ436" i="69"/>
  <c r="AH436" i="69"/>
  <c r="AF436" i="69"/>
  <c r="AI436" i="69"/>
  <c r="AB436" i="69"/>
  <c r="X436" i="69"/>
  <c r="AN436" i="69"/>
  <c r="AC436" i="69"/>
  <c r="Z436" i="69"/>
  <c r="AK436" i="69"/>
  <c r="Y436" i="69"/>
  <c r="AL436" i="69"/>
  <c r="AG436" i="69"/>
  <c r="AE436" i="69"/>
  <c r="O23" i="69"/>
  <c r="P20" i="69"/>
  <c r="AD80" i="69"/>
  <c r="R80" i="69"/>
  <c r="AC80" i="69"/>
  <c r="Q80" i="69"/>
  <c r="AM80" i="69"/>
  <c r="O80" i="69"/>
  <c r="AN80" i="69"/>
  <c r="AB80" i="69"/>
  <c r="P80" i="69"/>
  <c r="AA80" i="69"/>
  <c r="Y80" i="69"/>
  <c r="X80" i="69"/>
  <c r="W80" i="69"/>
  <c r="AL80" i="69"/>
  <c r="V80" i="69"/>
  <c r="AK80" i="69"/>
  <c r="U80" i="69"/>
  <c r="AJ80" i="69"/>
  <c r="T80" i="69"/>
  <c r="AI80" i="69"/>
  <c r="AH80" i="69"/>
  <c r="AG80" i="69"/>
  <c r="AF80" i="69"/>
  <c r="AE80" i="69"/>
  <c r="Z80" i="69"/>
  <c r="S80" i="69"/>
  <c r="N80" i="69"/>
  <c r="AK85" i="69"/>
  <c r="Y85" i="69"/>
  <c r="AJ85" i="69"/>
  <c r="X85" i="69"/>
  <c r="AH85" i="69"/>
  <c r="V85" i="69"/>
  <c r="AI85" i="69"/>
  <c r="W85" i="69"/>
  <c r="AB85" i="69"/>
  <c r="AA85" i="69"/>
  <c r="Z85" i="69"/>
  <c r="U85" i="69"/>
  <c r="AN85" i="69"/>
  <c r="T85" i="69"/>
  <c r="AM85" i="69"/>
  <c r="S85" i="69"/>
  <c r="AD85" i="69"/>
  <c r="AC85" i="69"/>
  <c r="AE85" i="69"/>
  <c r="AL85" i="69"/>
  <c r="AG85" i="69"/>
  <c r="AF85" i="69"/>
  <c r="W326" i="69"/>
  <c r="AG130" i="69"/>
  <c r="AC130" i="69"/>
  <c r="AN130" i="69"/>
  <c r="AA130" i="69"/>
  <c r="AF130" i="69"/>
  <c r="AE130" i="69"/>
  <c r="AD130" i="69"/>
  <c r="AB130" i="69"/>
  <c r="AJ130" i="69"/>
  <c r="AI130" i="69"/>
  <c r="AH130" i="69"/>
  <c r="Z130" i="69"/>
  <c r="Y130" i="69"/>
  <c r="X130" i="69"/>
  <c r="AM130" i="69"/>
  <c r="AL130" i="69"/>
  <c r="AK130" i="69"/>
  <c r="W130" i="69"/>
  <c r="W51" i="69"/>
  <c r="W10" i="69"/>
  <c r="W131" i="69"/>
  <c r="X168" i="69"/>
  <c r="U168" i="69"/>
  <c r="U63" i="69" s="1"/>
  <c r="AM168" i="69"/>
  <c r="AJ168" i="69"/>
  <c r="AG168" i="69"/>
  <c r="AD168" i="69"/>
  <c r="AA168" i="69"/>
  <c r="AD276" i="69"/>
  <c r="R276" i="69"/>
  <c r="AB276" i="69"/>
  <c r="O276" i="69"/>
  <c r="AN276" i="69"/>
  <c r="AA276" i="69"/>
  <c r="N276" i="69"/>
  <c r="AL276" i="69"/>
  <c r="Y276" i="69"/>
  <c r="AE276" i="69"/>
  <c r="Z276" i="69"/>
  <c r="AG276" i="69"/>
  <c r="AC276" i="69"/>
  <c r="U276" i="69"/>
  <c r="AF276" i="69"/>
  <c r="X276" i="69"/>
  <c r="W276" i="69"/>
  <c r="T276" i="69"/>
  <c r="AM276" i="69"/>
  <c r="AI276" i="69"/>
  <c r="V276" i="69"/>
  <c r="S276" i="69"/>
  <c r="Q276" i="69"/>
  <c r="P276" i="69"/>
  <c r="AK276" i="69"/>
  <c r="AJ276" i="69"/>
  <c r="AH276" i="69"/>
  <c r="AD240" i="69"/>
  <c r="AE240" i="69"/>
  <c r="AB240" i="69"/>
  <c r="AK240" i="69"/>
  <c r="X240" i="69"/>
  <c r="Z240" i="69"/>
  <c r="Y240" i="69"/>
  <c r="AN240" i="69"/>
  <c r="W240" i="69"/>
  <c r="AL240" i="69"/>
  <c r="U240" i="69"/>
  <c r="AH240" i="69"/>
  <c r="AG240" i="69"/>
  <c r="AF240" i="69"/>
  <c r="AC240" i="69"/>
  <c r="T240" i="69"/>
  <c r="V240" i="69"/>
  <c r="S240" i="69"/>
  <c r="AM240" i="69"/>
  <c r="AJ240" i="69"/>
  <c r="AI240" i="69"/>
  <c r="AA240" i="69"/>
  <c r="AK242" i="69"/>
  <c r="Y242" i="69"/>
  <c r="AJ242" i="69"/>
  <c r="W242" i="69"/>
  <c r="AB242" i="69"/>
  <c r="AN242" i="69"/>
  <c r="Z242" i="69"/>
  <c r="AH242" i="69"/>
  <c r="AL242" i="69"/>
  <c r="AI242" i="69"/>
  <c r="AG242" i="69"/>
  <c r="AE242" i="69"/>
  <c r="AD242" i="69"/>
  <c r="AA242" i="69"/>
  <c r="X242" i="69"/>
  <c r="V242" i="69"/>
  <c r="U242" i="69"/>
  <c r="AC242" i="69"/>
  <c r="AM242" i="69"/>
  <c r="AF242" i="69"/>
  <c r="R370" i="69"/>
  <c r="R371" i="69" s="1"/>
  <c r="Z47" i="69"/>
  <c r="AM285" i="69"/>
  <c r="AA285" i="69"/>
  <c r="AE285" i="69"/>
  <c r="AD285" i="69"/>
  <c r="AB285" i="69"/>
  <c r="AG285" i="69"/>
  <c r="AC285" i="69"/>
  <c r="AI285" i="69"/>
  <c r="AH285" i="69"/>
  <c r="AF285" i="69"/>
  <c r="W285" i="69"/>
  <c r="AL285" i="69"/>
  <c r="AK285" i="69"/>
  <c r="AJ285" i="69"/>
  <c r="Y285" i="69"/>
  <c r="Z285" i="69"/>
  <c r="X285" i="69"/>
  <c r="AN285" i="69"/>
  <c r="Z202" i="69"/>
  <c r="P15" i="69"/>
  <c r="Z354" i="69"/>
  <c r="Z355" i="69" s="1"/>
  <c r="Y204" i="69"/>
  <c r="Y205" i="69" s="1"/>
  <c r="AK281" i="69"/>
  <c r="Y281" i="69"/>
  <c r="AH281" i="69"/>
  <c r="U281" i="69"/>
  <c r="AG281" i="69"/>
  <c r="T281" i="69"/>
  <c r="AE281" i="69"/>
  <c r="AA281" i="69"/>
  <c r="X281" i="69"/>
  <c r="AF281" i="69"/>
  <c r="AD281" i="69"/>
  <c r="AC281" i="69"/>
  <c r="V281" i="69"/>
  <c r="Z281" i="69"/>
  <c r="W281" i="69"/>
  <c r="S281" i="69"/>
  <c r="AN281" i="69"/>
  <c r="AM281" i="69"/>
  <c r="AL281" i="69"/>
  <c r="AJ281" i="69"/>
  <c r="AI281" i="69"/>
  <c r="AB281" i="69"/>
  <c r="U366" i="69"/>
  <c r="X437" i="69"/>
  <c r="X356" i="69"/>
  <c r="AJ121" i="69"/>
  <c r="X121" i="69"/>
  <c r="AN121" i="69"/>
  <c r="AA121" i="69"/>
  <c r="N121" i="69"/>
  <c r="AF121" i="69"/>
  <c r="R121" i="69"/>
  <c r="AE121" i="69"/>
  <c r="Q121" i="69"/>
  <c r="O121" i="69"/>
  <c r="AD121" i="69"/>
  <c r="P121" i="69"/>
  <c r="AC121" i="69"/>
  <c r="U121" i="69"/>
  <c r="AM121" i="69"/>
  <c r="T121" i="69"/>
  <c r="S121" i="69"/>
  <c r="AL121" i="69"/>
  <c r="AK121" i="69"/>
  <c r="AI121" i="69"/>
  <c r="AH121" i="69"/>
  <c r="Y121" i="69"/>
  <c r="W121" i="69"/>
  <c r="V121" i="69"/>
  <c r="AG121" i="69"/>
  <c r="Z121" i="69"/>
  <c r="AB121" i="69"/>
  <c r="X369" i="69"/>
  <c r="X396" i="69"/>
  <c r="AK172" i="69"/>
  <c r="AN172" i="69"/>
  <c r="AH172" i="69"/>
  <c r="AE172" i="69"/>
  <c r="AB172" i="69"/>
  <c r="Y172" i="69"/>
  <c r="AC323" i="69"/>
  <c r="AI323" i="69"/>
  <c r="AF323" i="69"/>
  <c r="W323" i="69"/>
  <c r="AL323" i="69"/>
  <c r="Z323" i="69"/>
  <c r="AD283" i="69"/>
  <c r="AE283" i="69"/>
  <c r="AC283" i="69"/>
  <c r="AN283" i="69"/>
  <c r="AA283" i="69"/>
  <c r="AJ283" i="69"/>
  <c r="AH283" i="69"/>
  <c r="AF283" i="69"/>
  <c r="AB283" i="69"/>
  <c r="Z283" i="69"/>
  <c r="V283" i="69"/>
  <c r="AM283" i="69"/>
  <c r="AK283" i="69"/>
  <c r="X283" i="69"/>
  <c r="W283" i="69"/>
  <c r="U283" i="69"/>
  <c r="AL283" i="69"/>
  <c r="AI283" i="69"/>
  <c r="AG283" i="69"/>
  <c r="Y283" i="69"/>
  <c r="AE126" i="69"/>
  <c r="S126" i="69"/>
  <c r="AG126" i="69"/>
  <c r="T126" i="69"/>
  <c r="AJ126" i="69"/>
  <c r="V126" i="69"/>
  <c r="AI126" i="69"/>
  <c r="U126" i="69"/>
  <c r="AF126" i="69"/>
  <c r="AH126" i="69"/>
  <c r="Y126" i="69"/>
  <c r="X126" i="69"/>
  <c r="W126" i="69"/>
  <c r="AN126" i="69"/>
  <c r="AM126" i="69"/>
  <c r="AL126" i="69"/>
  <c r="AB126" i="69"/>
  <c r="AA126" i="69"/>
  <c r="AK126" i="69"/>
  <c r="AC126" i="69"/>
  <c r="Z126" i="69"/>
  <c r="AD126" i="69"/>
  <c r="X477" i="69"/>
  <c r="X368" i="69" s="1"/>
  <c r="W219" i="69"/>
  <c r="W245" i="69"/>
  <c r="AC476" i="69"/>
  <c r="AF476" i="69"/>
  <c r="Z476" i="69"/>
  <c r="AL476" i="69"/>
  <c r="AI476" i="69"/>
  <c r="AM321" i="69"/>
  <c r="AA321" i="69"/>
  <c r="AG321" i="69"/>
  <c r="AD321" i="69"/>
  <c r="U321" i="69"/>
  <c r="U218" i="69" s="1"/>
  <c r="X321" i="69"/>
  <c r="AJ321" i="69"/>
  <c r="AH244" i="69"/>
  <c r="AK244" i="69"/>
  <c r="X244" i="69"/>
  <c r="AE244" i="69"/>
  <c r="AC244" i="69"/>
  <c r="AM244" i="69"/>
  <c r="Y244" i="69"/>
  <c r="AJ244" i="69"/>
  <c r="AI244" i="69"/>
  <c r="AG244" i="69"/>
  <c r="AD244" i="69"/>
  <c r="AL244" i="69"/>
  <c r="AF244" i="69"/>
  <c r="AB244" i="69"/>
  <c r="AA244" i="69"/>
  <c r="AN244" i="69"/>
  <c r="Z244" i="69"/>
  <c r="W244" i="69"/>
  <c r="Y49" i="69"/>
  <c r="Y50" i="69" s="1"/>
  <c r="AE89" i="69"/>
  <c r="AF89" i="69"/>
  <c r="AD89" i="69"/>
  <c r="AC89" i="69"/>
  <c r="AB89" i="69"/>
  <c r="AM89" i="69"/>
  <c r="AL89" i="69"/>
  <c r="AK89" i="69"/>
  <c r="AJ89" i="69"/>
  <c r="AI89" i="69"/>
  <c r="AH89" i="69"/>
  <c r="X89" i="69"/>
  <c r="W89" i="69"/>
  <c r="AG89" i="69"/>
  <c r="AA89" i="69"/>
  <c r="Y89" i="69"/>
  <c r="AN89" i="69"/>
  <c r="Z89" i="69"/>
  <c r="AJ84" i="69"/>
  <c r="X84" i="69"/>
  <c r="AI84" i="69"/>
  <c r="W84" i="69"/>
  <c r="AG84" i="69"/>
  <c r="U84" i="69"/>
  <c r="AH84" i="69"/>
  <c r="V84" i="69"/>
  <c r="AE84" i="69"/>
  <c r="AD84" i="69"/>
  <c r="AC84" i="69"/>
  <c r="AB84" i="69"/>
  <c r="AA84" i="69"/>
  <c r="Z84" i="69"/>
  <c r="Y84" i="69"/>
  <c r="AF84" i="69"/>
  <c r="AN84" i="69"/>
  <c r="T84" i="69"/>
  <c r="R84" i="69"/>
  <c r="AM84" i="69"/>
  <c r="AL84" i="69"/>
  <c r="AK84" i="69"/>
  <c r="S84" i="69"/>
  <c r="AK163" i="69"/>
  <c r="AH163" i="69"/>
  <c r="AB163" i="69"/>
  <c r="V163" i="69"/>
  <c r="V63" i="69" s="1"/>
  <c r="Y163" i="69"/>
  <c r="S163" i="69"/>
  <c r="S63" i="69" s="1"/>
  <c r="P163" i="69"/>
  <c r="P63" i="69" s="1"/>
  <c r="AN163" i="69"/>
  <c r="AE163" i="69"/>
  <c r="AD125" i="69"/>
  <c r="R125" i="69"/>
  <c r="AC125" i="69"/>
  <c r="AE125" i="69"/>
  <c r="AB125" i="69"/>
  <c r="AA125" i="69"/>
  <c r="Z125" i="69"/>
  <c r="AN125" i="69"/>
  <c r="X125" i="69"/>
  <c r="W125" i="69"/>
  <c r="V125" i="69"/>
  <c r="AM125" i="69"/>
  <c r="U125" i="69"/>
  <c r="AL125" i="69"/>
  <c r="T125" i="69"/>
  <c r="AK125" i="69"/>
  <c r="S125" i="69"/>
  <c r="Y125" i="69"/>
  <c r="AJ125" i="69"/>
  <c r="AI125" i="69"/>
  <c r="AH125" i="69"/>
  <c r="AG125" i="69"/>
  <c r="AF125" i="69"/>
  <c r="AM395" i="69"/>
  <c r="AA395" i="69"/>
  <c r="AN395" i="69"/>
  <c r="Z395" i="69"/>
  <c r="AJ395" i="69"/>
  <c r="AH395" i="69"/>
  <c r="AC395" i="69"/>
  <c r="AL395" i="69"/>
  <c r="AG395" i="69"/>
  <c r="AD395" i="69"/>
  <c r="AB395" i="69"/>
  <c r="Y395" i="69"/>
  <c r="AI395" i="69"/>
  <c r="AK395" i="69"/>
  <c r="AF395" i="69"/>
  <c r="AE395" i="69"/>
  <c r="X395" i="69"/>
  <c r="S316" i="69"/>
  <c r="S218" i="69" s="1"/>
  <c r="AB316" i="69"/>
  <c r="Y316" i="69"/>
  <c r="P316" i="69"/>
  <c r="P218" i="69" s="1"/>
  <c r="AK316" i="69"/>
  <c r="AE316" i="69"/>
  <c r="V316" i="69"/>
  <c r="V218" i="69" s="1"/>
  <c r="AN316" i="69"/>
  <c r="AH316" i="69"/>
  <c r="Y325" i="69"/>
  <c r="AN325" i="69"/>
  <c r="AK325" i="69"/>
  <c r="AE325" i="69"/>
  <c r="AH325" i="69"/>
  <c r="AB325" i="69"/>
  <c r="AL167" i="69"/>
  <c r="AF167" i="69"/>
  <c r="AC167" i="69"/>
  <c r="Z167" i="69"/>
  <c r="W167" i="69"/>
  <c r="T167" i="69"/>
  <c r="T63" i="69" s="1"/>
  <c r="AI167" i="69"/>
  <c r="W286" i="69"/>
  <c r="W206" i="69"/>
  <c r="AL36" i="19"/>
  <c r="AQ58" i="62" s="1"/>
  <c r="AA36" i="19"/>
  <c r="X36" i="19"/>
  <c r="Y36" i="19"/>
  <c r="R36" i="19"/>
  <c r="S36" i="19"/>
  <c r="T36" i="19"/>
  <c r="U36" i="19"/>
  <c r="V36" i="19"/>
  <c r="W36" i="19"/>
  <c r="Q36" i="19"/>
  <c r="AD4" i="19"/>
  <c r="AE4" i="19"/>
  <c r="AF4" i="19"/>
  <c r="AG4" i="19"/>
  <c r="AH4" i="19"/>
  <c r="AI4" i="19"/>
  <c r="AJ4" i="19"/>
  <c r="AC4" i="19"/>
  <c r="R4" i="42"/>
  <c r="AD4" i="42" s="1"/>
  <c r="S4" i="42"/>
  <c r="AE4" i="42" s="1"/>
  <c r="T4" i="42"/>
  <c r="AF4" i="42" s="1"/>
  <c r="U4" i="42"/>
  <c r="AG4" i="42" s="1"/>
  <c r="V4" i="42"/>
  <c r="AH4" i="42" s="1"/>
  <c r="W4" i="42"/>
  <c r="AI4" i="42" s="1"/>
  <c r="X4" i="42"/>
  <c r="AJ4" i="42" s="1"/>
  <c r="Y4" i="42"/>
  <c r="AK4" i="42" s="1"/>
  <c r="AA4" i="42"/>
  <c r="AM4" i="42" s="1"/>
  <c r="Q4" i="42"/>
  <c r="AC4" i="42" s="1"/>
  <c r="L13" i="42"/>
  <c r="L8" i="42" s="1"/>
  <c r="M45" i="16"/>
  <c r="E7" i="16"/>
  <c r="F7" i="16"/>
  <c r="G7" i="16"/>
  <c r="H7" i="16"/>
  <c r="I7" i="16"/>
  <c r="L13" i="16"/>
  <c r="U7" i="16"/>
  <c r="U12" i="16" s="1"/>
  <c r="U16" i="16" s="1"/>
  <c r="V7" i="16"/>
  <c r="V12" i="16" s="1"/>
  <c r="V16" i="16" s="1"/>
  <c r="W7" i="16"/>
  <c r="W12" i="16" s="1"/>
  <c r="W16" i="16" s="1"/>
  <c r="AK7" i="16"/>
  <c r="AK12" i="16" s="1"/>
  <c r="Q4" i="16"/>
  <c r="Q7" i="16" s="1"/>
  <c r="Q12" i="16" s="1"/>
  <c r="L16" i="23"/>
  <c r="L18" i="23"/>
  <c r="L21" i="23"/>
  <c r="E36" i="16"/>
  <c r="F36" i="16"/>
  <c r="G36" i="16"/>
  <c r="H36" i="16"/>
  <c r="I36" i="16"/>
  <c r="J36" i="16"/>
  <c r="K36" i="16"/>
  <c r="L36" i="16"/>
  <c r="J97" i="60"/>
  <c r="J82" i="60"/>
  <c r="J81" i="60"/>
  <c r="J80" i="60"/>
  <c r="J79" i="60"/>
  <c r="J71" i="60"/>
  <c r="J43" i="60"/>
  <c r="J26" i="60"/>
  <c r="J32" i="60" s="1"/>
  <c r="J25" i="60"/>
  <c r="J31" i="60" s="1"/>
  <c r="J24" i="60"/>
  <c r="J30" i="60" s="1"/>
  <c r="J23" i="60"/>
  <c r="J29" i="60" s="1"/>
  <c r="J21" i="60"/>
  <c r="J12" i="60"/>
  <c r="AL12" i="16"/>
  <c r="Z12" i="16"/>
  <c r="AD266" i="41"/>
  <c r="AE266" i="41" s="1"/>
  <c r="AF266" i="41" s="1"/>
  <c r="AG266" i="41" s="1"/>
  <c r="AH266" i="41" s="1"/>
  <c r="AI266" i="41" s="1"/>
  <c r="AJ266" i="41" s="1"/>
  <c r="AK266" i="41" s="1"/>
  <c r="AL266" i="41" s="1"/>
  <c r="AM266" i="41" s="1"/>
  <c r="AN266" i="41" s="1"/>
  <c r="AD266" i="22"/>
  <c r="AE266" i="22" s="1"/>
  <c r="AF266" i="22" s="1"/>
  <c r="AG266" i="22" s="1"/>
  <c r="AH266" i="22" s="1"/>
  <c r="AI266" i="22" s="1"/>
  <c r="AJ266" i="22" s="1"/>
  <c r="AK266" i="22" s="1"/>
  <c r="AL266" i="22" s="1"/>
  <c r="AM266" i="22" s="1"/>
  <c r="AN266" i="22" s="1"/>
  <c r="AD266" i="20"/>
  <c r="AE266" i="20" s="1"/>
  <c r="AF266" i="20" s="1"/>
  <c r="AG266" i="20" s="1"/>
  <c r="AH266" i="20" s="1"/>
  <c r="AI266" i="20" s="1"/>
  <c r="AJ266" i="20" s="1"/>
  <c r="AK266" i="20" s="1"/>
  <c r="AL266" i="20" s="1"/>
  <c r="AM266" i="20" s="1"/>
  <c r="AN266" i="20" s="1"/>
  <c r="AD266" i="19"/>
  <c r="AE266" i="19" s="1"/>
  <c r="AF266" i="19" s="1"/>
  <c r="AG266" i="19" s="1"/>
  <c r="AH266" i="19" s="1"/>
  <c r="AI266" i="19" s="1"/>
  <c r="AJ266" i="19" s="1"/>
  <c r="AK266" i="19" s="1"/>
  <c r="AL266" i="19" s="1"/>
  <c r="AM266" i="19" s="1"/>
  <c r="AN266" i="19" s="1"/>
  <c r="AD266" i="23"/>
  <c r="AE266" i="23" s="1"/>
  <c r="AF266" i="23" s="1"/>
  <c r="AG266" i="23" s="1"/>
  <c r="AH266" i="23" s="1"/>
  <c r="AI266" i="23" s="1"/>
  <c r="AJ266" i="23" s="1"/>
  <c r="AK266" i="23" s="1"/>
  <c r="AL266" i="23" s="1"/>
  <c r="AM266" i="23" s="1"/>
  <c r="AN266" i="23" s="1"/>
  <c r="AD266" i="42"/>
  <c r="AE266" i="42" s="1"/>
  <c r="AF266" i="42" s="1"/>
  <c r="AG266" i="42" s="1"/>
  <c r="AH266" i="42" s="1"/>
  <c r="AI266" i="42" s="1"/>
  <c r="AJ266" i="42" s="1"/>
  <c r="AK266" i="42" s="1"/>
  <c r="AL266" i="42" s="1"/>
  <c r="AM266" i="42" s="1"/>
  <c r="AN266" i="42" s="1"/>
  <c r="K97" i="61"/>
  <c r="J97" i="61"/>
  <c r="I97" i="61"/>
  <c r="H97" i="61"/>
  <c r="G97" i="61"/>
  <c r="F97" i="61"/>
  <c r="E97" i="61"/>
  <c r="D97" i="61"/>
  <c r="K71" i="61"/>
  <c r="J71" i="61"/>
  <c r="I71" i="61"/>
  <c r="H71" i="61"/>
  <c r="G71" i="61"/>
  <c r="F71" i="61"/>
  <c r="E71" i="61"/>
  <c r="D71" i="61"/>
  <c r="K43" i="61"/>
  <c r="J43" i="61"/>
  <c r="I43" i="61"/>
  <c r="H43" i="61"/>
  <c r="G43" i="61"/>
  <c r="F43" i="61"/>
  <c r="E43" i="61"/>
  <c r="D43" i="61"/>
  <c r="K26" i="61"/>
  <c r="K48" i="61" s="1"/>
  <c r="K76" i="61" s="1"/>
  <c r="K82" i="61" s="1"/>
  <c r="J26" i="61"/>
  <c r="J32" i="61" s="1"/>
  <c r="I26" i="61"/>
  <c r="I32" i="61" s="1"/>
  <c r="H26" i="61"/>
  <c r="H32" i="61" s="1"/>
  <c r="G26" i="61"/>
  <c r="G32" i="61" s="1"/>
  <c r="F26" i="61"/>
  <c r="F32" i="61" s="1"/>
  <c r="E26" i="61"/>
  <c r="E32" i="61" s="1"/>
  <c r="D26" i="61"/>
  <c r="D32" i="61" s="1"/>
  <c r="K25" i="61"/>
  <c r="K31" i="61" s="1"/>
  <c r="J25" i="61"/>
  <c r="J31" i="61" s="1"/>
  <c r="I25" i="61"/>
  <c r="I31" i="61" s="1"/>
  <c r="H25" i="61"/>
  <c r="H31" i="61" s="1"/>
  <c r="G25" i="61"/>
  <c r="G47" i="61" s="1"/>
  <c r="F25" i="61"/>
  <c r="F31" i="61" s="1"/>
  <c r="E25" i="61"/>
  <c r="E31" i="61" s="1"/>
  <c r="D25" i="61"/>
  <c r="D47" i="61" s="1"/>
  <c r="D53" i="61" s="1"/>
  <c r="K24" i="61"/>
  <c r="K46" i="61" s="1"/>
  <c r="K52" i="61" s="1"/>
  <c r="J24" i="61"/>
  <c r="J30" i="61" s="1"/>
  <c r="I24" i="61"/>
  <c r="I30" i="61" s="1"/>
  <c r="H24" i="61"/>
  <c r="H30" i="61" s="1"/>
  <c r="G24" i="61"/>
  <c r="G30" i="61" s="1"/>
  <c r="F24" i="61"/>
  <c r="F30" i="61" s="1"/>
  <c r="E24" i="61"/>
  <c r="E30" i="61" s="1"/>
  <c r="D24" i="61"/>
  <c r="K23" i="61"/>
  <c r="K29" i="61" s="1"/>
  <c r="J23" i="61"/>
  <c r="J45" i="61" s="1"/>
  <c r="I23" i="61"/>
  <c r="I29" i="61" s="1"/>
  <c r="H23" i="61"/>
  <c r="H29" i="61" s="1"/>
  <c r="G23" i="61"/>
  <c r="G45" i="61" s="1"/>
  <c r="F23" i="61"/>
  <c r="F29" i="61" s="1"/>
  <c r="E23" i="61"/>
  <c r="E29" i="61" s="1"/>
  <c r="D23" i="61"/>
  <c r="D29" i="61" s="1"/>
  <c r="K21" i="61"/>
  <c r="J21" i="61"/>
  <c r="I21" i="61"/>
  <c r="H21" i="61"/>
  <c r="G21" i="61"/>
  <c r="F21" i="61"/>
  <c r="E21" i="61"/>
  <c r="D21" i="61"/>
  <c r="K12" i="61"/>
  <c r="J12" i="61"/>
  <c r="I12" i="61"/>
  <c r="H12" i="61"/>
  <c r="G12" i="61"/>
  <c r="F12" i="61"/>
  <c r="E12" i="61"/>
  <c r="D12" i="61"/>
  <c r="D95" i="62"/>
  <c r="K95" i="62"/>
  <c r="J95" i="62"/>
  <c r="I95" i="62"/>
  <c r="H95" i="62"/>
  <c r="G95" i="62"/>
  <c r="F95" i="62"/>
  <c r="E95" i="62"/>
  <c r="K69" i="62"/>
  <c r="J69" i="62"/>
  <c r="I69" i="62"/>
  <c r="H69" i="62"/>
  <c r="G69" i="62"/>
  <c r="F69" i="62"/>
  <c r="E69" i="62"/>
  <c r="D69" i="62"/>
  <c r="K42" i="62"/>
  <c r="J42" i="62"/>
  <c r="I42" i="62"/>
  <c r="H42" i="62"/>
  <c r="G42" i="62"/>
  <c r="F42" i="62"/>
  <c r="E42" i="62"/>
  <c r="D42" i="62"/>
  <c r="K25" i="62"/>
  <c r="K47" i="62" s="1"/>
  <c r="K53" i="62" s="1"/>
  <c r="J25" i="62"/>
  <c r="J47" i="62" s="1"/>
  <c r="J74" i="62" s="1"/>
  <c r="J80" i="62" s="1"/>
  <c r="I25" i="62"/>
  <c r="I47" i="62" s="1"/>
  <c r="I74" i="62" s="1"/>
  <c r="I80" i="62" s="1"/>
  <c r="H25" i="62"/>
  <c r="H47" i="62" s="1"/>
  <c r="H74" i="62" s="1"/>
  <c r="H80" i="62" s="1"/>
  <c r="G25" i="62"/>
  <c r="G31" i="62" s="1"/>
  <c r="F25" i="62"/>
  <c r="F31" i="62" s="1"/>
  <c r="E25" i="62"/>
  <c r="E31" i="62" s="1"/>
  <c r="D25" i="62"/>
  <c r="D31" i="62" s="1"/>
  <c r="K24" i="62"/>
  <c r="K30" i="62" s="1"/>
  <c r="J24" i="62"/>
  <c r="J30" i="62" s="1"/>
  <c r="I24" i="62"/>
  <c r="H24" i="62"/>
  <c r="G24" i="62"/>
  <c r="F24" i="62"/>
  <c r="F46" i="62" s="1"/>
  <c r="E24" i="62"/>
  <c r="E30" i="62" s="1"/>
  <c r="D24" i="62"/>
  <c r="D46" i="62" s="1"/>
  <c r="K23" i="62"/>
  <c r="K29" i="62" s="1"/>
  <c r="J23" i="62"/>
  <c r="J29" i="62" s="1"/>
  <c r="I23" i="62"/>
  <c r="I29" i="62" s="1"/>
  <c r="H23" i="62"/>
  <c r="H29" i="62" s="1"/>
  <c r="G23" i="62"/>
  <c r="G29" i="62" s="1"/>
  <c r="F23" i="62"/>
  <c r="E23" i="62"/>
  <c r="D23" i="62"/>
  <c r="D29" i="62" s="1"/>
  <c r="K22" i="62"/>
  <c r="K28" i="62" s="1"/>
  <c r="J22" i="62"/>
  <c r="J44" i="62" s="1"/>
  <c r="I22" i="62"/>
  <c r="I44" i="62" s="1"/>
  <c r="H22" i="62"/>
  <c r="H44" i="62" s="1"/>
  <c r="G22" i="62"/>
  <c r="G28" i="62" s="1"/>
  <c r="F22" i="62"/>
  <c r="F28" i="62" s="1"/>
  <c r="E22" i="62"/>
  <c r="E28" i="62" s="1"/>
  <c r="D22" i="62"/>
  <c r="D28" i="62" s="1"/>
  <c r="K20" i="62"/>
  <c r="J20" i="62"/>
  <c r="I20" i="62"/>
  <c r="H20" i="62"/>
  <c r="G20" i="62"/>
  <c r="F20" i="62"/>
  <c r="E20" i="62"/>
  <c r="D20" i="62"/>
  <c r="K11" i="62"/>
  <c r="J11" i="62"/>
  <c r="I11" i="62"/>
  <c r="H11" i="62"/>
  <c r="G11" i="62"/>
  <c r="F11" i="62"/>
  <c r="E11" i="62"/>
  <c r="D11" i="62"/>
  <c r="K98" i="63"/>
  <c r="J98" i="63"/>
  <c r="I98" i="63"/>
  <c r="H98" i="63"/>
  <c r="G98" i="63"/>
  <c r="F98" i="63"/>
  <c r="E98" i="63"/>
  <c r="D98" i="63"/>
  <c r="K71" i="63"/>
  <c r="J71" i="63"/>
  <c r="I71" i="63"/>
  <c r="H71" i="63"/>
  <c r="G71" i="63"/>
  <c r="F71" i="63"/>
  <c r="E71" i="63"/>
  <c r="D71" i="63"/>
  <c r="K12" i="63"/>
  <c r="J12" i="63"/>
  <c r="I12" i="63"/>
  <c r="H12" i="63"/>
  <c r="G12" i="63"/>
  <c r="F12" i="63"/>
  <c r="E12" i="63"/>
  <c r="D12" i="63"/>
  <c r="K26" i="63"/>
  <c r="K48" i="63" s="1"/>
  <c r="K54" i="63" s="1"/>
  <c r="J26" i="63"/>
  <c r="J48" i="63" s="1"/>
  <c r="I26" i="63"/>
  <c r="I48" i="63" s="1"/>
  <c r="I54" i="63" s="1"/>
  <c r="H26" i="63"/>
  <c r="H48" i="63" s="1"/>
  <c r="G26" i="63"/>
  <c r="G32" i="63" s="1"/>
  <c r="F26" i="63"/>
  <c r="F32" i="63" s="1"/>
  <c r="E26" i="63"/>
  <c r="E32" i="63" s="1"/>
  <c r="D26" i="63"/>
  <c r="K25" i="63"/>
  <c r="K47" i="63" s="1"/>
  <c r="K53" i="63" s="1"/>
  <c r="J25" i="63"/>
  <c r="J47" i="63" s="1"/>
  <c r="J53" i="63" s="1"/>
  <c r="I25" i="63"/>
  <c r="I47" i="63" s="1"/>
  <c r="I53" i="63" s="1"/>
  <c r="H25" i="63"/>
  <c r="H47" i="63" s="1"/>
  <c r="H53" i="63" s="1"/>
  <c r="G25" i="63"/>
  <c r="G47" i="63" s="1"/>
  <c r="G53" i="63" s="1"/>
  <c r="F25" i="63"/>
  <c r="F31" i="63" s="1"/>
  <c r="E25" i="63"/>
  <c r="E31" i="63" s="1"/>
  <c r="D25" i="63"/>
  <c r="D47" i="63" s="1"/>
  <c r="K24" i="63"/>
  <c r="J24" i="63"/>
  <c r="J30" i="63" s="1"/>
  <c r="I24" i="63"/>
  <c r="H24" i="63"/>
  <c r="H30" i="63" s="1"/>
  <c r="G24" i="63"/>
  <c r="G46" i="63" s="1"/>
  <c r="G52" i="63" s="1"/>
  <c r="F24" i="63"/>
  <c r="F46" i="63" s="1"/>
  <c r="F52" i="63" s="1"/>
  <c r="E24" i="63"/>
  <c r="E46" i="63" s="1"/>
  <c r="E52" i="63" s="1"/>
  <c r="D24" i="63"/>
  <c r="D30" i="63" s="1"/>
  <c r="K23" i="63"/>
  <c r="K45" i="63" s="1"/>
  <c r="K51" i="63" s="1"/>
  <c r="J23" i="63"/>
  <c r="J29" i="63" s="1"/>
  <c r="I23" i="63"/>
  <c r="I29" i="63" s="1"/>
  <c r="H23" i="63"/>
  <c r="H29" i="63" s="1"/>
  <c r="G23" i="63"/>
  <c r="G45" i="63" s="1"/>
  <c r="F23" i="63"/>
  <c r="E23" i="63"/>
  <c r="E29" i="63" s="1"/>
  <c r="D23" i="63"/>
  <c r="D29" i="63" s="1"/>
  <c r="K21" i="63"/>
  <c r="J21" i="63"/>
  <c r="I21" i="63"/>
  <c r="H21" i="63"/>
  <c r="G21" i="63"/>
  <c r="F21" i="63"/>
  <c r="E21" i="63"/>
  <c r="D21" i="63"/>
  <c r="K43" i="63"/>
  <c r="J43" i="63"/>
  <c r="I43" i="63"/>
  <c r="H43" i="63"/>
  <c r="G43" i="63"/>
  <c r="F43" i="63"/>
  <c r="E43" i="63"/>
  <c r="D43" i="63"/>
  <c r="J96" i="59"/>
  <c r="I96" i="59"/>
  <c r="H96" i="59"/>
  <c r="G96" i="59"/>
  <c r="F96" i="59"/>
  <c r="E96" i="59"/>
  <c r="D96" i="59"/>
  <c r="D37" i="59"/>
  <c r="D42" i="59" s="1"/>
  <c r="J70" i="59"/>
  <c r="I70" i="59"/>
  <c r="H70" i="59"/>
  <c r="G70" i="59"/>
  <c r="F70" i="59"/>
  <c r="E70" i="59"/>
  <c r="D70" i="59"/>
  <c r="J42" i="59"/>
  <c r="I42" i="59"/>
  <c r="H42" i="59"/>
  <c r="G42" i="59"/>
  <c r="F42" i="59"/>
  <c r="E42" i="59"/>
  <c r="J25" i="59"/>
  <c r="J47" i="59" s="1"/>
  <c r="I25" i="59"/>
  <c r="I31" i="59" s="1"/>
  <c r="H25" i="59"/>
  <c r="H31" i="59" s="1"/>
  <c r="G25" i="59"/>
  <c r="F25" i="59"/>
  <c r="E25" i="59"/>
  <c r="D25" i="59"/>
  <c r="J24" i="59"/>
  <c r="J46" i="59" s="1"/>
  <c r="I24" i="59"/>
  <c r="I46" i="59" s="1"/>
  <c r="H24" i="59"/>
  <c r="H46" i="59" s="1"/>
  <c r="G24" i="59"/>
  <c r="G30" i="59" s="1"/>
  <c r="F24" i="59"/>
  <c r="F46" i="59" s="1"/>
  <c r="E24" i="59"/>
  <c r="E46" i="59" s="1"/>
  <c r="D24" i="59"/>
  <c r="D46" i="59" s="1"/>
  <c r="J23" i="59"/>
  <c r="J29" i="59" s="1"/>
  <c r="I23" i="59"/>
  <c r="I45" i="59" s="1"/>
  <c r="H23" i="59"/>
  <c r="H45" i="59" s="1"/>
  <c r="G23" i="59"/>
  <c r="G29" i="59" s="1"/>
  <c r="F23" i="59"/>
  <c r="F29" i="59" s="1"/>
  <c r="E23" i="59"/>
  <c r="E29" i="59" s="1"/>
  <c r="D23" i="59"/>
  <c r="D29" i="59" s="1"/>
  <c r="J22" i="59"/>
  <c r="J44" i="59" s="1"/>
  <c r="I22" i="59"/>
  <c r="I44" i="59" s="1"/>
  <c r="H22" i="59"/>
  <c r="H44" i="59" s="1"/>
  <c r="G22" i="59"/>
  <c r="G44" i="59" s="1"/>
  <c r="F22" i="59"/>
  <c r="E22" i="59"/>
  <c r="D22" i="59"/>
  <c r="D28" i="59" s="1"/>
  <c r="J20" i="59"/>
  <c r="I20" i="59"/>
  <c r="H20" i="59"/>
  <c r="G20" i="59"/>
  <c r="F20" i="59"/>
  <c r="E20" i="59"/>
  <c r="D20" i="59"/>
  <c r="J11" i="59"/>
  <c r="I11" i="59"/>
  <c r="H11" i="59"/>
  <c r="G11" i="59"/>
  <c r="F11" i="59"/>
  <c r="E11" i="59"/>
  <c r="D11" i="59"/>
  <c r="K97" i="57"/>
  <c r="J97" i="57"/>
  <c r="I97" i="57"/>
  <c r="H97" i="57"/>
  <c r="G97" i="57"/>
  <c r="F97" i="57"/>
  <c r="E97" i="57"/>
  <c r="D97" i="57"/>
  <c r="K71" i="57"/>
  <c r="J71" i="57"/>
  <c r="I71" i="57"/>
  <c r="H71" i="57"/>
  <c r="G71" i="57"/>
  <c r="F71" i="57"/>
  <c r="E71" i="57"/>
  <c r="D71" i="57"/>
  <c r="K43" i="57"/>
  <c r="J43" i="57"/>
  <c r="I43" i="57"/>
  <c r="H43" i="57"/>
  <c r="G43" i="57"/>
  <c r="F43" i="57"/>
  <c r="E43" i="57"/>
  <c r="D43" i="57"/>
  <c r="E21" i="57"/>
  <c r="F21" i="57"/>
  <c r="G21" i="57"/>
  <c r="H21" i="57"/>
  <c r="I21" i="57"/>
  <c r="J21" i="57"/>
  <c r="K21" i="57"/>
  <c r="E23" i="57"/>
  <c r="F23" i="57"/>
  <c r="G23" i="57"/>
  <c r="H23" i="57"/>
  <c r="I23" i="57"/>
  <c r="J23" i="57"/>
  <c r="K23" i="57"/>
  <c r="E24" i="57"/>
  <c r="F24" i="57"/>
  <c r="G24" i="57"/>
  <c r="H24" i="57"/>
  <c r="I24" i="57"/>
  <c r="J24" i="57"/>
  <c r="K24" i="57"/>
  <c r="E25" i="57"/>
  <c r="F25" i="57"/>
  <c r="G25" i="57"/>
  <c r="H25" i="57"/>
  <c r="I25" i="57"/>
  <c r="J25" i="57"/>
  <c r="K25" i="57"/>
  <c r="E26" i="57"/>
  <c r="F26" i="57"/>
  <c r="G26" i="57"/>
  <c r="H26" i="57"/>
  <c r="I26" i="57"/>
  <c r="J26" i="57"/>
  <c r="K26" i="57"/>
  <c r="D26" i="57"/>
  <c r="D25" i="57"/>
  <c r="D24" i="57"/>
  <c r="D23" i="57"/>
  <c r="D21" i="57"/>
  <c r="D12" i="57"/>
  <c r="K12" i="57"/>
  <c r="J12" i="57"/>
  <c r="I12" i="57"/>
  <c r="H12" i="57"/>
  <c r="G12" i="57"/>
  <c r="F12" i="57"/>
  <c r="E12" i="57"/>
  <c r="I97" i="60"/>
  <c r="H97" i="60"/>
  <c r="G97" i="60"/>
  <c r="F97" i="60"/>
  <c r="E97" i="60"/>
  <c r="D97" i="60"/>
  <c r="I82" i="60"/>
  <c r="H82" i="60"/>
  <c r="G82" i="60"/>
  <c r="F82" i="60"/>
  <c r="E82" i="60"/>
  <c r="D82" i="60"/>
  <c r="I81" i="60"/>
  <c r="H81" i="60"/>
  <c r="G81" i="60"/>
  <c r="F81" i="60"/>
  <c r="E81" i="60"/>
  <c r="D81" i="60"/>
  <c r="I80" i="60"/>
  <c r="H80" i="60"/>
  <c r="G80" i="60"/>
  <c r="F80" i="60"/>
  <c r="E80" i="60"/>
  <c r="D80" i="60"/>
  <c r="I79" i="60"/>
  <c r="H79" i="60"/>
  <c r="G79" i="60"/>
  <c r="F79" i="60"/>
  <c r="E79" i="60"/>
  <c r="D79" i="60"/>
  <c r="I71" i="60"/>
  <c r="H71" i="60"/>
  <c r="G71" i="60"/>
  <c r="F71" i="60"/>
  <c r="E71" i="60"/>
  <c r="D71" i="60"/>
  <c r="I43" i="60"/>
  <c r="H43" i="60"/>
  <c r="G43" i="60"/>
  <c r="F43" i="60"/>
  <c r="E43" i="60"/>
  <c r="D43" i="60"/>
  <c r="I26" i="60"/>
  <c r="I48" i="60" s="1"/>
  <c r="I54" i="60" s="1"/>
  <c r="H26" i="60"/>
  <c r="H48" i="60" s="1"/>
  <c r="H54" i="60" s="1"/>
  <c r="G26" i="60"/>
  <c r="G32" i="60" s="1"/>
  <c r="F26" i="60"/>
  <c r="F32" i="60" s="1"/>
  <c r="E26" i="60"/>
  <c r="E48" i="60" s="1"/>
  <c r="E54" i="60" s="1"/>
  <c r="D26" i="60"/>
  <c r="D48" i="60" s="1"/>
  <c r="D54" i="60" s="1"/>
  <c r="I25" i="60"/>
  <c r="I47" i="60" s="1"/>
  <c r="I53" i="60" s="1"/>
  <c r="H25" i="60"/>
  <c r="H47" i="60" s="1"/>
  <c r="H53" i="60" s="1"/>
  <c r="G25" i="60"/>
  <c r="G47" i="60" s="1"/>
  <c r="G53" i="60" s="1"/>
  <c r="F25" i="60"/>
  <c r="F47" i="60" s="1"/>
  <c r="F53" i="60" s="1"/>
  <c r="E25" i="60"/>
  <c r="E47" i="60" s="1"/>
  <c r="E53" i="60" s="1"/>
  <c r="D25" i="60"/>
  <c r="D47" i="60" s="1"/>
  <c r="D53" i="60" s="1"/>
  <c r="I24" i="60"/>
  <c r="H24" i="60"/>
  <c r="H46" i="60" s="1"/>
  <c r="H52" i="60" s="1"/>
  <c r="G24" i="60"/>
  <c r="G46" i="60" s="1"/>
  <c r="G52" i="60" s="1"/>
  <c r="F24" i="60"/>
  <c r="F30" i="60" s="1"/>
  <c r="E24" i="60"/>
  <c r="E30" i="60" s="1"/>
  <c r="D24" i="60"/>
  <c r="D46" i="60" s="1"/>
  <c r="D52" i="60" s="1"/>
  <c r="I23" i="60"/>
  <c r="I45" i="60" s="1"/>
  <c r="I51" i="60" s="1"/>
  <c r="H23" i="60"/>
  <c r="H45" i="60" s="1"/>
  <c r="H51" i="60" s="1"/>
  <c r="G23" i="60"/>
  <c r="G45" i="60" s="1"/>
  <c r="G51" i="60" s="1"/>
  <c r="F23" i="60"/>
  <c r="F45" i="60" s="1"/>
  <c r="F51" i="60" s="1"/>
  <c r="E23" i="60"/>
  <c r="E45" i="60" s="1"/>
  <c r="E51" i="60" s="1"/>
  <c r="D23" i="60"/>
  <c r="D45" i="60" s="1"/>
  <c r="D51" i="60" s="1"/>
  <c r="I21" i="60"/>
  <c r="H21" i="60"/>
  <c r="G21" i="60"/>
  <c r="F21" i="60"/>
  <c r="E21" i="60"/>
  <c r="D21" i="60"/>
  <c r="I12" i="60"/>
  <c r="H12" i="60"/>
  <c r="G12" i="60"/>
  <c r="M13" i="68" s="1"/>
  <c r="F12" i="60"/>
  <c r="L13" i="68" s="1"/>
  <c r="E12" i="60"/>
  <c r="K13" i="68" s="1"/>
  <c r="D12" i="60"/>
  <c r="J13" i="68" s="1"/>
  <c r="AA38" i="73"/>
  <c r="AA66" i="73"/>
  <c r="AA11" i="73"/>
  <c r="AA92" i="73"/>
  <c r="AA3" i="73"/>
  <c r="AA51" i="73"/>
  <c r="AA70" i="73"/>
  <c r="AA68" i="73"/>
  <c r="AA97" i="73"/>
  <c r="AA56" i="73"/>
  <c r="AA31" i="73"/>
  <c r="AA35" i="73"/>
  <c r="AA37" i="73"/>
  <c r="AA93" i="73"/>
  <c r="AA72" i="73"/>
  <c r="AA86" i="73"/>
  <c r="AA52" i="73"/>
  <c r="AA13" i="73"/>
  <c r="AA96" i="73"/>
  <c r="AA94" i="73"/>
  <c r="AA84" i="73"/>
  <c r="AA30" i="73"/>
  <c r="AA89" i="73"/>
  <c r="AA54" i="73"/>
  <c r="AA83" i="73"/>
  <c r="AA53" i="73"/>
  <c r="AA21" i="73"/>
  <c r="AA17" i="73"/>
  <c r="AA15" i="73"/>
  <c r="AA33" i="73"/>
  <c r="AA91" i="73"/>
  <c r="AA82" i="73"/>
  <c r="AA57" i="73"/>
  <c r="AA67" i="73"/>
  <c r="AA69" i="73"/>
  <c r="AA36" i="73"/>
  <c r="AA34" i="73"/>
  <c r="AA85" i="73"/>
  <c r="AA50" i="73"/>
  <c r="AA73" i="73"/>
  <c r="AA5" i="73"/>
  <c r="AA41" i="73"/>
  <c r="AA19" i="73"/>
  <c r="E48" i="57" l="1"/>
  <c r="E54" i="57" s="1"/>
  <c r="E32" i="57"/>
  <c r="E45" i="57"/>
  <c r="E51" i="57" s="1"/>
  <c r="E29" i="57"/>
  <c r="D45" i="57"/>
  <c r="D29" i="57"/>
  <c r="I46" i="57"/>
  <c r="I52" i="57" s="1"/>
  <c r="I30" i="57"/>
  <c r="F45" i="57"/>
  <c r="F51" i="57" s="1"/>
  <c r="F29" i="57"/>
  <c r="D46" i="57"/>
  <c r="D30" i="57"/>
  <c r="K47" i="57"/>
  <c r="K31" i="57"/>
  <c r="H46" i="57"/>
  <c r="H74" i="57" s="1"/>
  <c r="H80" i="57" s="1"/>
  <c r="H30" i="57"/>
  <c r="D47" i="57"/>
  <c r="D75" i="57" s="1"/>
  <c r="D81" i="57" s="1"/>
  <c r="D31" i="57"/>
  <c r="J47" i="57"/>
  <c r="J53" i="57" s="1"/>
  <c r="J31" i="57"/>
  <c r="G46" i="57"/>
  <c r="G30" i="57"/>
  <c r="D48" i="57"/>
  <c r="D76" i="57" s="1"/>
  <c r="D82" i="57" s="1"/>
  <c r="D32" i="57"/>
  <c r="I47" i="57"/>
  <c r="I31" i="57"/>
  <c r="F46" i="57"/>
  <c r="F52" i="57" s="1"/>
  <c r="F30" i="57"/>
  <c r="K48" i="57"/>
  <c r="K76" i="57" s="1"/>
  <c r="K82" i="57" s="1"/>
  <c r="K32" i="57"/>
  <c r="H47" i="57"/>
  <c r="H53" i="57" s="1"/>
  <c r="H31" i="57"/>
  <c r="E46" i="57"/>
  <c r="E30" i="57"/>
  <c r="J48" i="57"/>
  <c r="J54" i="57" s="1"/>
  <c r="J32" i="57"/>
  <c r="G47" i="57"/>
  <c r="G53" i="57" s="1"/>
  <c r="G31" i="57"/>
  <c r="K45" i="57"/>
  <c r="K51" i="57" s="1"/>
  <c r="K29" i="57"/>
  <c r="I48" i="57"/>
  <c r="I32" i="57"/>
  <c r="F47" i="57"/>
  <c r="F53" i="57" s="1"/>
  <c r="F31" i="57"/>
  <c r="J45" i="57"/>
  <c r="J29" i="57"/>
  <c r="H48" i="57"/>
  <c r="H54" i="57" s="1"/>
  <c r="H32" i="57"/>
  <c r="E47" i="57"/>
  <c r="E53" i="57" s="1"/>
  <c r="E31" i="57"/>
  <c r="I45" i="57"/>
  <c r="I51" i="57" s="1"/>
  <c r="I29" i="57"/>
  <c r="G48" i="57"/>
  <c r="G54" i="57" s="1"/>
  <c r="G32" i="57"/>
  <c r="K46" i="57"/>
  <c r="K52" i="57" s="1"/>
  <c r="K30" i="57"/>
  <c r="H45" i="57"/>
  <c r="H51" i="57" s="1"/>
  <c r="H29" i="57"/>
  <c r="F48" i="57"/>
  <c r="F54" i="57" s="1"/>
  <c r="F32" i="57"/>
  <c r="J46" i="57"/>
  <c r="J52" i="57" s="1"/>
  <c r="J30" i="57"/>
  <c r="G45" i="57"/>
  <c r="G51" i="57" s="1"/>
  <c r="G29" i="57"/>
  <c r="AG36" i="19"/>
  <c r="AL58" i="62" s="1"/>
  <c r="W58" i="62"/>
  <c r="AF36" i="19"/>
  <c r="AK58" i="62" s="1"/>
  <c r="V58" i="62"/>
  <c r="AN36" i="19"/>
  <c r="AS58" i="62" s="1"/>
  <c r="AD58" i="62"/>
  <c r="AC36" i="19"/>
  <c r="AH58" i="62" s="1"/>
  <c r="S58" i="62"/>
  <c r="AB1" i="73"/>
  <c r="AJ36" i="19"/>
  <c r="AO58" i="62" s="1"/>
  <c r="Z58" i="62"/>
  <c r="AI36" i="19"/>
  <c r="AN58" i="62" s="1"/>
  <c r="Y58" i="62"/>
  <c r="AK36" i="19"/>
  <c r="AP58" i="62" s="1"/>
  <c r="AA58" i="62"/>
  <c r="AM36" i="19"/>
  <c r="AR58" i="62" s="1"/>
  <c r="AC58" i="62"/>
  <c r="AH36" i="19"/>
  <c r="AM58" i="62" s="1"/>
  <c r="X58" i="62"/>
  <c r="AD36" i="19"/>
  <c r="AI58" i="62" s="1"/>
  <c r="T58" i="62"/>
  <c r="AE36" i="19"/>
  <c r="AJ58" i="62" s="1"/>
  <c r="U58" i="62"/>
  <c r="S370" i="69"/>
  <c r="S371" i="69" s="1"/>
  <c r="K32" i="61"/>
  <c r="S7" i="16"/>
  <c r="S12" i="16" s="1"/>
  <c r="S16" i="16" s="1"/>
  <c r="T370" i="69"/>
  <c r="T371" i="69" s="1"/>
  <c r="D30" i="62"/>
  <c r="D45" i="62"/>
  <c r="D51" i="62" s="1"/>
  <c r="F30" i="62"/>
  <c r="H53" i="62"/>
  <c r="K76" i="63"/>
  <c r="K82" i="63" s="1"/>
  <c r="G21" i="62"/>
  <c r="H46" i="63"/>
  <c r="H52" i="63" s="1"/>
  <c r="J48" i="60"/>
  <c r="J54" i="60" s="1"/>
  <c r="H26" i="62"/>
  <c r="H32" i="62" s="1"/>
  <c r="E45" i="63"/>
  <c r="E51" i="63" s="1"/>
  <c r="D21" i="59"/>
  <c r="I28" i="62"/>
  <c r="J45" i="60"/>
  <c r="J51" i="60" s="1"/>
  <c r="F21" i="59"/>
  <c r="G74" i="63"/>
  <c r="G80" i="63" s="1"/>
  <c r="I22" i="57"/>
  <c r="H22" i="57"/>
  <c r="F48" i="63"/>
  <c r="F76" i="63" s="1"/>
  <c r="F82" i="63" s="1"/>
  <c r="F22" i="57"/>
  <c r="K32" i="63"/>
  <c r="G48" i="63"/>
  <c r="G54" i="63" s="1"/>
  <c r="H32" i="60"/>
  <c r="E27" i="57"/>
  <c r="E49" i="57" s="1"/>
  <c r="E55" i="57" s="1"/>
  <c r="J53" i="62"/>
  <c r="H27" i="61"/>
  <c r="H33" i="61" s="1"/>
  <c r="H22" i="60"/>
  <c r="I29" i="59"/>
  <c r="G22" i="57"/>
  <c r="D30" i="59"/>
  <c r="I27" i="57"/>
  <c r="I33" i="57" s="1"/>
  <c r="K22" i="63"/>
  <c r="J75" i="63"/>
  <c r="J81" i="63" s="1"/>
  <c r="F21" i="62"/>
  <c r="H45" i="62"/>
  <c r="H51" i="62" s="1"/>
  <c r="G29" i="61"/>
  <c r="G46" i="61"/>
  <c r="G52" i="61" s="1"/>
  <c r="I32" i="63"/>
  <c r="E47" i="62"/>
  <c r="E53" i="62" s="1"/>
  <c r="I46" i="61"/>
  <c r="I47" i="59"/>
  <c r="I75" i="59" s="1"/>
  <c r="I81" i="59" s="1"/>
  <c r="F22" i="63"/>
  <c r="I21" i="62"/>
  <c r="I53" i="62"/>
  <c r="D52" i="57"/>
  <c r="D74" i="57"/>
  <c r="D80" i="57" s="1"/>
  <c r="G51" i="61"/>
  <c r="G73" i="61"/>
  <c r="G79" i="61" s="1"/>
  <c r="I54" i="57"/>
  <c r="I76" i="57"/>
  <c r="I82" i="57" s="1"/>
  <c r="G30" i="60"/>
  <c r="E46" i="60"/>
  <c r="E52" i="60" s="1"/>
  <c r="E21" i="59"/>
  <c r="H45" i="63"/>
  <c r="H51" i="63" s="1"/>
  <c r="G22" i="63"/>
  <c r="H32" i="63"/>
  <c r="F74" i="63"/>
  <c r="F80" i="63" s="1"/>
  <c r="D47" i="62"/>
  <c r="D53" i="62" s="1"/>
  <c r="D22" i="61"/>
  <c r="H30" i="60"/>
  <c r="F46" i="60"/>
  <c r="F52" i="60" s="1"/>
  <c r="D21" i="62"/>
  <c r="E27" i="61"/>
  <c r="E33" i="61" s="1"/>
  <c r="F45" i="61"/>
  <c r="E32" i="60"/>
  <c r="G76" i="57"/>
  <c r="G82" i="57" s="1"/>
  <c r="F47" i="63"/>
  <c r="F53" i="63" s="1"/>
  <c r="J32" i="63"/>
  <c r="E21" i="62"/>
  <c r="H28" i="62"/>
  <c r="F22" i="61"/>
  <c r="D75" i="61"/>
  <c r="D81" i="61" s="1"/>
  <c r="E22" i="57"/>
  <c r="H47" i="59"/>
  <c r="H75" i="59" s="1"/>
  <c r="H81" i="59" s="1"/>
  <c r="I45" i="61"/>
  <c r="J27" i="60"/>
  <c r="J33" i="60" s="1"/>
  <c r="T7" i="16"/>
  <c r="F27" i="57"/>
  <c r="F33" i="57" s="1"/>
  <c r="E73" i="57"/>
  <c r="E79" i="57" s="1"/>
  <c r="I45" i="62"/>
  <c r="I72" i="62" s="1"/>
  <c r="I78" i="62" s="1"/>
  <c r="D27" i="60"/>
  <c r="D49" i="60" s="1"/>
  <c r="D30" i="60"/>
  <c r="I73" i="57"/>
  <c r="I79" i="57" s="1"/>
  <c r="D27" i="63"/>
  <c r="D33" i="63" s="1"/>
  <c r="D31" i="63"/>
  <c r="K45" i="62"/>
  <c r="K51" i="62" s="1"/>
  <c r="I22" i="61"/>
  <c r="K22" i="61"/>
  <c r="E47" i="61"/>
  <c r="E53" i="61" s="1"/>
  <c r="E27" i="60"/>
  <c r="E49" i="60" s="1"/>
  <c r="J21" i="59"/>
  <c r="J46" i="62"/>
  <c r="J52" i="62" s="1"/>
  <c r="J22" i="61"/>
  <c r="H22" i="61"/>
  <c r="G48" i="61"/>
  <c r="G54" i="61" s="1"/>
  <c r="H45" i="61"/>
  <c r="H73" i="61" s="1"/>
  <c r="H79" i="61" s="1"/>
  <c r="G48" i="60"/>
  <c r="G54" i="60" s="1"/>
  <c r="F27" i="60"/>
  <c r="F49" i="60" s="1"/>
  <c r="G31" i="63"/>
  <c r="K46" i="62"/>
  <c r="K52" i="62" s="1"/>
  <c r="G51" i="63"/>
  <c r="G73" i="63"/>
  <c r="G79" i="63" s="1"/>
  <c r="D51" i="57"/>
  <c r="D73" i="57"/>
  <c r="D79" i="57" s="1"/>
  <c r="E48" i="63"/>
  <c r="I30" i="60"/>
  <c r="I46" i="60"/>
  <c r="I52" i="60" s="1"/>
  <c r="I53" i="57"/>
  <c r="I75" i="57"/>
  <c r="I81" i="57" s="1"/>
  <c r="F74" i="57"/>
  <c r="F80" i="57" s="1"/>
  <c r="G28" i="59"/>
  <c r="I30" i="63"/>
  <c r="I46" i="63"/>
  <c r="G29" i="63"/>
  <c r="E29" i="62"/>
  <c r="E45" i="62"/>
  <c r="G30" i="62"/>
  <c r="G46" i="62"/>
  <c r="K54" i="61"/>
  <c r="H27" i="63"/>
  <c r="H33" i="63" s="1"/>
  <c r="H22" i="63"/>
  <c r="D53" i="63"/>
  <c r="D75" i="63"/>
  <c r="D81" i="63" s="1"/>
  <c r="G31" i="59"/>
  <c r="G47" i="59"/>
  <c r="I32" i="60"/>
  <c r="H29" i="59"/>
  <c r="I45" i="63"/>
  <c r="D32" i="63"/>
  <c r="D48" i="63"/>
  <c r="K75" i="63"/>
  <c r="K81" i="63" s="1"/>
  <c r="F29" i="62"/>
  <c r="F45" i="62"/>
  <c r="H30" i="62"/>
  <c r="H46" i="62"/>
  <c r="G45" i="62"/>
  <c r="K74" i="62"/>
  <c r="K80" i="62" s="1"/>
  <c r="G53" i="61"/>
  <c r="G75" i="61"/>
  <c r="G81" i="61" s="1"/>
  <c r="F31" i="59"/>
  <c r="F47" i="59"/>
  <c r="I27" i="63"/>
  <c r="I33" i="63" s="1"/>
  <c r="I22" i="63"/>
  <c r="H71" i="62"/>
  <c r="H77" i="62" s="1"/>
  <c r="H50" i="62"/>
  <c r="F47" i="61"/>
  <c r="I50" i="62"/>
  <c r="I71" i="62"/>
  <c r="I77" i="62" s="1"/>
  <c r="D54" i="57"/>
  <c r="H54" i="63"/>
  <c r="H76" i="63"/>
  <c r="H82" i="63" s="1"/>
  <c r="J54" i="63"/>
  <c r="J76" i="63"/>
  <c r="J82" i="63" s="1"/>
  <c r="D52" i="62"/>
  <c r="D73" i="62"/>
  <c r="D79" i="62" s="1"/>
  <c r="I31" i="62"/>
  <c r="H48" i="61"/>
  <c r="E44" i="59"/>
  <c r="E50" i="59" s="1"/>
  <c r="E28" i="59"/>
  <c r="D31" i="59"/>
  <c r="D47" i="59"/>
  <c r="K30" i="63"/>
  <c r="K46" i="63"/>
  <c r="I30" i="62"/>
  <c r="I46" i="62"/>
  <c r="E52" i="57"/>
  <c r="E74" i="57"/>
  <c r="E80" i="57" s="1"/>
  <c r="H27" i="57"/>
  <c r="H33" i="57" s="1"/>
  <c r="K53" i="57"/>
  <c r="K75" i="57"/>
  <c r="K81" i="57" s="1"/>
  <c r="H75" i="57"/>
  <c r="H81" i="57" s="1"/>
  <c r="J31" i="62"/>
  <c r="D44" i="62"/>
  <c r="D30" i="61"/>
  <c r="D46" i="61"/>
  <c r="D27" i="57"/>
  <c r="F44" i="59"/>
  <c r="F72" i="59" s="1"/>
  <c r="F78" i="59" s="1"/>
  <c r="F28" i="59"/>
  <c r="E31" i="59"/>
  <c r="E47" i="59"/>
  <c r="G52" i="57"/>
  <c r="G74" i="57"/>
  <c r="G80" i="57" s="1"/>
  <c r="E76" i="57"/>
  <c r="E82" i="57" s="1"/>
  <c r="F29" i="63"/>
  <c r="F45" i="63"/>
  <c r="G27" i="63"/>
  <c r="G49" i="63" s="1"/>
  <c r="F52" i="62"/>
  <c r="F73" i="62"/>
  <c r="F79" i="62" s="1"/>
  <c r="K31" i="62"/>
  <c r="E44" i="62"/>
  <c r="D32" i="60"/>
  <c r="F48" i="60"/>
  <c r="F54" i="60" s="1"/>
  <c r="I26" i="59"/>
  <c r="I32" i="59" s="1"/>
  <c r="D45" i="63"/>
  <c r="E47" i="63"/>
  <c r="G75" i="63"/>
  <c r="G81" i="63" s="1"/>
  <c r="E45" i="61"/>
  <c r="D48" i="61"/>
  <c r="K21" i="62"/>
  <c r="I27" i="61"/>
  <c r="I33" i="61" s="1"/>
  <c r="K30" i="61"/>
  <c r="E48" i="61"/>
  <c r="Y7" i="16"/>
  <c r="Y12" i="16" s="1"/>
  <c r="Y16" i="16" s="1"/>
  <c r="H75" i="63"/>
  <c r="H81" i="63" s="1"/>
  <c r="G27" i="57"/>
  <c r="D44" i="59"/>
  <c r="D72" i="59" s="1"/>
  <c r="D78" i="59" s="1"/>
  <c r="E22" i="63"/>
  <c r="E74" i="63"/>
  <c r="E80" i="63" s="1"/>
  <c r="I75" i="63"/>
  <c r="I81" i="63" s="1"/>
  <c r="H21" i="62"/>
  <c r="H31" i="62"/>
  <c r="J27" i="61"/>
  <c r="J33" i="61" s="1"/>
  <c r="D31" i="61"/>
  <c r="F48" i="61"/>
  <c r="V370" i="69"/>
  <c r="V371" i="69" s="1"/>
  <c r="G31" i="61"/>
  <c r="I48" i="61"/>
  <c r="F44" i="62"/>
  <c r="E46" i="61"/>
  <c r="H47" i="61"/>
  <c r="J48" i="61"/>
  <c r="G22" i="60"/>
  <c r="E30" i="59"/>
  <c r="J27" i="63"/>
  <c r="J33" i="63" s="1"/>
  <c r="G44" i="62"/>
  <c r="F47" i="62"/>
  <c r="F46" i="61"/>
  <c r="I47" i="61"/>
  <c r="N13" i="68"/>
  <c r="K27" i="57"/>
  <c r="K33" i="57" s="1"/>
  <c r="G21" i="59"/>
  <c r="E46" i="62"/>
  <c r="G47" i="62"/>
  <c r="J47" i="61"/>
  <c r="I22" i="60"/>
  <c r="J22" i="57"/>
  <c r="H21" i="59"/>
  <c r="I76" i="63"/>
  <c r="I82" i="63" s="1"/>
  <c r="I26" i="62"/>
  <c r="I32" i="62" s="1"/>
  <c r="G22" i="61"/>
  <c r="D45" i="61"/>
  <c r="H46" i="61"/>
  <c r="K47" i="61"/>
  <c r="U370" i="69"/>
  <c r="U371" i="69" s="1"/>
  <c r="W63" i="69"/>
  <c r="W370" i="69"/>
  <c r="W371" i="69" s="1"/>
  <c r="X366" i="69"/>
  <c r="W218" i="69"/>
  <c r="Y215" i="69"/>
  <c r="Y214" i="69"/>
  <c r="Y213" i="69"/>
  <c r="Y207" i="69"/>
  <c r="Y60" i="69"/>
  <c r="Y59" i="69"/>
  <c r="Y58" i="69"/>
  <c r="Y52" i="69"/>
  <c r="AA202" i="69"/>
  <c r="Y438" i="69"/>
  <c r="Y356" i="69"/>
  <c r="X51" i="69"/>
  <c r="X10" i="69"/>
  <c r="X132" i="69"/>
  <c r="AA47" i="69"/>
  <c r="Y369" i="69"/>
  <c r="Y397" i="69"/>
  <c r="X174" i="69"/>
  <c r="P23" i="69"/>
  <c r="P21" i="69"/>
  <c r="AA354" i="69"/>
  <c r="AA355" i="69" s="1"/>
  <c r="Y478" i="69"/>
  <c r="Y368" i="69" s="1"/>
  <c r="AG286" i="69"/>
  <c r="AM286" i="69"/>
  <c r="Z286" i="69"/>
  <c r="AL286" i="69"/>
  <c r="Y286" i="69"/>
  <c r="AJ286" i="69"/>
  <c r="AE286" i="69"/>
  <c r="AC286" i="69"/>
  <c r="AK286" i="69"/>
  <c r="AI286" i="69"/>
  <c r="AH286" i="69"/>
  <c r="AA286" i="69"/>
  <c r="AN286" i="69"/>
  <c r="AF286" i="69"/>
  <c r="AD286" i="69"/>
  <c r="AB286" i="69"/>
  <c r="X286" i="69"/>
  <c r="Z204" i="69"/>
  <c r="Z205" i="69" s="1"/>
  <c r="AL326" i="69"/>
  <c r="AF326" i="69"/>
  <c r="Z326" i="69"/>
  <c r="AI326" i="69"/>
  <c r="AC326" i="69"/>
  <c r="X206" i="69"/>
  <c r="X287" i="69"/>
  <c r="AJ477" i="69"/>
  <c r="AM477" i="69"/>
  <c r="AG477" i="69"/>
  <c r="AD477" i="69"/>
  <c r="AA477" i="69"/>
  <c r="AI173" i="69"/>
  <c r="AF173" i="69"/>
  <c r="AC173" i="69"/>
  <c r="AL173" i="69"/>
  <c r="Z173" i="69"/>
  <c r="AB350" i="69"/>
  <c r="AB352" i="69" s="1"/>
  <c r="AB200" i="69"/>
  <c r="AB45" i="69"/>
  <c r="AC36" i="69"/>
  <c r="X91" i="69"/>
  <c r="X9" i="69"/>
  <c r="X64" i="69"/>
  <c r="AH437" i="69"/>
  <c r="AM437" i="69"/>
  <c r="Z437" i="69"/>
  <c r="AG437" i="69"/>
  <c r="AF437" i="69"/>
  <c r="AD437" i="69"/>
  <c r="AK437" i="69"/>
  <c r="AE437" i="69"/>
  <c r="AA437" i="69"/>
  <c r="AC437" i="69"/>
  <c r="AB437" i="69"/>
  <c r="AN437" i="69"/>
  <c r="AJ437" i="69"/>
  <c r="AL437" i="69"/>
  <c r="Y437" i="69"/>
  <c r="AI437" i="69"/>
  <c r="Z365" i="69"/>
  <c r="Z363" i="69"/>
  <c r="Z364" i="69"/>
  <c r="AH396" i="69"/>
  <c r="AJ396" i="69"/>
  <c r="AG396" i="69"/>
  <c r="AE396" i="69"/>
  <c r="AB396" i="69"/>
  <c r="AN396" i="69"/>
  <c r="AK396" i="69"/>
  <c r="AD396" i="69"/>
  <c r="Z396" i="69"/>
  <c r="Y396" i="69"/>
  <c r="AM396" i="69"/>
  <c r="AI396" i="69"/>
  <c r="AL396" i="69"/>
  <c r="AC396" i="69"/>
  <c r="AA396" i="69"/>
  <c r="AF396" i="69"/>
  <c r="X367" i="69"/>
  <c r="Z49" i="69"/>
  <c r="Z50" i="69" s="1"/>
  <c r="AN245" i="69"/>
  <c r="AB245" i="69"/>
  <c r="AF245" i="69"/>
  <c r="AA245" i="69"/>
  <c r="AM245" i="69"/>
  <c r="Y245" i="69"/>
  <c r="AI245" i="69"/>
  <c r="AK245" i="69"/>
  <c r="AJ245" i="69"/>
  <c r="AH245" i="69"/>
  <c r="AE245" i="69"/>
  <c r="AD245" i="69"/>
  <c r="AL245" i="69"/>
  <c r="AG245" i="69"/>
  <c r="AC245" i="69"/>
  <c r="Z245" i="69"/>
  <c r="X245" i="69"/>
  <c r="AM131" i="69"/>
  <c r="AA131" i="69"/>
  <c r="AK131" i="69"/>
  <c r="X131" i="69"/>
  <c r="AI131" i="69"/>
  <c r="AD131" i="69"/>
  <c r="AC131" i="69"/>
  <c r="AB131" i="69"/>
  <c r="Z131" i="69"/>
  <c r="AN131" i="69"/>
  <c r="AL131" i="69"/>
  <c r="AJ131" i="69"/>
  <c r="AH131" i="69"/>
  <c r="AG131" i="69"/>
  <c r="AF131" i="69"/>
  <c r="AE131" i="69"/>
  <c r="Y131" i="69"/>
  <c r="AK90" i="69"/>
  <c r="Y90" i="69"/>
  <c r="AN90" i="69"/>
  <c r="AA90" i="69"/>
  <c r="AM90" i="69"/>
  <c r="Z90" i="69"/>
  <c r="AJ90" i="69"/>
  <c r="AL90" i="69"/>
  <c r="X90" i="69"/>
  <c r="AI90" i="69"/>
  <c r="AH90" i="69"/>
  <c r="AG90" i="69"/>
  <c r="AF90" i="69"/>
  <c r="AE90" i="69"/>
  <c r="AD90" i="69"/>
  <c r="AC90" i="69"/>
  <c r="AB90" i="69"/>
  <c r="X327" i="69"/>
  <c r="X218" i="69" s="1"/>
  <c r="X246" i="69"/>
  <c r="X219" i="69"/>
  <c r="K27" i="63"/>
  <c r="K33" i="63" s="1"/>
  <c r="K73" i="63"/>
  <c r="K79" i="63" s="1"/>
  <c r="K29" i="63"/>
  <c r="K26" i="62"/>
  <c r="K32" i="62" s="1"/>
  <c r="K44" i="62"/>
  <c r="K74" i="61"/>
  <c r="K80" i="61" s="1"/>
  <c r="K45" i="61"/>
  <c r="K51" i="61" s="1"/>
  <c r="K27" i="61"/>
  <c r="K33" i="61" s="1"/>
  <c r="K74" i="57"/>
  <c r="K80" i="57" s="1"/>
  <c r="J27" i="57"/>
  <c r="J33" i="57" s="1"/>
  <c r="J51" i="57"/>
  <c r="J73" i="57"/>
  <c r="J79" i="57" s="1"/>
  <c r="J74" i="57"/>
  <c r="J80" i="57" s="1"/>
  <c r="J46" i="61"/>
  <c r="J52" i="61" s="1"/>
  <c r="J73" i="61"/>
  <c r="J79" i="61" s="1"/>
  <c r="J51" i="61"/>
  <c r="J29" i="61"/>
  <c r="J21" i="62"/>
  <c r="J71" i="62"/>
  <c r="J77" i="62" s="1"/>
  <c r="J50" i="62"/>
  <c r="J26" i="62"/>
  <c r="J32" i="62" s="1"/>
  <c r="J45" i="62"/>
  <c r="J28" i="62"/>
  <c r="J46" i="63"/>
  <c r="J52" i="63" s="1"/>
  <c r="J22" i="63"/>
  <c r="J45" i="63"/>
  <c r="J47" i="60"/>
  <c r="J53" i="60" s="1"/>
  <c r="J46" i="60"/>
  <c r="J52" i="60" s="1"/>
  <c r="J22" i="60"/>
  <c r="AK16" i="16"/>
  <c r="J30" i="59"/>
  <c r="J28" i="59"/>
  <c r="J52" i="59"/>
  <c r="J74" i="59"/>
  <c r="J80" i="59" s="1"/>
  <c r="J50" i="59"/>
  <c r="J72" i="59"/>
  <c r="J78" i="59" s="1"/>
  <c r="J53" i="59"/>
  <c r="J75" i="59"/>
  <c r="J81" i="59" s="1"/>
  <c r="J26" i="59"/>
  <c r="J45" i="59"/>
  <c r="J31" i="59"/>
  <c r="D27" i="61"/>
  <c r="F27" i="61"/>
  <c r="G27" i="61"/>
  <c r="E22" i="61"/>
  <c r="D26" i="62"/>
  <c r="E26" i="62"/>
  <c r="F26" i="62"/>
  <c r="G26" i="62"/>
  <c r="H31" i="63"/>
  <c r="I31" i="63"/>
  <c r="J31" i="63"/>
  <c r="D46" i="63"/>
  <c r="D22" i="63"/>
  <c r="E27" i="63"/>
  <c r="F27" i="63"/>
  <c r="E30" i="63"/>
  <c r="F30" i="63"/>
  <c r="G30" i="63"/>
  <c r="K31" i="63"/>
  <c r="F74" i="59"/>
  <c r="F80" i="59" s="1"/>
  <c r="F52" i="59"/>
  <c r="H72" i="59"/>
  <c r="H78" i="59" s="1"/>
  <c r="H50" i="59"/>
  <c r="I72" i="59"/>
  <c r="I78" i="59" s="1"/>
  <c r="I50" i="59"/>
  <c r="I51" i="59"/>
  <c r="I73" i="59"/>
  <c r="I79" i="59" s="1"/>
  <c r="G72" i="59"/>
  <c r="G78" i="59" s="1"/>
  <c r="G50" i="59"/>
  <c r="E74" i="59"/>
  <c r="E80" i="59" s="1"/>
  <c r="E52" i="59"/>
  <c r="H74" i="59"/>
  <c r="H80" i="59" s="1"/>
  <c r="H52" i="59"/>
  <c r="I74" i="59"/>
  <c r="I80" i="59" s="1"/>
  <c r="I52" i="59"/>
  <c r="D74" i="59"/>
  <c r="D80" i="59" s="1"/>
  <c r="D52" i="59"/>
  <c r="H73" i="59"/>
  <c r="H79" i="59" s="1"/>
  <c r="H51" i="59"/>
  <c r="H28" i="59"/>
  <c r="H30" i="59"/>
  <c r="F45" i="59"/>
  <c r="I21" i="59"/>
  <c r="I28" i="59"/>
  <c r="I30" i="59"/>
  <c r="G45" i="59"/>
  <c r="G46" i="59"/>
  <c r="F30" i="59"/>
  <c r="D45" i="59"/>
  <c r="E45" i="59"/>
  <c r="D26" i="59"/>
  <c r="E26" i="59"/>
  <c r="F26" i="59"/>
  <c r="G26" i="59"/>
  <c r="G32" i="59" s="1"/>
  <c r="H26" i="59"/>
  <c r="K22" i="57"/>
  <c r="D22" i="57"/>
  <c r="H27" i="60"/>
  <c r="I27" i="60"/>
  <c r="D22" i="60"/>
  <c r="D29" i="60"/>
  <c r="D31" i="60"/>
  <c r="E22" i="60"/>
  <c r="E29" i="60"/>
  <c r="E31" i="60"/>
  <c r="F22" i="60"/>
  <c r="F29" i="60"/>
  <c r="F31" i="60"/>
  <c r="G27" i="60"/>
  <c r="G29" i="60"/>
  <c r="G31" i="60"/>
  <c r="H29" i="60"/>
  <c r="H31" i="60"/>
  <c r="I29" i="60"/>
  <c r="I31" i="60"/>
  <c r="AB41" i="73"/>
  <c r="X90" i="73"/>
  <c r="I90" i="73"/>
  <c r="AB84" i="73"/>
  <c r="AB92" i="73"/>
  <c r="AB21" i="73"/>
  <c r="AB33" i="73"/>
  <c r="AB35" i="73"/>
  <c r="AB13" i="73"/>
  <c r="U90" i="73"/>
  <c r="AB89" i="73"/>
  <c r="N90" i="73"/>
  <c r="Q90" i="73"/>
  <c r="AB5" i="73"/>
  <c r="AB57" i="73"/>
  <c r="AB50" i="73"/>
  <c r="AB86" i="73"/>
  <c r="AB3" i="73"/>
  <c r="Y90" i="73"/>
  <c r="AB96" i="73"/>
  <c r="AB83" i="73"/>
  <c r="AB93" i="73"/>
  <c r="AB53" i="73"/>
  <c r="AB11" i="73"/>
  <c r="AB85" i="73"/>
  <c r="AB97" i="73"/>
  <c r="AB94" i="73"/>
  <c r="AB38" i="73"/>
  <c r="K90" i="73"/>
  <c r="AB90" i="73"/>
  <c r="L90" i="73"/>
  <c r="W90" i="73"/>
  <c r="O90" i="73"/>
  <c r="AB51" i="73"/>
  <c r="AB30" i="73"/>
  <c r="AB56" i="73"/>
  <c r="AB54" i="73"/>
  <c r="AB67" i="73"/>
  <c r="S90" i="73"/>
  <c r="M90" i="73"/>
  <c r="AB66" i="73"/>
  <c r="AB52" i="73"/>
  <c r="AB31" i="73"/>
  <c r="AB82" i="73"/>
  <c r="AB73" i="73"/>
  <c r="AB36" i="73"/>
  <c r="AB37" i="73"/>
  <c r="AB15" i="73"/>
  <c r="J90" i="73"/>
  <c r="AB91" i="73"/>
  <c r="AB17" i="73"/>
  <c r="AB69" i="73"/>
  <c r="Z90" i="73"/>
  <c r="AB72" i="73"/>
  <c r="T90" i="73"/>
  <c r="AB68" i="73"/>
  <c r="V90" i="73"/>
  <c r="AB34" i="73"/>
  <c r="P90" i="73"/>
  <c r="AB19" i="73"/>
  <c r="AB70" i="73"/>
  <c r="AA90" i="73"/>
  <c r="D53" i="57" l="1"/>
  <c r="G73" i="57"/>
  <c r="G79" i="57" s="1"/>
  <c r="G75" i="57"/>
  <c r="G81" i="57" s="1"/>
  <c r="H73" i="57"/>
  <c r="H79" i="57" s="1"/>
  <c r="J76" i="57"/>
  <c r="J82" i="57" s="1"/>
  <c r="H52" i="57"/>
  <c r="F75" i="57"/>
  <c r="F81" i="57" s="1"/>
  <c r="E75" i="57"/>
  <c r="E81" i="57" s="1"/>
  <c r="F76" i="57"/>
  <c r="F82" i="57" s="1"/>
  <c r="I74" i="57"/>
  <c r="I80" i="57" s="1"/>
  <c r="K73" i="57"/>
  <c r="K79" i="57" s="1"/>
  <c r="K54" i="57"/>
  <c r="J75" i="57"/>
  <c r="J81" i="57" s="1"/>
  <c r="F73" i="57"/>
  <c r="F79" i="57" s="1"/>
  <c r="H76" i="57"/>
  <c r="H82" i="57" s="1"/>
  <c r="AC1" i="73"/>
  <c r="AF58" i="62"/>
  <c r="F54" i="63"/>
  <c r="I49" i="57"/>
  <c r="I55" i="57" s="1"/>
  <c r="I51" i="62"/>
  <c r="F33" i="60"/>
  <c r="D49" i="63"/>
  <c r="D55" i="63" s="1"/>
  <c r="E33" i="60"/>
  <c r="E74" i="62"/>
  <c r="E80" i="62" s="1"/>
  <c r="E49" i="61"/>
  <c r="E55" i="61" s="1"/>
  <c r="E33" i="57"/>
  <c r="E73" i="63"/>
  <c r="E79" i="63" s="1"/>
  <c r="E72" i="59"/>
  <c r="E78" i="59" s="1"/>
  <c r="G76" i="63"/>
  <c r="G82" i="63" s="1"/>
  <c r="H48" i="62"/>
  <c r="H54" i="62" s="1"/>
  <c r="D72" i="62"/>
  <c r="D78" i="62" s="1"/>
  <c r="H53" i="59"/>
  <c r="I49" i="63"/>
  <c r="I55" i="63" s="1"/>
  <c r="H49" i="61"/>
  <c r="H55" i="61" s="1"/>
  <c r="F49" i="57"/>
  <c r="F55" i="57" s="1"/>
  <c r="H72" i="62"/>
  <c r="H78" i="62" s="1"/>
  <c r="H74" i="63"/>
  <c r="H80" i="63" s="1"/>
  <c r="D74" i="62"/>
  <c r="D80" i="62" s="1"/>
  <c r="E77" i="57"/>
  <c r="E99" i="57" s="1"/>
  <c r="E100" i="57" s="1"/>
  <c r="G76" i="61"/>
  <c r="G82" i="61" s="1"/>
  <c r="F50" i="59"/>
  <c r="H51" i="61"/>
  <c r="H49" i="63"/>
  <c r="H55" i="63" s="1"/>
  <c r="I53" i="59"/>
  <c r="H73" i="63"/>
  <c r="H79" i="63" s="1"/>
  <c r="K49" i="57"/>
  <c r="K55" i="57" s="1"/>
  <c r="G33" i="63"/>
  <c r="K72" i="62"/>
  <c r="K78" i="62" s="1"/>
  <c r="K73" i="62"/>
  <c r="K79" i="62" s="1"/>
  <c r="D33" i="60"/>
  <c r="F75" i="63"/>
  <c r="F81" i="63" s="1"/>
  <c r="D50" i="59"/>
  <c r="G74" i="61"/>
  <c r="G80" i="61" s="1"/>
  <c r="I52" i="61"/>
  <c r="I74" i="61"/>
  <c r="I80" i="61" s="1"/>
  <c r="H49" i="57"/>
  <c r="H55" i="57" s="1"/>
  <c r="I73" i="61"/>
  <c r="I79" i="61" s="1"/>
  <c r="I51" i="61"/>
  <c r="F51" i="61"/>
  <c r="F73" i="61"/>
  <c r="F79" i="61" s="1"/>
  <c r="E75" i="61"/>
  <c r="E81" i="61" s="1"/>
  <c r="J73" i="62"/>
  <c r="J79" i="62" s="1"/>
  <c r="J49" i="60"/>
  <c r="J49" i="61"/>
  <c r="J55" i="61" s="1"/>
  <c r="E51" i="62"/>
  <c r="E72" i="62"/>
  <c r="E78" i="62" s="1"/>
  <c r="K53" i="61"/>
  <c r="K75" i="61"/>
  <c r="K81" i="61" s="1"/>
  <c r="D50" i="62"/>
  <c r="D71" i="62"/>
  <c r="D77" i="62" s="1"/>
  <c r="D75" i="59"/>
  <c r="D81" i="59" s="1"/>
  <c r="D53" i="59"/>
  <c r="I73" i="63"/>
  <c r="I79" i="63" s="1"/>
  <c r="I51" i="63"/>
  <c r="E54" i="63"/>
  <c r="E76" i="63"/>
  <c r="E82" i="63" s="1"/>
  <c r="H52" i="61"/>
  <c r="H74" i="61"/>
  <c r="H80" i="61" s="1"/>
  <c r="I53" i="61"/>
  <c r="I75" i="61"/>
  <c r="I81" i="61" s="1"/>
  <c r="I76" i="61"/>
  <c r="I82" i="61" s="1"/>
  <c r="I54" i="61"/>
  <c r="E54" i="61"/>
  <c r="E76" i="61"/>
  <c r="E82" i="61" s="1"/>
  <c r="E53" i="63"/>
  <c r="E75" i="63"/>
  <c r="E81" i="63" s="1"/>
  <c r="D51" i="61"/>
  <c r="D73" i="61"/>
  <c r="D79" i="61" s="1"/>
  <c r="J53" i="61"/>
  <c r="J75" i="61"/>
  <c r="J81" i="61" s="1"/>
  <c r="F52" i="61"/>
  <c r="F74" i="61"/>
  <c r="F80" i="61" s="1"/>
  <c r="D51" i="63"/>
  <c r="D73" i="63"/>
  <c r="D79" i="63" s="1"/>
  <c r="G55" i="63"/>
  <c r="G77" i="63"/>
  <c r="E53" i="59"/>
  <c r="E75" i="59"/>
  <c r="E81" i="59" s="1"/>
  <c r="G51" i="62"/>
  <c r="G72" i="62"/>
  <c r="G78" i="62" s="1"/>
  <c r="I52" i="63"/>
  <c r="I74" i="63"/>
  <c r="I80" i="63" s="1"/>
  <c r="F33" i="61"/>
  <c r="F49" i="61"/>
  <c r="G53" i="62"/>
  <c r="G74" i="62"/>
  <c r="G80" i="62" s="1"/>
  <c r="F51" i="63"/>
  <c r="F73" i="63"/>
  <c r="F79" i="63" s="1"/>
  <c r="H52" i="62"/>
  <c r="H73" i="62"/>
  <c r="H79" i="62" s="1"/>
  <c r="G33" i="61"/>
  <c r="G49" i="61"/>
  <c r="H76" i="61"/>
  <c r="H82" i="61" s="1"/>
  <c r="H54" i="61"/>
  <c r="F75" i="59"/>
  <c r="F81" i="59" s="1"/>
  <c r="F53" i="59"/>
  <c r="D33" i="61"/>
  <c r="D49" i="61"/>
  <c r="J76" i="61"/>
  <c r="J82" i="61" s="1"/>
  <c r="J54" i="61"/>
  <c r="I48" i="59"/>
  <c r="I54" i="59" s="1"/>
  <c r="G32" i="62"/>
  <c r="G48" i="62"/>
  <c r="F53" i="62"/>
  <c r="F74" i="62"/>
  <c r="F80" i="62" s="1"/>
  <c r="E52" i="61"/>
  <c r="E74" i="61"/>
  <c r="E80" i="61" s="1"/>
  <c r="F51" i="62"/>
  <c r="F72" i="62"/>
  <c r="F78" i="62" s="1"/>
  <c r="E73" i="62"/>
  <c r="E79" i="62" s="1"/>
  <c r="E52" i="62"/>
  <c r="H53" i="61"/>
  <c r="H75" i="61"/>
  <c r="H81" i="61" s="1"/>
  <c r="I52" i="62"/>
  <c r="I73" i="62"/>
  <c r="I79" i="62" s="1"/>
  <c r="F32" i="62"/>
  <c r="F48" i="62"/>
  <c r="G50" i="62"/>
  <c r="G71" i="62"/>
  <c r="G77" i="62" s="1"/>
  <c r="I49" i="61"/>
  <c r="F54" i="61"/>
  <c r="F76" i="61"/>
  <c r="F82" i="61" s="1"/>
  <c r="G33" i="57"/>
  <c r="G49" i="57"/>
  <c r="D49" i="57"/>
  <c r="D33" i="57"/>
  <c r="K52" i="63"/>
  <c r="K74" i="63"/>
  <c r="K80" i="63" s="1"/>
  <c r="F53" i="61"/>
  <c r="F75" i="61"/>
  <c r="F81" i="61" s="1"/>
  <c r="E32" i="62"/>
  <c r="E48" i="62"/>
  <c r="F50" i="62"/>
  <c r="F71" i="62"/>
  <c r="F77" i="62" s="1"/>
  <c r="D54" i="61"/>
  <c r="D76" i="61"/>
  <c r="D82" i="61" s="1"/>
  <c r="E50" i="62"/>
  <c r="E71" i="62"/>
  <c r="E77" i="62" s="1"/>
  <c r="D52" i="61"/>
  <c r="D74" i="61"/>
  <c r="D80" i="61" s="1"/>
  <c r="G52" i="62"/>
  <c r="G73" i="62"/>
  <c r="G79" i="62" s="1"/>
  <c r="J49" i="63"/>
  <c r="J55" i="63" s="1"/>
  <c r="D52" i="63"/>
  <c r="D74" i="63"/>
  <c r="D80" i="63" s="1"/>
  <c r="D32" i="62"/>
  <c r="D48" i="62"/>
  <c r="J74" i="61"/>
  <c r="J80" i="61" s="1"/>
  <c r="I48" i="62"/>
  <c r="E51" i="61"/>
  <c r="E73" i="61"/>
  <c r="E79" i="61" s="1"/>
  <c r="D54" i="63"/>
  <c r="D76" i="63"/>
  <c r="D82" i="63" s="1"/>
  <c r="G53" i="59"/>
  <c r="G75" i="59"/>
  <c r="G81" i="59" s="1"/>
  <c r="Y367" i="69"/>
  <c r="X370" i="69"/>
  <c r="X371" i="69" s="1"/>
  <c r="Y366" i="69"/>
  <c r="AA365" i="69"/>
  <c r="AA364" i="69"/>
  <c r="AA363" i="69"/>
  <c r="Z60" i="69"/>
  <c r="Z59" i="69"/>
  <c r="Z58" i="69"/>
  <c r="Z52" i="69"/>
  <c r="R15" i="69"/>
  <c r="AF91" i="69"/>
  <c r="AJ91" i="69"/>
  <c r="AI91" i="69"/>
  <c r="AH91" i="69"/>
  <c r="AG91" i="69"/>
  <c r="Z91" i="69"/>
  <c r="Y91" i="69"/>
  <c r="AN91" i="69"/>
  <c r="AM91" i="69"/>
  <c r="AL91" i="69"/>
  <c r="AB91" i="69"/>
  <c r="AA91" i="69"/>
  <c r="AC91" i="69"/>
  <c r="AE91" i="69"/>
  <c r="AK91" i="69"/>
  <c r="AD91" i="69"/>
  <c r="Y175" i="69"/>
  <c r="Z439" i="69"/>
  <c r="Z356" i="69"/>
  <c r="Z214" i="69"/>
  <c r="Z213" i="69"/>
  <c r="Z215" i="69"/>
  <c r="Z207" i="69"/>
  <c r="AM327" i="69"/>
  <c r="AJ327" i="69"/>
  <c r="AD327" i="69"/>
  <c r="AA327" i="69"/>
  <c r="AG327" i="69"/>
  <c r="Z398" i="69"/>
  <c r="Z369" i="69"/>
  <c r="AB47" i="69"/>
  <c r="Z479" i="69"/>
  <c r="AB202" i="69"/>
  <c r="AJ174" i="69"/>
  <c r="AM174" i="69"/>
  <c r="AG174" i="69"/>
  <c r="AD174" i="69"/>
  <c r="AA174" i="69"/>
  <c r="Y288" i="69"/>
  <c r="Y206" i="69"/>
  <c r="X63" i="69"/>
  <c r="AI246" i="69"/>
  <c r="AB246" i="69"/>
  <c r="AM246" i="69"/>
  <c r="Y246" i="69"/>
  <c r="AK246" i="69"/>
  <c r="AF246" i="69"/>
  <c r="AN246" i="69"/>
  <c r="AL246" i="69"/>
  <c r="AJ246" i="69"/>
  <c r="AG246" i="69"/>
  <c r="AC246" i="69"/>
  <c r="AA246" i="69"/>
  <c r="Z246" i="69"/>
  <c r="AH246" i="69"/>
  <c r="AE246" i="69"/>
  <c r="AD246" i="69"/>
  <c r="AD397" i="69"/>
  <c r="AG397" i="69"/>
  <c r="AF397" i="69"/>
  <c r="AC397" i="69"/>
  <c r="AB397" i="69"/>
  <c r="AL397" i="69"/>
  <c r="AI397" i="69"/>
  <c r="AJ397" i="69"/>
  <c r="AH397" i="69"/>
  <c r="AN397" i="69"/>
  <c r="AE397" i="69"/>
  <c r="AK397" i="69"/>
  <c r="AA397" i="69"/>
  <c r="Z397" i="69"/>
  <c r="AM397" i="69"/>
  <c r="AD438" i="69"/>
  <c r="AJ438" i="69"/>
  <c r="AF438" i="69"/>
  <c r="AG438" i="69"/>
  <c r="AC438" i="69"/>
  <c r="AM438" i="69"/>
  <c r="AK438" i="69"/>
  <c r="AE438" i="69"/>
  <c r="Z438" i="69"/>
  <c r="AN438" i="69"/>
  <c r="AI438" i="69"/>
  <c r="AB438" i="69"/>
  <c r="AA438" i="69"/>
  <c r="AH438" i="69"/>
  <c r="AL438" i="69"/>
  <c r="AC200" i="69"/>
  <c r="AC350" i="69"/>
  <c r="AC352" i="69" s="1"/>
  <c r="AC45" i="69"/>
  <c r="AD36" i="69"/>
  <c r="R20" i="69"/>
  <c r="Q23" i="69"/>
  <c r="Q21" i="69"/>
  <c r="AN287" i="69"/>
  <c r="AB287" i="69"/>
  <c r="AI287" i="69"/>
  <c r="AH287" i="69"/>
  <c r="AF287" i="69"/>
  <c r="AE287" i="69"/>
  <c r="AC287" i="69"/>
  <c r="AM287" i="69"/>
  <c r="AL287" i="69"/>
  <c r="AD287" i="69"/>
  <c r="AJ287" i="69"/>
  <c r="AG287" i="69"/>
  <c r="AA287" i="69"/>
  <c r="Y287" i="69"/>
  <c r="AK287" i="69"/>
  <c r="Z287" i="69"/>
  <c r="Y328" i="69"/>
  <c r="AE478" i="69"/>
  <c r="AH478" i="69"/>
  <c r="AB478" i="69"/>
  <c r="AK478" i="69"/>
  <c r="AN478" i="69"/>
  <c r="Y64" i="69"/>
  <c r="Y92" i="69"/>
  <c r="Y9" i="69"/>
  <c r="AA204" i="69"/>
  <c r="AA205" i="69" s="1"/>
  <c r="AH132" i="69"/>
  <c r="AG132" i="69"/>
  <c r="AE132" i="69"/>
  <c r="AB132" i="69"/>
  <c r="AA132" i="69"/>
  <c r="Z132" i="69"/>
  <c r="AN132" i="69"/>
  <c r="Y132" i="69"/>
  <c r="AM132" i="69"/>
  <c r="AL132" i="69"/>
  <c r="AK132" i="69"/>
  <c r="AJ132" i="69"/>
  <c r="AI132" i="69"/>
  <c r="AF132" i="69"/>
  <c r="AD132" i="69"/>
  <c r="AC132" i="69"/>
  <c r="Y247" i="69"/>
  <c r="Y219" i="69"/>
  <c r="AB354" i="69"/>
  <c r="AB355" i="69" s="1"/>
  <c r="AA49" i="69"/>
  <c r="AA50" i="69" s="1"/>
  <c r="Y51" i="69"/>
  <c r="Y10" i="69"/>
  <c r="Y133" i="69"/>
  <c r="K49" i="63"/>
  <c r="K77" i="63" s="1"/>
  <c r="K50" i="62"/>
  <c r="K71" i="62"/>
  <c r="K77" i="62" s="1"/>
  <c r="K48" i="62"/>
  <c r="K73" i="61"/>
  <c r="K79" i="61" s="1"/>
  <c r="K49" i="61"/>
  <c r="J49" i="57"/>
  <c r="J55" i="57" s="1"/>
  <c r="J51" i="62"/>
  <c r="J72" i="62"/>
  <c r="J78" i="62" s="1"/>
  <c r="J48" i="62"/>
  <c r="J74" i="63"/>
  <c r="J80" i="63" s="1"/>
  <c r="J51" i="63"/>
  <c r="J73" i="63"/>
  <c r="J79" i="63" s="1"/>
  <c r="J73" i="59"/>
  <c r="J79" i="59" s="1"/>
  <c r="J51" i="59"/>
  <c r="J32" i="59"/>
  <c r="J48" i="59"/>
  <c r="F49" i="63"/>
  <c r="F33" i="63"/>
  <c r="E49" i="63"/>
  <c r="E33" i="63"/>
  <c r="D51" i="59"/>
  <c r="D73" i="59"/>
  <c r="D79" i="59" s="1"/>
  <c r="G74" i="59"/>
  <c r="G80" i="59" s="1"/>
  <c r="G52" i="59"/>
  <c r="H32" i="59"/>
  <c r="H48" i="59"/>
  <c r="F32" i="59"/>
  <c r="F48" i="59"/>
  <c r="F73" i="59"/>
  <c r="F79" i="59" s="1"/>
  <c r="F51" i="59"/>
  <c r="E51" i="59"/>
  <c r="E73" i="59"/>
  <c r="E79" i="59" s="1"/>
  <c r="G51" i="59"/>
  <c r="G73" i="59"/>
  <c r="G79" i="59" s="1"/>
  <c r="E32" i="59"/>
  <c r="E48" i="59"/>
  <c r="D32" i="59"/>
  <c r="D48" i="59"/>
  <c r="G48" i="59"/>
  <c r="I49" i="60"/>
  <c r="I33" i="60"/>
  <c r="H49" i="60"/>
  <c r="H33" i="60"/>
  <c r="G49" i="60"/>
  <c r="G33" i="60"/>
  <c r="F77" i="60"/>
  <c r="F55" i="60"/>
  <c r="E77" i="60"/>
  <c r="E55" i="60"/>
  <c r="D77" i="60"/>
  <c r="D55" i="60"/>
  <c r="AC11" i="73"/>
  <c r="AC86" i="73"/>
  <c r="AC93" i="73"/>
  <c r="AC90" i="73"/>
  <c r="AC83" i="73"/>
  <c r="AC84" i="73"/>
  <c r="AC3" i="73"/>
  <c r="AC70" i="73"/>
  <c r="AC13" i="73"/>
  <c r="AC85" i="73"/>
  <c r="AC67" i="73"/>
  <c r="AC91" i="73"/>
  <c r="AC37" i="73"/>
  <c r="AC56" i="73"/>
  <c r="AC97" i="73"/>
  <c r="AC30" i="73"/>
  <c r="AC72" i="73"/>
  <c r="AC38" i="73"/>
  <c r="AC68" i="73"/>
  <c r="AC15" i="73"/>
  <c r="AC33" i="73"/>
  <c r="AC52" i="73"/>
  <c r="AC35" i="73"/>
  <c r="AC54" i="73"/>
  <c r="AC51" i="73"/>
  <c r="AC57" i="73"/>
  <c r="AC36" i="73"/>
  <c r="AC94" i="73"/>
  <c r="AC82" i="73"/>
  <c r="AC53" i="73"/>
  <c r="AC69" i="73"/>
  <c r="AC66" i="73"/>
  <c r="AC73" i="73"/>
  <c r="AC31" i="73"/>
  <c r="AC5" i="73"/>
  <c r="AC34" i="73"/>
  <c r="AC41" i="73"/>
  <c r="AC17" i="73"/>
  <c r="AC92" i="73"/>
  <c r="AC89" i="73"/>
  <c r="AC21" i="73"/>
  <c r="AC19" i="73"/>
  <c r="AC50" i="73"/>
  <c r="AC96" i="73"/>
  <c r="AD1" i="73" l="1"/>
  <c r="I77" i="57"/>
  <c r="I83" i="57" s="1"/>
  <c r="D77" i="63"/>
  <c r="D83" i="63" s="1"/>
  <c r="H77" i="61"/>
  <c r="H83" i="61" s="1"/>
  <c r="E77" i="61"/>
  <c r="E83" i="61" s="1"/>
  <c r="H75" i="62"/>
  <c r="H81" i="62" s="1"/>
  <c r="F77" i="57"/>
  <c r="F83" i="57" s="1"/>
  <c r="I77" i="63"/>
  <c r="I100" i="63" s="1"/>
  <c r="I101" i="63" s="1"/>
  <c r="J77" i="63"/>
  <c r="J83" i="63" s="1"/>
  <c r="H77" i="63"/>
  <c r="H83" i="63" s="1"/>
  <c r="E83" i="57"/>
  <c r="I99" i="57"/>
  <c r="I100" i="57" s="1"/>
  <c r="K77" i="57"/>
  <c r="K99" i="57" s="1"/>
  <c r="K100" i="57" s="1"/>
  <c r="K55" i="63"/>
  <c r="I76" i="59"/>
  <c r="I98" i="59" s="1"/>
  <c r="I99" i="59" s="1"/>
  <c r="J77" i="61"/>
  <c r="J83" i="61" s="1"/>
  <c r="H77" i="57"/>
  <c r="H99" i="57" s="1"/>
  <c r="H100" i="57" s="1"/>
  <c r="J55" i="60"/>
  <c r="J77" i="60"/>
  <c r="I54" i="62"/>
  <c r="I75" i="62"/>
  <c r="F54" i="62"/>
  <c r="F75" i="62"/>
  <c r="I55" i="61"/>
  <c r="I77" i="61"/>
  <c r="D55" i="61"/>
  <c r="D77" i="61"/>
  <c r="E55" i="63"/>
  <c r="E77" i="63"/>
  <c r="D83" i="60"/>
  <c r="D99" i="60" s="1"/>
  <c r="D100" i="60" s="1"/>
  <c r="D54" i="62"/>
  <c r="D75" i="62"/>
  <c r="D55" i="57"/>
  <c r="D77" i="57"/>
  <c r="G54" i="62"/>
  <c r="G75" i="62"/>
  <c r="G55" i="57"/>
  <c r="G77" i="57"/>
  <c r="G83" i="63"/>
  <c r="G100" i="63"/>
  <c r="G101" i="63" s="1"/>
  <c r="E83" i="60"/>
  <c r="E99" i="60" s="1"/>
  <c r="E100" i="60" s="1"/>
  <c r="F55" i="63"/>
  <c r="F77" i="63"/>
  <c r="F83" i="60"/>
  <c r="F99" i="60" s="1"/>
  <c r="F100" i="60" s="1"/>
  <c r="E54" i="62"/>
  <c r="E75" i="62"/>
  <c r="G55" i="61"/>
  <c r="G77" i="61"/>
  <c r="F55" i="61"/>
  <c r="F77" i="61"/>
  <c r="Y370" i="69"/>
  <c r="Y371" i="69" s="1"/>
  <c r="Z366" i="69"/>
  <c r="Z367" i="69"/>
  <c r="AA215" i="69"/>
  <c r="AA214" i="69"/>
  <c r="AA213" i="69"/>
  <c r="AA207" i="69"/>
  <c r="AB365" i="69"/>
  <c r="AB364" i="69"/>
  <c r="AB363" i="69"/>
  <c r="AL479" i="69"/>
  <c r="AF479" i="69"/>
  <c r="AC479" i="69"/>
  <c r="AI479" i="69"/>
  <c r="Z329" i="69"/>
  <c r="Z218" i="69" s="1"/>
  <c r="AD350" i="69"/>
  <c r="AD352" i="69" s="1"/>
  <c r="AD200" i="69"/>
  <c r="AD45" i="69"/>
  <c r="AE36" i="69"/>
  <c r="Z248" i="69"/>
  <c r="Z219" i="69"/>
  <c r="S15" i="69"/>
  <c r="AN328" i="69"/>
  <c r="AE328" i="69"/>
  <c r="AB328" i="69"/>
  <c r="AH328" i="69"/>
  <c r="AK328" i="69"/>
  <c r="AC47" i="69"/>
  <c r="AJ288" i="69"/>
  <c r="AF288" i="69"/>
  <c r="AE288" i="69"/>
  <c r="AC288" i="69"/>
  <c r="AH288" i="69"/>
  <c r="AD288" i="69"/>
  <c r="AK288" i="69"/>
  <c r="AM288" i="69"/>
  <c r="AB288" i="69"/>
  <c r="AA288" i="69"/>
  <c r="Z288" i="69"/>
  <c r="AN288" i="69"/>
  <c r="AL288" i="69"/>
  <c r="AI288" i="69"/>
  <c r="AG288" i="69"/>
  <c r="AB49" i="69"/>
  <c r="AB50" i="69" s="1"/>
  <c r="Z289" i="69"/>
  <c r="Z206" i="69"/>
  <c r="Y218" i="69"/>
  <c r="Z64" i="69"/>
  <c r="Z9" i="69"/>
  <c r="Z93" i="69"/>
  <c r="AN92" i="69"/>
  <c r="AB92" i="69"/>
  <c r="AG92" i="69"/>
  <c r="AF92" i="69"/>
  <c r="AD92" i="69"/>
  <c r="AE92" i="69"/>
  <c r="AA92" i="69"/>
  <c r="Z92" i="69"/>
  <c r="AM92" i="69"/>
  <c r="AL92" i="69"/>
  <c r="AK92" i="69"/>
  <c r="AJ92" i="69"/>
  <c r="AI92" i="69"/>
  <c r="AH92" i="69"/>
  <c r="AC92" i="69"/>
  <c r="AC202" i="69"/>
  <c r="Z134" i="69"/>
  <c r="Z10" i="69"/>
  <c r="Z51" i="69"/>
  <c r="AE247" i="69"/>
  <c r="AL247" i="69"/>
  <c r="AK247" i="69"/>
  <c r="AI247" i="69"/>
  <c r="AD247" i="69"/>
  <c r="AN247" i="69"/>
  <c r="AJ247" i="69"/>
  <c r="AM247" i="69"/>
  <c r="AH247" i="69"/>
  <c r="AG247" i="69"/>
  <c r="AB247" i="69"/>
  <c r="AF247" i="69"/>
  <c r="AC247" i="69"/>
  <c r="AA247" i="69"/>
  <c r="Z247" i="69"/>
  <c r="AM439" i="69"/>
  <c r="AA439" i="69"/>
  <c r="AH439" i="69"/>
  <c r="AE439" i="69"/>
  <c r="AG439" i="69"/>
  <c r="AD439" i="69"/>
  <c r="AK439" i="69"/>
  <c r="AF439" i="69"/>
  <c r="AJ439" i="69"/>
  <c r="AL439" i="69"/>
  <c r="AI439" i="69"/>
  <c r="AC439" i="69"/>
  <c r="AN439" i="69"/>
  <c r="AB439" i="69"/>
  <c r="Z176" i="69"/>
  <c r="AA60" i="69"/>
  <c r="AA59" i="69"/>
  <c r="AA58" i="69"/>
  <c r="AA52" i="69"/>
  <c r="AN175" i="69"/>
  <c r="AK175" i="69"/>
  <c r="AH175" i="69"/>
  <c r="AB175" i="69"/>
  <c r="AE175" i="69"/>
  <c r="AA399" i="69"/>
  <c r="AA369" i="69"/>
  <c r="Y63" i="69"/>
  <c r="AA440" i="69"/>
  <c r="AA356" i="69"/>
  <c r="AA480" i="69"/>
  <c r="AA368" i="69" s="1"/>
  <c r="AD133" i="69"/>
  <c r="AE133" i="69"/>
  <c r="AB133" i="69"/>
  <c r="AA133" i="69"/>
  <c r="Z133" i="69"/>
  <c r="AN133" i="69"/>
  <c r="AM133" i="69"/>
  <c r="AG133" i="69"/>
  <c r="AF133" i="69"/>
  <c r="AC133" i="69"/>
  <c r="AJ133" i="69"/>
  <c r="AL133" i="69"/>
  <c r="AI133" i="69"/>
  <c r="AH133" i="69"/>
  <c r="AK133" i="69"/>
  <c r="AC354" i="69"/>
  <c r="AC355" i="69" s="1"/>
  <c r="AM398" i="69"/>
  <c r="AA398" i="69"/>
  <c r="AE398" i="69"/>
  <c r="AF398" i="69"/>
  <c r="AC398" i="69"/>
  <c r="AG398" i="69"/>
  <c r="AK398" i="69"/>
  <c r="AL398" i="69"/>
  <c r="AJ398" i="69"/>
  <c r="AH398" i="69"/>
  <c r="AN398" i="69"/>
  <c r="AI398" i="69"/>
  <c r="AD398" i="69"/>
  <c r="AB398" i="69"/>
  <c r="AB204" i="69"/>
  <c r="AB205" i="69" s="1"/>
  <c r="S20" i="69"/>
  <c r="R23" i="69"/>
  <c r="R21" i="69"/>
  <c r="Z368" i="69"/>
  <c r="K83" i="63"/>
  <c r="K100" i="63"/>
  <c r="K101" i="63" s="1"/>
  <c r="K54" i="62"/>
  <c r="K75" i="62"/>
  <c r="K55" i="61"/>
  <c r="K77" i="61"/>
  <c r="J77" i="57"/>
  <c r="J83" i="57" s="1"/>
  <c r="J54" i="62"/>
  <c r="J75" i="62"/>
  <c r="J54" i="59"/>
  <c r="J76" i="59"/>
  <c r="F76" i="59"/>
  <c r="F54" i="59"/>
  <c r="G54" i="59"/>
  <c r="G76" i="59"/>
  <c r="D54" i="59"/>
  <c r="D76" i="59"/>
  <c r="H54" i="59"/>
  <c r="H76" i="59"/>
  <c r="E76" i="59"/>
  <c r="E54" i="59"/>
  <c r="G77" i="60"/>
  <c r="G55" i="60"/>
  <c r="H77" i="60"/>
  <c r="H55" i="60"/>
  <c r="I77" i="60"/>
  <c r="I55" i="60"/>
  <c r="AD41" i="73"/>
  <c r="AD56" i="73"/>
  <c r="AD52" i="73"/>
  <c r="AD11" i="73"/>
  <c r="AD34" i="73"/>
  <c r="AD17" i="73"/>
  <c r="AD93" i="73"/>
  <c r="AD83" i="73"/>
  <c r="AD50" i="73"/>
  <c r="AD84" i="73"/>
  <c r="AD31" i="73"/>
  <c r="AD70" i="73"/>
  <c r="AD68" i="73"/>
  <c r="AD36" i="73"/>
  <c r="AD57" i="73"/>
  <c r="AD82" i="73"/>
  <c r="AD97" i="73"/>
  <c r="AD53" i="73"/>
  <c r="AD92" i="73"/>
  <c r="AD37" i="73"/>
  <c r="AD96" i="73"/>
  <c r="AD5" i="73"/>
  <c r="AD51" i="73"/>
  <c r="AD90" i="73"/>
  <c r="AD19" i="73"/>
  <c r="AD33" i="73"/>
  <c r="AD69" i="73"/>
  <c r="AD54" i="73"/>
  <c r="AD21" i="73"/>
  <c r="AD30" i="73"/>
  <c r="AD89" i="73"/>
  <c r="AD85" i="73"/>
  <c r="AD91" i="73"/>
  <c r="AD73" i="73"/>
  <c r="AD38" i="73"/>
  <c r="AD72" i="73"/>
  <c r="AD15" i="73"/>
  <c r="AD67" i="73"/>
  <c r="AD3" i="73"/>
  <c r="AD35" i="73"/>
  <c r="AD86" i="73"/>
  <c r="AD13" i="73"/>
  <c r="AD94" i="73"/>
  <c r="AE1" i="73" l="1"/>
  <c r="D100" i="63"/>
  <c r="D101" i="63" s="1"/>
  <c r="H99" i="61"/>
  <c r="H100" i="61" s="1"/>
  <c r="I83" i="63"/>
  <c r="H97" i="62"/>
  <c r="H98" i="62" s="1"/>
  <c r="E99" i="61"/>
  <c r="E100" i="61" s="1"/>
  <c r="H100" i="63"/>
  <c r="H101" i="63" s="1"/>
  <c r="J100" i="63"/>
  <c r="J101" i="63" s="1"/>
  <c r="F99" i="57"/>
  <c r="F100" i="57" s="1"/>
  <c r="I82" i="59"/>
  <c r="J99" i="61"/>
  <c r="J100" i="61" s="1"/>
  <c r="K83" i="57"/>
  <c r="H83" i="57"/>
  <c r="J83" i="60"/>
  <c r="J99" i="60" s="1"/>
  <c r="J100" i="60" s="1"/>
  <c r="F83" i="61"/>
  <c r="F99" i="61"/>
  <c r="F100" i="61" s="1"/>
  <c r="D81" i="62"/>
  <c r="D97" i="62"/>
  <c r="D98" i="62" s="1"/>
  <c r="G83" i="61"/>
  <c r="G99" i="61"/>
  <c r="G100" i="61" s="1"/>
  <c r="G83" i="57"/>
  <c r="G99" i="57"/>
  <c r="G100" i="57" s="1"/>
  <c r="D83" i="61"/>
  <c r="D99" i="61"/>
  <c r="D100" i="61" s="1"/>
  <c r="H83" i="60"/>
  <c r="H99" i="60" s="1"/>
  <c r="H100" i="60" s="1"/>
  <c r="E81" i="62"/>
  <c r="E97" i="62"/>
  <c r="E98" i="62" s="1"/>
  <c r="F83" i="63"/>
  <c r="F100" i="63"/>
  <c r="F101" i="63" s="1"/>
  <c r="G81" i="62"/>
  <c r="G97" i="62"/>
  <c r="G98" i="62" s="1"/>
  <c r="E83" i="63"/>
  <c r="E100" i="63"/>
  <c r="E101" i="63" s="1"/>
  <c r="I83" i="61"/>
  <c r="I99" i="61"/>
  <c r="I100" i="61" s="1"/>
  <c r="I83" i="60"/>
  <c r="I99" i="60" s="1"/>
  <c r="I100" i="60" s="1"/>
  <c r="D83" i="57"/>
  <c r="D99" i="57"/>
  <c r="D100" i="57" s="1"/>
  <c r="F81" i="62"/>
  <c r="F97" i="62"/>
  <c r="F98" i="62" s="1"/>
  <c r="I81" i="62"/>
  <c r="I97" i="62"/>
  <c r="I98" i="62" s="1"/>
  <c r="G83" i="60"/>
  <c r="G99" i="60" s="1"/>
  <c r="G100" i="60" s="1"/>
  <c r="AA366" i="69"/>
  <c r="Z370" i="69"/>
  <c r="Z371" i="69" s="1"/>
  <c r="AA367" i="69"/>
  <c r="AC363" i="69"/>
  <c r="AC364" i="69"/>
  <c r="AC365" i="69"/>
  <c r="AM134" i="69"/>
  <c r="AA134" i="69"/>
  <c r="AC134" i="69"/>
  <c r="AN134" i="69"/>
  <c r="AD134" i="69"/>
  <c r="AB134" i="69"/>
  <c r="AK134" i="69"/>
  <c r="AJ134" i="69"/>
  <c r="AI134" i="69"/>
  <c r="AH134" i="69"/>
  <c r="AG134" i="69"/>
  <c r="AF134" i="69"/>
  <c r="AE134" i="69"/>
  <c r="AL134" i="69"/>
  <c r="AB248" i="69"/>
  <c r="AK248" i="69"/>
  <c r="AL248" i="69" s="1"/>
  <c r="AM248" i="69" s="1"/>
  <c r="AN248" i="69" s="1"/>
  <c r="AI248" i="69"/>
  <c r="AE248" i="69"/>
  <c r="AC248" i="69"/>
  <c r="AA248" i="69"/>
  <c r="AD248" i="69"/>
  <c r="AF248" i="69"/>
  <c r="AJ248" i="69"/>
  <c r="AH248" i="69"/>
  <c r="AG248" i="69"/>
  <c r="AB400" i="69"/>
  <c r="AB369" i="69"/>
  <c r="AK93" i="69"/>
  <c r="AE93" i="69"/>
  <c r="AD93" i="69"/>
  <c r="AC93" i="69"/>
  <c r="AB93" i="69"/>
  <c r="AH93" i="69"/>
  <c r="AG93" i="69"/>
  <c r="AF93" i="69"/>
  <c r="AA93" i="69"/>
  <c r="AJ93" i="69"/>
  <c r="AI93" i="69"/>
  <c r="AN93" i="69"/>
  <c r="AL93" i="69"/>
  <c r="AM93" i="69"/>
  <c r="AB60" i="69"/>
  <c r="AB59" i="69"/>
  <c r="AB58" i="69"/>
  <c r="AB52" i="69"/>
  <c r="AK440" i="69"/>
  <c r="AG440" i="69"/>
  <c r="AE440" i="69"/>
  <c r="AI440" i="69"/>
  <c r="AF440" i="69"/>
  <c r="AB440" i="69"/>
  <c r="AM440" i="69"/>
  <c r="AN440" i="69"/>
  <c r="AL440" i="69"/>
  <c r="AH440" i="69"/>
  <c r="AJ440" i="69"/>
  <c r="AC440" i="69"/>
  <c r="AD440" i="69"/>
  <c r="AA135" i="69"/>
  <c r="AA10" i="69"/>
  <c r="AA51" i="69"/>
  <c r="AA177" i="69"/>
  <c r="AL176" i="69"/>
  <c r="AF176" i="69"/>
  <c r="AC176" i="69"/>
  <c r="AI176" i="69"/>
  <c r="AC49" i="69"/>
  <c r="AC50" i="69" s="1"/>
  <c r="AE350" i="69"/>
  <c r="AE352" i="69" s="1"/>
  <c r="AE200" i="69"/>
  <c r="AF36" i="69"/>
  <c r="AE45" i="69"/>
  <c r="AB356" i="69"/>
  <c r="AB441" i="69"/>
  <c r="AK399" i="69"/>
  <c r="AD399" i="69"/>
  <c r="AF399" i="69"/>
  <c r="AC399" i="69"/>
  <c r="AI399" i="69"/>
  <c r="AG399" i="69"/>
  <c r="AE399" i="69"/>
  <c r="AB399" i="69"/>
  <c r="AJ399" i="69"/>
  <c r="AH399" i="69"/>
  <c r="AM399" i="69"/>
  <c r="AL399" i="69"/>
  <c r="AN399" i="69"/>
  <c r="Z63" i="69"/>
  <c r="AC204" i="69"/>
  <c r="AC205" i="69" s="1"/>
  <c r="AD47" i="69"/>
  <c r="AB481" i="69"/>
  <c r="AB368" i="69" s="1"/>
  <c r="AD202" i="69"/>
  <c r="T20" i="69"/>
  <c r="S23" i="69"/>
  <c r="S21" i="69"/>
  <c r="AD354" i="69"/>
  <c r="AD355" i="69" s="1"/>
  <c r="AA219" i="69"/>
  <c r="AA249" i="69"/>
  <c r="AA64" i="69"/>
  <c r="AA94" i="69"/>
  <c r="AA9" i="69"/>
  <c r="AJ480" i="69"/>
  <c r="AD480" i="69"/>
  <c r="AM480" i="69"/>
  <c r="AG480" i="69"/>
  <c r="AA206" i="69"/>
  <c r="AA290" i="69"/>
  <c r="T15" i="69"/>
  <c r="AB214" i="69"/>
  <c r="AB213" i="69"/>
  <c r="AB215" i="69"/>
  <c r="AB207" i="69"/>
  <c r="AG289" i="69"/>
  <c r="AD289" i="69"/>
  <c r="AC289" i="69"/>
  <c r="AN289" i="69"/>
  <c r="AA289" i="69"/>
  <c r="AJ289" i="69"/>
  <c r="AH289" i="69"/>
  <c r="AE289" i="69"/>
  <c r="AB289" i="69"/>
  <c r="AK289" i="69"/>
  <c r="AI289" i="69"/>
  <c r="AF289" i="69"/>
  <c r="AM289" i="69"/>
  <c r="AL289" i="69"/>
  <c r="AC329" i="69"/>
  <c r="AL329" i="69"/>
  <c r="AF329" i="69"/>
  <c r="AI329" i="69"/>
  <c r="AA330" i="69"/>
  <c r="K81" i="62"/>
  <c r="K97" i="62"/>
  <c r="K98" i="62" s="1"/>
  <c r="K83" i="61"/>
  <c r="K99" i="61"/>
  <c r="K100" i="61" s="1"/>
  <c r="J99" i="57"/>
  <c r="J100" i="57" s="1"/>
  <c r="J81" i="62"/>
  <c r="J97" i="62"/>
  <c r="J98" i="62" s="1"/>
  <c r="E82" i="59"/>
  <c r="E98" i="59"/>
  <c r="E99" i="59" s="1"/>
  <c r="H82" i="59"/>
  <c r="H98" i="59"/>
  <c r="H99" i="59" s="1"/>
  <c r="D82" i="59"/>
  <c r="D98" i="59"/>
  <c r="D99" i="59" s="1"/>
  <c r="G82" i="59"/>
  <c r="G98" i="59"/>
  <c r="G99" i="59" s="1"/>
  <c r="F82" i="59"/>
  <c r="F98" i="59"/>
  <c r="F99" i="59" s="1"/>
  <c r="J82" i="59"/>
  <c r="J98" i="59"/>
  <c r="J99" i="59" s="1"/>
  <c r="AE53" i="73"/>
  <c r="AE33" i="73"/>
  <c r="AE68" i="73"/>
  <c r="AE92" i="73"/>
  <c r="AE31" i="73"/>
  <c r="AE52" i="73"/>
  <c r="AE5" i="73"/>
  <c r="AE57" i="73"/>
  <c r="AE89" i="73"/>
  <c r="AE97" i="73"/>
  <c r="AE38" i="73"/>
  <c r="AE84" i="73"/>
  <c r="AE51" i="73"/>
  <c r="AE69" i="73"/>
  <c r="AE66" i="73"/>
  <c r="AE34" i="73"/>
  <c r="AE85" i="73"/>
  <c r="AE56" i="73"/>
  <c r="AE93" i="73"/>
  <c r="AE36" i="73"/>
  <c r="AE91" i="73"/>
  <c r="AE82" i="73"/>
  <c r="AE19" i="73"/>
  <c r="AE41" i="73"/>
  <c r="AE70" i="73"/>
  <c r="AE15" i="73"/>
  <c r="AE90" i="73"/>
  <c r="AE96" i="73"/>
  <c r="AE54" i="73"/>
  <c r="AE21" i="73"/>
  <c r="AE13" i="73"/>
  <c r="AE83" i="73"/>
  <c r="AE11" i="73"/>
  <c r="AE30" i="73"/>
  <c r="AE86" i="73"/>
  <c r="AE17" i="73"/>
  <c r="AE72" i="73"/>
  <c r="AE50" i="73"/>
  <c r="AE94" i="73"/>
  <c r="AE73" i="73"/>
  <c r="AE35" i="73"/>
  <c r="AE3" i="73"/>
  <c r="AE37" i="73"/>
  <c r="AE67" i="73"/>
  <c r="AF1" i="73" l="1"/>
  <c r="AA370" i="69"/>
  <c r="AA371" i="69" s="1"/>
  <c r="AB367" i="69"/>
  <c r="AB366" i="69"/>
  <c r="AD364" i="69"/>
  <c r="AD363" i="69"/>
  <c r="AD365" i="69"/>
  <c r="U20" i="69"/>
  <c r="T23" i="69"/>
  <c r="T21" i="69"/>
  <c r="AK400" i="69"/>
  <c r="AJ400" i="69"/>
  <c r="AD400" i="69"/>
  <c r="AG400" i="69"/>
  <c r="AE400" i="69"/>
  <c r="AN400" i="69"/>
  <c r="AM400" i="69"/>
  <c r="AH400" i="69"/>
  <c r="AI400" i="69"/>
  <c r="AL400" i="69"/>
  <c r="AC400" i="69"/>
  <c r="AF400" i="69"/>
  <c r="AC60" i="69"/>
  <c r="AC59" i="69"/>
  <c r="AC58" i="69"/>
  <c r="AC52" i="69"/>
  <c r="AB291" i="69"/>
  <c r="AB206" i="69"/>
  <c r="AJ330" i="69"/>
  <c r="AM330" i="69"/>
  <c r="AG330" i="69"/>
  <c r="AD330" i="69"/>
  <c r="AJ441" i="69"/>
  <c r="AG441" i="69"/>
  <c r="AF441" i="69"/>
  <c r="AL441" i="69"/>
  <c r="AI441" i="69"/>
  <c r="AH441" i="69"/>
  <c r="AK441" i="69"/>
  <c r="AC441" i="69"/>
  <c r="AM441" i="69"/>
  <c r="AD441" i="69"/>
  <c r="AN441" i="69"/>
  <c r="AE441" i="69"/>
  <c r="AD204" i="69"/>
  <c r="AD205" i="69" s="1"/>
  <c r="U15" i="69"/>
  <c r="AJ177" i="69"/>
  <c r="AM177" i="69"/>
  <c r="AG177" i="69"/>
  <c r="AD177" i="69"/>
  <c r="AC482" i="69"/>
  <c r="AC368" i="69"/>
  <c r="AE290" i="69"/>
  <c r="AC290" i="69"/>
  <c r="AB290" i="69"/>
  <c r="AM290" i="69"/>
  <c r="AL290" i="69"/>
  <c r="AJ290" i="69"/>
  <c r="AK290" i="69"/>
  <c r="AI290" i="69"/>
  <c r="AH290" i="69"/>
  <c r="AN290" i="69"/>
  <c r="AG290" i="69"/>
  <c r="AF290" i="69"/>
  <c r="AD290" i="69"/>
  <c r="AM486" i="69"/>
  <c r="AK484" i="69"/>
  <c r="AJ483" i="69"/>
  <c r="AK481" i="69"/>
  <c r="AL485" i="69"/>
  <c r="AN487" i="69"/>
  <c r="AN481" i="69"/>
  <c r="AH481" i="69"/>
  <c r="AI482" i="69"/>
  <c r="AE481" i="69"/>
  <c r="AF350" i="69"/>
  <c r="AF352" i="69" s="1"/>
  <c r="AF200" i="69"/>
  <c r="AF45" i="69"/>
  <c r="AG36" i="69"/>
  <c r="AA63" i="69"/>
  <c r="AB95" i="69"/>
  <c r="AB64" i="69"/>
  <c r="AB9" i="69"/>
  <c r="AC356" i="69"/>
  <c r="AC442" i="69"/>
  <c r="AC214" i="69"/>
  <c r="AC215" i="69"/>
  <c r="AC213" i="69"/>
  <c r="AC207" i="69"/>
  <c r="AB331" i="69"/>
  <c r="AB218" i="69" s="1"/>
  <c r="AA218" i="69"/>
  <c r="AJ249" i="69"/>
  <c r="AK249" i="69"/>
  <c r="AL249" i="69" s="1"/>
  <c r="AM249" i="69" s="1"/>
  <c r="AN249" i="69" s="1"/>
  <c r="AF249" i="69"/>
  <c r="AH249" i="69"/>
  <c r="AG249" i="69"/>
  <c r="AE249" i="69"/>
  <c r="AC249" i="69"/>
  <c r="AB249" i="69"/>
  <c r="AI249" i="69"/>
  <c r="AD249" i="69"/>
  <c r="AE202" i="69"/>
  <c r="AB136" i="69"/>
  <c r="AB10" i="69"/>
  <c r="AB51" i="69"/>
  <c r="AC401" i="69"/>
  <c r="AC369" i="69"/>
  <c r="AK135" i="69"/>
  <c r="AB135" i="69"/>
  <c r="AM135" i="69"/>
  <c r="AE135" i="69"/>
  <c r="AD135" i="69"/>
  <c r="AC135" i="69"/>
  <c r="AN135" i="69"/>
  <c r="AL135" i="69"/>
  <c r="AJ135" i="69"/>
  <c r="AI135" i="69"/>
  <c r="AH135" i="69"/>
  <c r="AG135" i="69"/>
  <c r="AF135" i="69"/>
  <c r="AB250" i="69"/>
  <c r="AB219" i="69"/>
  <c r="AI94" i="69"/>
  <c r="AD94" i="69"/>
  <c r="AC94" i="69"/>
  <c r="AB94" i="69"/>
  <c r="AN94" i="69"/>
  <c r="AL94" i="69"/>
  <c r="AK94" i="69"/>
  <c r="AJ94" i="69"/>
  <c r="AH94" i="69"/>
  <c r="AG94" i="69"/>
  <c r="AF94" i="69"/>
  <c r="AE94" i="69"/>
  <c r="AM94" i="69"/>
  <c r="AE47" i="69"/>
  <c r="AD49" i="69"/>
  <c r="AD50" i="69" s="1"/>
  <c r="AE354" i="69"/>
  <c r="AE355" i="69" s="1"/>
  <c r="AB178" i="69"/>
  <c r="AB63" i="69" s="1"/>
  <c r="K96" i="59"/>
  <c r="K70" i="59"/>
  <c r="K42" i="59"/>
  <c r="K25" i="59"/>
  <c r="K31" i="59" s="1"/>
  <c r="K24" i="59"/>
  <c r="K30" i="59" s="1"/>
  <c r="K23" i="59"/>
  <c r="K29" i="59" s="1"/>
  <c r="K22" i="59"/>
  <c r="K28" i="59" s="1"/>
  <c r="K20" i="59"/>
  <c r="K11" i="59"/>
  <c r="K97" i="60"/>
  <c r="K71" i="60"/>
  <c r="K43" i="60"/>
  <c r="K26" i="60"/>
  <c r="K32" i="60" s="1"/>
  <c r="K25" i="60"/>
  <c r="K47" i="60" s="1"/>
  <c r="K53" i="60" s="1"/>
  <c r="K23" i="60"/>
  <c r="K29" i="60" s="1"/>
  <c r="K12" i="60"/>
  <c r="K17" i="60"/>
  <c r="K24" i="60" s="1"/>
  <c r="J13" i="16"/>
  <c r="T12" i="16"/>
  <c r="Z12" i="42"/>
  <c r="H7" i="42"/>
  <c r="I7" i="42"/>
  <c r="L21" i="42"/>
  <c r="AB7" i="60"/>
  <c r="AB1" i="60" s="1"/>
  <c r="Y7" i="42"/>
  <c r="Y12" i="42" s="1"/>
  <c r="V7" i="42"/>
  <c r="V12" i="42" s="1"/>
  <c r="N4" i="42"/>
  <c r="N6" i="42"/>
  <c r="O6" i="42" s="1"/>
  <c r="P6" i="42" s="1"/>
  <c r="K361" i="42"/>
  <c r="L361" i="42" s="1"/>
  <c r="M361" i="42" s="1"/>
  <c r="N361" i="42" s="1"/>
  <c r="O361" i="42" s="1"/>
  <c r="P361" i="42" s="1"/>
  <c r="Q361" i="42" s="1"/>
  <c r="R361" i="42" s="1"/>
  <c r="S361" i="42" s="1"/>
  <c r="T361" i="42" s="1"/>
  <c r="U361" i="42" s="1"/>
  <c r="V361" i="42" s="1"/>
  <c r="W361" i="42" s="1"/>
  <c r="X361" i="42" s="1"/>
  <c r="Y361" i="42" s="1"/>
  <c r="Z361" i="42" s="1"/>
  <c r="AA361" i="42" s="1"/>
  <c r="AB361" i="42" s="1"/>
  <c r="AC361" i="42" s="1"/>
  <c r="AD361" i="42" s="1"/>
  <c r="AE361" i="42" s="1"/>
  <c r="AF361" i="42" s="1"/>
  <c r="AG361" i="42" s="1"/>
  <c r="AH361" i="42" s="1"/>
  <c r="AI361" i="42" s="1"/>
  <c r="AJ361" i="42" s="1"/>
  <c r="AK361" i="42" s="1"/>
  <c r="AL361" i="42" s="1"/>
  <c r="AM361" i="42" s="1"/>
  <c r="AN361" i="42" s="1"/>
  <c r="M360" i="42"/>
  <c r="N360" i="42" s="1"/>
  <c r="O360" i="42" s="1"/>
  <c r="P360" i="42" s="1"/>
  <c r="Q360" i="42" s="1"/>
  <c r="R360" i="42" s="1"/>
  <c r="S360" i="42" s="1"/>
  <c r="T360" i="42" s="1"/>
  <c r="U360" i="42" s="1"/>
  <c r="V360" i="42" s="1"/>
  <c r="W360" i="42" s="1"/>
  <c r="X360" i="42" s="1"/>
  <c r="Y360" i="42" s="1"/>
  <c r="Z360" i="42" s="1"/>
  <c r="AA360" i="42" s="1"/>
  <c r="AB360" i="42" s="1"/>
  <c r="AC360" i="42" s="1"/>
  <c r="AD360" i="42" s="1"/>
  <c r="AE360" i="42" s="1"/>
  <c r="AF360" i="42" s="1"/>
  <c r="AG360" i="42" s="1"/>
  <c r="AH360" i="42" s="1"/>
  <c r="AI360" i="42" s="1"/>
  <c r="AJ360" i="42" s="1"/>
  <c r="AK360" i="42" s="1"/>
  <c r="AL360" i="42" s="1"/>
  <c r="AM360" i="42" s="1"/>
  <c r="AN360" i="42" s="1"/>
  <c r="M359" i="42"/>
  <c r="N359" i="42" s="1"/>
  <c r="O359" i="42" s="1"/>
  <c r="P359" i="42" s="1"/>
  <c r="Q359" i="42" s="1"/>
  <c r="R359" i="42" s="1"/>
  <c r="S359" i="42" s="1"/>
  <c r="T359" i="42" s="1"/>
  <c r="U359" i="42" s="1"/>
  <c r="V359" i="42" s="1"/>
  <c r="W359" i="42" s="1"/>
  <c r="X359" i="42" s="1"/>
  <c r="Y359" i="42" s="1"/>
  <c r="Z359" i="42" s="1"/>
  <c r="AA359" i="42" s="1"/>
  <c r="AB359" i="42" s="1"/>
  <c r="AC359" i="42" s="1"/>
  <c r="AD359" i="42" s="1"/>
  <c r="AE359" i="42" s="1"/>
  <c r="AF359" i="42" s="1"/>
  <c r="AG359" i="42" s="1"/>
  <c r="AH359" i="42" s="1"/>
  <c r="AI359" i="42" s="1"/>
  <c r="AJ359" i="42" s="1"/>
  <c r="AK359" i="42" s="1"/>
  <c r="AL359" i="42" s="1"/>
  <c r="AM359" i="42" s="1"/>
  <c r="AN359" i="42" s="1"/>
  <c r="AF92" i="73"/>
  <c r="AF11" i="73"/>
  <c r="AF89" i="73"/>
  <c r="AF15" i="73"/>
  <c r="AF52" i="73"/>
  <c r="AF30" i="73"/>
  <c r="AF3" i="73"/>
  <c r="AF38" i="73"/>
  <c r="AF68" i="73"/>
  <c r="AF97" i="73"/>
  <c r="AF33" i="73"/>
  <c r="AF83" i="73"/>
  <c r="AF69" i="73"/>
  <c r="AF51" i="73"/>
  <c r="AF21" i="73"/>
  <c r="AF5" i="73"/>
  <c r="AF96" i="73"/>
  <c r="AF93" i="73"/>
  <c r="AF53" i="73"/>
  <c r="AF37" i="73"/>
  <c r="AF36" i="73"/>
  <c r="AF13" i="73"/>
  <c r="AF56" i="73"/>
  <c r="AF90" i="73"/>
  <c r="AF85" i="73"/>
  <c r="AF66" i="73"/>
  <c r="AF70" i="73"/>
  <c r="AF17" i="73"/>
  <c r="AF34" i="73"/>
  <c r="AF41" i="73"/>
  <c r="AF84" i="73"/>
  <c r="AF31" i="73"/>
  <c r="AF94" i="73"/>
  <c r="AF86" i="73"/>
  <c r="AF82" i="73"/>
  <c r="AF19" i="73"/>
  <c r="R2" i="73"/>
  <c r="AF91" i="73"/>
  <c r="AF73" i="73"/>
  <c r="AF57" i="73"/>
  <c r="AF35" i="73"/>
  <c r="AF67" i="73"/>
  <c r="AF72" i="73"/>
  <c r="AF54" i="73"/>
  <c r="W36" i="16" l="1"/>
  <c r="X36" i="16" s="1"/>
  <c r="Y36" i="16" s="1"/>
  <c r="Z36" i="16" s="1"/>
  <c r="AA36" i="16" s="1"/>
  <c r="AB36" i="16" s="1"/>
  <c r="AC36" i="16" s="1"/>
  <c r="AD36" i="16" s="1"/>
  <c r="AE36" i="16" s="1"/>
  <c r="AF36" i="16" s="1"/>
  <c r="AG36" i="16" s="1"/>
  <c r="AH36" i="16" s="1"/>
  <c r="AI36" i="16" s="1"/>
  <c r="AJ36" i="16" s="1"/>
  <c r="AK36" i="16" s="1"/>
  <c r="AL36" i="16" s="1"/>
  <c r="AM36" i="16" s="1"/>
  <c r="AN36" i="16" s="1"/>
  <c r="K26" i="59"/>
  <c r="K32" i="59" s="1"/>
  <c r="K31" i="60"/>
  <c r="K45" i="59"/>
  <c r="K51" i="59" s="1"/>
  <c r="K46" i="59"/>
  <c r="K52" i="59" s="1"/>
  <c r="K47" i="59"/>
  <c r="K53" i="59" s="1"/>
  <c r="P4" i="42"/>
  <c r="AB4" i="42" s="1"/>
  <c r="AN4" i="42" s="1"/>
  <c r="AL4" i="42"/>
  <c r="K48" i="60"/>
  <c r="K54" i="60" s="1"/>
  <c r="K44" i="59"/>
  <c r="K45" i="60"/>
  <c r="K51" i="60" s="1"/>
  <c r="AB370" i="69"/>
  <c r="AB371" i="69" s="1"/>
  <c r="AC366" i="69"/>
  <c r="AD60" i="69"/>
  <c r="AD59" i="69"/>
  <c r="AD58" i="69"/>
  <c r="AD52" i="69"/>
  <c r="AJ442" i="69"/>
  <c r="AH442" i="69"/>
  <c r="AI442" i="69"/>
  <c r="AM442" i="69"/>
  <c r="AL442" i="69"/>
  <c r="AF442" i="69"/>
  <c r="AN442" i="69"/>
  <c r="AG442" i="69"/>
  <c r="AD442" i="69"/>
  <c r="AK442" i="69"/>
  <c r="AE442" i="69"/>
  <c r="AC137" i="69"/>
  <c r="AC10" i="69"/>
  <c r="AC51" i="69"/>
  <c r="AC367" i="69"/>
  <c r="AL482" i="69"/>
  <c r="AF482" i="69"/>
  <c r="AJ136" i="69"/>
  <c r="AM136" i="69"/>
  <c r="AG136" i="69"/>
  <c r="AF136" i="69"/>
  <c r="AE136" i="69"/>
  <c r="AD136" i="69"/>
  <c r="AK136" i="69"/>
  <c r="AI136" i="69"/>
  <c r="AH136" i="69"/>
  <c r="AC136" i="69"/>
  <c r="AN136" i="69"/>
  <c r="AL136" i="69"/>
  <c r="AE204" i="69"/>
  <c r="AE205" i="69" s="1"/>
  <c r="AK250" i="69"/>
  <c r="AI250" i="69"/>
  <c r="AN250" i="69"/>
  <c r="AH250" i="69"/>
  <c r="AM250" i="69"/>
  <c r="AJ250" i="69"/>
  <c r="AE250" i="69"/>
  <c r="AD250" i="69"/>
  <c r="AC250" i="69"/>
  <c r="AL250" i="69"/>
  <c r="AG250" i="69"/>
  <c r="AF250" i="69"/>
  <c r="AH331" i="69"/>
  <c r="AN331" i="69"/>
  <c r="AL335" i="69"/>
  <c r="AE331" i="69"/>
  <c r="AM336" i="69"/>
  <c r="AN337" i="69"/>
  <c r="AJ333" i="69"/>
  <c r="AK334" i="69"/>
  <c r="AK331" i="69"/>
  <c r="AI332" i="69"/>
  <c r="V20" i="69"/>
  <c r="U23" i="69"/>
  <c r="U21" i="69"/>
  <c r="AE363" i="69"/>
  <c r="AE364" i="69"/>
  <c r="AE365" i="69"/>
  <c r="AG350" i="69"/>
  <c r="AG352" i="69" s="1"/>
  <c r="AG45" i="69"/>
  <c r="AH36" i="69"/>
  <c r="AG200" i="69"/>
  <c r="V15" i="69"/>
  <c r="AD291" i="69"/>
  <c r="AC291" i="69"/>
  <c r="AM291" i="69"/>
  <c r="AN291" i="69"/>
  <c r="AI291" i="69"/>
  <c r="AK291" i="69"/>
  <c r="AJ291" i="69"/>
  <c r="AH291" i="69"/>
  <c r="AF291" i="69"/>
  <c r="AG291" i="69"/>
  <c r="AE291" i="69"/>
  <c r="AL291" i="69"/>
  <c r="AD483" i="69"/>
  <c r="AD368" i="69"/>
  <c r="AC251" i="69"/>
  <c r="AC219" i="69"/>
  <c r="AF47" i="69"/>
  <c r="AD369" i="69"/>
  <c r="AD402" i="69"/>
  <c r="AE49" i="69"/>
  <c r="AE50" i="69" s="1"/>
  <c r="AC179" i="69"/>
  <c r="AC63" i="69" s="1"/>
  <c r="AH95" i="69"/>
  <c r="AD95" i="69"/>
  <c r="AC95" i="69"/>
  <c r="AN95" i="69"/>
  <c r="AM95" i="69"/>
  <c r="AL95" i="69"/>
  <c r="AK95" i="69"/>
  <c r="AJ95" i="69"/>
  <c r="AI95" i="69"/>
  <c r="AG95" i="69"/>
  <c r="AF95" i="69"/>
  <c r="AE95" i="69"/>
  <c r="AH178" i="69"/>
  <c r="AE178" i="69"/>
  <c r="AN178" i="69"/>
  <c r="AK178" i="69"/>
  <c r="AK401" i="69"/>
  <c r="AL401" i="69"/>
  <c r="AF401" i="69"/>
  <c r="AJ401" i="69"/>
  <c r="AH401" i="69"/>
  <c r="AM401" i="69"/>
  <c r="AE401" i="69"/>
  <c r="AD401" i="69"/>
  <c r="AG401" i="69"/>
  <c r="AI401" i="69"/>
  <c r="AN401" i="69"/>
  <c r="AC332" i="69"/>
  <c r="AC218" i="69" s="1"/>
  <c r="AF202" i="69"/>
  <c r="AD213" i="69"/>
  <c r="AD214" i="69"/>
  <c r="AD215" i="69"/>
  <c r="AD207" i="69"/>
  <c r="AD443" i="69"/>
  <c r="AD356" i="69"/>
  <c r="AC292" i="69"/>
  <c r="AC206" i="69"/>
  <c r="AF354" i="69"/>
  <c r="AF355" i="69" s="1"/>
  <c r="AC96" i="69"/>
  <c r="AC9" i="69"/>
  <c r="AC64" i="69"/>
  <c r="L210" i="42"/>
  <c r="K21" i="59"/>
  <c r="K46" i="60"/>
  <c r="K30" i="60"/>
  <c r="K21" i="60"/>
  <c r="K22" i="60" s="1"/>
  <c r="K75" i="60"/>
  <c r="K81" i="60" s="1"/>
  <c r="M7" i="42"/>
  <c r="M12" i="42" s="1"/>
  <c r="K48" i="59" l="1"/>
  <c r="K54" i="59" s="1"/>
  <c r="K76" i="60"/>
  <c r="K82" i="60" s="1"/>
  <c r="K73" i="59"/>
  <c r="K79" i="59" s="1"/>
  <c r="K75" i="59"/>
  <c r="K81" i="59" s="1"/>
  <c r="K74" i="59"/>
  <c r="K80" i="59" s="1"/>
  <c r="K73" i="60"/>
  <c r="K79" i="60" s="1"/>
  <c r="K50" i="59"/>
  <c r="K72" i="59"/>
  <c r="K78" i="59" s="1"/>
  <c r="AC370" i="69"/>
  <c r="AC371" i="69" s="1"/>
  <c r="AD367" i="69"/>
  <c r="AD366" i="69"/>
  <c r="AF363" i="69"/>
  <c r="AF365" i="69"/>
  <c r="AF364" i="69"/>
  <c r="AE59" i="69"/>
  <c r="AE58" i="69"/>
  <c r="AE60" i="69"/>
  <c r="AE52" i="69"/>
  <c r="AD333" i="69"/>
  <c r="AD218" i="69" s="1"/>
  <c r="AH350" i="69"/>
  <c r="AH352" i="69" s="1"/>
  <c r="AI36" i="69"/>
  <c r="AH45" i="69"/>
  <c r="AH200" i="69"/>
  <c r="AG47" i="69"/>
  <c r="AJ137" i="69"/>
  <c r="AN137" i="69"/>
  <c r="AK137" i="69"/>
  <c r="AI137" i="69"/>
  <c r="AG137" i="69"/>
  <c r="AH137" i="69"/>
  <c r="AM137" i="69"/>
  <c r="AD137" i="69"/>
  <c r="AL137" i="69"/>
  <c r="AE137" i="69"/>
  <c r="AF137" i="69"/>
  <c r="W15" i="69"/>
  <c r="V23" i="69"/>
  <c r="W20" i="69"/>
  <c r="V21" i="69"/>
  <c r="AL402" i="69"/>
  <c r="AN402" i="69"/>
  <c r="AI402" i="69"/>
  <c r="AM402" i="69"/>
  <c r="AH402" i="69"/>
  <c r="AJ402" i="69"/>
  <c r="AE402" i="69"/>
  <c r="AK402" i="69"/>
  <c r="AF402" i="69"/>
  <c r="AG402" i="69"/>
  <c r="AE213" i="69"/>
  <c r="AE215" i="69"/>
  <c r="AE214" i="69"/>
  <c r="AE207" i="69"/>
  <c r="AG202" i="69"/>
  <c r="AF332" i="69"/>
  <c r="AL332" i="69"/>
  <c r="AF49" i="69"/>
  <c r="AF50" i="69" s="1"/>
  <c r="AG354" i="69"/>
  <c r="AG355" i="69" s="1"/>
  <c r="AD292" i="69"/>
  <c r="AE292" i="69"/>
  <c r="AN292" i="69"/>
  <c r="AG292" i="69"/>
  <c r="AI292" i="69"/>
  <c r="AH292" i="69"/>
  <c r="AF292" i="69"/>
  <c r="AK292" i="69"/>
  <c r="AJ292" i="69"/>
  <c r="AM292" i="69"/>
  <c r="AL292" i="69"/>
  <c r="AD9" i="69"/>
  <c r="AD97" i="69"/>
  <c r="AD64" i="69"/>
  <c r="AE484" i="69"/>
  <c r="AE368" i="69"/>
  <c r="AD10" i="69"/>
  <c r="AD138" i="69"/>
  <c r="AD51" i="69"/>
  <c r="AK251" i="69"/>
  <c r="AL251" i="69" s="1"/>
  <c r="AM251" i="69" s="1"/>
  <c r="AN251" i="69" s="1"/>
  <c r="AI251" i="69"/>
  <c r="AE251" i="69"/>
  <c r="AF251" i="69"/>
  <c r="AD251" i="69"/>
  <c r="AJ251" i="69"/>
  <c r="AH251" i="69"/>
  <c r="AG251" i="69"/>
  <c r="AE444" i="69"/>
  <c r="AE356" i="69"/>
  <c r="AD180" i="69"/>
  <c r="AD63" i="69" s="1"/>
  <c r="AH96" i="69"/>
  <c r="AE96" i="69"/>
  <c r="AD96" i="69"/>
  <c r="AI96" i="69"/>
  <c r="AG96" i="69"/>
  <c r="AF96" i="69"/>
  <c r="AK96" i="69"/>
  <c r="AN96" i="69"/>
  <c r="AJ96" i="69"/>
  <c r="AM96" i="69"/>
  <c r="AL96" i="69"/>
  <c r="AF204" i="69"/>
  <c r="AF205" i="69" s="1"/>
  <c r="AK443" i="69"/>
  <c r="AJ443" i="69"/>
  <c r="AM443" i="69"/>
  <c r="AE443" i="69"/>
  <c r="AG443" i="69"/>
  <c r="AF443" i="69"/>
  <c r="AN443" i="69"/>
  <c r="AL443" i="69"/>
  <c r="AH443" i="69"/>
  <c r="AI443" i="69"/>
  <c r="AF179" i="69"/>
  <c r="AL179" i="69"/>
  <c r="AI179" i="69"/>
  <c r="AE403" i="69"/>
  <c r="AE369" i="69"/>
  <c r="AD206" i="69"/>
  <c r="AD293" i="69"/>
  <c r="AD219" i="69"/>
  <c r="AD252" i="69"/>
  <c r="AG483" i="69"/>
  <c r="AM483" i="69"/>
  <c r="K52" i="60"/>
  <c r="K74" i="60"/>
  <c r="K80" i="60" s="1"/>
  <c r="K27" i="60"/>
  <c r="K76" i="59" l="1"/>
  <c r="K82" i="59" s="1"/>
  <c r="AE366" i="69"/>
  <c r="AD370" i="69"/>
  <c r="AD371" i="69" s="1"/>
  <c r="AE367" i="69"/>
  <c r="AF213" i="69"/>
  <c r="AF214" i="69"/>
  <c r="AF215" i="69"/>
  <c r="AF207" i="69"/>
  <c r="AG364" i="69"/>
  <c r="AG365" i="69"/>
  <c r="AG363" i="69"/>
  <c r="AF59" i="69"/>
  <c r="AF58" i="69"/>
  <c r="AF60" i="69"/>
  <c r="AF52" i="69"/>
  <c r="AE334" i="69"/>
  <c r="AE218" i="69" s="1"/>
  <c r="AL252" i="69"/>
  <c r="AJ252" i="69"/>
  <c r="AE252" i="69"/>
  <c r="AI252" i="69"/>
  <c r="AG252" i="69"/>
  <c r="AN252" i="69"/>
  <c r="AM252" i="69"/>
  <c r="AH252" i="69"/>
  <c r="AK252" i="69"/>
  <c r="AF252" i="69"/>
  <c r="X15" i="69"/>
  <c r="AK138" i="69"/>
  <c r="AE138" i="69"/>
  <c r="AN138" i="69"/>
  <c r="AM138" i="69"/>
  <c r="AL138" i="69"/>
  <c r="AI138" i="69"/>
  <c r="AH138" i="69"/>
  <c r="AG138" i="69"/>
  <c r="AF138" i="69"/>
  <c r="AJ138" i="69"/>
  <c r="AE181" i="69"/>
  <c r="AE63" i="69" s="1"/>
  <c r="AI97" i="69"/>
  <c r="AG97" i="69"/>
  <c r="AF97" i="69"/>
  <c r="AE97" i="69"/>
  <c r="AN97" i="69"/>
  <c r="AM97" i="69"/>
  <c r="AL97" i="69"/>
  <c r="AK97" i="69"/>
  <c r="AJ97" i="69"/>
  <c r="AH97" i="69"/>
  <c r="AE253" i="69"/>
  <c r="AE219" i="69"/>
  <c r="W23" i="69"/>
  <c r="X20" i="69"/>
  <c r="W21" i="69"/>
  <c r="AH354" i="69"/>
  <c r="AH355" i="69" s="1"/>
  <c r="AJ180" i="69"/>
  <c r="AG180" i="69"/>
  <c r="AM180" i="69"/>
  <c r="AM333" i="69"/>
  <c r="AG333" i="69"/>
  <c r="AM444" i="69"/>
  <c r="AJ444" i="69"/>
  <c r="AH444" i="69"/>
  <c r="AN444" i="69"/>
  <c r="AL444" i="69"/>
  <c r="AG444" i="69"/>
  <c r="AK444" i="69"/>
  <c r="AI444" i="69"/>
  <c r="AF444" i="69"/>
  <c r="AG204" i="69"/>
  <c r="AG205" i="69" s="1"/>
  <c r="AE139" i="69"/>
  <c r="AE10" i="69"/>
  <c r="AE51" i="69"/>
  <c r="AH484" i="69"/>
  <c r="AN484" i="69"/>
  <c r="AG49" i="69"/>
  <c r="AG50" i="69" s="1"/>
  <c r="AF445" i="69"/>
  <c r="AF356" i="69"/>
  <c r="AE293" i="69"/>
  <c r="AG293" i="69"/>
  <c r="AF293" i="69"/>
  <c r="AL293" i="69"/>
  <c r="AJ293" i="69"/>
  <c r="AN293" i="69"/>
  <c r="AH293" i="69"/>
  <c r="AK293" i="69"/>
  <c r="AM293" i="69"/>
  <c r="AI293" i="69"/>
  <c r="AE9" i="69"/>
  <c r="AE98" i="69"/>
  <c r="AE64" i="69"/>
  <c r="AN403" i="69"/>
  <c r="AM403" i="69"/>
  <c r="AF403" i="69"/>
  <c r="AJ403" i="69"/>
  <c r="AK403" i="69"/>
  <c r="AI403" i="69"/>
  <c r="AH403" i="69"/>
  <c r="AL403" i="69"/>
  <c r="AG403" i="69"/>
  <c r="AH202" i="69"/>
  <c r="AF485" i="69"/>
  <c r="AI485" i="69" s="1"/>
  <c r="AF368" i="69"/>
  <c r="AI350" i="69"/>
  <c r="AI352" i="69" s="1"/>
  <c r="AI45" i="69"/>
  <c r="AI200" i="69"/>
  <c r="AJ36" i="69"/>
  <c r="AE294" i="69"/>
  <c r="AE206" i="69"/>
  <c r="AH47" i="69"/>
  <c r="AF404" i="69"/>
  <c r="AF369" i="69"/>
  <c r="K33" i="60"/>
  <c r="K49" i="60"/>
  <c r="K98" i="59" l="1"/>
  <c r="K99" i="59" s="1"/>
  <c r="AF366" i="69"/>
  <c r="AF367" i="69"/>
  <c r="AE370" i="69"/>
  <c r="AE371" i="69" s="1"/>
  <c r="AG215" i="69"/>
  <c r="AG214" i="69"/>
  <c r="AG213" i="69"/>
  <c r="AG207" i="69"/>
  <c r="AH49" i="69"/>
  <c r="AH50" i="69" s="1"/>
  <c r="AF182" i="69"/>
  <c r="AF63" i="69" s="1"/>
  <c r="AF64" i="69"/>
  <c r="AF9" i="69"/>
  <c r="AF99" i="69"/>
  <c r="AF140" i="69"/>
  <c r="AF51" i="69"/>
  <c r="AF10" i="69"/>
  <c r="AG369" i="69"/>
  <c r="AG405" i="69"/>
  <c r="AJ350" i="69"/>
  <c r="AJ352" i="69" s="1"/>
  <c r="AJ200" i="69"/>
  <c r="AK36" i="69"/>
  <c r="AJ45" i="69"/>
  <c r="AG59" i="69"/>
  <c r="AG58" i="69"/>
  <c r="AG60" i="69"/>
  <c r="AG52" i="69"/>
  <c r="AG486" i="69"/>
  <c r="AJ486" i="69" s="1"/>
  <c r="AG368" i="69"/>
  <c r="AI202" i="69"/>
  <c r="AI47" i="69"/>
  <c r="AK181" i="69"/>
  <c r="AH181" i="69"/>
  <c r="AN181" i="69"/>
  <c r="Y15" i="69"/>
  <c r="AI354" i="69"/>
  <c r="AI355" i="69" s="1"/>
  <c r="AH364" i="69"/>
  <c r="AH363" i="69"/>
  <c r="AH365" i="69"/>
  <c r="AH334" i="69"/>
  <c r="AN334" i="69"/>
  <c r="AF335" i="69"/>
  <c r="AI335" i="69" s="1"/>
  <c r="X23" i="69"/>
  <c r="Y20" i="69"/>
  <c r="X21" i="69"/>
  <c r="AH204" i="69"/>
  <c r="AH205" i="69" s="1"/>
  <c r="AM139" i="69"/>
  <c r="AN139" i="69" s="1"/>
  <c r="AH139" i="69"/>
  <c r="AF139" i="69"/>
  <c r="AL139" i="69"/>
  <c r="AK139" i="69"/>
  <c r="AJ139" i="69"/>
  <c r="AI139" i="69"/>
  <c r="AG139" i="69"/>
  <c r="AH445" i="69"/>
  <c r="AJ445" i="69"/>
  <c r="AK445" i="69"/>
  <c r="AN445" i="69"/>
  <c r="AM445" i="69"/>
  <c r="AI445" i="69"/>
  <c r="AG445" i="69"/>
  <c r="AL445" i="69"/>
  <c r="AG446" i="69"/>
  <c r="AG356" i="69"/>
  <c r="AH404" i="69"/>
  <c r="AL404" i="69"/>
  <c r="AJ404" i="69"/>
  <c r="AI404" i="69"/>
  <c r="AM404" i="69"/>
  <c r="AK404" i="69"/>
  <c r="AG404" i="69"/>
  <c r="AN404" i="69"/>
  <c r="AF295" i="69"/>
  <c r="AF206" i="69"/>
  <c r="AK98" i="69"/>
  <c r="AJ98" i="69"/>
  <c r="AI98" i="69"/>
  <c r="AG98" i="69"/>
  <c r="AH98" i="69"/>
  <c r="AN98" i="69"/>
  <c r="AM98" i="69"/>
  <c r="AL98" i="69"/>
  <c r="AF98" i="69"/>
  <c r="AG294" i="69"/>
  <c r="AJ294" i="69"/>
  <c r="AI294" i="69"/>
  <c r="AF294" i="69"/>
  <c r="AH294" i="69"/>
  <c r="AM294" i="69"/>
  <c r="AL294" i="69"/>
  <c r="AK294" i="69"/>
  <c r="AN294" i="69"/>
  <c r="AN253" i="69"/>
  <c r="AL253" i="69"/>
  <c r="AI253" i="69"/>
  <c r="AM253" i="69"/>
  <c r="AG253" i="69"/>
  <c r="AF253" i="69"/>
  <c r="AK253" i="69"/>
  <c r="AJ253" i="69"/>
  <c r="AH253" i="69"/>
  <c r="AF254" i="69"/>
  <c r="AF219" i="69"/>
  <c r="K55" i="60"/>
  <c r="K77" i="60"/>
  <c r="AF370" i="69" l="1"/>
  <c r="AF371" i="69" s="1"/>
  <c r="AG367" i="69"/>
  <c r="K83" i="60"/>
  <c r="K99" i="60" s="1"/>
  <c r="K100" i="60" s="1"/>
  <c r="AI365" i="69"/>
  <c r="AI364" i="69"/>
  <c r="AI363" i="69"/>
  <c r="AH215" i="69"/>
  <c r="AH213" i="69"/>
  <c r="AH214" i="69"/>
  <c r="AH207" i="69"/>
  <c r="AI405" i="69"/>
  <c r="AM405" i="69"/>
  <c r="AK405" i="69"/>
  <c r="AN405" i="69"/>
  <c r="AH405" i="69"/>
  <c r="AL405" i="69"/>
  <c r="AJ405" i="69"/>
  <c r="AJ295" i="69"/>
  <c r="AN295" i="69"/>
  <c r="AM295" i="69"/>
  <c r="AK295" i="69"/>
  <c r="AI295" i="69"/>
  <c r="AG295" i="69"/>
  <c r="AH295" i="69"/>
  <c r="AL295" i="69"/>
  <c r="AL446" i="69"/>
  <c r="AH446" i="69"/>
  <c r="AM446" i="69"/>
  <c r="AJ446" i="69"/>
  <c r="AN446" i="69"/>
  <c r="AI446" i="69"/>
  <c r="AK446" i="69"/>
  <c r="AF218" i="69"/>
  <c r="AG183" i="69"/>
  <c r="AG366" i="69"/>
  <c r="Z15" i="69"/>
  <c r="AG100" i="69"/>
  <c r="AG9" i="69"/>
  <c r="AG64" i="69"/>
  <c r="AL140" i="69"/>
  <c r="AJ140" i="69"/>
  <c r="AM140" i="69"/>
  <c r="AN140" i="69" s="1"/>
  <c r="AK140" i="69"/>
  <c r="AH140" i="69"/>
  <c r="AI140" i="69"/>
  <c r="AG140" i="69"/>
  <c r="AG255" i="69"/>
  <c r="AG219" i="69"/>
  <c r="AG141" i="69"/>
  <c r="AG51" i="69"/>
  <c r="AG10" i="69"/>
  <c r="AG206" i="69"/>
  <c r="AG296" i="69"/>
  <c r="AJ47" i="69"/>
  <c r="AN99" i="69"/>
  <c r="AM99" i="69"/>
  <c r="AK99" i="69"/>
  <c r="AL99" i="69"/>
  <c r="AJ99" i="69"/>
  <c r="AI99" i="69"/>
  <c r="AH99" i="69"/>
  <c r="AG99" i="69"/>
  <c r="AG336" i="69"/>
  <c r="AJ336" i="69" s="1"/>
  <c r="AI182" i="69"/>
  <c r="AL182" i="69"/>
  <c r="AI204" i="69"/>
  <c r="AI205" i="69" s="1"/>
  <c r="Y23" i="69"/>
  <c r="Z20" i="69"/>
  <c r="Y21" i="69"/>
  <c r="AH58" i="69"/>
  <c r="AH59" i="69"/>
  <c r="AH60" i="69"/>
  <c r="AH52" i="69"/>
  <c r="AN254" i="69"/>
  <c r="AG254" i="69"/>
  <c r="AM254" i="69"/>
  <c r="AL254" i="69"/>
  <c r="AJ254" i="69"/>
  <c r="AI254" i="69"/>
  <c r="AK254" i="69"/>
  <c r="AH254" i="69"/>
  <c r="AH368" i="69"/>
  <c r="AH487" i="69"/>
  <c r="AK487" i="69" s="1"/>
  <c r="AK350" i="69"/>
  <c r="AK352" i="69" s="1"/>
  <c r="AL36" i="69"/>
  <c r="AK200" i="69"/>
  <c r="AK45" i="69"/>
  <c r="AH369" i="69"/>
  <c r="AH406" i="69"/>
  <c r="AI49" i="69"/>
  <c r="AI50" i="69" s="1"/>
  <c r="AJ202" i="69"/>
  <c r="AH356" i="69"/>
  <c r="AH447" i="69"/>
  <c r="AJ354" i="69"/>
  <c r="AJ355" i="69" s="1"/>
  <c r="AG370" i="69" l="1"/>
  <c r="AG371" i="69" s="1"/>
  <c r="AH366" i="69"/>
  <c r="AJ365" i="69"/>
  <c r="AJ364" i="69"/>
  <c r="AJ363" i="69"/>
  <c r="AI58" i="69"/>
  <c r="AI59" i="69"/>
  <c r="AI60" i="69"/>
  <c r="AI52" i="69"/>
  <c r="AH142" i="69"/>
  <c r="AH51" i="69"/>
  <c r="AH10" i="69"/>
  <c r="AH297" i="69"/>
  <c r="AH206" i="69"/>
  <c r="Z23" i="69"/>
  <c r="AA20" i="69"/>
  <c r="Z21" i="69"/>
  <c r="AH141" i="69"/>
  <c r="AI141" i="69"/>
  <c r="AL141" i="69"/>
  <c r="AK141" i="69"/>
  <c r="AJ141" i="69"/>
  <c r="AN141" i="69"/>
  <c r="AM141" i="69"/>
  <c r="AH219" i="69"/>
  <c r="AH256" i="69"/>
  <c r="AH337" i="69"/>
  <c r="AK337" i="69" s="1"/>
  <c r="AJ100" i="69"/>
  <c r="AI100" i="69"/>
  <c r="AH100" i="69"/>
  <c r="AL100" i="69"/>
  <c r="AK100" i="69"/>
  <c r="AM100" i="69"/>
  <c r="AN100" i="69"/>
  <c r="AI369" i="69"/>
  <c r="AI407" i="69"/>
  <c r="AJ183" i="69"/>
  <c r="AM183" i="69"/>
  <c r="AH9" i="69"/>
  <c r="AH101" i="69"/>
  <c r="AH64" i="69"/>
  <c r="AI255" i="69"/>
  <c r="AN255" i="69"/>
  <c r="AL255" i="69"/>
  <c r="AJ255" i="69"/>
  <c r="AH255" i="69"/>
  <c r="AM255" i="69"/>
  <c r="AK255" i="69"/>
  <c r="AI448" i="69"/>
  <c r="AI356" i="69"/>
  <c r="AK47" i="69"/>
  <c r="AJ49" i="69"/>
  <c r="AJ50" i="69" s="1"/>
  <c r="AA15" i="69"/>
  <c r="AN296" i="69"/>
  <c r="AK296" i="69"/>
  <c r="AJ296" i="69"/>
  <c r="AI296" i="69"/>
  <c r="AM296" i="69"/>
  <c r="AH296" i="69"/>
  <c r="AL296" i="69"/>
  <c r="AK354" i="69"/>
  <c r="AK355" i="69" s="1"/>
  <c r="AG218" i="69"/>
  <c r="AN406" i="69"/>
  <c r="AL406" i="69"/>
  <c r="AJ406" i="69"/>
  <c r="AM406" i="69"/>
  <c r="AK406" i="69"/>
  <c r="AI406" i="69"/>
  <c r="AM447" i="69"/>
  <c r="AJ447" i="69"/>
  <c r="AK447" i="69"/>
  <c r="AL447" i="69"/>
  <c r="AI447" i="69"/>
  <c r="AN447" i="69"/>
  <c r="AI213" i="69"/>
  <c r="AI214" i="69"/>
  <c r="AI215" i="69"/>
  <c r="AI207" i="69"/>
  <c r="AH367" i="69"/>
  <c r="AI488" i="69"/>
  <c r="AL488" i="69" s="1"/>
  <c r="AI368" i="69"/>
  <c r="AK202" i="69"/>
  <c r="AL350" i="69"/>
  <c r="AL352" i="69" s="1"/>
  <c r="AM36" i="69"/>
  <c r="AL200" i="69"/>
  <c r="AL45" i="69"/>
  <c r="AJ204" i="69"/>
  <c r="AJ205" i="69" s="1"/>
  <c r="AH184" i="69"/>
  <c r="AH63" i="69" s="1"/>
  <c r="AG63" i="69"/>
  <c r="AH370" i="69" l="1"/>
  <c r="AH371" i="69" s="1"/>
  <c r="AI366" i="69"/>
  <c r="AI367" i="69"/>
  <c r="AJ215" i="69"/>
  <c r="AJ213" i="69"/>
  <c r="AJ214" i="69"/>
  <c r="AJ207" i="69"/>
  <c r="AM142" i="69"/>
  <c r="AJ142" i="69"/>
  <c r="AN142" i="69"/>
  <c r="AL142" i="69"/>
  <c r="AI142" i="69"/>
  <c r="AK142" i="69"/>
  <c r="AL354" i="69"/>
  <c r="AL355" i="69" s="1"/>
  <c r="AJ58" i="69"/>
  <c r="AJ60" i="69"/>
  <c r="AJ59" i="69"/>
  <c r="AJ52" i="69"/>
  <c r="AI185" i="69"/>
  <c r="AL185" i="69" s="1"/>
  <c r="AK204" i="69"/>
  <c r="AK205" i="69" s="1"/>
  <c r="AK101" i="69"/>
  <c r="AM101" i="69"/>
  <c r="AL101" i="69"/>
  <c r="AJ101" i="69"/>
  <c r="AI101" i="69"/>
  <c r="AN101" i="69"/>
  <c r="AL297" i="69"/>
  <c r="AK297" i="69"/>
  <c r="AI297" i="69"/>
  <c r="AN297" i="69"/>
  <c r="AJ297" i="69"/>
  <c r="AM297" i="69"/>
  <c r="AJ369" i="69"/>
  <c r="AJ408" i="69"/>
  <c r="AI338" i="69"/>
  <c r="AL338" i="69" s="1"/>
  <c r="AH218" i="69"/>
  <c r="AJ449" i="69"/>
  <c r="AJ356" i="69"/>
  <c r="AL202" i="69"/>
  <c r="AB15" i="69"/>
  <c r="AM350" i="69"/>
  <c r="AM352" i="69" s="1"/>
  <c r="AM200" i="69"/>
  <c r="AN36" i="69"/>
  <c r="AM45" i="69"/>
  <c r="AK365" i="69"/>
  <c r="AK363" i="69"/>
  <c r="AK364" i="69"/>
  <c r="AA23" i="69"/>
  <c r="AB20" i="69"/>
  <c r="AA21" i="69"/>
  <c r="AI51" i="69"/>
  <c r="AI10" i="69"/>
  <c r="AI143" i="69"/>
  <c r="AK448" i="69"/>
  <c r="AN448" i="69"/>
  <c r="AL448" i="69"/>
  <c r="AJ448" i="69"/>
  <c r="AM448" i="69"/>
  <c r="AI298" i="69"/>
  <c r="AI206" i="69"/>
  <c r="AJ489" i="69"/>
  <c r="AM489" i="69" s="1"/>
  <c r="AJ368" i="69"/>
  <c r="AN256" i="69"/>
  <c r="AL256" i="69"/>
  <c r="AJ256" i="69"/>
  <c r="AI256" i="69"/>
  <c r="AM256" i="69"/>
  <c r="AK256" i="69"/>
  <c r="AK49" i="69"/>
  <c r="AK50" i="69" s="1"/>
  <c r="AI102" i="69"/>
  <c r="AI9" i="69"/>
  <c r="AI64" i="69"/>
  <c r="AK184" i="69"/>
  <c r="AN184" i="69"/>
  <c r="AM407" i="69"/>
  <c r="AL407" i="69"/>
  <c r="AK407" i="69"/>
  <c r="AJ407" i="69"/>
  <c r="AN407" i="69"/>
  <c r="AL47" i="69"/>
  <c r="AI257" i="69"/>
  <c r="AI219" i="69"/>
  <c r="AI370" i="69" l="1"/>
  <c r="AI371" i="69" s="1"/>
  <c r="AJ366" i="69"/>
  <c r="AJ367" i="69"/>
  <c r="AI63" i="69"/>
  <c r="AI218" i="69"/>
  <c r="AL365" i="69"/>
  <c r="AL363" i="69"/>
  <c r="AL364" i="69"/>
  <c r="AL204" i="69"/>
  <c r="AL205" i="69" s="1"/>
  <c r="AK215" i="69"/>
  <c r="AK214" i="69"/>
  <c r="AK213" i="69"/>
  <c r="AK207" i="69"/>
  <c r="AK450" i="69"/>
  <c r="AK356" i="69"/>
  <c r="AN102" i="69"/>
  <c r="AM102" i="69"/>
  <c r="AL102" i="69"/>
  <c r="AK102" i="69"/>
  <c r="AJ102" i="69"/>
  <c r="AK409" i="69"/>
  <c r="AK369" i="69"/>
  <c r="AL49" i="69"/>
  <c r="AL50" i="69" s="1"/>
  <c r="AK490" i="69"/>
  <c r="AN490" i="69" s="1"/>
  <c r="AK368" i="69"/>
  <c r="AJ299" i="69"/>
  <c r="AJ206" i="69"/>
  <c r="AK60" i="69"/>
  <c r="AK59" i="69"/>
  <c r="AK58" i="69"/>
  <c r="AK52" i="69"/>
  <c r="AJ258" i="69"/>
  <c r="AJ219" i="69"/>
  <c r="AN143" i="69"/>
  <c r="AM143" i="69"/>
  <c r="AL143" i="69"/>
  <c r="AK143" i="69"/>
  <c r="AJ143" i="69"/>
  <c r="AJ339" i="69"/>
  <c r="AM339" i="69" s="1"/>
  <c r="AM298" i="69"/>
  <c r="AJ298" i="69"/>
  <c r="AL298" i="69"/>
  <c r="AK298" i="69"/>
  <c r="AN298" i="69"/>
  <c r="AM354" i="69"/>
  <c r="AM355" i="69" s="1"/>
  <c r="AN408" i="69"/>
  <c r="AM408" i="69"/>
  <c r="AL408" i="69"/>
  <c r="AK408" i="69"/>
  <c r="AJ257" i="69"/>
  <c r="AK257" i="69"/>
  <c r="AN257" i="69"/>
  <c r="AL257" i="69"/>
  <c r="AM257" i="69"/>
  <c r="AM47" i="69"/>
  <c r="AJ103" i="69"/>
  <c r="AJ64" i="69"/>
  <c r="AJ9" i="69"/>
  <c r="AC20" i="69"/>
  <c r="AB23" i="69"/>
  <c r="AB21" i="69"/>
  <c r="AN449" i="69"/>
  <c r="AL449" i="69"/>
  <c r="AK449" i="69"/>
  <c r="AM449" i="69"/>
  <c r="AJ144" i="69"/>
  <c r="AJ51" i="69"/>
  <c r="AJ10" i="69"/>
  <c r="AJ186" i="69"/>
  <c r="AM186" i="69" s="1"/>
  <c r="AN350" i="69"/>
  <c r="AN352" i="69" s="1"/>
  <c r="AN200" i="69"/>
  <c r="AN45" i="69"/>
  <c r="AM202" i="69"/>
  <c r="AC15" i="69"/>
  <c r="AJ370" i="69" l="1"/>
  <c r="AJ371" i="69" s="1"/>
  <c r="AJ218" i="69"/>
  <c r="AK367" i="69"/>
  <c r="AK366" i="69"/>
  <c r="AM365" i="69"/>
  <c r="AM363" i="69"/>
  <c r="AM364" i="69"/>
  <c r="AL215" i="69"/>
  <c r="AL213" i="69"/>
  <c r="AL214" i="69"/>
  <c r="AL207" i="69"/>
  <c r="AN144" i="69"/>
  <c r="AL144" i="69"/>
  <c r="AK144" i="69"/>
  <c r="AM144" i="69"/>
  <c r="AK259" i="69"/>
  <c r="AK219" i="69"/>
  <c r="AN299" i="69"/>
  <c r="AM299" i="69"/>
  <c r="AK299" i="69"/>
  <c r="AL299" i="69"/>
  <c r="AK340" i="69"/>
  <c r="AN340" i="69" s="1"/>
  <c r="AN202" i="69"/>
  <c r="AJ63" i="69"/>
  <c r="AL451" i="69"/>
  <c r="AL356" i="69"/>
  <c r="AN450" i="69"/>
  <c r="AM450" i="69"/>
  <c r="AL450" i="69"/>
  <c r="AL369" i="69"/>
  <c r="AL410" i="69"/>
  <c r="AM258" i="69"/>
  <c r="AL258" i="69"/>
  <c r="AN258" i="69"/>
  <c r="AK258" i="69"/>
  <c r="AL491" i="69"/>
  <c r="AL368" i="69"/>
  <c r="AD20" i="69"/>
  <c r="AC23" i="69"/>
  <c r="AC21" i="69"/>
  <c r="AD15" i="69"/>
  <c r="AK145" i="69"/>
  <c r="AK51" i="69"/>
  <c r="AK10" i="69"/>
  <c r="AM409" i="69"/>
  <c r="AL409" i="69"/>
  <c r="AN409" i="69"/>
  <c r="AK187" i="69"/>
  <c r="AN187" i="69" s="1"/>
  <c r="AM204" i="69"/>
  <c r="AM205" i="69" s="1"/>
  <c r="AL103" i="69"/>
  <c r="AN103" i="69"/>
  <c r="AK103" i="69"/>
  <c r="AM103" i="69"/>
  <c r="AK300" i="69"/>
  <c r="AK206" i="69"/>
  <c r="AN47" i="69"/>
  <c r="AN354" i="69"/>
  <c r="AN355" i="69" s="1"/>
  <c r="AM49" i="69"/>
  <c r="AM50" i="69" s="1"/>
  <c r="AL60" i="69"/>
  <c r="AL59" i="69"/>
  <c r="AL58" i="69"/>
  <c r="AL52" i="69"/>
  <c r="AK104" i="69"/>
  <c r="AK64" i="69"/>
  <c r="AK9" i="69"/>
  <c r="AK370" i="69" l="1"/>
  <c r="AK371" i="69" s="1"/>
  <c r="AL367" i="69"/>
  <c r="AL366" i="69"/>
  <c r="AK218" i="69"/>
  <c r="AK63" i="69"/>
  <c r="AE20" i="69"/>
  <c r="AD23" i="69"/>
  <c r="AD21" i="69"/>
  <c r="AM300" i="69"/>
  <c r="AL300" i="69"/>
  <c r="AN300" i="69"/>
  <c r="AL64" i="69"/>
  <c r="AL9" i="69"/>
  <c r="AL105" i="69"/>
  <c r="AM451" i="69"/>
  <c r="AN451" i="69"/>
  <c r="AM60" i="69"/>
  <c r="AM59" i="69"/>
  <c r="AM58" i="69"/>
  <c r="AM52" i="69"/>
  <c r="AN145" i="69"/>
  <c r="AM145" i="69"/>
  <c r="AL145" i="69"/>
  <c r="AN410" i="69"/>
  <c r="AM410" i="69"/>
  <c r="AL259" i="69"/>
  <c r="AM259" i="69"/>
  <c r="AN259" i="69"/>
  <c r="AN104" i="69"/>
  <c r="AM104" i="69"/>
  <c r="AL104" i="69"/>
  <c r="AL301" i="69"/>
  <c r="AL206" i="69"/>
  <c r="AL188" i="69"/>
  <c r="AL63" i="69" s="1"/>
  <c r="AL219" i="69"/>
  <c r="AL260" i="69"/>
  <c r="AL341" i="69"/>
  <c r="AL218" i="69" s="1"/>
  <c r="AM215" i="69"/>
  <c r="AM214" i="69"/>
  <c r="AM213" i="69"/>
  <c r="AM207" i="69"/>
  <c r="AN365" i="69"/>
  <c r="AN364" i="69"/>
  <c r="AN363" i="69"/>
  <c r="AE15" i="69"/>
  <c r="AN204" i="69"/>
  <c r="AN205" i="69" s="1"/>
  <c r="AM411" i="69"/>
  <c r="AN411" i="69" s="1"/>
  <c r="AM369" i="69"/>
  <c r="AL146" i="69"/>
  <c r="AL10" i="69"/>
  <c r="AL51" i="69"/>
  <c r="AM452" i="69"/>
  <c r="AN452" i="69" s="1"/>
  <c r="AM356" i="69"/>
  <c r="AN49" i="69"/>
  <c r="AN50" i="69" s="1"/>
  <c r="AM492" i="69"/>
  <c r="AM368" i="69"/>
  <c r="AM366" i="69" l="1"/>
  <c r="AL370" i="69"/>
  <c r="AL371" i="69" s="1"/>
  <c r="AM367" i="69"/>
  <c r="AN215" i="69"/>
  <c r="AN214" i="69"/>
  <c r="AN213" i="69"/>
  <c r="AN207" i="69"/>
  <c r="AN146" i="69"/>
  <c r="AM146" i="69"/>
  <c r="AN453" i="69"/>
  <c r="AN367" i="69" s="1"/>
  <c r="AN356" i="69"/>
  <c r="AM219" i="69"/>
  <c r="AM261" i="69"/>
  <c r="AN261" i="69" s="1"/>
  <c r="AM301" i="69"/>
  <c r="AN301" i="69"/>
  <c r="AM206" i="69"/>
  <c r="AM302" i="69"/>
  <c r="AN302" i="69" s="1"/>
  <c r="AM64" i="69"/>
  <c r="AM9" i="69"/>
  <c r="AM106" i="69"/>
  <c r="AN106" i="69" s="1"/>
  <c r="AN369" i="69"/>
  <c r="AN412" i="69"/>
  <c r="AN366" i="69" s="1"/>
  <c r="AN493" i="69"/>
  <c r="AN368" i="69"/>
  <c r="AM342" i="69"/>
  <c r="AM218" i="69" s="1"/>
  <c r="AM189" i="69"/>
  <c r="AM63" i="69" s="1"/>
  <c r="AE23" i="69"/>
  <c r="AF20" i="69"/>
  <c r="AE21" i="69"/>
  <c r="AF15" i="69"/>
  <c r="AM260" i="69"/>
  <c r="AN260" i="69"/>
  <c r="AN105" i="69"/>
  <c r="AM105" i="69"/>
  <c r="AN60" i="69"/>
  <c r="AN58" i="69"/>
  <c r="AN59" i="69"/>
  <c r="AN52" i="69"/>
  <c r="AM51" i="69"/>
  <c r="AM147" i="69"/>
  <c r="AN147" i="69" s="1"/>
  <c r="AM10" i="69"/>
  <c r="AM370" i="69" l="1"/>
  <c r="AM371" i="69" s="1"/>
  <c r="AN370" i="69"/>
  <c r="AN371" i="69" s="1"/>
  <c r="AN190" i="69"/>
  <c r="AN63" i="69" s="1"/>
  <c r="AN107" i="69"/>
  <c r="AN9" i="69"/>
  <c r="AN64" i="69"/>
  <c r="AF23" i="69"/>
  <c r="AG20" i="69"/>
  <c r="AF21" i="69"/>
  <c r="AN219" i="69"/>
  <c r="AN262" i="69"/>
  <c r="AN51" i="69"/>
  <c r="AN148" i="69"/>
  <c r="AN10" i="69"/>
  <c r="AN303" i="69"/>
  <c r="AN206" i="69"/>
  <c r="AG15" i="69"/>
  <c r="AN343" i="69"/>
  <c r="AN218" i="69" s="1"/>
  <c r="AH15" i="69" l="1"/>
  <c r="AG23" i="69"/>
  <c r="AH20" i="69"/>
  <c r="AG21" i="69"/>
  <c r="AH23" i="69" l="1"/>
  <c r="AI20" i="69"/>
  <c r="AH21" i="69"/>
  <c r="AI15" i="69"/>
  <c r="AJ15" i="69" l="1"/>
  <c r="AI23" i="69"/>
  <c r="AJ20" i="69"/>
  <c r="AI21" i="69"/>
  <c r="AJ23" i="69" l="1"/>
  <c r="AK20" i="69"/>
  <c r="AJ21" i="69"/>
  <c r="AK15" i="69"/>
  <c r="AL15" i="69" l="1"/>
  <c r="AL20" i="69"/>
  <c r="AK23" i="69"/>
  <c r="AK21" i="69"/>
  <c r="AM20" i="69" l="1"/>
  <c r="AL23" i="69"/>
  <c r="AL21" i="69"/>
  <c r="AM15" i="69"/>
  <c r="AN15" i="69" l="1"/>
  <c r="AM23" i="69"/>
  <c r="AN20" i="69"/>
  <c r="AM21" i="69"/>
  <c r="AN23" i="69" l="1"/>
  <c r="AN21" i="69"/>
  <c r="N113" i="30" l="1"/>
  <c r="N207" i="30" s="1"/>
  <c r="T89" i="32"/>
  <c r="U89" i="32"/>
  <c r="V89" i="32"/>
  <c r="W89" i="32"/>
  <c r="X89" i="32"/>
  <c r="Y89" i="32"/>
  <c r="Z89" i="32"/>
  <c r="AA89" i="32"/>
  <c r="AB89" i="32"/>
  <c r="AC89" i="32"/>
  <c r="AD89" i="32"/>
  <c r="AH89" i="32"/>
  <c r="AI89" i="32"/>
  <c r="AJ89" i="32"/>
  <c r="AK89" i="32"/>
  <c r="AL89" i="32"/>
  <c r="AM89" i="32"/>
  <c r="AN89" i="32"/>
  <c r="AO89" i="32"/>
  <c r="AP89" i="32"/>
  <c r="AQ89" i="32"/>
  <c r="AR89" i="32"/>
  <c r="AS89" i="32"/>
  <c r="S89" i="32"/>
  <c r="W142" i="56"/>
  <c r="X142" i="56"/>
  <c r="Y142" i="56"/>
  <c r="Z142" i="56"/>
  <c r="AA142" i="56"/>
  <c r="AB142" i="56"/>
  <c r="AC142" i="56"/>
  <c r="AD142" i="56"/>
  <c r="AE142" i="56"/>
  <c r="AF142" i="56"/>
  <c r="AG142" i="56"/>
  <c r="V142" i="56"/>
  <c r="AH140" i="56"/>
  <c r="AH141" i="56"/>
  <c r="V66" i="56"/>
  <c r="AI10" i="65"/>
  <c r="AJ10" i="65"/>
  <c r="AK10" i="65"/>
  <c r="AL10" i="65"/>
  <c r="AM10" i="65"/>
  <c r="AN10" i="65"/>
  <c r="AO10" i="65"/>
  <c r="AP10" i="65"/>
  <c r="AQ10" i="65"/>
  <c r="AR10" i="65"/>
  <c r="AS10" i="65"/>
  <c r="AH10" i="65"/>
  <c r="V10" i="65"/>
  <c r="W10" i="65"/>
  <c r="X10" i="65"/>
  <c r="Y10" i="65"/>
  <c r="Z10" i="65"/>
  <c r="AD10" i="65"/>
  <c r="AP16" i="68"/>
  <c r="AB16" i="68"/>
  <c r="N16" i="68"/>
  <c r="AS67" i="52"/>
  <c r="AR67" i="52"/>
  <c r="AQ67" i="52"/>
  <c r="AP67" i="52"/>
  <c r="AO67" i="52"/>
  <c r="AN67" i="52"/>
  <c r="AM67" i="52"/>
  <c r="AL67" i="52"/>
  <c r="AK67" i="52"/>
  <c r="AJ67" i="52"/>
  <c r="AI67" i="52"/>
  <c r="AH67" i="52"/>
  <c r="AD67" i="52"/>
  <c r="AC67" i="52"/>
  <c r="AB67" i="52"/>
  <c r="AA67" i="52"/>
  <c r="Z67" i="52"/>
  <c r="Y67" i="52"/>
  <c r="X67" i="52"/>
  <c r="W67" i="52"/>
  <c r="V67" i="52"/>
  <c r="U67" i="52"/>
  <c r="T67" i="52"/>
  <c r="S67" i="52"/>
  <c r="AS67" i="51"/>
  <c r="AR67" i="51"/>
  <c r="AQ67" i="51"/>
  <c r="AP67" i="51"/>
  <c r="AO67" i="51"/>
  <c r="AN67" i="51"/>
  <c r="AM67" i="51"/>
  <c r="AL67" i="51"/>
  <c r="AK67" i="51"/>
  <c r="AJ67" i="51"/>
  <c r="AI67" i="51"/>
  <c r="AH67" i="51"/>
  <c r="AD67" i="51"/>
  <c r="AC67" i="51"/>
  <c r="AB67" i="51"/>
  <c r="AA67" i="51"/>
  <c r="Z67" i="51"/>
  <c r="Y67" i="51"/>
  <c r="X67" i="51"/>
  <c r="W67" i="51"/>
  <c r="V67" i="51"/>
  <c r="U67" i="51"/>
  <c r="T67" i="51"/>
  <c r="S67" i="51"/>
  <c r="AS67" i="66"/>
  <c r="AR67" i="66"/>
  <c r="AQ67" i="66"/>
  <c r="AP67" i="66"/>
  <c r="AO67" i="66"/>
  <c r="AN67" i="66"/>
  <c r="AM67" i="66"/>
  <c r="AL67" i="66"/>
  <c r="AK67" i="66"/>
  <c r="AJ67" i="66"/>
  <c r="AI67" i="66"/>
  <c r="AH67" i="66"/>
  <c r="AD67" i="66"/>
  <c r="AC67" i="66"/>
  <c r="AB67" i="66"/>
  <c r="AA67" i="66"/>
  <c r="Z67" i="66"/>
  <c r="Y67" i="66"/>
  <c r="X67" i="66"/>
  <c r="W67" i="66"/>
  <c r="V67" i="66"/>
  <c r="U67" i="66"/>
  <c r="T67" i="66"/>
  <c r="S67" i="66"/>
  <c r="AS68" i="65"/>
  <c r="AR68" i="65"/>
  <c r="AQ68" i="65"/>
  <c r="AP68" i="65"/>
  <c r="AO68" i="65"/>
  <c r="AN68" i="65"/>
  <c r="AM68" i="65"/>
  <c r="AL68" i="65"/>
  <c r="AK68" i="65"/>
  <c r="AJ68" i="65"/>
  <c r="AI68" i="65"/>
  <c r="P65" i="75" s="1"/>
  <c r="AH68" i="65"/>
  <c r="AD68" i="65"/>
  <c r="AC68" i="65"/>
  <c r="AB68" i="65"/>
  <c r="Z68" i="65"/>
  <c r="Y68" i="65"/>
  <c r="X68" i="65"/>
  <c r="W68" i="65"/>
  <c r="V68" i="65"/>
  <c r="U68" i="65"/>
  <c r="T68" i="65"/>
  <c r="S68" i="65"/>
  <c r="P64" i="75"/>
  <c r="AS68" i="52"/>
  <c r="AR68" i="52"/>
  <c r="AQ68" i="52"/>
  <c r="AP68" i="52"/>
  <c r="AO68" i="52"/>
  <c r="AN68" i="52"/>
  <c r="AM68" i="52"/>
  <c r="AL68" i="52"/>
  <c r="AK68" i="52"/>
  <c r="AJ68" i="52"/>
  <c r="AI68" i="52"/>
  <c r="AH68" i="52"/>
  <c r="AD68" i="52"/>
  <c r="AC68" i="52"/>
  <c r="AB68" i="52"/>
  <c r="AA68" i="52"/>
  <c r="Z68" i="52"/>
  <c r="Y68" i="52"/>
  <c r="X68" i="52"/>
  <c r="W68" i="52"/>
  <c r="V68" i="52"/>
  <c r="U68" i="52"/>
  <c r="T68" i="52"/>
  <c r="S68" i="52"/>
  <c r="AF53" i="35"/>
  <c r="AF57" i="35"/>
  <c r="AI67" i="59" s="1"/>
  <c r="AF58" i="35"/>
  <c r="AI69" i="65" s="1"/>
  <c r="AE53" i="35"/>
  <c r="AE57" i="35"/>
  <c r="AH67" i="59" s="1"/>
  <c r="AE58" i="35"/>
  <c r="AH69" i="65" s="1"/>
  <c r="AI60" i="51"/>
  <c r="AJ60" i="51"/>
  <c r="AK60" i="51"/>
  <c r="AL60" i="51"/>
  <c r="AM60" i="51"/>
  <c r="AQ60" i="51"/>
  <c r="T60" i="51"/>
  <c r="U60" i="51"/>
  <c r="V60" i="51"/>
  <c r="W60" i="51"/>
  <c r="X60" i="51"/>
  <c r="G142" i="30"/>
  <c r="H142" i="30"/>
  <c r="I142" i="30"/>
  <c r="J142" i="30"/>
  <c r="K142" i="30"/>
  <c r="L142" i="30"/>
  <c r="M142" i="30"/>
  <c r="N142" i="30"/>
  <c r="O142" i="30"/>
  <c r="P142" i="30"/>
  <c r="Q142" i="30"/>
  <c r="T59" i="66"/>
  <c r="S59" i="66"/>
  <c r="H52" i="67"/>
  <c r="G52" i="67"/>
  <c r="F52" i="67"/>
  <c r="E52" i="67"/>
  <c r="H51" i="67"/>
  <c r="G51" i="67"/>
  <c r="F51" i="67"/>
  <c r="E51" i="67"/>
  <c r="H50" i="67"/>
  <c r="G50" i="67"/>
  <c r="F50" i="67"/>
  <c r="E50" i="67"/>
  <c r="H49" i="67"/>
  <c r="G49" i="67"/>
  <c r="F49" i="67"/>
  <c r="E49" i="67"/>
  <c r="H48" i="67"/>
  <c r="O88" i="57" s="1"/>
  <c r="G48" i="67"/>
  <c r="N88" i="57" s="1"/>
  <c r="F48" i="67"/>
  <c r="M88" i="57" s="1"/>
  <c r="E48" i="67"/>
  <c r="H47" i="67"/>
  <c r="G47" i="67"/>
  <c r="F47" i="67"/>
  <c r="E47" i="67"/>
  <c r="H46" i="67"/>
  <c r="G46" i="67"/>
  <c r="F46" i="67"/>
  <c r="E46" i="67"/>
  <c r="H44" i="67"/>
  <c r="G44" i="67"/>
  <c r="F44" i="67"/>
  <c r="E44" i="67"/>
  <c r="H43" i="67"/>
  <c r="G43" i="67"/>
  <c r="F43" i="67"/>
  <c r="E43" i="67"/>
  <c r="H42" i="67"/>
  <c r="G42" i="67"/>
  <c r="F42" i="67"/>
  <c r="E42" i="67"/>
  <c r="H41" i="67"/>
  <c r="G41" i="67"/>
  <c r="F41" i="67"/>
  <c r="E41" i="67"/>
  <c r="H40" i="67"/>
  <c r="H39" i="67"/>
  <c r="O87" i="57" s="1"/>
  <c r="G39" i="67"/>
  <c r="N87" i="57" s="1"/>
  <c r="F39" i="67"/>
  <c r="M87" i="57" s="1"/>
  <c r="E39" i="67"/>
  <c r="H38" i="67"/>
  <c r="G38" i="67"/>
  <c r="F38" i="67"/>
  <c r="E38" i="67"/>
  <c r="H37" i="67"/>
  <c r="G37" i="67"/>
  <c r="E37" i="67"/>
  <c r="Q95" i="57"/>
  <c r="AU94" i="57"/>
  <c r="Q94" i="57"/>
  <c r="AU93" i="57"/>
  <c r="Q93" i="57"/>
  <c r="AU92" i="57"/>
  <c r="Q92" i="57"/>
  <c r="AU91" i="57"/>
  <c r="Q91" i="57"/>
  <c r="AU90" i="57"/>
  <c r="Q90" i="57"/>
  <c r="AU89" i="57"/>
  <c r="Q89" i="57"/>
  <c r="H87" i="73"/>
  <c r="N87" i="73"/>
  <c r="I87" i="73"/>
  <c r="P87" i="73"/>
  <c r="X87" i="73"/>
  <c r="M87" i="73"/>
  <c r="O87" i="73"/>
  <c r="J87" i="73"/>
  <c r="G87" i="73"/>
  <c r="Y87" i="73"/>
  <c r="U88" i="73"/>
  <c r="W87" i="73"/>
  <c r="AB87" i="73"/>
  <c r="R87" i="73"/>
  <c r="V88" i="73"/>
  <c r="S87" i="73"/>
  <c r="AC87" i="73"/>
  <c r="F87" i="73"/>
  <c r="AD87" i="73"/>
  <c r="Z87" i="73"/>
  <c r="AA87" i="73"/>
  <c r="V87" i="73"/>
  <c r="U87" i="73"/>
  <c r="Q87" i="73"/>
  <c r="T87" i="73"/>
  <c r="AE87" i="73"/>
  <c r="K87" i="73"/>
  <c r="AF87" i="73"/>
  <c r="L87" i="73"/>
  <c r="P63" i="75" l="1"/>
  <c r="AI68" i="66"/>
  <c r="AF48" i="35"/>
  <c r="AH68" i="66"/>
  <c r="AE48" i="35"/>
  <c r="AH142" i="56"/>
  <c r="AQ41" i="65"/>
  <c r="AQ19" i="65"/>
  <c r="AP41" i="65"/>
  <c r="AP19" i="65"/>
  <c r="AO41" i="65"/>
  <c r="AO19" i="65"/>
  <c r="AN41" i="65"/>
  <c r="AN19" i="65"/>
  <c r="AM41" i="65"/>
  <c r="AM19" i="65"/>
  <c r="X41" i="65"/>
  <c r="X19" i="65"/>
  <c r="W41" i="65"/>
  <c r="W19" i="65"/>
  <c r="AJ41" i="65"/>
  <c r="AJ19" i="65"/>
  <c r="AI41" i="65"/>
  <c r="AI19" i="65"/>
  <c r="AH41" i="65"/>
  <c r="AH19" i="65"/>
  <c r="AD41" i="65"/>
  <c r="AD19" i="65"/>
  <c r="Z41" i="65"/>
  <c r="Z19" i="65"/>
  <c r="Y41" i="65"/>
  <c r="Y19" i="65"/>
  <c r="AS41" i="65"/>
  <c r="AS19" i="65"/>
  <c r="AL41" i="65"/>
  <c r="AL19" i="65"/>
  <c r="AK41" i="65"/>
  <c r="AK19" i="65"/>
  <c r="V41" i="65"/>
  <c r="V19" i="65"/>
  <c r="AR41" i="65"/>
  <c r="AR19" i="65"/>
  <c r="Q53" i="37"/>
  <c r="Q90" i="51"/>
  <c r="N115" i="30"/>
  <c r="AB60" i="51"/>
  <c r="AA60" i="51"/>
  <c r="AP60" i="51"/>
  <c r="Z60" i="51"/>
  <c r="AO60" i="51"/>
  <c r="AH60" i="51"/>
  <c r="AS60" i="51"/>
  <c r="AC60" i="51"/>
  <c r="AR60" i="51"/>
  <c r="Y60" i="51"/>
  <c r="AN60" i="51"/>
  <c r="S60" i="51"/>
  <c r="AD60" i="51"/>
  <c r="AB64" i="32"/>
  <c r="AJ65" i="32"/>
  <c r="AH67" i="32"/>
  <c r="AS67" i="32"/>
  <c r="W67" i="32"/>
  <c r="U64" i="32"/>
  <c r="X67" i="32"/>
  <c r="AK67" i="32"/>
  <c r="Y67" i="32"/>
  <c r="AM67" i="32"/>
  <c r="T64" i="32"/>
  <c r="AH64" i="32"/>
  <c r="AS64" i="32"/>
  <c r="Z64" i="32"/>
  <c r="AN64" i="32"/>
  <c r="U67" i="32"/>
  <c r="AI67" i="32"/>
  <c r="AC67" i="32"/>
  <c r="AQ67" i="32"/>
  <c r="AA64" i="32"/>
  <c r="AO64" i="32"/>
  <c r="U65" i="32"/>
  <c r="AI65" i="32"/>
  <c r="S67" i="32"/>
  <c r="AD67" i="32"/>
  <c r="AR67" i="32"/>
  <c r="V65" i="32"/>
  <c r="AC64" i="32"/>
  <c r="AQ64" i="32"/>
  <c r="W65" i="32"/>
  <c r="AK65" i="32"/>
  <c r="AP64" i="32"/>
  <c r="S64" i="32"/>
  <c r="AD64" i="32"/>
  <c r="AR64" i="32"/>
  <c r="X65" i="32"/>
  <c r="AL65" i="32"/>
  <c r="AF67" i="66"/>
  <c r="B65" i="75" s="1"/>
  <c r="AJ67" i="32"/>
  <c r="AF67" i="52"/>
  <c r="H65" i="75" s="1"/>
  <c r="J65" i="75" s="1"/>
  <c r="AU67" i="52"/>
  <c r="AA65" i="75" s="1"/>
  <c r="AC65" i="75" s="1"/>
  <c r="Y65" i="32"/>
  <c r="AM65" i="32"/>
  <c r="AI64" i="32"/>
  <c r="Z65" i="32"/>
  <c r="AN65" i="32"/>
  <c r="AA65" i="32"/>
  <c r="AK64" i="32"/>
  <c r="AB65" i="32"/>
  <c r="AO65" i="32"/>
  <c r="W64" i="32"/>
  <c r="AP65" i="32"/>
  <c r="Q67" i="66"/>
  <c r="Z67" i="32"/>
  <c r="AN67" i="32"/>
  <c r="X64" i="32"/>
  <c r="AL64" i="32"/>
  <c r="AC65" i="32"/>
  <c r="AQ65" i="32"/>
  <c r="Q66" i="65"/>
  <c r="AA67" i="32"/>
  <c r="AO67" i="32"/>
  <c r="Q64" i="52"/>
  <c r="AU65" i="52"/>
  <c r="AA64" i="75" s="1"/>
  <c r="AC64" i="75" s="1"/>
  <c r="Y64" i="32"/>
  <c r="AM64" i="32"/>
  <c r="AF65" i="66"/>
  <c r="B64" i="75" s="1"/>
  <c r="AD65" i="32"/>
  <c r="AR65" i="32"/>
  <c r="AB67" i="32"/>
  <c r="AP67" i="32"/>
  <c r="T65" i="32"/>
  <c r="AS65" i="32"/>
  <c r="AF64" i="52"/>
  <c r="H63" i="75" s="1"/>
  <c r="J63" i="75" s="1"/>
  <c r="AU64" i="52"/>
  <c r="AA63" i="75" s="1"/>
  <c r="AC63" i="75" s="1"/>
  <c r="Q65" i="52"/>
  <c r="AU64" i="51"/>
  <c r="X63" i="75" s="1"/>
  <c r="Z63" i="75" s="1"/>
  <c r="AF64" i="66"/>
  <c r="B63" i="75" s="1"/>
  <c r="AU64" i="66"/>
  <c r="U63" i="75" s="1"/>
  <c r="Q65" i="66"/>
  <c r="AU67" i="66"/>
  <c r="U65" i="75" s="1"/>
  <c r="AF68" i="65"/>
  <c r="AU68" i="65"/>
  <c r="AL67" i="32"/>
  <c r="AF65" i="52"/>
  <c r="H64" i="75" s="1"/>
  <c r="J64" i="75" s="1"/>
  <c r="AF67" i="51"/>
  <c r="E65" i="75" s="1"/>
  <c r="G65" i="75" s="1"/>
  <c r="V67" i="32"/>
  <c r="Q64" i="66"/>
  <c r="AU65" i="66"/>
  <c r="U64" i="75" s="1"/>
  <c r="AU65" i="51"/>
  <c r="X64" i="75" s="1"/>
  <c r="Z64" i="75" s="1"/>
  <c r="AF66" i="65"/>
  <c r="T67" i="32"/>
  <c r="V64" i="32"/>
  <c r="AJ64" i="32"/>
  <c r="Q65" i="65"/>
  <c r="AF65" i="65"/>
  <c r="AU65" i="65"/>
  <c r="AU66" i="65"/>
  <c r="AH65" i="32"/>
  <c r="Q68" i="65"/>
  <c r="S65" i="32"/>
  <c r="Q67" i="60"/>
  <c r="AU67" i="60"/>
  <c r="Q64" i="57"/>
  <c r="N97" i="57"/>
  <c r="AU87" i="57"/>
  <c r="L97" i="57"/>
  <c r="AU52" i="37"/>
  <c r="O97" i="57"/>
  <c r="AU53" i="37"/>
  <c r="Q65" i="60"/>
  <c r="Q63" i="59"/>
  <c r="AF66" i="59"/>
  <c r="Q67" i="57"/>
  <c r="AU65" i="62"/>
  <c r="AU67" i="51"/>
  <c r="X65" i="75" s="1"/>
  <c r="Z65" i="75" s="1"/>
  <c r="AF65" i="51"/>
  <c r="E64" i="75" s="1"/>
  <c r="G64" i="75" s="1"/>
  <c r="AF64" i="51"/>
  <c r="E63" i="75" s="1"/>
  <c r="G63" i="75" s="1"/>
  <c r="Q64" i="51"/>
  <c r="Q67" i="51"/>
  <c r="Q65" i="51"/>
  <c r="Q68" i="52"/>
  <c r="AF68" i="52"/>
  <c r="H66" i="75" s="1"/>
  <c r="J66" i="75" s="1"/>
  <c r="AU68" i="52"/>
  <c r="AA66" i="75" s="1"/>
  <c r="AC66" i="75" s="1"/>
  <c r="AU66" i="59"/>
  <c r="Q64" i="59"/>
  <c r="Q66" i="59"/>
  <c r="Q64" i="60"/>
  <c r="AU67" i="61"/>
  <c r="Q65" i="61"/>
  <c r="Q67" i="61"/>
  <c r="Q65" i="62"/>
  <c r="AU90" i="51"/>
  <c r="X88" i="75" s="1"/>
  <c r="Z88" i="75" s="1"/>
  <c r="AU89" i="51"/>
  <c r="X87" i="75" s="1"/>
  <c r="Z87" i="75" s="1"/>
  <c r="Q52" i="37"/>
  <c r="M97" i="57"/>
  <c r="Q87" i="57"/>
  <c r="Q88" i="57"/>
  <c r="AU88" i="57"/>
  <c r="AD63" i="75" l="1"/>
  <c r="AF63" i="75" s="1"/>
  <c r="AD64" i="75"/>
  <c r="AF64" i="75" s="1"/>
  <c r="K63" i="75"/>
  <c r="M63" i="75" s="1"/>
  <c r="AD65" i="75"/>
  <c r="AF65" i="75" s="1"/>
  <c r="K65" i="75"/>
  <c r="M65" i="75" s="1"/>
  <c r="K64" i="75"/>
  <c r="M64" i="75" s="1"/>
  <c r="W63" i="75"/>
  <c r="W65" i="75"/>
  <c r="W64" i="75"/>
  <c r="D63" i="75"/>
  <c r="D64" i="75"/>
  <c r="D65" i="75"/>
  <c r="Q89" i="51"/>
  <c r="Q97" i="57"/>
  <c r="AJ63" i="75" l="1"/>
  <c r="AL63" i="75" s="1"/>
  <c r="Q64" i="75"/>
  <c r="S64" i="75" s="1"/>
  <c r="Q63" i="75"/>
  <c r="S63" i="75" s="1"/>
  <c r="AJ64" i="75"/>
  <c r="AL64" i="75" s="1"/>
  <c r="AJ65" i="75"/>
  <c r="AL65" i="75" s="1"/>
  <c r="Q65" i="75"/>
  <c r="S65" i="75" s="1"/>
  <c r="O87" i="59"/>
  <c r="N87" i="59"/>
  <c r="M87" i="59"/>
  <c r="L87" i="59"/>
  <c r="O86" i="59"/>
  <c r="N86" i="59"/>
  <c r="M86" i="59"/>
  <c r="Q94" i="59"/>
  <c r="AU93" i="59"/>
  <c r="Q93" i="59"/>
  <c r="AU92" i="59"/>
  <c r="Q92" i="59"/>
  <c r="AU91" i="59"/>
  <c r="Q91" i="59"/>
  <c r="AU90" i="59"/>
  <c r="Q90" i="59"/>
  <c r="AU89" i="59"/>
  <c r="Q89" i="59"/>
  <c r="AU88" i="59"/>
  <c r="Q88" i="59"/>
  <c r="AS88" i="60"/>
  <c r="AR88" i="60"/>
  <c r="AQ88" i="60"/>
  <c r="AP88" i="60"/>
  <c r="AO88" i="60"/>
  <c r="AN88" i="60"/>
  <c r="AM88" i="60"/>
  <c r="AL88" i="60"/>
  <c r="AK88" i="60"/>
  <c r="AJ88" i="60"/>
  <c r="AI88" i="60"/>
  <c r="AH88" i="60"/>
  <c r="AD88" i="60"/>
  <c r="AC88" i="60"/>
  <c r="AB88" i="60"/>
  <c r="AA88" i="60"/>
  <c r="Z88" i="60"/>
  <c r="Y88" i="60"/>
  <c r="X88" i="60"/>
  <c r="W88" i="60"/>
  <c r="V88" i="60"/>
  <c r="U88" i="60"/>
  <c r="T88" i="60"/>
  <c r="S88" i="60"/>
  <c r="L88" i="60"/>
  <c r="AS87" i="60"/>
  <c r="AR87" i="60"/>
  <c r="AQ87" i="60"/>
  <c r="AP87" i="60"/>
  <c r="AO87" i="60"/>
  <c r="AN87" i="60"/>
  <c r="AM87" i="60"/>
  <c r="AL87" i="60"/>
  <c r="AK87" i="60"/>
  <c r="AJ87" i="60"/>
  <c r="AI87" i="60"/>
  <c r="AH87" i="60"/>
  <c r="AD87" i="60"/>
  <c r="AC87" i="60"/>
  <c r="AB87" i="60"/>
  <c r="AA87" i="60"/>
  <c r="Z87" i="60"/>
  <c r="Y87" i="60"/>
  <c r="X87" i="60"/>
  <c r="W87" i="60"/>
  <c r="V87" i="60"/>
  <c r="U87" i="60"/>
  <c r="T87" i="60"/>
  <c r="S87" i="60"/>
  <c r="Q95" i="60"/>
  <c r="AU94" i="60"/>
  <c r="AF94" i="60"/>
  <c r="Q94" i="60"/>
  <c r="AU93" i="60"/>
  <c r="AF93" i="60"/>
  <c r="Q93" i="60"/>
  <c r="AU92" i="60"/>
  <c r="AF92" i="60"/>
  <c r="Q92" i="60"/>
  <c r="AU91" i="60"/>
  <c r="AF91" i="60"/>
  <c r="Q91" i="60"/>
  <c r="AU90" i="60"/>
  <c r="AF90" i="60"/>
  <c r="Q90" i="60"/>
  <c r="AU89" i="60"/>
  <c r="AF89" i="60"/>
  <c r="Q89" i="60"/>
  <c r="AS88" i="61"/>
  <c r="AR88" i="61"/>
  <c r="AQ88" i="61"/>
  <c r="AP88" i="61"/>
  <c r="AO88" i="61"/>
  <c r="AN88" i="61"/>
  <c r="AM88" i="61"/>
  <c r="AL88" i="61"/>
  <c r="AK88" i="61"/>
  <c r="AJ88" i="61"/>
  <c r="AI88" i="61"/>
  <c r="AH88" i="61"/>
  <c r="AD88" i="61"/>
  <c r="AC88" i="61"/>
  <c r="AB88" i="61"/>
  <c r="AA88" i="61"/>
  <c r="Z88" i="61"/>
  <c r="Y88" i="61"/>
  <c r="X88" i="61"/>
  <c r="W88" i="61"/>
  <c r="V88" i="61"/>
  <c r="U88" i="61"/>
  <c r="T88" i="61"/>
  <c r="S88" i="61"/>
  <c r="O88" i="61"/>
  <c r="N88" i="61"/>
  <c r="M88" i="61"/>
  <c r="AS87" i="61"/>
  <c r="AR87" i="61"/>
  <c r="AQ87" i="61"/>
  <c r="AP87" i="61"/>
  <c r="AO87" i="61"/>
  <c r="AN87" i="61"/>
  <c r="AM87" i="61"/>
  <c r="AL87" i="61"/>
  <c r="AK87" i="61"/>
  <c r="AJ87" i="61"/>
  <c r="AI87" i="61"/>
  <c r="AH87" i="61"/>
  <c r="AD87" i="61"/>
  <c r="AC87" i="61"/>
  <c r="AB87" i="61"/>
  <c r="AA87" i="61"/>
  <c r="Z87" i="61"/>
  <c r="Y87" i="61"/>
  <c r="X87" i="61"/>
  <c r="W87" i="61"/>
  <c r="V87" i="61"/>
  <c r="U87" i="61"/>
  <c r="T87" i="61"/>
  <c r="S87" i="61"/>
  <c r="O87" i="61"/>
  <c r="N87" i="61"/>
  <c r="M87" i="61"/>
  <c r="Q95" i="61"/>
  <c r="AU94" i="61"/>
  <c r="AF94" i="61"/>
  <c r="Q94" i="61"/>
  <c r="AU93" i="61"/>
  <c r="AF93" i="61"/>
  <c r="Q93" i="61"/>
  <c r="AU92" i="61"/>
  <c r="AF92" i="61"/>
  <c r="Q92" i="61"/>
  <c r="AU91" i="61"/>
  <c r="AF91" i="61"/>
  <c r="Q91" i="61"/>
  <c r="AU90" i="61"/>
  <c r="AF90" i="61"/>
  <c r="Q90" i="61"/>
  <c r="AU89" i="61"/>
  <c r="AF89" i="61"/>
  <c r="Q89" i="61"/>
  <c r="AS86" i="62"/>
  <c r="AR86" i="62"/>
  <c r="AQ86" i="62"/>
  <c r="AP86" i="62"/>
  <c r="AO86" i="62"/>
  <c r="AN86" i="62"/>
  <c r="AM86" i="62"/>
  <c r="AL86" i="62"/>
  <c r="AK86" i="62"/>
  <c r="AJ86" i="62"/>
  <c r="AI86" i="62"/>
  <c r="AH86" i="62"/>
  <c r="AD86" i="62"/>
  <c r="AC86" i="62"/>
  <c r="AB86" i="62"/>
  <c r="AA86" i="62"/>
  <c r="Z86" i="62"/>
  <c r="Y86" i="62"/>
  <c r="X86" i="62"/>
  <c r="W86" i="62"/>
  <c r="V86" i="62"/>
  <c r="U86" i="62"/>
  <c r="T86" i="62"/>
  <c r="S86" i="62"/>
  <c r="O86" i="62"/>
  <c r="N86" i="62"/>
  <c r="M86" i="62"/>
  <c r="AS85" i="62"/>
  <c r="AR85" i="62"/>
  <c r="AQ85" i="62"/>
  <c r="AP85" i="62"/>
  <c r="AO85" i="62"/>
  <c r="AN85" i="62"/>
  <c r="AM85" i="62"/>
  <c r="AL85" i="62"/>
  <c r="AK85" i="62"/>
  <c r="AJ85" i="62"/>
  <c r="AI85" i="62"/>
  <c r="AH85" i="62"/>
  <c r="AD85" i="62"/>
  <c r="AC85" i="62"/>
  <c r="AB85" i="62"/>
  <c r="AA85" i="62"/>
  <c r="Z85" i="62"/>
  <c r="Y85" i="62"/>
  <c r="X85" i="62"/>
  <c r="W85" i="62"/>
  <c r="V85" i="62"/>
  <c r="U85" i="62"/>
  <c r="T85" i="62"/>
  <c r="S85" i="62"/>
  <c r="O85" i="62"/>
  <c r="N85" i="62"/>
  <c r="M85" i="62"/>
  <c r="Q93" i="62"/>
  <c r="AU92" i="62"/>
  <c r="AF92" i="62"/>
  <c r="Q92" i="62"/>
  <c r="AU91" i="62"/>
  <c r="AF91" i="62"/>
  <c r="Q91" i="62"/>
  <c r="AU90" i="62"/>
  <c r="AF90" i="62"/>
  <c r="Q90" i="62"/>
  <c r="AU89" i="62"/>
  <c r="AF89" i="62"/>
  <c r="Q89" i="62"/>
  <c r="AU88" i="62"/>
  <c r="AF88" i="62"/>
  <c r="Q88" i="62"/>
  <c r="AU87" i="62"/>
  <c r="AF87" i="62"/>
  <c r="Q87" i="62"/>
  <c r="AI88" i="63"/>
  <c r="AJ88" i="63"/>
  <c r="AK88" i="63"/>
  <c r="AL88" i="63"/>
  <c r="AM88" i="63"/>
  <c r="AN88" i="63"/>
  <c r="AO88" i="63"/>
  <c r="AP88" i="63"/>
  <c r="AQ88" i="63"/>
  <c r="AR88" i="63"/>
  <c r="AS88" i="63"/>
  <c r="AI89" i="63"/>
  <c r="AJ89" i="63"/>
  <c r="AK89" i="63"/>
  <c r="AL89" i="63"/>
  <c r="AM89" i="63"/>
  <c r="AN89" i="63"/>
  <c r="AO89" i="63"/>
  <c r="AP89" i="63"/>
  <c r="AQ89" i="63"/>
  <c r="AR89" i="63"/>
  <c r="AS89" i="63"/>
  <c r="AH89" i="63"/>
  <c r="AH88" i="63"/>
  <c r="T88" i="63"/>
  <c r="U88" i="63"/>
  <c r="V88" i="63"/>
  <c r="W88" i="63"/>
  <c r="X88" i="63"/>
  <c r="Y88" i="63"/>
  <c r="Z88" i="63"/>
  <c r="AA88" i="63"/>
  <c r="AB88" i="63"/>
  <c r="AC88" i="63"/>
  <c r="AD88" i="63"/>
  <c r="T89" i="63"/>
  <c r="U89" i="63"/>
  <c r="V89" i="63"/>
  <c r="W89" i="63"/>
  <c r="X89" i="63"/>
  <c r="Y89" i="63"/>
  <c r="Z89" i="63"/>
  <c r="AA89" i="63"/>
  <c r="AB89" i="63"/>
  <c r="AC89" i="63"/>
  <c r="AD89" i="63"/>
  <c r="S89" i="63"/>
  <c r="S88" i="63"/>
  <c r="M88" i="63"/>
  <c r="N88" i="63"/>
  <c r="O88" i="63"/>
  <c r="M89" i="63"/>
  <c r="N89" i="63"/>
  <c r="O89" i="63"/>
  <c r="L88" i="63"/>
  <c r="M96" i="59" l="1"/>
  <c r="L96" i="59"/>
  <c r="M95" i="62"/>
  <c r="O97" i="61"/>
  <c r="Q87" i="59"/>
  <c r="N96" i="59"/>
  <c r="O96" i="59"/>
  <c r="Q85" i="62"/>
  <c r="M97" i="61"/>
  <c r="M97" i="60"/>
  <c r="N95" i="62"/>
  <c r="N97" i="61"/>
  <c r="N97" i="60"/>
  <c r="O95" i="62"/>
  <c r="O97" i="60"/>
  <c r="Q86" i="62"/>
  <c r="Q88" i="60"/>
  <c r="Q87" i="60"/>
  <c r="Q87" i="61"/>
  <c r="AU86" i="59"/>
  <c r="Q86" i="59"/>
  <c r="AU87" i="59"/>
  <c r="AF87" i="60"/>
  <c r="L97" i="60"/>
  <c r="AU87" i="60"/>
  <c r="AF88" i="60"/>
  <c r="AU88" i="60"/>
  <c r="Q88" i="61"/>
  <c r="AU87" i="61"/>
  <c r="L97" i="61"/>
  <c r="AF87" i="61"/>
  <c r="AF88" i="61"/>
  <c r="AU88" i="61"/>
  <c r="AU85" i="62"/>
  <c r="AF85" i="62"/>
  <c r="L95" i="62"/>
  <c r="AF86" i="62"/>
  <c r="AU86" i="62"/>
  <c r="AS69" i="52"/>
  <c r="AR69" i="52"/>
  <c r="AQ69" i="52"/>
  <c r="AP69" i="52"/>
  <c r="AO69" i="52"/>
  <c r="AN69" i="52"/>
  <c r="AM69" i="52"/>
  <c r="AL69" i="52"/>
  <c r="AK69" i="52"/>
  <c r="AJ69" i="52"/>
  <c r="AI69" i="52"/>
  <c r="AH69" i="52"/>
  <c r="AS63" i="52"/>
  <c r="AR63" i="52"/>
  <c r="AQ63" i="52"/>
  <c r="AP63" i="52"/>
  <c r="AO63" i="52"/>
  <c r="AN63" i="52"/>
  <c r="AM63" i="52"/>
  <c r="AL63" i="52"/>
  <c r="AK63" i="52"/>
  <c r="AJ63" i="52"/>
  <c r="AI63" i="52"/>
  <c r="AH63" i="52"/>
  <c r="AS62" i="52"/>
  <c r="AR62" i="52"/>
  <c r="AQ62" i="52"/>
  <c r="AP62" i="52"/>
  <c r="AO62" i="52"/>
  <c r="AN62" i="52"/>
  <c r="AM62" i="52"/>
  <c r="AL62" i="52"/>
  <c r="AK62" i="52"/>
  <c r="AJ62" i="52"/>
  <c r="AI62" i="52"/>
  <c r="AH62" i="52"/>
  <c r="AS61" i="52"/>
  <c r="AR61" i="52"/>
  <c r="AQ61" i="52"/>
  <c r="AP61" i="52"/>
  <c r="AO61" i="52"/>
  <c r="AN61" i="52"/>
  <c r="AM61" i="52"/>
  <c r="AL61" i="52"/>
  <c r="AK61" i="52"/>
  <c r="AJ61" i="52"/>
  <c r="AI61" i="52"/>
  <c r="AH61" i="52"/>
  <c r="AS37" i="52"/>
  <c r="AR37" i="52"/>
  <c r="AQ37" i="52"/>
  <c r="AP37" i="52"/>
  <c r="AO37" i="52"/>
  <c r="AN37" i="52"/>
  <c r="AM37" i="52"/>
  <c r="AL37" i="52"/>
  <c r="AK37" i="52"/>
  <c r="AJ37" i="52"/>
  <c r="AI37" i="52"/>
  <c r="AH37" i="52"/>
  <c r="AS10" i="52"/>
  <c r="AR10" i="52"/>
  <c r="AQ10" i="52"/>
  <c r="AP10" i="52"/>
  <c r="AO10" i="52"/>
  <c r="AN10" i="52"/>
  <c r="AM10" i="52"/>
  <c r="AL10" i="52"/>
  <c r="AK10" i="52"/>
  <c r="AJ10" i="52"/>
  <c r="AI10" i="52"/>
  <c r="AH10" i="52"/>
  <c r="AD69" i="52"/>
  <c r="AC69" i="52"/>
  <c r="AB69" i="52"/>
  <c r="AA69" i="52"/>
  <c r="Z69" i="52"/>
  <c r="Y69" i="52"/>
  <c r="X69" i="52"/>
  <c r="W69" i="52"/>
  <c r="V69" i="52"/>
  <c r="U69" i="52"/>
  <c r="T69" i="52"/>
  <c r="S69" i="52"/>
  <c r="AD63" i="52"/>
  <c r="AC63" i="52"/>
  <c r="AB63" i="52"/>
  <c r="AA63" i="52"/>
  <c r="Z63" i="52"/>
  <c r="Y63" i="52"/>
  <c r="X63" i="52"/>
  <c r="W63" i="52"/>
  <c r="V63" i="52"/>
  <c r="U63" i="52"/>
  <c r="T63" i="52"/>
  <c r="S63" i="52"/>
  <c r="AD62" i="52"/>
  <c r="AC62" i="52"/>
  <c r="AB62" i="52"/>
  <c r="AA62" i="52"/>
  <c r="Z62" i="52"/>
  <c r="Y62" i="52"/>
  <c r="X62" i="52"/>
  <c r="W62" i="52"/>
  <c r="V62" i="52"/>
  <c r="U62" i="52"/>
  <c r="T62" i="52"/>
  <c r="S62" i="52"/>
  <c r="AD61" i="52"/>
  <c r="AC61" i="52"/>
  <c r="AB61" i="52"/>
  <c r="AA61" i="52"/>
  <c r="Z61" i="52"/>
  <c r="Y61" i="52"/>
  <c r="X61" i="52"/>
  <c r="W61" i="52"/>
  <c r="V61" i="52"/>
  <c r="U61" i="52"/>
  <c r="T61" i="52"/>
  <c r="AD37" i="52"/>
  <c r="AC37" i="52"/>
  <c r="AB37" i="52"/>
  <c r="AA37" i="52"/>
  <c r="Z37" i="52"/>
  <c r="Y37" i="52"/>
  <c r="X37" i="52"/>
  <c r="W37" i="52"/>
  <c r="V37" i="52"/>
  <c r="U37" i="52"/>
  <c r="T37" i="52"/>
  <c r="S37" i="52"/>
  <c r="AD10" i="52"/>
  <c r="AC10" i="52"/>
  <c r="AB10" i="52"/>
  <c r="AA10" i="52"/>
  <c r="Z10" i="52"/>
  <c r="Y10" i="52"/>
  <c r="X10" i="52"/>
  <c r="W10" i="52"/>
  <c r="V10" i="52"/>
  <c r="U10" i="52"/>
  <c r="T10" i="52"/>
  <c r="S10" i="52"/>
  <c r="O97" i="52"/>
  <c r="N97" i="52"/>
  <c r="M97" i="52"/>
  <c r="O96" i="52"/>
  <c r="N96" i="52"/>
  <c r="M96" i="52"/>
  <c r="O95" i="52"/>
  <c r="N95" i="52"/>
  <c r="M95" i="52"/>
  <c r="O94" i="52"/>
  <c r="N94" i="52"/>
  <c r="M94" i="52"/>
  <c r="AS69" i="51"/>
  <c r="AR69" i="51"/>
  <c r="AQ69" i="51"/>
  <c r="AP69" i="51"/>
  <c r="AO69" i="51"/>
  <c r="AN69" i="51"/>
  <c r="AM69" i="51"/>
  <c r="AL69" i="51"/>
  <c r="AK69" i="51"/>
  <c r="AJ69" i="51"/>
  <c r="AI69" i="51"/>
  <c r="AH69" i="51"/>
  <c r="AS63" i="51"/>
  <c r="AR63" i="51"/>
  <c r="AQ63" i="51"/>
  <c r="AP63" i="51"/>
  <c r="AO63" i="51"/>
  <c r="AN63" i="51"/>
  <c r="AM63" i="51"/>
  <c r="AL63" i="51"/>
  <c r="AK63" i="51"/>
  <c r="AJ63" i="51"/>
  <c r="AI63" i="51"/>
  <c r="AH63" i="51"/>
  <c r="AS62" i="51"/>
  <c r="AR62" i="51"/>
  <c r="AQ62" i="51"/>
  <c r="AP62" i="51"/>
  <c r="AO62" i="51"/>
  <c r="AN62" i="51"/>
  <c r="AM62" i="51"/>
  <c r="AL62" i="51"/>
  <c r="AK62" i="51"/>
  <c r="AJ62" i="51"/>
  <c r="AI62" i="51"/>
  <c r="AH62" i="51"/>
  <c r="AS61" i="51"/>
  <c r="AR61" i="51"/>
  <c r="AQ61" i="51"/>
  <c r="AP61" i="51"/>
  <c r="AO61" i="51"/>
  <c r="AN61" i="51"/>
  <c r="AM61" i="51"/>
  <c r="AL61" i="51"/>
  <c r="AK61" i="51"/>
  <c r="AJ61" i="51"/>
  <c r="AI61" i="51"/>
  <c r="AH61" i="51"/>
  <c r="AS37" i="51"/>
  <c r="AR37" i="51"/>
  <c r="AQ37" i="51"/>
  <c r="AP37" i="51"/>
  <c r="AO37" i="51"/>
  <c r="AN37" i="51"/>
  <c r="AM37" i="51"/>
  <c r="AL37" i="51"/>
  <c r="AK37" i="51"/>
  <c r="AJ37" i="51"/>
  <c r="AI37" i="51"/>
  <c r="AH37" i="51"/>
  <c r="AS10" i="51"/>
  <c r="AR10" i="51"/>
  <c r="AQ10" i="51"/>
  <c r="AP10" i="51"/>
  <c r="AO10" i="51"/>
  <c r="AN10" i="51"/>
  <c r="AM10" i="51"/>
  <c r="AL10" i="51"/>
  <c r="AK10" i="51"/>
  <c r="AJ10" i="51"/>
  <c r="AI10" i="51"/>
  <c r="AH10" i="51"/>
  <c r="AD69" i="51"/>
  <c r="AC69" i="51"/>
  <c r="AB69" i="51"/>
  <c r="AA69" i="51"/>
  <c r="Z69" i="51"/>
  <c r="Y69" i="51"/>
  <c r="X69" i="51"/>
  <c r="W69" i="51"/>
  <c r="V69" i="51"/>
  <c r="U69" i="51"/>
  <c r="T69" i="51"/>
  <c r="S69" i="51"/>
  <c r="AD62" i="51"/>
  <c r="AC62" i="51"/>
  <c r="AB62" i="51"/>
  <c r="AA62" i="51"/>
  <c r="Z62" i="51"/>
  <c r="Y62" i="51"/>
  <c r="X62" i="51"/>
  <c r="W62" i="51"/>
  <c r="V62" i="51"/>
  <c r="U62" i="51"/>
  <c r="T62" i="51"/>
  <c r="S62" i="51"/>
  <c r="AD61" i="51"/>
  <c r="AC61" i="51"/>
  <c r="AB61" i="51"/>
  <c r="AA61" i="51"/>
  <c r="Z61" i="51"/>
  <c r="Y61" i="51"/>
  <c r="X61" i="51"/>
  <c r="W61" i="51"/>
  <c r="V61" i="51"/>
  <c r="U61" i="51"/>
  <c r="T61" i="51"/>
  <c r="S61" i="51"/>
  <c r="AD10" i="51"/>
  <c r="AC10" i="51"/>
  <c r="AB10" i="51"/>
  <c r="AA10" i="51"/>
  <c r="Z10" i="51"/>
  <c r="Y10" i="51"/>
  <c r="X10" i="51"/>
  <c r="W10" i="51"/>
  <c r="V10" i="51"/>
  <c r="U10" i="51"/>
  <c r="T10" i="51"/>
  <c r="S10" i="51"/>
  <c r="O97" i="51"/>
  <c r="N97" i="51"/>
  <c r="M97" i="51"/>
  <c r="O96" i="51"/>
  <c r="N96" i="51"/>
  <c r="M96" i="51"/>
  <c r="C41" i="66"/>
  <c r="V41" i="66" s="1"/>
  <c r="C40" i="66"/>
  <c r="C39" i="66"/>
  <c r="C38" i="66"/>
  <c r="AS9" i="66"/>
  <c r="AR9" i="66"/>
  <c r="AQ9" i="66"/>
  <c r="AP9" i="66"/>
  <c r="AO9" i="66"/>
  <c r="AN9" i="66"/>
  <c r="AM9" i="66"/>
  <c r="AL9" i="66"/>
  <c r="AK9" i="66"/>
  <c r="AJ9" i="66"/>
  <c r="AI9" i="66"/>
  <c r="AH9" i="66"/>
  <c r="AD9" i="66"/>
  <c r="Z9" i="66"/>
  <c r="Y9" i="66"/>
  <c r="X9" i="66"/>
  <c r="W9" i="66"/>
  <c r="V9" i="66"/>
  <c r="O99" i="66"/>
  <c r="N99" i="66"/>
  <c r="M99" i="66"/>
  <c r="Q97" i="66"/>
  <c r="AU96" i="66"/>
  <c r="U94" i="75" s="1"/>
  <c r="W94" i="75" s="1"/>
  <c r="AF96" i="66"/>
  <c r="B94" i="75" s="1"/>
  <c r="Q96" i="66"/>
  <c r="AU95" i="66"/>
  <c r="U93" i="75" s="1"/>
  <c r="W93" i="75" s="1"/>
  <c r="AF95" i="66"/>
  <c r="B93" i="75" s="1"/>
  <c r="Q95" i="66"/>
  <c r="AU94" i="66"/>
  <c r="U92" i="75" s="1"/>
  <c r="W92" i="75" s="1"/>
  <c r="AF94" i="66"/>
  <c r="B92" i="75" s="1"/>
  <c r="Q94" i="66"/>
  <c r="AU93" i="66"/>
  <c r="U91" i="75" s="1"/>
  <c r="W91" i="75" s="1"/>
  <c r="AF93" i="66"/>
  <c r="B91" i="75" s="1"/>
  <c r="Q93" i="66"/>
  <c r="AU92" i="66"/>
  <c r="U90" i="75" s="1"/>
  <c r="W90" i="75" s="1"/>
  <c r="AF92" i="66"/>
  <c r="B90" i="75" s="1"/>
  <c r="Q92" i="66"/>
  <c r="AU91" i="66"/>
  <c r="U89" i="75" s="1"/>
  <c r="W89" i="75" s="1"/>
  <c r="AF91" i="66"/>
  <c r="B89" i="75" s="1"/>
  <c r="Q91" i="66"/>
  <c r="AU90" i="66"/>
  <c r="U88" i="75" s="1"/>
  <c r="W88" i="75" s="1"/>
  <c r="AF90" i="66"/>
  <c r="B88" i="75" s="1"/>
  <c r="Q90" i="66"/>
  <c r="AU89" i="66"/>
  <c r="U87" i="75" s="1"/>
  <c r="W87" i="75" s="1"/>
  <c r="AF89" i="66"/>
  <c r="B87" i="75" s="1"/>
  <c r="Q89" i="66"/>
  <c r="AU69" i="66"/>
  <c r="U67" i="75" s="1"/>
  <c r="W67" i="75" s="1"/>
  <c r="AF69" i="66"/>
  <c r="B67" i="75" s="1"/>
  <c r="D67" i="75" s="1"/>
  <c r="Q69" i="66"/>
  <c r="AU63" i="66"/>
  <c r="U62" i="75" s="1"/>
  <c r="W62" i="75" s="1"/>
  <c r="AF63" i="66"/>
  <c r="B62" i="75" s="1"/>
  <c r="D62" i="75" s="1"/>
  <c r="Q63" i="66"/>
  <c r="AU62" i="66"/>
  <c r="U61" i="75" s="1"/>
  <c r="W61" i="75" s="1"/>
  <c r="AF62" i="66"/>
  <c r="B61" i="75" s="1"/>
  <c r="D61" i="75" s="1"/>
  <c r="Q62" i="66"/>
  <c r="AU61" i="66"/>
  <c r="U60" i="75" s="1"/>
  <c r="W60" i="75" s="1"/>
  <c r="AF61" i="66"/>
  <c r="B60" i="75" s="1"/>
  <c r="D60" i="75" s="1"/>
  <c r="Q61" i="66"/>
  <c r="AU37" i="66"/>
  <c r="U36" i="75" s="1"/>
  <c r="AF37" i="66"/>
  <c r="B36" i="75" s="1"/>
  <c r="Q37" i="66"/>
  <c r="AS19" i="66"/>
  <c r="AS26" i="66" s="1"/>
  <c r="AR19" i="66"/>
  <c r="AR26" i="66" s="1"/>
  <c r="N25" i="75" s="1"/>
  <c r="AQ19" i="66"/>
  <c r="AQ26" i="66" s="1"/>
  <c r="AP19" i="66"/>
  <c r="AP26" i="66" s="1"/>
  <c r="AP32" i="66" s="1"/>
  <c r="AO19" i="66"/>
  <c r="AO26" i="66" s="1"/>
  <c r="K25" i="75" s="1"/>
  <c r="AN19" i="66"/>
  <c r="AN26" i="66" s="1"/>
  <c r="AM19" i="66"/>
  <c r="AM26" i="66" s="1"/>
  <c r="AL19" i="66"/>
  <c r="AL26" i="66" s="1"/>
  <c r="H25" i="75" s="1"/>
  <c r="AK19" i="66"/>
  <c r="AK26" i="66" s="1"/>
  <c r="AJ19" i="66"/>
  <c r="AJ26" i="66" s="1"/>
  <c r="AI19" i="66"/>
  <c r="AI26" i="66" s="1"/>
  <c r="E25" i="75" s="1"/>
  <c r="AH19" i="66"/>
  <c r="AH26" i="66" s="1"/>
  <c r="AD19" i="66"/>
  <c r="AD26" i="66" s="1"/>
  <c r="AC19" i="66"/>
  <c r="AC26" i="66" s="1"/>
  <c r="AC32" i="66" s="1"/>
  <c r="AB19" i="66"/>
  <c r="AB26" i="66" s="1"/>
  <c r="AB32" i="66" s="1"/>
  <c r="AA19" i="66"/>
  <c r="AA26" i="66" s="1"/>
  <c r="Z19" i="66"/>
  <c r="Z26" i="66" s="1"/>
  <c r="Z32" i="66" s="1"/>
  <c r="Y19" i="66"/>
  <c r="Y26" i="66" s="1"/>
  <c r="Y32" i="66" s="1"/>
  <c r="X19" i="66"/>
  <c r="X26" i="66" s="1"/>
  <c r="X32" i="66" s="1"/>
  <c r="W19" i="66"/>
  <c r="W26" i="66" s="1"/>
  <c r="V19" i="66"/>
  <c r="V26" i="66" s="1"/>
  <c r="U19" i="66"/>
  <c r="U26" i="66" s="1"/>
  <c r="T19" i="66"/>
  <c r="T26" i="66" s="1"/>
  <c r="S19" i="66"/>
  <c r="S26" i="66" s="1"/>
  <c r="O26" i="66"/>
  <c r="N26" i="66"/>
  <c r="N32" i="66" s="1"/>
  <c r="M26" i="66"/>
  <c r="AU10" i="66"/>
  <c r="U9" i="75" s="1"/>
  <c r="W9" i="75" s="1"/>
  <c r="AF10" i="66"/>
  <c r="B9" i="75" s="1"/>
  <c r="D9" i="75" s="1"/>
  <c r="Q10" i="66"/>
  <c r="AI4" i="66"/>
  <c r="AJ4" i="66" s="1"/>
  <c r="AK4" i="66" s="1"/>
  <c r="AL4" i="66" s="1"/>
  <c r="AM4" i="66" s="1"/>
  <c r="AN4" i="66" s="1"/>
  <c r="AO4" i="66" s="1"/>
  <c r="AP4" i="66" s="1"/>
  <c r="AQ4" i="66" s="1"/>
  <c r="AR4" i="66" s="1"/>
  <c r="AS4" i="66" s="1"/>
  <c r="T4" i="66"/>
  <c r="U4" i="66" s="1"/>
  <c r="V4" i="66" s="1"/>
  <c r="W4" i="66" s="1"/>
  <c r="X4" i="66" s="1"/>
  <c r="Y4" i="66" s="1"/>
  <c r="Z4" i="66" s="1"/>
  <c r="AA4" i="66" s="1"/>
  <c r="AB4" i="66" s="1"/>
  <c r="AC4" i="66" s="1"/>
  <c r="AD4" i="66" s="1"/>
  <c r="I4" i="66"/>
  <c r="C39" i="65"/>
  <c r="AK26" i="65"/>
  <c r="AK32" i="65" s="1"/>
  <c r="AD26" i="65"/>
  <c r="AD32" i="65" s="1"/>
  <c r="V26" i="65"/>
  <c r="V32" i="65" s="1"/>
  <c r="O25" i="65"/>
  <c r="O31" i="65" s="1"/>
  <c r="C42" i="65"/>
  <c r="O98" i="65"/>
  <c r="N98" i="65"/>
  <c r="M98" i="65"/>
  <c r="Q96" i="65"/>
  <c r="AU95" i="65"/>
  <c r="Q95" i="65"/>
  <c r="AU94" i="65"/>
  <c r="Q94" i="65"/>
  <c r="AU93" i="65"/>
  <c r="Q93" i="65"/>
  <c r="AU92" i="65"/>
  <c r="Q92" i="65"/>
  <c r="AU91" i="65"/>
  <c r="Q91" i="65"/>
  <c r="AU90" i="65"/>
  <c r="Q90" i="65"/>
  <c r="AU89" i="65"/>
  <c r="Q89" i="65"/>
  <c r="AU88" i="65"/>
  <c r="Q88" i="65"/>
  <c r="AU70" i="65"/>
  <c r="AF70" i="65"/>
  <c r="Q70" i="65"/>
  <c r="AU64" i="65"/>
  <c r="AF64" i="65"/>
  <c r="Q64" i="65"/>
  <c r="AU63" i="65"/>
  <c r="AF63" i="65"/>
  <c r="Q63" i="65"/>
  <c r="AU62" i="65"/>
  <c r="AF62" i="65"/>
  <c r="Q62" i="65"/>
  <c r="AU38" i="65"/>
  <c r="AF38" i="65"/>
  <c r="Q38" i="65"/>
  <c r="AS27" i="65"/>
  <c r="AS33" i="65" s="1"/>
  <c r="AR27" i="65"/>
  <c r="AR33" i="65" s="1"/>
  <c r="AQ27" i="65"/>
  <c r="AQ33" i="65" s="1"/>
  <c r="AP27" i="65"/>
  <c r="AP33" i="65" s="1"/>
  <c r="AO27" i="65"/>
  <c r="AO33" i="65" s="1"/>
  <c r="AN27" i="65"/>
  <c r="AM27" i="65"/>
  <c r="AM33" i="65" s="1"/>
  <c r="AL27" i="65"/>
  <c r="AK27" i="65"/>
  <c r="AK33" i="65" s="1"/>
  <c r="AJ27" i="65"/>
  <c r="AJ33" i="65" s="1"/>
  <c r="AI27" i="65"/>
  <c r="AI33" i="65" s="1"/>
  <c r="AH27" i="65"/>
  <c r="AH33" i="65" s="1"/>
  <c r="AD27" i="65"/>
  <c r="AD33" i="65" s="1"/>
  <c r="AC27" i="65"/>
  <c r="AC33" i="65" s="1"/>
  <c r="AB27" i="65"/>
  <c r="AB33" i="65" s="1"/>
  <c r="AA27" i="65"/>
  <c r="AA33" i="65" s="1"/>
  <c r="Z27" i="65"/>
  <c r="Z33" i="65" s="1"/>
  <c r="Y27" i="65"/>
  <c r="Y33" i="65" s="1"/>
  <c r="X27" i="65"/>
  <c r="X33" i="65" s="1"/>
  <c r="W27" i="65"/>
  <c r="W33" i="65" s="1"/>
  <c r="V27" i="65"/>
  <c r="V33" i="65" s="1"/>
  <c r="U27" i="65"/>
  <c r="U33" i="65" s="1"/>
  <c r="T27" i="65"/>
  <c r="T33" i="65" s="1"/>
  <c r="S27" i="65"/>
  <c r="S33" i="65" s="1"/>
  <c r="O20" i="65"/>
  <c r="O27" i="65" s="1"/>
  <c r="O33" i="65" s="1"/>
  <c r="N20" i="65"/>
  <c r="N27" i="65" s="1"/>
  <c r="N33" i="65" s="1"/>
  <c r="M20" i="65"/>
  <c r="M27" i="65" s="1"/>
  <c r="M33" i="65" s="1"/>
  <c r="AU11" i="65"/>
  <c r="AF11" i="65"/>
  <c r="Q11" i="65"/>
  <c r="AI5" i="65"/>
  <c r="AJ5" i="65" s="1"/>
  <c r="AK5" i="65" s="1"/>
  <c r="AL5" i="65" s="1"/>
  <c r="AM5" i="65" s="1"/>
  <c r="AN5" i="65" s="1"/>
  <c r="AO5" i="65" s="1"/>
  <c r="AP5" i="65" s="1"/>
  <c r="AQ5" i="65" s="1"/>
  <c r="AR5" i="65" s="1"/>
  <c r="AS5" i="65" s="1"/>
  <c r="T5" i="65"/>
  <c r="U5" i="65" s="1"/>
  <c r="V5" i="65" s="1"/>
  <c r="W5" i="65" s="1"/>
  <c r="X5" i="65" s="1"/>
  <c r="Y5" i="65" s="1"/>
  <c r="Z5" i="65" s="1"/>
  <c r="AA5" i="65" s="1"/>
  <c r="AB5" i="65" s="1"/>
  <c r="AC5" i="65" s="1"/>
  <c r="AD5" i="65" s="1"/>
  <c r="I5" i="65"/>
  <c r="J5" i="65" s="1"/>
  <c r="K5" i="65" s="1"/>
  <c r="C41" i="63"/>
  <c r="AR41" i="63" s="1"/>
  <c r="C40" i="63"/>
  <c r="C39" i="63"/>
  <c r="AJ39" i="63" s="1"/>
  <c r="C38" i="63"/>
  <c r="AS9" i="63"/>
  <c r="AR9" i="63"/>
  <c r="AQ9" i="63"/>
  <c r="AP9" i="63"/>
  <c r="AO9" i="63"/>
  <c r="AN9" i="63"/>
  <c r="AM9" i="63"/>
  <c r="AL9" i="63"/>
  <c r="AK9" i="63"/>
  <c r="AJ9" i="63"/>
  <c r="AI9" i="63"/>
  <c r="AH9" i="63"/>
  <c r="AD9" i="63"/>
  <c r="Z9" i="63"/>
  <c r="Y9" i="63"/>
  <c r="X9" i="63"/>
  <c r="W9" i="63"/>
  <c r="V9" i="63"/>
  <c r="T9" i="63"/>
  <c r="O9" i="63"/>
  <c r="N9" i="63"/>
  <c r="M9" i="63"/>
  <c r="L9" i="63"/>
  <c r="L18" i="63" s="1"/>
  <c r="O98" i="63"/>
  <c r="N98" i="63"/>
  <c r="M98" i="63"/>
  <c r="L98" i="63"/>
  <c r="Q96" i="63"/>
  <c r="AU95" i="63"/>
  <c r="AF95" i="63"/>
  <c r="Q95" i="63"/>
  <c r="AU94" i="63"/>
  <c r="AF94" i="63"/>
  <c r="Q94" i="63"/>
  <c r="AU93" i="63"/>
  <c r="AF93" i="63"/>
  <c r="Q93" i="63"/>
  <c r="AU92" i="63"/>
  <c r="AF92" i="63"/>
  <c r="Q92" i="63"/>
  <c r="AU91" i="63"/>
  <c r="AF91" i="63"/>
  <c r="Q91" i="63"/>
  <c r="AU90" i="63"/>
  <c r="AF90" i="63"/>
  <c r="Q90" i="63"/>
  <c r="AU89" i="63"/>
  <c r="AF89" i="63"/>
  <c r="Q89" i="63"/>
  <c r="AU88" i="63"/>
  <c r="AF88" i="63"/>
  <c r="Q88" i="63"/>
  <c r="AU69" i="63"/>
  <c r="AF69" i="63"/>
  <c r="Q69" i="63"/>
  <c r="AU67" i="63"/>
  <c r="Q67" i="63"/>
  <c r="Q65" i="63"/>
  <c r="Q64" i="63"/>
  <c r="AU63" i="63"/>
  <c r="Q63" i="63"/>
  <c r="AU62" i="63"/>
  <c r="Q62" i="63"/>
  <c r="AU61" i="63"/>
  <c r="Q61" i="63"/>
  <c r="AU37" i="63"/>
  <c r="AF37" i="63"/>
  <c r="Q37" i="63"/>
  <c r="AS19" i="63"/>
  <c r="AS26" i="63" s="1"/>
  <c r="AR19" i="63"/>
  <c r="AR26" i="63" s="1"/>
  <c r="AQ19" i="63"/>
  <c r="AQ26" i="63" s="1"/>
  <c r="AP19" i="63"/>
  <c r="AP26" i="63" s="1"/>
  <c r="AO19" i="63"/>
  <c r="AO26" i="63" s="1"/>
  <c r="AO32" i="63" s="1"/>
  <c r="AN19" i="63"/>
  <c r="AM19" i="63"/>
  <c r="AL19" i="63"/>
  <c r="AL26" i="63" s="1"/>
  <c r="AK19" i="63"/>
  <c r="AK26" i="63" s="1"/>
  <c r="AJ19" i="63"/>
  <c r="AJ26" i="63" s="1"/>
  <c r="AJ32" i="63" s="1"/>
  <c r="AI19" i="63"/>
  <c r="AI26" i="63" s="1"/>
  <c r="AH19" i="63"/>
  <c r="AH26" i="63" s="1"/>
  <c r="AD19" i="63"/>
  <c r="AD26" i="63" s="1"/>
  <c r="AD32" i="63" s="1"/>
  <c r="AC19" i="63"/>
  <c r="AB19" i="63"/>
  <c r="AB26" i="63" s="1"/>
  <c r="AB32" i="63" s="1"/>
  <c r="AA19" i="63"/>
  <c r="Z19" i="63"/>
  <c r="Z26" i="63" s="1"/>
  <c r="Z32" i="63" s="1"/>
  <c r="Y19" i="63"/>
  <c r="X19" i="63"/>
  <c r="X26" i="63" s="1"/>
  <c r="X32" i="63" s="1"/>
  <c r="W19" i="63"/>
  <c r="W26" i="63" s="1"/>
  <c r="V19" i="63"/>
  <c r="V26" i="63" s="1"/>
  <c r="V32" i="63" s="1"/>
  <c r="U19" i="63"/>
  <c r="U26" i="63" s="1"/>
  <c r="U32" i="63" s="1"/>
  <c r="T19" i="63"/>
  <c r="T26" i="63" s="1"/>
  <c r="S19" i="63"/>
  <c r="S26" i="63" s="1"/>
  <c r="O19" i="63"/>
  <c r="O26" i="63" s="1"/>
  <c r="N19" i="63"/>
  <c r="N26" i="63" s="1"/>
  <c r="M19" i="63"/>
  <c r="M26" i="63" s="1"/>
  <c r="L19" i="63"/>
  <c r="L26" i="63" s="1"/>
  <c r="AU10" i="63"/>
  <c r="AF10" i="63"/>
  <c r="Q10" i="63"/>
  <c r="AI4" i="63"/>
  <c r="AJ4" i="63" s="1"/>
  <c r="AK4" i="63" s="1"/>
  <c r="AL4" i="63" s="1"/>
  <c r="AM4" i="63" s="1"/>
  <c r="AN4" i="63" s="1"/>
  <c r="AO4" i="63" s="1"/>
  <c r="AP4" i="63" s="1"/>
  <c r="AQ4" i="63" s="1"/>
  <c r="AR4" i="63" s="1"/>
  <c r="AS4" i="63" s="1"/>
  <c r="T4" i="63"/>
  <c r="U4" i="63" s="1"/>
  <c r="V4" i="63" s="1"/>
  <c r="W4" i="63" s="1"/>
  <c r="X4" i="63" s="1"/>
  <c r="Y4" i="63" s="1"/>
  <c r="Z4" i="63" s="1"/>
  <c r="AA4" i="63" s="1"/>
  <c r="AB4" i="63" s="1"/>
  <c r="AC4" i="63" s="1"/>
  <c r="AD4" i="63" s="1"/>
  <c r="I4" i="63"/>
  <c r="J4" i="63" s="1"/>
  <c r="K4" i="63" s="1"/>
  <c r="L4" i="63" s="1"/>
  <c r="M4" i="63" s="1"/>
  <c r="N4" i="63" s="1"/>
  <c r="O4" i="63" s="1"/>
  <c r="C40" i="62"/>
  <c r="AQ40" i="62" s="1"/>
  <c r="C39" i="62"/>
  <c r="C38" i="62"/>
  <c r="C37" i="62"/>
  <c r="AS8" i="62"/>
  <c r="AR8" i="62"/>
  <c r="AQ8" i="62"/>
  <c r="AP8" i="62"/>
  <c r="AO8" i="62"/>
  <c r="AN8" i="62"/>
  <c r="AM8" i="62"/>
  <c r="AL8" i="62"/>
  <c r="AK8" i="62"/>
  <c r="AJ8" i="62"/>
  <c r="AI8" i="62"/>
  <c r="AH8" i="62"/>
  <c r="AD8" i="62"/>
  <c r="AC8" i="62"/>
  <c r="AB8" i="62"/>
  <c r="AA8" i="62"/>
  <c r="Z8" i="62"/>
  <c r="Y8" i="62"/>
  <c r="X8" i="62"/>
  <c r="W8" i="62"/>
  <c r="V8" i="62"/>
  <c r="U8" i="62"/>
  <c r="T8" i="62"/>
  <c r="S8" i="62"/>
  <c r="L8" i="62"/>
  <c r="AR16" i="62"/>
  <c r="AR23" i="62" s="1"/>
  <c r="AR29" i="62" s="1"/>
  <c r="AQ16" i="62"/>
  <c r="AQ23" i="62" s="1"/>
  <c r="AQ29" i="62" s="1"/>
  <c r="AP16" i="62"/>
  <c r="AN16" i="62"/>
  <c r="AM16" i="62"/>
  <c r="AU67" i="62"/>
  <c r="AF67" i="62"/>
  <c r="Q67" i="62"/>
  <c r="AU62" i="62"/>
  <c r="Q62" i="62"/>
  <c r="AU61" i="62"/>
  <c r="Q61" i="62"/>
  <c r="AU60" i="62"/>
  <c r="Q60" i="62"/>
  <c r="AU36" i="62"/>
  <c r="AF36" i="62"/>
  <c r="Q36" i="62"/>
  <c r="AS18" i="62"/>
  <c r="AS25" i="62" s="1"/>
  <c r="AR18" i="62"/>
  <c r="AR25" i="62" s="1"/>
  <c r="AQ18" i="62"/>
  <c r="AQ25" i="62" s="1"/>
  <c r="AP18" i="62"/>
  <c r="AP25" i="62" s="1"/>
  <c r="AO18" i="62"/>
  <c r="AO25" i="62" s="1"/>
  <c r="AN18" i="62"/>
  <c r="AN25" i="62" s="1"/>
  <c r="AM18" i="62"/>
  <c r="AM25" i="62" s="1"/>
  <c r="AL18" i="62"/>
  <c r="AL25" i="62" s="1"/>
  <c r="AL31" i="62" s="1"/>
  <c r="AK18" i="62"/>
  <c r="AK25" i="62" s="1"/>
  <c r="AK31" i="62" s="1"/>
  <c r="AJ18" i="62"/>
  <c r="AJ25" i="62" s="1"/>
  <c r="AJ31" i="62" s="1"/>
  <c r="AI18" i="62"/>
  <c r="AI25" i="62" s="1"/>
  <c r="AI31" i="62" s="1"/>
  <c r="AH18" i="62"/>
  <c r="AH25" i="62" s="1"/>
  <c r="AH31" i="62" s="1"/>
  <c r="AD18" i="62"/>
  <c r="AD25" i="62" s="1"/>
  <c r="AC18" i="62"/>
  <c r="AC25" i="62" s="1"/>
  <c r="AB18" i="62"/>
  <c r="AB25" i="62" s="1"/>
  <c r="AA18" i="62"/>
  <c r="AA25" i="62" s="1"/>
  <c r="Z18" i="62"/>
  <c r="Z25" i="62" s="1"/>
  <c r="Y18" i="62"/>
  <c r="Y25" i="62" s="1"/>
  <c r="X18" i="62"/>
  <c r="X25" i="62" s="1"/>
  <c r="X31" i="62" s="1"/>
  <c r="W18" i="62"/>
  <c r="W25" i="62" s="1"/>
  <c r="V18" i="62"/>
  <c r="V25" i="62" s="1"/>
  <c r="V31" i="62" s="1"/>
  <c r="U18" i="62"/>
  <c r="U25" i="62" s="1"/>
  <c r="U31" i="62" s="1"/>
  <c r="T18" i="62"/>
  <c r="T25" i="62" s="1"/>
  <c r="S18" i="62"/>
  <c r="S25" i="62" s="1"/>
  <c r="O18" i="62"/>
  <c r="O25" i="62" s="1"/>
  <c r="N18" i="62"/>
  <c r="N25" i="62" s="1"/>
  <c r="M18" i="62"/>
  <c r="M25" i="62" s="1"/>
  <c r="L18" i="62"/>
  <c r="L25" i="62" s="1"/>
  <c r="L31" i="62" s="1"/>
  <c r="AU9" i="62"/>
  <c r="AF9" i="62"/>
  <c r="Q9" i="62"/>
  <c r="AI3" i="62"/>
  <c r="AJ3" i="62" s="1"/>
  <c r="AK3" i="62" s="1"/>
  <c r="AL3" i="62" s="1"/>
  <c r="AM3" i="62" s="1"/>
  <c r="AN3" i="62" s="1"/>
  <c r="AO3" i="62" s="1"/>
  <c r="AP3" i="62" s="1"/>
  <c r="AQ3" i="62" s="1"/>
  <c r="AR3" i="62" s="1"/>
  <c r="AS3" i="62" s="1"/>
  <c r="T3" i="62"/>
  <c r="U3" i="62" s="1"/>
  <c r="V3" i="62" s="1"/>
  <c r="W3" i="62" s="1"/>
  <c r="X3" i="62" s="1"/>
  <c r="Y3" i="62" s="1"/>
  <c r="Z3" i="62" s="1"/>
  <c r="AA3" i="62" s="1"/>
  <c r="AB3" i="62" s="1"/>
  <c r="AC3" i="62" s="1"/>
  <c r="AD3" i="62" s="1"/>
  <c r="I3" i="62"/>
  <c r="J3" i="62" s="1"/>
  <c r="K3" i="62" s="1"/>
  <c r="L3" i="62" s="1"/>
  <c r="M3" i="62" s="1"/>
  <c r="N3" i="62" s="1"/>
  <c r="O3" i="62" s="1"/>
  <c r="C41" i="61"/>
  <c r="AP41" i="61" s="1"/>
  <c r="C40" i="61"/>
  <c r="C39" i="61"/>
  <c r="C38" i="61"/>
  <c r="AS9" i="61"/>
  <c r="AR9" i="61"/>
  <c r="AQ9" i="61"/>
  <c r="AP9" i="61"/>
  <c r="AO9" i="61"/>
  <c r="AN9" i="61"/>
  <c r="AM9" i="61"/>
  <c r="AL9" i="61"/>
  <c r="AK9" i="61"/>
  <c r="AJ9" i="61"/>
  <c r="AI9" i="61"/>
  <c r="AH9" i="61"/>
  <c r="AD9" i="61"/>
  <c r="Z9" i="61"/>
  <c r="Y9" i="61"/>
  <c r="X9" i="61"/>
  <c r="W9" i="61"/>
  <c r="V9" i="61"/>
  <c r="T9" i="61"/>
  <c r="O9" i="61"/>
  <c r="N9" i="61"/>
  <c r="M9" i="61"/>
  <c r="L9" i="61"/>
  <c r="AU69" i="61"/>
  <c r="AF69" i="61"/>
  <c r="Q69" i="61"/>
  <c r="AU63" i="61"/>
  <c r="Q63" i="61"/>
  <c r="AU62" i="61"/>
  <c r="Q62" i="61"/>
  <c r="AU61" i="61"/>
  <c r="Q61" i="61"/>
  <c r="AU37" i="61"/>
  <c r="AF37" i="61"/>
  <c r="Q37" i="61"/>
  <c r="AS19" i="61"/>
  <c r="AS26" i="61" s="1"/>
  <c r="AS32" i="61" s="1"/>
  <c r="AR19" i="61"/>
  <c r="AR26" i="61" s="1"/>
  <c r="AR32" i="61" s="1"/>
  <c r="AQ19" i="61"/>
  <c r="AQ26" i="61" s="1"/>
  <c r="AQ32" i="61" s="1"/>
  <c r="AP19" i="61"/>
  <c r="AP26" i="61" s="1"/>
  <c r="AP32" i="61" s="1"/>
  <c r="AO19" i="61"/>
  <c r="AO26" i="61" s="1"/>
  <c r="AO32" i="61" s="1"/>
  <c r="AN19" i="61"/>
  <c r="AN26" i="61" s="1"/>
  <c r="AM19" i="61"/>
  <c r="AM26" i="61" s="1"/>
  <c r="AL19" i="61"/>
  <c r="AL26" i="61" s="1"/>
  <c r="AK19" i="61"/>
  <c r="AK26" i="61" s="1"/>
  <c r="AJ19" i="61"/>
  <c r="AJ26" i="61" s="1"/>
  <c r="AI19" i="61"/>
  <c r="AI26" i="61" s="1"/>
  <c r="AH19" i="61"/>
  <c r="AH26" i="61" s="1"/>
  <c r="AD19" i="61"/>
  <c r="AD26" i="61" s="1"/>
  <c r="AD32" i="61" s="1"/>
  <c r="AC19" i="61"/>
  <c r="AC26" i="61" s="1"/>
  <c r="AB19" i="61"/>
  <c r="AB26" i="61" s="1"/>
  <c r="AA19" i="61"/>
  <c r="AA26" i="61" s="1"/>
  <c r="AA32" i="61" s="1"/>
  <c r="Z19" i="61"/>
  <c r="Z26" i="61" s="1"/>
  <c r="Z32" i="61" s="1"/>
  <c r="Y19" i="61"/>
  <c r="Y26" i="61" s="1"/>
  <c r="Y32" i="61" s="1"/>
  <c r="X19" i="61"/>
  <c r="X26" i="61" s="1"/>
  <c r="W19" i="61"/>
  <c r="W26" i="61" s="1"/>
  <c r="V19" i="61"/>
  <c r="V26" i="61" s="1"/>
  <c r="U19" i="61"/>
  <c r="U26" i="61" s="1"/>
  <c r="T19" i="61"/>
  <c r="T26" i="61" s="1"/>
  <c r="T32" i="61" s="1"/>
  <c r="S19" i="61"/>
  <c r="S26" i="61" s="1"/>
  <c r="O19" i="61"/>
  <c r="O26" i="61" s="1"/>
  <c r="N19" i="61"/>
  <c r="N26" i="61" s="1"/>
  <c r="N32" i="61" s="1"/>
  <c r="M19" i="61"/>
  <c r="M26" i="61" s="1"/>
  <c r="L19" i="61"/>
  <c r="L26" i="61" s="1"/>
  <c r="L32" i="61" s="1"/>
  <c r="AU10" i="61"/>
  <c r="AF10" i="61"/>
  <c r="Q10" i="61"/>
  <c r="AI4" i="61"/>
  <c r="AJ4" i="61" s="1"/>
  <c r="AK4" i="61" s="1"/>
  <c r="AL4" i="61" s="1"/>
  <c r="AM4" i="61" s="1"/>
  <c r="AN4" i="61" s="1"/>
  <c r="AO4" i="61" s="1"/>
  <c r="AP4" i="61" s="1"/>
  <c r="AQ4" i="61" s="1"/>
  <c r="AR4" i="61" s="1"/>
  <c r="AS4" i="61" s="1"/>
  <c r="T4" i="61"/>
  <c r="U4" i="61" s="1"/>
  <c r="V4" i="61" s="1"/>
  <c r="W4" i="61" s="1"/>
  <c r="X4" i="61" s="1"/>
  <c r="Y4" i="61" s="1"/>
  <c r="Z4" i="61" s="1"/>
  <c r="AA4" i="61" s="1"/>
  <c r="AB4" i="61" s="1"/>
  <c r="AC4" i="61" s="1"/>
  <c r="AD4" i="61" s="1"/>
  <c r="I4" i="61"/>
  <c r="Q60" i="60"/>
  <c r="C41" i="60"/>
  <c r="N41" i="60" s="1"/>
  <c r="C40" i="60"/>
  <c r="C38" i="60"/>
  <c r="AS9" i="60"/>
  <c r="AR9" i="60"/>
  <c r="AQ9" i="60"/>
  <c r="AP9" i="60"/>
  <c r="AO9" i="60"/>
  <c r="AN9" i="60"/>
  <c r="AM9" i="60"/>
  <c r="AL9" i="60"/>
  <c r="AK9" i="60"/>
  <c r="AJ9" i="60"/>
  <c r="AI9" i="60"/>
  <c r="AH9" i="60"/>
  <c r="AD9" i="60"/>
  <c r="Z9" i="60"/>
  <c r="Y9" i="60"/>
  <c r="X9" i="60"/>
  <c r="W9" i="60"/>
  <c r="V9" i="60"/>
  <c r="AP39" i="60"/>
  <c r="AU69" i="60"/>
  <c r="AF69" i="60"/>
  <c r="Q69" i="60"/>
  <c r="AU63" i="60"/>
  <c r="Q63" i="60"/>
  <c r="AU62" i="60"/>
  <c r="Q62" i="60"/>
  <c r="AU61" i="60"/>
  <c r="Q61" i="60"/>
  <c r="AU37" i="60"/>
  <c r="AF37" i="60"/>
  <c r="Q37" i="60"/>
  <c r="AS19" i="60"/>
  <c r="AS26" i="60" s="1"/>
  <c r="AS32" i="60" s="1"/>
  <c r="AR19" i="60"/>
  <c r="AR26" i="60" s="1"/>
  <c r="AR32" i="60" s="1"/>
  <c r="AQ19" i="60"/>
  <c r="AQ26" i="60" s="1"/>
  <c r="AP19" i="60"/>
  <c r="AP26" i="60" s="1"/>
  <c r="AO19" i="60"/>
  <c r="AN19" i="60"/>
  <c r="AN26" i="60" s="1"/>
  <c r="AM19" i="60"/>
  <c r="AM26" i="60" s="1"/>
  <c r="AL19" i="60"/>
  <c r="AL26" i="60" s="1"/>
  <c r="AK19" i="60"/>
  <c r="AK26" i="60" s="1"/>
  <c r="AJ19" i="60"/>
  <c r="AJ26" i="60" s="1"/>
  <c r="AJ32" i="60" s="1"/>
  <c r="AI19" i="60"/>
  <c r="AI26" i="60" s="1"/>
  <c r="AI32" i="60" s="1"/>
  <c r="AH19" i="60"/>
  <c r="AD19" i="60"/>
  <c r="AC19" i="60"/>
  <c r="AB19" i="60"/>
  <c r="AB26" i="60" s="1"/>
  <c r="AB32" i="60" s="1"/>
  <c r="AA19" i="60"/>
  <c r="AA26" i="60" s="1"/>
  <c r="AA32" i="60" s="1"/>
  <c r="Z19" i="60"/>
  <c r="Y19" i="60"/>
  <c r="X19" i="60"/>
  <c r="X26" i="60" s="1"/>
  <c r="X32" i="60" s="1"/>
  <c r="W19" i="60"/>
  <c r="W26" i="60" s="1"/>
  <c r="W32" i="60" s="1"/>
  <c r="V19" i="60"/>
  <c r="V26" i="60" s="1"/>
  <c r="V32" i="60" s="1"/>
  <c r="U19" i="60"/>
  <c r="U26" i="60" s="1"/>
  <c r="U32" i="60" s="1"/>
  <c r="T19" i="60"/>
  <c r="T26" i="60" s="1"/>
  <c r="T32" i="60" s="1"/>
  <c r="S19" i="60"/>
  <c r="S26" i="60" s="1"/>
  <c r="O19" i="60"/>
  <c r="O26" i="60" s="1"/>
  <c r="N19" i="60"/>
  <c r="N26" i="60" s="1"/>
  <c r="M19" i="60"/>
  <c r="M26" i="60" s="1"/>
  <c r="M32" i="60" s="1"/>
  <c r="L19" i="60"/>
  <c r="AU10" i="60"/>
  <c r="AF10" i="60"/>
  <c r="Q10" i="60"/>
  <c r="AI4" i="60"/>
  <c r="AJ4" i="60" s="1"/>
  <c r="AK4" i="60" s="1"/>
  <c r="AL4" i="60" s="1"/>
  <c r="AM4" i="60" s="1"/>
  <c r="AN4" i="60" s="1"/>
  <c r="AO4" i="60" s="1"/>
  <c r="AP4" i="60" s="1"/>
  <c r="AQ4" i="60" s="1"/>
  <c r="AR4" i="60" s="1"/>
  <c r="AS4" i="60" s="1"/>
  <c r="T4" i="60"/>
  <c r="U4" i="60" s="1"/>
  <c r="V4" i="60" s="1"/>
  <c r="W4" i="60" s="1"/>
  <c r="X4" i="60" s="1"/>
  <c r="Y4" i="60" s="1"/>
  <c r="Z4" i="60" s="1"/>
  <c r="AA4" i="60" s="1"/>
  <c r="AB4" i="60" s="1"/>
  <c r="AC4" i="60" s="1"/>
  <c r="AD4" i="60" s="1"/>
  <c r="I4" i="60"/>
  <c r="J4" i="60" s="1"/>
  <c r="K4" i="60" s="1"/>
  <c r="L4" i="60" s="1"/>
  <c r="M4" i="60" s="1"/>
  <c r="N4" i="60" s="1"/>
  <c r="O4" i="60" s="1"/>
  <c r="AS8" i="59"/>
  <c r="AR8" i="59"/>
  <c r="AQ8" i="59"/>
  <c r="AP8" i="59"/>
  <c r="AO8" i="59"/>
  <c r="AN8" i="59"/>
  <c r="AM8" i="59"/>
  <c r="AL8" i="59"/>
  <c r="AK8" i="59"/>
  <c r="AJ8" i="59"/>
  <c r="AI8" i="59"/>
  <c r="AH8" i="59"/>
  <c r="AD8" i="59"/>
  <c r="Z8" i="59"/>
  <c r="Y8" i="59"/>
  <c r="X8" i="59"/>
  <c r="W8" i="59"/>
  <c r="V8" i="59"/>
  <c r="AR16" i="59"/>
  <c r="AQ16" i="59"/>
  <c r="AP16" i="59"/>
  <c r="AP23" i="59" s="1"/>
  <c r="AO16" i="59"/>
  <c r="AN16" i="59"/>
  <c r="AM16" i="59"/>
  <c r="AH16" i="59"/>
  <c r="C40" i="59"/>
  <c r="X40" i="59" s="1"/>
  <c r="C39" i="59"/>
  <c r="C38" i="59"/>
  <c r="C37" i="59"/>
  <c r="AU68" i="59"/>
  <c r="AF68" i="59"/>
  <c r="Q68" i="59"/>
  <c r="AU62" i="59"/>
  <c r="AF62" i="59"/>
  <c r="Q62" i="59"/>
  <c r="AU61" i="59"/>
  <c r="AF61" i="59"/>
  <c r="Q61" i="59"/>
  <c r="AU60" i="59"/>
  <c r="AF60" i="59"/>
  <c r="Q60" i="59"/>
  <c r="AU36" i="59"/>
  <c r="AF36" i="59"/>
  <c r="Q36" i="59"/>
  <c r="AS18" i="59"/>
  <c r="AS25" i="59" s="1"/>
  <c r="AR18" i="59"/>
  <c r="AR25" i="59" s="1"/>
  <c r="AR31" i="59" s="1"/>
  <c r="AQ18" i="59"/>
  <c r="AQ25" i="59" s="1"/>
  <c r="AQ31" i="59" s="1"/>
  <c r="AP18" i="59"/>
  <c r="AP25" i="59" s="1"/>
  <c r="AO18" i="59"/>
  <c r="AO25" i="59" s="1"/>
  <c r="AN18" i="59"/>
  <c r="AN25" i="59" s="1"/>
  <c r="AM18" i="59"/>
  <c r="AM25" i="59" s="1"/>
  <c r="AM31" i="59" s="1"/>
  <c r="AL18" i="59"/>
  <c r="AL25" i="59" s="1"/>
  <c r="AL31" i="59" s="1"/>
  <c r="AK18" i="59"/>
  <c r="AK25" i="59" s="1"/>
  <c r="AK31" i="59" s="1"/>
  <c r="AJ18" i="59"/>
  <c r="AJ25" i="59" s="1"/>
  <c r="AJ31" i="59" s="1"/>
  <c r="AI18" i="59"/>
  <c r="AI25" i="59" s="1"/>
  <c r="AH18" i="59"/>
  <c r="AH25" i="59" s="1"/>
  <c r="AD18" i="59"/>
  <c r="AD25" i="59" s="1"/>
  <c r="AC18" i="59"/>
  <c r="AC25" i="59" s="1"/>
  <c r="AB18" i="59"/>
  <c r="AB25" i="59" s="1"/>
  <c r="AA18" i="59"/>
  <c r="AA25" i="59" s="1"/>
  <c r="Z18" i="59"/>
  <c r="Z25" i="59" s="1"/>
  <c r="Y18" i="59"/>
  <c r="Y25" i="59" s="1"/>
  <c r="X18" i="59"/>
  <c r="W18" i="59"/>
  <c r="V18" i="59"/>
  <c r="V25" i="59" s="1"/>
  <c r="V31" i="59" s="1"/>
  <c r="U18" i="59"/>
  <c r="U25" i="59" s="1"/>
  <c r="U31" i="59" s="1"/>
  <c r="T18" i="59"/>
  <c r="T25" i="59" s="1"/>
  <c r="T31" i="59" s="1"/>
  <c r="S18" i="59"/>
  <c r="S25" i="59" s="1"/>
  <c r="O18" i="59"/>
  <c r="N18" i="59"/>
  <c r="M18" i="59"/>
  <c r="M25" i="59" s="1"/>
  <c r="L18" i="59"/>
  <c r="AU9" i="59"/>
  <c r="AF9" i="59"/>
  <c r="Q9" i="59"/>
  <c r="AI3" i="59"/>
  <c r="AJ3" i="59" s="1"/>
  <c r="AK3" i="59" s="1"/>
  <c r="AL3" i="59" s="1"/>
  <c r="AM3" i="59" s="1"/>
  <c r="AN3" i="59" s="1"/>
  <c r="AO3" i="59" s="1"/>
  <c r="AP3" i="59" s="1"/>
  <c r="AQ3" i="59" s="1"/>
  <c r="AR3" i="59" s="1"/>
  <c r="AS3" i="59" s="1"/>
  <c r="T3" i="59"/>
  <c r="U3" i="59" s="1"/>
  <c r="V3" i="59" s="1"/>
  <c r="W3" i="59" s="1"/>
  <c r="X3" i="59" s="1"/>
  <c r="Y3" i="59" s="1"/>
  <c r="Z3" i="59" s="1"/>
  <c r="AA3" i="59" s="1"/>
  <c r="AB3" i="59" s="1"/>
  <c r="AC3" i="59" s="1"/>
  <c r="AD3" i="59" s="1"/>
  <c r="I3" i="59"/>
  <c r="AI19" i="57"/>
  <c r="AI26" i="57" s="1"/>
  <c r="AJ19" i="57"/>
  <c r="AJ26" i="57" s="1"/>
  <c r="AJ32" i="57" s="1"/>
  <c r="AK19" i="57"/>
  <c r="AK26" i="57" s="1"/>
  <c r="AL19" i="57"/>
  <c r="AL26" i="57" s="1"/>
  <c r="AM19" i="57"/>
  <c r="AM26" i="57" s="1"/>
  <c r="AM32" i="57" s="1"/>
  <c r="AN19" i="57"/>
  <c r="AN26" i="57" s="1"/>
  <c r="AN32" i="57" s="1"/>
  <c r="AO19" i="57"/>
  <c r="AO26" i="57" s="1"/>
  <c r="AO32" i="57" s="1"/>
  <c r="AP19" i="57"/>
  <c r="AP26" i="57" s="1"/>
  <c r="AP32" i="57" s="1"/>
  <c r="AQ19" i="57"/>
  <c r="AQ26" i="57" s="1"/>
  <c r="AQ32" i="57" s="1"/>
  <c r="AR19" i="57"/>
  <c r="AR26" i="57" s="1"/>
  <c r="AR32" i="57" s="1"/>
  <c r="AS19" i="57"/>
  <c r="AS26" i="57" s="1"/>
  <c r="AS32" i="57" s="1"/>
  <c r="AH19" i="57"/>
  <c r="AH26" i="57" s="1"/>
  <c r="AH32" i="57" s="1"/>
  <c r="AA19" i="57"/>
  <c r="AA26" i="57" s="1"/>
  <c r="AB19" i="57"/>
  <c r="AB26" i="57" s="1"/>
  <c r="AB32" i="57" s="1"/>
  <c r="AC19" i="57"/>
  <c r="AC26" i="57" s="1"/>
  <c r="AC32" i="57" s="1"/>
  <c r="AD19" i="57"/>
  <c r="AD26" i="57" s="1"/>
  <c r="AD32" i="57" s="1"/>
  <c r="T19" i="57"/>
  <c r="T26" i="57" s="1"/>
  <c r="U19" i="57"/>
  <c r="U26" i="57" s="1"/>
  <c r="U32" i="57" s="1"/>
  <c r="V19" i="57"/>
  <c r="W19" i="57"/>
  <c r="W26" i="57" s="1"/>
  <c r="X19" i="57"/>
  <c r="X26" i="57" s="1"/>
  <c r="X32" i="57" s="1"/>
  <c r="Y19" i="57"/>
  <c r="Y26" i="57" s="1"/>
  <c r="Y32" i="57" s="1"/>
  <c r="Z19" i="57"/>
  <c r="Z26" i="57" s="1"/>
  <c r="S19" i="57"/>
  <c r="S26" i="57" s="1"/>
  <c r="M19" i="57"/>
  <c r="N19" i="57"/>
  <c r="N26" i="57" s="1"/>
  <c r="N32" i="57" s="1"/>
  <c r="O19" i="57"/>
  <c r="O26" i="57" s="1"/>
  <c r="L19" i="57"/>
  <c r="L26" i="57" s="1"/>
  <c r="AG42" i="56"/>
  <c r="AF42" i="56"/>
  <c r="AE42" i="56"/>
  <c r="AD42" i="56"/>
  <c r="AC42" i="56"/>
  <c r="AB42" i="56"/>
  <c r="AA42" i="56"/>
  <c r="Z42" i="56"/>
  <c r="Y42" i="56"/>
  <c r="Q60" i="57"/>
  <c r="C41" i="57"/>
  <c r="AJ41" i="57" s="1"/>
  <c r="C40" i="57"/>
  <c r="C39" i="57"/>
  <c r="C38" i="57"/>
  <c r="AS9" i="57"/>
  <c r="AR9" i="57"/>
  <c r="AQ9" i="57"/>
  <c r="AP9" i="57"/>
  <c r="AO9" i="57"/>
  <c r="AN9" i="57"/>
  <c r="AM9" i="57"/>
  <c r="AL9" i="57"/>
  <c r="AK9" i="57"/>
  <c r="AJ9" i="57"/>
  <c r="AI9" i="57"/>
  <c r="AH9" i="57"/>
  <c r="AD9" i="57"/>
  <c r="Z9" i="57"/>
  <c r="Y9" i="57"/>
  <c r="X9" i="57"/>
  <c r="W9" i="57"/>
  <c r="V9" i="57"/>
  <c r="T9" i="57"/>
  <c r="L9" i="57"/>
  <c r="L71" i="57"/>
  <c r="AU69" i="57"/>
  <c r="AF69" i="57"/>
  <c r="Q69" i="57"/>
  <c r="AU68" i="57"/>
  <c r="AU63" i="57"/>
  <c r="AF63" i="57"/>
  <c r="Q63" i="57"/>
  <c r="AU62" i="57"/>
  <c r="AF62" i="57"/>
  <c r="Q62" i="57"/>
  <c r="AU61" i="57"/>
  <c r="AF61" i="57"/>
  <c r="Q61" i="57"/>
  <c r="AU37" i="57"/>
  <c r="AF37" i="57"/>
  <c r="Q37" i="57"/>
  <c r="AU10" i="57"/>
  <c r="AF10" i="57"/>
  <c r="Q10" i="57"/>
  <c r="AI4" i="57"/>
  <c r="AJ4" i="57" s="1"/>
  <c r="AK4" i="57" s="1"/>
  <c r="AL4" i="57" s="1"/>
  <c r="AM4" i="57" s="1"/>
  <c r="AN4" i="57" s="1"/>
  <c r="AO4" i="57" s="1"/>
  <c r="AP4" i="57" s="1"/>
  <c r="AQ4" i="57" s="1"/>
  <c r="AR4" i="57" s="1"/>
  <c r="AS4" i="57" s="1"/>
  <c r="T4" i="57"/>
  <c r="U4" i="57" s="1"/>
  <c r="V4" i="57" s="1"/>
  <c r="W4" i="57" s="1"/>
  <c r="X4" i="57" s="1"/>
  <c r="Y4" i="57" s="1"/>
  <c r="Z4" i="57" s="1"/>
  <c r="AA4" i="57" s="1"/>
  <c r="AB4" i="57" s="1"/>
  <c r="AC4" i="57" s="1"/>
  <c r="AD4" i="57" s="1"/>
  <c r="I4" i="57"/>
  <c r="J4" i="57" s="1"/>
  <c r="K4" i="57" s="1"/>
  <c r="L4" i="57" s="1"/>
  <c r="M4" i="57" s="1"/>
  <c r="N4" i="57" s="1"/>
  <c r="O4" i="57" s="1"/>
  <c r="AD266" i="16"/>
  <c r="AE266" i="16" s="1"/>
  <c r="AF266" i="16" s="1"/>
  <c r="AG266" i="16" s="1"/>
  <c r="AH266" i="16" s="1"/>
  <c r="AI266" i="16" s="1"/>
  <c r="AJ266" i="16" s="1"/>
  <c r="AK266" i="16" s="1"/>
  <c r="AL266" i="16" s="1"/>
  <c r="AM266" i="16" s="1"/>
  <c r="AN266" i="16" s="1"/>
  <c r="T68" i="37"/>
  <c r="U68" i="37"/>
  <c r="V68" i="37"/>
  <c r="W68" i="37"/>
  <c r="X68" i="37"/>
  <c r="Y68" i="37"/>
  <c r="Z68" i="37"/>
  <c r="AA68" i="37"/>
  <c r="AB68" i="37"/>
  <c r="AC68" i="37"/>
  <c r="AD68" i="37"/>
  <c r="AI68" i="37"/>
  <c r="AJ68" i="37"/>
  <c r="AK68" i="37"/>
  <c r="AL68" i="37"/>
  <c r="AM68" i="37"/>
  <c r="AN68" i="37"/>
  <c r="AO68" i="37"/>
  <c r="AP68" i="37"/>
  <c r="AQ68" i="37"/>
  <c r="AR68" i="37"/>
  <c r="AS68" i="37"/>
  <c r="AH68" i="37"/>
  <c r="S68" i="37"/>
  <c r="M68" i="37"/>
  <c r="N68" i="37"/>
  <c r="O68" i="37"/>
  <c r="R15" i="56"/>
  <c r="R16" i="56"/>
  <c r="R18" i="56"/>
  <c r="R20" i="56"/>
  <c r="R21" i="56"/>
  <c r="R22" i="56"/>
  <c r="R25" i="56"/>
  <c r="R26" i="56"/>
  <c r="R34" i="56"/>
  <c r="R36" i="56"/>
  <c r="R37" i="56"/>
  <c r="R38" i="56"/>
  <c r="R39" i="56"/>
  <c r="R40" i="56"/>
  <c r="R41" i="56"/>
  <c r="R43" i="56"/>
  <c r="R44" i="56"/>
  <c r="R45" i="56"/>
  <c r="R46" i="56"/>
  <c r="R48" i="56"/>
  <c r="R50" i="56"/>
  <c r="R51" i="56"/>
  <c r="R52" i="56"/>
  <c r="R53" i="56"/>
  <c r="R54" i="56"/>
  <c r="R55" i="56"/>
  <c r="R56" i="56"/>
  <c r="R57" i="56"/>
  <c r="R58" i="56"/>
  <c r="R59" i="56"/>
  <c r="R60" i="56"/>
  <c r="R61" i="56"/>
  <c r="R62" i="56"/>
  <c r="R63" i="56"/>
  <c r="R64" i="56"/>
  <c r="R65" i="56"/>
  <c r="R67" i="56"/>
  <c r="R68" i="56"/>
  <c r="R69" i="56"/>
  <c r="R70" i="56"/>
  <c r="R71" i="56"/>
  <c r="R72" i="56"/>
  <c r="R74" i="56"/>
  <c r="R75" i="56"/>
  <c r="R76" i="56"/>
  <c r="R77" i="56"/>
  <c r="R78" i="56"/>
  <c r="R79" i="56"/>
  <c r="R80" i="56"/>
  <c r="R81" i="56"/>
  <c r="R82" i="56"/>
  <c r="R83" i="56"/>
  <c r="R84" i="56"/>
  <c r="R85" i="56"/>
  <c r="R86" i="56"/>
  <c r="R87" i="56"/>
  <c r="R88" i="56"/>
  <c r="R89" i="56"/>
  <c r="R90" i="56"/>
  <c r="R91" i="56"/>
  <c r="R92" i="56"/>
  <c r="R93" i="56"/>
  <c r="R94" i="56"/>
  <c r="R95" i="56"/>
  <c r="R96" i="56"/>
  <c r="R97" i="56"/>
  <c r="R98" i="56"/>
  <c r="R99" i="56"/>
  <c r="R100" i="56"/>
  <c r="R101" i="56"/>
  <c r="R102" i="56"/>
  <c r="R103" i="56"/>
  <c r="R104" i="56"/>
  <c r="R105" i="56"/>
  <c r="R106" i="56"/>
  <c r="R109" i="56"/>
  <c r="R111" i="56"/>
  <c r="R113" i="56"/>
  <c r="R114" i="56"/>
  <c r="R115" i="56"/>
  <c r="R116" i="56"/>
  <c r="R117" i="56"/>
  <c r="R118" i="56"/>
  <c r="R119" i="56"/>
  <c r="R120" i="56"/>
  <c r="R121" i="56"/>
  <c r="R122" i="56"/>
  <c r="R123" i="56"/>
  <c r="R124" i="56"/>
  <c r="R125" i="56"/>
  <c r="R126" i="56"/>
  <c r="R127" i="56"/>
  <c r="R128" i="56"/>
  <c r="R129" i="56"/>
  <c r="R130" i="56"/>
  <c r="R131" i="56"/>
  <c r="R132" i="56"/>
  <c r="R133" i="56"/>
  <c r="R134" i="56"/>
  <c r="R135" i="56"/>
  <c r="R136" i="56"/>
  <c r="R137" i="56"/>
  <c r="R138" i="56"/>
  <c r="R139" i="56"/>
  <c r="R140" i="56"/>
  <c r="AV139" i="56"/>
  <c r="AV138" i="56"/>
  <c r="AV137" i="56"/>
  <c r="AV136" i="56"/>
  <c r="AV135" i="56"/>
  <c r="AV134" i="56"/>
  <c r="AV133" i="56"/>
  <c r="AV132" i="56"/>
  <c r="AV131" i="56"/>
  <c r="AV130" i="56"/>
  <c r="AV129" i="56"/>
  <c r="AV128" i="56"/>
  <c r="AV127" i="56"/>
  <c r="AV126" i="56"/>
  <c r="AV125" i="56"/>
  <c r="AV124" i="56"/>
  <c r="AV123" i="56"/>
  <c r="AV122" i="56"/>
  <c r="AV121" i="56"/>
  <c r="AV120" i="56"/>
  <c r="AV119" i="56"/>
  <c r="AV118" i="56"/>
  <c r="AV117" i="56"/>
  <c r="AV116" i="56"/>
  <c r="AV115" i="56"/>
  <c r="AV114" i="56"/>
  <c r="AV113" i="56"/>
  <c r="AV111" i="56"/>
  <c r="AV109" i="56"/>
  <c r="AV108" i="56"/>
  <c r="AV107" i="56"/>
  <c r="AV106" i="56"/>
  <c r="AV105" i="56"/>
  <c r="AV104" i="56"/>
  <c r="AV103" i="56"/>
  <c r="AV102" i="56"/>
  <c r="AV101" i="56"/>
  <c r="AV100" i="56"/>
  <c r="AV99" i="56"/>
  <c r="AV98" i="56"/>
  <c r="AV97" i="56"/>
  <c r="AV96" i="56"/>
  <c r="AV95" i="56"/>
  <c r="AV94" i="56"/>
  <c r="AV93" i="56"/>
  <c r="AV92" i="56"/>
  <c r="AV91" i="56"/>
  <c r="AV90" i="56"/>
  <c r="AV89" i="56"/>
  <c r="AV88" i="56"/>
  <c r="AV87" i="56"/>
  <c r="AV86" i="56"/>
  <c r="AV85" i="56"/>
  <c r="AV84" i="56"/>
  <c r="AV83" i="56"/>
  <c r="AV82" i="56"/>
  <c r="AV81" i="56"/>
  <c r="AV80" i="56"/>
  <c r="AV79" i="56"/>
  <c r="AV78" i="56"/>
  <c r="AV77" i="56"/>
  <c r="AV76" i="56"/>
  <c r="AV75" i="56"/>
  <c r="AV74" i="56"/>
  <c r="AV72" i="56"/>
  <c r="AV71" i="56"/>
  <c r="AV70" i="56"/>
  <c r="AV69" i="56"/>
  <c r="AV68" i="56"/>
  <c r="AV67" i="56"/>
  <c r="AV65" i="56"/>
  <c r="AV64" i="56"/>
  <c r="AV63" i="56"/>
  <c r="AV62" i="56"/>
  <c r="AV61" i="56"/>
  <c r="AV60" i="56"/>
  <c r="AV59" i="56"/>
  <c r="AV58" i="56"/>
  <c r="AV57" i="56"/>
  <c r="AV56" i="56"/>
  <c r="AV55" i="56"/>
  <c r="AV54" i="56"/>
  <c r="AV53" i="56"/>
  <c r="AV52" i="56"/>
  <c r="AV51" i="56"/>
  <c r="AV50" i="56"/>
  <c r="AV48" i="56"/>
  <c r="AV46" i="56"/>
  <c r="AV45" i="56"/>
  <c r="AV44" i="56"/>
  <c r="AV43" i="56"/>
  <c r="AV41" i="56"/>
  <c r="AV40" i="56"/>
  <c r="AV39" i="56"/>
  <c r="AV38" i="56"/>
  <c r="AV37" i="56"/>
  <c r="AV36" i="56"/>
  <c r="AS67" i="37"/>
  <c r="AR67" i="37"/>
  <c r="AQ67" i="37"/>
  <c r="AP67" i="37"/>
  <c r="AO67" i="37"/>
  <c r="AN67" i="37"/>
  <c r="AM67" i="37"/>
  <c r="AL67" i="37"/>
  <c r="AK67" i="37"/>
  <c r="AJ67" i="37"/>
  <c r="AI67" i="37"/>
  <c r="AH67" i="37"/>
  <c r="AV34" i="56"/>
  <c r="AV26" i="56"/>
  <c r="AV25" i="56"/>
  <c r="AV22" i="56"/>
  <c r="AV21" i="56"/>
  <c r="AV20" i="56"/>
  <c r="AV18" i="56"/>
  <c r="AV16" i="56"/>
  <c r="AV15" i="56"/>
  <c r="AV14" i="56"/>
  <c r="AV13" i="56"/>
  <c r="AV12" i="56"/>
  <c r="AV10" i="56"/>
  <c r="AV9" i="56"/>
  <c r="AV8" i="56"/>
  <c r="AV7" i="56"/>
  <c r="AV6" i="56"/>
  <c r="AV5" i="56"/>
  <c r="AV4" i="56"/>
  <c r="AV3" i="56"/>
  <c r="AH4" i="56"/>
  <c r="AH5" i="56"/>
  <c r="AH6" i="56"/>
  <c r="AH7" i="56"/>
  <c r="AH8" i="56"/>
  <c r="AH9" i="56"/>
  <c r="AH10" i="56"/>
  <c r="AH12" i="56"/>
  <c r="AH13" i="56"/>
  <c r="AH14" i="56"/>
  <c r="AH15" i="56"/>
  <c r="AH16" i="56"/>
  <c r="AH18" i="56"/>
  <c r="AH20" i="56"/>
  <c r="AH21" i="56"/>
  <c r="AH22" i="56"/>
  <c r="AH25" i="56"/>
  <c r="AH26" i="56"/>
  <c r="AH34" i="56"/>
  <c r="AH36" i="56"/>
  <c r="AH37" i="56"/>
  <c r="AH38" i="56"/>
  <c r="AH39" i="56"/>
  <c r="AH40" i="56"/>
  <c r="AH41" i="56"/>
  <c r="AH43" i="56"/>
  <c r="AH44" i="56"/>
  <c r="AH45" i="56"/>
  <c r="AH46" i="56"/>
  <c r="AH48" i="56"/>
  <c r="AH50" i="56"/>
  <c r="AH51" i="56"/>
  <c r="AH52" i="56"/>
  <c r="AH53" i="56"/>
  <c r="AH54" i="56"/>
  <c r="AH55" i="56"/>
  <c r="AH56" i="56"/>
  <c r="AH57" i="56"/>
  <c r="AH58" i="56"/>
  <c r="AH59" i="56"/>
  <c r="AH60" i="56"/>
  <c r="AH61" i="56"/>
  <c r="AH62" i="56"/>
  <c r="AH63" i="56"/>
  <c r="AH64" i="56"/>
  <c r="AH65" i="56"/>
  <c r="AH67" i="56"/>
  <c r="AH68" i="56"/>
  <c r="AH69" i="56"/>
  <c r="AH70" i="56"/>
  <c r="AH71" i="56"/>
  <c r="AH72" i="56"/>
  <c r="AH74" i="56"/>
  <c r="AH75" i="56"/>
  <c r="AH76" i="56"/>
  <c r="AH77" i="56"/>
  <c r="AH78" i="56"/>
  <c r="AH79" i="56"/>
  <c r="AH80" i="56"/>
  <c r="AH81" i="56"/>
  <c r="AH82" i="56"/>
  <c r="AH83" i="56"/>
  <c r="AH84" i="56"/>
  <c r="AH85" i="56"/>
  <c r="AH86" i="56"/>
  <c r="AH87" i="56"/>
  <c r="AH88" i="56"/>
  <c r="AH89" i="56"/>
  <c r="AH90" i="56"/>
  <c r="AH91" i="56"/>
  <c r="AH92" i="56"/>
  <c r="AH93" i="56"/>
  <c r="AH94" i="56"/>
  <c r="AH95" i="56"/>
  <c r="AH96" i="56"/>
  <c r="AH97" i="56"/>
  <c r="AH98" i="56"/>
  <c r="AH99" i="56"/>
  <c r="AH100" i="56"/>
  <c r="AH101" i="56"/>
  <c r="AH102" i="56"/>
  <c r="AH103" i="56"/>
  <c r="AH104" i="56"/>
  <c r="AH105" i="56"/>
  <c r="AH106" i="56"/>
  <c r="AH107" i="56"/>
  <c r="AH108" i="56"/>
  <c r="AH109" i="56"/>
  <c r="AH111" i="56"/>
  <c r="AH113" i="56"/>
  <c r="AH114" i="56"/>
  <c r="AH115" i="56"/>
  <c r="AH116" i="56"/>
  <c r="AH117" i="56"/>
  <c r="AH118" i="56"/>
  <c r="AH119" i="56"/>
  <c r="AH120" i="56"/>
  <c r="AH121" i="56"/>
  <c r="AH122" i="56"/>
  <c r="AH123" i="56"/>
  <c r="AH124" i="56"/>
  <c r="AH125" i="56"/>
  <c r="AH126" i="56"/>
  <c r="AH127" i="56"/>
  <c r="AH128" i="56"/>
  <c r="AH129" i="56"/>
  <c r="AH130" i="56"/>
  <c r="AH131" i="56"/>
  <c r="AH132" i="56"/>
  <c r="AH133" i="56"/>
  <c r="AH134" i="56"/>
  <c r="AH135" i="56"/>
  <c r="AH136" i="56"/>
  <c r="AH137" i="56"/>
  <c r="AH138" i="56"/>
  <c r="AH139" i="56"/>
  <c r="AH3" i="56"/>
  <c r="AG110" i="56"/>
  <c r="AF110" i="56"/>
  <c r="AE110" i="56"/>
  <c r="AD110" i="56"/>
  <c r="AC110" i="56"/>
  <c r="AB110" i="56"/>
  <c r="AA110" i="56"/>
  <c r="Z110" i="56"/>
  <c r="Y110" i="56"/>
  <c r="X110" i="56"/>
  <c r="W110" i="56"/>
  <c r="AG73" i="56"/>
  <c r="AF73" i="56"/>
  <c r="AE73" i="56"/>
  <c r="AD73" i="56"/>
  <c r="AC73" i="56"/>
  <c r="AB73" i="56"/>
  <c r="AA73" i="56"/>
  <c r="Z73" i="56"/>
  <c r="Y73" i="56"/>
  <c r="X73" i="56"/>
  <c r="W73" i="56"/>
  <c r="AG66" i="56"/>
  <c r="AF66" i="56"/>
  <c r="AE66" i="56"/>
  <c r="AD66" i="56"/>
  <c r="AC66" i="56"/>
  <c r="AB66" i="56"/>
  <c r="AA66" i="56"/>
  <c r="Z66" i="56"/>
  <c r="Y66" i="56"/>
  <c r="X66" i="56"/>
  <c r="W66" i="56"/>
  <c r="AG49" i="56"/>
  <c r="AF49" i="56"/>
  <c r="AE49" i="56"/>
  <c r="AD49" i="56"/>
  <c r="AC49" i="56"/>
  <c r="AB49" i="56"/>
  <c r="AA49" i="56"/>
  <c r="Z49" i="56"/>
  <c r="Y49" i="56"/>
  <c r="X49" i="56"/>
  <c r="W49" i="56"/>
  <c r="AG35" i="56"/>
  <c r="AD67" i="37" s="1"/>
  <c r="AF35" i="56"/>
  <c r="AC67" i="37" s="1"/>
  <c r="AE35" i="56"/>
  <c r="AB67" i="37" s="1"/>
  <c r="AD35" i="56"/>
  <c r="AA67" i="37" s="1"/>
  <c r="AC35" i="56"/>
  <c r="Z67" i="37" s="1"/>
  <c r="AB35" i="56"/>
  <c r="Y67" i="37" s="1"/>
  <c r="AA35" i="56"/>
  <c r="X67" i="37" s="1"/>
  <c r="Z35" i="56"/>
  <c r="W67" i="37" s="1"/>
  <c r="Y35" i="56"/>
  <c r="V67" i="37" s="1"/>
  <c r="X35" i="56"/>
  <c r="U67" i="37" s="1"/>
  <c r="W35" i="56"/>
  <c r="T67" i="37" s="1"/>
  <c r="AG33" i="56"/>
  <c r="AF33" i="56"/>
  <c r="AE33" i="56"/>
  <c r="AD33" i="56"/>
  <c r="AC33" i="56"/>
  <c r="AB33" i="56"/>
  <c r="AA33" i="56"/>
  <c r="Z33" i="56"/>
  <c r="Y33" i="56"/>
  <c r="X33" i="56"/>
  <c r="W33" i="56"/>
  <c r="AG32" i="56"/>
  <c r="AF32" i="56"/>
  <c r="AE32" i="56"/>
  <c r="AD32" i="56"/>
  <c r="AC32" i="56"/>
  <c r="AB32" i="56"/>
  <c r="AA32" i="56"/>
  <c r="Z32" i="56"/>
  <c r="Y32" i="56"/>
  <c r="X32" i="56"/>
  <c r="W32" i="56"/>
  <c r="AG28" i="56"/>
  <c r="AF28" i="56"/>
  <c r="AE28" i="56"/>
  <c r="AD28" i="56"/>
  <c r="AC28" i="56"/>
  <c r="AB28" i="56"/>
  <c r="AA28" i="56"/>
  <c r="Z28" i="56"/>
  <c r="Y28" i="56"/>
  <c r="X28" i="56"/>
  <c r="W28" i="56"/>
  <c r="AG27" i="56"/>
  <c r="AF27" i="56"/>
  <c r="AE27" i="56"/>
  <c r="AD27" i="56"/>
  <c r="AC27" i="56"/>
  <c r="AB27" i="56"/>
  <c r="AA27" i="56"/>
  <c r="Z27" i="56"/>
  <c r="Y27" i="56"/>
  <c r="X27" i="56"/>
  <c r="W27" i="56"/>
  <c r="AG19" i="56"/>
  <c r="AF19" i="56"/>
  <c r="AE19" i="56"/>
  <c r="AD19" i="56"/>
  <c r="AC19" i="56"/>
  <c r="AB19" i="56"/>
  <c r="AA19" i="56"/>
  <c r="Z19" i="56"/>
  <c r="Y19" i="56"/>
  <c r="X19" i="56"/>
  <c r="W19" i="56"/>
  <c r="AG11" i="56"/>
  <c r="AF11" i="56"/>
  <c r="AE11" i="56"/>
  <c r="AD11" i="56"/>
  <c r="AC11" i="56"/>
  <c r="AB11" i="56"/>
  <c r="AA11" i="56"/>
  <c r="Z11" i="56"/>
  <c r="Y11" i="56"/>
  <c r="X11" i="56"/>
  <c r="W11" i="56"/>
  <c r="AH112" i="56"/>
  <c r="V110" i="56"/>
  <c r="V73" i="56"/>
  <c r="V49" i="56"/>
  <c r="V35" i="56"/>
  <c r="S67" i="37" s="1"/>
  <c r="V33" i="56"/>
  <c r="V32" i="56"/>
  <c r="V31" i="56"/>
  <c r="W31" i="56" s="1"/>
  <c r="V30" i="56"/>
  <c r="V29" i="56"/>
  <c r="W29" i="56" s="1"/>
  <c r="X29" i="56" s="1"/>
  <c r="Y29" i="56" s="1"/>
  <c r="Z29" i="56" s="1"/>
  <c r="AA29" i="56" s="1"/>
  <c r="AB29" i="56" s="1"/>
  <c r="AC29" i="56" s="1"/>
  <c r="AD29" i="56" s="1"/>
  <c r="AE29" i="56" s="1"/>
  <c r="AF29" i="56" s="1"/>
  <c r="AG29" i="56" s="1"/>
  <c r="V28" i="56"/>
  <c r="V27" i="56"/>
  <c r="V19" i="56"/>
  <c r="V11" i="56"/>
  <c r="Q33" i="56"/>
  <c r="P33" i="56"/>
  <c r="O33" i="56"/>
  <c r="N33" i="56"/>
  <c r="Q32" i="56"/>
  <c r="P32" i="56"/>
  <c r="O32" i="56"/>
  <c r="N32" i="56"/>
  <c r="M32" i="56"/>
  <c r="L32" i="56"/>
  <c r="K32" i="56"/>
  <c r="J32" i="56"/>
  <c r="I32" i="56"/>
  <c r="H32" i="56"/>
  <c r="G32" i="56"/>
  <c r="F32" i="56"/>
  <c r="F31" i="56"/>
  <c r="G31" i="56" s="1"/>
  <c r="H31" i="56" s="1"/>
  <c r="I31" i="56" s="1"/>
  <c r="J31" i="56" s="1"/>
  <c r="K31" i="56" s="1"/>
  <c r="L31" i="56" s="1"/>
  <c r="M31" i="56" s="1"/>
  <c r="N31" i="56" s="1"/>
  <c r="O31" i="56" s="1"/>
  <c r="P31" i="56" s="1"/>
  <c r="Q31" i="56" s="1"/>
  <c r="F30" i="56"/>
  <c r="G30" i="56" s="1"/>
  <c r="H30" i="56" s="1"/>
  <c r="I30" i="56" s="1"/>
  <c r="J30" i="56" s="1"/>
  <c r="K30" i="56" s="1"/>
  <c r="L30" i="56" s="1"/>
  <c r="M30" i="56" s="1"/>
  <c r="N30" i="56" s="1"/>
  <c r="O30" i="56" s="1"/>
  <c r="P30" i="56" s="1"/>
  <c r="Q30" i="56" s="1"/>
  <c r="F29" i="56"/>
  <c r="G29" i="56" s="1"/>
  <c r="H29" i="56" s="1"/>
  <c r="I29" i="56" s="1"/>
  <c r="J29" i="56" s="1"/>
  <c r="K29" i="56" s="1"/>
  <c r="L29" i="56" s="1"/>
  <c r="M29" i="56" s="1"/>
  <c r="N29" i="56" s="1"/>
  <c r="O29" i="56" s="1"/>
  <c r="P29" i="56" s="1"/>
  <c r="Q29" i="56" s="1"/>
  <c r="Q28" i="56"/>
  <c r="P28" i="56"/>
  <c r="O28" i="56"/>
  <c r="N28" i="56"/>
  <c r="M28" i="56"/>
  <c r="L28" i="56"/>
  <c r="K28" i="56"/>
  <c r="J28" i="56"/>
  <c r="I28" i="56"/>
  <c r="H28" i="56"/>
  <c r="G28" i="56"/>
  <c r="F28" i="56"/>
  <c r="Q27" i="56"/>
  <c r="P27" i="56"/>
  <c r="O27" i="56"/>
  <c r="N27" i="56"/>
  <c r="M27" i="56"/>
  <c r="L27" i="56"/>
  <c r="K27" i="56"/>
  <c r="J27" i="56"/>
  <c r="I27" i="56"/>
  <c r="H27" i="56"/>
  <c r="G27" i="56"/>
  <c r="F27" i="56"/>
  <c r="Q49" i="56"/>
  <c r="P49" i="56"/>
  <c r="O49" i="56"/>
  <c r="N49" i="56"/>
  <c r="M49" i="56"/>
  <c r="L49" i="56"/>
  <c r="K49" i="56"/>
  <c r="J49" i="56"/>
  <c r="I49" i="56"/>
  <c r="H49" i="56"/>
  <c r="G49" i="56"/>
  <c r="F49" i="56"/>
  <c r="Q24" i="56"/>
  <c r="P24" i="56"/>
  <c r="O24" i="56"/>
  <c r="N24" i="56"/>
  <c r="M24" i="56"/>
  <c r="L24" i="56"/>
  <c r="K24" i="56"/>
  <c r="J24" i="56"/>
  <c r="I24" i="56"/>
  <c r="H24" i="56"/>
  <c r="G24" i="56"/>
  <c r="F24" i="56"/>
  <c r="F47" i="56"/>
  <c r="G47" i="56" s="1"/>
  <c r="H47" i="56" s="1"/>
  <c r="I47" i="56" s="1"/>
  <c r="J47" i="56" s="1"/>
  <c r="K47" i="56" s="1"/>
  <c r="L47" i="56" s="1"/>
  <c r="M47" i="56" s="1"/>
  <c r="N47" i="56" s="1"/>
  <c r="O47" i="56" s="1"/>
  <c r="P47" i="56" s="1"/>
  <c r="Q47" i="56" s="1"/>
  <c r="Q23" i="56"/>
  <c r="P23" i="56"/>
  <c r="O23" i="56"/>
  <c r="N23" i="56"/>
  <c r="F42" i="56"/>
  <c r="G42" i="56" s="1"/>
  <c r="Q19" i="56"/>
  <c r="P19" i="56"/>
  <c r="O19" i="56"/>
  <c r="N19" i="56"/>
  <c r="M19" i="56"/>
  <c r="L19" i="56"/>
  <c r="K19" i="56"/>
  <c r="J19" i="56"/>
  <c r="I19" i="56"/>
  <c r="H19" i="56"/>
  <c r="G19" i="56"/>
  <c r="F19" i="56"/>
  <c r="Q17" i="56"/>
  <c r="P17" i="56"/>
  <c r="O17" i="56"/>
  <c r="N17" i="56"/>
  <c r="M17" i="56"/>
  <c r="L17" i="56"/>
  <c r="K17" i="56"/>
  <c r="J17" i="56"/>
  <c r="I17" i="56"/>
  <c r="H17" i="56"/>
  <c r="G17" i="56"/>
  <c r="F17" i="56"/>
  <c r="Q112" i="56"/>
  <c r="P112" i="56"/>
  <c r="O112" i="56"/>
  <c r="N112" i="56"/>
  <c r="M112" i="56"/>
  <c r="L112" i="56"/>
  <c r="K112" i="56"/>
  <c r="J112" i="56"/>
  <c r="I112" i="56"/>
  <c r="H112" i="56"/>
  <c r="G112" i="56"/>
  <c r="F112" i="56"/>
  <c r="Q110" i="56"/>
  <c r="P110" i="56"/>
  <c r="O110" i="56"/>
  <c r="N110" i="56"/>
  <c r="M110" i="56"/>
  <c r="L110" i="56"/>
  <c r="K110" i="56"/>
  <c r="J110" i="56"/>
  <c r="I110" i="56"/>
  <c r="M108" i="56"/>
  <c r="L108" i="56"/>
  <c r="K108" i="56"/>
  <c r="J108" i="56"/>
  <c r="I108" i="56"/>
  <c r="H107" i="56"/>
  <c r="G107" i="56"/>
  <c r="F107" i="56"/>
  <c r="M14" i="56"/>
  <c r="L14" i="56"/>
  <c r="K14" i="56"/>
  <c r="J14" i="56"/>
  <c r="I14" i="56"/>
  <c r="H14" i="56"/>
  <c r="G14" i="56"/>
  <c r="F14" i="56"/>
  <c r="R13" i="56"/>
  <c r="R12" i="56"/>
  <c r="Q35" i="56"/>
  <c r="O67" i="37" s="1"/>
  <c r="P35" i="56"/>
  <c r="N67" i="37" s="1"/>
  <c r="O35" i="56"/>
  <c r="M67" i="37" s="1"/>
  <c r="N35" i="56"/>
  <c r="M35" i="56"/>
  <c r="L35" i="56"/>
  <c r="K35" i="56"/>
  <c r="J35" i="56"/>
  <c r="I35" i="56"/>
  <c r="Q11" i="56"/>
  <c r="P11" i="56"/>
  <c r="O11" i="56"/>
  <c r="N11" i="56"/>
  <c r="M11" i="56"/>
  <c r="L11" i="56"/>
  <c r="K11" i="56"/>
  <c r="J11" i="56"/>
  <c r="I11" i="56"/>
  <c r="H11" i="56"/>
  <c r="G11" i="56"/>
  <c r="F11" i="56"/>
  <c r="R10" i="56"/>
  <c r="R9" i="56"/>
  <c r="R8" i="56"/>
  <c r="R7" i="56"/>
  <c r="Q73" i="56"/>
  <c r="P73" i="56"/>
  <c r="O73" i="56"/>
  <c r="N73" i="56"/>
  <c r="M73" i="56"/>
  <c r="L73" i="56"/>
  <c r="K73" i="56"/>
  <c r="J73" i="56"/>
  <c r="I73" i="56"/>
  <c r="R3" i="56"/>
  <c r="Q66" i="56"/>
  <c r="P66" i="56"/>
  <c r="O66" i="56"/>
  <c r="N66" i="56"/>
  <c r="M66" i="56"/>
  <c r="L66" i="56"/>
  <c r="K66" i="56"/>
  <c r="J66" i="56"/>
  <c r="I66" i="56"/>
  <c r="H66" i="56"/>
  <c r="G66" i="56"/>
  <c r="F66" i="56"/>
  <c r="R6" i="56"/>
  <c r="R5" i="56"/>
  <c r="R4" i="56"/>
  <c r="J3" i="59" l="1"/>
  <c r="J4" i="61"/>
  <c r="Q93" i="75"/>
  <c r="S93" i="75" s="1"/>
  <c r="D93" i="75"/>
  <c r="D90" i="75"/>
  <c r="Q90" i="75"/>
  <c r="S90" i="75" s="1"/>
  <c r="B275" i="76"/>
  <c r="B224" i="30"/>
  <c r="D87" i="75"/>
  <c r="Q87" i="75"/>
  <c r="S87" i="75" s="1"/>
  <c r="D94" i="75"/>
  <c r="Q94" i="75"/>
  <c r="S94" i="75" s="1"/>
  <c r="J4" i="66"/>
  <c r="D91" i="75"/>
  <c r="Q91" i="75"/>
  <c r="S91" i="75" s="1"/>
  <c r="D88" i="75"/>
  <c r="Q88" i="75"/>
  <c r="S88" i="75" s="1"/>
  <c r="D92" i="75"/>
  <c r="Q92" i="75"/>
  <c r="S92" i="75" s="1"/>
  <c r="D89" i="75"/>
  <c r="Q89" i="75"/>
  <c r="S89" i="75" s="1"/>
  <c r="AD9" i="75"/>
  <c r="AF9" i="75" s="1"/>
  <c r="AD36" i="75"/>
  <c r="AD90" i="75"/>
  <c r="AF90" i="75" s="1"/>
  <c r="K67" i="75"/>
  <c r="M67" i="75" s="1"/>
  <c r="K60" i="75"/>
  <c r="M60" i="75" s="1"/>
  <c r="AD67" i="75"/>
  <c r="AF67" i="75" s="1"/>
  <c r="AD91" i="75"/>
  <c r="AF91" i="75" s="1"/>
  <c r="AD60" i="75"/>
  <c r="AF60" i="75" s="1"/>
  <c r="AD87" i="75"/>
  <c r="AF87" i="75" s="1"/>
  <c r="AD92" i="75"/>
  <c r="AF92" i="75" s="1"/>
  <c r="L5" i="65"/>
  <c r="M5" i="65" s="1"/>
  <c r="N5" i="65" s="1"/>
  <c r="O5" i="65" s="1"/>
  <c r="K61" i="75"/>
  <c r="M61" i="75" s="1"/>
  <c r="AD61" i="75"/>
  <c r="AF61" i="75" s="1"/>
  <c r="AD88" i="75"/>
  <c r="AF88" i="75" s="1"/>
  <c r="AD93" i="75"/>
  <c r="AF93" i="75" s="1"/>
  <c r="K62" i="75"/>
  <c r="M62" i="75" s="1"/>
  <c r="AD89" i="75"/>
  <c r="AF89" i="75" s="1"/>
  <c r="AD94" i="75"/>
  <c r="AF94" i="75" s="1"/>
  <c r="K9" i="75"/>
  <c r="M9" i="75" s="1"/>
  <c r="K36" i="75"/>
  <c r="AD62" i="75"/>
  <c r="AF62" i="75" s="1"/>
  <c r="X9" i="51"/>
  <c r="W9" i="51"/>
  <c r="Z9" i="51"/>
  <c r="Y9" i="51"/>
  <c r="V9" i="51"/>
  <c r="AD9" i="51"/>
  <c r="AH18" i="57"/>
  <c r="AH25" i="57" s="1"/>
  <c r="AH31" i="57" s="1"/>
  <c r="AI18" i="57"/>
  <c r="AI25" i="57" s="1"/>
  <c r="AI31" i="57" s="1"/>
  <c r="AJ18" i="57"/>
  <c r="AJ25" i="57" s="1"/>
  <c r="AJ31" i="57" s="1"/>
  <c r="AQ18" i="57"/>
  <c r="AQ25" i="57" s="1"/>
  <c r="AQ31" i="57" s="1"/>
  <c r="AR18" i="57"/>
  <c r="AR25" i="57" s="1"/>
  <c r="AR31" i="57" s="1"/>
  <c r="AS18" i="57"/>
  <c r="AS25" i="57" s="1"/>
  <c r="AS31" i="57" s="1"/>
  <c r="AH18" i="60"/>
  <c r="AH25" i="60" s="1"/>
  <c r="AI18" i="60"/>
  <c r="AI25" i="60" s="1"/>
  <c r="AJ18" i="60"/>
  <c r="AJ25" i="60" s="1"/>
  <c r="AK18" i="60"/>
  <c r="AK25" i="60" s="1"/>
  <c r="AR18" i="60"/>
  <c r="AR25" i="60" s="1"/>
  <c r="AR31" i="60" s="1"/>
  <c r="AS18" i="60"/>
  <c r="AS25" i="60" s="1"/>
  <c r="AS31" i="60" s="1"/>
  <c r="AI18" i="61"/>
  <c r="AI25" i="61" s="1"/>
  <c r="AI31" i="61" s="1"/>
  <c r="AO18" i="61"/>
  <c r="AO25" i="61" s="1"/>
  <c r="AP18" i="61"/>
  <c r="AP25" i="61" s="1"/>
  <c r="AP31" i="61" s="1"/>
  <c r="AH17" i="62"/>
  <c r="AH24" i="62" s="1"/>
  <c r="AI17" i="62"/>
  <c r="AI24" i="62" s="1"/>
  <c r="AK17" i="62"/>
  <c r="AK24" i="62" s="1"/>
  <c r="AK30" i="62" s="1"/>
  <c r="AL17" i="62"/>
  <c r="AL24" i="62" s="1"/>
  <c r="AL30" i="62" s="1"/>
  <c r="AQ17" i="62"/>
  <c r="AQ24" i="62" s="1"/>
  <c r="AR17" i="62"/>
  <c r="AR24" i="62" s="1"/>
  <c r="AJ18" i="63"/>
  <c r="AJ25" i="63" s="1"/>
  <c r="AJ31" i="63" s="1"/>
  <c r="AK18" i="63"/>
  <c r="AK25" i="63" s="1"/>
  <c r="AK31" i="63" s="1"/>
  <c r="AL18" i="63"/>
  <c r="AL25" i="63" s="1"/>
  <c r="AM18" i="63"/>
  <c r="AM25" i="63" s="1"/>
  <c r="AP18" i="63"/>
  <c r="AP25" i="63" s="1"/>
  <c r="AP31" i="63" s="1"/>
  <c r="AR18" i="63"/>
  <c r="AR25" i="63" s="1"/>
  <c r="AD18" i="66"/>
  <c r="AP9" i="51"/>
  <c r="AO9" i="51"/>
  <c r="AJ9" i="51"/>
  <c r="AL9" i="51"/>
  <c r="AL18" i="51" s="1"/>
  <c r="AM9" i="51"/>
  <c r="AN9" i="51"/>
  <c r="AK9" i="51"/>
  <c r="AQ9" i="51"/>
  <c r="AR9" i="51"/>
  <c r="AI9" i="51"/>
  <c r="AS9" i="51"/>
  <c r="AH9" i="51"/>
  <c r="V18" i="57"/>
  <c r="V25" i="57" s="1"/>
  <c r="V31" i="57" s="1"/>
  <c r="M25" i="57"/>
  <c r="M31" i="57" s="1"/>
  <c r="O25" i="57"/>
  <c r="O31" i="57" s="1"/>
  <c r="Z18" i="61"/>
  <c r="Z25" i="61" s="1"/>
  <c r="Z31" i="61" s="1"/>
  <c r="M25" i="61"/>
  <c r="W18" i="57"/>
  <c r="W25" i="57" s="1"/>
  <c r="W31" i="57" s="1"/>
  <c r="N25" i="61"/>
  <c r="X18" i="57"/>
  <c r="X25" i="57" s="1"/>
  <c r="X31" i="57" s="1"/>
  <c r="O25" i="61"/>
  <c r="Y18" i="57"/>
  <c r="Y25" i="57" s="1"/>
  <c r="Y31" i="57" s="1"/>
  <c r="Z18" i="57"/>
  <c r="Z25" i="57" s="1"/>
  <c r="Z31" i="57" s="1"/>
  <c r="V18" i="61"/>
  <c r="V25" i="61" s="1"/>
  <c r="V31" i="61" s="1"/>
  <c r="AD18" i="57"/>
  <c r="AD25" i="57" s="1"/>
  <c r="AD31" i="57" s="1"/>
  <c r="W18" i="61"/>
  <c r="W25" i="61" s="1"/>
  <c r="V17" i="62"/>
  <c r="V24" i="62" s="1"/>
  <c r="Y17" i="62"/>
  <c r="Y24" i="62" s="1"/>
  <c r="M17" i="62"/>
  <c r="M24" i="62" s="1"/>
  <c r="Z17" i="62"/>
  <c r="Z24" i="62" s="1"/>
  <c r="U17" i="62"/>
  <c r="U24" i="62" s="1"/>
  <c r="O17" i="62"/>
  <c r="O24" i="62" s="1"/>
  <c r="AB17" i="62"/>
  <c r="AB24" i="62" s="1"/>
  <c r="AB30" i="62" s="1"/>
  <c r="S17" i="62"/>
  <c r="S24" i="62" s="1"/>
  <c r="T17" i="62"/>
  <c r="T24" i="62" s="1"/>
  <c r="Z18" i="63"/>
  <c r="Z25" i="63" s="1"/>
  <c r="Z31" i="63" s="1"/>
  <c r="M18" i="63"/>
  <c r="M25" i="63" s="1"/>
  <c r="M31" i="63" s="1"/>
  <c r="N18" i="63"/>
  <c r="N25" i="63" s="1"/>
  <c r="N31" i="63" s="1"/>
  <c r="T18" i="63"/>
  <c r="T25" i="63" s="1"/>
  <c r="AD17" i="59"/>
  <c r="AD24" i="59" s="1"/>
  <c r="AD30" i="59" s="1"/>
  <c r="V17" i="59"/>
  <c r="V24" i="59" s="1"/>
  <c r="X17" i="59"/>
  <c r="X24" i="59" s="1"/>
  <c r="Z17" i="59"/>
  <c r="Z24" i="59" s="1"/>
  <c r="Z30" i="59" s="1"/>
  <c r="Y17" i="59"/>
  <c r="Y24" i="59" s="1"/>
  <c r="M24" i="59"/>
  <c r="M30" i="59" s="1"/>
  <c r="AD18" i="60"/>
  <c r="AD25" i="60" s="1"/>
  <c r="AD31" i="60" s="1"/>
  <c r="O25" i="60"/>
  <c r="X18" i="60"/>
  <c r="X25" i="60" s="1"/>
  <c r="X31" i="60" s="1"/>
  <c r="W18" i="60"/>
  <c r="W25" i="60" s="1"/>
  <c r="W31" i="60" s="1"/>
  <c r="Y18" i="60"/>
  <c r="Y25" i="60" s="1"/>
  <c r="Y31" i="60" s="1"/>
  <c r="U61" i="32"/>
  <c r="Y69" i="32"/>
  <c r="AH61" i="32"/>
  <c r="AR61" i="32"/>
  <c r="AP62" i="32"/>
  <c r="AN63" i="32"/>
  <c r="O41" i="63"/>
  <c r="O48" i="63" s="1"/>
  <c r="Z63" i="32"/>
  <c r="X69" i="32"/>
  <c r="AQ61" i="32"/>
  <c r="AO62" i="32"/>
  <c r="AM63" i="32"/>
  <c r="AK69" i="32"/>
  <c r="Y41" i="63"/>
  <c r="AH41" i="63"/>
  <c r="AH48" i="63" s="1"/>
  <c r="AP41" i="63"/>
  <c r="AP48" i="63" s="1"/>
  <c r="AI39" i="63"/>
  <c r="N41" i="63"/>
  <c r="N48" i="63" s="1"/>
  <c r="AN40" i="63"/>
  <c r="Z62" i="32"/>
  <c r="X63" i="32"/>
  <c r="V69" i="32"/>
  <c r="AO61" i="32"/>
  <c r="AM62" i="32"/>
  <c r="AK63" i="32"/>
  <c r="AI69" i="32"/>
  <c r="AS69" i="32"/>
  <c r="AR41" i="57"/>
  <c r="AR48" i="57" s="1"/>
  <c r="AR54" i="57" s="1"/>
  <c r="AI40" i="63"/>
  <c r="AD40" i="59"/>
  <c r="AD41" i="57"/>
  <c r="AD48" i="57" s="1"/>
  <c r="AD54" i="57" s="1"/>
  <c r="Y61" i="32"/>
  <c r="W62" i="32"/>
  <c r="U63" i="32"/>
  <c r="S69" i="32"/>
  <c r="AC69" i="32"/>
  <c r="AL61" i="32"/>
  <c r="AJ62" i="32"/>
  <c r="AH63" i="32"/>
  <c r="Y62" i="32"/>
  <c r="W63" i="32"/>
  <c r="U69" i="32"/>
  <c r="AN61" i="32"/>
  <c r="AL62" i="32"/>
  <c r="AJ63" i="32"/>
  <c r="Y40" i="59"/>
  <c r="Y47" i="59" s="1"/>
  <c r="AR41" i="61"/>
  <c r="AR48" i="61" s="1"/>
  <c r="M41" i="57"/>
  <c r="Z40" i="59"/>
  <c r="Z47" i="59" s="1"/>
  <c r="AL69" i="32"/>
  <c r="V61" i="32"/>
  <c r="Z69" i="32"/>
  <c r="AI61" i="32"/>
  <c r="AS61" i="32"/>
  <c r="AQ62" i="32"/>
  <c r="AO63" i="32"/>
  <c r="AM69" i="32"/>
  <c r="X61" i="32"/>
  <c r="V62" i="32"/>
  <c r="AB69" i="32"/>
  <c r="AK61" i="32"/>
  <c r="AI62" i="32"/>
  <c r="AS62" i="32"/>
  <c r="Z61" i="32"/>
  <c r="X62" i="32"/>
  <c r="V63" i="32"/>
  <c r="T69" i="32"/>
  <c r="AD69" i="32"/>
  <c r="AM61" i="32"/>
  <c r="AK62" i="32"/>
  <c r="AS63" i="32"/>
  <c r="AQ69" i="32"/>
  <c r="S41" i="57"/>
  <c r="S48" i="57" s="1"/>
  <c r="AS41" i="57"/>
  <c r="AS48" i="57" s="1"/>
  <c r="AR63" i="32"/>
  <c r="AP69" i="32"/>
  <c r="M41" i="61"/>
  <c r="M48" i="61" s="1"/>
  <c r="M76" i="61" s="1"/>
  <c r="M82" i="61" s="1"/>
  <c r="N41" i="61"/>
  <c r="N48" i="61" s="1"/>
  <c r="AO40" i="63"/>
  <c r="AB41" i="61"/>
  <c r="AB48" i="61" s="1"/>
  <c r="AB76" i="61" s="1"/>
  <c r="AB82" i="61" s="1"/>
  <c r="AC41" i="63"/>
  <c r="AQ41" i="61"/>
  <c r="AQ48" i="61" s="1"/>
  <c r="AQ76" i="61" s="1"/>
  <c r="AQ82" i="61" s="1"/>
  <c r="AS41" i="61"/>
  <c r="AS48" i="61" s="1"/>
  <c r="AS54" i="61" s="1"/>
  <c r="W61" i="32"/>
  <c r="U62" i="32"/>
  <c r="AA69" i="32"/>
  <c r="AJ61" i="32"/>
  <c r="AH62" i="32"/>
  <c r="AP63" i="32"/>
  <c r="AN69" i="32"/>
  <c r="AQ63" i="32"/>
  <c r="AI41" i="57"/>
  <c r="AI48" i="57" s="1"/>
  <c r="AC40" i="59"/>
  <c r="AC47" i="59" s="1"/>
  <c r="AM41" i="61"/>
  <c r="AM48" i="61" s="1"/>
  <c r="AJ39" i="62"/>
  <c r="U10" i="32"/>
  <c r="U19" i="51"/>
  <c r="U41" i="51"/>
  <c r="Y63" i="32"/>
  <c r="W69" i="32"/>
  <c r="AJ10" i="32"/>
  <c r="AJ19" i="51"/>
  <c r="AJ41" i="51"/>
  <c r="AP61" i="32"/>
  <c r="AN62" i="32"/>
  <c r="AL63" i="32"/>
  <c r="AJ69" i="32"/>
  <c r="S19" i="52"/>
  <c r="S41" i="52"/>
  <c r="AC41" i="52"/>
  <c r="AC19" i="52"/>
  <c r="AP19" i="52"/>
  <c r="AP41" i="52"/>
  <c r="V10" i="32"/>
  <c r="V41" i="51"/>
  <c r="V19" i="51"/>
  <c r="AK10" i="32"/>
  <c r="AK41" i="51"/>
  <c r="AK19" i="51"/>
  <c r="T19" i="52"/>
  <c r="T41" i="52"/>
  <c r="AD19" i="52"/>
  <c r="AD41" i="52"/>
  <c r="AQ19" i="52"/>
  <c r="AQ41" i="52"/>
  <c r="W10" i="32"/>
  <c r="W19" i="51"/>
  <c r="W41" i="51"/>
  <c r="AL10" i="32"/>
  <c r="AL41" i="51"/>
  <c r="AL19" i="51"/>
  <c r="U19" i="52"/>
  <c r="U41" i="52"/>
  <c r="AH19" i="52"/>
  <c r="AH41" i="52"/>
  <c r="AR19" i="52"/>
  <c r="AR41" i="52"/>
  <c r="AD41" i="60"/>
  <c r="L48" i="61"/>
  <c r="L76" i="61" s="1"/>
  <c r="L82" i="61" s="1"/>
  <c r="T41" i="63"/>
  <c r="T48" i="63" s="1"/>
  <c r="X10" i="32"/>
  <c r="X19" i="51"/>
  <c r="X41" i="51"/>
  <c r="AM10" i="32"/>
  <c r="AM19" i="51"/>
  <c r="AM41" i="51"/>
  <c r="V19" i="52"/>
  <c r="V41" i="52"/>
  <c r="AI19" i="52"/>
  <c r="AI41" i="52"/>
  <c r="AS19" i="52"/>
  <c r="AS41" i="52"/>
  <c r="AH41" i="60"/>
  <c r="Y10" i="32"/>
  <c r="Y19" i="51"/>
  <c r="Y41" i="51"/>
  <c r="AN10" i="32"/>
  <c r="AN19" i="51"/>
  <c r="AN41" i="51"/>
  <c r="W19" i="52"/>
  <c r="W41" i="52"/>
  <c r="AJ19" i="52"/>
  <c r="AJ19" i="32" s="1"/>
  <c r="AJ41" i="52"/>
  <c r="AS41" i="60"/>
  <c r="AS48" i="60" s="1"/>
  <c r="Z10" i="32"/>
  <c r="Z19" i="51"/>
  <c r="Z41" i="51"/>
  <c r="AO10" i="32"/>
  <c r="AO19" i="51"/>
  <c r="AO41" i="51"/>
  <c r="AO69" i="32"/>
  <c r="X19" i="52"/>
  <c r="X41" i="52"/>
  <c r="AK19" i="52"/>
  <c r="AK41" i="52"/>
  <c r="AA10" i="32"/>
  <c r="AA19" i="51"/>
  <c r="AA41" i="51"/>
  <c r="AP10" i="32"/>
  <c r="AP41" i="51"/>
  <c r="AP19" i="51"/>
  <c r="Y19" i="52"/>
  <c r="Y41" i="52"/>
  <c r="AL41" i="52"/>
  <c r="AL19" i="52"/>
  <c r="AH42" i="65"/>
  <c r="AH49" i="65" s="1"/>
  <c r="AH55" i="65" s="1"/>
  <c r="AQ42" i="65"/>
  <c r="AQ49" i="65" s="1"/>
  <c r="AQ55" i="65" s="1"/>
  <c r="T42" i="65"/>
  <c r="T49" i="65" s="1"/>
  <c r="T55" i="65" s="1"/>
  <c r="S42" i="65"/>
  <c r="S49" i="65" s="1"/>
  <c r="S55" i="65" s="1"/>
  <c r="AO42" i="65"/>
  <c r="AO49" i="65" s="1"/>
  <c r="AO55" i="65" s="1"/>
  <c r="AB42" i="65"/>
  <c r="AB49" i="65" s="1"/>
  <c r="AB55" i="65" s="1"/>
  <c r="AA42" i="65"/>
  <c r="AA49" i="65" s="1"/>
  <c r="AA55" i="65" s="1"/>
  <c r="Y42" i="65"/>
  <c r="Y49" i="65" s="1"/>
  <c r="Y55" i="65" s="1"/>
  <c r="AK42" i="65"/>
  <c r="AK49" i="65" s="1"/>
  <c r="AK55" i="65" s="1"/>
  <c r="AJ42" i="65"/>
  <c r="AJ49" i="65" s="1"/>
  <c r="AJ55" i="65" s="1"/>
  <c r="W42" i="65"/>
  <c r="W49" i="65" s="1"/>
  <c r="W55" i="65" s="1"/>
  <c r="AN42" i="65"/>
  <c r="AN49" i="65" s="1"/>
  <c r="AN55" i="65" s="1"/>
  <c r="AL42" i="65"/>
  <c r="AL49" i="65" s="1"/>
  <c r="AL55" i="65" s="1"/>
  <c r="AM42" i="65"/>
  <c r="AM49" i="65" s="1"/>
  <c r="AM55" i="65" s="1"/>
  <c r="Z42" i="65"/>
  <c r="Z49" i="65" s="1"/>
  <c r="Z55" i="65" s="1"/>
  <c r="X42" i="65"/>
  <c r="X49" i="65" s="1"/>
  <c r="X55" i="65" s="1"/>
  <c r="AC42" i="65"/>
  <c r="AC49" i="65" s="1"/>
  <c r="AC55" i="65" s="1"/>
  <c r="AP42" i="65"/>
  <c r="AP49" i="65" s="1"/>
  <c r="AP55" i="65" s="1"/>
  <c r="AS42" i="65"/>
  <c r="AS49" i="65" s="1"/>
  <c r="AS55" i="65" s="1"/>
  <c r="AI42" i="65"/>
  <c r="AI49" i="65" s="1"/>
  <c r="AI55" i="65" s="1"/>
  <c r="V42" i="65"/>
  <c r="V49" i="65" s="1"/>
  <c r="V55" i="65" s="1"/>
  <c r="AR42" i="65"/>
  <c r="AR49" i="65" s="1"/>
  <c r="AR55" i="65" s="1"/>
  <c r="U42" i="65"/>
  <c r="U49" i="65" s="1"/>
  <c r="U55" i="65" s="1"/>
  <c r="AD42" i="65"/>
  <c r="AD49" i="65" s="1"/>
  <c r="AD55" i="65" s="1"/>
  <c r="AB41" i="66"/>
  <c r="AB48" i="66" s="1"/>
  <c r="AB10" i="32"/>
  <c r="AB19" i="51"/>
  <c r="AB41" i="51"/>
  <c r="AQ10" i="32"/>
  <c r="AQ41" i="51"/>
  <c r="AQ19" i="51"/>
  <c r="Z19" i="52"/>
  <c r="Z41" i="52"/>
  <c r="AM19" i="52"/>
  <c r="AM41" i="52"/>
  <c r="AC41" i="57"/>
  <c r="AC48" i="57" s="1"/>
  <c r="N25" i="59"/>
  <c r="N31" i="59" s="1"/>
  <c r="T41" i="57"/>
  <c r="T48" i="57" s="1"/>
  <c r="AO26" i="60"/>
  <c r="AO32" i="60" s="1"/>
  <c r="AP48" i="61"/>
  <c r="AP54" i="61" s="1"/>
  <c r="AS41" i="63"/>
  <c r="AS48" i="63" s="1"/>
  <c r="S10" i="32"/>
  <c r="S41" i="51"/>
  <c r="S19" i="51"/>
  <c r="AC10" i="32"/>
  <c r="AC41" i="51"/>
  <c r="AC19" i="51"/>
  <c r="AH10" i="32"/>
  <c r="AH19" i="51"/>
  <c r="AH41" i="51"/>
  <c r="AR10" i="32"/>
  <c r="AR19" i="51"/>
  <c r="AR41" i="51"/>
  <c r="AH69" i="32"/>
  <c r="AR69" i="32"/>
  <c r="AA19" i="52"/>
  <c r="AA41" i="52"/>
  <c r="AN19" i="52"/>
  <c r="AN41" i="52"/>
  <c r="AH41" i="57"/>
  <c r="AH48" i="57" s="1"/>
  <c r="AH76" i="57" s="1"/>
  <c r="AH82" i="57" s="1"/>
  <c r="AH40" i="63"/>
  <c r="AR39" i="65"/>
  <c r="AH39" i="65"/>
  <c r="AP39" i="65"/>
  <c r="AC39" i="65"/>
  <c r="S39" i="65"/>
  <c r="AL39" i="65"/>
  <c r="AK39" i="65"/>
  <c r="X39" i="65"/>
  <c r="AO39" i="65"/>
  <c r="AB39" i="65"/>
  <c r="AM39" i="65"/>
  <c r="Z39" i="65"/>
  <c r="AN39" i="65"/>
  <c r="AA39" i="65"/>
  <c r="Y39" i="65"/>
  <c r="AQ39" i="65"/>
  <c r="T39" i="65"/>
  <c r="AD39" i="65"/>
  <c r="AJ39" i="65"/>
  <c r="W39" i="65"/>
  <c r="AS39" i="65"/>
  <c r="AI39" i="65"/>
  <c r="V39" i="65"/>
  <c r="U39" i="65"/>
  <c r="T10" i="32"/>
  <c r="T41" i="51"/>
  <c r="T19" i="51"/>
  <c r="AD10" i="32"/>
  <c r="AD41" i="51"/>
  <c r="AD19" i="51"/>
  <c r="AI10" i="32"/>
  <c r="AI41" i="51"/>
  <c r="AI19" i="51"/>
  <c r="AS10" i="32"/>
  <c r="AS41" i="51"/>
  <c r="AS19" i="51"/>
  <c r="AB19" i="52"/>
  <c r="AB41" i="52"/>
  <c r="AO41" i="52"/>
  <c r="AO19" i="52"/>
  <c r="Q99" i="66"/>
  <c r="Q19" i="66"/>
  <c r="Q96" i="59"/>
  <c r="AI63" i="32"/>
  <c r="AR62" i="32"/>
  <c r="AA61" i="32"/>
  <c r="AA62" i="32"/>
  <c r="AA63" i="32"/>
  <c r="AB61" i="32"/>
  <c r="AB62" i="32"/>
  <c r="AB63" i="32"/>
  <c r="AC61" i="32"/>
  <c r="AC62" i="32"/>
  <c r="AC63" i="32"/>
  <c r="AD61" i="32"/>
  <c r="AD62" i="32"/>
  <c r="AD63" i="32"/>
  <c r="S61" i="32"/>
  <c r="S62" i="32"/>
  <c r="S63" i="32"/>
  <c r="T61" i="32"/>
  <c r="T62" i="32"/>
  <c r="T63" i="32"/>
  <c r="Q97" i="60"/>
  <c r="AR17" i="59"/>
  <c r="AR24" i="59" s="1"/>
  <c r="AS17" i="59"/>
  <c r="AS24" i="59" s="1"/>
  <c r="AS30" i="59" s="1"/>
  <c r="AM17" i="59"/>
  <c r="AM24" i="59" s="1"/>
  <c r="AO17" i="59"/>
  <c r="AO24" i="59" s="1"/>
  <c r="AO30" i="59" s="1"/>
  <c r="M41" i="60"/>
  <c r="M48" i="60" s="1"/>
  <c r="M76" i="60" s="1"/>
  <c r="M82" i="60" s="1"/>
  <c r="AB41" i="60"/>
  <c r="AB48" i="60" s="1"/>
  <c r="L41" i="60"/>
  <c r="AC41" i="60"/>
  <c r="AN40" i="60"/>
  <c r="U59" i="66"/>
  <c r="AH27" i="56"/>
  <c r="B3" i="68"/>
  <c r="R23" i="56"/>
  <c r="R107" i="56"/>
  <c r="R33" i="56"/>
  <c r="Q68" i="37"/>
  <c r="H42" i="56"/>
  <c r="C3" i="68"/>
  <c r="AS17" i="66"/>
  <c r="AS24" i="66" s="1"/>
  <c r="AK17" i="66"/>
  <c r="AK24" i="66" s="1"/>
  <c r="AL17" i="66"/>
  <c r="AQ38" i="62"/>
  <c r="AQ45" i="62" s="1"/>
  <c r="AQ51" i="62" s="1"/>
  <c r="AK39" i="66"/>
  <c r="AQ39" i="57"/>
  <c r="AK39" i="63"/>
  <c r="AH17" i="66"/>
  <c r="AI17" i="66"/>
  <c r="AJ17" i="66"/>
  <c r="AM18" i="66"/>
  <c r="AN18" i="66"/>
  <c r="AO18" i="66"/>
  <c r="AP18" i="66"/>
  <c r="AQ18" i="66"/>
  <c r="AS18" i="66"/>
  <c r="AI18" i="66"/>
  <c r="V18" i="66"/>
  <c r="X18" i="66"/>
  <c r="Z18" i="66"/>
  <c r="W18" i="66"/>
  <c r="Q95" i="62"/>
  <c r="Q19" i="57"/>
  <c r="Q26" i="57" s="1"/>
  <c r="M26" i="57"/>
  <c r="AP39" i="57"/>
  <c r="AO39" i="57"/>
  <c r="AN39" i="57"/>
  <c r="AF19" i="57"/>
  <c r="AF26" i="57" s="1"/>
  <c r="AF32" i="57" s="1"/>
  <c r="AM39" i="57"/>
  <c r="AL39" i="57"/>
  <c r="AB41" i="57"/>
  <c r="AB48" i="57" s="1"/>
  <c r="AB54" i="57" s="1"/>
  <c r="AQ41" i="57"/>
  <c r="AQ48" i="57" s="1"/>
  <c r="AQ76" i="57" s="1"/>
  <c r="AQ82" i="57" s="1"/>
  <c r="AF60" i="57"/>
  <c r="AK39" i="57"/>
  <c r="AP41" i="57"/>
  <c r="AP48" i="57" s="1"/>
  <c r="AP54" i="57" s="1"/>
  <c r="AJ39" i="57"/>
  <c r="AO41" i="57"/>
  <c r="AO48" i="57" s="1"/>
  <c r="AO54" i="57" s="1"/>
  <c r="V26" i="57"/>
  <c r="AN41" i="57"/>
  <c r="AN48" i="57" s="1"/>
  <c r="X41" i="57"/>
  <c r="X48" i="57" s="1"/>
  <c r="AU19" i="57"/>
  <c r="AU26" i="57" s="1"/>
  <c r="AU32" i="57" s="1"/>
  <c r="AS39" i="57"/>
  <c r="L41" i="57"/>
  <c r="W41" i="57"/>
  <c r="W48" i="57" s="1"/>
  <c r="AL41" i="57"/>
  <c r="AL48" i="57" s="1"/>
  <c r="AA41" i="57"/>
  <c r="AA48" i="57" s="1"/>
  <c r="AA54" i="57" s="1"/>
  <c r="Z41" i="57"/>
  <c r="Z48" i="57" s="1"/>
  <c r="AI39" i="57"/>
  <c r="AH39" i="57"/>
  <c r="AR39" i="57"/>
  <c r="O41" i="57"/>
  <c r="O48" i="57" s="1"/>
  <c r="V41" i="57"/>
  <c r="AK41" i="57"/>
  <c r="AK48" i="57" s="1"/>
  <c r="AU60" i="57"/>
  <c r="Y41" i="57"/>
  <c r="Y48" i="57" s="1"/>
  <c r="Y76" i="57" s="1"/>
  <c r="Y82" i="57" s="1"/>
  <c r="AM41" i="57"/>
  <c r="AM48" i="57" s="1"/>
  <c r="N41" i="57"/>
  <c r="N48" i="57" s="1"/>
  <c r="N54" i="57" s="1"/>
  <c r="U41" i="57"/>
  <c r="U48" i="57" s="1"/>
  <c r="O25" i="59"/>
  <c r="O31" i="59" s="1"/>
  <c r="AF59" i="59"/>
  <c r="W25" i="59"/>
  <c r="W31" i="59" s="1"/>
  <c r="X25" i="59"/>
  <c r="X31" i="59" s="1"/>
  <c r="AM41" i="60"/>
  <c r="AR39" i="60"/>
  <c r="AS39" i="60"/>
  <c r="AN41" i="60"/>
  <c r="AR41" i="60"/>
  <c r="AA41" i="60"/>
  <c r="AK41" i="60"/>
  <c r="T41" i="60"/>
  <c r="O41" i="60"/>
  <c r="AQ41" i="60"/>
  <c r="Z41" i="60"/>
  <c r="AP41" i="60"/>
  <c r="X41" i="60"/>
  <c r="AJ41" i="60"/>
  <c r="AJ48" i="60" s="1"/>
  <c r="AO41" i="60"/>
  <c r="V41" i="60"/>
  <c r="S41" i="60"/>
  <c r="AI41" i="60"/>
  <c r="AL41" i="60"/>
  <c r="U41" i="60"/>
  <c r="Z26" i="60"/>
  <c r="Z32" i="60" s="1"/>
  <c r="Y26" i="60"/>
  <c r="Y32" i="60" s="1"/>
  <c r="AC26" i="60"/>
  <c r="AC32" i="60" s="1"/>
  <c r="AD26" i="60"/>
  <c r="AD32" i="60" s="1"/>
  <c r="AH26" i="60"/>
  <c r="AH32" i="60" s="1"/>
  <c r="O41" i="61"/>
  <c r="O48" i="61" s="1"/>
  <c r="AA41" i="61"/>
  <c r="AA48" i="61" s="1"/>
  <c r="AA76" i="61" s="1"/>
  <c r="AA82" i="61" s="1"/>
  <c r="AD41" i="61"/>
  <c r="AD48" i="61" s="1"/>
  <c r="AD76" i="61" s="1"/>
  <c r="AD82" i="61" s="1"/>
  <c r="AC41" i="61"/>
  <c r="AC48" i="61" s="1"/>
  <c r="AH41" i="61"/>
  <c r="AH48" i="61" s="1"/>
  <c r="M32" i="61"/>
  <c r="AB32" i="61"/>
  <c r="O32" i="61"/>
  <c r="AI41" i="61"/>
  <c r="Q97" i="61"/>
  <c r="U41" i="61"/>
  <c r="U48" i="61" s="1"/>
  <c r="U54" i="61" s="1"/>
  <c r="AL41" i="61"/>
  <c r="AL48" i="61" s="1"/>
  <c r="AN39" i="61"/>
  <c r="W41" i="61"/>
  <c r="W48" i="61" s="1"/>
  <c r="AN41" i="61"/>
  <c r="AN48" i="61" s="1"/>
  <c r="S41" i="61"/>
  <c r="S48" i="61" s="1"/>
  <c r="AK41" i="61"/>
  <c r="AK48" i="61" s="1"/>
  <c r="V41" i="61"/>
  <c r="V48" i="61" s="1"/>
  <c r="AO39" i="61"/>
  <c r="X41" i="61"/>
  <c r="X48" i="61" s="1"/>
  <c r="AO41" i="61"/>
  <c r="AO48" i="61" s="1"/>
  <c r="AO76" i="61" s="1"/>
  <c r="AO82" i="61" s="1"/>
  <c r="T40" i="61"/>
  <c r="Q19" i="61"/>
  <c r="Q26" i="61" s="1"/>
  <c r="Q32" i="61" s="1"/>
  <c r="T41" i="61"/>
  <c r="T48" i="61" s="1"/>
  <c r="AJ41" i="61"/>
  <c r="AJ48" i="61" s="1"/>
  <c r="AR40" i="61"/>
  <c r="AP39" i="61"/>
  <c r="Z41" i="61"/>
  <c r="Z48" i="61" s="1"/>
  <c r="Z76" i="61" s="1"/>
  <c r="Z82" i="61" s="1"/>
  <c r="AS39" i="62"/>
  <c r="Y26" i="63"/>
  <c r="Q60" i="63"/>
  <c r="AM26" i="63"/>
  <c r="AM32" i="63" s="1"/>
  <c r="AN26" i="63"/>
  <c r="AN32" i="63" s="1"/>
  <c r="AA26" i="63"/>
  <c r="AA32" i="63" s="1"/>
  <c r="X41" i="63"/>
  <c r="X48" i="63" s="1"/>
  <c r="AP39" i="63"/>
  <c r="AC26" i="63"/>
  <c r="AB41" i="63"/>
  <c r="AD41" i="63"/>
  <c r="Q98" i="63"/>
  <c r="AI72" i="65"/>
  <c r="AL33" i="65"/>
  <c r="Q61" i="65"/>
  <c r="AN33" i="65"/>
  <c r="AF61" i="65"/>
  <c r="M49" i="65"/>
  <c r="M55" i="65" s="1"/>
  <c r="N49" i="65"/>
  <c r="N55" i="65" s="1"/>
  <c r="O49" i="65"/>
  <c r="O55" i="65" s="1"/>
  <c r="Q98" i="65"/>
  <c r="W9" i="52"/>
  <c r="AO9" i="52"/>
  <c r="AH9" i="52"/>
  <c r="AP9" i="52"/>
  <c r="AI9" i="52"/>
  <c r="AQ9" i="52"/>
  <c r="AJ9" i="52"/>
  <c r="AK9" i="52"/>
  <c r="AM9" i="52"/>
  <c r="AN9" i="52"/>
  <c r="AR9" i="52"/>
  <c r="AL9" i="52"/>
  <c r="AS9" i="52"/>
  <c r="X9" i="52"/>
  <c r="Y9" i="52"/>
  <c r="T9" i="52"/>
  <c r="Z9" i="52"/>
  <c r="V9" i="52"/>
  <c r="AD9" i="52"/>
  <c r="AO40" i="66"/>
  <c r="Y40" i="66"/>
  <c r="AC41" i="66"/>
  <c r="AC48" i="66" s="1"/>
  <c r="AD41" i="66"/>
  <c r="AD48" i="66" s="1"/>
  <c r="AD40" i="66"/>
  <c r="W41" i="66"/>
  <c r="W48" i="66" s="1"/>
  <c r="Y41" i="66"/>
  <c r="Y48" i="66" s="1"/>
  <c r="AQ41" i="66"/>
  <c r="AQ48" i="66" s="1"/>
  <c r="AQ40" i="66"/>
  <c r="AR41" i="66"/>
  <c r="AR48" i="66" s="1"/>
  <c r="N47" i="75" s="1"/>
  <c r="AI41" i="66"/>
  <c r="AI48" i="66" s="1"/>
  <c r="E47" i="75" s="1"/>
  <c r="V48" i="66"/>
  <c r="V76" i="66" s="1"/>
  <c r="V82" i="66" s="1"/>
  <c r="N48" i="66"/>
  <c r="N76" i="66" s="1"/>
  <c r="N82" i="66" s="1"/>
  <c r="AS41" i="66"/>
  <c r="AS48" i="66" s="1"/>
  <c r="AL40" i="66"/>
  <c r="S41" i="66"/>
  <c r="S48" i="66" s="1"/>
  <c r="AM41" i="66"/>
  <c r="AM48" i="66" s="1"/>
  <c r="AN17" i="66"/>
  <c r="AP17" i="66"/>
  <c r="Y18" i="66"/>
  <c r="AI40" i="66"/>
  <c r="AI32" i="66"/>
  <c r="E31" i="75" s="1"/>
  <c r="AM32" i="66"/>
  <c r="AJ32" i="66"/>
  <c r="AO32" i="66"/>
  <c r="K31" i="75" s="1"/>
  <c r="AK32" i="66"/>
  <c r="U32" i="66"/>
  <c r="M32" i="66"/>
  <c r="V32" i="66"/>
  <c r="AR18" i="66"/>
  <c r="O32" i="66"/>
  <c r="W32" i="66"/>
  <c r="AU8" i="66"/>
  <c r="AH18" i="66"/>
  <c r="AU9" i="66"/>
  <c r="AQ32" i="66"/>
  <c r="AO17" i="66"/>
  <c r="AJ18" i="66"/>
  <c r="AQ17" i="66"/>
  <c r="AL18" i="66"/>
  <c r="AO39" i="66"/>
  <c r="AR17" i="66"/>
  <c r="AQ39" i="66"/>
  <c r="Q8" i="66"/>
  <c r="AM17" i="66"/>
  <c r="S32" i="66"/>
  <c r="AF19" i="66"/>
  <c r="AS32" i="66"/>
  <c r="Q59" i="66"/>
  <c r="AK18" i="66"/>
  <c r="T32" i="66"/>
  <c r="AH32" i="66"/>
  <c r="AU19" i="66"/>
  <c r="AL32" i="66"/>
  <c r="H31" i="75" s="1"/>
  <c r="AN32" i="66"/>
  <c r="AK40" i="66"/>
  <c r="W40" i="66"/>
  <c r="AJ40" i="66"/>
  <c r="V40" i="66"/>
  <c r="AR40" i="66"/>
  <c r="AN40" i="66"/>
  <c r="AM40" i="66"/>
  <c r="AH40" i="66"/>
  <c r="Z40" i="66"/>
  <c r="AS40" i="66"/>
  <c r="X40" i="66"/>
  <c r="AP40" i="66"/>
  <c r="AD32" i="66"/>
  <c r="AS39" i="66"/>
  <c r="AR39" i="66"/>
  <c r="AH39" i="66"/>
  <c r="AN39" i="66"/>
  <c r="AM39" i="66"/>
  <c r="AJ39" i="66"/>
  <c r="AP39" i="66"/>
  <c r="AL39" i="66"/>
  <c r="AI39" i="66"/>
  <c r="AA32" i="66"/>
  <c r="AO41" i="66"/>
  <c r="AO48" i="66" s="1"/>
  <c r="K47" i="75" s="1"/>
  <c r="AA41" i="66"/>
  <c r="AA48" i="66" s="1"/>
  <c r="M48" i="66"/>
  <c r="AN41" i="66"/>
  <c r="AN48" i="66" s="1"/>
  <c r="Z41" i="66"/>
  <c r="Z48" i="66" s="1"/>
  <c r="AP41" i="66"/>
  <c r="AP48" i="66" s="1"/>
  <c r="X41" i="66"/>
  <c r="X48" i="66" s="1"/>
  <c r="AL41" i="66"/>
  <c r="AL48" i="66" s="1"/>
  <c r="H47" i="75" s="1"/>
  <c r="U41" i="66"/>
  <c r="U48" i="66" s="1"/>
  <c r="AK41" i="66"/>
  <c r="AK48" i="66" s="1"/>
  <c r="T41" i="66"/>
  <c r="T48" i="66" s="1"/>
  <c r="AH41" i="66"/>
  <c r="AH48" i="66" s="1"/>
  <c r="O48" i="66"/>
  <c r="AJ41" i="66"/>
  <c r="AJ48" i="66" s="1"/>
  <c r="AR32" i="66"/>
  <c r="N31" i="75" s="1"/>
  <c r="AK48" i="65"/>
  <c r="AK54" i="65" s="1"/>
  <c r="AL26" i="65"/>
  <c r="AL32" i="65" s="1"/>
  <c r="AI26" i="65"/>
  <c r="AI32" i="65" s="1"/>
  <c r="AJ26" i="65"/>
  <c r="AJ32" i="65" s="1"/>
  <c r="AP26" i="65"/>
  <c r="AP32" i="65" s="1"/>
  <c r="V48" i="65"/>
  <c r="V54" i="65" s="1"/>
  <c r="AD48" i="65"/>
  <c r="AD54" i="65" s="1"/>
  <c r="AU61" i="65"/>
  <c r="Q60" i="65"/>
  <c r="AM26" i="65"/>
  <c r="AM32" i="65" s="1"/>
  <c r="O26" i="65"/>
  <c r="O32" i="65" s="1"/>
  <c r="M26" i="65"/>
  <c r="M32" i="65" s="1"/>
  <c r="N26" i="65"/>
  <c r="N32" i="65" s="1"/>
  <c r="Q10" i="65"/>
  <c r="Q9" i="65"/>
  <c r="Y26" i="65"/>
  <c r="Y32" i="65" s="1"/>
  <c r="Q20" i="65"/>
  <c r="Q27" i="65" s="1"/>
  <c r="Q33" i="65" s="1"/>
  <c r="AN26" i="65"/>
  <c r="AN32" i="65" s="1"/>
  <c r="AO26" i="65"/>
  <c r="AO32" i="65" s="1"/>
  <c r="AH26" i="65"/>
  <c r="AH32" i="65" s="1"/>
  <c r="AU10" i="65"/>
  <c r="AH72" i="65"/>
  <c r="AU20" i="65"/>
  <c r="N25" i="65"/>
  <c r="N31" i="65" s="1"/>
  <c r="AF60" i="65"/>
  <c r="X26" i="65"/>
  <c r="X32" i="65" s="1"/>
  <c r="AU60" i="65"/>
  <c r="AF27" i="65"/>
  <c r="AF33" i="65" s="1"/>
  <c r="AQ41" i="63"/>
  <c r="X40" i="63"/>
  <c r="L25" i="63"/>
  <c r="L31" i="63" s="1"/>
  <c r="AP40" i="63"/>
  <c r="V18" i="63"/>
  <c r="W18" i="63"/>
  <c r="W25" i="63" s="1"/>
  <c r="W31" i="63" s="1"/>
  <c r="X18" i="63"/>
  <c r="X25" i="63" s="1"/>
  <c r="X31" i="63" s="1"/>
  <c r="L40" i="63"/>
  <c r="AN18" i="63"/>
  <c r="AN25" i="63" s="1"/>
  <c r="AL40" i="63"/>
  <c r="AR40" i="63"/>
  <c r="Q9" i="63"/>
  <c r="AO18" i="63"/>
  <c r="AO25" i="63" s="1"/>
  <c r="AO31" i="63" s="1"/>
  <c r="AH32" i="63"/>
  <c r="T32" i="63"/>
  <c r="AK32" i="63"/>
  <c r="AL32" i="63"/>
  <c r="O18" i="63"/>
  <c r="AQ18" i="63"/>
  <c r="AQ25" i="63" s="1"/>
  <c r="AO39" i="63"/>
  <c r="AL39" i="63"/>
  <c r="AD18" i="63"/>
  <c r="AD25" i="63" s="1"/>
  <c r="AD40" i="63"/>
  <c r="AI32" i="63"/>
  <c r="AM39" i="63"/>
  <c r="AS18" i="63"/>
  <c r="AS25" i="63" s="1"/>
  <c r="AS40" i="63"/>
  <c r="AR48" i="63"/>
  <c r="AR32" i="63"/>
  <c r="AN39" i="63"/>
  <c r="T40" i="63"/>
  <c r="AH18" i="63"/>
  <c r="AU9" i="63"/>
  <c r="AS32" i="63"/>
  <c r="N32" i="63"/>
  <c r="L24" i="63"/>
  <c r="AP32" i="63"/>
  <c r="AQ32" i="63"/>
  <c r="L32" i="63"/>
  <c r="AU60" i="63"/>
  <c r="M32" i="63"/>
  <c r="O32" i="63"/>
  <c r="Y40" i="63"/>
  <c r="Y18" i="63"/>
  <c r="AI18" i="63"/>
  <c r="Q19" i="63"/>
  <c r="Q26" i="63" s="1"/>
  <c r="W32" i="63"/>
  <c r="S32" i="63"/>
  <c r="AF19" i="63"/>
  <c r="AF26" i="63" s="1"/>
  <c r="AH39" i="63"/>
  <c r="AU19" i="63"/>
  <c r="AU26" i="63" s="1"/>
  <c r="AO41" i="63"/>
  <c r="AA41" i="63"/>
  <c r="M41" i="63"/>
  <c r="AN41" i="63"/>
  <c r="Z41" i="63"/>
  <c r="L41" i="63"/>
  <c r="AM41" i="63"/>
  <c r="W41" i="63"/>
  <c r="AL41" i="63"/>
  <c r="V41" i="63"/>
  <c r="AK41" i="63"/>
  <c r="U41" i="63"/>
  <c r="AI41" i="63"/>
  <c r="S41" i="63"/>
  <c r="AJ41" i="63"/>
  <c r="AM40" i="63"/>
  <c r="AS39" i="63"/>
  <c r="AR39" i="63"/>
  <c r="AQ39" i="63"/>
  <c r="Z40" i="63"/>
  <c r="AK40" i="63"/>
  <c r="W40" i="63"/>
  <c r="AJ40" i="63"/>
  <c r="V40" i="63"/>
  <c r="AQ40" i="63"/>
  <c r="V39" i="62"/>
  <c r="AJ17" i="62"/>
  <c r="AJ24" i="62" s="1"/>
  <c r="AJ30" i="62" s="1"/>
  <c r="T39" i="62"/>
  <c r="S39" i="62"/>
  <c r="X17" i="62"/>
  <c r="X24" i="62" s="1"/>
  <c r="AQ47" i="62"/>
  <c r="AQ31" i="62"/>
  <c r="AH38" i="62"/>
  <c r="AH16" i="62"/>
  <c r="AH23" i="62" s="1"/>
  <c r="AO17" i="62"/>
  <c r="AO24" i="62" s="1"/>
  <c r="AR31" i="62"/>
  <c r="AD31" i="62"/>
  <c r="L17" i="62"/>
  <c r="Q8" i="62"/>
  <c r="O31" i="62"/>
  <c r="AM17" i="62"/>
  <c r="AM24" i="62" s="1"/>
  <c r="AM39" i="62"/>
  <c r="AS16" i="62"/>
  <c r="AS23" i="62" s="1"/>
  <c r="N31" i="62"/>
  <c r="AM31" i="62"/>
  <c r="M31" i="62"/>
  <c r="AI38" i="62"/>
  <c r="AI16" i="62"/>
  <c r="AI23" i="62" s="1"/>
  <c r="AN17" i="62"/>
  <c r="AN24" i="62" s="1"/>
  <c r="Y31" i="62"/>
  <c r="AN31" i="62"/>
  <c r="AP17" i="62"/>
  <c r="AP24" i="62" s="1"/>
  <c r="AO31" i="62"/>
  <c r="AK16" i="62"/>
  <c r="AK23" i="62" s="1"/>
  <c r="AK38" i="62"/>
  <c r="AA31" i="62"/>
  <c r="AQ39" i="62"/>
  <c r="AL16" i="62"/>
  <c r="AL23" i="62" s="1"/>
  <c r="AL38" i="62"/>
  <c r="AC17" i="62"/>
  <c r="AC24" i="62" s="1"/>
  <c r="AC39" i="62"/>
  <c r="AB31" i="62"/>
  <c r="AD17" i="62"/>
  <c r="AD24" i="62" s="1"/>
  <c r="AC31" i="62"/>
  <c r="Q18" i="62"/>
  <c r="Q25" i="62" s="1"/>
  <c r="AS31" i="62"/>
  <c r="AM23" i="62"/>
  <c r="AM38" i="62"/>
  <c r="AO40" i="62"/>
  <c r="AO47" i="62" s="1"/>
  <c r="AA40" i="62"/>
  <c r="AA47" i="62" s="1"/>
  <c r="M40" i="62"/>
  <c r="M47" i="62" s="1"/>
  <c r="AJ40" i="62"/>
  <c r="AJ47" i="62" s="1"/>
  <c r="V40" i="62"/>
  <c r="V47" i="62" s="1"/>
  <c r="AM40" i="62"/>
  <c r="AM47" i="62" s="1"/>
  <c r="W40" i="62"/>
  <c r="W47" i="62" s="1"/>
  <c r="AL40" i="62"/>
  <c r="AL47" i="62" s="1"/>
  <c r="U40" i="62"/>
  <c r="U47" i="62" s="1"/>
  <c r="AK40" i="62"/>
  <c r="AK47" i="62" s="1"/>
  <c r="T40" i="62"/>
  <c r="AH40" i="62"/>
  <c r="AH47" i="62" s="1"/>
  <c r="Y40" i="62"/>
  <c r="AS40" i="62"/>
  <c r="AS47" i="62" s="1"/>
  <c r="X40" i="62"/>
  <c r="X47" i="62" s="1"/>
  <c r="AR40" i="62"/>
  <c r="AR47" i="62" s="1"/>
  <c r="S40" i="62"/>
  <c r="S47" i="62" s="1"/>
  <c r="AP40" i="62"/>
  <c r="AP47" i="62" s="1"/>
  <c r="N40" i="62"/>
  <c r="N47" i="62" s="1"/>
  <c r="AI40" i="62"/>
  <c r="AI47" i="62" s="1"/>
  <c r="AD40" i="62"/>
  <c r="AD47" i="62" s="1"/>
  <c r="AC40" i="62"/>
  <c r="AC47" i="62" s="1"/>
  <c r="AB40" i="62"/>
  <c r="AB47" i="62" s="1"/>
  <c r="AO38" i="62"/>
  <c r="AO16" i="62"/>
  <c r="AO23" i="62" s="1"/>
  <c r="AF18" i="62"/>
  <c r="AF25" i="62" s="1"/>
  <c r="AB39" i="62"/>
  <c r="L40" i="62"/>
  <c r="L47" i="62" s="1"/>
  <c r="AJ38" i="62"/>
  <c r="N17" i="62"/>
  <c r="AP31" i="62"/>
  <c r="AJ16" i="62"/>
  <c r="AJ23" i="62" s="1"/>
  <c r="S31" i="62"/>
  <c r="M39" i="62"/>
  <c r="O40" i="62"/>
  <c r="O47" i="62" s="1"/>
  <c r="AA17" i="62"/>
  <c r="AA24" i="62" s="1"/>
  <c r="AA39" i="62"/>
  <c r="Z31" i="62"/>
  <c r="N39" i="62"/>
  <c r="Z40" i="62"/>
  <c r="Z47" i="62" s="1"/>
  <c r="O39" i="62"/>
  <c r="AN40" i="62"/>
  <c r="AN47" i="62" s="1"/>
  <c r="AU8" i="62"/>
  <c r="T31" i="62"/>
  <c r="W31" i="62"/>
  <c r="L23" i="62"/>
  <c r="AN23" i="62"/>
  <c r="AF8" i="62"/>
  <c r="W17" i="62"/>
  <c r="AU18" i="62"/>
  <c r="AU25" i="62" s="1"/>
  <c r="AP23" i="62"/>
  <c r="AP38" i="62"/>
  <c r="Q58" i="62"/>
  <c r="AK39" i="62"/>
  <c r="W39" i="62"/>
  <c r="AR39" i="62"/>
  <c r="AD39" i="62"/>
  <c r="AP39" i="62"/>
  <c r="Z39" i="62"/>
  <c r="AO39" i="62"/>
  <c r="Y39" i="62"/>
  <c r="AN39" i="62"/>
  <c r="X39" i="62"/>
  <c r="AL39" i="62"/>
  <c r="U39" i="62"/>
  <c r="AH39" i="62"/>
  <c r="AS17" i="62"/>
  <c r="AS24" i="62" s="1"/>
  <c r="L39" i="62"/>
  <c r="AI39" i="62"/>
  <c r="AS38" i="62"/>
  <c r="AN38" i="62"/>
  <c r="AR38" i="62"/>
  <c r="AR45" i="62" s="1"/>
  <c r="AQ18" i="61"/>
  <c r="AQ25" i="61" s="1"/>
  <c r="AR18" i="61"/>
  <c r="AR25" i="61" s="1"/>
  <c r="AQ40" i="61"/>
  <c r="AL39" i="61"/>
  <c r="AH40" i="61"/>
  <c r="AM39" i="61"/>
  <c r="AJ40" i="61"/>
  <c r="T18" i="61"/>
  <c r="T25" i="61" s="1"/>
  <c r="T31" i="61" s="1"/>
  <c r="AP40" i="61"/>
  <c r="V40" i="61"/>
  <c r="W40" i="61"/>
  <c r="AH18" i="61"/>
  <c r="AJ18" i="61"/>
  <c r="AK32" i="61"/>
  <c r="X32" i="61"/>
  <c r="AL32" i="61"/>
  <c r="S32" i="61"/>
  <c r="AL18" i="61"/>
  <c r="AL25" i="61" s="1"/>
  <c r="AL40" i="61"/>
  <c r="X18" i="61"/>
  <c r="X40" i="61"/>
  <c r="AF19" i="61"/>
  <c r="AF26" i="61" s="1"/>
  <c r="AM18" i="61"/>
  <c r="AM25" i="61" s="1"/>
  <c r="AM40" i="61"/>
  <c r="AM32" i="61"/>
  <c r="AN40" i="61"/>
  <c r="L40" i="61"/>
  <c r="L18" i="61"/>
  <c r="Q9" i="61"/>
  <c r="AC32" i="61"/>
  <c r="Y40" i="61"/>
  <c r="Y18" i="61"/>
  <c r="U32" i="61"/>
  <c r="AS18" i="61"/>
  <c r="AS25" i="61" s="1"/>
  <c r="AU9" i="61"/>
  <c r="AU19" i="61"/>
  <c r="AU26" i="61" s="1"/>
  <c r="AH32" i="61"/>
  <c r="AQ39" i="61"/>
  <c r="AJ39" i="61"/>
  <c r="AH39" i="61"/>
  <c r="AK39" i="61"/>
  <c r="AI39" i="61"/>
  <c r="AR39" i="61"/>
  <c r="AI32" i="61"/>
  <c r="AS39" i="61"/>
  <c r="AN18" i="61"/>
  <c r="AN25" i="61" s="1"/>
  <c r="V32" i="61"/>
  <c r="AJ32" i="61"/>
  <c r="AK18" i="61"/>
  <c r="AK25" i="61" s="1"/>
  <c r="AK40" i="61"/>
  <c r="W32" i="61"/>
  <c r="AS40" i="61"/>
  <c r="M40" i="61"/>
  <c r="N40" i="61"/>
  <c r="AN32" i="61"/>
  <c r="O40" i="61"/>
  <c r="AD40" i="61"/>
  <c r="AD18" i="61"/>
  <c r="AD25" i="61" s="1"/>
  <c r="AI40" i="61"/>
  <c r="Z40" i="61"/>
  <c r="AO40" i="61"/>
  <c r="Y41" i="61"/>
  <c r="Y48" i="61" s="1"/>
  <c r="W41" i="60"/>
  <c r="AM39" i="60"/>
  <c r="AR40" i="60"/>
  <c r="W40" i="60"/>
  <c r="Z18" i="60"/>
  <c r="L25" i="60"/>
  <c r="Q9" i="60"/>
  <c r="AK39" i="60"/>
  <c r="N48" i="60"/>
  <c r="N32" i="60"/>
  <c r="O32" i="60"/>
  <c r="AO18" i="60"/>
  <c r="AO25" i="60" s="1"/>
  <c r="AO40" i="60"/>
  <c r="AP18" i="60"/>
  <c r="AP25" i="60" s="1"/>
  <c r="AP40" i="60"/>
  <c r="AJ39" i="60"/>
  <c r="AQ40" i="60"/>
  <c r="AQ18" i="60"/>
  <c r="AQ25" i="60" s="1"/>
  <c r="N25" i="60"/>
  <c r="AN32" i="60"/>
  <c r="AK32" i="60"/>
  <c r="AL32" i="60"/>
  <c r="AU60" i="60"/>
  <c r="V18" i="60"/>
  <c r="AL18" i="60"/>
  <c r="AM18" i="60"/>
  <c r="AN18" i="60"/>
  <c r="AN25" i="60" s="1"/>
  <c r="S32" i="60"/>
  <c r="AU19" i="60"/>
  <c r="AU26" i="60" s="1"/>
  <c r="AI40" i="60"/>
  <c r="AS40" i="60"/>
  <c r="AD40" i="60"/>
  <c r="AL40" i="60"/>
  <c r="V40" i="60"/>
  <c r="AK40" i="60"/>
  <c r="AM40" i="60"/>
  <c r="AJ40" i="60"/>
  <c r="AH40" i="60"/>
  <c r="L43" i="60"/>
  <c r="Z40" i="60"/>
  <c r="Y40" i="60"/>
  <c r="X40" i="60"/>
  <c r="AM32" i="60"/>
  <c r="Q19" i="60"/>
  <c r="Q26" i="60" s="1"/>
  <c r="L26" i="60"/>
  <c r="AP32" i="60"/>
  <c r="AQ32" i="60"/>
  <c r="AF19" i="60"/>
  <c r="AF26" i="60" s="1"/>
  <c r="AQ39" i="60"/>
  <c r="AL39" i="60"/>
  <c r="AO39" i="60"/>
  <c r="AN39" i="60"/>
  <c r="AU9" i="60"/>
  <c r="AH39" i="60"/>
  <c r="AI39" i="60"/>
  <c r="Y41" i="60"/>
  <c r="AL38" i="59"/>
  <c r="X39" i="59"/>
  <c r="AL16" i="59"/>
  <c r="AL23" i="59" s="1"/>
  <c r="AH40" i="59"/>
  <c r="AH47" i="59" s="1"/>
  <c r="AR40" i="59"/>
  <c r="AR47" i="59" s="1"/>
  <c r="AR53" i="59" s="1"/>
  <c r="AM38" i="59"/>
  <c r="AN39" i="59"/>
  <c r="AI38" i="59"/>
  <c r="AM23" i="59"/>
  <c r="N40" i="59"/>
  <c r="AJ38" i="59"/>
  <c r="W40" i="59"/>
  <c r="AP40" i="59"/>
  <c r="AP47" i="59" s="1"/>
  <c r="AD39" i="59"/>
  <c r="AR39" i="59"/>
  <c r="AI17" i="59"/>
  <c r="W17" i="59"/>
  <c r="AN17" i="59"/>
  <c r="AM39" i="59"/>
  <c r="Z31" i="59"/>
  <c r="AO31" i="59"/>
  <c r="AP29" i="59"/>
  <c r="AA31" i="59"/>
  <c r="AP31" i="59"/>
  <c r="M31" i="59"/>
  <c r="AP17" i="59"/>
  <c r="AQ17" i="59"/>
  <c r="Q8" i="59"/>
  <c r="AK38" i="59"/>
  <c r="AK16" i="59"/>
  <c r="AH17" i="59"/>
  <c r="AD47" i="59"/>
  <c r="AD31" i="59"/>
  <c r="AH31" i="59"/>
  <c r="AN23" i="59"/>
  <c r="AN38" i="59"/>
  <c r="AQ23" i="59"/>
  <c r="AQ38" i="59"/>
  <c r="Y31" i="59"/>
  <c r="L25" i="59"/>
  <c r="Q18" i="59"/>
  <c r="Q25" i="59" s="1"/>
  <c r="AS31" i="59"/>
  <c r="AB31" i="59"/>
  <c r="AC31" i="59"/>
  <c r="AU59" i="59"/>
  <c r="AU8" i="59"/>
  <c r="AN31" i="59"/>
  <c r="AU18" i="59"/>
  <c r="AU25" i="59" s="1"/>
  <c r="AH23" i="59"/>
  <c r="AJ17" i="59"/>
  <c r="AQ39" i="59"/>
  <c r="AS16" i="59"/>
  <c r="AS23" i="59" s="1"/>
  <c r="AL17" i="59"/>
  <c r="AK17" i="59"/>
  <c r="AP38" i="59"/>
  <c r="AP45" i="59" s="1"/>
  <c r="AR38" i="59"/>
  <c r="AR23" i="59"/>
  <c r="AK39" i="59"/>
  <c r="W39" i="59"/>
  <c r="AI39" i="59"/>
  <c r="AP39" i="59"/>
  <c r="Z39" i="59"/>
  <c r="AO39" i="59"/>
  <c r="Y39" i="59"/>
  <c r="AL39" i="59"/>
  <c r="AJ39" i="59"/>
  <c r="AH39" i="59"/>
  <c r="V39" i="59"/>
  <c r="AS39" i="59"/>
  <c r="S31" i="59"/>
  <c r="AF18" i="59"/>
  <c r="AF25" i="59" s="1"/>
  <c r="AO40" i="59"/>
  <c r="AO47" i="59" s="1"/>
  <c r="AA40" i="59"/>
  <c r="AA47" i="59" s="1"/>
  <c r="M40" i="59"/>
  <c r="AQ40" i="59"/>
  <c r="AQ47" i="59" s="1"/>
  <c r="AB40" i="59"/>
  <c r="AB47" i="59" s="1"/>
  <c r="L40" i="59"/>
  <c r="AL40" i="59"/>
  <c r="AL47" i="59" s="1"/>
  <c r="V40" i="59"/>
  <c r="V47" i="59" s="1"/>
  <c r="AK40" i="59"/>
  <c r="AK47" i="59" s="1"/>
  <c r="U40" i="59"/>
  <c r="U47" i="59" s="1"/>
  <c r="AN40" i="59"/>
  <c r="AN47" i="59" s="1"/>
  <c r="T40" i="59"/>
  <c r="T47" i="59" s="1"/>
  <c r="AJ40" i="59"/>
  <c r="AJ47" i="59" s="1"/>
  <c r="AI40" i="59"/>
  <c r="AI47" i="59" s="1"/>
  <c r="O40" i="59"/>
  <c r="AM40" i="59"/>
  <c r="AM47" i="59" s="1"/>
  <c r="S40" i="59"/>
  <c r="S47" i="59" s="1"/>
  <c r="AS40" i="59"/>
  <c r="AO23" i="59"/>
  <c r="AI31" i="59"/>
  <c r="Q59" i="59"/>
  <c r="AH38" i="59"/>
  <c r="AI16" i="59"/>
  <c r="AI23" i="59" s="1"/>
  <c r="AJ16" i="59"/>
  <c r="AS38" i="59"/>
  <c r="AO38" i="59"/>
  <c r="AK32" i="57"/>
  <c r="AL32" i="57"/>
  <c r="AP18" i="57"/>
  <c r="AO18" i="57"/>
  <c r="AN18" i="57"/>
  <c r="AM18" i="57"/>
  <c r="AL18" i="57"/>
  <c r="AK18" i="57"/>
  <c r="AA32" i="57"/>
  <c r="W32" i="57"/>
  <c r="T18" i="57"/>
  <c r="L32" i="57"/>
  <c r="L18" i="57"/>
  <c r="Y40" i="57"/>
  <c r="AS40" i="57"/>
  <c r="AR40" i="57"/>
  <c r="AQ40" i="57"/>
  <c r="AP40" i="57"/>
  <c r="AO40" i="57"/>
  <c r="AN40" i="57"/>
  <c r="AM40" i="57"/>
  <c r="AL40" i="57"/>
  <c r="AK40" i="57"/>
  <c r="AJ40" i="57"/>
  <c r="AI40" i="57"/>
  <c r="Z40" i="57"/>
  <c r="AH40" i="57"/>
  <c r="AD40" i="57"/>
  <c r="X40" i="57"/>
  <c r="W40" i="57"/>
  <c r="V40" i="57"/>
  <c r="T40" i="57"/>
  <c r="O40" i="57"/>
  <c r="N40" i="57"/>
  <c r="M40" i="57"/>
  <c r="L40" i="57"/>
  <c r="O32" i="57"/>
  <c r="S32" i="57"/>
  <c r="AI32" i="57"/>
  <c r="T32" i="57"/>
  <c r="Q9" i="57"/>
  <c r="AU9" i="57"/>
  <c r="Z32" i="57"/>
  <c r="AJ48" i="57"/>
  <c r="R66" i="56"/>
  <c r="R108" i="56"/>
  <c r="R73" i="56"/>
  <c r="AF67" i="37"/>
  <c r="AH49" i="56"/>
  <c r="AH73" i="56"/>
  <c r="AH110" i="56"/>
  <c r="R28" i="56"/>
  <c r="AH28" i="56"/>
  <c r="AH19" i="56"/>
  <c r="AH24" i="56"/>
  <c r="R32" i="56"/>
  <c r="R35" i="56"/>
  <c r="R112" i="56"/>
  <c r="AH33" i="56"/>
  <c r="R110" i="56"/>
  <c r="AH66" i="56"/>
  <c r="R29" i="56"/>
  <c r="R27" i="56"/>
  <c r="R17" i="56"/>
  <c r="AH32" i="56"/>
  <c r="AV32" i="56"/>
  <c r="AV49" i="56"/>
  <c r="AF68" i="37"/>
  <c r="AH17" i="56"/>
  <c r="AU67" i="37"/>
  <c r="AH23" i="56"/>
  <c r="R19" i="56"/>
  <c r="AV33" i="56"/>
  <c r="Q67" i="37"/>
  <c r="R24" i="56"/>
  <c r="R49" i="56"/>
  <c r="X31" i="56"/>
  <c r="Y31" i="56" s="1"/>
  <c r="Z31" i="56" s="1"/>
  <c r="AA31" i="56" s="1"/>
  <c r="AB31" i="56" s="1"/>
  <c r="AC31" i="56" s="1"/>
  <c r="AD31" i="56" s="1"/>
  <c r="AE31" i="56" s="1"/>
  <c r="AF31" i="56" s="1"/>
  <c r="AG31" i="56" s="1"/>
  <c r="AH35" i="56"/>
  <c r="AH11" i="56"/>
  <c r="R31" i="56"/>
  <c r="AV66" i="56"/>
  <c r="R30" i="56"/>
  <c r="AV23" i="56"/>
  <c r="W30" i="56"/>
  <c r="X30" i="56" s="1"/>
  <c r="Y30" i="56" s="1"/>
  <c r="Z30" i="56" s="1"/>
  <c r="AA30" i="56" s="1"/>
  <c r="AB30" i="56" s="1"/>
  <c r="AC30" i="56" s="1"/>
  <c r="AD30" i="56" s="1"/>
  <c r="AE30" i="56" s="1"/>
  <c r="AF30" i="56" s="1"/>
  <c r="AG30" i="56" s="1"/>
  <c r="AV27" i="56"/>
  <c r="AH29" i="56"/>
  <c r="AV11" i="56"/>
  <c r="AV17" i="56"/>
  <c r="AV24" i="56"/>
  <c r="AV28" i="56"/>
  <c r="AV35" i="56"/>
  <c r="AV73" i="56"/>
  <c r="AV110" i="56"/>
  <c r="AV19" i="56"/>
  <c r="AV112" i="56"/>
  <c r="R47" i="56"/>
  <c r="AU68" i="37"/>
  <c r="AV31" i="56"/>
  <c r="AV47" i="56"/>
  <c r="AV30" i="56"/>
  <c r="AV42" i="56"/>
  <c r="R11" i="56"/>
  <c r="R14" i="56"/>
  <c r="U7" i="75" l="1"/>
  <c r="W7" i="75" s="1"/>
  <c r="Q26" i="66"/>
  <c r="Q32" i="66" s="1"/>
  <c r="K3" i="59"/>
  <c r="K4" i="61"/>
  <c r="AF26" i="66"/>
  <c r="B25" i="75" s="1"/>
  <c r="B18" i="75"/>
  <c r="D18" i="75" s="1"/>
  <c r="F224" i="30"/>
  <c r="AO224" i="30"/>
  <c r="AL224" i="30"/>
  <c r="Z224" i="30"/>
  <c r="AB224" i="30"/>
  <c r="AG224" i="30"/>
  <c r="P224" i="30"/>
  <c r="Q224" i="30"/>
  <c r="AR224" i="30"/>
  <c r="AV224" i="30"/>
  <c r="AA224" i="30"/>
  <c r="AQ224" i="30"/>
  <c r="AE224" i="30"/>
  <c r="G224" i="30"/>
  <c r="AT224" i="30"/>
  <c r="AC224" i="30"/>
  <c r="I224" i="30"/>
  <c r="AS224" i="30"/>
  <c r="X224" i="30"/>
  <c r="AM224" i="30"/>
  <c r="L224" i="30"/>
  <c r="AN224" i="30"/>
  <c r="AF224" i="30"/>
  <c r="N224" i="30"/>
  <c r="K224" i="30"/>
  <c r="AP224" i="30"/>
  <c r="Y224" i="30"/>
  <c r="V224" i="30"/>
  <c r="H224" i="30"/>
  <c r="AK224" i="30"/>
  <c r="AD224" i="30"/>
  <c r="J224" i="30"/>
  <c r="M224" i="30"/>
  <c r="AU224" i="30"/>
  <c r="W224" i="30"/>
  <c r="O224" i="30"/>
  <c r="I275" i="76"/>
  <c r="V275" i="76"/>
  <c r="AF275" i="76"/>
  <c r="AQ275" i="76"/>
  <c r="J275" i="76"/>
  <c r="W275" i="76"/>
  <c r="AG275" i="76"/>
  <c r="AR275" i="76"/>
  <c r="K275" i="76"/>
  <c r="X275" i="76"/>
  <c r="AS275" i="76"/>
  <c r="AT275" i="76"/>
  <c r="M275" i="76"/>
  <c r="Z275" i="76"/>
  <c r="AK275" i="76"/>
  <c r="AU275" i="76"/>
  <c r="AB275" i="76"/>
  <c r="AM275" i="76"/>
  <c r="L275" i="76"/>
  <c r="Y275" i="76"/>
  <c r="N275" i="76"/>
  <c r="AA275" i="76"/>
  <c r="AL275" i="76"/>
  <c r="AV275" i="76"/>
  <c r="O275" i="76"/>
  <c r="F275" i="76"/>
  <c r="P275" i="76"/>
  <c r="AC275" i="76"/>
  <c r="AN275" i="76"/>
  <c r="G275" i="76"/>
  <c r="Q275" i="76"/>
  <c r="AD275" i="76"/>
  <c r="AO275" i="76"/>
  <c r="H275" i="76"/>
  <c r="AE275" i="76"/>
  <c r="AP275" i="76"/>
  <c r="AU26" i="66"/>
  <c r="Q25" i="75" s="1"/>
  <c r="U18" i="75"/>
  <c r="W18" i="75" s="1"/>
  <c r="K4" i="66"/>
  <c r="AD58" i="75"/>
  <c r="AF58" i="75" s="1"/>
  <c r="K59" i="75"/>
  <c r="M59" i="75" s="1"/>
  <c r="K58" i="75"/>
  <c r="M58" i="75" s="1"/>
  <c r="AD59" i="75"/>
  <c r="AF59" i="75" s="1"/>
  <c r="AU27" i="65"/>
  <c r="AU33" i="65" s="1"/>
  <c r="AD18" i="75"/>
  <c r="AF18" i="75" s="1"/>
  <c r="U8" i="75"/>
  <c r="W8" i="75" s="1"/>
  <c r="AD8" i="75"/>
  <c r="AF8" i="75" s="1"/>
  <c r="AP47" i="61"/>
  <c r="AP53" i="61" s="1"/>
  <c r="AL46" i="62"/>
  <c r="AL52" i="62" s="1"/>
  <c r="AK46" i="62"/>
  <c r="AK52" i="62" s="1"/>
  <c r="AJ47" i="63"/>
  <c r="AJ53" i="63" s="1"/>
  <c r="AS47" i="60"/>
  <c r="AS53" i="60" s="1"/>
  <c r="AK47" i="63"/>
  <c r="AK53" i="63" s="1"/>
  <c r="AR47" i="60"/>
  <c r="AR53" i="60" s="1"/>
  <c r="M25" i="65"/>
  <c r="M31" i="65" s="1"/>
  <c r="Q18" i="65"/>
  <c r="Q18" i="61"/>
  <c r="Q25" i="61" s="1"/>
  <c r="M47" i="63"/>
  <c r="M53" i="63" s="1"/>
  <c r="Z47" i="63"/>
  <c r="Z53" i="63" s="1"/>
  <c r="Q18" i="63"/>
  <c r="Q25" i="63" s="1"/>
  <c r="Q31" i="63" s="1"/>
  <c r="Z47" i="61"/>
  <c r="Z53" i="61" s="1"/>
  <c r="AD47" i="60"/>
  <c r="AD53" i="60" s="1"/>
  <c r="W19" i="32"/>
  <c r="M48" i="57"/>
  <c r="M54" i="57" s="1"/>
  <c r="X47" i="59"/>
  <c r="X75" i="59" s="1"/>
  <c r="X81" i="59" s="1"/>
  <c r="AD19" i="32"/>
  <c r="V19" i="32"/>
  <c r="AQ54" i="57"/>
  <c r="O47" i="59"/>
  <c r="O75" i="59" s="1"/>
  <c r="O81" i="59" s="1"/>
  <c r="AN47" i="63"/>
  <c r="AN53" i="63" s="1"/>
  <c r="AC48" i="63"/>
  <c r="AC76" i="63" s="1"/>
  <c r="AC82" i="63" s="1"/>
  <c r="X19" i="32"/>
  <c r="AP76" i="61"/>
  <c r="AP82" i="61" s="1"/>
  <c r="AR19" i="32"/>
  <c r="AP19" i="32"/>
  <c r="AA19" i="32"/>
  <c r="AB19" i="32"/>
  <c r="Y48" i="63"/>
  <c r="Y54" i="63" s="1"/>
  <c r="AL19" i="32"/>
  <c r="T19" i="32"/>
  <c r="S19" i="32"/>
  <c r="AS19" i="32"/>
  <c r="AC19" i="32"/>
  <c r="AQ19" i="32"/>
  <c r="AK19" i="32"/>
  <c r="U19" i="32"/>
  <c r="AI19" i="32"/>
  <c r="AC48" i="60"/>
  <c r="AC54" i="60" s="1"/>
  <c r="AS54" i="60"/>
  <c r="AS76" i="60"/>
  <c r="AS82" i="60" s="1"/>
  <c r="Q41" i="61"/>
  <c r="Q48" i="61" s="1"/>
  <c r="Q76" i="61" s="1"/>
  <c r="Q82" i="61" s="1"/>
  <c r="AM19" i="32"/>
  <c r="Z54" i="61"/>
  <c r="AH19" i="32"/>
  <c r="Z76" i="57"/>
  <c r="Z82" i="57" s="1"/>
  <c r="Z54" i="57"/>
  <c r="Q41" i="57"/>
  <c r="Q48" i="57" s="1"/>
  <c r="Y19" i="32"/>
  <c r="M54" i="61"/>
  <c r="AN19" i="32"/>
  <c r="V48" i="57"/>
  <c r="V76" i="57" s="1"/>
  <c r="V82" i="57" s="1"/>
  <c r="V54" i="66"/>
  <c r="Z19" i="32"/>
  <c r="AD48" i="60"/>
  <c r="AD76" i="60" s="1"/>
  <c r="AD82" i="60" s="1"/>
  <c r="AQ54" i="61"/>
  <c r="M47" i="59"/>
  <c r="M75" i="59" s="1"/>
  <c r="M81" i="59" s="1"/>
  <c r="AO19" i="32"/>
  <c r="AB76" i="60"/>
  <c r="AB82" i="60" s="1"/>
  <c r="AB54" i="60"/>
  <c r="T76" i="57"/>
  <c r="T82" i="57" s="1"/>
  <c r="T54" i="57"/>
  <c r="AR75" i="59"/>
  <c r="AR81" i="59" s="1"/>
  <c r="AF39" i="65"/>
  <c r="Y32" i="63"/>
  <c r="AF41" i="52"/>
  <c r="H40" i="75" s="1"/>
  <c r="AS76" i="61"/>
  <c r="AS82" i="61" s="1"/>
  <c r="AF19" i="52"/>
  <c r="H18" i="75" s="1"/>
  <c r="AF19" i="51"/>
  <c r="AF41" i="51"/>
  <c r="AF42" i="65"/>
  <c r="N47" i="59"/>
  <c r="N75" i="59" s="1"/>
  <c r="N81" i="59" s="1"/>
  <c r="AS41" i="32"/>
  <c r="AM41" i="32"/>
  <c r="Z41" i="32"/>
  <c r="AQ41" i="32"/>
  <c r="Q41" i="66"/>
  <c r="AD41" i="32"/>
  <c r="W54" i="66"/>
  <c r="W76" i="66"/>
  <c r="W82" i="66" s="1"/>
  <c r="N54" i="66"/>
  <c r="AJ41" i="32"/>
  <c r="AL41" i="32"/>
  <c r="AC41" i="32"/>
  <c r="AI41" i="32"/>
  <c r="T41" i="32"/>
  <c r="S41" i="32"/>
  <c r="S97" i="32"/>
  <c r="P70" i="68"/>
  <c r="P68" i="68"/>
  <c r="P65" i="68"/>
  <c r="P62" i="68"/>
  <c r="P60" i="68"/>
  <c r="P69" i="68"/>
  <c r="P66" i="68"/>
  <c r="P64" i="68"/>
  <c r="P61" i="68"/>
  <c r="P59" i="68"/>
  <c r="P58" i="68"/>
  <c r="T40" i="52"/>
  <c r="T18" i="52"/>
  <c r="Y40" i="52"/>
  <c r="Y18" i="52"/>
  <c r="AO40" i="52"/>
  <c r="AO18" i="52"/>
  <c r="W40" i="52"/>
  <c r="W18" i="52"/>
  <c r="AN40" i="52"/>
  <c r="AN18" i="52"/>
  <c r="AM40" i="52"/>
  <c r="AM18" i="52"/>
  <c r="AK40" i="52"/>
  <c r="AK18" i="52"/>
  <c r="AD40" i="52"/>
  <c r="AD18" i="52"/>
  <c r="AJ40" i="52"/>
  <c r="AJ18" i="52"/>
  <c r="V40" i="52"/>
  <c r="V18" i="52"/>
  <c r="AQ40" i="52"/>
  <c r="AQ18" i="52"/>
  <c r="AP40" i="52"/>
  <c r="AP18" i="52"/>
  <c r="AH40" i="52"/>
  <c r="AH18" i="52"/>
  <c r="X40" i="52"/>
  <c r="X18" i="52"/>
  <c r="AS40" i="52"/>
  <c r="AS18" i="52"/>
  <c r="AL40" i="52"/>
  <c r="AL18" i="52"/>
  <c r="AR40" i="52"/>
  <c r="AR18" i="52"/>
  <c r="Z40" i="52"/>
  <c r="Z18" i="52"/>
  <c r="AI40" i="52"/>
  <c r="AI18" i="52"/>
  <c r="AQ40" i="51"/>
  <c r="AQ18" i="51"/>
  <c r="AM40" i="51"/>
  <c r="AM18" i="51"/>
  <c r="X40" i="51"/>
  <c r="X18" i="51"/>
  <c r="AI40" i="51"/>
  <c r="AI18" i="51"/>
  <c r="AO40" i="51"/>
  <c r="AO18" i="51"/>
  <c r="AL40" i="51"/>
  <c r="AJ40" i="51"/>
  <c r="AJ18" i="51"/>
  <c r="Z40" i="51"/>
  <c r="Z18" i="51"/>
  <c r="AN40" i="51"/>
  <c r="AN18" i="51"/>
  <c r="AR40" i="51"/>
  <c r="AR18" i="51"/>
  <c r="AP40" i="51"/>
  <c r="AP18" i="51"/>
  <c r="V40" i="51"/>
  <c r="V18" i="51"/>
  <c r="AD40" i="51"/>
  <c r="AD18" i="51"/>
  <c r="Y40" i="51"/>
  <c r="Y18" i="51"/>
  <c r="W40" i="51"/>
  <c r="W18" i="51"/>
  <c r="AS40" i="51"/>
  <c r="AS18" i="51"/>
  <c r="AH40" i="51"/>
  <c r="AH18" i="51"/>
  <c r="AK40" i="51"/>
  <c r="AK18" i="51"/>
  <c r="AL77" i="65"/>
  <c r="AL83" i="65" s="1"/>
  <c r="AE69" i="68"/>
  <c r="AI60" i="37" s="1"/>
  <c r="AE70" i="68"/>
  <c r="AI96" i="65" s="1"/>
  <c r="AE68" i="68"/>
  <c r="AE65" i="68"/>
  <c r="AE62" i="68"/>
  <c r="AI97" i="52" s="1"/>
  <c r="AE59" i="68"/>
  <c r="AE66" i="68"/>
  <c r="AI97" i="51" s="1"/>
  <c r="AE64" i="68"/>
  <c r="AI94" i="59" s="1"/>
  <c r="AE61" i="68"/>
  <c r="AI95" i="57" s="1"/>
  <c r="AE58" i="68"/>
  <c r="AE60" i="68"/>
  <c r="AD66" i="68"/>
  <c r="AD70" i="68"/>
  <c r="AD61" i="68"/>
  <c r="AD69" i="68"/>
  <c r="AD68" i="68"/>
  <c r="AD65" i="68"/>
  <c r="AD64" i="68"/>
  <c r="AD62" i="68"/>
  <c r="AD60" i="68"/>
  <c r="AD59" i="68"/>
  <c r="AD58" i="68"/>
  <c r="Z48" i="60"/>
  <c r="Z54" i="60" s="1"/>
  <c r="S48" i="60"/>
  <c r="S54" i="60" s="1"/>
  <c r="AQ48" i="60"/>
  <c r="AQ54" i="60" s="1"/>
  <c r="Q41" i="60"/>
  <c r="Q48" i="60" s="1"/>
  <c r="O48" i="60"/>
  <c r="O76" i="60" s="1"/>
  <c r="O82" i="60" s="1"/>
  <c r="V59" i="66"/>
  <c r="V9" i="32"/>
  <c r="Z9" i="32"/>
  <c r="AH31" i="56"/>
  <c r="I42" i="56"/>
  <c r="D3" i="68"/>
  <c r="N24" i="66"/>
  <c r="N30" i="66" s="1"/>
  <c r="AH24" i="66"/>
  <c r="AH30" i="66" s="1"/>
  <c r="AL24" i="66"/>
  <c r="AR24" i="66"/>
  <c r="AP24" i="66"/>
  <c r="AP30" i="66" s="1"/>
  <c r="AJ24" i="66"/>
  <c r="AJ30" i="66" s="1"/>
  <c r="AI24" i="66"/>
  <c r="AO24" i="66"/>
  <c r="AO9" i="32"/>
  <c r="AK9" i="32"/>
  <c r="AP9" i="32"/>
  <c r="AR9" i="32"/>
  <c r="AH9" i="32"/>
  <c r="AN9" i="32"/>
  <c r="AS9" i="32"/>
  <c r="AJ9" i="32"/>
  <c r="AL9" i="32"/>
  <c r="AQ25" i="66"/>
  <c r="AQ31" i="66" s="1"/>
  <c r="AI9" i="32"/>
  <c r="AP25" i="66"/>
  <c r="AP31" i="66" s="1"/>
  <c r="AL25" i="66"/>
  <c r="AH25" i="66"/>
  <c r="AH31" i="66" s="1"/>
  <c r="AO25" i="66"/>
  <c r="AN25" i="66"/>
  <c r="AN47" i="66" s="1"/>
  <c r="AM25" i="66"/>
  <c r="AM47" i="66" s="1"/>
  <c r="AQ9" i="32"/>
  <c r="AR25" i="66"/>
  <c r="AM9" i="32"/>
  <c r="AI25" i="66"/>
  <c r="AS25" i="66"/>
  <c r="AS31" i="66" s="1"/>
  <c r="Y9" i="32"/>
  <c r="AD9" i="32"/>
  <c r="X9" i="32"/>
  <c r="AD25" i="66"/>
  <c r="AD31" i="66" s="1"/>
  <c r="W9" i="32"/>
  <c r="Z25" i="66"/>
  <c r="Z31" i="66" s="1"/>
  <c r="X25" i="66"/>
  <c r="X31" i="66" s="1"/>
  <c r="Y25" i="66"/>
  <c r="Y47" i="66" s="1"/>
  <c r="V25" i="66"/>
  <c r="V47" i="66" s="1"/>
  <c r="W25" i="66"/>
  <c r="W31" i="66" s="1"/>
  <c r="AU17" i="66"/>
  <c r="AM45" i="59"/>
  <c r="O24" i="66"/>
  <c r="O30" i="66" s="1"/>
  <c r="M24" i="66"/>
  <c r="M30" i="66" s="1"/>
  <c r="O25" i="66"/>
  <c r="O31" i="66" s="1"/>
  <c r="N25" i="66"/>
  <c r="N31" i="66" s="1"/>
  <c r="M25" i="66"/>
  <c r="M31" i="66" s="1"/>
  <c r="AL54" i="57"/>
  <c r="AL76" i="57"/>
  <c r="AL82" i="57" s="1"/>
  <c r="W54" i="57"/>
  <c r="W76" i="57"/>
  <c r="W82" i="57" s="1"/>
  <c r="V32" i="57"/>
  <c r="AU41" i="57"/>
  <c r="AU48" i="57" s="1"/>
  <c r="AU54" i="57" s="1"/>
  <c r="V54" i="57"/>
  <c r="AA76" i="57"/>
  <c r="AA82" i="57" s="1"/>
  <c r="L48" i="57"/>
  <c r="AF41" i="57"/>
  <c r="AF48" i="57" s="1"/>
  <c r="AF76" i="57" s="1"/>
  <c r="AF82" i="57" s="1"/>
  <c r="AU39" i="57"/>
  <c r="AR76" i="57"/>
  <c r="AR82" i="57" s="1"/>
  <c r="M32" i="57"/>
  <c r="U41" i="32"/>
  <c r="AS47" i="59"/>
  <c r="AS75" i="59" s="1"/>
  <c r="AS81" i="59" s="1"/>
  <c r="AN41" i="32"/>
  <c r="AO41" i="32"/>
  <c r="W47" i="59"/>
  <c r="W53" i="59" s="1"/>
  <c r="AP41" i="32"/>
  <c r="AK41" i="32"/>
  <c r="Q40" i="59"/>
  <c r="Q47" i="59" s="1"/>
  <c r="AB41" i="32"/>
  <c r="AH41" i="32"/>
  <c r="AR48" i="60"/>
  <c r="AR41" i="32"/>
  <c r="AF41" i="60"/>
  <c r="AF48" i="60" s="1"/>
  <c r="Y41" i="32"/>
  <c r="AK48" i="60"/>
  <c r="AK54" i="60" s="1"/>
  <c r="AO48" i="60"/>
  <c r="AO54" i="60" s="1"/>
  <c r="M54" i="60"/>
  <c r="X48" i="60"/>
  <c r="X41" i="32"/>
  <c r="V41" i="32"/>
  <c r="V48" i="60"/>
  <c r="AI48" i="60"/>
  <c r="AI76" i="60" s="1"/>
  <c r="AI82" i="60" s="1"/>
  <c r="T48" i="60"/>
  <c r="T54" i="60" s="1"/>
  <c r="AN48" i="60"/>
  <c r="AN54" i="60" s="1"/>
  <c r="U48" i="60"/>
  <c r="U54" i="60" s="1"/>
  <c r="AL48" i="60"/>
  <c r="AL76" i="60" s="1"/>
  <c r="AL82" i="60" s="1"/>
  <c r="AM48" i="60"/>
  <c r="AM76" i="60" s="1"/>
  <c r="AM82" i="60" s="1"/>
  <c r="AU41" i="60"/>
  <c r="AU48" i="60" s="1"/>
  <c r="AP48" i="60"/>
  <c r="AP54" i="60" s="1"/>
  <c r="AH48" i="60"/>
  <c r="AH54" i="60" s="1"/>
  <c r="AA48" i="60"/>
  <c r="AA41" i="32"/>
  <c r="W48" i="60"/>
  <c r="W54" i="60" s="1"/>
  <c r="W41" i="32"/>
  <c r="AR47" i="61"/>
  <c r="AH76" i="61"/>
  <c r="AH82" i="61" s="1"/>
  <c r="AH54" i="61"/>
  <c r="O54" i="61"/>
  <c r="O76" i="61"/>
  <c r="O82" i="61" s="1"/>
  <c r="AU41" i="61"/>
  <c r="AU48" i="61" s="1"/>
  <c r="AB54" i="61"/>
  <c r="AJ54" i="61"/>
  <c r="AJ76" i="61"/>
  <c r="AJ82" i="61" s="1"/>
  <c r="T76" i="61"/>
  <c r="T82" i="61" s="1"/>
  <c r="T54" i="61"/>
  <c r="AL76" i="61"/>
  <c r="AL82" i="61" s="1"/>
  <c r="AL54" i="61"/>
  <c r="AD54" i="61"/>
  <c r="L54" i="61"/>
  <c r="AA54" i="61"/>
  <c r="AO54" i="61"/>
  <c r="AI48" i="61"/>
  <c r="U76" i="61"/>
  <c r="U82" i="61" s="1"/>
  <c r="AF41" i="61"/>
  <c r="AF48" i="61" s="1"/>
  <c r="T47" i="62"/>
  <c r="T74" i="62" s="1"/>
  <c r="T80" i="62" s="1"/>
  <c r="Y47" i="62"/>
  <c r="Y74" i="62" s="1"/>
  <c r="Y80" i="62" s="1"/>
  <c r="AN48" i="63"/>
  <c r="AN54" i="63" s="1"/>
  <c r="AJ48" i="63"/>
  <c r="AJ54" i="63" s="1"/>
  <c r="AO48" i="63"/>
  <c r="AO54" i="63" s="1"/>
  <c r="AD48" i="63"/>
  <c r="U48" i="63"/>
  <c r="U54" i="63" s="1"/>
  <c r="AB48" i="63"/>
  <c r="AB76" i="63" s="1"/>
  <c r="AB82" i="63" s="1"/>
  <c r="AM48" i="63"/>
  <c r="AM54" i="63" s="1"/>
  <c r="AI48" i="63"/>
  <c r="AI54" i="63" s="1"/>
  <c r="V48" i="63"/>
  <c r="V54" i="63" s="1"/>
  <c r="Q41" i="63"/>
  <c r="Q48" i="63" s="1"/>
  <c r="M48" i="63"/>
  <c r="M54" i="63" s="1"/>
  <c r="AA48" i="63"/>
  <c r="AA76" i="63" s="1"/>
  <c r="AA82" i="63" s="1"/>
  <c r="AQ48" i="63"/>
  <c r="AQ76" i="63" s="1"/>
  <c r="AQ82" i="63" s="1"/>
  <c r="AL48" i="63"/>
  <c r="AL76" i="63" s="1"/>
  <c r="AL82" i="63" s="1"/>
  <c r="Z48" i="63"/>
  <c r="Z54" i="63" s="1"/>
  <c r="W48" i="63"/>
  <c r="W54" i="63" s="1"/>
  <c r="AC32" i="63"/>
  <c r="AK48" i="63"/>
  <c r="AK54" i="63" s="1"/>
  <c r="V77" i="65"/>
  <c r="V83" i="65" s="1"/>
  <c r="AN77" i="65"/>
  <c r="AN83" i="65" s="1"/>
  <c r="AR77" i="65"/>
  <c r="AR83" i="65" s="1"/>
  <c r="Q42" i="65"/>
  <c r="AU42" i="65"/>
  <c r="AI48" i="65"/>
  <c r="AI54" i="65" s="1"/>
  <c r="AH25" i="61"/>
  <c r="AH47" i="61" s="1"/>
  <c r="AI25" i="63"/>
  <c r="AI47" i="63" s="1"/>
  <c r="X25" i="61"/>
  <c r="X47" i="61" s="1"/>
  <c r="V25" i="63"/>
  <c r="V31" i="63" s="1"/>
  <c r="Y25" i="61"/>
  <c r="Y31" i="61" s="1"/>
  <c r="W24" i="62"/>
  <c r="W30" i="62" s="1"/>
  <c r="M43" i="52"/>
  <c r="AO46" i="59"/>
  <c r="AI24" i="59"/>
  <c r="AI30" i="59" s="1"/>
  <c r="AM25" i="60"/>
  <c r="AM47" i="60" s="1"/>
  <c r="AK24" i="59"/>
  <c r="AK46" i="59" s="1"/>
  <c r="AJ24" i="59"/>
  <c r="AJ46" i="59" s="1"/>
  <c r="AN24" i="59"/>
  <c r="AN46" i="59" s="1"/>
  <c r="Z46" i="59"/>
  <c r="W24" i="59"/>
  <c r="W30" i="59" s="1"/>
  <c r="V25" i="60"/>
  <c r="V31" i="60" s="1"/>
  <c r="M46" i="59"/>
  <c r="O24" i="59"/>
  <c r="O46" i="59" s="1"/>
  <c r="L24" i="59"/>
  <c r="L46" i="59" s="1"/>
  <c r="L74" i="59" s="1"/>
  <c r="L80" i="59" s="1"/>
  <c r="M25" i="60"/>
  <c r="M31" i="60" s="1"/>
  <c r="Q18" i="66"/>
  <c r="AF41" i="66"/>
  <c r="AN24" i="66"/>
  <c r="AN30" i="66" s="1"/>
  <c r="AQ24" i="66"/>
  <c r="AQ46" i="66" s="1"/>
  <c r="Q40" i="66"/>
  <c r="AK25" i="66"/>
  <c r="AK31" i="66" s="1"/>
  <c r="U76" i="66"/>
  <c r="U82" i="66" s="1"/>
  <c r="U54" i="66"/>
  <c r="AL54" i="66"/>
  <c r="H53" i="75" s="1"/>
  <c r="AL76" i="66"/>
  <c r="AL82" i="66" s="1"/>
  <c r="AU32" i="66"/>
  <c r="Q31" i="75" s="1"/>
  <c r="AN76" i="66"/>
  <c r="AN82" i="66" s="1"/>
  <c r="AN54" i="66"/>
  <c r="AJ76" i="66"/>
  <c r="AJ82" i="66" s="1"/>
  <c r="AJ54" i="66"/>
  <c r="M54" i="66"/>
  <c r="M76" i="66"/>
  <c r="M82" i="66" s="1"/>
  <c r="AO76" i="66"/>
  <c r="AO82" i="66" s="1"/>
  <c r="AO54" i="66"/>
  <c r="K53" i="75" s="1"/>
  <c r="AH54" i="66"/>
  <c r="AH76" i="66"/>
  <c r="AH82" i="66" s="1"/>
  <c r="AS54" i="66"/>
  <c r="AS76" i="66"/>
  <c r="AS82" i="66" s="1"/>
  <c r="X54" i="66"/>
  <c r="X76" i="66"/>
  <c r="X82" i="66" s="1"/>
  <c r="AJ25" i="66"/>
  <c r="AR76" i="66"/>
  <c r="AR82" i="66" s="1"/>
  <c r="AR54" i="66"/>
  <c r="N53" i="75" s="1"/>
  <c r="AP76" i="66"/>
  <c r="AP82" i="66" s="1"/>
  <c r="AP54" i="66"/>
  <c r="AK46" i="66"/>
  <c r="AK30" i="66"/>
  <c r="AS30" i="66"/>
  <c r="AS46" i="66"/>
  <c r="T54" i="66"/>
  <c r="T76" i="66"/>
  <c r="T82" i="66" s="1"/>
  <c r="S54" i="66"/>
  <c r="S76" i="66"/>
  <c r="S82" i="66" s="1"/>
  <c r="Z76" i="66"/>
  <c r="Z82" i="66" s="1"/>
  <c r="Z54" i="66"/>
  <c r="AA76" i="66"/>
  <c r="AA82" i="66" s="1"/>
  <c r="AA54" i="66"/>
  <c r="AB54" i="66"/>
  <c r="AB76" i="66"/>
  <c r="AB82" i="66" s="1"/>
  <c r="O54" i="66"/>
  <c r="O76" i="66"/>
  <c r="O82" i="66" s="1"/>
  <c r="AD76" i="66"/>
  <c r="AD82" i="66" s="1"/>
  <c r="AD54" i="66"/>
  <c r="Q17" i="66"/>
  <c r="AU18" i="66"/>
  <c r="AJ48" i="65"/>
  <c r="AJ54" i="65" s="1"/>
  <c r="AU41" i="66"/>
  <c r="Y76" i="66"/>
  <c r="Y82" i="66" s="1"/>
  <c r="Y54" i="66"/>
  <c r="AQ76" i="66"/>
  <c r="AQ82" i="66" s="1"/>
  <c r="AQ54" i="66"/>
  <c r="AM24" i="66"/>
  <c r="AC54" i="66"/>
  <c r="AC76" i="66"/>
  <c r="AC82" i="66" s="1"/>
  <c r="AU40" i="66"/>
  <c r="AM76" i="66"/>
  <c r="AM82" i="66" s="1"/>
  <c r="AM54" i="66"/>
  <c r="AI76" i="66"/>
  <c r="AI82" i="66" s="1"/>
  <c r="AI54" i="66"/>
  <c r="E53" i="75" s="1"/>
  <c r="AU39" i="66"/>
  <c r="U38" i="75" s="1"/>
  <c r="W38" i="75" s="1"/>
  <c r="AK54" i="66"/>
  <c r="AK76" i="66"/>
  <c r="AK82" i="66" s="1"/>
  <c r="Q39" i="66"/>
  <c r="AL48" i="65"/>
  <c r="AL54" i="65" s="1"/>
  <c r="Q19" i="65"/>
  <c r="AD77" i="65"/>
  <c r="AD83" i="65" s="1"/>
  <c r="AQ26" i="65"/>
  <c r="AQ32" i="65" s="1"/>
  <c r="AS26" i="65"/>
  <c r="AS32" i="65" s="1"/>
  <c r="AM48" i="65"/>
  <c r="AM54" i="65" s="1"/>
  <c r="AM77" i="65"/>
  <c r="AM83" i="65" s="1"/>
  <c r="AO48" i="65"/>
  <c r="AO54" i="65" s="1"/>
  <c r="O48" i="65"/>
  <c r="O54" i="65" s="1"/>
  <c r="AO77" i="65"/>
  <c r="AO83" i="65" s="1"/>
  <c r="AI77" i="65"/>
  <c r="AI83" i="65" s="1"/>
  <c r="AP48" i="65"/>
  <c r="AP54" i="65" s="1"/>
  <c r="AN48" i="65"/>
  <c r="AN54" i="65" s="1"/>
  <c r="AR26" i="65"/>
  <c r="AR32" i="65" s="1"/>
  <c r="T77" i="65"/>
  <c r="T83" i="65" s="1"/>
  <c r="Z26" i="65"/>
  <c r="Z32" i="65" s="1"/>
  <c r="AJ77" i="65"/>
  <c r="AJ83" i="65" s="1"/>
  <c r="U77" i="65"/>
  <c r="U83" i="65" s="1"/>
  <c r="W26" i="65"/>
  <c r="W32" i="65" s="1"/>
  <c r="O77" i="65"/>
  <c r="O83" i="65" s="1"/>
  <c r="AU19" i="65"/>
  <c r="Z77" i="65"/>
  <c r="Z83" i="65" s="1"/>
  <c r="AC77" i="65"/>
  <c r="AC83" i="65" s="1"/>
  <c r="N48" i="65"/>
  <c r="N54" i="65" s="1"/>
  <c r="Q41" i="65"/>
  <c r="Y77" i="65"/>
  <c r="Y83" i="65" s="1"/>
  <c r="AK77" i="65"/>
  <c r="AK83" i="65" s="1"/>
  <c r="S77" i="65"/>
  <c r="S83" i="65" s="1"/>
  <c r="M48" i="65"/>
  <c r="M54" i="65" s="1"/>
  <c r="M77" i="65"/>
  <c r="M83" i="65" s="1"/>
  <c r="AQ77" i="65"/>
  <c r="AQ83" i="65" s="1"/>
  <c r="AP77" i="65"/>
  <c r="AP83" i="65" s="1"/>
  <c r="AH77" i="65"/>
  <c r="AH83" i="65" s="1"/>
  <c r="X48" i="65"/>
  <c r="X54" i="65" s="1"/>
  <c r="AS77" i="65"/>
  <c r="AS83" i="65" s="1"/>
  <c r="N77" i="65"/>
  <c r="N83" i="65" s="1"/>
  <c r="AH48" i="65"/>
  <c r="AH54" i="65" s="1"/>
  <c r="AU41" i="65"/>
  <c r="Y48" i="65"/>
  <c r="Y54" i="65" s="1"/>
  <c r="W77" i="65"/>
  <c r="W83" i="65" s="1"/>
  <c r="AB77" i="65"/>
  <c r="AB83" i="65" s="1"/>
  <c r="X77" i="65"/>
  <c r="X83" i="65" s="1"/>
  <c r="AA77" i="65"/>
  <c r="AA83" i="65" s="1"/>
  <c r="AP47" i="63"/>
  <c r="AP53" i="63" s="1"/>
  <c r="O76" i="63"/>
  <c r="O82" i="63" s="1"/>
  <c r="O54" i="63"/>
  <c r="L47" i="63"/>
  <c r="L53" i="63" s="1"/>
  <c r="AO47" i="63"/>
  <c r="AO53" i="63" s="1"/>
  <c r="W47" i="63"/>
  <c r="W53" i="63" s="1"/>
  <c r="X47" i="63"/>
  <c r="AN31" i="63"/>
  <c r="AU18" i="63"/>
  <c r="AU25" i="63" s="1"/>
  <c r="AU31" i="63" s="1"/>
  <c r="N47" i="63"/>
  <c r="N75" i="63" s="1"/>
  <c r="N81" i="63" s="1"/>
  <c r="AQ47" i="61"/>
  <c r="AQ53" i="61" s="1"/>
  <c r="AS31" i="63"/>
  <c r="AS47" i="63"/>
  <c r="AQ47" i="63"/>
  <c r="AQ31" i="63"/>
  <c r="Q32" i="63"/>
  <c r="T54" i="63"/>
  <c r="T76" i="63"/>
  <c r="T82" i="63" s="1"/>
  <c r="AR47" i="63"/>
  <c r="AR31" i="63"/>
  <c r="AU40" i="63"/>
  <c r="AU32" i="63"/>
  <c r="AR76" i="63"/>
  <c r="AR82" i="63" s="1"/>
  <c r="AR54" i="63"/>
  <c r="AP54" i="63"/>
  <c r="AP76" i="63"/>
  <c r="AP82" i="63" s="1"/>
  <c r="AU41" i="63"/>
  <c r="AU48" i="63" s="1"/>
  <c r="O25" i="63"/>
  <c r="L46" i="63"/>
  <c r="L30" i="63"/>
  <c r="AH25" i="63"/>
  <c r="AL31" i="63"/>
  <c r="AL47" i="63"/>
  <c r="Q40" i="63"/>
  <c r="AH54" i="63"/>
  <c r="AH76" i="63"/>
  <c r="AH82" i="63" s="1"/>
  <c r="AF41" i="63"/>
  <c r="AF48" i="63" s="1"/>
  <c r="AU39" i="63"/>
  <c r="AM31" i="63"/>
  <c r="AM47" i="63"/>
  <c r="T47" i="63"/>
  <c r="T31" i="63"/>
  <c r="Y25" i="63"/>
  <c r="AQ31" i="61"/>
  <c r="AF32" i="63"/>
  <c r="AS76" i="63"/>
  <c r="AS82" i="63" s="1"/>
  <c r="AS54" i="63"/>
  <c r="L48" i="63"/>
  <c r="S48" i="63"/>
  <c r="N76" i="63"/>
  <c r="N82" i="63" s="1"/>
  <c r="N54" i="63"/>
  <c r="AD47" i="63"/>
  <c r="AD31" i="63"/>
  <c r="X54" i="63"/>
  <c r="X76" i="63"/>
  <c r="X82" i="63" s="1"/>
  <c r="N24" i="62"/>
  <c r="N46" i="62" s="1"/>
  <c r="Q40" i="62"/>
  <c r="Q47" i="62" s="1"/>
  <c r="AJ46" i="62"/>
  <c r="AB46" i="62"/>
  <c r="AR31" i="61"/>
  <c r="AF39" i="62"/>
  <c r="AR51" i="62"/>
  <c r="AN74" i="62"/>
  <c r="AN80" i="62" s="1"/>
  <c r="AN53" i="62"/>
  <c r="Z74" i="62"/>
  <c r="Z80" i="62" s="1"/>
  <c r="Z53" i="62"/>
  <c r="N53" i="62"/>
  <c r="N74" i="62"/>
  <c r="N80" i="62" s="1"/>
  <c r="AP74" i="62"/>
  <c r="AP80" i="62" s="1"/>
  <c r="AP53" i="62"/>
  <c r="AM53" i="62"/>
  <c r="AM74" i="62"/>
  <c r="AM80" i="62" s="1"/>
  <c r="AD46" i="62"/>
  <c r="AD30" i="62"/>
  <c r="O53" i="62"/>
  <c r="O74" i="62"/>
  <c r="O80" i="62" s="1"/>
  <c r="AC53" i="62"/>
  <c r="AC74" i="62"/>
  <c r="AC80" i="62" s="1"/>
  <c r="AK53" i="62"/>
  <c r="AK74" i="62"/>
  <c r="AK80" i="62" s="1"/>
  <c r="AI45" i="62"/>
  <c r="AI29" i="62"/>
  <c r="AH45" i="62"/>
  <c r="AH29" i="62"/>
  <c r="AS46" i="62"/>
  <c r="AS30" i="62"/>
  <c r="AA74" i="62"/>
  <c r="AA80" i="62" s="1"/>
  <c r="AA53" i="62"/>
  <c r="X46" i="62"/>
  <c r="X30" i="62"/>
  <c r="Y46" i="62"/>
  <c r="Y30" i="62"/>
  <c r="AF31" i="62"/>
  <c r="AC30" i="62"/>
  <c r="AC46" i="62"/>
  <c r="AO74" i="62"/>
  <c r="AO80" i="62" s="1"/>
  <c r="AO53" i="62"/>
  <c r="AO46" i="62"/>
  <c r="AO30" i="62"/>
  <c r="U46" i="62"/>
  <c r="U30" i="62"/>
  <c r="V46" i="62"/>
  <c r="V30" i="62"/>
  <c r="AF40" i="62"/>
  <c r="AF47" i="62" s="1"/>
  <c r="V74" i="62"/>
  <c r="V80" i="62" s="1"/>
  <c r="V53" i="62"/>
  <c r="AP45" i="62"/>
  <c r="AP29" i="62"/>
  <c r="S46" i="62"/>
  <c r="S30" i="62"/>
  <c r="AH46" i="62"/>
  <c r="AH30" i="62"/>
  <c r="T46" i="62"/>
  <c r="T30" i="62"/>
  <c r="AP30" i="62"/>
  <c r="AP46" i="62"/>
  <c r="M53" i="62"/>
  <c r="M74" i="62"/>
  <c r="M80" i="62" s="1"/>
  <c r="AD53" i="62"/>
  <c r="AD74" i="62"/>
  <c r="AD80" i="62" s="1"/>
  <c r="AR53" i="62"/>
  <c r="AR74" i="62"/>
  <c r="AR80" i="62" s="1"/>
  <c r="AU39" i="62"/>
  <c r="AI30" i="62"/>
  <c r="AI46" i="62"/>
  <c r="AQ46" i="62"/>
  <c r="AQ30" i="62"/>
  <c r="AN45" i="62"/>
  <c r="AN29" i="62"/>
  <c r="X53" i="62"/>
  <c r="X74" i="62"/>
  <c r="X80" i="62" s="1"/>
  <c r="AJ45" i="62"/>
  <c r="AJ29" i="62"/>
  <c r="AM45" i="62"/>
  <c r="AM29" i="62"/>
  <c r="L74" i="62"/>
  <c r="L80" i="62" s="1"/>
  <c r="L53" i="62"/>
  <c r="AQ74" i="62"/>
  <c r="AQ80" i="62" s="1"/>
  <c r="AQ53" i="62"/>
  <c r="AU31" i="62"/>
  <c r="W74" i="62"/>
  <c r="W80" i="62" s="1"/>
  <c r="W53" i="62"/>
  <c r="AA30" i="62"/>
  <c r="AA46" i="62"/>
  <c r="AH53" i="62"/>
  <c r="AH74" i="62"/>
  <c r="AH80" i="62" s="1"/>
  <c r="U74" i="62"/>
  <c r="U80" i="62" s="1"/>
  <c r="U53" i="62"/>
  <c r="AB74" i="62"/>
  <c r="AB80" i="62" s="1"/>
  <c r="AB53" i="62"/>
  <c r="AF17" i="62"/>
  <c r="AF24" i="62" s="1"/>
  <c r="AI74" i="62"/>
  <c r="AI80" i="62" s="1"/>
  <c r="AI53" i="62"/>
  <c r="AL53" i="62"/>
  <c r="AL74" i="62"/>
  <c r="AL80" i="62" s="1"/>
  <c r="AS53" i="62"/>
  <c r="AS74" i="62"/>
  <c r="AS80" i="62" s="1"/>
  <c r="AN46" i="62"/>
  <c r="AN30" i="62"/>
  <c r="Q31" i="62"/>
  <c r="O30" i="62"/>
  <c r="O46" i="62"/>
  <c r="S53" i="62"/>
  <c r="S74" i="62"/>
  <c r="S80" i="62" s="1"/>
  <c r="AL45" i="62"/>
  <c r="AL29" i="62"/>
  <c r="AS29" i="62"/>
  <c r="AS45" i="62"/>
  <c r="M30" i="62"/>
  <c r="M46" i="62"/>
  <c r="AO45" i="62"/>
  <c r="AO29" i="62"/>
  <c r="AJ74" i="62"/>
  <c r="AJ80" i="62" s="1"/>
  <c r="AJ53" i="62"/>
  <c r="Z46" i="62"/>
  <c r="Z30" i="62"/>
  <c r="AU38" i="62"/>
  <c r="AU40" i="62"/>
  <c r="AU47" i="62" s="1"/>
  <c r="AR46" i="62"/>
  <c r="AR30" i="62"/>
  <c r="AK29" i="62"/>
  <c r="AK45" i="62"/>
  <c r="Q17" i="62"/>
  <c r="Q24" i="62" s="1"/>
  <c r="AM46" i="62"/>
  <c r="AM30" i="62"/>
  <c r="AU16" i="62"/>
  <c r="AU23" i="62" s="1"/>
  <c r="L45" i="62"/>
  <c r="L29" i="62"/>
  <c r="Q39" i="62"/>
  <c r="AU17" i="62"/>
  <c r="AU24" i="62" s="1"/>
  <c r="L24" i="62"/>
  <c r="T47" i="61"/>
  <c r="L24" i="61"/>
  <c r="L46" i="61" s="1"/>
  <c r="V47" i="61"/>
  <c r="AJ25" i="61"/>
  <c r="AM47" i="61"/>
  <c r="AM31" i="61"/>
  <c r="AS47" i="61"/>
  <c r="AS31" i="61"/>
  <c r="AU32" i="61"/>
  <c r="AD47" i="61"/>
  <c r="AD31" i="61"/>
  <c r="AN31" i="61"/>
  <c r="AN47" i="61"/>
  <c r="Y54" i="61"/>
  <c r="Y76" i="61"/>
  <c r="Y82" i="61" s="1"/>
  <c r="AM76" i="61"/>
  <c r="AM82" i="61" s="1"/>
  <c r="AM54" i="61"/>
  <c r="AN76" i="61"/>
  <c r="AN82" i="61" s="1"/>
  <c r="AN54" i="61"/>
  <c r="M31" i="61"/>
  <c r="M47" i="61"/>
  <c r="AU18" i="61"/>
  <c r="AU25" i="61" s="1"/>
  <c r="Q40" i="61"/>
  <c r="N47" i="61"/>
  <c r="N31" i="61"/>
  <c r="AC76" i="61"/>
  <c r="AC82" i="61" s="1"/>
  <c r="AC54" i="61"/>
  <c r="O31" i="61"/>
  <c r="O47" i="61"/>
  <c r="AL47" i="61"/>
  <c r="AL31" i="61"/>
  <c r="AK47" i="61"/>
  <c r="AK31" i="61"/>
  <c r="AK54" i="61"/>
  <c r="AK76" i="61"/>
  <c r="AK82" i="61" s="1"/>
  <c r="X76" i="61"/>
  <c r="X82" i="61" s="1"/>
  <c r="X54" i="61"/>
  <c r="AI47" i="61"/>
  <c r="AU40" i="61"/>
  <c r="AO31" i="61"/>
  <c r="AO47" i="61"/>
  <c r="W47" i="61"/>
  <c r="W31" i="61"/>
  <c r="V54" i="61"/>
  <c r="V76" i="61"/>
  <c r="V82" i="61" s="1"/>
  <c r="AF32" i="61"/>
  <c r="AR76" i="61"/>
  <c r="AR82" i="61" s="1"/>
  <c r="AR54" i="61"/>
  <c r="W76" i="61"/>
  <c r="W82" i="61" s="1"/>
  <c r="W54" i="61"/>
  <c r="AU39" i="61"/>
  <c r="L25" i="61"/>
  <c r="N76" i="61"/>
  <c r="N82" i="61" s="1"/>
  <c r="N54" i="61"/>
  <c r="S76" i="61"/>
  <c r="S82" i="61" s="1"/>
  <c r="S54" i="61"/>
  <c r="X47" i="60"/>
  <c r="Y47" i="60"/>
  <c r="Y53" i="60" s="1"/>
  <c r="AQ24" i="59"/>
  <c r="AQ30" i="59" s="1"/>
  <c r="W47" i="60"/>
  <c r="AU40" i="60"/>
  <c r="AQ31" i="60"/>
  <c r="AQ47" i="60"/>
  <c r="AO47" i="60"/>
  <c r="AO31" i="60"/>
  <c r="AN31" i="60"/>
  <c r="AN47" i="60"/>
  <c r="AP47" i="60"/>
  <c r="AP31" i="60"/>
  <c r="AI47" i="60"/>
  <c r="AI31" i="60"/>
  <c r="AJ47" i="60"/>
  <c r="AJ31" i="60"/>
  <c r="AU39" i="60"/>
  <c r="AU32" i="60"/>
  <c r="Q18" i="60"/>
  <c r="Q25" i="60" s="1"/>
  <c r="Z25" i="60"/>
  <c r="Q32" i="60"/>
  <c r="N47" i="60"/>
  <c r="N31" i="60"/>
  <c r="AJ54" i="60"/>
  <c r="AJ76" i="60"/>
  <c r="AJ82" i="60" s="1"/>
  <c r="AF32" i="60"/>
  <c r="L31" i="60"/>
  <c r="L47" i="60"/>
  <c r="AH47" i="60"/>
  <c r="AH31" i="60"/>
  <c r="Y48" i="60"/>
  <c r="Q40" i="60"/>
  <c r="AL25" i="60"/>
  <c r="AK31" i="60"/>
  <c r="AK47" i="60"/>
  <c r="L32" i="60"/>
  <c r="L48" i="60"/>
  <c r="O47" i="60"/>
  <c r="O31" i="60"/>
  <c r="AU18" i="60"/>
  <c r="AU25" i="60" s="1"/>
  <c r="N76" i="60"/>
  <c r="N82" i="60" s="1"/>
  <c r="N54" i="60"/>
  <c r="AD46" i="59"/>
  <c r="AP24" i="59"/>
  <c r="AP30" i="59" s="1"/>
  <c r="AM29" i="59"/>
  <c r="Y47" i="57"/>
  <c r="Y53" i="57" s="1"/>
  <c r="N24" i="59"/>
  <c r="N46" i="59" s="1"/>
  <c r="AS46" i="59"/>
  <c r="AS52" i="59" s="1"/>
  <c r="AL24" i="59"/>
  <c r="AL30" i="59" s="1"/>
  <c r="AU31" i="59"/>
  <c r="AB53" i="59"/>
  <c r="AB75" i="59"/>
  <c r="AB81" i="59" s="1"/>
  <c r="AP51" i="59"/>
  <c r="AI53" i="59"/>
  <c r="AI75" i="59"/>
  <c r="AI81" i="59" s="1"/>
  <c r="AA75" i="59"/>
  <c r="AA81" i="59" s="1"/>
  <c r="AA53" i="59"/>
  <c r="AO75" i="59"/>
  <c r="AO81" i="59" s="1"/>
  <c r="AO53" i="59"/>
  <c r="AU40" i="59"/>
  <c r="AU47" i="59" s="1"/>
  <c r="U53" i="59"/>
  <c r="U75" i="59"/>
  <c r="U81" i="59" s="1"/>
  <c r="AP75" i="59"/>
  <c r="AP81" i="59" s="1"/>
  <c r="AP53" i="59"/>
  <c r="AN45" i="59"/>
  <c r="AN29" i="59"/>
  <c r="AH24" i="59"/>
  <c r="Y46" i="59"/>
  <c r="Y30" i="59"/>
  <c r="AI29" i="59"/>
  <c r="AI45" i="59"/>
  <c r="AQ75" i="59"/>
  <c r="AQ81" i="59" s="1"/>
  <c r="AQ53" i="59"/>
  <c r="L31" i="59"/>
  <c r="L47" i="59"/>
  <c r="AN75" i="59"/>
  <c r="AN81" i="59" s="1"/>
  <c r="AN53" i="59"/>
  <c r="AJ53" i="59"/>
  <c r="AJ75" i="59"/>
  <c r="AJ81" i="59" s="1"/>
  <c r="AH75" i="59"/>
  <c r="AH81" i="59" s="1"/>
  <c r="AH53" i="59"/>
  <c r="Q31" i="59"/>
  <c r="T53" i="59"/>
  <c r="T75" i="59"/>
  <c r="T81" i="59" s="1"/>
  <c r="AR46" i="59"/>
  <c r="AR30" i="59"/>
  <c r="AR29" i="59"/>
  <c r="AR45" i="59"/>
  <c r="AC75" i="59"/>
  <c r="AC81" i="59" s="1"/>
  <c r="AC53" i="59"/>
  <c r="Z75" i="59"/>
  <c r="Z81" i="59" s="1"/>
  <c r="Z53" i="59"/>
  <c r="AU38" i="59"/>
  <c r="AO45" i="59"/>
  <c r="AO29" i="59"/>
  <c r="AF31" i="59"/>
  <c r="AL45" i="59"/>
  <c r="AL29" i="59"/>
  <c r="Y75" i="59"/>
  <c r="Y81" i="59" s="1"/>
  <c r="Y53" i="59"/>
  <c r="AK23" i="59"/>
  <c r="AK75" i="59"/>
  <c r="AK81" i="59" s="1"/>
  <c r="AK53" i="59"/>
  <c r="S75" i="59"/>
  <c r="S81" i="59" s="1"/>
  <c r="S53" i="59"/>
  <c r="AQ45" i="59"/>
  <c r="AQ29" i="59"/>
  <c r="AJ23" i="59"/>
  <c r="Q17" i="59"/>
  <c r="Q24" i="59" s="1"/>
  <c r="V53" i="59"/>
  <c r="V75" i="59"/>
  <c r="V81" i="59" s="1"/>
  <c r="AU39" i="59"/>
  <c r="AH29" i="59"/>
  <c r="AH45" i="59"/>
  <c r="AS45" i="59"/>
  <c r="AS29" i="59"/>
  <c r="AL53" i="59"/>
  <c r="AL75" i="59"/>
  <c r="AL81" i="59" s="1"/>
  <c r="AD53" i="59"/>
  <c r="AD75" i="59"/>
  <c r="AD81" i="59" s="1"/>
  <c r="AU17" i="59"/>
  <c r="AU24" i="59" s="1"/>
  <c r="AM30" i="59"/>
  <c r="AM46" i="59"/>
  <c r="AF40" i="59"/>
  <c r="AF47" i="59" s="1"/>
  <c r="Q39" i="59"/>
  <c r="X30" i="59"/>
  <c r="X46" i="59"/>
  <c r="AU16" i="59"/>
  <c r="AU23" i="59" s="1"/>
  <c r="AM75" i="59"/>
  <c r="AM81" i="59" s="1"/>
  <c r="AM53" i="59"/>
  <c r="L23" i="59"/>
  <c r="V46" i="59"/>
  <c r="V30" i="59"/>
  <c r="AP76" i="57"/>
  <c r="AP82" i="57" s="1"/>
  <c r="AK25" i="57"/>
  <c r="AK31" i="57" s="1"/>
  <c r="AB76" i="57"/>
  <c r="AB82" i="57" s="1"/>
  <c r="AQ47" i="57"/>
  <c r="AQ75" i="57" s="1"/>
  <c r="AQ81" i="57" s="1"/>
  <c r="AL25" i="57"/>
  <c r="AL31" i="57" s="1"/>
  <c r="AJ47" i="57"/>
  <c r="AJ75" i="57" s="1"/>
  <c r="AJ81" i="57" s="1"/>
  <c r="X47" i="57"/>
  <c r="X75" i="57" s="1"/>
  <c r="X81" i="57" s="1"/>
  <c r="AM25" i="57"/>
  <c r="AM31" i="57" s="1"/>
  <c r="AR47" i="57"/>
  <c r="AR75" i="57" s="1"/>
  <c r="AR81" i="57" s="1"/>
  <c r="Q18" i="57"/>
  <c r="Q25" i="57" s="1"/>
  <c r="Q31" i="57" s="1"/>
  <c r="O47" i="57"/>
  <c r="O75" i="57" s="1"/>
  <c r="O81" i="57" s="1"/>
  <c r="AU18" i="57"/>
  <c r="AU25" i="57" s="1"/>
  <c r="AU31" i="57" s="1"/>
  <c r="AK54" i="57"/>
  <c r="AK76" i="57"/>
  <c r="AK82" i="57" s="1"/>
  <c r="AO25" i="57"/>
  <c r="AO31" i="57" s="1"/>
  <c r="AS47" i="57"/>
  <c r="AS53" i="57" s="1"/>
  <c r="AN25" i="57"/>
  <c r="AN31" i="57" s="1"/>
  <c r="AO76" i="57"/>
  <c r="AO82" i="57" s="1"/>
  <c r="Z47" i="57"/>
  <c r="Z75" i="57" s="1"/>
  <c r="Z81" i="57" s="1"/>
  <c r="AP25" i="57"/>
  <c r="AP31" i="57" s="1"/>
  <c r="AH47" i="57"/>
  <c r="AH75" i="57" s="1"/>
  <c r="AH81" i="57" s="1"/>
  <c r="AH54" i="57"/>
  <c r="AD47" i="57"/>
  <c r="AD53" i="57" s="1"/>
  <c r="V47" i="57"/>
  <c r="V75" i="57" s="1"/>
  <c r="V81" i="57" s="1"/>
  <c r="N25" i="57"/>
  <c r="N31" i="57" s="1"/>
  <c r="W47" i="57"/>
  <c r="W75" i="57" s="1"/>
  <c r="W81" i="57" s="1"/>
  <c r="T25" i="57"/>
  <c r="T31" i="57" s="1"/>
  <c r="Y54" i="57"/>
  <c r="N76" i="57"/>
  <c r="N82" i="57" s="1"/>
  <c r="L25" i="57"/>
  <c r="L31" i="57" s="1"/>
  <c r="L24" i="57"/>
  <c r="AI47" i="57"/>
  <c r="AI75" i="57" s="1"/>
  <c r="AI81" i="57" s="1"/>
  <c r="AN76" i="57"/>
  <c r="AN82" i="57" s="1"/>
  <c r="AN54" i="57"/>
  <c r="AU40" i="57"/>
  <c r="Q40" i="57"/>
  <c r="M47" i="57"/>
  <c r="M53" i="57" s="1"/>
  <c r="AD76" i="57"/>
  <c r="AD82" i="57" s="1"/>
  <c r="AJ76" i="57"/>
  <c r="AJ82" i="57" s="1"/>
  <c r="AJ54" i="57"/>
  <c r="AS76" i="57"/>
  <c r="AS82" i="57" s="1"/>
  <c r="AS54" i="57"/>
  <c r="O76" i="57"/>
  <c r="O82" i="57" s="1"/>
  <c r="O54" i="57"/>
  <c r="U76" i="57"/>
  <c r="U82" i="57" s="1"/>
  <c r="U54" i="57"/>
  <c r="Q32" i="57"/>
  <c r="AI76" i="57"/>
  <c r="AI82" i="57" s="1"/>
  <c r="AI54" i="57"/>
  <c r="S54" i="57"/>
  <c r="S76" i="57"/>
  <c r="S82" i="57" s="1"/>
  <c r="X54" i="57"/>
  <c r="X76" i="57"/>
  <c r="X82" i="57" s="1"/>
  <c r="AM76" i="57"/>
  <c r="AM82" i="57" s="1"/>
  <c r="AM54" i="57"/>
  <c r="AC76" i="57"/>
  <c r="AC82" i="57" s="1"/>
  <c r="AC54" i="57"/>
  <c r="AH30" i="56"/>
  <c r="AF32" i="66" l="1"/>
  <c r="B31" i="75" s="1"/>
  <c r="Q49" i="65"/>
  <c r="Q55" i="65" s="1"/>
  <c r="Q25" i="65"/>
  <c r="Q31" i="65" s="1"/>
  <c r="Q24" i="66"/>
  <c r="Q46" i="66" s="1"/>
  <c r="Q48" i="66"/>
  <c r="Q76" i="66" s="1"/>
  <c r="Q82" i="66" s="1"/>
  <c r="Q26" i="65"/>
  <c r="E40" i="75"/>
  <c r="G40" i="75" s="1"/>
  <c r="E18" i="75"/>
  <c r="G18" i="75" s="1"/>
  <c r="L3" i="59"/>
  <c r="Q25" i="66"/>
  <c r="L4" i="61"/>
  <c r="AH275" i="76"/>
  <c r="AH224" i="30"/>
  <c r="AU48" i="66"/>
  <c r="Q47" i="75" s="1"/>
  <c r="U40" i="75"/>
  <c r="W40" i="75" s="1"/>
  <c r="AF48" i="66"/>
  <c r="B47" i="75" s="1"/>
  <c r="B40" i="75"/>
  <c r="D40" i="75" s="1"/>
  <c r="L4" i="66"/>
  <c r="R275" i="76"/>
  <c r="AW275" i="76"/>
  <c r="AX275" i="76" s="1"/>
  <c r="R224" i="30"/>
  <c r="AW224" i="30"/>
  <c r="AX224" i="30" s="1"/>
  <c r="AU49" i="65"/>
  <c r="AU55" i="65" s="1"/>
  <c r="AD40" i="75"/>
  <c r="AF40" i="75" s="1"/>
  <c r="K37" i="75"/>
  <c r="M37" i="75" s="1"/>
  <c r="AF49" i="65"/>
  <c r="AF55" i="65" s="1"/>
  <c r="K40" i="75"/>
  <c r="M40" i="75" s="1"/>
  <c r="U39" i="75"/>
  <c r="W39" i="75" s="1"/>
  <c r="AD39" i="75"/>
  <c r="AF39" i="75" s="1"/>
  <c r="S95" i="57"/>
  <c r="S97" i="57" s="1"/>
  <c r="S94" i="59"/>
  <c r="S96" i="59" s="1"/>
  <c r="S97" i="51"/>
  <c r="S60" i="37"/>
  <c r="S97" i="66"/>
  <c r="S96" i="65"/>
  <c r="S98" i="65" s="1"/>
  <c r="J18" i="75"/>
  <c r="J40" i="75"/>
  <c r="AU24" i="66"/>
  <c r="Q23" i="75" s="1"/>
  <c r="U16" i="75"/>
  <c r="AR46" i="66"/>
  <c r="N45" i="75" s="1"/>
  <c r="N23" i="75"/>
  <c r="AL30" i="66"/>
  <c r="H29" i="75" s="1"/>
  <c r="H23" i="75"/>
  <c r="AO30" i="66"/>
  <c r="K29" i="75" s="1"/>
  <c r="K23" i="75"/>
  <c r="AI46" i="66"/>
  <c r="E45" i="75" s="1"/>
  <c r="E23" i="75"/>
  <c r="AH60" i="37"/>
  <c r="AH95" i="57"/>
  <c r="AH96" i="65"/>
  <c r="AH97" i="51"/>
  <c r="AH97" i="52"/>
  <c r="AH94" i="59"/>
  <c r="AU26" i="65"/>
  <c r="AD17" i="75"/>
  <c r="AF17" i="75" s="1"/>
  <c r="M75" i="63"/>
  <c r="M81" i="63" s="1"/>
  <c r="AU25" i="66"/>
  <c r="U17" i="75"/>
  <c r="AR47" i="66"/>
  <c r="N24" i="75"/>
  <c r="AO31" i="66"/>
  <c r="K24" i="75"/>
  <c r="AL47" i="66"/>
  <c r="H24" i="75"/>
  <c r="AI31" i="66"/>
  <c r="E24" i="75"/>
  <c r="O53" i="59"/>
  <c r="M76" i="57"/>
  <c r="M82" i="57" s="1"/>
  <c r="AC54" i="63"/>
  <c r="AC76" i="60"/>
  <c r="AC82" i="60" s="1"/>
  <c r="M53" i="59"/>
  <c r="O54" i="60"/>
  <c r="X53" i="59"/>
  <c r="Q54" i="66"/>
  <c r="AI76" i="63"/>
  <c r="AI82" i="63" s="1"/>
  <c r="AS53" i="59"/>
  <c r="AQ76" i="60"/>
  <c r="AQ82" i="60" s="1"/>
  <c r="Z76" i="60"/>
  <c r="Z82" i="60" s="1"/>
  <c r="Y76" i="63"/>
  <c r="Y82" i="63" s="1"/>
  <c r="W75" i="59"/>
  <c r="W81" i="59" s="1"/>
  <c r="AQ54" i="63"/>
  <c r="N53" i="59"/>
  <c r="AL54" i="63"/>
  <c r="S76" i="60"/>
  <c r="S82" i="60" s="1"/>
  <c r="AK76" i="63"/>
  <c r="AK82" i="63" s="1"/>
  <c r="AM54" i="60"/>
  <c r="AN76" i="60"/>
  <c r="AN82" i="60" s="1"/>
  <c r="Q54" i="61"/>
  <c r="AD54" i="60"/>
  <c r="AM76" i="63"/>
  <c r="AM82" i="63" s="1"/>
  <c r="M76" i="63"/>
  <c r="M82" i="63" s="1"/>
  <c r="U76" i="60"/>
  <c r="U82" i="60" s="1"/>
  <c r="U76" i="63"/>
  <c r="U82" i="63" s="1"/>
  <c r="AN76" i="63"/>
  <c r="AN82" i="63" s="1"/>
  <c r="Z76" i="63"/>
  <c r="Z82" i="63" s="1"/>
  <c r="AO76" i="63"/>
  <c r="AO82" i="63" s="1"/>
  <c r="V76" i="63"/>
  <c r="V82" i="63" s="1"/>
  <c r="AJ76" i="63"/>
  <c r="AJ82" i="63" s="1"/>
  <c r="T76" i="60"/>
  <c r="T82" i="60" s="1"/>
  <c r="W97" i="32"/>
  <c r="T60" i="68"/>
  <c r="T59" i="68"/>
  <c r="T66" i="68"/>
  <c r="W97" i="51" s="1"/>
  <c r="T62" i="68"/>
  <c r="T58" i="68"/>
  <c r="T70" i="68"/>
  <c r="W96" i="65" s="1"/>
  <c r="W98" i="65" s="1"/>
  <c r="T65" i="68"/>
  <c r="T61" i="68"/>
  <c r="W95" i="57" s="1"/>
  <c r="W97" i="57" s="1"/>
  <c r="T69" i="68"/>
  <c r="W60" i="37" s="1"/>
  <c r="T68" i="68"/>
  <c r="W97" i="66" s="1"/>
  <c r="W99" i="66" s="1"/>
  <c r="T64" i="68"/>
  <c r="W94" i="59" s="1"/>
  <c r="W96" i="59" s="1"/>
  <c r="AH95" i="61"/>
  <c r="AH75" i="61"/>
  <c r="AH81" i="61" s="1"/>
  <c r="AC97" i="32"/>
  <c r="Z70" i="68"/>
  <c r="AC96" i="65" s="1"/>
  <c r="AC98" i="65" s="1"/>
  <c r="Z69" i="68"/>
  <c r="AC60" i="37" s="1"/>
  <c r="Z68" i="68"/>
  <c r="AC97" i="66" s="1"/>
  <c r="AC99" i="66" s="1"/>
  <c r="Z66" i="68"/>
  <c r="AC97" i="51" s="1"/>
  <c r="AC99" i="51" s="1"/>
  <c r="Z65" i="68"/>
  <c r="Z64" i="68"/>
  <c r="AC94" i="59" s="1"/>
  <c r="AC96" i="59" s="1"/>
  <c r="Z62" i="68"/>
  <c r="Z61" i="68"/>
  <c r="AC95" i="57" s="1"/>
  <c r="AC97" i="57" s="1"/>
  <c r="Z60" i="68"/>
  <c r="Z59" i="68"/>
  <c r="Z58" i="68"/>
  <c r="S96" i="63"/>
  <c r="S93" i="62"/>
  <c r="X97" i="32"/>
  <c r="U70" i="68"/>
  <c r="X96" i="65" s="1"/>
  <c r="X98" i="65" s="1"/>
  <c r="U69" i="68"/>
  <c r="X60" i="37" s="1"/>
  <c r="U68" i="68"/>
  <c r="X97" i="66" s="1"/>
  <c r="X99" i="66" s="1"/>
  <c r="U66" i="68"/>
  <c r="X97" i="51" s="1"/>
  <c r="X99" i="51" s="1"/>
  <c r="U65" i="68"/>
  <c r="U64" i="68"/>
  <c r="X94" i="59" s="1"/>
  <c r="X96" i="59" s="1"/>
  <c r="U62" i="68"/>
  <c r="U61" i="68"/>
  <c r="X95" i="57" s="1"/>
  <c r="X97" i="57" s="1"/>
  <c r="U60" i="68"/>
  <c r="U59" i="68"/>
  <c r="U58" i="68"/>
  <c r="AI97" i="57"/>
  <c r="AI96" i="63"/>
  <c r="AI98" i="63" s="1"/>
  <c r="AI93" i="62"/>
  <c r="AI95" i="62" s="1"/>
  <c r="Y97" i="32"/>
  <c r="V70" i="68"/>
  <c r="Y96" i="65" s="1"/>
  <c r="Y98" i="65" s="1"/>
  <c r="V69" i="68"/>
  <c r="Y60" i="37" s="1"/>
  <c r="V68" i="68"/>
  <c r="Y97" i="66" s="1"/>
  <c r="Y99" i="66" s="1"/>
  <c r="V66" i="68"/>
  <c r="Y97" i="51" s="1"/>
  <c r="Y99" i="51" s="1"/>
  <c r="V65" i="68"/>
  <c r="V64" i="68"/>
  <c r="Y94" i="59" s="1"/>
  <c r="Y96" i="59" s="1"/>
  <c r="V62" i="68"/>
  <c r="V61" i="68"/>
  <c r="Y95" i="57" s="1"/>
  <c r="Y97" i="57" s="1"/>
  <c r="V60" i="68"/>
  <c r="V59" i="68"/>
  <c r="Y93" i="62" s="1"/>
  <c r="V58" i="68"/>
  <c r="AH95" i="60"/>
  <c r="AD97" i="32"/>
  <c r="AA70" i="68"/>
  <c r="AD96" i="65" s="1"/>
  <c r="AD98" i="65" s="1"/>
  <c r="AA69" i="68"/>
  <c r="AD60" i="37" s="1"/>
  <c r="AA68" i="68"/>
  <c r="AD97" i="66" s="1"/>
  <c r="AD99" i="66" s="1"/>
  <c r="AA66" i="68"/>
  <c r="AD97" i="51" s="1"/>
  <c r="AD99" i="51" s="1"/>
  <c r="AA65" i="68"/>
  <c r="AA64" i="68"/>
  <c r="AD94" i="59" s="1"/>
  <c r="AD96" i="59" s="1"/>
  <c r="AA62" i="68"/>
  <c r="AA61" i="68"/>
  <c r="AD95" i="57" s="1"/>
  <c r="AD97" i="57" s="1"/>
  <c r="AA60" i="68"/>
  <c r="AA59" i="68"/>
  <c r="AA58" i="68"/>
  <c r="AI95" i="60"/>
  <c r="AI97" i="60" s="1"/>
  <c r="T97" i="32"/>
  <c r="Q70" i="68"/>
  <c r="Q69" i="68"/>
  <c r="Q68" i="68"/>
  <c r="Q66" i="68"/>
  <c r="Q65" i="68"/>
  <c r="Q64" i="68"/>
  <c r="Q62" i="68"/>
  <c r="Q61" i="68"/>
  <c r="Q60" i="68"/>
  <c r="Q59" i="68"/>
  <c r="Q58" i="68"/>
  <c r="Z97" i="32"/>
  <c r="W69" i="68"/>
  <c r="Z60" i="37" s="1"/>
  <c r="W60" i="68"/>
  <c r="W68" i="68"/>
  <c r="Z97" i="66" s="1"/>
  <c r="Z99" i="66" s="1"/>
  <c r="W61" i="68"/>
  <c r="Z95" i="57" s="1"/>
  <c r="Z97" i="57" s="1"/>
  <c r="W66" i="68"/>
  <c r="Z97" i="51" s="1"/>
  <c r="Z99" i="51" s="1"/>
  <c r="W64" i="68"/>
  <c r="Z94" i="59" s="1"/>
  <c r="Z96" i="59" s="1"/>
  <c r="W59" i="68"/>
  <c r="W65" i="68"/>
  <c r="W58" i="68"/>
  <c r="W70" i="68"/>
  <c r="Z96" i="65" s="1"/>
  <c r="Z98" i="65" s="1"/>
  <c r="W62" i="68"/>
  <c r="S95" i="61"/>
  <c r="P71" i="68"/>
  <c r="S97" i="52"/>
  <c r="S99" i="52" s="1"/>
  <c r="U97" i="32"/>
  <c r="R70" i="68"/>
  <c r="U96" i="65" s="1"/>
  <c r="U98" i="65" s="1"/>
  <c r="R69" i="68"/>
  <c r="U60" i="37" s="1"/>
  <c r="R68" i="68"/>
  <c r="U97" i="66" s="1"/>
  <c r="U99" i="66" s="1"/>
  <c r="R66" i="68"/>
  <c r="U97" i="51" s="1"/>
  <c r="R65" i="68"/>
  <c r="R64" i="68"/>
  <c r="U94" i="59" s="1"/>
  <c r="U96" i="59" s="1"/>
  <c r="R62" i="68"/>
  <c r="R61" i="68"/>
  <c r="U95" i="57" s="1"/>
  <c r="U97" i="57" s="1"/>
  <c r="R60" i="68"/>
  <c r="R59" i="68"/>
  <c r="R58" i="68"/>
  <c r="S95" i="60"/>
  <c r="AA97" i="32"/>
  <c r="X61" i="68"/>
  <c r="AA95" i="57" s="1"/>
  <c r="AA97" i="57" s="1"/>
  <c r="X58" i="68"/>
  <c r="X64" i="68"/>
  <c r="AA94" i="59" s="1"/>
  <c r="AA96" i="59" s="1"/>
  <c r="X60" i="68"/>
  <c r="X70" i="68"/>
  <c r="AA96" i="65" s="1"/>
  <c r="AA98" i="65" s="1"/>
  <c r="X69" i="68"/>
  <c r="AA60" i="37" s="1"/>
  <c r="X68" i="68"/>
  <c r="AA97" i="66" s="1"/>
  <c r="AA99" i="66" s="1"/>
  <c r="X66" i="68"/>
  <c r="AA97" i="51" s="1"/>
  <c r="AA99" i="51" s="1"/>
  <c r="X65" i="68"/>
  <c r="X62" i="68"/>
  <c r="X59" i="68"/>
  <c r="AI95" i="61"/>
  <c r="AI97" i="61" s="1"/>
  <c r="AI75" i="61"/>
  <c r="AI81" i="61" s="1"/>
  <c r="S99" i="66"/>
  <c r="V97" i="32"/>
  <c r="S70" i="68"/>
  <c r="V96" i="65" s="1"/>
  <c r="V98" i="65" s="1"/>
  <c r="S69" i="68"/>
  <c r="V60" i="37" s="1"/>
  <c r="S68" i="68"/>
  <c r="V97" i="66" s="1"/>
  <c r="V99" i="66" s="1"/>
  <c r="S66" i="68"/>
  <c r="V97" i="51" s="1"/>
  <c r="V99" i="51" s="1"/>
  <c r="S65" i="68"/>
  <c r="S64" i="68"/>
  <c r="V94" i="59" s="1"/>
  <c r="V96" i="59" s="1"/>
  <c r="S62" i="68"/>
  <c r="S61" i="68"/>
  <c r="V95" i="57" s="1"/>
  <c r="S60" i="68"/>
  <c r="S59" i="68"/>
  <c r="S58" i="68"/>
  <c r="AB97" i="32"/>
  <c r="Y62" i="68"/>
  <c r="Y60" i="68"/>
  <c r="Y70" i="68"/>
  <c r="AB96" i="65" s="1"/>
  <c r="AB98" i="65" s="1"/>
  <c r="Y69" i="68"/>
  <c r="AB60" i="37" s="1"/>
  <c r="Y68" i="68"/>
  <c r="AB97" i="66" s="1"/>
  <c r="AB99" i="66" s="1"/>
  <c r="Y66" i="68"/>
  <c r="AB97" i="51" s="1"/>
  <c r="AB99" i="51" s="1"/>
  <c r="Y65" i="68"/>
  <c r="Y64" i="68"/>
  <c r="AB94" i="59" s="1"/>
  <c r="AB96" i="59" s="1"/>
  <c r="Y61" i="68"/>
  <c r="AB95" i="57" s="1"/>
  <c r="AB97" i="57" s="1"/>
  <c r="Y59" i="68"/>
  <c r="Y58" i="68"/>
  <c r="AH96" i="63"/>
  <c r="AH93" i="62"/>
  <c r="Y18" i="32"/>
  <c r="AD18" i="32"/>
  <c r="Z18" i="32"/>
  <c r="X18" i="32"/>
  <c r="AR18" i="32"/>
  <c r="AH97" i="66"/>
  <c r="AE71" i="68"/>
  <c r="AI96" i="59"/>
  <c r="AD71" i="68"/>
  <c r="AI97" i="66"/>
  <c r="AI99" i="66" s="1"/>
  <c r="AH97" i="57"/>
  <c r="AF59" i="68"/>
  <c r="AF69" i="68"/>
  <c r="AJ60" i="37" s="1"/>
  <c r="AF68" i="68"/>
  <c r="AF66" i="68"/>
  <c r="AJ97" i="51" s="1"/>
  <c r="AJ99" i="51" s="1"/>
  <c r="AF65" i="68"/>
  <c r="AF64" i="68"/>
  <c r="AJ94" i="59" s="1"/>
  <c r="AF62" i="68"/>
  <c r="AJ97" i="52" s="1"/>
  <c r="AF61" i="68"/>
  <c r="AJ95" i="57" s="1"/>
  <c r="AF60" i="68"/>
  <c r="AF58" i="68"/>
  <c r="AF70" i="68"/>
  <c r="AJ96" i="65" s="1"/>
  <c r="AP46" i="66"/>
  <c r="AP74" i="66" s="1"/>
  <c r="AP80" i="66" s="1"/>
  <c r="AS18" i="32"/>
  <c r="N46" i="66"/>
  <c r="N52" i="66" s="1"/>
  <c r="AR30" i="66"/>
  <c r="N29" i="75" s="1"/>
  <c r="AI30" i="66"/>
  <c r="E29" i="75" s="1"/>
  <c r="AO46" i="66"/>
  <c r="AO76" i="60"/>
  <c r="AO82" i="60" s="1"/>
  <c r="W76" i="60"/>
  <c r="W82" i="60" s="1"/>
  <c r="AN40" i="32"/>
  <c r="AL54" i="60"/>
  <c r="AK76" i="60"/>
  <c r="AK82" i="60" s="1"/>
  <c r="W59" i="66"/>
  <c r="AH46" i="66"/>
  <c r="AH74" i="66" s="1"/>
  <c r="AH80" i="66" s="1"/>
  <c r="AJ46" i="66"/>
  <c r="AJ52" i="66" s="1"/>
  <c r="AL46" i="66"/>
  <c r="AJ40" i="32"/>
  <c r="AK40" i="32"/>
  <c r="AB3" i="68"/>
  <c r="J42" i="56"/>
  <c r="E3" i="68"/>
  <c r="AD47" i="66"/>
  <c r="AL31" i="66"/>
  <c r="AI47" i="66"/>
  <c r="AH47" i="66"/>
  <c r="AH75" i="66" s="1"/>
  <c r="AH81" i="66" s="1"/>
  <c r="AP18" i="32"/>
  <c r="Y31" i="66"/>
  <c r="AS47" i="66"/>
  <c r="AS53" i="66" s="1"/>
  <c r="AP47" i="66"/>
  <c r="V31" i="66"/>
  <c r="X47" i="66"/>
  <c r="X53" i="66" s="1"/>
  <c r="AJ18" i="32"/>
  <c r="AN31" i="66"/>
  <c r="AH40" i="32"/>
  <c r="AO47" i="66"/>
  <c r="AM40" i="32"/>
  <c r="W47" i="66"/>
  <c r="AQ18" i="32"/>
  <c r="AM31" i="66"/>
  <c r="AR31" i="66"/>
  <c r="AM18" i="32"/>
  <c r="AO40" i="32"/>
  <c r="AI18" i="32"/>
  <c r="AS40" i="32"/>
  <c r="W40" i="32"/>
  <c r="AL40" i="32"/>
  <c r="AH18" i="32"/>
  <c r="AP40" i="32"/>
  <c r="AR40" i="32"/>
  <c r="AI40" i="32"/>
  <c r="AQ40" i="32"/>
  <c r="AL18" i="32"/>
  <c r="AQ47" i="66"/>
  <c r="AQ53" i="66" s="1"/>
  <c r="AO18" i="32"/>
  <c r="AK18" i="32"/>
  <c r="AN18" i="32"/>
  <c r="Y40" i="32"/>
  <c r="Z47" i="66"/>
  <c r="Z53" i="66" s="1"/>
  <c r="AD40" i="32"/>
  <c r="W18" i="32"/>
  <c r="V40" i="32"/>
  <c r="X40" i="32"/>
  <c r="V18" i="32"/>
  <c r="Z40" i="32"/>
  <c r="AM51" i="59"/>
  <c r="O46" i="66"/>
  <c r="O52" i="66" s="1"/>
  <c r="M46" i="66"/>
  <c r="M52" i="66" s="1"/>
  <c r="O47" i="66"/>
  <c r="N47" i="66"/>
  <c r="N53" i="66" s="1"/>
  <c r="M47" i="66"/>
  <c r="AF54" i="57"/>
  <c r="AU76" i="57"/>
  <c r="AU82" i="57" s="1"/>
  <c r="L76" i="57"/>
  <c r="L82" i="57" s="1"/>
  <c r="L54" i="57"/>
  <c r="AR53" i="61"/>
  <c r="V76" i="60"/>
  <c r="V82" i="60" s="1"/>
  <c r="V54" i="60"/>
  <c r="AR76" i="60"/>
  <c r="AR82" i="60" s="1"/>
  <c r="AR54" i="60"/>
  <c r="AI54" i="60"/>
  <c r="AH76" i="60"/>
  <c r="AH82" i="60" s="1"/>
  <c r="AA54" i="60"/>
  <c r="AA76" i="60"/>
  <c r="AA82" i="60" s="1"/>
  <c r="AP76" i="60"/>
  <c r="AP82" i="60" s="1"/>
  <c r="X76" i="60"/>
  <c r="X82" i="60" s="1"/>
  <c r="X54" i="60"/>
  <c r="AI54" i="61"/>
  <c r="AI76" i="61"/>
  <c r="AI82" i="61" s="1"/>
  <c r="T53" i="62"/>
  <c r="Y53" i="62"/>
  <c r="AB54" i="63"/>
  <c r="AA54" i="63"/>
  <c r="W76" i="63"/>
  <c r="W82" i="63" s="1"/>
  <c r="AD54" i="63"/>
  <c r="AD76" i="63"/>
  <c r="AD82" i="63" s="1"/>
  <c r="AI76" i="65"/>
  <c r="AI82" i="65" s="1"/>
  <c r="AI31" i="63"/>
  <c r="AH31" i="61"/>
  <c r="X31" i="61"/>
  <c r="W46" i="62"/>
  <c r="Y47" i="61"/>
  <c r="Y53" i="61" s="1"/>
  <c r="V47" i="63"/>
  <c r="V53" i="63" s="1"/>
  <c r="AJ30" i="59"/>
  <c r="V47" i="60"/>
  <c r="V53" i="60" s="1"/>
  <c r="Z52" i="59"/>
  <c r="AO52" i="59"/>
  <c r="AN30" i="59"/>
  <c r="AM31" i="60"/>
  <c r="AI46" i="59"/>
  <c r="AI74" i="59" s="1"/>
  <c r="AI80" i="59" s="1"/>
  <c r="O30" i="59"/>
  <c r="AK30" i="59"/>
  <c r="W46" i="59"/>
  <c r="L30" i="59"/>
  <c r="M52" i="59"/>
  <c r="M47" i="60"/>
  <c r="L52" i="59"/>
  <c r="AN46" i="66"/>
  <c r="AQ30" i="66"/>
  <c r="Q47" i="66"/>
  <c r="AK47" i="66"/>
  <c r="AU54" i="66"/>
  <c r="Q53" i="75" s="1"/>
  <c r="AU76" i="66"/>
  <c r="AU82" i="66" s="1"/>
  <c r="Q30" i="66"/>
  <c r="Y53" i="66"/>
  <c r="AQ52" i="66"/>
  <c r="AQ74" i="66"/>
  <c r="AQ80" i="66" s="1"/>
  <c r="AK74" i="66"/>
  <c r="AK80" i="66" s="1"/>
  <c r="AK52" i="66"/>
  <c r="AJ47" i="66"/>
  <c r="AJ31" i="66"/>
  <c r="AM53" i="66"/>
  <c r="V53" i="66"/>
  <c r="AN53" i="66"/>
  <c r="AS74" i="66"/>
  <c r="AS80" i="66" s="1"/>
  <c r="AS52" i="66"/>
  <c r="AM46" i="66"/>
  <c r="AM30" i="66"/>
  <c r="AF54" i="66"/>
  <c r="B53" i="75" s="1"/>
  <c r="AF76" i="66"/>
  <c r="AF82" i="66" s="1"/>
  <c r="AQ48" i="65"/>
  <c r="AQ54" i="65" s="1"/>
  <c r="AS48" i="65"/>
  <c r="AS54" i="65" s="1"/>
  <c r="Q48" i="65"/>
  <c r="Z48" i="65"/>
  <c r="Z54" i="65" s="1"/>
  <c r="AU77" i="65"/>
  <c r="AF77" i="65"/>
  <c r="AR48" i="65"/>
  <c r="AR54" i="65" s="1"/>
  <c r="W48" i="65"/>
  <c r="W54" i="65" s="1"/>
  <c r="AH76" i="65"/>
  <c r="AH82" i="65" s="1"/>
  <c r="Q77" i="65"/>
  <c r="L75" i="63"/>
  <c r="L81" i="63" s="1"/>
  <c r="X53" i="63"/>
  <c r="N53" i="63"/>
  <c r="Q47" i="63"/>
  <c r="Q53" i="63" s="1"/>
  <c r="AU47" i="63"/>
  <c r="N30" i="62"/>
  <c r="AR53" i="63"/>
  <c r="AM53" i="63"/>
  <c r="AQ53" i="63"/>
  <c r="Y47" i="63"/>
  <c r="Y31" i="63"/>
  <c r="AD53" i="63"/>
  <c r="L52" i="63"/>
  <c r="L74" i="63"/>
  <c r="L80" i="63" s="1"/>
  <c r="O47" i="63"/>
  <c r="O31" i="63"/>
  <c r="S54" i="63"/>
  <c r="S76" i="63"/>
  <c r="S82" i="63" s="1"/>
  <c r="AF54" i="63"/>
  <c r="AF76" i="63"/>
  <c r="AF82" i="63" s="1"/>
  <c r="AS53" i="63"/>
  <c r="AU54" i="63"/>
  <c r="AU76" i="63"/>
  <c r="AU82" i="63" s="1"/>
  <c r="T53" i="63"/>
  <c r="L76" i="63"/>
  <c r="L82" i="63" s="1"/>
  <c r="L54" i="63"/>
  <c r="Q54" i="63"/>
  <c r="Q76" i="63"/>
  <c r="Q82" i="63" s="1"/>
  <c r="AL53" i="63"/>
  <c r="AH47" i="63"/>
  <c r="AH31" i="63"/>
  <c r="AI53" i="63"/>
  <c r="AB52" i="62"/>
  <c r="AJ52" i="62"/>
  <c r="T53" i="61"/>
  <c r="V53" i="61"/>
  <c r="AU30" i="62"/>
  <c r="AU46" i="62"/>
  <c r="AU53" i="62"/>
  <c r="AU74" i="62"/>
  <c r="AU80" i="62" s="1"/>
  <c r="Q46" i="62"/>
  <c r="Q30" i="62"/>
  <c r="AU45" i="62"/>
  <c r="AU29" i="62"/>
  <c r="AR52" i="62"/>
  <c r="M52" i="62"/>
  <c r="M73" i="62"/>
  <c r="M79" i="62" s="1"/>
  <c r="AS51" i="62"/>
  <c r="AD52" i="62"/>
  <c r="O73" i="62"/>
  <c r="O79" i="62" s="1"/>
  <c r="O52" i="62"/>
  <c r="AQ52" i="62"/>
  <c r="AH52" i="62"/>
  <c r="AJ51" i="62"/>
  <c r="AP51" i="62"/>
  <c r="V52" i="62"/>
  <c r="N73" i="62"/>
  <c r="N79" i="62" s="1"/>
  <c r="N52" i="62"/>
  <c r="AN52" i="62"/>
  <c r="AF30" i="62"/>
  <c r="AF46" i="62"/>
  <c r="Y52" i="62"/>
  <c r="L51" i="62"/>
  <c r="L72" i="62"/>
  <c r="L78" i="62" s="1"/>
  <c r="AK51" i="62"/>
  <c r="T52" i="62"/>
  <c r="AA52" i="62"/>
  <c r="U52" i="62"/>
  <c r="AC52" i="62"/>
  <c r="X52" i="62"/>
  <c r="AO51" i="62"/>
  <c r="AF53" i="62"/>
  <c r="AF74" i="62"/>
  <c r="AF80" i="62" s="1"/>
  <c r="AN51" i="62"/>
  <c r="AO52" i="62"/>
  <c r="AM51" i="62"/>
  <c r="AI52" i="62"/>
  <c r="S52" i="62"/>
  <c r="AS52" i="62"/>
  <c r="AH51" i="62"/>
  <c r="AI51" i="62"/>
  <c r="Q47" i="61"/>
  <c r="Q75" i="61" s="1"/>
  <c r="Q81" i="61" s="1"/>
  <c r="L30" i="62"/>
  <c r="L46" i="62"/>
  <c r="AM52" i="62"/>
  <c r="Z52" i="62"/>
  <c r="AL51" i="62"/>
  <c r="Q53" i="62"/>
  <c r="Q74" i="62"/>
  <c r="Q80" i="62" s="1"/>
  <c r="AP52" i="62"/>
  <c r="Q31" i="61"/>
  <c r="X53" i="60"/>
  <c r="L30" i="61"/>
  <c r="AJ47" i="61"/>
  <c r="AJ31" i="61"/>
  <c r="AH53" i="61"/>
  <c r="AU31" i="61"/>
  <c r="AU47" i="61"/>
  <c r="W53" i="61"/>
  <c r="AO53" i="61"/>
  <c r="AN53" i="61"/>
  <c r="X53" i="61"/>
  <c r="AD53" i="61"/>
  <c r="AL53" i="61"/>
  <c r="AM53" i="61"/>
  <c r="AI53" i="61"/>
  <c r="O53" i="61"/>
  <c r="O75" i="61"/>
  <c r="O81" i="61" s="1"/>
  <c r="N75" i="61"/>
  <c r="N81" i="61" s="1"/>
  <c r="N53" i="61"/>
  <c r="L74" i="61"/>
  <c r="L80" i="61" s="1"/>
  <c r="L52" i="61"/>
  <c r="AU54" i="61"/>
  <c r="AU76" i="61"/>
  <c r="AU82" i="61" s="1"/>
  <c r="AK53" i="61"/>
  <c r="M53" i="61"/>
  <c r="M75" i="61"/>
  <c r="M81" i="61" s="1"/>
  <c r="AS53" i="61"/>
  <c r="AF54" i="61"/>
  <c r="AF76" i="61"/>
  <c r="AF82" i="61" s="1"/>
  <c r="L31" i="61"/>
  <c r="L47" i="61"/>
  <c r="AQ46" i="59"/>
  <c r="AQ52" i="59" s="1"/>
  <c r="AD52" i="59"/>
  <c r="W53" i="60"/>
  <c r="AP46" i="59"/>
  <c r="AP52" i="59" s="1"/>
  <c r="AU31" i="60"/>
  <c r="AU47" i="60"/>
  <c r="AU76" i="60"/>
  <c r="AU82" i="60" s="1"/>
  <c r="AU54" i="60"/>
  <c r="AN53" i="60"/>
  <c r="N53" i="60"/>
  <c r="O53" i="60"/>
  <c r="AO53" i="60"/>
  <c r="AL47" i="60"/>
  <c r="AL31" i="60"/>
  <c r="AI53" i="60"/>
  <c r="Q47" i="60"/>
  <c r="Q31" i="60"/>
  <c r="AF76" i="60"/>
  <c r="AF82" i="60" s="1"/>
  <c r="AF54" i="60"/>
  <c r="Z31" i="60"/>
  <c r="Z47" i="60"/>
  <c r="L76" i="60"/>
  <c r="L82" i="60" s="1"/>
  <c r="L54" i="60"/>
  <c r="AM53" i="60"/>
  <c r="AK53" i="60"/>
  <c r="AJ53" i="60"/>
  <c r="L53" i="60"/>
  <c r="L75" i="60"/>
  <c r="L81" i="60" s="1"/>
  <c r="AQ53" i="60"/>
  <c r="Y54" i="60"/>
  <c r="Y76" i="60"/>
  <c r="Y82" i="60" s="1"/>
  <c r="AP53" i="60"/>
  <c r="AH53" i="60"/>
  <c r="Q54" i="60"/>
  <c r="Q76" i="60"/>
  <c r="Q82" i="60" s="1"/>
  <c r="AR53" i="57"/>
  <c r="N30" i="59"/>
  <c r="Y75" i="57"/>
  <c r="Y81" i="57" s="1"/>
  <c r="AK47" i="57"/>
  <c r="AK53" i="57" s="1"/>
  <c r="AL46" i="59"/>
  <c r="AU53" i="59"/>
  <c r="AU75" i="59"/>
  <c r="AU81" i="59" s="1"/>
  <c r="AH46" i="59"/>
  <c r="AH30" i="59"/>
  <c r="AU30" i="59"/>
  <c r="AU46" i="59"/>
  <c r="L45" i="59"/>
  <c r="L29" i="59"/>
  <c r="AU45" i="59"/>
  <c r="AU29" i="59"/>
  <c r="AF53" i="59"/>
  <c r="AF75" i="59"/>
  <c r="AF81" i="59" s="1"/>
  <c r="AK52" i="59"/>
  <c r="AK29" i="59"/>
  <c r="AK45" i="59"/>
  <c r="AO51" i="59"/>
  <c r="V52" i="59"/>
  <c r="AM52" i="59"/>
  <c r="Q46" i="59"/>
  <c r="Q30" i="59"/>
  <c r="AQ51" i="59"/>
  <c r="Q53" i="59"/>
  <c r="Q75" i="59"/>
  <c r="Q81" i="59" s="1"/>
  <c r="AN51" i="59"/>
  <c r="AN52" i="59"/>
  <c r="O52" i="59"/>
  <c r="AS51" i="59"/>
  <c r="AR51" i="59"/>
  <c r="AJ52" i="59"/>
  <c r="X52" i="59"/>
  <c r="AJ45" i="59"/>
  <c r="AJ29" i="59"/>
  <c r="AI51" i="59"/>
  <c r="AH51" i="59"/>
  <c r="L75" i="59"/>
  <c r="L81" i="59" s="1"/>
  <c r="L53" i="59"/>
  <c r="N52" i="59"/>
  <c r="AL51" i="59"/>
  <c r="AR52" i="59"/>
  <c r="Y52" i="59"/>
  <c r="AQ53" i="57"/>
  <c r="X53" i="57"/>
  <c r="AJ53" i="57"/>
  <c r="AL47" i="57"/>
  <c r="AL53" i="57" s="1"/>
  <c r="AM47" i="57"/>
  <c r="AM75" i="57" s="1"/>
  <c r="AM81" i="57" s="1"/>
  <c r="N47" i="57"/>
  <c r="N75" i="57" s="1"/>
  <c r="N81" i="57" s="1"/>
  <c r="V53" i="57"/>
  <c r="AU47" i="57"/>
  <c r="AU75" i="57" s="1"/>
  <c r="AU81" i="57" s="1"/>
  <c r="AS75" i="57"/>
  <c r="AS81" i="57" s="1"/>
  <c r="O53" i="57"/>
  <c r="AD75" i="57"/>
  <c r="AD81" i="57" s="1"/>
  <c r="T47" i="57"/>
  <c r="T53" i="57" s="1"/>
  <c r="Z53" i="57"/>
  <c r="AP47" i="57"/>
  <c r="AH53" i="57"/>
  <c r="AO47" i="57"/>
  <c r="AO53" i="57" s="1"/>
  <c r="AN47" i="57"/>
  <c r="W53" i="57"/>
  <c r="Q47" i="57"/>
  <c r="Q53" i="57" s="1"/>
  <c r="L47" i="57"/>
  <c r="L53" i="57" s="1"/>
  <c r="L30" i="57"/>
  <c r="L46" i="57"/>
  <c r="AI53" i="57"/>
  <c r="M75" i="57"/>
  <c r="M81" i="57" s="1"/>
  <c r="Q76" i="57"/>
  <c r="Q82" i="57" s="1"/>
  <c r="Q54" i="57"/>
  <c r="AR25" i="52"/>
  <c r="AQ25" i="52"/>
  <c r="AQ31" i="52" s="1"/>
  <c r="AP25" i="52"/>
  <c r="AO25" i="52"/>
  <c r="AO31" i="52" s="1"/>
  <c r="AN25" i="52"/>
  <c r="AN31" i="52" s="1"/>
  <c r="AM25" i="52"/>
  <c r="AM31" i="52" s="1"/>
  <c r="AJ25" i="52"/>
  <c r="AI25" i="52"/>
  <c r="AD25" i="52"/>
  <c r="Z25" i="52"/>
  <c r="Z31" i="52" s="1"/>
  <c r="Y25" i="52"/>
  <c r="Y31" i="52" s="1"/>
  <c r="V25" i="52"/>
  <c r="V31" i="52" s="1"/>
  <c r="T25" i="52"/>
  <c r="O25" i="52"/>
  <c r="O31" i="52" s="1"/>
  <c r="N25" i="52"/>
  <c r="N31" i="52" s="1"/>
  <c r="M25" i="52"/>
  <c r="AS25" i="51"/>
  <c r="AR25" i="51"/>
  <c r="AR47" i="51" s="1"/>
  <c r="AQ25" i="51"/>
  <c r="AP25" i="51"/>
  <c r="AP31" i="51" s="1"/>
  <c r="AO25" i="51"/>
  <c r="AO31" i="51" s="1"/>
  <c r="AL25" i="51"/>
  <c r="AJ25" i="51"/>
  <c r="AJ31" i="51" s="1"/>
  <c r="AI25" i="51"/>
  <c r="AH25" i="51"/>
  <c r="AD25" i="51"/>
  <c r="AD47" i="51" s="1"/>
  <c r="AD53" i="51" s="1"/>
  <c r="Z25" i="51"/>
  <c r="Z31" i="51" s="1"/>
  <c r="Y25" i="51"/>
  <c r="Y47" i="51" s="1"/>
  <c r="X25" i="51"/>
  <c r="X47" i="51" s="1"/>
  <c r="W25" i="51"/>
  <c r="V25" i="51"/>
  <c r="V47" i="51" s="1"/>
  <c r="O25" i="51"/>
  <c r="N25" i="51"/>
  <c r="M25" i="51"/>
  <c r="AF100" i="35"/>
  <c r="AE100" i="35"/>
  <c r="AP80" i="35"/>
  <c r="AP82" i="35" s="1"/>
  <c r="AP71" i="35" s="1"/>
  <c r="AO80" i="35"/>
  <c r="AO82" i="35" s="1"/>
  <c r="AO71" i="35" s="1"/>
  <c r="AN80" i="35"/>
  <c r="AN82" i="35" s="1"/>
  <c r="AN71" i="35" s="1"/>
  <c r="AM80" i="35"/>
  <c r="AM82" i="35" s="1"/>
  <c r="AM71" i="35" s="1"/>
  <c r="AL80" i="35"/>
  <c r="AL82" i="35" s="1"/>
  <c r="AL71" i="35" s="1"/>
  <c r="AK80" i="35"/>
  <c r="AK82" i="35" s="1"/>
  <c r="AK71" i="35" s="1"/>
  <c r="AJ80" i="35"/>
  <c r="AJ82" i="35" s="1"/>
  <c r="AJ71" i="35" s="1"/>
  <c r="AI80" i="35"/>
  <c r="AI82" i="35" s="1"/>
  <c r="AI71" i="35" s="1"/>
  <c r="AH80" i="35"/>
  <c r="AH82" i="35" s="1"/>
  <c r="AH71" i="35" s="1"/>
  <c r="AG80" i="35"/>
  <c r="AG82" i="35" s="1"/>
  <c r="AG71" i="35" s="1"/>
  <c r="AP70" i="35"/>
  <c r="AO70" i="35"/>
  <c r="AN70" i="35"/>
  <c r="AN75" i="35" s="1"/>
  <c r="AM70" i="35"/>
  <c r="AM75" i="35" s="1"/>
  <c r="AL70" i="35"/>
  <c r="AL75" i="35" s="1"/>
  <c r="AK70" i="35"/>
  <c r="AK75" i="35" s="1"/>
  <c r="AJ70" i="35"/>
  <c r="AJ75" i="35" s="1"/>
  <c r="AI70" i="35"/>
  <c r="AI75" i="35" s="1"/>
  <c r="AH70" i="35"/>
  <c r="AH75" i="35" s="1"/>
  <c r="AG70" i="35"/>
  <c r="AG75" i="35" s="1"/>
  <c r="AP58" i="35"/>
  <c r="AS69" i="65" s="1"/>
  <c r="AO58" i="35"/>
  <c r="AR69" i="65" s="1"/>
  <c r="AM58" i="35"/>
  <c r="AP69" i="65" s="1"/>
  <c r="AK58" i="35"/>
  <c r="AN69" i="65" s="1"/>
  <c r="AK57" i="35"/>
  <c r="AN67" i="59" s="1"/>
  <c r="AP46" i="35"/>
  <c r="AO46" i="35"/>
  <c r="AN46" i="35"/>
  <c r="AM46" i="35"/>
  <c r="AL46" i="35"/>
  <c r="AK46" i="35"/>
  <c r="AJ46" i="35"/>
  <c r="AI46" i="35"/>
  <c r="AH46" i="35"/>
  <c r="AG46" i="35"/>
  <c r="AF40" i="35"/>
  <c r="AE40" i="35"/>
  <c r="AN58" i="35"/>
  <c r="AQ69" i="65" s="1"/>
  <c r="AL58" i="35"/>
  <c r="AO69" i="65" s="1"/>
  <c r="AJ58" i="35"/>
  <c r="AM69" i="65" s="1"/>
  <c r="AI58" i="35"/>
  <c r="AL69" i="65" s="1"/>
  <c r="AH58" i="35"/>
  <c r="AK69" i="65" s="1"/>
  <c r="AG58" i="35"/>
  <c r="AJ69" i="65" s="1"/>
  <c r="AP57" i="35"/>
  <c r="AS67" i="59" s="1"/>
  <c r="AN57" i="35"/>
  <c r="AQ67" i="59" s="1"/>
  <c r="AM57" i="35"/>
  <c r="AP67" i="59" s="1"/>
  <c r="AL57" i="35"/>
  <c r="AO67" i="59" s="1"/>
  <c r="AJ57" i="35"/>
  <c r="AM67" i="59" s="1"/>
  <c r="AI57" i="35"/>
  <c r="AL67" i="59" s="1"/>
  <c r="AH57" i="35"/>
  <c r="AK67" i="59" s="1"/>
  <c r="AG57" i="35"/>
  <c r="AP40" i="35"/>
  <c r="AO40" i="35"/>
  <c r="AN40" i="35"/>
  <c r="AM40" i="35"/>
  <c r="AL53" i="35"/>
  <c r="AK53" i="35"/>
  <c r="AI40" i="35"/>
  <c r="AH53" i="35"/>
  <c r="AQ3" i="35"/>
  <c r="AB80" i="35"/>
  <c r="AB82" i="35" s="1"/>
  <c r="AB71" i="35" s="1"/>
  <c r="AA80" i="35"/>
  <c r="AA82" i="35" s="1"/>
  <c r="AA71" i="35" s="1"/>
  <c r="Z80" i="35"/>
  <c r="Z82" i="35" s="1"/>
  <c r="Z71" i="35" s="1"/>
  <c r="Y80" i="35"/>
  <c r="Y82" i="35" s="1"/>
  <c r="Y71" i="35" s="1"/>
  <c r="X80" i="35"/>
  <c r="X82" i="35" s="1"/>
  <c r="X71" i="35" s="1"/>
  <c r="W80" i="35"/>
  <c r="W82" i="35" s="1"/>
  <c r="W71" i="35" s="1"/>
  <c r="V80" i="35"/>
  <c r="V82" i="35" s="1"/>
  <c r="V71" i="35" s="1"/>
  <c r="U80" i="35"/>
  <c r="U82" i="35" s="1"/>
  <c r="U71" i="35" s="1"/>
  <c r="T80" i="35"/>
  <c r="S80" i="35"/>
  <c r="AB75" i="35"/>
  <c r="AA75" i="35"/>
  <c r="X75" i="35"/>
  <c r="W75" i="35"/>
  <c r="V75" i="35"/>
  <c r="U75" i="35"/>
  <c r="T75" i="35"/>
  <c r="S75" i="35"/>
  <c r="AB58" i="35"/>
  <c r="AD69" i="65" s="1"/>
  <c r="X58" i="35"/>
  <c r="Z69" i="65" s="1"/>
  <c r="W58" i="35"/>
  <c r="Y69" i="65" s="1"/>
  <c r="V58" i="35"/>
  <c r="X69" i="65" s="1"/>
  <c r="U58" i="35"/>
  <c r="W69" i="65" s="1"/>
  <c r="T58" i="35"/>
  <c r="V69" i="65" s="1"/>
  <c r="AC9" i="57"/>
  <c r="AB9" i="57"/>
  <c r="AA9" i="57"/>
  <c r="U9" i="57"/>
  <c r="S9" i="57"/>
  <c r="AC9" i="61"/>
  <c r="AB9" i="61"/>
  <c r="AA9" i="61"/>
  <c r="U9" i="61"/>
  <c r="S9" i="61"/>
  <c r="AC9" i="63"/>
  <c r="AB9" i="63"/>
  <c r="AA9" i="63"/>
  <c r="U9" i="63"/>
  <c r="S9" i="63"/>
  <c r="AB57" i="35"/>
  <c r="AD67" i="59" s="1"/>
  <c r="X57" i="35"/>
  <c r="Z67" i="59" s="1"/>
  <c r="W57" i="35"/>
  <c r="Y67" i="59" s="1"/>
  <c r="V57" i="35"/>
  <c r="X67" i="59" s="1"/>
  <c r="U57" i="35"/>
  <c r="W67" i="59" s="1"/>
  <c r="AB9" i="60"/>
  <c r="AB9" i="66"/>
  <c r="X22" i="35"/>
  <c r="W22" i="35"/>
  <c r="V22" i="35"/>
  <c r="T22" i="35"/>
  <c r="S22" i="35"/>
  <c r="O3" i="35"/>
  <c r="I25" i="35"/>
  <c r="H26" i="35"/>
  <c r="H27" i="35"/>
  <c r="H28" i="35"/>
  <c r="H29" i="35"/>
  <c r="H30" i="35"/>
  <c r="H31" i="35"/>
  <c r="H32" i="35"/>
  <c r="H33" i="35"/>
  <c r="H34" i="35"/>
  <c r="H35" i="35"/>
  <c r="H36" i="35"/>
  <c r="H37" i="35"/>
  <c r="H38" i="35"/>
  <c r="H25" i="35"/>
  <c r="G26" i="35"/>
  <c r="G27" i="35"/>
  <c r="G28" i="35"/>
  <c r="G29" i="35"/>
  <c r="G30" i="35"/>
  <c r="G31" i="35"/>
  <c r="G32" i="35"/>
  <c r="G33" i="35"/>
  <c r="G34" i="35"/>
  <c r="G35" i="35"/>
  <c r="G36" i="35"/>
  <c r="G37" i="35"/>
  <c r="G38" i="35"/>
  <c r="G25" i="35"/>
  <c r="AQ24" i="51"/>
  <c r="AQ30" i="51" s="1"/>
  <c r="AR24" i="51"/>
  <c r="AS24" i="51"/>
  <c r="AI99" i="52"/>
  <c r="AH99" i="52"/>
  <c r="O99" i="52"/>
  <c r="N99" i="52"/>
  <c r="M99" i="52"/>
  <c r="Q97" i="52"/>
  <c r="AU96" i="52"/>
  <c r="AA94" i="75" s="1"/>
  <c r="Q96" i="52"/>
  <c r="AU95" i="52"/>
  <c r="AA93" i="75" s="1"/>
  <c r="Q95" i="52"/>
  <c r="AU94" i="52"/>
  <c r="AA92" i="75" s="1"/>
  <c r="Q94" i="52"/>
  <c r="AU93" i="52"/>
  <c r="AA91" i="75" s="1"/>
  <c r="Q93" i="52"/>
  <c r="AU92" i="52"/>
  <c r="AA90" i="75" s="1"/>
  <c r="Q92" i="52"/>
  <c r="AU91" i="52"/>
  <c r="AA89" i="75" s="1"/>
  <c r="Q91" i="52"/>
  <c r="AU90" i="52"/>
  <c r="AA88" i="75" s="1"/>
  <c r="Q90" i="52"/>
  <c r="AU89" i="52"/>
  <c r="AA87" i="75" s="1"/>
  <c r="Q89" i="52"/>
  <c r="AU69" i="52"/>
  <c r="AA67" i="75" s="1"/>
  <c r="AF69" i="52"/>
  <c r="H67" i="75" s="1"/>
  <c r="Q69" i="52"/>
  <c r="AU63" i="52"/>
  <c r="AA62" i="75" s="1"/>
  <c r="AF63" i="52"/>
  <c r="H62" i="75" s="1"/>
  <c r="Q63" i="52"/>
  <c r="AU62" i="52"/>
  <c r="AA61" i="75" s="1"/>
  <c r="AF62" i="52"/>
  <c r="H61" i="75" s="1"/>
  <c r="Q62" i="52"/>
  <c r="AU61" i="52"/>
  <c r="AA60" i="75" s="1"/>
  <c r="AF61" i="52"/>
  <c r="H60" i="75" s="1"/>
  <c r="Q61" i="52"/>
  <c r="AU41" i="52"/>
  <c r="AA40" i="75" s="1"/>
  <c r="Q41" i="52"/>
  <c r="AU37" i="52"/>
  <c r="AA36" i="75" s="1"/>
  <c r="AF37" i="52"/>
  <c r="H36" i="75" s="1"/>
  <c r="Q37" i="52"/>
  <c r="AS26" i="52"/>
  <c r="AS32" i="52" s="1"/>
  <c r="AR26" i="52"/>
  <c r="AR48" i="52" s="1"/>
  <c r="AR76" i="52" s="1"/>
  <c r="AR82" i="52" s="1"/>
  <c r="AQ26" i="52"/>
  <c r="AQ48" i="52" s="1"/>
  <c r="AP26" i="52"/>
  <c r="AP48" i="52" s="1"/>
  <c r="AO26" i="52"/>
  <c r="AO48" i="52" s="1"/>
  <c r="AN26" i="52"/>
  <c r="AM26" i="52"/>
  <c r="AL26" i="52"/>
  <c r="AL32" i="52" s="1"/>
  <c r="AK26" i="52"/>
  <c r="AK48" i="52" s="1"/>
  <c r="AK54" i="52" s="1"/>
  <c r="AJ26" i="52"/>
  <c r="AJ48" i="52" s="1"/>
  <c r="AJ54" i="52" s="1"/>
  <c r="AI26" i="52"/>
  <c r="AI48" i="52" s="1"/>
  <c r="AI54" i="52" s="1"/>
  <c r="AH26" i="52"/>
  <c r="AD26" i="52"/>
  <c r="AD48" i="52" s="1"/>
  <c r="AC26" i="52"/>
  <c r="AC48" i="52" s="1"/>
  <c r="AB26" i="52"/>
  <c r="AB48" i="52" s="1"/>
  <c r="AA26" i="52"/>
  <c r="AA32" i="52" s="1"/>
  <c r="Z26" i="52"/>
  <c r="Z32" i="52" s="1"/>
  <c r="Y26" i="52"/>
  <c r="X26" i="52"/>
  <c r="X32" i="52" s="1"/>
  <c r="W26" i="52"/>
  <c r="W48" i="52" s="1"/>
  <c r="V26" i="52"/>
  <c r="V48" i="52" s="1"/>
  <c r="U26" i="52"/>
  <c r="U48" i="52" s="1"/>
  <c r="U54" i="52" s="1"/>
  <c r="T26" i="52"/>
  <c r="T32" i="52" s="1"/>
  <c r="S26" i="52"/>
  <c r="S48" i="52" s="1"/>
  <c r="S54" i="52" s="1"/>
  <c r="O26" i="52"/>
  <c r="O32" i="52" s="1"/>
  <c r="N26" i="52"/>
  <c r="N32" i="52" s="1"/>
  <c r="M26" i="52"/>
  <c r="M32" i="52" s="1"/>
  <c r="AO24" i="52"/>
  <c r="AO30" i="52" s="1"/>
  <c r="AK24" i="52"/>
  <c r="AK30" i="52" s="1"/>
  <c r="AJ24" i="52"/>
  <c r="AJ30" i="52" s="1"/>
  <c r="AI24" i="52"/>
  <c r="AH24" i="52"/>
  <c r="AU19" i="52"/>
  <c r="AA18" i="75" s="1"/>
  <c r="Q19" i="52"/>
  <c r="AU18" i="52"/>
  <c r="Q18" i="52"/>
  <c r="AU17" i="52"/>
  <c r="AA16" i="75" s="1"/>
  <c r="AC16" i="75" s="1"/>
  <c r="AU10" i="52"/>
  <c r="AA9" i="75" s="1"/>
  <c r="AF10" i="52"/>
  <c r="H9" i="75" s="1"/>
  <c r="Q10" i="52"/>
  <c r="AS24" i="52"/>
  <c r="AS30" i="52" s="1"/>
  <c r="AR24" i="52"/>
  <c r="AQ24" i="52"/>
  <c r="AP24" i="52"/>
  <c r="AN24" i="52"/>
  <c r="AN30" i="52" s="1"/>
  <c r="AM24" i="52"/>
  <c r="AL24" i="52"/>
  <c r="AL30" i="52" s="1"/>
  <c r="AI4" i="52"/>
  <c r="AJ4" i="52" s="1"/>
  <c r="AK4" i="52" s="1"/>
  <c r="AL4" i="52" s="1"/>
  <c r="AM4" i="52" s="1"/>
  <c r="AN4" i="52" s="1"/>
  <c r="AO4" i="52" s="1"/>
  <c r="AP4" i="52" s="1"/>
  <c r="AQ4" i="52" s="1"/>
  <c r="AR4" i="52" s="1"/>
  <c r="AS4" i="52" s="1"/>
  <c r="T4" i="52"/>
  <c r="U4" i="52" s="1"/>
  <c r="V4" i="52" s="1"/>
  <c r="W4" i="52" s="1"/>
  <c r="X4" i="52" s="1"/>
  <c r="Y4" i="52" s="1"/>
  <c r="Z4" i="52" s="1"/>
  <c r="AA4" i="52" s="1"/>
  <c r="AB4" i="52" s="1"/>
  <c r="AC4" i="52" s="1"/>
  <c r="AD4" i="52" s="1"/>
  <c r="I4" i="52"/>
  <c r="J4" i="52" s="1"/>
  <c r="K4" i="52" s="1"/>
  <c r="L4" i="52" s="1"/>
  <c r="M4" i="52" s="1"/>
  <c r="N4" i="52" s="1"/>
  <c r="O4" i="52" s="1"/>
  <c r="AI99" i="51"/>
  <c r="AH99" i="51"/>
  <c r="W99" i="51"/>
  <c r="S99" i="51"/>
  <c r="O99" i="51"/>
  <c r="N99" i="51"/>
  <c r="M99" i="51"/>
  <c r="Q97" i="51"/>
  <c r="AU96" i="51"/>
  <c r="X94" i="75" s="1"/>
  <c r="Z94" i="75" s="1"/>
  <c r="Q96" i="51"/>
  <c r="AU95" i="51"/>
  <c r="X93" i="75" s="1"/>
  <c r="Z93" i="75" s="1"/>
  <c r="Q95" i="51"/>
  <c r="AU94" i="51"/>
  <c r="X92" i="75" s="1"/>
  <c r="Z92" i="75" s="1"/>
  <c r="Q94" i="51"/>
  <c r="AU93" i="51"/>
  <c r="X91" i="75" s="1"/>
  <c r="Z91" i="75" s="1"/>
  <c r="Q93" i="51"/>
  <c r="AU92" i="51"/>
  <c r="X90" i="75" s="1"/>
  <c r="Z90" i="75" s="1"/>
  <c r="Q92" i="51"/>
  <c r="AU91" i="51"/>
  <c r="X89" i="75" s="1"/>
  <c r="Z89" i="75" s="1"/>
  <c r="Q91" i="51"/>
  <c r="AU69" i="51"/>
  <c r="X67" i="75" s="1"/>
  <c r="Z67" i="75" s="1"/>
  <c r="AF69" i="51"/>
  <c r="E67" i="75" s="1"/>
  <c r="G67" i="75" s="1"/>
  <c r="Q69" i="51"/>
  <c r="AU63" i="51"/>
  <c r="X62" i="75" s="1"/>
  <c r="Z62" i="75" s="1"/>
  <c r="AF63" i="51"/>
  <c r="E62" i="75" s="1"/>
  <c r="G62" i="75" s="1"/>
  <c r="Q63" i="51"/>
  <c r="AU62" i="51"/>
  <c r="X61" i="75" s="1"/>
  <c r="Z61" i="75" s="1"/>
  <c r="AF62" i="51"/>
  <c r="E61" i="75" s="1"/>
  <c r="G61" i="75" s="1"/>
  <c r="Q62" i="51"/>
  <c r="AU61" i="51"/>
  <c r="X60" i="75" s="1"/>
  <c r="Z60" i="75" s="1"/>
  <c r="AF61" i="51"/>
  <c r="E60" i="75" s="1"/>
  <c r="G60" i="75" s="1"/>
  <c r="Q61" i="51"/>
  <c r="AU60" i="51"/>
  <c r="X59" i="75" s="1"/>
  <c r="AF60" i="51"/>
  <c r="E59" i="75" s="1"/>
  <c r="Q60" i="51"/>
  <c r="AU41" i="51"/>
  <c r="Q41" i="51"/>
  <c r="Q40" i="51"/>
  <c r="AU37" i="51"/>
  <c r="AF37" i="51"/>
  <c r="E36" i="75" s="1"/>
  <c r="Q37" i="51"/>
  <c r="AS26" i="51"/>
  <c r="AS32" i="51" s="1"/>
  <c r="AR26" i="51"/>
  <c r="AR32" i="51" s="1"/>
  <c r="AQ26" i="51"/>
  <c r="AQ48" i="51" s="1"/>
  <c r="AP26" i="51"/>
  <c r="AP48" i="51" s="1"/>
  <c r="AP76" i="51" s="1"/>
  <c r="AP82" i="51" s="1"/>
  <c r="AO26" i="51"/>
  <c r="AO48" i="51" s="1"/>
  <c r="AO76" i="51" s="1"/>
  <c r="AO82" i="51" s="1"/>
  <c r="AN26" i="51"/>
  <c r="AN48" i="51" s="1"/>
  <c r="AN76" i="51" s="1"/>
  <c r="AN82" i="51" s="1"/>
  <c r="AM26" i="51"/>
  <c r="AM32" i="51" s="1"/>
  <c r="AL26" i="51"/>
  <c r="AL32" i="51" s="1"/>
  <c r="AK26" i="51"/>
  <c r="AK48" i="51" s="1"/>
  <c r="AJ26" i="51"/>
  <c r="AJ48" i="51" s="1"/>
  <c r="AI26" i="51"/>
  <c r="AI32" i="51" s="1"/>
  <c r="AH26" i="51"/>
  <c r="AH32" i="51" s="1"/>
  <c r="AD26" i="51"/>
  <c r="AD32" i="51" s="1"/>
  <c r="AC26" i="51"/>
  <c r="AC32" i="51" s="1"/>
  <c r="AB26" i="51"/>
  <c r="AB32" i="51" s="1"/>
  <c r="AA26" i="51"/>
  <c r="AA48" i="51" s="1"/>
  <c r="Z26" i="51"/>
  <c r="Z48" i="51" s="1"/>
  <c r="Z76" i="51" s="1"/>
  <c r="Z82" i="51" s="1"/>
  <c r="Y26" i="51"/>
  <c r="X26" i="51"/>
  <c r="X32" i="51" s="1"/>
  <c r="W26" i="51"/>
  <c r="W48" i="51" s="1"/>
  <c r="V26" i="51"/>
  <c r="U26" i="51"/>
  <c r="U48" i="51" s="1"/>
  <c r="T26" i="51"/>
  <c r="T48" i="51" s="1"/>
  <c r="S26" i="51"/>
  <c r="S48" i="51" s="1"/>
  <c r="O26" i="51"/>
  <c r="O48" i="51" s="1"/>
  <c r="N26" i="51"/>
  <c r="N32" i="51" s="1"/>
  <c r="M26" i="51"/>
  <c r="M32" i="51" s="1"/>
  <c r="AL24" i="51"/>
  <c r="AL46" i="51" s="1"/>
  <c r="AL74" i="51" s="1"/>
  <c r="AL80" i="51" s="1"/>
  <c r="AK24" i="51"/>
  <c r="AK46" i="51" s="1"/>
  <c r="AK74" i="51" s="1"/>
  <c r="AK80" i="51" s="1"/>
  <c r="AJ24" i="51"/>
  <c r="AJ30" i="51" s="1"/>
  <c r="AI24" i="51"/>
  <c r="AI30" i="51" s="1"/>
  <c r="AH24" i="51"/>
  <c r="AH30" i="51" s="1"/>
  <c r="AU19" i="51"/>
  <c r="Q19" i="51"/>
  <c r="AU18" i="51"/>
  <c r="Q18" i="51"/>
  <c r="AU17" i="51"/>
  <c r="AU10" i="51"/>
  <c r="AF10" i="51"/>
  <c r="Q10" i="51"/>
  <c r="AN24" i="51"/>
  <c r="AN30" i="51" s="1"/>
  <c r="AM24" i="51"/>
  <c r="AM46" i="51" s="1"/>
  <c r="AM52" i="51" s="1"/>
  <c r="AI4" i="51"/>
  <c r="AJ4" i="51" s="1"/>
  <c r="AK4" i="51" s="1"/>
  <c r="AL4" i="51" s="1"/>
  <c r="AM4" i="51" s="1"/>
  <c r="AN4" i="51" s="1"/>
  <c r="AO4" i="51" s="1"/>
  <c r="AP4" i="51" s="1"/>
  <c r="AQ4" i="51" s="1"/>
  <c r="AR4" i="51" s="1"/>
  <c r="AS4" i="51" s="1"/>
  <c r="T4" i="51"/>
  <c r="U4" i="51" s="1"/>
  <c r="V4" i="51" s="1"/>
  <c r="W4" i="51" s="1"/>
  <c r="X4" i="51" s="1"/>
  <c r="Y4" i="51" s="1"/>
  <c r="Z4" i="51" s="1"/>
  <c r="AA4" i="51" s="1"/>
  <c r="AB4" i="51" s="1"/>
  <c r="AC4" i="51" s="1"/>
  <c r="AD4" i="51" s="1"/>
  <c r="I4" i="51"/>
  <c r="J4" i="51" s="1"/>
  <c r="K4" i="51" s="1"/>
  <c r="L4" i="51" s="1"/>
  <c r="M4" i="51" s="1"/>
  <c r="N4" i="51" s="1"/>
  <c r="O4" i="51" s="1"/>
  <c r="AV94" i="30"/>
  <c r="AV113" i="30" s="1"/>
  <c r="AU94" i="30"/>
  <c r="AU113" i="30" s="1"/>
  <c r="AT94" i="30"/>
  <c r="AT113" i="30" s="1"/>
  <c r="AS94" i="30"/>
  <c r="AS113" i="30" s="1"/>
  <c r="AR94" i="30"/>
  <c r="AR113" i="30" s="1"/>
  <c r="AQ94" i="30"/>
  <c r="AQ113" i="30" s="1"/>
  <c r="AP94" i="30"/>
  <c r="AP113" i="30" s="1"/>
  <c r="AO94" i="30"/>
  <c r="AO113" i="30" s="1"/>
  <c r="AN94" i="30"/>
  <c r="AN113" i="30" s="1"/>
  <c r="AM94" i="30"/>
  <c r="AM113" i="30" s="1"/>
  <c r="AL94" i="30"/>
  <c r="AL113" i="30" s="1"/>
  <c r="AK94" i="30"/>
  <c r="AK113" i="30" s="1"/>
  <c r="AW92" i="30"/>
  <c r="AW91" i="30"/>
  <c r="AW90" i="30"/>
  <c r="AW89" i="30"/>
  <c r="AW88" i="30"/>
  <c r="AW87" i="30"/>
  <c r="AW86" i="30"/>
  <c r="AW85" i="30"/>
  <c r="AW84" i="30"/>
  <c r="AW83" i="30"/>
  <c r="AW82" i="30"/>
  <c r="AW81" i="30"/>
  <c r="AW80" i="30"/>
  <c r="AW79" i="30"/>
  <c r="AW78" i="30"/>
  <c r="AW77" i="30"/>
  <c r="AW76" i="30"/>
  <c r="AW75" i="30"/>
  <c r="AW74" i="30"/>
  <c r="AW73" i="30"/>
  <c r="AW72" i="30"/>
  <c r="AW70" i="30"/>
  <c r="AW69" i="30"/>
  <c r="AW68" i="30"/>
  <c r="AW67" i="30"/>
  <c r="AW66" i="30"/>
  <c r="AW65" i="30"/>
  <c r="AW64" i="30"/>
  <c r="AW63" i="30"/>
  <c r="AW62" i="30"/>
  <c r="AW61" i="30"/>
  <c r="AW60" i="30"/>
  <c r="AW58" i="30"/>
  <c r="AW57" i="30"/>
  <c r="AW56" i="30"/>
  <c r="AW55" i="30"/>
  <c r="AW54" i="30"/>
  <c r="AW53" i="30"/>
  <c r="AW52" i="30"/>
  <c r="AW51" i="30"/>
  <c r="AW50" i="30"/>
  <c r="AW49" i="30"/>
  <c r="AW48" i="30"/>
  <c r="AW47" i="30"/>
  <c r="AW46" i="30"/>
  <c r="AW45" i="30"/>
  <c r="AW44" i="30"/>
  <c r="AW43" i="30"/>
  <c r="AW42" i="30"/>
  <c r="AW41" i="30"/>
  <c r="AW40" i="30"/>
  <c r="AW39" i="30"/>
  <c r="AW38" i="30"/>
  <c r="AW37" i="30"/>
  <c r="AW36" i="30"/>
  <c r="AW35" i="30"/>
  <c r="AW34" i="30"/>
  <c r="AW33" i="30"/>
  <c r="AW32" i="30"/>
  <c r="AW31" i="30"/>
  <c r="AW30" i="30"/>
  <c r="AW29" i="30"/>
  <c r="AW28" i="30"/>
  <c r="AW27" i="30"/>
  <c r="AW26" i="30"/>
  <c r="AW25" i="30"/>
  <c r="AW24" i="30"/>
  <c r="AW23" i="30"/>
  <c r="AW22" i="30"/>
  <c r="AW21" i="30"/>
  <c r="AW20" i="30"/>
  <c r="AW19" i="30"/>
  <c r="AW17" i="30"/>
  <c r="AW16" i="30"/>
  <c r="AW14" i="30"/>
  <c r="AW13" i="30"/>
  <c r="AW12" i="30"/>
  <c r="AW10" i="30"/>
  <c r="AW9" i="30"/>
  <c r="AW8" i="30"/>
  <c r="AW7" i="30"/>
  <c r="G113" i="30"/>
  <c r="G207" i="30" s="1"/>
  <c r="H113" i="30"/>
  <c r="H207" i="30" s="1"/>
  <c r="I113" i="30"/>
  <c r="I207" i="30" s="1"/>
  <c r="E94" i="30"/>
  <c r="T94" i="30"/>
  <c r="T113" i="30" s="1"/>
  <c r="AB88" i="73"/>
  <c r="AF88" i="73"/>
  <c r="AE88" i="73"/>
  <c r="Z88" i="73"/>
  <c r="L88" i="73"/>
  <c r="N88" i="73"/>
  <c r="P88" i="73"/>
  <c r="Y88" i="73"/>
  <c r="O88" i="73"/>
  <c r="X88" i="73"/>
  <c r="AA88" i="73"/>
  <c r="M88" i="73"/>
  <c r="W88" i="73"/>
  <c r="AD88" i="73"/>
  <c r="AC88" i="73"/>
  <c r="T88" i="73"/>
  <c r="AF83" i="65" l="1"/>
  <c r="AG77" i="65"/>
  <c r="AU83" i="65"/>
  <c r="AV77" i="65"/>
  <c r="Q18" i="75"/>
  <c r="S18" i="75" s="1"/>
  <c r="Q83" i="65"/>
  <c r="Q54" i="65"/>
  <c r="Q32" i="65"/>
  <c r="Q53" i="66"/>
  <c r="X40" i="75"/>
  <c r="Z40" i="75" s="1"/>
  <c r="X18" i="75"/>
  <c r="Z18" i="75" s="1"/>
  <c r="X9" i="75"/>
  <c r="Z9" i="75" s="1"/>
  <c r="X36" i="75"/>
  <c r="AJ36" i="75" s="1"/>
  <c r="AL36" i="75" s="1"/>
  <c r="M3" i="59"/>
  <c r="X16" i="75"/>
  <c r="Z16" i="75" s="1"/>
  <c r="AU32" i="65"/>
  <c r="Q31" i="66"/>
  <c r="E9" i="75"/>
  <c r="G9" i="75" s="1"/>
  <c r="Q36" i="75"/>
  <c r="M4" i="61"/>
  <c r="Q40" i="75"/>
  <c r="S40" i="75" s="1"/>
  <c r="M4" i="66"/>
  <c r="AI224" i="30"/>
  <c r="AI275" i="76"/>
  <c r="E30" i="75"/>
  <c r="H46" i="75"/>
  <c r="H30" i="75"/>
  <c r="K30" i="75"/>
  <c r="N46" i="75"/>
  <c r="X17" i="75"/>
  <c r="N30" i="75"/>
  <c r="AA17" i="75"/>
  <c r="AC17" i="75" s="1"/>
  <c r="Q24" i="75"/>
  <c r="AR74" i="66"/>
  <c r="AR80" i="66" s="1"/>
  <c r="AN72" i="65"/>
  <c r="W72" i="65"/>
  <c r="AJ76" i="65"/>
  <c r="AJ82" i="65" s="1"/>
  <c r="X72" i="65"/>
  <c r="AR72" i="65"/>
  <c r="AS72" i="65"/>
  <c r="AL72" i="65"/>
  <c r="Z72" i="65"/>
  <c r="AM72" i="65"/>
  <c r="AK68" i="66"/>
  <c r="AH48" i="35"/>
  <c r="AQ72" i="65"/>
  <c r="AN68" i="66"/>
  <c r="AK48" i="35"/>
  <c r="AO72" i="65"/>
  <c r="AO68" i="66"/>
  <c r="AL48" i="35"/>
  <c r="AB58" i="68"/>
  <c r="AB59" i="68"/>
  <c r="AB60" i="68"/>
  <c r="T95" i="57"/>
  <c r="T97" i="57" s="1"/>
  <c r="AB61" i="68"/>
  <c r="AB62" i="68"/>
  <c r="T94" i="59"/>
  <c r="AB64" i="68"/>
  <c r="AB65" i="68"/>
  <c r="T97" i="51"/>
  <c r="T99" i="51" s="1"/>
  <c r="AB66" i="68"/>
  <c r="T97" i="66"/>
  <c r="T99" i="66" s="1"/>
  <c r="AF99" i="66" s="1"/>
  <c r="B97" i="75" s="1"/>
  <c r="D97" i="75" s="1"/>
  <c r="AB68" i="68"/>
  <c r="T60" i="37"/>
  <c r="AB69" i="68"/>
  <c r="T96" i="65"/>
  <c r="T98" i="65" s="1"/>
  <c r="AF98" i="65" s="1"/>
  <c r="AB70" i="68"/>
  <c r="V68" i="60"/>
  <c r="W68" i="60"/>
  <c r="X68" i="60"/>
  <c r="Y68" i="60"/>
  <c r="Z68" i="60"/>
  <c r="AD68" i="60"/>
  <c r="AJ67" i="59"/>
  <c r="AE7" i="35"/>
  <c r="K7" i="35"/>
  <c r="AT207" i="30"/>
  <c r="AQ8" i="32"/>
  <c r="AK207" i="30"/>
  <c r="AH8" i="32"/>
  <c r="AP207" i="30"/>
  <c r="AM8" i="32"/>
  <c r="AU207" i="30"/>
  <c r="AR8" i="32"/>
  <c r="AQ207" i="30"/>
  <c r="AN8" i="32"/>
  <c r="AR207" i="30"/>
  <c r="AO8" i="32"/>
  <c r="AS207" i="30"/>
  <c r="AP8" i="32"/>
  <c r="AM207" i="30"/>
  <c r="AJ8" i="32"/>
  <c r="AL207" i="30"/>
  <c r="AI8" i="32"/>
  <c r="AV207" i="30"/>
  <c r="AS8" i="32"/>
  <c r="AN207" i="30"/>
  <c r="AK8" i="32"/>
  <c r="AO207" i="30"/>
  <c r="AL8" i="32"/>
  <c r="AI74" i="66"/>
  <c r="AI80" i="66" s="1"/>
  <c r="AI52" i="66"/>
  <c r="E51" i="75" s="1"/>
  <c r="AR52" i="66"/>
  <c r="N51" i="75" s="1"/>
  <c r="AU30" i="66"/>
  <c r="Q29" i="75" s="1"/>
  <c r="AU46" i="66"/>
  <c r="Q45" i="75" s="1"/>
  <c r="AJ94" i="75"/>
  <c r="AL94" i="75" s="1"/>
  <c r="AC94" i="75"/>
  <c r="J62" i="75"/>
  <c r="Q62" i="75"/>
  <c r="S62" i="75" s="1"/>
  <c r="AC89" i="75"/>
  <c r="AJ89" i="75"/>
  <c r="AL89" i="75" s="1"/>
  <c r="AJ62" i="75"/>
  <c r="AL62" i="75" s="1"/>
  <c r="AC62" i="75"/>
  <c r="AC40" i="75"/>
  <c r="J67" i="75"/>
  <c r="Q67" i="75"/>
  <c r="S67" i="75" s="1"/>
  <c r="AC90" i="75"/>
  <c r="AJ90" i="75"/>
  <c r="AL90" i="75" s="1"/>
  <c r="J60" i="75"/>
  <c r="Q60" i="75"/>
  <c r="S60" i="75" s="1"/>
  <c r="AC67" i="75"/>
  <c r="AJ67" i="75"/>
  <c r="AL67" i="75" s="1"/>
  <c r="AC91" i="75"/>
  <c r="AJ91" i="75"/>
  <c r="AL91" i="75" s="1"/>
  <c r="J9" i="75"/>
  <c r="AC87" i="75"/>
  <c r="AJ87" i="75"/>
  <c r="AL87" i="75" s="1"/>
  <c r="AC92" i="75"/>
  <c r="AJ92" i="75"/>
  <c r="AL92" i="75" s="1"/>
  <c r="AC9" i="75"/>
  <c r="J61" i="75"/>
  <c r="Q61" i="75"/>
  <c r="S61" i="75" s="1"/>
  <c r="AC18" i="75"/>
  <c r="AC60" i="75"/>
  <c r="AJ60" i="75"/>
  <c r="AL60" i="75" s="1"/>
  <c r="AC61" i="75"/>
  <c r="AJ61" i="75"/>
  <c r="AL61" i="75" s="1"/>
  <c r="AC88" i="75"/>
  <c r="AJ88" i="75"/>
  <c r="AL88" i="75" s="1"/>
  <c r="AC93" i="75"/>
  <c r="AJ93" i="75"/>
  <c r="AL93" i="75" s="1"/>
  <c r="AO52" i="66"/>
  <c r="K51" i="75" s="1"/>
  <c r="K45" i="75"/>
  <c r="AL74" i="66"/>
  <c r="AL80" i="66" s="1"/>
  <c r="H45" i="75"/>
  <c r="W16" i="75"/>
  <c r="AU48" i="65"/>
  <c r="AU54" i="65" s="1"/>
  <c r="Z59" i="75"/>
  <c r="G59" i="75"/>
  <c r="AR53" i="66"/>
  <c r="AF97" i="32"/>
  <c r="AU47" i="66"/>
  <c r="AU31" i="66"/>
  <c r="W17" i="75"/>
  <c r="AL53" i="66"/>
  <c r="AO53" i="66"/>
  <c r="K46" i="75"/>
  <c r="AI75" i="66"/>
  <c r="AI81" i="66" s="1"/>
  <c r="E46" i="75"/>
  <c r="J113" i="30"/>
  <c r="J207" i="30" s="1"/>
  <c r="AJ32" i="52"/>
  <c r="S82" i="35"/>
  <c r="S71" i="35" s="1"/>
  <c r="S73" i="35" s="1"/>
  <c r="S97" i="35" s="1"/>
  <c r="T82" i="35"/>
  <c r="T71" i="35" s="1"/>
  <c r="T73" i="35" s="1"/>
  <c r="T92" i="35" s="1"/>
  <c r="N21" i="35"/>
  <c r="M21" i="35"/>
  <c r="L21" i="35"/>
  <c r="K21" i="35"/>
  <c r="N20" i="35"/>
  <c r="M20" i="35"/>
  <c r="L20" i="35"/>
  <c r="K20" i="35"/>
  <c r="N19" i="35"/>
  <c r="M19" i="35"/>
  <c r="L19" i="35"/>
  <c r="K19" i="35"/>
  <c r="N18" i="35"/>
  <c r="M18" i="35"/>
  <c r="L18" i="35"/>
  <c r="K18" i="35"/>
  <c r="N16" i="35"/>
  <c r="M16" i="35"/>
  <c r="L16" i="35"/>
  <c r="K16" i="35"/>
  <c r="N15" i="35"/>
  <c r="M15" i="35"/>
  <c r="L15" i="35"/>
  <c r="K15" i="35"/>
  <c r="N14" i="35"/>
  <c r="M14" i="35"/>
  <c r="L14" i="35"/>
  <c r="K14" i="35"/>
  <c r="N13" i="35"/>
  <c r="M13" i="35"/>
  <c r="L13" i="35"/>
  <c r="K13" i="35"/>
  <c r="N12" i="35"/>
  <c r="M12" i="35"/>
  <c r="L12" i="35"/>
  <c r="K12" i="35"/>
  <c r="N11" i="35"/>
  <c r="M11" i="35"/>
  <c r="L11" i="35"/>
  <c r="K11" i="35"/>
  <c r="N10" i="35"/>
  <c r="M10" i="35"/>
  <c r="L10" i="35"/>
  <c r="K10" i="35"/>
  <c r="N9" i="35"/>
  <c r="M9" i="35"/>
  <c r="L9" i="35"/>
  <c r="K9" i="35"/>
  <c r="N8" i="35"/>
  <c r="M8" i="35"/>
  <c r="L8" i="35"/>
  <c r="K8" i="35"/>
  <c r="N7" i="35"/>
  <c r="M7" i="35"/>
  <c r="L7" i="35"/>
  <c r="AP21" i="35"/>
  <c r="AO21" i="35"/>
  <c r="AN21" i="35"/>
  <c r="AM21" i="35"/>
  <c r="AL21" i="35"/>
  <c r="AK21" i="35"/>
  <c r="AJ21" i="35"/>
  <c r="AI21" i="35"/>
  <c r="AH21" i="35"/>
  <c r="AG21" i="35"/>
  <c r="AF21" i="35"/>
  <c r="AE21" i="35"/>
  <c r="AP20" i="35"/>
  <c r="AO20" i="35"/>
  <c r="AN20" i="35"/>
  <c r="AM20" i="35"/>
  <c r="AL20" i="35"/>
  <c r="AK20" i="35"/>
  <c r="AJ20" i="35"/>
  <c r="AI20" i="35"/>
  <c r="AH20" i="35"/>
  <c r="AG20" i="35"/>
  <c r="AF20" i="35"/>
  <c r="AE20" i="35"/>
  <c r="AP19" i="35"/>
  <c r="AO19" i="35"/>
  <c r="AN19" i="35"/>
  <c r="AM19" i="35"/>
  <c r="AL19" i="35"/>
  <c r="AK19" i="35"/>
  <c r="AJ19" i="35"/>
  <c r="AI19" i="35"/>
  <c r="AH19" i="35"/>
  <c r="AG19" i="35"/>
  <c r="AF19" i="35"/>
  <c r="AE19" i="35"/>
  <c r="AP18" i="35"/>
  <c r="AO18" i="35"/>
  <c r="AN18" i="35"/>
  <c r="AM18" i="35"/>
  <c r="AL18" i="35"/>
  <c r="AK18" i="35"/>
  <c r="AJ18" i="35"/>
  <c r="AI18" i="35"/>
  <c r="AH18" i="35"/>
  <c r="AG18" i="35"/>
  <c r="AF18" i="35"/>
  <c r="AE18" i="35"/>
  <c r="AP16" i="35"/>
  <c r="AO16" i="35"/>
  <c r="AN16" i="35"/>
  <c r="AM16" i="35"/>
  <c r="AL16" i="35"/>
  <c r="AK16" i="35"/>
  <c r="AJ16" i="35"/>
  <c r="AI16" i="35"/>
  <c r="AH16" i="35"/>
  <c r="AG16" i="35"/>
  <c r="AF16" i="35"/>
  <c r="AE16" i="35"/>
  <c r="AP15" i="35"/>
  <c r="AO15" i="35"/>
  <c r="AN15" i="35"/>
  <c r="AM15" i="35"/>
  <c r="AL15" i="35"/>
  <c r="AK15" i="35"/>
  <c r="AJ15" i="35"/>
  <c r="AI15" i="35"/>
  <c r="AH15" i="35"/>
  <c r="AG15" i="35"/>
  <c r="AF15" i="35"/>
  <c r="AE15" i="35"/>
  <c r="AP14" i="35"/>
  <c r="AO14" i="35"/>
  <c r="AN14" i="35"/>
  <c r="AM14" i="35"/>
  <c r="AL14" i="35"/>
  <c r="AK14" i="35"/>
  <c r="AJ14" i="35"/>
  <c r="AI14" i="35"/>
  <c r="AH14" i="35"/>
  <c r="AG14" i="35"/>
  <c r="AF14" i="35"/>
  <c r="AE14" i="35"/>
  <c r="AP13" i="35"/>
  <c r="AO13" i="35"/>
  <c r="AN13" i="35"/>
  <c r="AM13" i="35"/>
  <c r="AL13" i="35"/>
  <c r="AK13" i="35"/>
  <c r="AJ13" i="35"/>
  <c r="AI13" i="35"/>
  <c r="AH13" i="35"/>
  <c r="AG13" i="35"/>
  <c r="AF13" i="35"/>
  <c r="AE13" i="35"/>
  <c r="AP12" i="35"/>
  <c r="AO12" i="35"/>
  <c r="AN12" i="35"/>
  <c r="AM12" i="35"/>
  <c r="AL12" i="35"/>
  <c r="AK12" i="35"/>
  <c r="AJ12" i="35"/>
  <c r="AI12" i="35"/>
  <c r="AH12" i="35"/>
  <c r="AG12" i="35"/>
  <c r="AF12" i="35"/>
  <c r="AE12" i="35"/>
  <c r="AF7" i="35"/>
  <c r="AG7" i="35"/>
  <c r="AH7" i="35"/>
  <c r="AI7" i="35"/>
  <c r="AJ7" i="35"/>
  <c r="AK7" i="35"/>
  <c r="AL7" i="35"/>
  <c r="AM7" i="35"/>
  <c r="AN7" i="35"/>
  <c r="AO7" i="35"/>
  <c r="AP7" i="35"/>
  <c r="AF8" i="35"/>
  <c r="AG8" i="35"/>
  <c r="AH8" i="35"/>
  <c r="AI8" i="35"/>
  <c r="AJ8" i="35"/>
  <c r="AK8" i="35"/>
  <c r="AL8" i="35"/>
  <c r="AM8" i="35"/>
  <c r="AN8" i="35"/>
  <c r="AO8" i="35"/>
  <c r="AP8" i="35"/>
  <c r="AF9" i="35"/>
  <c r="AG9" i="35"/>
  <c r="AH9" i="35"/>
  <c r="AI9" i="35"/>
  <c r="AJ9" i="35"/>
  <c r="AK9" i="35"/>
  <c r="AL9" i="35"/>
  <c r="AM9" i="35"/>
  <c r="AN9" i="35"/>
  <c r="AO9" i="35"/>
  <c r="AP9" i="35"/>
  <c r="AF10" i="35"/>
  <c r="AG10" i="35"/>
  <c r="AH10" i="35"/>
  <c r="AI10" i="35"/>
  <c r="AJ10" i="35"/>
  <c r="AK10" i="35"/>
  <c r="AL10" i="35"/>
  <c r="AM10" i="35"/>
  <c r="AN10" i="35"/>
  <c r="AO10" i="35"/>
  <c r="AP10" i="35"/>
  <c r="AF11" i="35"/>
  <c r="AG11" i="35"/>
  <c r="AH11" i="35"/>
  <c r="AI11" i="35"/>
  <c r="AJ11" i="35"/>
  <c r="AK11" i="35"/>
  <c r="AL11" i="35"/>
  <c r="AM11" i="35"/>
  <c r="AN11" i="35"/>
  <c r="AO11" i="35"/>
  <c r="AP11" i="35"/>
  <c r="AE8" i="35"/>
  <c r="AE9" i="35"/>
  <c r="AE10" i="35"/>
  <c r="AE11" i="35"/>
  <c r="AP72" i="65"/>
  <c r="AP76" i="65"/>
  <c r="AP82" i="65" s="1"/>
  <c r="AJ73" i="35"/>
  <c r="AJ88" i="35" s="1"/>
  <c r="AK73" i="35"/>
  <c r="AK90" i="35" s="1"/>
  <c r="AM73" i="35"/>
  <c r="AM90" i="35" s="1"/>
  <c r="V74" i="59"/>
  <c r="V80" i="59" s="1"/>
  <c r="X74" i="59"/>
  <c r="X80" i="59" s="1"/>
  <c r="Y72" i="65"/>
  <c r="Y76" i="65"/>
  <c r="Y82" i="65" s="1"/>
  <c r="W74" i="59"/>
  <c r="W80" i="59" s="1"/>
  <c r="AB73" i="35"/>
  <c r="AB86" i="35" s="1"/>
  <c r="AF97" i="51"/>
  <c r="E95" i="75" s="1"/>
  <c r="G95" i="75" s="1"/>
  <c r="AF60" i="37"/>
  <c r="N95" i="75" s="1"/>
  <c r="P95" i="75" s="1"/>
  <c r="U99" i="51"/>
  <c r="AB95" i="61"/>
  <c r="AB97" i="61" s="1"/>
  <c r="U96" i="63"/>
  <c r="U98" i="63" s="1"/>
  <c r="U93" i="62"/>
  <c r="U95" i="62" s="1"/>
  <c r="Z95" i="61"/>
  <c r="Z97" i="61" s="1"/>
  <c r="Z75" i="61"/>
  <c r="Z81" i="61" s="1"/>
  <c r="AH97" i="60"/>
  <c r="X95" i="60"/>
  <c r="X97" i="60" s="1"/>
  <c r="AH95" i="62"/>
  <c r="Y71" i="68"/>
  <c r="AB97" i="52"/>
  <c r="AB99" i="52" s="1"/>
  <c r="U95" i="61"/>
  <c r="U97" i="61" s="1"/>
  <c r="AA71" i="68"/>
  <c r="AD97" i="52"/>
  <c r="AD99" i="52" s="1"/>
  <c r="Z71" i="68"/>
  <c r="AC97" i="52"/>
  <c r="AC99" i="52" s="1"/>
  <c r="Y96" i="63"/>
  <c r="Y98" i="63" s="1"/>
  <c r="Y95" i="62"/>
  <c r="AJ95" i="61"/>
  <c r="AJ97" i="61" s="1"/>
  <c r="AJ75" i="61"/>
  <c r="AJ81" i="61" s="1"/>
  <c r="R71" i="68"/>
  <c r="U97" i="52"/>
  <c r="W71" i="68"/>
  <c r="Z97" i="52"/>
  <c r="Z99" i="52" s="1"/>
  <c r="AD95" i="60"/>
  <c r="AD97" i="60" s="1"/>
  <c r="Y95" i="61"/>
  <c r="Y97" i="61" s="1"/>
  <c r="Y75" i="61"/>
  <c r="Y81" i="61" s="1"/>
  <c r="AC95" i="60"/>
  <c r="AC97" i="60" s="1"/>
  <c r="AB96" i="63"/>
  <c r="AB98" i="63" s="1"/>
  <c r="AB93" i="62"/>
  <c r="AB95" i="62" s="1"/>
  <c r="AF96" i="65"/>
  <c r="AA95" i="61"/>
  <c r="AA97" i="61" s="1"/>
  <c r="W95" i="60"/>
  <c r="W97" i="60" s="1"/>
  <c r="U95" i="60"/>
  <c r="U97" i="60" s="1"/>
  <c r="T96" i="63"/>
  <c r="T98" i="63" s="1"/>
  <c r="T93" i="62"/>
  <c r="T95" i="62" s="1"/>
  <c r="V71" i="68"/>
  <c r="Y97" i="52"/>
  <c r="Y99" i="52" s="1"/>
  <c r="V93" i="62"/>
  <c r="V95" i="62" s="1"/>
  <c r="V96" i="63"/>
  <c r="V98" i="63" s="1"/>
  <c r="Z95" i="60"/>
  <c r="Z97" i="60" s="1"/>
  <c r="T95" i="61"/>
  <c r="T97" i="61" s="1"/>
  <c r="T75" i="61"/>
  <c r="T81" i="61" s="1"/>
  <c r="AJ95" i="60"/>
  <c r="AJ97" i="60" s="1"/>
  <c r="AB95" i="60"/>
  <c r="AB97" i="60" s="1"/>
  <c r="V95" i="61"/>
  <c r="V97" i="61" s="1"/>
  <c r="V75" i="61"/>
  <c r="V81" i="61" s="1"/>
  <c r="Z96" i="63"/>
  <c r="Z98" i="63" s="1"/>
  <c r="Z93" i="62"/>
  <c r="Z95" i="62" s="1"/>
  <c r="Y95" i="60"/>
  <c r="Y97" i="60" s="1"/>
  <c r="X96" i="63"/>
  <c r="X98" i="63" s="1"/>
  <c r="X93" i="62"/>
  <c r="X95" i="62" s="1"/>
  <c r="S95" i="62"/>
  <c r="T71" i="68"/>
  <c r="W97" i="52"/>
  <c r="W99" i="52" s="1"/>
  <c r="S97" i="61"/>
  <c r="AF95" i="57"/>
  <c r="V97" i="57"/>
  <c r="Q71" i="68"/>
  <c r="T97" i="52"/>
  <c r="T99" i="52" s="1"/>
  <c r="X95" i="61"/>
  <c r="X97" i="61" s="1"/>
  <c r="X75" i="61"/>
  <c r="X81" i="61" s="1"/>
  <c r="S98" i="63"/>
  <c r="S71" i="68"/>
  <c r="V97" i="52"/>
  <c r="V99" i="52" s="1"/>
  <c r="AA96" i="63"/>
  <c r="AA98" i="63" s="1"/>
  <c r="AA93" i="62"/>
  <c r="AA95" i="62" s="1"/>
  <c r="AF94" i="59"/>
  <c r="T96" i="59"/>
  <c r="AF96" i="59" s="1"/>
  <c r="W96" i="63"/>
  <c r="W98" i="63" s="1"/>
  <c r="W93" i="62"/>
  <c r="W95" i="62" s="1"/>
  <c r="X71" i="68"/>
  <c r="AA97" i="52"/>
  <c r="AA99" i="52" s="1"/>
  <c r="S97" i="60"/>
  <c r="T95" i="60"/>
  <c r="T97" i="60" s="1"/>
  <c r="AD96" i="63"/>
  <c r="AD98" i="63" s="1"/>
  <c r="AD93" i="62"/>
  <c r="AD95" i="62" s="1"/>
  <c r="U71" i="68"/>
  <c r="X97" i="52"/>
  <c r="X99" i="52" s="1"/>
  <c r="AC96" i="63"/>
  <c r="AC98" i="63" s="1"/>
  <c r="AC93" i="62"/>
  <c r="AC95" i="62" s="1"/>
  <c r="W95" i="61"/>
  <c r="W97" i="61" s="1"/>
  <c r="W75" i="61"/>
  <c r="W81" i="61" s="1"/>
  <c r="AH98" i="63"/>
  <c r="AJ97" i="57"/>
  <c r="AJ96" i="63"/>
  <c r="AJ98" i="63" s="1"/>
  <c r="AJ93" i="62"/>
  <c r="AJ95" i="62" s="1"/>
  <c r="V95" i="60"/>
  <c r="V97" i="60" s="1"/>
  <c r="AA95" i="60"/>
  <c r="AA97" i="60" s="1"/>
  <c r="AD95" i="61"/>
  <c r="AD97" i="61" s="1"/>
  <c r="AD75" i="61"/>
  <c r="AD81" i="61" s="1"/>
  <c r="AC95" i="61"/>
  <c r="AC97" i="61" s="1"/>
  <c r="AH97" i="61"/>
  <c r="AO76" i="65"/>
  <c r="AO82" i="65" s="1"/>
  <c r="AO74" i="59"/>
  <c r="AO80" i="59" s="1"/>
  <c r="AM76" i="65"/>
  <c r="AM82" i="65" s="1"/>
  <c r="AP52" i="66"/>
  <c r="AI98" i="65"/>
  <c r="AF71" i="68"/>
  <c r="AJ99" i="52"/>
  <c r="AJ96" i="59"/>
  <c r="AJ97" i="66"/>
  <c r="AJ99" i="66" s="1"/>
  <c r="AH99" i="66"/>
  <c r="AG70" i="68"/>
  <c r="AG64" i="68"/>
  <c r="AG61" i="68"/>
  <c r="AK95" i="57" s="1"/>
  <c r="AG60" i="68"/>
  <c r="AG66" i="68"/>
  <c r="AG65" i="68"/>
  <c r="AG68" i="68"/>
  <c r="AG58" i="68"/>
  <c r="AG69" i="68"/>
  <c r="AK60" i="37" s="1"/>
  <c r="AG62" i="68"/>
  <c r="AK97" i="52" s="1"/>
  <c r="AG59" i="68"/>
  <c r="AH96" i="59"/>
  <c r="AH98" i="65"/>
  <c r="N74" i="66"/>
  <c r="N80" i="66" s="1"/>
  <c r="P113" i="30"/>
  <c r="P207" i="30" s="1"/>
  <c r="P115" i="30"/>
  <c r="O113" i="30"/>
  <c r="O207" i="30" s="1"/>
  <c r="O115" i="30"/>
  <c r="Q113" i="30"/>
  <c r="Q207" i="30" s="1"/>
  <c r="Q115" i="30"/>
  <c r="AO74" i="66"/>
  <c r="AO80" i="66" s="1"/>
  <c r="AH52" i="66"/>
  <c r="AL74" i="59"/>
  <c r="AL80" i="59" s="1"/>
  <c r="AU69" i="65"/>
  <c r="AJ72" i="65"/>
  <c r="AK72" i="65"/>
  <c r="AK76" i="65"/>
  <c r="AK82" i="65" s="1"/>
  <c r="AS74" i="59"/>
  <c r="AS80" i="59" s="1"/>
  <c r="AK74" i="59"/>
  <c r="AK80" i="59" s="1"/>
  <c r="AM74" i="59"/>
  <c r="AM80" i="59" s="1"/>
  <c r="AN76" i="65"/>
  <c r="AN82" i="65" s="1"/>
  <c r="AL76" i="65"/>
  <c r="AL82" i="65" s="1"/>
  <c r="AN74" i="59"/>
  <c r="AN80" i="59" s="1"/>
  <c r="AK75" i="66"/>
  <c r="AK81" i="66" s="1"/>
  <c r="X76" i="65"/>
  <c r="X82" i="65" s="1"/>
  <c r="AD72" i="65"/>
  <c r="AD76" i="65"/>
  <c r="AD82" i="65" s="1"/>
  <c r="Y74" i="59"/>
  <c r="Y80" i="59" s="1"/>
  <c r="X68" i="51"/>
  <c r="X75" i="51" s="1"/>
  <c r="X81" i="51" s="1"/>
  <c r="V68" i="51"/>
  <c r="V75" i="51" s="1"/>
  <c r="V81" i="51" s="1"/>
  <c r="Y68" i="51"/>
  <c r="Y75" i="51" s="1"/>
  <c r="Y81" i="51" s="1"/>
  <c r="Z74" i="59"/>
  <c r="Z80" i="59" s="1"/>
  <c r="V72" i="65"/>
  <c r="V76" i="65"/>
  <c r="V82" i="65" s="1"/>
  <c r="Z68" i="51"/>
  <c r="AD74" i="59"/>
  <c r="AD80" i="59" s="1"/>
  <c r="Q26" i="51"/>
  <c r="Q48" i="51" s="1"/>
  <c r="Q76" i="51" s="1"/>
  <c r="AU26" i="51"/>
  <c r="X59" i="66"/>
  <c r="AJ74" i="66"/>
  <c r="AJ80" i="66" s="1"/>
  <c r="AL52" i="66"/>
  <c r="H51" i="75" s="1"/>
  <c r="AC18" i="61"/>
  <c r="AC40" i="61"/>
  <c r="AC18" i="57"/>
  <c r="AC25" i="57" s="1"/>
  <c r="AC9" i="52"/>
  <c r="AC40" i="57"/>
  <c r="AC9" i="66"/>
  <c r="AA58" i="35"/>
  <c r="AC69" i="65" s="1"/>
  <c r="AC10" i="65"/>
  <c r="AC9" i="60"/>
  <c r="AA73" i="35"/>
  <c r="AA85" i="35" s="1"/>
  <c r="AA57" i="35"/>
  <c r="AC67" i="59" s="1"/>
  <c r="AC8" i="59"/>
  <c r="AC40" i="63"/>
  <c r="AC18" i="63"/>
  <c r="AB18" i="63"/>
  <c r="AB40" i="63"/>
  <c r="Z57" i="35"/>
  <c r="AB67" i="59" s="1"/>
  <c r="AB8" i="59"/>
  <c r="AB9" i="51" s="1"/>
  <c r="AB40" i="57"/>
  <c r="AB9" i="52"/>
  <c r="AB18" i="57"/>
  <c r="AB18" i="60"/>
  <c r="AB40" i="60"/>
  <c r="AB18" i="61"/>
  <c r="AB40" i="61"/>
  <c r="AB40" i="66"/>
  <c r="AB18" i="66"/>
  <c r="Z58" i="35"/>
  <c r="AB69" i="65" s="1"/>
  <c r="AB10" i="65"/>
  <c r="AD53" i="66"/>
  <c r="Y57" i="35"/>
  <c r="AA67" i="59" s="1"/>
  <c r="AA8" i="59"/>
  <c r="AA18" i="63"/>
  <c r="AA40" i="63"/>
  <c r="AC38" i="35"/>
  <c r="AA18" i="61"/>
  <c r="AA40" i="61"/>
  <c r="AA18" i="57"/>
  <c r="AA25" i="57" s="1"/>
  <c r="AA40" i="57"/>
  <c r="AA9" i="52"/>
  <c r="Y53" i="35"/>
  <c r="Y48" i="35" s="1"/>
  <c r="AA9" i="66"/>
  <c r="AA9" i="60"/>
  <c r="Y58" i="35"/>
  <c r="AA69" i="65" s="1"/>
  <c r="AA10" i="65"/>
  <c r="U18" i="63"/>
  <c r="U40" i="63"/>
  <c r="S57" i="35"/>
  <c r="U67" i="59" s="1"/>
  <c r="U8" i="59"/>
  <c r="U18" i="57"/>
  <c r="U40" i="57"/>
  <c r="U9" i="52"/>
  <c r="U40" i="61"/>
  <c r="U18" i="61"/>
  <c r="U9" i="66"/>
  <c r="U18" i="66" s="1"/>
  <c r="S58" i="35"/>
  <c r="U69" i="65" s="1"/>
  <c r="U10" i="65"/>
  <c r="U9" i="60"/>
  <c r="S18" i="63"/>
  <c r="S25" i="63" s="1"/>
  <c r="S40" i="63"/>
  <c r="AF9" i="63"/>
  <c r="AC30" i="35"/>
  <c r="S18" i="61"/>
  <c r="S25" i="61" s="1"/>
  <c r="AF9" i="61"/>
  <c r="S40" i="61"/>
  <c r="S18" i="57"/>
  <c r="S25" i="57" s="1"/>
  <c r="S9" i="52"/>
  <c r="S40" i="57"/>
  <c r="AF9" i="57"/>
  <c r="AC34" i="35"/>
  <c r="AC31" i="35"/>
  <c r="AC35" i="35"/>
  <c r="AC33" i="35"/>
  <c r="AC32" i="35"/>
  <c r="AC54" i="35"/>
  <c r="AI53" i="66"/>
  <c r="K42" i="56"/>
  <c r="F3" i="68"/>
  <c r="AH53" i="66"/>
  <c r="AP53" i="66"/>
  <c r="W53" i="66"/>
  <c r="AO75" i="66"/>
  <c r="AO81" i="66" s="1"/>
  <c r="O74" i="66"/>
  <c r="O80" i="66" s="1"/>
  <c r="M74" i="66"/>
  <c r="M80" i="66" s="1"/>
  <c r="O53" i="66"/>
  <c r="M53" i="66"/>
  <c r="AF26" i="51"/>
  <c r="AK32" i="51"/>
  <c r="W32" i="51"/>
  <c r="AN32" i="51"/>
  <c r="AB48" i="51"/>
  <c r="AB76" i="51" s="1"/>
  <c r="AB82" i="51" s="1"/>
  <c r="AC48" i="51"/>
  <c r="AC54" i="51" s="1"/>
  <c r="AS48" i="51"/>
  <c r="AS54" i="51" s="1"/>
  <c r="AR48" i="51"/>
  <c r="AR54" i="51" s="1"/>
  <c r="AI76" i="52"/>
  <c r="AI82" i="52" s="1"/>
  <c r="AS48" i="52"/>
  <c r="AS76" i="52" s="1"/>
  <c r="AS82" i="52" s="1"/>
  <c r="X48" i="52"/>
  <c r="X54" i="52" s="1"/>
  <c r="AB32" i="52"/>
  <c r="AU24" i="52"/>
  <c r="AU30" i="52" s="1"/>
  <c r="Q99" i="52"/>
  <c r="W52" i="62"/>
  <c r="AO32" i="52"/>
  <c r="AP32" i="52"/>
  <c r="AQ32" i="52"/>
  <c r="AR32" i="52"/>
  <c r="AU26" i="52"/>
  <c r="AU48" i="52" s="1"/>
  <c r="AL48" i="52"/>
  <c r="AL54" i="52" s="1"/>
  <c r="AJ76" i="52"/>
  <c r="AJ82" i="52" s="1"/>
  <c r="AK76" i="52"/>
  <c r="AK82" i="52" s="1"/>
  <c r="U32" i="52"/>
  <c r="AC32" i="52"/>
  <c r="V32" i="52"/>
  <c r="AD32" i="52"/>
  <c r="T48" i="52"/>
  <c r="T54" i="52" s="1"/>
  <c r="AB76" i="52"/>
  <c r="AB82" i="52" s="1"/>
  <c r="AB54" i="52"/>
  <c r="AC76" i="52"/>
  <c r="AC82" i="52" s="1"/>
  <c r="AC54" i="52"/>
  <c r="AD76" i="52"/>
  <c r="AD82" i="52" s="1"/>
  <c r="AD54" i="52"/>
  <c r="S32" i="52"/>
  <c r="U76" i="52"/>
  <c r="U82" i="52" s="1"/>
  <c r="W52" i="59"/>
  <c r="AN54" i="51"/>
  <c r="AI52" i="59"/>
  <c r="M53" i="60"/>
  <c r="AO54" i="51"/>
  <c r="AO32" i="51"/>
  <c r="AP54" i="51"/>
  <c r="AQ32" i="51"/>
  <c r="AP32" i="51"/>
  <c r="AH48" i="51"/>
  <c r="AM74" i="51"/>
  <c r="AM80" i="51" s="1"/>
  <c r="AI48" i="51"/>
  <c r="AL48" i="51"/>
  <c r="AL54" i="51" s="1"/>
  <c r="X48" i="51"/>
  <c r="X54" i="51" s="1"/>
  <c r="AD48" i="51"/>
  <c r="AD54" i="51" s="1"/>
  <c r="S54" i="51"/>
  <c r="S76" i="51"/>
  <c r="S82" i="51" s="1"/>
  <c r="U54" i="51"/>
  <c r="U76" i="51"/>
  <c r="U82" i="51" s="1"/>
  <c r="T54" i="51"/>
  <c r="T76" i="51"/>
  <c r="T82" i="51" s="1"/>
  <c r="S32" i="51"/>
  <c r="T32" i="51"/>
  <c r="U32" i="51"/>
  <c r="AA32" i="51"/>
  <c r="M48" i="51"/>
  <c r="M54" i="51" s="1"/>
  <c r="O76" i="51"/>
  <c r="O82" i="51" s="1"/>
  <c r="O54" i="51"/>
  <c r="O32" i="51"/>
  <c r="N48" i="51"/>
  <c r="N54" i="51" s="1"/>
  <c r="AK53" i="66"/>
  <c r="Q75" i="63"/>
  <c r="Q81" i="63" s="1"/>
  <c r="AN74" i="66"/>
  <c r="AN80" i="66" s="1"/>
  <c r="AN52" i="66"/>
  <c r="Q52" i="66"/>
  <c r="Q74" i="66"/>
  <c r="Q80" i="66" s="1"/>
  <c r="AJ53" i="66"/>
  <c r="AM52" i="66"/>
  <c r="AM74" i="66"/>
  <c r="AM80" i="66" s="1"/>
  <c r="AQ76" i="65"/>
  <c r="AQ82" i="65" s="1"/>
  <c r="AS76" i="65"/>
  <c r="AS82" i="65" s="1"/>
  <c r="AR76" i="65"/>
  <c r="AR82" i="65" s="1"/>
  <c r="W76" i="65"/>
  <c r="W82" i="65" s="1"/>
  <c r="Z76" i="65"/>
  <c r="Z82" i="65" s="1"/>
  <c r="AU53" i="63"/>
  <c r="AH53" i="63"/>
  <c r="O75" i="63"/>
  <c r="O81" i="63" s="1"/>
  <c r="O53" i="63"/>
  <c r="Y53" i="63"/>
  <c r="Q53" i="61"/>
  <c r="L52" i="62"/>
  <c r="L73" i="62"/>
  <c r="L79" i="62" s="1"/>
  <c r="AF52" i="62"/>
  <c r="AU52" i="62"/>
  <c r="AU51" i="62"/>
  <c r="Q73" i="62"/>
  <c r="Q79" i="62" s="1"/>
  <c r="Q52" i="62"/>
  <c r="AQ74" i="59"/>
  <c r="AQ80" i="59" s="1"/>
  <c r="AJ53" i="61"/>
  <c r="AU53" i="61"/>
  <c r="L75" i="61"/>
  <c r="L81" i="61" s="1"/>
  <c r="L53" i="61"/>
  <c r="AP74" i="59"/>
  <c r="AP80" i="59" s="1"/>
  <c r="Z53" i="60"/>
  <c r="Q53" i="60"/>
  <c r="AU53" i="60"/>
  <c r="AL53" i="60"/>
  <c r="AK75" i="57"/>
  <c r="AK81" i="57" s="1"/>
  <c r="AL52" i="59"/>
  <c r="AL75" i="57"/>
  <c r="AL81" i="57" s="1"/>
  <c r="AJ51" i="59"/>
  <c r="AU52" i="59"/>
  <c r="AH74" i="59"/>
  <c r="AH80" i="59" s="1"/>
  <c r="AH52" i="59"/>
  <c r="Q52" i="59"/>
  <c r="AK51" i="59"/>
  <c r="AU51" i="59"/>
  <c r="L51" i="59"/>
  <c r="L73" i="59"/>
  <c r="L79" i="59" s="1"/>
  <c r="N53" i="57"/>
  <c r="AM53" i="57"/>
  <c r="AU53" i="57"/>
  <c r="AO75" i="57"/>
  <c r="AO81" i="57" s="1"/>
  <c r="T75" i="57"/>
  <c r="T81" i="57" s="1"/>
  <c r="AN75" i="57"/>
  <c r="AN81" i="57" s="1"/>
  <c r="AN53" i="57"/>
  <c r="AP75" i="57"/>
  <c r="AP81" i="57" s="1"/>
  <c r="AP53" i="57"/>
  <c r="Q75" i="57"/>
  <c r="Q81" i="57" s="1"/>
  <c r="L75" i="57"/>
  <c r="L81" i="57" s="1"/>
  <c r="L52" i="57"/>
  <c r="L74" i="57"/>
  <c r="L80" i="57" s="1"/>
  <c r="AS25" i="52"/>
  <c r="AS31" i="52" s="1"/>
  <c r="AK25" i="52"/>
  <c r="AK31" i="52" s="1"/>
  <c r="AL25" i="52"/>
  <c r="AL31" i="52" s="1"/>
  <c r="AU9" i="52"/>
  <c r="AH25" i="52"/>
  <c r="AH31" i="52" s="1"/>
  <c r="W25" i="52"/>
  <c r="W31" i="52" s="1"/>
  <c r="X25" i="52"/>
  <c r="X31" i="52" s="1"/>
  <c r="AS31" i="51"/>
  <c r="AS47" i="51"/>
  <c r="Q9" i="52"/>
  <c r="AR31" i="51"/>
  <c r="AL47" i="51"/>
  <c r="AL53" i="51" s="1"/>
  <c r="AL31" i="51"/>
  <c r="AH31" i="51"/>
  <c r="AH47" i="51"/>
  <c r="W31" i="51"/>
  <c r="W47" i="51"/>
  <c r="W53" i="51" s="1"/>
  <c r="Y53" i="51"/>
  <c r="Q9" i="51"/>
  <c r="AK25" i="51"/>
  <c r="AM25" i="51"/>
  <c r="AN25" i="51"/>
  <c r="AU9" i="51"/>
  <c r="AI31" i="51"/>
  <c r="AI47" i="51"/>
  <c r="AI53" i="51" s="1"/>
  <c r="AJ47" i="51"/>
  <c r="V31" i="51"/>
  <c r="AD31" i="51"/>
  <c r="Z53" i="35"/>
  <c r="Z48" i="35" s="1"/>
  <c r="AQ54" i="35"/>
  <c r="AJ87" i="35"/>
  <c r="AI73" i="35"/>
  <c r="AI96" i="35" s="1"/>
  <c r="AL73" i="35"/>
  <c r="AL97" i="35" s="1"/>
  <c r="AQ26" i="35"/>
  <c r="AQ27" i="35"/>
  <c r="AQ35" i="35"/>
  <c r="AQ36" i="35"/>
  <c r="AQ37" i="35"/>
  <c r="AQ38" i="35"/>
  <c r="AN73" i="35"/>
  <c r="AN93" i="35" s="1"/>
  <c r="AG73" i="35"/>
  <c r="AG87" i="35" s="1"/>
  <c r="AH73" i="35"/>
  <c r="AH94" i="35" s="1"/>
  <c r="AQ30" i="35"/>
  <c r="AQ33" i="35"/>
  <c r="AQ32" i="35"/>
  <c r="AO57" i="35"/>
  <c r="AR67" i="59" s="1"/>
  <c r="AQ29" i="35"/>
  <c r="AQ31" i="35"/>
  <c r="AQ58" i="35"/>
  <c r="AO75" i="35"/>
  <c r="AO73" i="35"/>
  <c r="AQ28" i="35"/>
  <c r="AG53" i="35"/>
  <c r="AQ25" i="35"/>
  <c r="AG40" i="35"/>
  <c r="AP73" i="35"/>
  <c r="AQ34" i="35"/>
  <c r="AJ40" i="35"/>
  <c r="AL40" i="35"/>
  <c r="AM53" i="35"/>
  <c r="AM48" i="35" s="1"/>
  <c r="AP75" i="35"/>
  <c r="AJ96" i="35"/>
  <c r="AN53" i="35"/>
  <c r="AN48" i="35" s="1"/>
  <c r="AJ94" i="35"/>
  <c r="AH40" i="35"/>
  <c r="AI53" i="35"/>
  <c r="AI48" i="35" s="1"/>
  <c r="AJ53" i="35"/>
  <c r="AJ48" i="35" s="1"/>
  <c r="AK87" i="35"/>
  <c r="AK40" i="35"/>
  <c r="AO53" i="35"/>
  <c r="AJ98" i="35"/>
  <c r="AP53" i="35"/>
  <c r="AP48" i="35" s="1"/>
  <c r="AJ76" i="35"/>
  <c r="U53" i="35"/>
  <c r="U48" i="35" s="1"/>
  <c r="W53" i="35"/>
  <c r="W48" i="35" s="1"/>
  <c r="V53" i="35"/>
  <c r="X53" i="35"/>
  <c r="X48" i="35" s="1"/>
  <c r="Y73" i="35"/>
  <c r="Y90" i="35" s="1"/>
  <c r="S53" i="35"/>
  <c r="S48" i="35" s="1"/>
  <c r="T53" i="35"/>
  <c r="T48" i="35" s="1"/>
  <c r="V73" i="35"/>
  <c r="V86" i="35" s="1"/>
  <c r="Z73" i="35"/>
  <c r="Z94" i="35" s="1"/>
  <c r="U73" i="35"/>
  <c r="U96" i="35" s="1"/>
  <c r="AA53" i="35"/>
  <c r="AA48" i="35" s="1"/>
  <c r="W73" i="35"/>
  <c r="Y75" i="35"/>
  <c r="AB53" i="35"/>
  <c r="AB48" i="35" s="1"/>
  <c r="X73" i="35"/>
  <c r="Z75" i="35"/>
  <c r="Q99" i="51"/>
  <c r="AR46" i="51"/>
  <c r="AR30" i="51"/>
  <c r="AS46" i="51"/>
  <c r="AS30" i="51"/>
  <c r="AK52" i="51"/>
  <c r="AL52" i="51"/>
  <c r="AP30" i="52"/>
  <c r="AQ54" i="52"/>
  <c r="AQ76" i="52"/>
  <c r="AQ82" i="52" s="1"/>
  <c r="Y32" i="52"/>
  <c r="Y48" i="52"/>
  <c r="AN32" i="52"/>
  <c r="AN48" i="52"/>
  <c r="AO54" i="52"/>
  <c r="AO76" i="52"/>
  <c r="AO82" i="52" s="1"/>
  <c r="Z48" i="52"/>
  <c r="AA48" i="52"/>
  <c r="AR30" i="52"/>
  <c r="AH32" i="52"/>
  <c r="AH48" i="52"/>
  <c r="Q26" i="52"/>
  <c r="AM30" i="52"/>
  <c r="AF26" i="52"/>
  <c r="V54" i="52"/>
  <c r="V76" i="52"/>
  <c r="V82" i="52" s="1"/>
  <c r="AP31" i="52"/>
  <c r="AI32" i="52"/>
  <c r="M31" i="52"/>
  <c r="W54" i="52"/>
  <c r="W76" i="52"/>
  <c r="W82" i="52" s="1"/>
  <c r="AH30" i="52"/>
  <c r="AR54" i="52"/>
  <c r="T31" i="52"/>
  <c r="AI31" i="52"/>
  <c r="AJ31" i="52"/>
  <c r="AQ30" i="52"/>
  <c r="AM32" i="52"/>
  <c r="AM48" i="52"/>
  <c r="AI30" i="52"/>
  <c r="M48" i="52"/>
  <c r="AP76" i="52"/>
  <c r="AP82" i="52" s="1"/>
  <c r="AP54" i="52"/>
  <c r="S76" i="52"/>
  <c r="S82" i="52" s="1"/>
  <c r="N48" i="52"/>
  <c r="O48" i="52"/>
  <c r="AD31" i="52"/>
  <c r="AR31" i="52"/>
  <c r="W32" i="52"/>
  <c r="AK32" i="52"/>
  <c r="X53" i="51"/>
  <c r="V48" i="51"/>
  <c r="V32" i="51"/>
  <c r="AK54" i="51"/>
  <c r="AK76" i="51"/>
  <c r="AK82" i="51" s="1"/>
  <c r="M31" i="51"/>
  <c r="M47" i="51"/>
  <c r="AQ47" i="51"/>
  <c r="AQ31" i="51"/>
  <c r="W54" i="51"/>
  <c r="W76" i="51"/>
  <c r="W82" i="51" s="1"/>
  <c r="AO24" i="51"/>
  <c r="N31" i="51"/>
  <c r="N47" i="51"/>
  <c r="AP24" i="51"/>
  <c r="O47" i="51"/>
  <c r="O31" i="51"/>
  <c r="AU39" i="51"/>
  <c r="AQ46" i="51"/>
  <c r="AJ32" i="51"/>
  <c r="AJ54" i="51"/>
  <c r="AJ76" i="51"/>
  <c r="AJ82" i="51" s="1"/>
  <c r="AR53" i="51"/>
  <c r="Y32" i="51"/>
  <c r="Y48" i="51"/>
  <c r="AK30" i="51"/>
  <c r="X31" i="51"/>
  <c r="AJ46" i="51"/>
  <c r="Z47" i="51"/>
  <c r="AO47" i="51"/>
  <c r="AL30" i="51"/>
  <c r="Y31" i="51"/>
  <c r="V53" i="51"/>
  <c r="AU8" i="51"/>
  <c r="AA76" i="51"/>
  <c r="AA82" i="51" s="1"/>
  <c r="AA54" i="51"/>
  <c r="AU40" i="51"/>
  <c r="Z32" i="51"/>
  <c r="AQ54" i="51"/>
  <c r="AQ76" i="51"/>
  <c r="AQ82" i="51" s="1"/>
  <c r="AH46" i="51"/>
  <c r="Z54" i="51"/>
  <c r="AI46" i="51"/>
  <c r="AP47" i="51"/>
  <c r="AM30" i="51"/>
  <c r="AN46" i="51"/>
  <c r="AM48" i="51"/>
  <c r="R7" i="30"/>
  <c r="R34" i="30"/>
  <c r="R84" i="30"/>
  <c r="R60" i="30"/>
  <c r="R40" i="30"/>
  <c r="R30" i="30"/>
  <c r="R44" i="30"/>
  <c r="R57" i="30"/>
  <c r="R10" i="30"/>
  <c r="R47" i="30"/>
  <c r="R12" i="30"/>
  <c r="R75" i="30"/>
  <c r="R25" i="30"/>
  <c r="R17" i="30"/>
  <c r="R67" i="30"/>
  <c r="R63" i="30"/>
  <c r="R52" i="30"/>
  <c r="R48" i="30"/>
  <c r="R43" i="30"/>
  <c r="R38" i="30"/>
  <c r="R29" i="30"/>
  <c r="R21" i="30"/>
  <c r="R89" i="30"/>
  <c r="R14" i="30"/>
  <c r="R77" i="30"/>
  <c r="R51" i="30"/>
  <c r="R9" i="30"/>
  <c r="R50" i="30"/>
  <c r="R37" i="30"/>
  <c r="R65" i="30"/>
  <c r="R45" i="30"/>
  <c r="R27" i="30"/>
  <c r="R8" i="30"/>
  <c r="R13" i="30"/>
  <c r="R11" i="30"/>
  <c r="R79" i="30"/>
  <c r="R62" i="30"/>
  <c r="R31" i="30"/>
  <c r="R90" i="30"/>
  <c r="R85" i="30"/>
  <c r="R82" i="30"/>
  <c r="R49" i="30"/>
  <c r="R35" i="30"/>
  <c r="R92" i="30"/>
  <c r="R76" i="30"/>
  <c r="R70" i="30"/>
  <c r="R66" i="30"/>
  <c r="R111" i="30"/>
  <c r="R55" i="30"/>
  <c r="R46" i="30"/>
  <c r="R33" i="30"/>
  <c r="R28" i="30"/>
  <c r="R24" i="30"/>
  <c r="R20" i="30"/>
  <c r="R69" i="30"/>
  <c r="R36" i="30"/>
  <c r="R23" i="30"/>
  <c r="R54" i="30"/>
  <c r="R91" i="30"/>
  <c r="R83" i="30"/>
  <c r="R80" i="30"/>
  <c r="R78" i="30"/>
  <c r="R68" i="30"/>
  <c r="R64" i="30"/>
  <c r="R53" i="30"/>
  <c r="R39" i="30"/>
  <c r="R26" i="30"/>
  <c r="R22" i="30"/>
  <c r="R18" i="30"/>
  <c r="R88" i="30"/>
  <c r="R81" i="30"/>
  <c r="R61" i="30"/>
  <c r="R87" i="30"/>
  <c r="R73" i="30"/>
  <c r="R58" i="30"/>
  <c r="R72" i="30"/>
  <c r="R56" i="30"/>
  <c r="R74" i="30"/>
  <c r="R86" i="30"/>
  <c r="R42" i="30"/>
  <c r="R16" i="30"/>
  <c r="R32" i="30"/>
  <c r="R19" i="30"/>
  <c r="M40" i="73"/>
  <c r="P40" i="73"/>
  <c r="F64" i="73"/>
  <c r="F29" i="73"/>
  <c r="F79" i="73"/>
  <c r="F59" i="73"/>
  <c r="F46" i="73"/>
  <c r="F62" i="73"/>
  <c r="Q88" i="73"/>
  <c r="T40" i="73"/>
  <c r="F49" i="73"/>
  <c r="K88" i="73"/>
  <c r="F27" i="73"/>
  <c r="F61" i="73"/>
  <c r="F78" i="73"/>
  <c r="N40" i="73"/>
  <c r="F74" i="73"/>
  <c r="F43" i="73"/>
  <c r="F47" i="73"/>
  <c r="S88" i="73"/>
  <c r="F65" i="73"/>
  <c r="F25" i="73"/>
  <c r="F44" i="73"/>
  <c r="F9" i="73"/>
  <c r="F81" i="73"/>
  <c r="O40" i="73"/>
  <c r="F42" i="73"/>
  <c r="L40" i="73"/>
  <c r="R88" i="73"/>
  <c r="F58" i="73"/>
  <c r="F76" i="73"/>
  <c r="F60" i="73"/>
  <c r="F77" i="73"/>
  <c r="F45" i="73"/>
  <c r="AJ9" i="75" l="1"/>
  <c r="AL9" i="75" s="1"/>
  <c r="AJ40" i="75"/>
  <c r="AL40" i="75" s="1"/>
  <c r="R1" i="30"/>
  <c r="Q82" i="51"/>
  <c r="N3" i="59"/>
  <c r="AU32" i="51"/>
  <c r="AF32" i="51"/>
  <c r="X38" i="75"/>
  <c r="Z38" i="75" s="1"/>
  <c r="AJ18" i="75"/>
  <c r="AL18" i="75" s="1"/>
  <c r="Q9" i="75"/>
  <c r="S9" i="75" s="1"/>
  <c r="AF99" i="51"/>
  <c r="E97" i="75" s="1"/>
  <c r="G97" i="75" s="1"/>
  <c r="Q25" i="52"/>
  <c r="S2" i="30"/>
  <c r="N4" i="61"/>
  <c r="AF97" i="66"/>
  <c r="B95" i="75" s="1"/>
  <c r="D95" i="75" s="1"/>
  <c r="N4" i="66"/>
  <c r="AD66" i="75"/>
  <c r="AF66" i="75" s="1"/>
  <c r="K52" i="75"/>
  <c r="H52" i="75"/>
  <c r="Q30" i="75"/>
  <c r="Q46" i="75"/>
  <c r="E52" i="75"/>
  <c r="X39" i="75"/>
  <c r="N52" i="75"/>
  <c r="AF97" i="57"/>
  <c r="AJ68" i="66"/>
  <c r="AJ75" i="66" s="1"/>
  <c r="AJ81" i="66" s="1"/>
  <c r="AG48" i="35"/>
  <c r="AB72" i="65"/>
  <c r="AC72" i="65"/>
  <c r="AA72" i="65"/>
  <c r="U72" i="65"/>
  <c r="AN75" i="66"/>
  <c r="AN81" i="66" s="1"/>
  <c r="AR68" i="66"/>
  <c r="AO48" i="35"/>
  <c r="AJ74" i="59"/>
  <c r="AJ80" i="59" s="1"/>
  <c r="AU52" i="66"/>
  <c r="Q51" i="75" s="1"/>
  <c r="AU74" i="66"/>
  <c r="AU80" i="66" s="1"/>
  <c r="AC9" i="51"/>
  <c r="AC18" i="51" s="1"/>
  <c r="U9" i="51"/>
  <c r="AA9" i="51"/>
  <c r="AA18" i="51" s="1"/>
  <c r="V60" i="35"/>
  <c r="V48" i="35"/>
  <c r="U68" i="60"/>
  <c r="AA68" i="60"/>
  <c r="AB68" i="60"/>
  <c r="AC68" i="60"/>
  <c r="Q25" i="51"/>
  <c r="AU24" i="51"/>
  <c r="X7" i="75"/>
  <c r="AU76" i="65"/>
  <c r="AU82" i="65" s="1"/>
  <c r="U25" i="66"/>
  <c r="AK97" i="51"/>
  <c r="AK94" i="59"/>
  <c r="AK96" i="65"/>
  <c r="AU25" i="51"/>
  <c r="X8" i="75"/>
  <c r="AU25" i="52"/>
  <c r="AA8" i="75"/>
  <c r="AC8" i="75" s="1"/>
  <c r="AU53" i="66"/>
  <c r="K95" i="75"/>
  <c r="K97" i="75"/>
  <c r="M97" i="75" s="1"/>
  <c r="AJ97" i="35"/>
  <c r="AJ89" i="35"/>
  <c r="AB95" i="35"/>
  <c r="AM92" i="35"/>
  <c r="S85" i="35"/>
  <c r="AJ92" i="35"/>
  <c r="AJ91" i="35"/>
  <c r="AB98" i="35"/>
  <c r="AJ93" i="35"/>
  <c r="AB89" i="35"/>
  <c r="AK98" i="35"/>
  <c r="AK93" i="35"/>
  <c r="AK92" i="35"/>
  <c r="AB85" i="35"/>
  <c r="S94" i="35"/>
  <c r="AB76" i="35"/>
  <c r="AB93" i="35"/>
  <c r="AB92" i="35"/>
  <c r="S92" i="35"/>
  <c r="AK85" i="35"/>
  <c r="AB97" i="35"/>
  <c r="AK94" i="35"/>
  <c r="AM96" i="35"/>
  <c r="AK89" i="35"/>
  <c r="AB88" i="35"/>
  <c r="S98" i="35"/>
  <c r="AM91" i="35"/>
  <c r="AK88" i="35"/>
  <c r="S91" i="35"/>
  <c r="AM95" i="35"/>
  <c r="S90" i="35"/>
  <c r="AM86" i="35"/>
  <c r="S87" i="35"/>
  <c r="AM85" i="35"/>
  <c r="Q32" i="51"/>
  <c r="AA94" i="35"/>
  <c r="S95" i="35"/>
  <c r="AM89" i="35"/>
  <c r="S76" i="35"/>
  <c r="AM87" i="35"/>
  <c r="AB96" i="35"/>
  <c r="AB90" i="35"/>
  <c r="AK95" i="35"/>
  <c r="AM88" i="35"/>
  <c r="AK91" i="35"/>
  <c r="AB87" i="35"/>
  <c r="S88" i="35"/>
  <c r="AM93" i="35"/>
  <c r="AB94" i="35"/>
  <c r="S89" i="35"/>
  <c r="AM98" i="35"/>
  <c r="AK76" i="35"/>
  <c r="S96" i="35"/>
  <c r="S93" i="35"/>
  <c r="AM76" i="35"/>
  <c r="AB91" i="35"/>
  <c r="S86" i="35"/>
  <c r="AK97" i="35"/>
  <c r="AK86" i="35"/>
  <c r="AK96" i="35"/>
  <c r="AM97" i="35"/>
  <c r="AM94" i="35"/>
  <c r="AA93" i="35"/>
  <c r="AA87" i="35"/>
  <c r="AA95" i="35"/>
  <c r="AA92" i="35"/>
  <c r="AA88" i="35"/>
  <c r="AA89" i="35"/>
  <c r="AA76" i="35"/>
  <c r="AA96" i="35"/>
  <c r="AJ85" i="35"/>
  <c r="AJ90" i="35"/>
  <c r="AA97" i="35"/>
  <c r="AA90" i="35"/>
  <c r="AA91" i="35"/>
  <c r="U98" i="35"/>
  <c r="AJ86" i="35"/>
  <c r="AJ95" i="35"/>
  <c r="AA98" i="35"/>
  <c r="AU48" i="51"/>
  <c r="AU54" i="51" s="1"/>
  <c r="AA86" i="35"/>
  <c r="AI85" i="35"/>
  <c r="T76" i="35"/>
  <c r="T85" i="35"/>
  <c r="T91" i="35"/>
  <c r="Z88" i="35"/>
  <c r="AI92" i="35"/>
  <c r="Y96" i="35"/>
  <c r="Y95" i="35"/>
  <c r="T88" i="35"/>
  <c r="Y88" i="35"/>
  <c r="AN94" i="35"/>
  <c r="Y97" i="35"/>
  <c r="AN95" i="35"/>
  <c r="Z87" i="35"/>
  <c r="Z85" i="35"/>
  <c r="Z98" i="35"/>
  <c r="U92" i="35"/>
  <c r="Y89" i="35"/>
  <c r="T86" i="35"/>
  <c r="T89" i="35"/>
  <c r="U85" i="35"/>
  <c r="T90" i="35"/>
  <c r="Z95" i="35"/>
  <c r="AI87" i="35"/>
  <c r="U91" i="35"/>
  <c r="AE22" i="35"/>
  <c r="U95" i="35"/>
  <c r="T87" i="35"/>
  <c r="U94" i="35"/>
  <c r="T93" i="35"/>
  <c r="Z91" i="35"/>
  <c r="AI91" i="35"/>
  <c r="AI93" i="35"/>
  <c r="AG90" i="35"/>
  <c r="U93" i="35"/>
  <c r="T98" i="35"/>
  <c r="Z90" i="35"/>
  <c r="AG86" i="35"/>
  <c r="U87" i="35"/>
  <c r="T97" i="35"/>
  <c r="Z89" i="35"/>
  <c r="AN98" i="35"/>
  <c r="U89" i="35"/>
  <c r="V68" i="66"/>
  <c r="T60" i="35"/>
  <c r="U68" i="66"/>
  <c r="S60" i="35"/>
  <c r="Z68" i="66"/>
  <c r="X60" i="35"/>
  <c r="Y68" i="66"/>
  <c r="W60" i="35"/>
  <c r="AA68" i="66"/>
  <c r="AP22" i="35"/>
  <c r="AO22" i="35"/>
  <c r="AN22" i="35"/>
  <c r="AM22" i="35"/>
  <c r="AL22" i="35"/>
  <c r="AK22" i="35"/>
  <c r="AJ22" i="35"/>
  <c r="AI22" i="35"/>
  <c r="AH22" i="35"/>
  <c r="AG22" i="35"/>
  <c r="AF22" i="35"/>
  <c r="AF95" i="61"/>
  <c r="AF97" i="60"/>
  <c r="AF95" i="60"/>
  <c r="AK95" i="60"/>
  <c r="AK97" i="60" s="1"/>
  <c r="AF98" i="63"/>
  <c r="AF95" i="62"/>
  <c r="AF96" i="63"/>
  <c r="AF93" i="62"/>
  <c r="AF97" i="52"/>
  <c r="H95" i="75" s="1"/>
  <c r="J95" i="75" s="1"/>
  <c r="U99" i="52"/>
  <c r="AF99" i="52" s="1"/>
  <c r="H97" i="75" s="1"/>
  <c r="J97" i="75" s="1"/>
  <c r="AK95" i="61"/>
  <c r="AF97" i="61"/>
  <c r="AK93" i="62"/>
  <c r="AK95" i="62" s="1"/>
  <c r="AK96" i="63"/>
  <c r="AK98" i="63" s="1"/>
  <c r="AB41" i="65"/>
  <c r="AB19" i="65"/>
  <c r="U41" i="65"/>
  <c r="U19" i="65"/>
  <c r="AC41" i="65"/>
  <c r="AC19" i="65"/>
  <c r="AA41" i="65"/>
  <c r="AA19" i="65"/>
  <c r="S40" i="52"/>
  <c r="S18" i="52"/>
  <c r="S25" i="52" s="1"/>
  <c r="S31" i="52" s="1"/>
  <c r="AB40" i="52"/>
  <c r="AB18" i="52"/>
  <c r="AA40" i="52"/>
  <c r="AA18" i="52"/>
  <c r="U40" i="52"/>
  <c r="U18" i="52"/>
  <c r="AC40" i="52"/>
  <c r="AC18" i="52"/>
  <c r="AS54" i="52"/>
  <c r="X76" i="51"/>
  <c r="X82" i="51" s="1"/>
  <c r="AJ98" i="65"/>
  <c r="AK97" i="57"/>
  <c r="AK97" i="66"/>
  <c r="AK99" i="51"/>
  <c r="AG71" i="68"/>
  <c r="AK99" i="52"/>
  <c r="AK96" i="59"/>
  <c r="AH66" i="68"/>
  <c r="AL97" i="51" s="1"/>
  <c r="AL99" i="51" s="1"/>
  <c r="AH61" i="68"/>
  <c r="AL95" i="57" s="1"/>
  <c r="AH60" i="68"/>
  <c r="AH58" i="68"/>
  <c r="AH70" i="68"/>
  <c r="AL96" i="65" s="1"/>
  <c r="AH69" i="68"/>
  <c r="AH68" i="68"/>
  <c r="AH65" i="68"/>
  <c r="AH64" i="68"/>
  <c r="AL94" i="59" s="1"/>
  <c r="AH62" i="68"/>
  <c r="AH59" i="68"/>
  <c r="AL68" i="66"/>
  <c r="AU72" i="65"/>
  <c r="AR74" i="59"/>
  <c r="AR80" i="59" s="1"/>
  <c r="AQ68" i="66"/>
  <c r="AQ57" i="35"/>
  <c r="AU67" i="59"/>
  <c r="AU74" i="59" s="1"/>
  <c r="AU80" i="59" s="1"/>
  <c r="AS68" i="66"/>
  <c r="AM68" i="66"/>
  <c r="AP68" i="66"/>
  <c r="U68" i="51"/>
  <c r="AD68" i="66"/>
  <c r="X68" i="66"/>
  <c r="W68" i="66"/>
  <c r="AF48" i="51"/>
  <c r="AF54" i="51" s="1"/>
  <c r="AB54" i="51"/>
  <c r="AR76" i="51"/>
  <c r="AR82" i="51" s="1"/>
  <c r="Y59" i="66"/>
  <c r="AF9" i="52"/>
  <c r="AG9" i="52" s="1"/>
  <c r="AC25" i="63"/>
  <c r="AC47" i="63" s="1"/>
  <c r="AB25" i="63"/>
  <c r="AB31" i="63" s="1"/>
  <c r="AC40" i="66"/>
  <c r="AC18" i="66"/>
  <c r="AC25" i="66" s="1"/>
  <c r="AC17" i="59"/>
  <c r="AC24" i="59" s="1"/>
  <c r="AC39" i="59"/>
  <c r="AC31" i="57"/>
  <c r="AC47" i="57"/>
  <c r="AC40" i="60"/>
  <c r="AC18" i="60"/>
  <c r="AC68" i="66"/>
  <c r="AC25" i="61"/>
  <c r="Z97" i="35"/>
  <c r="AB68" i="66"/>
  <c r="Z93" i="35"/>
  <c r="AB17" i="59"/>
  <c r="AB24" i="59" s="1"/>
  <c r="AB39" i="59"/>
  <c r="AB25" i="61"/>
  <c r="Z86" i="35"/>
  <c r="AB25" i="60"/>
  <c r="AB25" i="66"/>
  <c r="AB25" i="57"/>
  <c r="U25" i="61"/>
  <c r="U31" i="61" s="1"/>
  <c r="U25" i="63"/>
  <c r="U47" i="63" s="1"/>
  <c r="AA25" i="61"/>
  <c r="AA40" i="60"/>
  <c r="AA18" i="60"/>
  <c r="AA40" i="66"/>
  <c r="AA18" i="66"/>
  <c r="AA25" i="66" s="1"/>
  <c r="AA31" i="57"/>
  <c r="AA47" i="57"/>
  <c r="AA25" i="63"/>
  <c r="AA31" i="63" s="1"/>
  <c r="AA17" i="59"/>
  <c r="AA24" i="59" s="1"/>
  <c r="AA39" i="59"/>
  <c r="V97" i="35"/>
  <c r="U40" i="66"/>
  <c r="U17" i="59"/>
  <c r="U24" i="59" s="1"/>
  <c r="U39" i="59"/>
  <c r="U18" i="60"/>
  <c r="U40" i="60"/>
  <c r="U25" i="57"/>
  <c r="S47" i="61"/>
  <c r="S31" i="61"/>
  <c r="AF18" i="61"/>
  <c r="AF25" i="61" s="1"/>
  <c r="S31" i="57"/>
  <c r="S47" i="57"/>
  <c r="AF40" i="57"/>
  <c r="AF40" i="63"/>
  <c r="AF18" i="57"/>
  <c r="AF25" i="57" s="1"/>
  <c r="S31" i="63"/>
  <c r="S47" i="63"/>
  <c r="AF40" i="61"/>
  <c r="AF18" i="63"/>
  <c r="AF25" i="63" s="1"/>
  <c r="L42" i="56"/>
  <c r="G3" i="68"/>
  <c r="M113" i="30"/>
  <c r="M207" i="30" s="1"/>
  <c r="AS76" i="51"/>
  <c r="AS82" i="51" s="1"/>
  <c r="AC76" i="51"/>
  <c r="AC82" i="51" s="1"/>
  <c r="M76" i="51"/>
  <c r="M82" i="51" s="1"/>
  <c r="X76" i="52"/>
  <c r="X82" i="52" s="1"/>
  <c r="AL76" i="52"/>
  <c r="AL82" i="52" s="1"/>
  <c r="AU32" i="52"/>
  <c r="T76" i="52"/>
  <c r="T82" i="52" s="1"/>
  <c r="AL76" i="51"/>
  <c r="AL82" i="51" s="1"/>
  <c r="AI54" i="51"/>
  <c r="AI76" i="51"/>
  <c r="AI82" i="51" s="1"/>
  <c r="AH54" i="51"/>
  <c r="AH76" i="51"/>
  <c r="AH82" i="51" s="1"/>
  <c r="AD76" i="51"/>
  <c r="AD82" i="51" s="1"/>
  <c r="N76" i="51"/>
  <c r="N82" i="51" s="1"/>
  <c r="Q54" i="51"/>
  <c r="AS53" i="51"/>
  <c r="AH53" i="51"/>
  <c r="AN47" i="51"/>
  <c r="AN31" i="51"/>
  <c r="AM47" i="51"/>
  <c r="AM31" i="51"/>
  <c r="AK47" i="51"/>
  <c r="AK31" i="51"/>
  <c r="AJ53" i="51"/>
  <c r="AL87" i="35"/>
  <c r="V92" i="35"/>
  <c r="AG96" i="35"/>
  <c r="V85" i="35"/>
  <c r="AH92" i="35"/>
  <c r="AG95" i="35"/>
  <c r="V91" i="35"/>
  <c r="U97" i="35"/>
  <c r="T96" i="35"/>
  <c r="T95" i="35"/>
  <c r="Y85" i="35"/>
  <c r="AG93" i="35"/>
  <c r="V76" i="35"/>
  <c r="V88" i="35"/>
  <c r="V94" i="35"/>
  <c r="AH87" i="35"/>
  <c r="AH93" i="35"/>
  <c r="Y94" i="35"/>
  <c r="AH76" i="35"/>
  <c r="AL85" i="35"/>
  <c r="AG92" i="35"/>
  <c r="AG94" i="35"/>
  <c r="V95" i="35"/>
  <c r="V90" i="35"/>
  <c r="U76" i="35"/>
  <c r="T94" i="35"/>
  <c r="Y76" i="35"/>
  <c r="AL96" i="35"/>
  <c r="AG97" i="35"/>
  <c r="AG88" i="35"/>
  <c r="AL95" i="35"/>
  <c r="AG89" i="35"/>
  <c r="V89" i="35"/>
  <c r="AL94" i="35"/>
  <c r="AH91" i="35"/>
  <c r="AG85" i="35"/>
  <c r="V98" i="35"/>
  <c r="V87" i="35"/>
  <c r="V93" i="35"/>
  <c r="V96" i="35"/>
  <c r="U88" i="35"/>
  <c r="AL86" i="35"/>
  <c r="AG76" i="35"/>
  <c r="AG98" i="35"/>
  <c r="AH90" i="35"/>
  <c r="AG91" i="35"/>
  <c r="AN90" i="35"/>
  <c r="AI90" i="35"/>
  <c r="AI88" i="35"/>
  <c r="AI89" i="35"/>
  <c r="AI76" i="35"/>
  <c r="AI86" i="35"/>
  <c r="AI97" i="35"/>
  <c r="AH96" i="35"/>
  <c r="AN89" i="35"/>
  <c r="AI95" i="35"/>
  <c r="AH85" i="35"/>
  <c r="AI98" i="35"/>
  <c r="AH97" i="35"/>
  <c r="AN88" i="35"/>
  <c r="AN91" i="35"/>
  <c r="AH95" i="35"/>
  <c r="AL98" i="35"/>
  <c r="AN85" i="35"/>
  <c r="AN76" i="35"/>
  <c r="AN97" i="35"/>
  <c r="AH89" i="35"/>
  <c r="AH88" i="35"/>
  <c r="AN92" i="35"/>
  <c r="AN87" i="35"/>
  <c r="AN96" i="35"/>
  <c r="AL93" i="35"/>
  <c r="AL88" i="35"/>
  <c r="AL90" i="35"/>
  <c r="AL76" i="35"/>
  <c r="AL92" i="35"/>
  <c r="AL89" i="35"/>
  <c r="AL91" i="35"/>
  <c r="AH86" i="35"/>
  <c r="AH98" i="35"/>
  <c r="AI94" i="35"/>
  <c r="AN86" i="35"/>
  <c r="AO96" i="35"/>
  <c r="AO90" i="35"/>
  <c r="AO91" i="35"/>
  <c r="AO94" i="35"/>
  <c r="AO97" i="35"/>
  <c r="AO85" i="35"/>
  <c r="AO98" i="35"/>
  <c r="AO86" i="35"/>
  <c r="AO89" i="35"/>
  <c r="AO76" i="35"/>
  <c r="AO92" i="35"/>
  <c r="AO93" i="35"/>
  <c r="AO87" i="35"/>
  <c r="AO88" i="35"/>
  <c r="AO95" i="35"/>
  <c r="AQ40" i="35"/>
  <c r="AP97" i="35"/>
  <c r="AP85" i="35"/>
  <c r="AP91" i="35"/>
  <c r="AP94" i="35"/>
  <c r="AP98" i="35"/>
  <c r="AP86" i="35"/>
  <c r="AP87" i="35"/>
  <c r="AP90" i="35"/>
  <c r="AP76" i="35"/>
  <c r="AP92" i="35"/>
  <c r="AP93" i="35"/>
  <c r="AP88" i="35"/>
  <c r="AP89" i="35"/>
  <c r="AP95" i="35"/>
  <c r="AP96" i="35"/>
  <c r="AQ53" i="35"/>
  <c r="Y86" i="35"/>
  <c r="U86" i="35"/>
  <c r="Z96" i="35"/>
  <c r="Z92" i="35"/>
  <c r="Y92" i="35"/>
  <c r="Y98" i="35"/>
  <c r="U90" i="35"/>
  <c r="Z76" i="35"/>
  <c r="Y87" i="35"/>
  <c r="Y91" i="35"/>
  <c r="Y93" i="35"/>
  <c r="X97" i="35"/>
  <c r="X91" i="35"/>
  <c r="X85" i="35"/>
  <c r="X93" i="35"/>
  <c r="X94" i="35"/>
  <c r="X89" i="35"/>
  <c r="X95" i="35"/>
  <c r="X96" i="35"/>
  <c r="X98" i="35"/>
  <c r="X92" i="35"/>
  <c r="X86" i="35"/>
  <c r="X87" i="35"/>
  <c r="X88" i="35"/>
  <c r="X76" i="35"/>
  <c r="X90" i="35"/>
  <c r="W87" i="35"/>
  <c r="W95" i="35"/>
  <c r="W96" i="35"/>
  <c r="W97" i="35"/>
  <c r="W91" i="35"/>
  <c r="W85" i="35"/>
  <c r="W93" i="35"/>
  <c r="W94" i="35"/>
  <c r="W88" i="35"/>
  <c r="W76" i="35"/>
  <c r="W89" i="35"/>
  <c r="W90" i="35"/>
  <c r="W98" i="35"/>
  <c r="W92" i="35"/>
  <c r="W86" i="35"/>
  <c r="AR74" i="51"/>
  <c r="AR80" i="51" s="1"/>
  <c r="AR52" i="51"/>
  <c r="AS74" i="51"/>
  <c r="AS80" i="51" s="1"/>
  <c r="AS52" i="51"/>
  <c r="AA76" i="52"/>
  <c r="AA82" i="52" s="1"/>
  <c r="AA54" i="52"/>
  <c r="AU76" i="52"/>
  <c r="AU82" i="52" s="1"/>
  <c r="AU54" i="52"/>
  <c r="AF48" i="52"/>
  <c r="AF32" i="52"/>
  <c r="AH76" i="52"/>
  <c r="AH82" i="52" s="1"/>
  <c r="AH54" i="52"/>
  <c r="Q48" i="52"/>
  <c r="Q32" i="52"/>
  <c r="Z76" i="52"/>
  <c r="Z82" i="52" s="1"/>
  <c r="Z54" i="52"/>
  <c r="O76" i="52"/>
  <c r="O82" i="52" s="1"/>
  <c r="O54" i="52"/>
  <c r="AM76" i="52"/>
  <c r="AM82" i="52" s="1"/>
  <c r="AM54" i="52"/>
  <c r="AN76" i="52"/>
  <c r="AN82" i="52" s="1"/>
  <c r="AN54" i="52"/>
  <c r="Y76" i="52"/>
  <c r="Y82" i="52" s="1"/>
  <c r="Y54" i="52"/>
  <c r="M54" i="52"/>
  <c r="M76" i="52"/>
  <c r="M82" i="52" s="1"/>
  <c r="N76" i="52"/>
  <c r="N82" i="52" s="1"/>
  <c r="N54" i="52"/>
  <c r="AQ52" i="51"/>
  <c r="AQ74" i="51"/>
  <c r="AQ80" i="51" s="1"/>
  <c r="AM76" i="51"/>
  <c r="AM82" i="51" s="1"/>
  <c r="AM54" i="51"/>
  <c r="AQ53" i="51"/>
  <c r="AN52" i="51"/>
  <c r="AN74" i="51"/>
  <c r="AN80" i="51" s="1"/>
  <c r="AP53" i="51"/>
  <c r="AO30" i="51"/>
  <c r="AO46" i="51"/>
  <c r="AH74" i="51"/>
  <c r="AH80" i="51" s="1"/>
  <c r="AH52" i="51"/>
  <c r="AP30" i="51"/>
  <c r="AP46" i="51"/>
  <c r="AI52" i="51"/>
  <c r="AI74" i="51"/>
  <c r="AI80" i="51" s="1"/>
  <c r="AJ52" i="51"/>
  <c r="AJ74" i="51"/>
  <c r="AJ80" i="51" s="1"/>
  <c r="V54" i="51"/>
  <c r="V76" i="51"/>
  <c r="V82" i="51" s="1"/>
  <c r="Z75" i="51"/>
  <c r="Z81" i="51" s="1"/>
  <c r="Z53" i="51"/>
  <c r="O53" i="51"/>
  <c r="M53" i="51"/>
  <c r="Y76" i="51"/>
  <c r="Y82" i="51" s="1"/>
  <c r="Y54" i="51"/>
  <c r="AO53" i="51"/>
  <c r="N53" i="51"/>
  <c r="R94" i="30"/>
  <c r="R113" i="30" s="1"/>
  <c r="R207" i="30" s="1"/>
  <c r="L113" i="30"/>
  <c r="L207" i="30" s="1"/>
  <c r="K113" i="30"/>
  <c r="K207" i="30" s="1"/>
  <c r="G60" i="73"/>
  <c r="G49" i="73"/>
  <c r="G47" i="73"/>
  <c r="S40" i="73"/>
  <c r="G29" i="73"/>
  <c r="K40" i="73"/>
  <c r="G79" i="73"/>
  <c r="G62" i="73"/>
  <c r="R40" i="73"/>
  <c r="G25" i="73"/>
  <c r="G61" i="73"/>
  <c r="G45" i="73"/>
  <c r="G64" i="73"/>
  <c r="G74" i="73"/>
  <c r="G78" i="73"/>
  <c r="G58" i="73"/>
  <c r="G81" i="73"/>
  <c r="G76" i="73"/>
  <c r="G27" i="73"/>
  <c r="G9" i="73"/>
  <c r="Q40" i="73"/>
  <c r="G42" i="73"/>
  <c r="G59" i="73"/>
  <c r="G44" i="73"/>
  <c r="G46" i="73"/>
  <c r="G77" i="73"/>
  <c r="G43" i="73"/>
  <c r="G65" i="73"/>
  <c r="AV9" i="52" l="1"/>
  <c r="Q31" i="52"/>
  <c r="Q47" i="51"/>
  <c r="Q53" i="51" s="1"/>
  <c r="AU46" i="51"/>
  <c r="AU52" i="51" s="1"/>
  <c r="O3" i="59"/>
  <c r="AU31" i="52"/>
  <c r="AU31" i="51"/>
  <c r="O4" i="61"/>
  <c r="O4" i="66"/>
  <c r="AD69" i="75"/>
  <c r="AF69" i="75" s="1"/>
  <c r="Q52" i="75"/>
  <c r="Q31" i="51"/>
  <c r="Y68" i="32"/>
  <c r="Z68" i="32"/>
  <c r="AR75" i="66"/>
  <c r="AR81" i="66" s="1"/>
  <c r="V68" i="32"/>
  <c r="AQ48" i="35"/>
  <c r="AU30" i="51"/>
  <c r="H8" i="75"/>
  <c r="J8" i="75" s="1"/>
  <c r="Z7" i="75"/>
  <c r="AJ7" i="75"/>
  <c r="AL7" i="75" s="1"/>
  <c r="U31" i="66"/>
  <c r="AL60" i="37"/>
  <c r="AL97" i="52"/>
  <c r="AU47" i="51"/>
  <c r="AU53" i="51" s="1"/>
  <c r="M95" i="75"/>
  <c r="Q95" i="75"/>
  <c r="Z75" i="66"/>
  <c r="Z81" i="66" s="1"/>
  <c r="AU76" i="51"/>
  <c r="AU82" i="51" s="1"/>
  <c r="AB100" i="35"/>
  <c r="AB101" i="35" s="1"/>
  <c r="S100" i="35"/>
  <c r="S101" i="35" s="1"/>
  <c r="AM100" i="35"/>
  <c r="AM101" i="35" s="1"/>
  <c r="AK100" i="35"/>
  <c r="AK101" i="35" s="1"/>
  <c r="AA100" i="35"/>
  <c r="AA101" i="35" s="1"/>
  <c r="AJ100" i="35"/>
  <c r="AJ101" i="35" s="1"/>
  <c r="Y75" i="66"/>
  <c r="Y81" i="66" s="1"/>
  <c r="U68" i="32"/>
  <c r="AG100" i="35"/>
  <c r="AG101" i="35" s="1"/>
  <c r="T100" i="35"/>
  <c r="T101" i="35" s="1"/>
  <c r="V75" i="66"/>
  <c r="V81" i="66" s="1"/>
  <c r="AQ90" i="35"/>
  <c r="U100" i="35"/>
  <c r="U101" i="35" s="1"/>
  <c r="AL95" i="61"/>
  <c r="AL97" i="61" s="1"/>
  <c r="AL75" i="61"/>
  <c r="AL81" i="61" s="1"/>
  <c r="AL97" i="57"/>
  <c r="AL96" i="63"/>
  <c r="AL93" i="62"/>
  <c r="AL95" i="62" s="1"/>
  <c r="AK75" i="61"/>
  <c r="AK81" i="61" s="1"/>
  <c r="AK97" i="61"/>
  <c r="AL95" i="60"/>
  <c r="AL97" i="60" s="1"/>
  <c r="AU68" i="66"/>
  <c r="AF18" i="52"/>
  <c r="AF40" i="52"/>
  <c r="U40" i="51"/>
  <c r="U18" i="51"/>
  <c r="AF76" i="51"/>
  <c r="AF82" i="51" s="1"/>
  <c r="AB40" i="51"/>
  <c r="AB18" i="51"/>
  <c r="AB25" i="51" s="1"/>
  <c r="AC9" i="32"/>
  <c r="AC40" i="51"/>
  <c r="AA9" i="32"/>
  <c r="AA40" i="51"/>
  <c r="AK98" i="65"/>
  <c r="AI70" i="68"/>
  <c r="AM96" i="65" s="1"/>
  <c r="AI69" i="68"/>
  <c r="AM60" i="37" s="1"/>
  <c r="AI68" i="68"/>
  <c r="AI66" i="68"/>
  <c r="AI65" i="68"/>
  <c r="AI64" i="68"/>
  <c r="AI62" i="68"/>
  <c r="AM97" i="52" s="1"/>
  <c r="AI61" i="68"/>
  <c r="AM95" i="57" s="1"/>
  <c r="AI60" i="68"/>
  <c r="AI59" i="68"/>
  <c r="AI58" i="68"/>
  <c r="AL97" i="66"/>
  <c r="AL99" i="66" s="1"/>
  <c r="AK99" i="66"/>
  <c r="AH71" i="68"/>
  <c r="AL96" i="59"/>
  <c r="AQ75" i="66"/>
  <c r="AQ81" i="66" s="1"/>
  <c r="AS75" i="66"/>
  <c r="AS81" i="66" s="1"/>
  <c r="AP75" i="66"/>
  <c r="AP81" i="66" s="1"/>
  <c r="AM75" i="66"/>
  <c r="AM81" i="66" s="1"/>
  <c r="AL75" i="66"/>
  <c r="AL81" i="66" s="1"/>
  <c r="X68" i="32"/>
  <c r="X75" i="66"/>
  <c r="X81" i="66" s="1"/>
  <c r="W75" i="66"/>
  <c r="W81" i="66" s="1"/>
  <c r="AD75" i="66"/>
  <c r="AD81" i="66" s="1"/>
  <c r="Z59" i="66"/>
  <c r="AC31" i="63"/>
  <c r="AB47" i="63"/>
  <c r="U47" i="61"/>
  <c r="U75" i="61" s="1"/>
  <c r="U81" i="61" s="1"/>
  <c r="AC25" i="52"/>
  <c r="AC31" i="52" s="1"/>
  <c r="AB26" i="65"/>
  <c r="AB32" i="65" s="1"/>
  <c r="AC47" i="61"/>
  <c r="AC31" i="61"/>
  <c r="AC53" i="57"/>
  <c r="AC75" i="57"/>
  <c r="AC81" i="57" s="1"/>
  <c r="AC31" i="66"/>
  <c r="AC47" i="66"/>
  <c r="AC26" i="65"/>
  <c r="AC30" i="59"/>
  <c r="AC46" i="59"/>
  <c r="AC25" i="60"/>
  <c r="AC53" i="63"/>
  <c r="AB47" i="61"/>
  <c r="AB31" i="61"/>
  <c r="AA25" i="60"/>
  <c r="AA47" i="60" s="1"/>
  <c r="AB9" i="32"/>
  <c r="AB25" i="52"/>
  <c r="AB31" i="52" s="1"/>
  <c r="AB30" i="59"/>
  <c r="AB46" i="59"/>
  <c r="AB31" i="57"/>
  <c r="AB47" i="57"/>
  <c r="AB31" i="66"/>
  <c r="AB47" i="66"/>
  <c r="AB47" i="60"/>
  <c r="AB31" i="60"/>
  <c r="U31" i="63"/>
  <c r="AA25" i="52"/>
  <c r="AA31" i="52" s="1"/>
  <c r="AA31" i="66"/>
  <c r="AA47" i="66"/>
  <c r="AA30" i="59"/>
  <c r="AA46" i="59"/>
  <c r="AA47" i="63"/>
  <c r="AA31" i="61"/>
  <c r="AA47" i="61"/>
  <c r="AA26" i="65"/>
  <c r="AA75" i="57"/>
  <c r="AA81" i="57" s="1"/>
  <c r="AA53" i="57"/>
  <c r="V100" i="35"/>
  <c r="V101" i="35" s="1"/>
  <c r="U25" i="52"/>
  <c r="U31" i="52" s="1"/>
  <c r="U25" i="60"/>
  <c r="U31" i="60" s="1"/>
  <c r="U46" i="59"/>
  <c r="U30" i="59"/>
  <c r="U26" i="65"/>
  <c r="U32" i="65" s="1"/>
  <c r="U53" i="63"/>
  <c r="U9" i="32"/>
  <c r="U47" i="66"/>
  <c r="U31" i="57"/>
  <c r="U47" i="57"/>
  <c r="S53" i="57"/>
  <c r="S75" i="57"/>
  <c r="S81" i="57" s="1"/>
  <c r="AF31" i="63"/>
  <c r="AF47" i="63"/>
  <c r="S53" i="63"/>
  <c r="AF31" i="61"/>
  <c r="AF47" i="61"/>
  <c r="AF31" i="57"/>
  <c r="AF47" i="57"/>
  <c r="S75" i="61"/>
  <c r="S81" i="61" s="1"/>
  <c r="S53" i="61"/>
  <c r="M42" i="56"/>
  <c r="H3" i="68"/>
  <c r="AK53" i="51"/>
  <c r="AM53" i="51"/>
  <c r="AN53" i="51"/>
  <c r="AQ92" i="35"/>
  <c r="Y100" i="35"/>
  <c r="Y101" i="35" s="1"/>
  <c r="AQ89" i="35"/>
  <c r="AQ86" i="35"/>
  <c r="AN100" i="35"/>
  <c r="AN101" i="35" s="1"/>
  <c r="AI100" i="35"/>
  <c r="AI101" i="35" s="1"/>
  <c r="AH100" i="35"/>
  <c r="AH101" i="35" s="1"/>
  <c r="Z100" i="35"/>
  <c r="Z101" i="35" s="1"/>
  <c r="AQ93" i="35"/>
  <c r="AL100" i="35"/>
  <c r="AL101" i="35" s="1"/>
  <c r="AQ97" i="35"/>
  <c r="AQ88" i="35"/>
  <c r="AQ98" i="35"/>
  <c r="AQ95" i="35"/>
  <c r="AQ91" i="35"/>
  <c r="AQ94" i="35"/>
  <c r="AQ87" i="35"/>
  <c r="AQ96" i="35"/>
  <c r="AO100" i="35"/>
  <c r="AO101" i="35" s="1"/>
  <c r="AP100" i="35"/>
  <c r="AP101" i="35" s="1"/>
  <c r="AQ85" i="35"/>
  <c r="W100" i="35"/>
  <c r="W101" i="35" s="1"/>
  <c r="X100" i="35"/>
  <c r="X101" i="35" s="1"/>
  <c r="Q76" i="52"/>
  <c r="Q54" i="52"/>
  <c r="AF76" i="52"/>
  <c r="AF82" i="52" s="1"/>
  <c r="AF54" i="52"/>
  <c r="AU74" i="51"/>
  <c r="AU80" i="51" s="1"/>
  <c r="AP74" i="51"/>
  <c r="AP80" i="51" s="1"/>
  <c r="AP52" i="51"/>
  <c r="AO74" i="51"/>
  <c r="AO80" i="51" s="1"/>
  <c r="AO52" i="51"/>
  <c r="N36" i="22"/>
  <c r="I42" i="73"/>
  <c r="O25" i="73"/>
  <c r="N80" i="73"/>
  <c r="K58" i="73"/>
  <c r="I79" i="73"/>
  <c r="I58" i="73"/>
  <c r="AE29" i="73"/>
  <c r="P59" i="73"/>
  <c r="T48" i="73"/>
  <c r="Y48" i="73"/>
  <c r="Z27" i="73"/>
  <c r="AB9" i="73"/>
  <c r="P25" i="73"/>
  <c r="W64" i="73"/>
  <c r="AB77" i="73"/>
  <c r="T49" i="73"/>
  <c r="L78" i="73"/>
  <c r="Z61" i="73"/>
  <c r="AA80" i="73"/>
  <c r="L74" i="73"/>
  <c r="AE48" i="73"/>
  <c r="M64" i="73"/>
  <c r="I62" i="73"/>
  <c r="O61" i="73"/>
  <c r="P49" i="73"/>
  <c r="R64" i="73"/>
  <c r="J42" i="73"/>
  <c r="AA25" i="73"/>
  <c r="V42" i="73"/>
  <c r="W48" i="73"/>
  <c r="J58" i="73"/>
  <c r="T46" i="73"/>
  <c r="J79" i="73"/>
  <c r="V81" i="73"/>
  <c r="M42" i="73"/>
  <c r="X58" i="73"/>
  <c r="U64" i="73"/>
  <c r="AD49" i="73"/>
  <c r="P45" i="73"/>
  <c r="J59" i="73"/>
  <c r="Q45" i="73"/>
  <c r="AA77" i="73"/>
  <c r="Y79" i="73"/>
  <c r="V7" i="73"/>
  <c r="L44" i="73"/>
  <c r="AE46" i="73"/>
  <c r="P29" i="73"/>
  <c r="Y60" i="73"/>
  <c r="AB42" i="73"/>
  <c r="V48" i="73"/>
  <c r="AA46" i="73"/>
  <c r="U7" i="73"/>
  <c r="M62" i="73"/>
  <c r="AE77" i="73"/>
  <c r="K61" i="73"/>
  <c r="J65" i="73"/>
  <c r="AD9" i="73"/>
  <c r="AD43" i="73"/>
  <c r="S43" i="73"/>
  <c r="AD78" i="73"/>
  <c r="Q60" i="73"/>
  <c r="K77" i="73"/>
  <c r="T58" i="73"/>
  <c r="U61" i="73"/>
  <c r="R59" i="73"/>
  <c r="AA45" i="73"/>
  <c r="P77" i="73"/>
  <c r="S29" i="73"/>
  <c r="AB76" i="73"/>
  <c r="N42" i="73"/>
  <c r="S59" i="73"/>
  <c r="K45" i="73"/>
  <c r="I77" i="73"/>
  <c r="J46" i="73"/>
  <c r="P78" i="73"/>
  <c r="S46" i="73"/>
  <c r="H76" i="73"/>
  <c r="I64" i="73"/>
  <c r="S77" i="73"/>
  <c r="I76" i="73"/>
  <c r="Y61" i="73"/>
  <c r="T45" i="73"/>
  <c r="K25" i="73"/>
  <c r="I81" i="73"/>
  <c r="H62" i="73"/>
  <c r="AC49" i="73"/>
  <c r="Z48" i="73"/>
  <c r="AE27" i="73"/>
  <c r="N58" i="73"/>
  <c r="O62" i="73"/>
  <c r="N43" i="73"/>
  <c r="I44" i="73"/>
  <c r="Q9" i="73"/>
  <c r="W29" i="73"/>
  <c r="J74" i="73"/>
  <c r="M29" i="73"/>
  <c r="P81" i="73"/>
  <c r="N77" i="73"/>
  <c r="Z49" i="73"/>
  <c r="R44" i="73"/>
  <c r="AC60" i="73"/>
  <c r="W43" i="73"/>
  <c r="AC45" i="73"/>
  <c r="U49" i="73"/>
  <c r="L81" i="73"/>
  <c r="R78" i="73"/>
  <c r="AD58" i="73"/>
  <c r="AE49" i="73"/>
  <c r="X80" i="73"/>
  <c r="AA48" i="73"/>
  <c r="Y65" i="73"/>
  <c r="AB60" i="73"/>
  <c r="AB80" i="73"/>
  <c r="L29" i="73"/>
  <c r="V58" i="73"/>
  <c r="L42" i="73"/>
  <c r="O81" i="73"/>
  <c r="M45" i="73"/>
  <c r="J78" i="73"/>
  <c r="N79" i="73"/>
  <c r="I45" i="73"/>
  <c r="Y76" i="73"/>
  <c r="M58" i="73"/>
  <c r="Q78" i="73"/>
  <c r="K44" i="73"/>
  <c r="Z25" i="73"/>
  <c r="V76" i="73"/>
  <c r="AA44" i="73"/>
  <c r="T65" i="73"/>
  <c r="AE64" i="73"/>
  <c r="Y44" i="73"/>
  <c r="M44" i="73"/>
  <c r="AF78" i="73"/>
  <c r="T60" i="73"/>
  <c r="M59" i="73"/>
  <c r="AF43" i="73"/>
  <c r="S25" i="73"/>
  <c r="Q42" i="73"/>
  <c r="Z23" i="73"/>
  <c r="AF44" i="73"/>
  <c r="N45" i="73"/>
  <c r="L59" i="73"/>
  <c r="Q64" i="73"/>
  <c r="V27" i="73"/>
  <c r="I74" i="73"/>
  <c r="L60" i="73"/>
  <c r="W61" i="73"/>
  <c r="N76" i="73"/>
  <c r="Y23" i="73"/>
  <c r="X78" i="73"/>
  <c r="U75" i="73"/>
  <c r="T79" i="73"/>
  <c r="I60" i="73"/>
  <c r="AF79" i="73"/>
  <c r="W9" i="73"/>
  <c r="J45" i="73"/>
  <c r="AD44" i="73"/>
  <c r="T29" i="73"/>
  <c r="I61" i="73"/>
  <c r="AA23" i="73"/>
  <c r="U77" i="73"/>
  <c r="O74" i="73"/>
  <c r="AE45" i="73"/>
  <c r="M49" i="73"/>
  <c r="X43" i="73"/>
  <c r="W46" i="73"/>
  <c r="Z44" i="73"/>
  <c r="N48" i="73"/>
  <c r="K81" i="73"/>
  <c r="Y49" i="73"/>
  <c r="Q59" i="73"/>
  <c r="O77" i="73"/>
  <c r="N78" i="73"/>
  <c r="AB64" i="73"/>
  <c r="S79" i="73"/>
  <c r="W25" i="73"/>
  <c r="Q65" i="73"/>
  <c r="S60" i="73"/>
  <c r="AE81" i="73"/>
  <c r="R61" i="73"/>
  <c r="N74" i="73"/>
  <c r="K60" i="73"/>
  <c r="R76" i="73"/>
  <c r="Z7" i="73"/>
  <c r="Q46" i="73"/>
  <c r="AC46" i="73"/>
  <c r="I78" i="73"/>
  <c r="W81" i="73"/>
  <c r="AC27" i="73"/>
  <c r="T78" i="73"/>
  <c r="AA79" i="73"/>
  <c r="N81" i="73"/>
  <c r="AE61" i="73"/>
  <c r="R42" i="73"/>
  <c r="L77" i="73"/>
  <c r="J49" i="73"/>
  <c r="AC78" i="73"/>
  <c r="R48" i="73"/>
  <c r="AA62" i="73"/>
  <c r="T9" i="73"/>
  <c r="R80" i="73"/>
  <c r="Z78" i="73"/>
  <c r="AF65" i="73"/>
  <c r="Q58" i="73"/>
  <c r="H47" i="73"/>
  <c r="M43" i="73"/>
  <c r="AC42" i="73"/>
  <c r="M25" i="73"/>
  <c r="AF49" i="73"/>
  <c r="S65" i="73"/>
  <c r="U79" i="73"/>
  <c r="Z9" i="73"/>
  <c r="J25" i="73"/>
  <c r="AF80" i="73"/>
  <c r="Q61" i="73"/>
  <c r="P61" i="73"/>
  <c r="K48" i="73"/>
  <c r="Y27" i="73"/>
  <c r="T76" i="73"/>
  <c r="O80" i="73"/>
  <c r="Q62" i="73"/>
  <c r="R79" i="73"/>
  <c r="AB29" i="73"/>
  <c r="X29" i="73"/>
  <c r="AD48" i="73"/>
  <c r="AE23" i="73"/>
  <c r="AC44" i="73"/>
  <c r="AD81" i="73"/>
  <c r="AF29" i="73"/>
  <c r="S80" i="73"/>
  <c r="Z60" i="73"/>
  <c r="U29" i="73"/>
  <c r="W23" i="73"/>
  <c r="AF9" i="73"/>
  <c r="R49" i="73"/>
  <c r="U80" i="73"/>
  <c r="P79" i="73"/>
  <c r="AC62" i="73"/>
  <c r="AB44" i="73"/>
  <c r="H81" i="73"/>
  <c r="AF61" i="73"/>
  <c r="R29" i="73"/>
  <c r="AA29" i="73"/>
  <c r="Y81" i="73"/>
  <c r="K64" i="73"/>
  <c r="I65" i="73"/>
  <c r="V77" i="73"/>
  <c r="AA78" i="73"/>
  <c r="AC29" i="73"/>
  <c r="O79" i="73"/>
  <c r="U46" i="73"/>
  <c r="K49" i="73"/>
  <c r="T80" i="73"/>
  <c r="H42" i="73"/>
  <c r="M46" i="73"/>
  <c r="O42" i="73"/>
  <c r="X23" i="73"/>
  <c r="Y77" i="73"/>
  <c r="Y78" i="73"/>
  <c r="Z29" i="73"/>
  <c r="U23" i="73"/>
  <c r="J76" i="73"/>
  <c r="AD76" i="73"/>
  <c r="Z76" i="73"/>
  <c r="K65" i="73"/>
  <c r="U42" i="73"/>
  <c r="AA49" i="73"/>
  <c r="O9" i="73"/>
  <c r="I29" i="73"/>
  <c r="L65" i="73"/>
  <c r="AC77" i="73"/>
  <c r="S81" i="73"/>
  <c r="K9" i="73"/>
  <c r="AF64" i="73"/>
  <c r="L61" i="73"/>
  <c r="AC48" i="73"/>
  <c r="P44" i="73"/>
  <c r="W45" i="73"/>
  <c r="AD77" i="73"/>
  <c r="N59" i="73"/>
  <c r="S58" i="73"/>
  <c r="AA60" i="73"/>
  <c r="AD65" i="73"/>
  <c r="AE65" i="73"/>
  <c r="AA76" i="73"/>
  <c r="AE7" i="73"/>
  <c r="R81" i="73"/>
  <c r="AA27" i="73"/>
  <c r="L79" i="73"/>
  <c r="AE76" i="73"/>
  <c r="O43" i="73"/>
  <c r="N29" i="73"/>
  <c r="H45" i="73"/>
  <c r="H25" i="73"/>
  <c r="O48" i="73"/>
  <c r="O60" i="73"/>
  <c r="Q48" i="73"/>
  <c r="V80" i="73"/>
  <c r="M80" i="73"/>
  <c r="R65" i="73"/>
  <c r="P9" i="73"/>
  <c r="M9" i="73"/>
  <c r="U9" i="73"/>
  <c r="K74" i="73"/>
  <c r="U43" i="73"/>
  <c r="Y43" i="73"/>
  <c r="AC9" i="73"/>
  <c r="K79" i="73"/>
  <c r="S48" i="73"/>
  <c r="AC23" i="73"/>
  <c r="AA65" i="73"/>
  <c r="AC43" i="73"/>
  <c r="AE9" i="73"/>
  <c r="X77" i="73"/>
  <c r="W76" i="73"/>
  <c r="AB7" i="73"/>
  <c r="H9" i="73"/>
  <c r="Q43" i="73"/>
  <c r="AE58" i="73"/>
  <c r="Y64" i="73"/>
  <c r="AC80" i="73"/>
  <c r="AD45" i="73"/>
  <c r="H27" i="73"/>
  <c r="O65" i="73"/>
  <c r="O45" i="73"/>
  <c r="P43" i="73"/>
  <c r="V64" i="73"/>
  <c r="W80" i="73"/>
  <c r="K29" i="73"/>
  <c r="X76" i="73"/>
  <c r="Z62" i="73"/>
  <c r="X60" i="73"/>
  <c r="U65" i="73"/>
  <c r="H44" i="73"/>
  <c r="AB79" i="73"/>
  <c r="J9" i="73"/>
  <c r="S78" i="73"/>
  <c r="W77" i="73"/>
  <c r="AA43" i="73"/>
  <c r="L43" i="73"/>
  <c r="J64" i="73"/>
  <c r="H77" i="73"/>
  <c r="AB62" i="73"/>
  <c r="N9" i="73"/>
  <c r="J62" i="73"/>
  <c r="Y9" i="73"/>
  <c r="L45" i="73"/>
  <c r="H64" i="73"/>
  <c r="T59" i="73"/>
  <c r="S42" i="73"/>
  <c r="Q77" i="73"/>
  <c r="V9" i="73"/>
  <c r="X62" i="73"/>
  <c r="W62" i="73"/>
  <c r="V62" i="73"/>
  <c r="N64" i="73"/>
  <c r="S62" i="73"/>
  <c r="Q81" i="73"/>
  <c r="Z46" i="73"/>
  <c r="V29" i="73"/>
  <c r="J81" i="73"/>
  <c r="K80" i="73"/>
  <c r="I46" i="73"/>
  <c r="U81" i="73"/>
  <c r="X27" i="73"/>
  <c r="AC65" i="73"/>
  <c r="Q25" i="73"/>
  <c r="P80" i="73"/>
  <c r="AC61" i="73"/>
  <c r="M61" i="73"/>
  <c r="P65" i="73"/>
  <c r="K46" i="73"/>
  <c r="X64" i="73"/>
  <c r="O59" i="73"/>
  <c r="L9" i="73"/>
  <c r="AF60" i="73"/>
  <c r="R9" i="73"/>
  <c r="T81" i="73"/>
  <c r="S49" i="73"/>
  <c r="Z64" i="73"/>
  <c r="W42" i="73"/>
  <c r="P60" i="73"/>
  <c r="AE43" i="73"/>
  <c r="AE78" i="73"/>
  <c r="M81" i="73"/>
  <c r="H61" i="73"/>
  <c r="T61" i="73"/>
  <c r="N61" i="73"/>
  <c r="Q80" i="73"/>
  <c r="U78" i="73"/>
  <c r="AF42" i="73"/>
  <c r="Y58" i="73"/>
  <c r="AC7" i="73"/>
  <c r="H49" i="73"/>
  <c r="U48" i="73"/>
  <c r="X25" i="73"/>
  <c r="I27" i="73"/>
  <c r="AF25" i="73"/>
  <c r="I25" i="73"/>
  <c r="R60" i="73"/>
  <c r="T25" i="73"/>
  <c r="AA81" i="73"/>
  <c r="T43" i="73"/>
  <c r="U44" i="73"/>
  <c r="L58" i="73"/>
  <c r="S61" i="73"/>
  <c r="J43" i="73"/>
  <c r="K62" i="73"/>
  <c r="AE62" i="73"/>
  <c r="AB49" i="73"/>
  <c r="O44" i="73"/>
  <c r="W7" i="73"/>
  <c r="AE79" i="73"/>
  <c r="S76" i="73"/>
  <c r="H46" i="73"/>
  <c r="T44" i="73"/>
  <c r="AA64" i="73"/>
  <c r="W78" i="73"/>
  <c r="AB23" i="73"/>
  <c r="H58" i="73"/>
  <c r="AB48" i="73"/>
  <c r="P64" i="73"/>
  <c r="Z81" i="73"/>
  <c r="N62" i="73"/>
  <c r="AF76" i="73"/>
  <c r="J61" i="73"/>
  <c r="V49" i="73"/>
  <c r="AD29" i="73"/>
  <c r="R77" i="73"/>
  <c r="AD62" i="73"/>
  <c r="V44" i="73"/>
  <c r="Z45" i="73"/>
  <c r="H43" i="73"/>
  <c r="T77" i="73"/>
  <c r="N49" i="73"/>
  <c r="K42" i="73"/>
  <c r="O78" i="73"/>
  <c r="K78" i="73"/>
  <c r="AA9" i="73"/>
  <c r="L48" i="73"/>
  <c r="AA61" i="73"/>
  <c r="AD7" i="73"/>
  <c r="P46" i="73"/>
  <c r="S45" i="73"/>
  <c r="Y46" i="73"/>
  <c r="AC64" i="73"/>
  <c r="X61" i="73"/>
  <c r="S9" i="73"/>
  <c r="W79" i="73"/>
  <c r="AB78" i="73"/>
  <c r="AE60" i="73"/>
  <c r="Z77" i="73"/>
  <c r="AA42" i="73"/>
  <c r="L64" i="73"/>
  <c r="AD27" i="73"/>
  <c r="U62" i="73"/>
  <c r="AC81" i="73"/>
  <c r="AC25" i="73"/>
  <c r="P58" i="73"/>
  <c r="AB27" i="73"/>
  <c r="P48" i="73"/>
  <c r="I9" i="73"/>
  <c r="M48" i="73"/>
  <c r="N46" i="73"/>
  <c r="AE44" i="73"/>
  <c r="W60" i="73"/>
  <c r="Y45" i="73"/>
  <c r="M76" i="73"/>
  <c r="Q76" i="73"/>
  <c r="V65" i="73"/>
  <c r="M60" i="73"/>
  <c r="R43" i="73"/>
  <c r="AF7" i="73"/>
  <c r="O58" i="73"/>
  <c r="I49" i="73"/>
  <c r="P74" i="73"/>
  <c r="X81" i="73"/>
  <c r="X45" i="73"/>
  <c r="U25" i="73"/>
  <c r="AF48" i="73"/>
  <c r="H79" i="73"/>
  <c r="P42" i="73"/>
  <c r="AA7" i="73"/>
  <c r="U45" i="73"/>
  <c r="U76" i="73"/>
  <c r="W44" i="73"/>
  <c r="R62" i="73"/>
  <c r="X42" i="73"/>
  <c r="I59" i="73"/>
  <c r="Z58" i="73"/>
  <c r="U60" i="73"/>
  <c r="AC76" i="73"/>
  <c r="W65" i="73"/>
  <c r="X44" i="73"/>
  <c r="H60" i="73"/>
  <c r="Y25" i="73"/>
  <c r="AF46" i="73"/>
  <c r="L76" i="73"/>
  <c r="M79" i="73"/>
  <c r="AD64" i="73"/>
  <c r="V60" i="73"/>
  <c r="AF81" i="73"/>
  <c r="L80" i="73"/>
  <c r="AF77" i="73"/>
  <c r="M78" i="73"/>
  <c r="H65" i="73"/>
  <c r="AD80" i="73"/>
  <c r="U58" i="73"/>
  <c r="O46" i="73"/>
  <c r="M74" i="73"/>
  <c r="N44" i="73"/>
  <c r="H29" i="73"/>
  <c r="Q79" i="73"/>
  <c r="J29" i="73"/>
  <c r="AB58" i="73"/>
  <c r="Q44" i="73"/>
  <c r="X46" i="73"/>
  <c r="X79" i="73"/>
  <c r="AB25" i="73"/>
  <c r="Q29" i="73"/>
  <c r="M77" i="73"/>
  <c r="T62" i="73"/>
  <c r="O29" i="73"/>
  <c r="AA58" i="73"/>
  <c r="K59" i="73"/>
  <c r="X9" i="73"/>
  <c r="X7" i="73"/>
  <c r="Z43" i="73"/>
  <c r="Z79" i="73"/>
  <c r="V61" i="73"/>
  <c r="X49" i="73"/>
  <c r="AB46" i="73"/>
  <c r="V45" i="73"/>
  <c r="L46" i="73"/>
  <c r="AF23" i="73"/>
  <c r="L49" i="73"/>
  <c r="Y80" i="73"/>
  <c r="AB65" i="73"/>
  <c r="AF62" i="73"/>
  <c r="H59" i="73"/>
  <c r="R58" i="73"/>
  <c r="O49" i="73"/>
  <c r="AD25" i="73"/>
  <c r="J77" i="73"/>
  <c r="R45" i="73"/>
  <c r="W27" i="73"/>
  <c r="Y42" i="73"/>
  <c r="W49" i="73"/>
  <c r="J60" i="73"/>
  <c r="AD79" i="73"/>
  <c r="V23" i="73"/>
  <c r="W58" i="73"/>
  <c r="AB81" i="73"/>
  <c r="U27" i="73"/>
  <c r="V25" i="73"/>
  <c r="S44" i="73"/>
  <c r="V46" i="73"/>
  <c r="AD61" i="73"/>
  <c r="X48" i="73"/>
  <c r="AB61" i="73"/>
  <c r="AC79" i="73"/>
  <c r="O64" i="73"/>
  <c r="H74" i="73"/>
  <c r="K76" i="73"/>
  <c r="N65" i="73"/>
  <c r="Y7" i="73"/>
  <c r="AD60" i="73"/>
  <c r="T42" i="73"/>
  <c r="J44" i="73"/>
  <c r="K43" i="73"/>
  <c r="V78" i="73"/>
  <c r="T64" i="73"/>
  <c r="Q49" i="73"/>
  <c r="L25" i="73"/>
  <c r="AF27" i="73"/>
  <c r="N25" i="73"/>
  <c r="AE25" i="73"/>
  <c r="R25" i="73"/>
  <c r="N60" i="73"/>
  <c r="Y29" i="73"/>
  <c r="Z80" i="73"/>
  <c r="V79" i="73"/>
  <c r="AE80" i="73"/>
  <c r="AB43" i="73"/>
  <c r="Z42" i="73"/>
  <c r="P76" i="73"/>
  <c r="AB45" i="73"/>
  <c r="H78" i="73"/>
  <c r="AC58" i="73"/>
  <c r="O76" i="73"/>
  <c r="AD23" i="73"/>
  <c r="AD46" i="73"/>
  <c r="AF45" i="73"/>
  <c r="P62" i="73"/>
  <c r="L62" i="73"/>
  <c r="R46" i="73"/>
  <c r="X65" i="73"/>
  <c r="Y62" i="73"/>
  <c r="Z65" i="73"/>
  <c r="I43" i="73"/>
  <c r="S64" i="73"/>
  <c r="AD42" i="73"/>
  <c r="M65" i="73"/>
  <c r="V43" i="73"/>
  <c r="Q82" i="52" l="1"/>
  <c r="H39" i="75"/>
  <c r="J39" i="75" s="1"/>
  <c r="AU75" i="66"/>
  <c r="AU81" i="66" s="1"/>
  <c r="U66" i="75"/>
  <c r="W66" i="75" s="1"/>
  <c r="AM94" i="59"/>
  <c r="AM97" i="51"/>
  <c r="S95" i="75"/>
  <c r="AF25" i="52"/>
  <c r="H17" i="75"/>
  <c r="J17" i="75" s="1"/>
  <c r="AQ100" i="35"/>
  <c r="AQ101" i="35" s="1"/>
  <c r="AM96" i="63"/>
  <c r="AM98" i="63" s="1"/>
  <c r="AM93" i="62"/>
  <c r="AM95" i="62" s="1"/>
  <c r="AM95" i="61"/>
  <c r="AM97" i="61" s="1"/>
  <c r="AL98" i="63"/>
  <c r="AM95" i="60"/>
  <c r="AM97" i="60" s="1"/>
  <c r="AM99" i="51"/>
  <c r="AM97" i="66"/>
  <c r="AM99" i="66" s="1"/>
  <c r="AM97" i="57"/>
  <c r="AL98" i="65"/>
  <c r="AL99" i="52"/>
  <c r="AJ70" i="68"/>
  <c r="AN96" i="65" s="1"/>
  <c r="AJ69" i="68"/>
  <c r="AN60" i="37" s="1"/>
  <c r="AJ68" i="68"/>
  <c r="AJ66" i="68"/>
  <c r="AN97" i="51" s="1"/>
  <c r="AN99" i="51" s="1"/>
  <c r="AJ65" i="68"/>
  <c r="AJ64" i="68"/>
  <c r="AN94" i="59" s="1"/>
  <c r="AJ62" i="68"/>
  <c r="AJ61" i="68"/>
  <c r="AJ60" i="68"/>
  <c r="AJ59" i="68"/>
  <c r="AJ58" i="68"/>
  <c r="AI71" i="68"/>
  <c r="AM99" i="52"/>
  <c r="AL36" i="22"/>
  <c r="AQ59" i="57" s="1"/>
  <c r="AA59" i="66"/>
  <c r="U53" i="61"/>
  <c r="AB53" i="63"/>
  <c r="AB48" i="65"/>
  <c r="AB54" i="65" s="1"/>
  <c r="AA31" i="60"/>
  <c r="AC40" i="32"/>
  <c r="AC47" i="60"/>
  <c r="AC31" i="60"/>
  <c r="AC18" i="32"/>
  <c r="AC25" i="51"/>
  <c r="AC74" i="59"/>
  <c r="AC80" i="59" s="1"/>
  <c r="AC52" i="59"/>
  <c r="AC32" i="65"/>
  <c r="AC48" i="65"/>
  <c r="AC53" i="61"/>
  <c r="AC75" i="61"/>
  <c r="AC81" i="61" s="1"/>
  <c r="AC75" i="66"/>
  <c r="AC81" i="66" s="1"/>
  <c r="AC53" i="66"/>
  <c r="AB47" i="51"/>
  <c r="AB31" i="51"/>
  <c r="AB74" i="59"/>
  <c r="AB80" i="59" s="1"/>
  <c r="AB52" i="59"/>
  <c r="AB53" i="66"/>
  <c r="AB75" i="66"/>
  <c r="AB81" i="66" s="1"/>
  <c r="AB18" i="32"/>
  <c r="AB53" i="60"/>
  <c r="AB40" i="32"/>
  <c r="AB53" i="61"/>
  <c r="AB75" i="61"/>
  <c r="AB81" i="61" s="1"/>
  <c r="AB75" i="57"/>
  <c r="AB81" i="57" s="1"/>
  <c r="AB53" i="57"/>
  <c r="U18" i="32"/>
  <c r="AA40" i="32"/>
  <c r="U48" i="65"/>
  <c r="U54" i="65" s="1"/>
  <c r="AA25" i="51"/>
  <c r="AA32" i="65"/>
  <c r="AA48" i="65"/>
  <c r="AA53" i="63"/>
  <c r="AA53" i="61"/>
  <c r="AA75" i="61"/>
  <c r="AA81" i="61" s="1"/>
  <c r="AA53" i="60"/>
  <c r="AA74" i="59"/>
  <c r="AA80" i="59" s="1"/>
  <c r="AA52" i="59"/>
  <c r="U25" i="51"/>
  <c r="U31" i="51" s="1"/>
  <c r="AA53" i="66"/>
  <c r="AA75" i="66"/>
  <c r="AA81" i="66" s="1"/>
  <c r="AA18" i="32"/>
  <c r="U47" i="60"/>
  <c r="U75" i="57"/>
  <c r="U81" i="57" s="1"/>
  <c r="U53" i="57"/>
  <c r="U75" i="66"/>
  <c r="U81" i="66" s="1"/>
  <c r="U53" i="66"/>
  <c r="U40" i="32"/>
  <c r="U74" i="59"/>
  <c r="U80" i="59" s="1"/>
  <c r="U52" i="59"/>
  <c r="AF75" i="61"/>
  <c r="AF81" i="61" s="1"/>
  <c r="AF53" i="61"/>
  <c r="AF75" i="57"/>
  <c r="AF81" i="57" s="1"/>
  <c r="AF53" i="57"/>
  <c r="AF53" i="63"/>
  <c r="N42" i="56"/>
  <c r="N1" i="56" s="1"/>
  <c r="I3" i="68"/>
  <c r="AD66" i="73"/>
  <c r="Q74" i="73"/>
  <c r="AF31" i="52" l="1"/>
  <c r="AN95" i="57"/>
  <c r="AN97" i="52"/>
  <c r="AN97" i="57"/>
  <c r="AN93" i="62"/>
  <c r="AN96" i="63"/>
  <c r="AN95" i="61"/>
  <c r="AN97" i="61" s="1"/>
  <c r="AN75" i="61"/>
  <c r="AN81" i="61" s="1"/>
  <c r="AM75" i="61"/>
  <c r="AM81" i="61" s="1"/>
  <c r="AN95" i="60"/>
  <c r="AM98" i="65"/>
  <c r="AM96" i="59"/>
  <c r="AK70" i="68"/>
  <c r="AK69" i="68"/>
  <c r="AO60" i="37" s="1"/>
  <c r="AK68" i="68"/>
  <c r="AK66" i="68"/>
  <c r="AO97" i="51" s="1"/>
  <c r="AO99" i="51" s="1"/>
  <c r="AK65" i="68"/>
  <c r="AK64" i="68"/>
  <c r="AK62" i="68"/>
  <c r="AO97" i="52" s="1"/>
  <c r="AK61" i="68"/>
  <c r="AO95" i="57" s="1"/>
  <c r="AK60" i="68"/>
  <c r="AK59" i="68"/>
  <c r="AK58" i="68"/>
  <c r="AN97" i="66"/>
  <c r="AJ71" i="68"/>
  <c r="AN96" i="59"/>
  <c r="Q59" i="57"/>
  <c r="AB59" i="66"/>
  <c r="AB76" i="65"/>
  <c r="AB82" i="65" s="1"/>
  <c r="U76" i="65"/>
  <c r="U82" i="65" s="1"/>
  <c r="AC54" i="65"/>
  <c r="AC76" i="65"/>
  <c r="AC82" i="65" s="1"/>
  <c r="AC31" i="51"/>
  <c r="AC47" i="51"/>
  <c r="AC53" i="60"/>
  <c r="U47" i="51"/>
  <c r="U75" i="51" s="1"/>
  <c r="U81" i="51" s="1"/>
  <c r="AB53" i="51"/>
  <c r="U53" i="60"/>
  <c r="AA54" i="65"/>
  <c r="AA76" i="65"/>
  <c r="AA82" i="65" s="1"/>
  <c r="AA31" i="51"/>
  <c r="AA47" i="51"/>
  <c r="O42" i="56"/>
  <c r="O1" i="56" s="1"/>
  <c r="J3" i="68"/>
  <c r="AF61" i="32"/>
  <c r="AF62" i="32"/>
  <c r="AF63" i="32"/>
  <c r="N20" i="16"/>
  <c r="R74" i="73"/>
  <c r="AO96" i="65" l="1"/>
  <c r="AO94" i="59"/>
  <c r="AO96" i="59" s="1"/>
  <c r="AO95" i="61"/>
  <c r="AO97" i="61" s="1"/>
  <c r="AO75" i="61"/>
  <c r="AO81" i="61" s="1"/>
  <c r="AN97" i="60"/>
  <c r="AO95" i="60"/>
  <c r="AO97" i="60" s="1"/>
  <c r="AN98" i="63"/>
  <c r="AN95" i="62"/>
  <c r="J69" i="68"/>
  <c r="J62" i="68"/>
  <c r="J68" i="68"/>
  <c r="J61" i="68"/>
  <c r="J66" i="68"/>
  <c r="J70" i="68"/>
  <c r="J65" i="68"/>
  <c r="J64" i="68"/>
  <c r="J58" i="68"/>
  <c r="J60" i="68"/>
  <c r="J59" i="68"/>
  <c r="AO96" i="63"/>
  <c r="AO98" i="63" s="1"/>
  <c r="AO93" i="62"/>
  <c r="AO95" i="62" s="1"/>
  <c r="AO97" i="57"/>
  <c r="AL70" i="68"/>
  <c r="AP96" i="65" s="1"/>
  <c r="AL69" i="68"/>
  <c r="AL68" i="68"/>
  <c r="AL66" i="68"/>
  <c r="AP97" i="51" s="1"/>
  <c r="AP99" i="51" s="1"/>
  <c r="AL65" i="68"/>
  <c r="AL64" i="68"/>
  <c r="AP94" i="59" s="1"/>
  <c r="AL62" i="68"/>
  <c r="AP97" i="52" s="1"/>
  <c r="AL61" i="68"/>
  <c r="AL60" i="68"/>
  <c r="AL59" i="68"/>
  <c r="AL58" i="68"/>
  <c r="AN98" i="65"/>
  <c r="AK71" i="68"/>
  <c r="AO99" i="52"/>
  <c r="AO97" i="66"/>
  <c r="AO99" i="66" s="1"/>
  <c r="AN99" i="66"/>
  <c r="AN99" i="52"/>
  <c r="AC59" i="66"/>
  <c r="U53" i="51"/>
  <c r="AC53" i="51"/>
  <c r="AA53" i="51"/>
  <c r="P42" i="56"/>
  <c r="P1" i="56" s="1"/>
  <c r="K3" i="68"/>
  <c r="N40" i="20"/>
  <c r="O40" i="20" s="1"/>
  <c r="P40" i="20" s="1"/>
  <c r="AC40" i="20" s="1"/>
  <c r="AD40" i="20" s="1"/>
  <c r="AE40" i="20" s="1"/>
  <c r="AF40" i="20" s="1"/>
  <c r="AG40" i="20" s="1"/>
  <c r="AH40" i="20" s="1"/>
  <c r="AI40" i="20" s="1"/>
  <c r="AJ40" i="20" s="1"/>
  <c r="AK40" i="20" s="1"/>
  <c r="AL40" i="20" s="1"/>
  <c r="AM40" i="20" s="1"/>
  <c r="AN40" i="20" s="1"/>
  <c r="M39" i="20"/>
  <c r="N39" i="20" s="1"/>
  <c r="O39" i="20" s="1"/>
  <c r="P39" i="20" s="1"/>
  <c r="AC39" i="20" s="1"/>
  <c r="AD39" i="20" s="1"/>
  <c r="AE39" i="20" s="1"/>
  <c r="AF39" i="20" s="1"/>
  <c r="AG39" i="20" s="1"/>
  <c r="AH39" i="20" s="1"/>
  <c r="AI39" i="20" s="1"/>
  <c r="AJ39" i="20" s="1"/>
  <c r="AK39" i="20" s="1"/>
  <c r="AL39" i="20" s="1"/>
  <c r="AM39" i="20" s="1"/>
  <c r="AN39" i="20" s="1"/>
  <c r="K358" i="16"/>
  <c r="L358" i="16" s="1"/>
  <c r="N54" i="16"/>
  <c r="O54" i="16" s="1"/>
  <c r="P54" i="16" s="1"/>
  <c r="R54" i="16" s="1"/>
  <c r="S54" i="16" s="1"/>
  <c r="T54" i="16" s="1"/>
  <c r="U54" i="16" s="1"/>
  <c r="V54" i="16" s="1"/>
  <c r="W54" i="16" s="1"/>
  <c r="X54" i="16" s="1"/>
  <c r="Y54" i="16" s="1"/>
  <c r="Z54" i="16" s="1"/>
  <c r="AA54" i="16" s="1"/>
  <c r="AB54" i="16" s="1"/>
  <c r="AC54" i="16" s="1"/>
  <c r="AD54" i="16" s="1"/>
  <c r="AE54" i="16" s="1"/>
  <c r="AF54" i="16" s="1"/>
  <c r="AG54" i="16" s="1"/>
  <c r="AH54" i="16" s="1"/>
  <c r="AI54" i="16" s="1"/>
  <c r="AJ54" i="16" s="1"/>
  <c r="AK54" i="16" s="1"/>
  <c r="AL54" i="16" s="1"/>
  <c r="AM54" i="16" s="1"/>
  <c r="AN54" i="16" s="1"/>
  <c r="L7" i="16"/>
  <c r="M7" i="16"/>
  <c r="M12" i="16" s="1"/>
  <c r="N7" i="16"/>
  <c r="N12" i="16" s="1"/>
  <c r="O7" i="16"/>
  <c r="O12" i="16" s="1"/>
  <c r="S74" i="73"/>
  <c r="AP95" i="57" l="1"/>
  <c r="AP60" i="37"/>
  <c r="AP95" i="60"/>
  <c r="AP97" i="60" s="1"/>
  <c r="AP95" i="61"/>
  <c r="AP97" i="61" s="1"/>
  <c r="AP75" i="61"/>
  <c r="AP81" i="61" s="1"/>
  <c r="K61" i="68"/>
  <c r="K66" i="68"/>
  <c r="K58" i="68"/>
  <c r="K62" i="68"/>
  <c r="K68" i="68"/>
  <c r="K59" i="68"/>
  <c r="K64" i="68"/>
  <c r="K69" i="68"/>
  <c r="K60" i="68"/>
  <c r="K65" i="68"/>
  <c r="K70" i="68"/>
  <c r="AP97" i="57"/>
  <c r="AP96" i="63"/>
  <c r="AP98" i="63" s="1"/>
  <c r="AP93" i="62"/>
  <c r="AP95" i="62" s="1"/>
  <c r="J71" i="68"/>
  <c r="AO98" i="65"/>
  <c r="AP97" i="66"/>
  <c r="AP99" i="66" s="1"/>
  <c r="AM68" i="68"/>
  <c r="AM61" i="68"/>
  <c r="AQ95" i="57" s="1"/>
  <c r="AM70" i="68"/>
  <c r="AM66" i="68"/>
  <c r="AQ97" i="51" s="1"/>
  <c r="AQ99" i="51" s="1"/>
  <c r="AM58" i="68"/>
  <c r="AM65" i="68"/>
  <c r="AM60" i="68"/>
  <c r="AM69" i="68"/>
  <c r="AQ60" i="37" s="1"/>
  <c r="AM59" i="68"/>
  <c r="AM64" i="68"/>
  <c r="AM62" i="68"/>
  <c r="AQ97" i="52" s="1"/>
  <c r="AL71" i="68"/>
  <c r="AP96" i="59"/>
  <c r="AP99" i="52"/>
  <c r="AN36" i="20"/>
  <c r="AS59" i="61" s="1"/>
  <c r="Q59" i="61"/>
  <c r="AD59" i="66"/>
  <c r="Q42" i="56"/>
  <c r="Q1" i="56" s="1"/>
  <c r="L3" i="68"/>
  <c r="H31" i="43"/>
  <c r="H28" i="43"/>
  <c r="H27" i="43"/>
  <c r="H23" i="43"/>
  <c r="H20" i="43"/>
  <c r="H17" i="43"/>
  <c r="E31" i="43"/>
  <c r="E28" i="43"/>
  <c r="E27" i="43"/>
  <c r="E23" i="43"/>
  <c r="E20" i="43"/>
  <c r="E17" i="43"/>
  <c r="Q19" i="32"/>
  <c r="B31" i="43"/>
  <c r="B28" i="43"/>
  <c r="B27" i="43"/>
  <c r="B23" i="43"/>
  <c r="B20" i="43"/>
  <c r="B17" i="43"/>
  <c r="T74" i="73"/>
  <c r="AF58" i="73"/>
  <c r="AQ94" i="59" l="1"/>
  <c r="AQ96" i="65"/>
  <c r="K71" i="68"/>
  <c r="AQ97" i="57"/>
  <c r="AQ96" i="63"/>
  <c r="AQ98" i="63" s="1"/>
  <c r="AQ93" i="62"/>
  <c r="AQ95" i="62" s="1"/>
  <c r="L66" i="68"/>
  <c r="L61" i="68"/>
  <c r="L69" i="68"/>
  <c r="L58" i="68"/>
  <c r="L62" i="68"/>
  <c r="L68" i="68"/>
  <c r="L59" i="68"/>
  <c r="L64" i="68"/>
  <c r="L65" i="68"/>
  <c r="L60" i="68"/>
  <c r="L70" i="68"/>
  <c r="AQ95" i="60"/>
  <c r="AQ97" i="60" s="1"/>
  <c r="AQ95" i="61"/>
  <c r="AQ97" i="61" s="1"/>
  <c r="AQ75" i="61"/>
  <c r="AQ81" i="61" s="1"/>
  <c r="AQ97" i="66"/>
  <c r="AQ99" i="66" s="1"/>
  <c r="AN70" i="68"/>
  <c r="AR96" i="65" s="1"/>
  <c r="AN68" i="68"/>
  <c r="AN66" i="68"/>
  <c r="AR97" i="51" s="1"/>
  <c r="AR99" i="51" s="1"/>
  <c r="AN64" i="68"/>
  <c r="AR94" i="59" s="1"/>
  <c r="AN62" i="68"/>
  <c r="AR97" i="52" s="1"/>
  <c r="AN58" i="68"/>
  <c r="AN65" i="68"/>
  <c r="AN60" i="68"/>
  <c r="AN69" i="68"/>
  <c r="AN61" i="68"/>
  <c r="AR95" i="57" s="1"/>
  <c r="AN59" i="68"/>
  <c r="AP98" i="65"/>
  <c r="AM71" i="68"/>
  <c r="AQ99" i="52"/>
  <c r="AQ96" i="59"/>
  <c r="AH59" i="66"/>
  <c r="AF59" i="66"/>
  <c r="M3" i="68"/>
  <c r="R42" i="56"/>
  <c r="AH47" i="56"/>
  <c r="AH42" i="56"/>
  <c r="I355" i="42"/>
  <c r="I359" i="42" s="1"/>
  <c r="H355" i="42"/>
  <c r="G355" i="42"/>
  <c r="F355" i="42"/>
  <c r="E355" i="42"/>
  <c r="E365" i="42" s="1"/>
  <c r="I215" i="42"/>
  <c r="H215" i="42"/>
  <c r="G215" i="42"/>
  <c r="F215" i="42"/>
  <c r="E215" i="42"/>
  <c r="I209" i="42"/>
  <c r="H209" i="42"/>
  <c r="G209" i="42"/>
  <c r="G210" i="42" s="1"/>
  <c r="G214" i="42" s="1"/>
  <c r="F209" i="42"/>
  <c r="F210" i="42" s="1"/>
  <c r="F214" i="42" s="1"/>
  <c r="E209" i="42"/>
  <c r="I207" i="42"/>
  <c r="H207" i="42"/>
  <c r="G207" i="42"/>
  <c r="F207" i="42"/>
  <c r="E207" i="42"/>
  <c r="I60" i="42"/>
  <c r="H60" i="42"/>
  <c r="G60" i="42"/>
  <c r="F60" i="42"/>
  <c r="E60" i="42"/>
  <c r="I54" i="42"/>
  <c r="I58" i="42" s="1"/>
  <c r="H54" i="42"/>
  <c r="H58" i="42" s="1"/>
  <c r="G54" i="42"/>
  <c r="G58" i="42" s="1"/>
  <c r="F54" i="42"/>
  <c r="F55" i="42" s="1"/>
  <c r="F59" i="42" s="1"/>
  <c r="E54" i="42"/>
  <c r="E55" i="42" s="1"/>
  <c r="E59" i="42" s="1"/>
  <c r="I52" i="42"/>
  <c r="H52" i="42"/>
  <c r="G52" i="42"/>
  <c r="F52" i="42"/>
  <c r="E52" i="42"/>
  <c r="I49" i="42"/>
  <c r="H49" i="42"/>
  <c r="G49" i="42"/>
  <c r="F49" i="42"/>
  <c r="E49" i="42"/>
  <c r="I23" i="42"/>
  <c r="H23" i="42"/>
  <c r="G23" i="42"/>
  <c r="F23" i="42"/>
  <c r="E23" i="42"/>
  <c r="N22" i="42"/>
  <c r="O22" i="42" s="1"/>
  <c r="P22" i="42" s="1"/>
  <c r="R22" i="42" s="1"/>
  <c r="S22" i="42" s="1"/>
  <c r="T22" i="42" s="1"/>
  <c r="U22" i="42" s="1"/>
  <c r="V22" i="42" s="1"/>
  <c r="W22" i="42" s="1"/>
  <c r="X22" i="42" s="1"/>
  <c r="Y22" i="42" s="1"/>
  <c r="I21" i="42"/>
  <c r="H21" i="42"/>
  <c r="G21" i="42"/>
  <c r="F21" i="42"/>
  <c r="E21" i="42"/>
  <c r="I18" i="42"/>
  <c r="H18" i="42"/>
  <c r="G18" i="42"/>
  <c r="F18" i="42"/>
  <c r="E18" i="42"/>
  <c r="N17" i="42"/>
  <c r="O17" i="42" s="1"/>
  <c r="P17" i="42" s="1"/>
  <c r="AC17" i="42" s="1"/>
  <c r="AD17" i="42" s="1"/>
  <c r="AE17" i="42" s="1"/>
  <c r="AF17" i="42" s="1"/>
  <c r="AG17" i="42" s="1"/>
  <c r="AH17" i="42" s="1"/>
  <c r="AI17" i="42" s="1"/>
  <c r="AJ17" i="42" s="1"/>
  <c r="AK17" i="42" s="1"/>
  <c r="AL17" i="42" s="1"/>
  <c r="AM17" i="42" s="1"/>
  <c r="AN17" i="42" s="1"/>
  <c r="AG7" i="42"/>
  <c r="AG12" i="42" s="1"/>
  <c r="AF7" i="42"/>
  <c r="AF12" i="42" s="1"/>
  <c r="AE7" i="42"/>
  <c r="AE12" i="42" s="1"/>
  <c r="AD7" i="42"/>
  <c r="AD12" i="42" s="1"/>
  <c r="Q7" i="42"/>
  <c r="Q12" i="42" s="1"/>
  <c r="AH7" i="42"/>
  <c r="AH12" i="42" s="1"/>
  <c r="I355" i="41"/>
  <c r="I359" i="41" s="1"/>
  <c r="H355" i="41"/>
  <c r="G355" i="41"/>
  <c r="F355" i="41"/>
  <c r="F365" i="41" s="1"/>
  <c r="E355" i="41"/>
  <c r="I215" i="41"/>
  <c r="H215" i="41"/>
  <c r="G215" i="41"/>
  <c r="F215" i="41"/>
  <c r="E215" i="41"/>
  <c r="I209" i="41"/>
  <c r="I210" i="41" s="1"/>
  <c r="I214" i="41" s="1"/>
  <c r="H209" i="41"/>
  <c r="H210" i="41" s="1"/>
  <c r="H214" i="41" s="1"/>
  <c r="G209" i="41"/>
  <c r="G210" i="41" s="1"/>
  <c r="G214" i="41" s="1"/>
  <c r="F209" i="41"/>
  <c r="F210" i="41" s="1"/>
  <c r="F214" i="41" s="1"/>
  <c r="E209" i="41"/>
  <c r="E210" i="41" s="1"/>
  <c r="E214" i="41" s="1"/>
  <c r="I207" i="41"/>
  <c r="H207" i="41"/>
  <c r="G207" i="41"/>
  <c r="F207" i="41"/>
  <c r="E207" i="41"/>
  <c r="I60" i="41"/>
  <c r="H60" i="41"/>
  <c r="G60" i="41"/>
  <c r="F60" i="41"/>
  <c r="E60" i="41"/>
  <c r="I54" i="41"/>
  <c r="I55" i="41" s="1"/>
  <c r="I59" i="41" s="1"/>
  <c r="H54" i="41"/>
  <c r="H55" i="41" s="1"/>
  <c r="H59" i="41" s="1"/>
  <c r="G54" i="41"/>
  <c r="G55" i="41" s="1"/>
  <c r="G59" i="41" s="1"/>
  <c r="F54" i="41"/>
  <c r="F55" i="41" s="1"/>
  <c r="F59" i="41" s="1"/>
  <c r="E54" i="41"/>
  <c r="E55" i="41" s="1"/>
  <c r="E59" i="41" s="1"/>
  <c r="I52" i="41"/>
  <c r="H52" i="41"/>
  <c r="G52" i="41"/>
  <c r="F52" i="41"/>
  <c r="E52" i="41"/>
  <c r="I49" i="41"/>
  <c r="H49" i="41"/>
  <c r="G49" i="41"/>
  <c r="F49" i="41"/>
  <c r="E49" i="41"/>
  <c r="J200" i="41"/>
  <c r="I23" i="41"/>
  <c r="H23" i="41"/>
  <c r="G23" i="41"/>
  <c r="F23" i="41"/>
  <c r="E23" i="41"/>
  <c r="M22" i="41"/>
  <c r="N22" i="41" s="1"/>
  <c r="O22" i="41" s="1"/>
  <c r="P22" i="41" s="1"/>
  <c r="R22" i="41" s="1"/>
  <c r="S22" i="41" s="1"/>
  <c r="T22" i="41" s="1"/>
  <c r="U22" i="41" s="1"/>
  <c r="V22" i="41" s="1"/>
  <c r="W22" i="41" s="1"/>
  <c r="X22" i="41" s="1"/>
  <c r="Y22" i="41" s="1"/>
  <c r="Z22" i="41" s="1"/>
  <c r="AA22" i="41" s="1"/>
  <c r="AB22" i="41" s="1"/>
  <c r="AC22" i="41" s="1"/>
  <c r="AD22" i="41" s="1"/>
  <c r="AE22" i="41" s="1"/>
  <c r="AF22" i="41" s="1"/>
  <c r="AG22" i="41" s="1"/>
  <c r="AH22" i="41" s="1"/>
  <c r="AI22" i="41" s="1"/>
  <c r="AJ22" i="41" s="1"/>
  <c r="AK22" i="41" s="1"/>
  <c r="AL22" i="41" s="1"/>
  <c r="AM22" i="41" s="1"/>
  <c r="AN22" i="41" s="1"/>
  <c r="I21" i="41"/>
  <c r="H21" i="41"/>
  <c r="G21" i="41"/>
  <c r="F21" i="41"/>
  <c r="E21" i="41"/>
  <c r="I18" i="41"/>
  <c r="H18" i="41"/>
  <c r="G18" i="41"/>
  <c r="F18" i="41"/>
  <c r="E18" i="41"/>
  <c r="M17" i="41"/>
  <c r="N17" i="41" s="1"/>
  <c r="O17" i="41" s="1"/>
  <c r="P17" i="41" s="1"/>
  <c r="R17" i="41" s="1"/>
  <c r="S17" i="41" s="1"/>
  <c r="T17" i="41" s="1"/>
  <c r="U17" i="41" s="1"/>
  <c r="V17" i="41" s="1"/>
  <c r="W17" i="41" s="1"/>
  <c r="X17" i="41" s="1"/>
  <c r="Y17" i="41" s="1"/>
  <c r="Z17" i="41" s="1"/>
  <c r="AA17" i="41" s="1"/>
  <c r="AB17" i="41" s="1"/>
  <c r="AC17" i="41" s="1"/>
  <c r="AD17" i="41" s="1"/>
  <c r="AE17" i="41" s="1"/>
  <c r="AF17" i="41" s="1"/>
  <c r="AG17" i="41" s="1"/>
  <c r="AH17" i="41" s="1"/>
  <c r="AI17" i="41" s="1"/>
  <c r="AJ17" i="41" s="1"/>
  <c r="AK17" i="41" s="1"/>
  <c r="AL17" i="41" s="1"/>
  <c r="AM17" i="41" s="1"/>
  <c r="AN17" i="41" s="1"/>
  <c r="I16" i="41"/>
  <c r="H16" i="41"/>
  <c r="G16" i="41"/>
  <c r="F16" i="41"/>
  <c r="E16" i="41"/>
  <c r="I13" i="41"/>
  <c r="I8" i="41" s="1"/>
  <c r="H13" i="41"/>
  <c r="H8" i="41" s="1"/>
  <c r="G13" i="41"/>
  <c r="G8" i="41" s="1"/>
  <c r="F13" i="41"/>
  <c r="F8" i="41" s="1"/>
  <c r="E13" i="41"/>
  <c r="E8" i="41" s="1"/>
  <c r="J7" i="41"/>
  <c r="U4" i="41"/>
  <c r="AG4" i="41" s="1"/>
  <c r="AG7" i="41" s="1"/>
  <c r="T4" i="41"/>
  <c r="AF4" i="41" s="1"/>
  <c r="AF7" i="41" s="1"/>
  <c r="S4" i="41"/>
  <c r="S7" i="41" s="1"/>
  <c r="R4" i="41"/>
  <c r="R7" i="41" s="1"/>
  <c r="AC4" i="41"/>
  <c r="AC7" i="41" s="1"/>
  <c r="V4" i="41"/>
  <c r="AH4" i="41" s="1"/>
  <c r="AH7" i="41" s="1"/>
  <c r="I355" i="23"/>
  <c r="I359" i="23" s="1"/>
  <c r="H355" i="23"/>
  <c r="G355" i="23"/>
  <c r="F355" i="23"/>
  <c r="F365" i="23" s="1"/>
  <c r="E355" i="23"/>
  <c r="E365" i="23" s="1"/>
  <c r="I215" i="23"/>
  <c r="H215" i="23"/>
  <c r="G215" i="23"/>
  <c r="F215" i="23"/>
  <c r="E215" i="23"/>
  <c r="I209" i="23"/>
  <c r="I213" i="23" s="1"/>
  <c r="H209" i="23"/>
  <c r="H210" i="23" s="1"/>
  <c r="H214" i="23" s="1"/>
  <c r="G209" i="23"/>
  <c r="G213" i="23" s="1"/>
  <c r="F209" i="23"/>
  <c r="F210" i="23" s="1"/>
  <c r="F214" i="23" s="1"/>
  <c r="E209" i="23"/>
  <c r="E210" i="23" s="1"/>
  <c r="E214" i="23" s="1"/>
  <c r="I207" i="23"/>
  <c r="H207" i="23"/>
  <c r="G207" i="23"/>
  <c r="F207" i="23"/>
  <c r="E207" i="23"/>
  <c r="I60" i="23"/>
  <c r="H60" i="23"/>
  <c r="G60" i="23"/>
  <c r="F60" i="23"/>
  <c r="E60" i="23"/>
  <c r="E155" i="23" s="1"/>
  <c r="I54" i="23"/>
  <c r="I58" i="23" s="1"/>
  <c r="H54" i="23"/>
  <c r="H55" i="23" s="1"/>
  <c r="H59" i="23" s="1"/>
  <c r="G54" i="23"/>
  <c r="G58" i="23" s="1"/>
  <c r="F54" i="23"/>
  <c r="F55" i="23" s="1"/>
  <c r="F59" i="23" s="1"/>
  <c r="E54" i="23"/>
  <c r="E55" i="23" s="1"/>
  <c r="E59" i="23" s="1"/>
  <c r="I52" i="23"/>
  <c r="H52" i="23"/>
  <c r="G52" i="23"/>
  <c r="F52" i="23"/>
  <c r="E52" i="23"/>
  <c r="I49" i="23"/>
  <c r="H49" i="23"/>
  <c r="G49" i="23"/>
  <c r="F49" i="23"/>
  <c r="E49" i="23"/>
  <c r="I23" i="23"/>
  <c r="H23" i="23"/>
  <c r="G23" i="23"/>
  <c r="F23" i="23"/>
  <c r="E23" i="23"/>
  <c r="M22" i="23"/>
  <c r="N22" i="23" s="1"/>
  <c r="O22" i="23" s="1"/>
  <c r="P22" i="23" s="1"/>
  <c r="S22" i="23" s="1"/>
  <c r="T22" i="23" s="1"/>
  <c r="U22" i="23" s="1"/>
  <c r="V22" i="23" s="1"/>
  <c r="W22" i="23" s="1"/>
  <c r="X22" i="23" s="1"/>
  <c r="Y22" i="23" s="1"/>
  <c r="Z22" i="23" s="1"/>
  <c r="AA22" i="23" s="1"/>
  <c r="AB22" i="23" s="1"/>
  <c r="AC22" i="23" s="1"/>
  <c r="AD22" i="23" s="1"/>
  <c r="AE22" i="23" s="1"/>
  <c r="AF22" i="23" s="1"/>
  <c r="AG22" i="23" s="1"/>
  <c r="AH22" i="23" s="1"/>
  <c r="AI22" i="23" s="1"/>
  <c r="AJ22" i="23" s="1"/>
  <c r="AK22" i="23" s="1"/>
  <c r="AL22" i="23" s="1"/>
  <c r="AM22" i="23" s="1"/>
  <c r="AN22" i="23" s="1"/>
  <c r="I21" i="23"/>
  <c r="H21" i="23"/>
  <c r="G21" i="23"/>
  <c r="F21" i="23"/>
  <c r="E21" i="23"/>
  <c r="I18" i="23"/>
  <c r="H18" i="23"/>
  <c r="G18" i="23"/>
  <c r="F18" i="23"/>
  <c r="E18" i="23"/>
  <c r="M17" i="23"/>
  <c r="N17" i="23" s="1"/>
  <c r="O17" i="23" s="1"/>
  <c r="P17" i="23" s="1"/>
  <c r="Q17" i="23" s="1"/>
  <c r="R17" i="23" s="1"/>
  <c r="S17" i="23" s="1"/>
  <c r="T17" i="23" s="1"/>
  <c r="U17" i="23" s="1"/>
  <c r="V17" i="23" s="1"/>
  <c r="W17" i="23" s="1"/>
  <c r="X17" i="23" s="1"/>
  <c r="Y17" i="23" s="1"/>
  <c r="Z17" i="23" s="1"/>
  <c r="AA17" i="23" s="1"/>
  <c r="AB17" i="23" s="1"/>
  <c r="AC17" i="23" s="1"/>
  <c r="AD17" i="23" s="1"/>
  <c r="AE17" i="23" s="1"/>
  <c r="AF17" i="23" s="1"/>
  <c r="AG17" i="23" s="1"/>
  <c r="AH17" i="23" s="1"/>
  <c r="AI17" i="23" s="1"/>
  <c r="AJ17" i="23" s="1"/>
  <c r="AK17" i="23" s="1"/>
  <c r="AL17" i="23" s="1"/>
  <c r="AM17" i="23" s="1"/>
  <c r="AN17" i="23" s="1"/>
  <c r="I16" i="23"/>
  <c r="H16" i="23"/>
  <c r="G16" i="23"/>
  <c r="F16" i="23"/>
  <c r="E16" i="23"/>
  <c r="I13" i="23"/>
  <c r="I8" i="23" s="1"/>
  <c r="H13" i="23"/>
  <c r="H8" i="23" s="1"/>
  <c r="G13" i="23"/>
  <c r="F13" i="23"/>
  <c r="F8" i="23" s="1"/>
  <c r="E13" i="23"/>
  <c r="E8" i="23" s="1"/>
  <c r="AD7" i="23"/>
  <c r="AC7" i="23"/>
  <c r="V7" i="23"/>
  <c r="I355" i="22"/>
  <c r="I359" i="22" s="1"/>
  <c r="I360" i="22" s="1"/>
  <c r="I364" i="22" s="1"/>
  <c r="H355" i="22"/>
  <c r="G355" i="22"/>
  <c r="F355" i="22"/>
  <c r="E355" i="22"/>
  <c r="I215" i="22"/>
  <c r="H215" i="22"/>
  <c r="G215" i="22"/>
  <c r="F215" i="22"/>
  <c r="E215" i="22"/>
  <c r="E213" i="22"/>
  <c r="E210" i="22"/>
  <c r="E214" i="22" s="1"/>
  <c r="I209" i="22"/>
  <c r="I210" i="22" s="1"/>
  <c r="I214" i="22" s="1"/>
  <c r="H209" i="22"/>
  <c r="H213" i="22" s="1"/>
  <c r="G209" i="22"/>
  <c r="F209" i="22"/>
  <c r="F210" i="22" s="1"/>
  <c r="F214" i="22" s="1"/>
  <c r="I207" i="22"/>
  <c r="H207" i="22"/>
  <c r="G207" i="22"/>
  <c r="F207" i="22"/>
  <c r="E207" i="22"/>
  <c r="I60" i="22"/>
  <c r="H60" i="22"/>
  <c r="G60" i="22"/>
  <c r="F60" i="22"/>
  <c r="E60" i="22"/>
  <c r="E155" i="22" s="1"/>
  <c r="I54" i="22"/>
  <c r="I55" i="22" s="1"/>
  <c r="I59" i="22" s="1"/>
  <c r="H54" i="22"/>
  <c r="H58" i="22" s="1"/>
  <c r="G54" i="22"/>
  <c r="G58" i="22" s="1"/>
  <c r="F54" i="22"/>
  <c r="F55" i="22" s="1"/>
  <c r="F59" i="22" s="1"/>
  <c r="I52" i="22"/>
  <c r="H52" i="22"/>
  <c r="G52" i="22"/>
  <c r="F52" i="22"/>
  <c r="E50" i="22"/>
  <c r="E52" i="22" s="1"/>
  <c r="I49" i="22"/>
  <c r="H49" i="22"/>
  <c r="G49" i="22"/>
  <c r="F49" i="22"/>
  <c r="E49" i="22"/>
  <c r="K350" i="22"/>
  <c r="I23" i="22"/>
  <c r="H23" i="22"/>
  <c r="G23" i="22"/>
  <c r="F23" i="22"/>
  <c r="E23" i="22"/>
  <c r="M22" i="22"/>
  <c r="N22" i="22" s="1"/>
  <c r="O22" i="22" s="1"/>
  <c r="P22" i="22" s="1"/>
  <c r="Q22" i="22" s="1"/>
  <c r="R22" i="22" s="1"/>
  <c r="S22" i="22" s="1"/>
  <c r="T22" i="22" s="1"/>
  <c r="U22" i="22" s="1"/>
  <c r="V22" i="22" s="1"/>
  <c r="W22" i="22" s="1"/>
  <c r="X22" i="22" s="1"/>
  <c r="Y22" i="22" s="1"/>
  <c r="Z22" i="22" s="1"/>
  <c r="AA22" i="22" s="1"/>
  <c r="AB22" i="22" s="1"/>
  <c r="AC22" i="22" s="1"/>
  <c r="AD22" i="22" s="1"/>
  <c r="AE22" i="22" s="1"/>
  <c r="AF22" i="22" s="1"/>
  <c r="AG22" i="22" s="1"/>
  <c r="AH22" i="22" s="1"/>
  <c r="AI22" i="22" s="1"/>
  <c r="AJ22" i="22" s="1"/>
  <c r="AK22" i="22" s="1"/>
  <c r="AL22" i="22" s="1"/>
  <c r="AM22" i="22" s="1"/>
  <c r="AN22" i="22" s="1"/>
  <c r="I21" i="22"/>
  <c r="H21" i="22"/>
  <c r="G21" i="22"/>
  <c r="F21" i="22"/>
  <c r="E21" i="22"/>
  <c r="I18" i="22"/>
  <c r="H18" i="22"/>
  <c r="G18" i="22"/>
  <c r="F18" i="22"/>
  <c r="E18" i="22"/>
  <c r="M17" i="22"/>
  <c r="N17" i="22" s="1"/>
  <c r="O17" i="22" s="1"/>
  <c r="P17" i="22" s="1"/>
  <c r="Q17" i="22" s="1"/>
  <c r="R17" i="22" s="1"/>
  <c r="S17" i="22" s="1"/>
  <c r="T17" i="22" s="1"/>
  <c r="U17" i="22" s="1"/>
  <c r="V17" i="22" s="1"/>
  <c r="W17" i="22" s="1"/>
  <c r="X17" i="22" s="1"/>
  <c r="Y17" i="22" s="1"/>
  <c r="Z17" i="22" s="1"/>
  <c r="AA17" i="22" s="1"/>
  <c r="AB17" i="22" s="1"/>
  <c r="AC17" i="22" s="1"/>
  <c r="AD17" i="22" s="1"/>
  <c r="AE17" i="22" s="1"/>
  <c r="AF17" i="22" s="1"/>
  <c r="AG17" i="22" s="1"/>
  <c r="AH17" i="22" s="1"/>
  <c r="AI17" i="22" s="1"/>
  <c r="AJ17" i="22" s="1"/>
  <c r="AK17" i="22" s="1"/>
  <c r="AL17" i="22" s="1"/>
  <c r="AM17" i="22" s="1"/>
  <c r="AN17" i="22" s="1"/>
  <c r="I16" i="22"/>
  <c r="H16" i="22"/>
  <c r="G16" i="22"/>
  <c r="F16" i="22"/>
  <c r="E16" i="22"/>
  <c r="I13" i="22"/>
  <c r="I8" i="22" s="1"/>
  <c r="H13" i="22"/>
  <c r="H8" i="22" s="1"/>
  <c r="G13" i="22"/>
  <c r="G8" i="22" s="1"/>
  <c r="F13" i="22"/>
  <c r="F8" i="22" s="1"/>
  <c r="E13" i="22"/>
  <c r="E8" i="22" s="1"/>
  <c r="U7" i="22"/>
  <c r="T7" i="22"/>
  <c r="S7" i="22"/>
  <c r="AD7" i="22"/>
  <c r="Q7" i="22"/>
  <c r="J7" i="22"/>
  <c r="I354" i="19"/>
  <c r="I358" i="19" s="1"/>
  <c r="I359" i="19" s="1"/>
  <c r="I363" i="19" s="1"/>
  <c r="H354" i="19"/>
  <c r="G354" i="19"/>
  <c r="F354" i="19"/>
  <c r="E354" i="19"/>
  <c r="I215" i="19"/>
  <c r="I312" i="19" s="1"/>
  <c r="H215" i="19"/>
  <c r="G215" i="19"/>
  <c r="F215" i="19"/>
  <c r="F309" i="19" s="1"/>
  <c r="E215" i="19"/>
  <c r="E213" i="19"/>
  <c r="E210" i="19"/>
  <c r="E214" i="19" s="1"/>
  <c r="I209" i="19"/>
  <c r="I210" i="19" s="1"/>
  <c r="I214" i="19" s="1"/>
  <c r="H209" i="19"/>
  <c r="H210" i="19" s="1"/>
  <c r="H214" i="19" s="1"/>
  <c r="G209" i="19"/>
  <c r="G213" i="19" s="1"/>
  <c r="F209" i="19"/>
  <c r="F210" i="19" s="1"/>
  <c r="F214" i="19" s="1"/>
  <c r="I207" i="19"/>
  <c r="H207" i="19"/>
  <c r="G207" i="19"/>
  <c r="F207" i="19"/>
  <c r="E207" i="19"/>
  <c r="I60" i="19"/>
  <c r="H60" i="19"/>
  <c r="G60" i="19"/>
  <c r="F60" i="19"/>
  <c r="E60" i="19"/>
  <c r="F59" i="19"/>
  <c r="F58" i="19"/>
  <c r="E58" i="19"/>
  <c r="E55" i="19"/>
  <c r="E59" i="19" s="1"/>
  <c r="I54" i="19"/>
  <c r="I58" i="19" s="1"/>
  <c r="I76" i="19" s="1"/>
  <c r="H54" i="19"/>
  <c r="H58" i="19" s="1"/>
  <c r="G54" i="19"/>
  <c r="G58" i="19" s="1"/>
  <c r="I52" i="19"/>
  <c r="H52" i="19"/>
  <c r="G52" i="19"/>
  <c r="F52" i="19"/>
  <c r="E52" i="19"/>
  <c r="I49" i="19"/>
  <c r="H49" i="19"/>
  <c r="G49" i="19"/>
  <c r="F49" i="19"/>
  <c r="E49" i="19"/>
  <c r="I23" i="19"/>
  <c r="H23" i="19"/>
  <c r="G23" i="19"/>
  <c r="F23" i="19"/>
  <c r="E23" i="19"/>
  <c r="M22" i="19"/>
  <c r="N22" i="19" s="1"/>
  <c r="O22" i="19" s="1"/>
  <c r="P22" i="19" s="1"/>
  <c r="Q22" i="19" s="1"/>
  <c r="R22" i="19" s="1"/>
  <c r="S22" i="19" s="1"/>
  <c r="T22" i="19" s="1"/>
  <c r="U22" i="19" s="1"/>
  <c r="V22" i="19" s="1"/>
  <c r="W22" i="19" s="1"/>
  <c r="X22" i="19" s="1"/>
  <c r="Z22" i="19" s="1"/>
  <c r="AA22" i="19" s="1"/>
  <c r="AB22" i="19" s="1"/>
  <c r="AC22" i="19" s="1"/>
  <c r="AD22" i="19" s="1"/>
  <c r="AE22" i="19" s="1"/>
  <c r="AF22" i="19" s="1"/>
  <c r="AG22" i="19" s="1"/>
  <c r="AH22" i="19" s="1"/>
  <c r="AI22" i="19" s="1"/>
  <c r="AJ22" i="19" s="1"/>
  <c r="AK22" i="19" s="1"/>
  <c r="AL22" i="19" s="1"/>
  <c r="AM22" i="19" s="1"/>
  <c r="AN22" i="19" s="1"/>
  <c r="I21" i="19"/>
  <c r="H21" i="19"/>
  <c r="G21" i="19"/>
  <c r="F21" i="19"/>
  <c r="E21" i="19"/>
  <c r="I18" i="19"/>
  <c r="H18" i="19"/>
  <c r="G18" i="19"/>
  <c r="F18" i="19"/>
  <c r="E18" i="19"/>
  <c r="M17" i="19"/>
  <c r="N17" i="19" s="1"/>
  <c r="O17" i="19" s="1"/>
  <c r="P17" i="19" s="1"/>
  <c r="Q17" i="19" s="1"/>
  <c r="R17" i="19" s="1"/>
  <c r="S17" i="19" s="1"/>
  <c r="T17" i="19" s="1"/>
  <c r="U17" i="19" s="1"/>
  <c r="V17" i="19" s="1"/>
  <c r="W17" i="19" s="1"/>
  <c r="X17" i="19" s="1"/>
  <c r="Y17" i="19" s="1"/>
  <c r="Z17" i="19" s="1"/>
  <c r="AA17" i="19" s="1"/>
  <c r="AB17" i="19" s="1"/>
  <c r="AC17" i="19" s="1"/>
  <c r="AD17" i="19" s="1"/>
  <c r="AE17" i="19" s="1"/>
  <c r="AF17" i="19" s="1"/>
  <c r="AG17" i="19" s="1"/>
  <c r="AH17" i="19" s="1"/>
  <c r="AI17" i="19" s="1"/>
  <c r="AJ17" i="19" s="1"/>
  <c r="AK17" i="19" s="1"/>
  <c r="AL17" i="19" s="1"/>
  <c r="AM17" i="19" s="1"/>
  <c r="AN17" i="19" s="1"/>
  <c r="I16" i="19"/>
  <c r="H16" i="19"/>
  <c r="G16" i="19"/>
  <c r="F16" i="19"/>
  <c r="E16" i="19"/>
  <c r="I13" i="19"/>
  <c r="I8" i="19" s="1"/>
  <c r="H13" i="19"/>
  <c r="H8" i="19" s="1"/>
  <c r="G13" i="19"/>
  <c r="G8" i="19" s="1"/>
  <c r="F13" i="19"/>
  <c r="F8" i="19" s="1"/>
  <c r="E13" i="19"/>
  <c r="E8" i="19" s="1"/>
  <c r="AG7" i="19"/>
  <c r="AF7" i="19"/>
  <c r="AE7" i="19"/>
  <c r="AC7" i="19"/>
  <c r="AH7" i="19"/>
  <c r="H355" i="20"/>
  <c r="I355" i="20"/>
  <c r="I359" i="20" s="1"/>
  <c r="I360" i="20" s="1"/>
  <c r="I364" i="20" s="1"/>
  <c r="G355" i="20"/>
  <c r="F355" i="20"/>
  <c r="E355" i="20"/>
  <c r="I205" i="20"/>
  <c r="H205" i="20"/>
  <c r="H207" i="20" s="1"/>
  <c r="G205" i="20"/>
  <c r="F205" i="20"/>
  <c r="E205" i="20"/>
  <c r="E209" i="20" s="1"/>
  <c r="E210" i="20" s="1"/>
  <c r="I204" i="20"/>
  <c r="H204" i="20"/>
  <c r="G204" i="20"/>
  <c r="F204" i="20"/>
  <c r="E204" i="20"/>
  <c r="G55" i="20"/>
  <c r="I54" i="20"/>
  <c r="I55" i="20" s="1"/>
  <c r="I59" i="20" s="1"/>
  <c r="I117" i="20" s="1"/>
  <c r="H54" i="20"/>
  <c r="H55" i="20" s="1"/>
  <c r="F54" i="20"/>
  <c r="F55" i="20" s="1"/>
  <c r="E54" i="20"/>
  <c r="E55" i="20" s="1"/>
  <c r="I52" i="20"/>
  <c r="G52" i="20"/>
  <c r="F52" i="20"/>
  <c r="H50" i="20"/>
  <c r="H52" i="20" s="1"/>
  <c r="E50" i="20"/>
  <c r="E52" i="20" s="1"/>
  <c r="I49" i="20"/>
  <c r="H49" i="20"/>
  <c r="G49" i="20"/>
  <c r="F49" i="20"/>
  <c r="E49" i="20"/>
  <c r="I23" i="20"/>
  <c r="H23" i="20"/>
  <c r="G23" i="20"/>
  <c r="F23" i="20"/>
  <c r="E23" i="20"/>
  <c r="M22" i="20"/>
  <c r="N22" i="20" s="1"/>
  <c r="O22" i="20" s="1"/>
  <c r="P22" i="20" s="1"/>
  <c r="I21" i="20"/>
  <c r="H21" i="20"/>
  <c r="G21" i="20"/>
  <c r="F21" i="20"/>
  <c r="E21" i="20"/>
  <c r="N20" i="20"/>
  <c r="I18" i="20"/>
  <c r="H18" i="20"/>
  <c r="G18" i="20"/>
  <c r="F18" i="20"/>
  <c r="E18" i="20"/>
  <c r="M17" i="20"/>
  <c r="N17" i="20" s="1"/>
  <c r="O17" i="20" s="1"/>
  <c r="P17" i="20" s="1"/>
  <c r="I16" i="20"/>
  <c r="H16" i="20"/>
  <c r="G16" i="20"/>
  <c r="F16" i="20"/>
  <c r="E16" i="20"/>
  <c r="I13" i="20"/>
  <c r="I8" i="20" s="1"/>
  <c r="H13" i="20"/>
  <c r="H8" i="20" s="1"/>
  <c r="G13" i="20"/>
  <c r="G8" i="20" s="1"/>
  <c r="F13" i="20"/>
  <c r="F8" i="20" s="1"/>
  <c r="E13" i="20"/>
  <c r="E8" i="20" s="1"/>
  <c r="W4" i="20"/>
  <c r="W7" i="20" s="1"/>
  <c r="U4" i="20"/>
  <c r="AG4" i="20" s="1"/>
  <c r="AG7" i="20" s="1"/>
  <c r="T4" i="20"/>
  <c r="AF4" i="20" s="1"/>
  <c r="AF7" i="20" s="1"/>
  <c r="S4" i="20"/>
  <c r="AE4" i="20" s="1"/>
  <c r="AE7" i="20" s="1"/>
  <c r="R4" i="20"/>
  <c r="R7" i="20" s="1"/>
  <c r="Q4" i="20"/>
  <c r="Q7" i="20" s="1"/>
  <c r="V4" i="20"/>
  <c r="J417" i="42"/>
  <c r="K417" i="42" s="1"/>
  <c r="L417" i="42" s="1"/>
  <c r="M417" i="42" s="1"/>
  <c r="N417" i="42" s="1"/>
  <c r="O417" i="42" s="1"/>
  <c r="P417" i="42" s="1"/>
  <c r="Q417" i="42" s="1"/>
  <c r="R417" i="42" s="1"/>
  <c r="S417" i="42" s="1"/>
  <c r="T417" i="42" s="1"/>
  <c r="U417" i="42" s="1"/>
  <c r="V417" i="42" s="1"/>
  <c r="W417" i="42" s="1"/>
  <c r="X417" i="42" s="1"/>
  <c r="Y417" i="42" s="1"/>
  <c r="Z417" i="42" s="1"/>
  <c r="AA417" i="42" s="1"/>
  <c r="AB417" i="42" s="1"/>
  <c r="AC417" i="42" s="1"/>
  <c r="AD417" i="42" s="1"/>
  <c r="AE417" i="42" s="1"/>
  <c r="AF417" i="42" s="1"/>
  <c r="AG417" i="42" s="1"/>
  <c r="AH417" i="42" s="1"/>
  <c r="AI417" i="42" s="1"/>
  <c r="AJ417" i="42" s="1"/>
  <c r="AK417" i="42" s="1"/>
  <c r="AL417" i="42" s="1"/>
  <c r="AM417" i="42" s="1"/>
  <c r="AN417" i="42" s="1"/>
  <c r="J226" i="42"/>
  <c r="K226" i="42" s="1"/>
  <c r="L226" i="42" s="1"/>
  <c r="M226" i="42" s="1"/>
  <c r="N226" i="42" s="1"/>
  <c r="O226" i="42" s="1"/>
  <c r="P226" i="42" s="1"/>
  <c r="Q226" i="42" s="1"/>
  <c r="R226" i="42" s="1"/>
  <c r="S226" i="42" s="1"/>
  <c r="T226" i="42" s="1"/>
  <c r="U226" i="42" s="1"/>
  <c r="V226" i="42" s="1"/>
  <c r="W226" i="42" s="1"/>
  <c r="X226" i="42" s="1"/>
  <c r="Y226" i="42" s="1"/>
  <c r="Z226" i="42" s="1"/>
  <c r="AA226" i="42" s="1"/>
  <c r="AB226" i="42" s="1"/>
  <c r="AC226" i="42" s="1"/>
  <c r="AD226" i="42" s="1"/>
  <c r="AE226" i="42" s="1"/>
  <c r="AF226" i="42" s="1"/>
  <c r="AG226" i="42" s="1"/>
  <c r="AH226" i="42" s="1"/>
  <c r="AI226" i="42" s="1"/>
  <c r="AJ226" i="42" s="1"/>
  <c r="AK226" i="42" s="1"/>
  <c r="AL226" i="42" s="1"/>
  <c r="AM226" i="42" s="1"/>
  <c r="AN226" i="42" s="1"/>
  <c r="J200" i="42"/>
  <c r="G154" i="42"/>
  <c r="J154" i="42" s="1"/>
  <c r="M154" i="42" s="1"/>
  <c r="P154" i="42" s="1"/>
  <c r="S154" i="42" s="1"/>
  <c r="V154" i="42" s="1"/>
  <c r="Y154" i="42" s="1"/>
  <c r="AB154" i="42" s="1"/>
  <c r="AE154" i="42" s="1"/>
  <c r="AH154" i="42" s="1"/>
  <c r="AK154" i="42" s="1"/>
  <c r="AN154" i="42" s="1"/>
  <c r="F154" i="42"/>
  <c r="I154" i="42" s="1"/>
  <c r="L154" i="42" s="1"/>
  <c r="O154" i="42" s="1"/>
  <c r="R154" i="42" s="1"/>
  <c r="U154" i="42" s="1"/>
  <c r="X154" i="42" s="1"/>
  <c r="AA154" i="42" s="1"/>
  <c r="AD154" i="42" s="1"/>
  <c r="AG154" i="42" s="1"/>
  <c r="AJ154" i="42" s="1"/>
  <c r="AM154" i="42" s="1"/>
  <c r="E154" i="42"/>
  <c r="H154" i="42" s="1"/>
  <c r="K154" i="42" s="1"/>
  <c r="N154" i="42" s="1"/>
  <c r="Q154" i="42" s="1"/>
  <c r="T154" i="42" s="1"/>
  <c r="W154" i="42" s="1"/>
  <c r="Z154" i="42" s="1"/>
  <c r="AC154" i="42" s="1"/>
  <c r="AF154" i="42" s="1"/>
  <c r="AI154" i="42" s="1"/>
  <c r="AL154" i="42" s="1"/>
  <c r="E112" i="42"/>
  <c r="F112" i="42" s="1"/>
  <c r="G112" i="42" s="1"/>
  <c r="H112" i="42" s="1"/>
  <c r="I112" i="42" s="1"/>
  <c r="J112" i="42" s="1"/>
  <c r="K112" i="42" s="1"/>
  <c r="L112" i="42" s="1"/>
  <c r="M112" i="42" s="1"/>
  <c r="N112" i="42" s="1"/>
  <c r="O112" i="42" s="1"/>
  <c r="P112" i="42" s="1"/>
  <c r="Q112" i="42" s="1"/>
  <c r="R112" i="42" s="1"/>
  <c r="S112" i="42" s="1"/>
  <c r="T112" i="42" s="1"/>
  <c r="U112" i="42" s="1"/>
  <c r="V112" i="42" s="1"/>
  <c r="W112" i="42" s="1"/>
  <c r="X112" i="42" s="1"/>
  <c r="Y112" i="42" s="1"/>
  <c r="Z112" i="42" s="1"/>
  <c r="AA112" i="42" s="1"/>
  <c r="AB112" i="42" s="1"/>
  <c r="AC112" i="42" s="1"/>
  <c r="AD112" i="42" s="1"/>
  <c r="AE112" i="42" s="1"/>
  <c r="AF112" i="42" s="1"/>
  <c r="AG112" i="42" s="1"/>
  <c r="AH112" i="42" s="1"/>
  <c r="AI112" i="42" s="1"/>
  <c r="AJ112" i="42" s="1"/>
  <c r="AK112" i="42" s="1"/>
  <c r="AL112" i="42" s="1"/>
  <c r="AM112" i="42" s="1"/>
  <c r="AN112" i="42" s="1"/>
  <c r="J71" i="42"/>
  <c r="K71" i="42" s="1"/>
  <c r="L71" i="42" s="1"/>
  <c r="M71" i="42" s="1"/>
  <c r="N71" i="42" s="1"/>
  <c r="O71" i="42" s="1"/>
  <c r="P71" i="42" s="1"/>
  <c r="Q71" i="42" s="1"/>
  <c r="R71" i="42" s="1"/>
  <c r="S71" i="42" s="1"/>
  <c r="T71" i="42" s="1"/>
  <c r="U71" i="42" s="1"/>
  <c r="V71" i="42" s="1"/>
  <c r="W71" i="42" s="1"/>
  <c r="X71" i="42" s="1"/>
  <c r="Y71" i="42" s="1"/>
  <c r="Z71" i="42" s="1"/>
  <c r="AA71" i="42" s="1"/>
  <c r="AB71" i="42" s="1"/>
  <c r="AC71" i="42" s="1"/>
  <c r="AD71" i="42" s="1"/>
  <c r="AE71" i="42" s="1"/>
  <c r="AF71" i="42" s="1"/>
  <c r="AG71" i="42" s="1"/>
  <c r="AH71" i="42" s="1"/>
  <c r="AI71" i="42" s="1"/>
  <c r="AJ71" i="42" s="1"/>
  <c r="AK71" i="42" s="1"/>
  <c r="AL71" i="42" s="1"/>
  <c r="AM71" i="42" s="1"/>
  <c r="AN71" i="42" s="1"/>
  <c r="H71" i="42"/>
  <c r="F71" i="42"/>
  <c r="Z48" i="42"/>
  <c r="AA48" i="42" s="1"/>
  <c r="AB48" i="42" s="1"/>
  <c r="AC48" i="42" s="1"/>
  <c r="AD48" i="42" s="1"/>
  <c r="AE48" i="42" s="1"/>
  <c r="AF48" i="42" s="1"/>
  <c r="AG48" i="42" s="1"/>
  <c r="AH48" i="42" s="1"/>
  <c r="AI48" i="42" s="1"/>
  <c r="AJ48" i="42" s="1"/>
  <c r="AK48" i="42" s="1"/>
  <c r="AL48" i="42" s="1"/>
  <c r="AM48" i="42" s="1"/>
  <c r="AN48" i="42" s="1"/>
  <c r="V48" i="42"/>
  <c r="R48" i="42"/>
  <c r="S48" i="42" s="1"/>
  <c r="T48" i="42" s="1"/>
  <c r="J417" i="41"/>
  <c r="K417" i="41" s="1"/>
  <c r="L417" i="41" s="1"/>
  <c r="M417" i="41" s="1"/>
  <c r="N417" i="41" s="1"/>
  <c r="O417" i="41" s="1"/>
  <c r="P417" i="41" s="1"/>
  <c r="Q417" i="41" s="1"/>
  <c r="R417" i="41" s="1"/>
  <c r="S417" i="41" s="1"/>
  <c r="T417" i="41" s="1"/>
  <c r="U417" i="41" s="1"/>
  <c r="V417" i="41" s="1"/>
  <c r="W417" i="41" s="1"/>
  <c r="X417" i="41" s="1"/>
  <c r="Y417" i="41" s="1"/>
  <c r="Z417" i="41" s="1"/>
  <c r="AA417" i="41" s="1"/>
  <c r="AB417" i="41" s="1"/>
  <c r="AC417" i="41" s="1"/>
  <c r="AD417" i="41" s="1"/>
  <c r="AE417" i="41" s="1"/>
  <c r="AF417" i="41" s="1"/>
  <c r="AG417" i="41" s="1"/>
  <c r="AH417" i="41" s="1"/>
  <c r="AI417" i="41" s="1"/>
  <c r="AJ417" i="41" s="1"/>
  <c r="AK417" i="41" s="1"/>
  <c r="AL417" i="41" s="1"/>
  <c r="AM417" i="41" s="1"/>
  <c r="AN417" i="41" s="1"/>
  <c r="J376" i="41"/>
  <c r="K376" i="41" s="1"/>
  <c r="L376" i="41" s="1"/>
  <c r="M376" i="41" s="1"/>
  <c r="N376" i="41" s="1"/>
  <c r="O376" i="41" s="1"/>
  <c r="P376" i="41" s="1"/>
  <c r="Q376" i="41" s="1"/>
  <c r="R376" i="41" s="1"/>
  <c r="S376" i="41" s="1"/>
  <c r="T376" i="41" s="1"/>
  <c r="U376" i="41" s="1"/>
  <c r="V376" i="41" s="1"/>
  <c r="W376" i="41" s="1"/>
  <c r="X376" i="41" s="1"/>
  <c r="Y376" i="41" s="1"/>
  <c r="Z376" i="41" s="1"/>
  <c r="AA376" i="41" s="1"/>
  <c r="AB376" i="41" s="1"/>
  <c r="AC376" i="41" s="1"/>
  <c r="AD376" i="41" s="1"/>
  <c r="AE376" i="41" s="1"/>
  <c r="AF376" i="41" s="1"/>
  <c r="AG376" i="41" s="1"/>
  <c r="AH376" i="41" s="1"/>
  <c r="AI376" i="41" s="1"/>
  <c r="AJ376" i="41" s="1"/>
  <c r="AK376" i="41" s="1"/>
  <c r="AL376" i="41" s="1"/>
  <c r="AM376" i="41" s="1"/>
  <c r="AN376" i="41" s="1"/>
  <c r="AN360" i="41"/>
  <c r="AM360" i="41"/>
  <c r="AL360" i="41"/>
  <c r="AK360" i="41"/>
  <c r="AJ360" i="41"/>
  <c r="AI360" i="41"/>
  <c r="AH360" i="41"/>
  <c r="AG360" i="41"/>
  <c r="AF360" i="41"/>
  <c r="AE360" i="41"/>
  <c r="AD360" i="41"/>
  <c r="AC360" i="41"/>
  <c r="AB360" i="41"/>
  <c r="AA360" i="41"/>
  <c r="Z360" i="41"/>
  <c r="Y360" i="41"/>
  <c r="X360" i="41"/>
  <c r="W360" i="41"/>
  <c r="V360" i="41"/>
  <c r="U360" i="41"/>
  <c r="T360" i="41"/>
  <c r="S360" i="41"/>
  <c r="R360" i="41"/>
  <c r="Q360" i="41"/>
  <c r="P360" i="41"/>
  <c r="O360" i="41"/>
  <c r="N360" i="41"/>
  <c r="M360" i="41"/>
  <c r="J226" i="41"/>
  <c r="K226" i="41" s="1"/>
  <c r="L226" i="41" s="1"/>
  <c r="M226" i="41" s="1"/>
  <c r="N226" i="41" s="1"/>
  <c r="O226" i="41" s="1"/>
  <c r="P226" i="41" s="1"/>
  <c r="Q226" i="41" s="1"/>
  <c r="R226" i="41" s="1"/>
  <c r="S226" i="41" s="1"/>
  <c r="T226" i="41" s="1"/>
  <c r="U226" i="41" s="1"/>
  <c r="V226" i="41" s="1"/>
  <c r="W226" i="41" s="1"/>
  <c r="X226" i="41" s="1"/>
  <c r="Y226" i="41" s="1"/>
  <c r="Z226" i="41" s="1"/>
  <c r="AA226" i="41" s="1"/>
  <c r="AB226" i="41" s="1"/>
  <c r="AC226" i="41" s="1"/>
  <c r="AD226" i="41" s="1"/>
  <c r="AE226" i="41" s="1"/>
  <c r="AF226" i="41" s="1"/>
  <c r="AG226" i="41" s="1"/>
  <c r="AH226" i="41" s="1"/>
  <c r="AI226" i="41" s="1"/>
  <c r="AJ226" i="41" s="1"/>
  <c r="AK226" i="41" s="1"/>
  <c r="AL226" i="41" s="1"/>
  <c r="AM226" i="41" s="1"/>
  <c r="AN226" i="41" s="1"/>
  <c r="G154" i="41"/>
  <c r="J154" i="41" s="1"/>
  <c r="M154" i="41" s="1"/>
  <c r="P154" i="41" s="1"/>
  <c r="S154" i="41" s="1"/>
  <c r="V154" i="41" s="1"/>
  <c r="Y154" i="41" s="1"/>
  <c r="AB154" i="41" s="1"/>
  <c r="AE154" i="41" s="1"/>
  <c r="AH154" i="41" s="1"/>
  <c r="AK154" i="41" s="1"/>
  <c r="AN154" i="41" s="1"/>
  <c r="F154" i="41"/>
  <c r="I154" i="41" s="1"/>
  <c r="L154" i="41" s="1"/>
  <c r="O154" i="41" s="1"/>
  <c r="R154" i="41" s="1"/>
  <c r="U154" i="41" s="1"/>
  <c r="X154" i="41" s="1"/>
  <c r="AA154" i="41" s="1"/>
  <c r="AD154" i="41" s="1"/>
  <c r="AG154" i="41" s="1"/>
  <c r="AJ154" i="41" s="1"/>
  <c r="AM154" i="41" s="1"/>
  <c r="E154" i="41"/>
  <c r="H154" i="41" s="1"/>
  <c r="K154" i="41" s="1"/>
  <c r="N154" i="41" s="1"/>
  <c r="Q154" i="41" s="1"/>
  <c r="T154" i="41" s="1"/>
  <c r="W154" i="41" s="1"/>
  <c r="Z154" i="41" s="1"/>
  <c r="AC154" i="41" s="1"/>
  <c r="AF154" i="41" s="1"/>
  <c r="AI154" i="41" s="1"/>
  <c r="AL154" i="41" s="1"/>
  <c r="E112" i="41"/>
  <c r="F112" i="41" s="1"/>
  <c r="G112" i="41" s="1"/>
  <c r="AA111" i="41"/>
  <c r="J71" i="41"/>
  <c r="K71" i="41" s="1"/>
  <c r="L71" i="41" s="1"/>
  <c r="M71" i="41" s="1"/>
  <c r="N71" i="41" s="1"/>
  <c r="O71" i="41" s="1"/>
  <c r="P71" i="41" s="1"/>
  <c r="Q71" i="41" s="1"/>
  <c r="R71" i="41" s="1"/>
  <c r="S71" i="41" s="1"/>
  <c r="T71" i="41" s="1"/>
  <c r="U71" i="41" s="1"/>
  <c r="V71" i="41" s="1"/>
  <c r="W71" i="41" s="1"/>
  <c r="X71" i="41" s="1"/>
  <c r="Y71" i="41" s="1"/>
  <c r="Z71" i="41" s="1"/>
  <c r="AA71" i="41" s="1"/>
  <c r="AB71" i="41" s="1"/>
  <c r="AC71" i="41" s="1"/>
  <c r="AD71" i="41" s="1"/>
  <c r="AE71" i="41" s="1"/>
  <c r="AF71" i="41" s="1"/>
  <c r="AG71" i="41" s="1"/>
  <c r="AH71" i="41" s="1"/>
  <c r="AI71" i="41" s="1"/>
  <c r="AJ71" i="41" s="1"/>
  <c r="AK71" i="41" s="1"/>
  <c r="AL71" i="41" s="1"/>
  <c r="AM71" i="41" s="1"/>
  <c r="AN71" i="41" s="1"/>
  <c r="H71" i="41"/>
  <c r="F71" i="41"/>
  <c r="Z48" i="41"/>
  <c r="AA48" i="41" s="1"/>
  <c r="AB48" i="41" s="1"/>
  <c r="AC48" i="41" s="1"/>
  <c r="AD48" i="41" s="1"/>
  <c r="X48" i="41"/>
  <c r="V48" i="41"/>
  <c r="R48" i="41"/>
  <c r="S48" i="41" s="1"/>
  <c r="T48" i="41" s="1"/>
  <c r="J417" i="23"/>
  <c r="K417" i="23" s="1"/>
  <c r="L417" i="23" s="1"/>
  <c r="M417" i="23" s="1"/>
  <c r="N417" i="23" s="1"/>
  <c r="O417" i="23" s="1"/>
  <c r="P417" i="23" s="1"/>
  <c r="Q417" i="23" s="1"/>
  <c r="R417" i="23" s="1"/>
  <c r="S417" i="23" s="1"/>
  <c r="T417" i="23" s="1"/>
  <c r="U417" i="23" s="1"/>
  <c r="V417" i="23" s="1"/>
  <c r="W417" i="23" s="1"/>
  <c r="X417" i="23" s="1"/>
  <c r="Y417" i="23" s="1"/>
  <c r="J376" i="23"/>
  <c r="K376" i="23" s="1"/>
  <c r="L376" i="23" s="1"/>
  <c r="M376" i="23" s="1"/>
  <c r="N376" i="23" s="1"/>
  <c r="O376" i="23" s="1"/>
  <c r="P376" i="23" s="1"/>
  <c r="Q376" i="23" s="1"/>
  <c r="R376" i="23" s="1"/>
  <c r="S376" i="23" s="1"/>
  <c r="T376" i="23" s="1"/>
  <c r="U376" i="23" s="1"/>
  <c r="V376" i="23" s="1"/>
  <c r="W376" i="23" s="1"/>
  <c r="X376" i="23" s="1"/>
  <c r="Y376" i="23" s="1"/>
  <c r="Z376" i="23" s="1"/>
  <c r="AA376" i="23" s="1"/>
  <c r="AB376" i="23" s="1"/>
  <c r="AC376" i="23" s="1"/>
  <c r="AD376" i="23" s="1"/>
  <c r="AE376" i="23" s="1"/>
  <c r="AF376" i="23" s="1"/>
  <c r="AG376" i="23" s="1"/>
  <c r="AH376" i="23" s="1"/>
  <c r="AI376" i="23" s="1"/>
  <c r="AJ376" i="23" s="1"/>
  <c r="AK376" i="23" s="1"/>
  <c r="AL376" i="23" s="1"/>
  <c r="AM376" i="23" s="1"/>
  <c r="AN376" i="23" s="1"/>
  <c r="AN360" i="23"/>
  <c r="AM360" i="23"/>
  <c r="AL360" i="23"/>
  <c r="AK360" i="23"/>
  <c r="AJ360" i="23"/>
  <c r="AI360" i="23"/>
  <c r="AH360" i="23"/>
  <c r="AG360" i="23"/>
  <c r="AF360" i="23"/>
  <c r="AE360" i="23"/>
  <c r="AD360" i="23"/>
  <c r="AC360" i="23"/>
  <c r="AB360" i="23"/>
  <c r="AA360" i="23"/>
  <c r="Z360" i="23"/>
  <c r="Y360" i="23"/>
  <c r="X360" i="23"/>
  <c r="W360" i="23"/>
  <c r="V360" i="23"/>
  <c r="U360" i="23"/>
  <c r="T360" i="23"/>
  <c r="S360" i="23"/>
  <c r="R360" i="23"/>
  <c r="Q360" i="23"/>
  <c r="P360" i="23"/>
  <c r="O360" i="23"/>
  <c r="N360" i="23"/>
  <c r="M360" i="23"/>
  <c r="J226" i="23"/>
  <c r="K226" i="23" s="1"/>
  <c r="L226" i="23" s="1"/>
  <c r="M226" i="23" s="1"/>
  <c r="N226" i="23" s="1"/>
  <c r="O226" i="23" s="1"/>
  <c r="P226" i="23" s="1"/>
  <c r="Q226" i="23" s="1"/>
  <c r="R226" i="23" s="1"/>
  <c r="S226" i="23" s="1"/>
  <c r="T226" i="23" s="1"/>
  <c r="U226" i="23" s="1"/>
  <c r="V226" i="23" s="1"/>
  <c r="W226" i="23" s="1"/>
  <c r="X226" i="23" s="1"/>
  <c r="Y226" i="23" s="1"/>
  <c r="Z226" i="23" s="1"/>
  <c r="AA226" i="23" s="1"/>
  <c r="AB226" i="23" s="1"/>
  <c r="AC226" i="23" s="1"/>
  <c r="AD226" i="23" s="1"/>
  <c r="AE226" i="23" s="1"/>
  <c r="AF226" i="23" s="1"/>
  <c r="AG226" i="23" s="1"/>
  <c r="AH226" i="23" s="1"/>
  <c r="AI226" i="23" s="1"/>
  <c r="AJ226" i="23" s="1"/>
  <c r="AK226" i="23" s="1"/>
  <c r="AL226" i="23" s="1"/>
  <c r="AM226" i="23" s="1"/>
  <c r="AN226" i="23" s="1"/>
  <c r="G154" i="23"/>
  <c r="J154" i="23" s="1"/>
  <c r="M154" i="23" s="1"/>
  <c r="P154" i="23" s="1"/>
  <c r="S154" i="23" s="1"/>
  <c r="V154" i="23" s="1"/>
  <c r="Y154" i="23" s="1"/>
  <c r="AB154" i="23" s="1"/>
  <c r="AE154" i="23" s="1"/>
  <c r="AH154" i="23" s="1"/>
  <c r="AK154" i="23" s="1"/>
  <c r="AN154" i="23" s="1"/>
  <c r="F154" i="23"/>
  <c r="I154" i="23" s="1"/>
  <c r="L154" i="23" s="1"/>
  <c r="O154" i="23" s="1"/>
  <c r="R154" i="23" s="1"/>
  <c r="U154" i="23" s="1"/>
  <c r="X154" i="23" s="1"/>
  <c r="AA154" i="23" s="1"/>
  <c r="AD154" i="23" s="1"/>
  <c r="AG154" i="23" s="1"/>
  <c r="AJ154" i="23" s="1"/>
  <c r="AM154" i="23" s="1"/>
  <c r="E154" i="23"/>
  <c r="H154" i="23" s="1"/>
  <c r="K154" i="23" s="1"/>
  <c r="N154" i="23" s="1"/>
  <c r="Q154" i="23" s="1"/>
  <c r="T154" i="23" s="1"/>
  <c r="W154" i="23" s="1"/>
  <c r="Z154" i="23" s="1"/>
  <c r="AC154" i="23" s="1"/>
  <c r="AF154" i="23" s="1"/>
  <c r="AI154" i="23" s="1"/>
  <c r="AL154" i="23" s="1"/>
  <c r="E112" i="23"/>
  <c r="F112" i="23" s="1"/>
  <c r="G112" i="23" s="1"/>
  <c r="H112" i="23" s="1"/>
  <c r="I112" i="23" s="1"/>
  <c r="J112" i="23" s="1"/>
  <c r="K112" i="23" s="1"/>
  <c r="L112" i="23" s="1"/>
  <c r="M112" i="23" s="1"/>
  <c r="N112" i="23" s="1"/>
  <c r="O112" i="23" s="1"/>
  <c r="P112" i="23" s="1"/>
  <c r="Q112" i="23" s="1"/>
  <c r="R112" i="23" s="1"/>
  <c r="S112" i="23" s="1"/>
  <c r="T112" i="23" s="1"/>
  <c r="U112" i="23" s="1"/>
  <c r="V112" i="23" s="1"/>
  <c r="W112" i="23" s="1"/>
  <c r="X112" i="23" s="1"/>
  <c r="Y112" i="23" s="1"/>
  <c r="Z112" i="23" s="1"/>
  <c r="AA112" i="23" s="1"/>
  <c r="AB112" i="23" s="1"/>
  <c r="AC112" i="23" s="1"/>
  <c r="AD112" i="23" s="1"/>
  <c r="AE112" i="23" s="1"/>
  <c r="AF112" i="23" s="1"/>
  <c r="AG112" i="23" s="1"/>
  <c r="AH112" i="23" s="1"/>
  <c r="AI112" i="23" s="1"/>
  <c r="AJ112" i="23" s="1"/>
  <c r="AK112" i="23" s="1"/>
  <c r="AL112" i="23" s="1"/>
  <c r="AM112" i="23" s="1"/>
  <c r="AN112" i="23" s="1"/>
  <c r="AA111" i="23"/>
  <c r="J71" i="23"/>
  <c r="K71" i="23" s="1"/>
  <c r="L71" i="23" s="1"/>
  <c r="M71" i="23" s="1"/>
  <c r="N71" i="23" s="1"/>
  <c r="O71" i="23" s="1"/>
  <c r="P71" i="23" s="1"/>
  <c r="Q71" i="23" s="1"/>
  <c r="R71" i="23" s="1"/>
  <c r="S71" i="23" s="1"/>
  <c r="T71" i="23" s="1"/>
  <c r="U71" i="23" s="1"/>
  <c r="V71" i="23" s="1"/>
  <c r="W71" i="23" s="1"/>
  <c r="X71" i="23" s="1"/>
  <c r="Y71" i="23" s="1"/>
  <c r="Z71" i="23" s="1"/>
  <c r="AA71" i="23" s="1"/>
  <c r="AB71" i="23" s="1"/>
  <c r="AC71" i="23" s="1"/>
  <c r="AD71" i="23" s="1"/>
  <c r="AE71" i="23" s="1"/>
  <c r="AF71" i="23" s="1"/>
  <c r="AG71" i="23" s="1"/>
  <c r="AH71" i="23" s="1"/>
  <c r="AI71" i="23" s="1"/>
  <c r="AJ71" i="23" s="1"/>
  <c r="AK71" i="23" s="1"/>
  <c r="AL71" i="23" s="1"/>
  <c r="AM71" i="23" s="1"/>
  <c r="AN71" i="23" s="1"/>
  <c r="H71" i="23"/>
  <c r="F71" i="23"/>
  <c r="Z48" i="23"/>
  <c r="AA48" i="23" s="1"/>
  <c r="AB48" i="23" s="1"/>
  <c r="AC48" i="23" s="1"/>
  <c r="AD48" i="23" s="1"/>
  <c r="AE48" i="23" s="1"/>
  <c r="AF48" i="23" s="1"/>
  <c r="AG48" i="23" s="1"/>
  <c r="AH48" i="23" s="1"/>
  <c r="AI48" i="23" s="1"/>
  <c r="AJ48" i="23" s="1"/>
  <c r="AK48" i="23" s="1"/>
  <c r="AL48" i="23" s="1"/>
  <c r="AM48" i="23" s="1"/>
  <c r="X48" i="23"/>
  <c r="V48" i="23"/>
  <c r="R48" i="23"/>
  <c r="S48" i="23" s="1"/>
  <c r="T48" i="23" s="1"/>
  <c r="K49" i="23"/>
  <c r="J417" i="22"/>
  <c r="K417" i="22" s="1"/>
  <c r="L417" i="22" s="1"/>
  <c r="M417" i="22" s="1"/>
  <c r="N417" i="22" s="1"/>
  <c r="O417" i="22" s="1"/>
  <c r="P417" i="22" s="1"/>
  <c r="Q417" i="22" s="1"/>
  <c r="R417" i="22" s="1"/>
  <c r="S417" i="22" s="1"/>
  <c r="T417" i="22" s="1"/>
  <c r="U417" i="22" s="1"/>
  <c r="V417" i="22" s="1"/>
  <c r="W417" i="22" s="1"/>
  <c r="X417" i="22" s="1"/>
  <c r="Y417" i="22" s="1"/>
  <c r="Z417" i="22" s="1"/>
  <c r="AA417" i="22" s="1"/>
  <c r="AB417" i="22" s="1"/>
  <c r="AC417" i="22" s="1"/>
  <c r="AD417" i="22" s="1"/>
  <c r="AE417" i="22" s="1"/>
  <c r="AF417" i="22" s="1"/>
  <c r="AG417" i="22" s="1"/>
  <c r="AH417" i="22" s="1"/>
  <c r="AI417" i="22" s="1"/>
  <c r="AJ417" i="22" s="1"/>
  <c r="AK417" i="22" s="1"/>
  <c r="AL417" i="22" s="1"/>
  <c r="AM417" i="22" s="1"/>
  <c r="AN417" i="22" s="1"/>
  <c r="J376" i="22"/>
  <c r="K376" i="22" s="1"/>
  <c r="L376" i="22" s="1"/>
  <c r="M376" i="22" s="1"/>
  <c r="N376" i="22" s="1"/>
  <c r="O376" i="22" s="1"/>
  <c r="P376" i="22" s="1"/>
  <c r="Q376" i="22" s="1"/>
  <c r="R376" i="22" s="1"/>
  <c r="S376" i="22" s="1"/>
  <c r="T376" i="22" s="1"/>
  <c r="U376" i="22" s="1"/>
  <c r="V376" i="22" s="1"/>
  <c r="W376" i="22" s="1"/>
  <c r="X376" i="22" s="1"/>
  <c r="Y376" i="22" s="1"/>
  <c r="Z376" i="22" s="1"/>
  <c r="AA376" i="22" s="1"/>
  <c r="AB376" i="22" s="1"/>
  <c r="AC376" i="22" s="1"/>
  <c r="AD376" i="22" s="1"/>
  <c r="AE376" i="22" s="1"/>
  <c r="AF376" i="22" s="1"/>
  <c r="AG376" i="22" s="1"/>
  <c r="AH376" i="22" s="1"/>
  <c r="AI376" i="22" s="1"/>
  <c r="AJ376" i="22" s="1"/>
  <c r="AK376" i="22" s="1"/>
  <c r="AL376" i="22" s="1"/>
  <c r="AM376" i="22" s="1"/>
  <c r="AN376" i="22" s="1"/>
  <c r="M360" i="22"/>
  <c r="K360" i="22"/>
  <c r="J360" i="22"/>
  <c r="J350" i="22"/>
  <c r="J226" i="22"/>
  <c r="K226" i="22" s="1"/>
  <c r="L226" i="22" s="1"/>
  <c r="M226" i="22" s="1"/>
  <c r="N226" i="22" s="1"/>
  <c r="O226" i="22" s="1"/>
  <c r="P226" i="22" s="1"/>
  <c r="Q226" i="22" s="1"/>
  <c r="R226" i="22" s="1"/>
  <c r="S226" i="22" s="1"/>
  <c r="T226" i="22" s="1"/>
  <c r="U226" i="22" s="1"/>
  <c r="V226" i="22" s="1"/>
  <c r="W226" i="22" s="1"/>
  <c r="X226" i="22" s="1"/>
  <c r="Y226" i="22" s="1"/>
  <c r="Z226" i="22" s="1"/>
  <c r="AA226" i="22" s="1"/>
  <c r="AB226" i="22" s="1"/>
  <c r="AC226" i="22" s="1"/>
  <c r="AD226" i="22" s="1"/>
  <c r="AE226" i="22" s="1"/>
  <c r="AF226" i="22" s="1"/>
  <c r="AG226" i="22" s="1"/>
  <c r="AH226" i="22" s="1"/>
  <c r="AI226" i="22" s="1"/>
  <c r="AJ226" i="22" s="1"/>
  <c r="AK226" i="22" s="1"/>
  <c r="AL226" i="22" s="1"/>
  <c r="AM226" i="22" s="1"/>
  <c r="AN226" i="22" s="1"/>
  <c r="J200" i="22"/>
  <c r="G154" i="22"/>
  <c r="J154" i="22" s="1"/>
  <c r="M154" i="22" s="1"/>
  <c r="P154" i="22" s="1"/>
  <c r="S154" i="22" s="1"/>
  <c r="V154" i="22" s="1"/>
  <c r="Y154" i="22" s="1"/>
  <c r="AB154" i="22" s="1"/>
  <c r="AE154" i="22" s="1"/>
  <c r="AH154" i="22" s="1"/>
  <c r="AK154" i="22" s="1"/>
  <c r="AN154" i="22" s="1"/>
  <c r="F154" i="22"/>
  <c r="I154" i="22" s="1"/>
  <c r="L154" i="22" s="1"/>
  <c r="O154" i="22" s="1"/>
  <c r="R154" i="22" s="1"/>
  <c r="U154" i="22" s="1"/>
  <c r="X154" i="22" s="1"/>
  <c r="AA154" i="22" s="1"/>
  <c r="AD154" i="22" s="1"/>
  <c r="AG154" i="22" s="1"/>
  <c r="AJ154" i="22" s="1"/>
  <c r="AM154" i="22" s="1"/>
  <c r="E154" i="22"/>
  <c r="H154" i="22" s="1"/>
  <c r="K154" i="22" s="1"/>
  <c r="N154" i="22" s="1"/>
  <c r="Q154" i="22" s="1"/>
  <c r="T154" i="22" s="1"/>
  <c r="W154" i="22" s="1"/>
  <c r="Z154" i="22" s="1"/>
  <c r="AC154" i="22" s="1"/>
  <c r="AF154" i="22" s="1"/>
  <c r="AI154" i="22" s="1"/>
  <c r="AL154" i="22" s="1"/>
  <c r="E112" i="22"/>
  <c r="F112" i="22" s="1"/>
  <c r="G112" i="22" s="1"/>
  <c r="H112" i="22" s="1"/>
  <c r="I112" i="22" s="1"/>
  <c r="J112" i="22" s="1"/>
  <c r="K112" i="22" s="1"/>
  <c r="L112" i="22" s="1"/>
  <c r="M112" i="22" s="1"/>
  <c r="N112" i="22" s="1"/>
  <c r="O112" i="22" s="1"/>
  <c r="P112" i="22" s="1"/>
  <c r="Q112" i="22" s="1"/>
  <c r="R112" i="22" s="1"/>
  <c r="S112" i="22" s="1"/>
  <c r="T112" i="22" s="1"/>
  <c r="U112" i="22" s="1"/>
  <c r="V112" i="22" s="1"/>
  <c r="W112" i="22" s="1"/>
  <c r="X112" i="22" s="1"/>
  <c r="Y112" i="22" s="1"/>
  <c r="Z112" i="22" s="1"/>
  <c r="AA112" i="22" s="1"/>
  <c r="AB112" i="22" s="1"/>
  <c r="AC112" i="22" s="1"/>
  <c r="AD112" i="22" s="1"/>
  <c r="AE112" i="22" s="1"/>
  <c r="AF112" i="22" s="1"/>
  <c r="AG112" i="22" s="1"/>
  <c r="AH112" i="22" s="1"/>
  <c r="AI112" i="22" s="1"/>
  <c r="AJ112" i="22" s="1"/>
  <c r="AK112" i="22" s="1"/>
  <c r="AL112" i="22" s="1"/>
  <c r="AM112" i="22" s="1"/>
  <c r="AN112" i="22" s="1"/>
  <c r="AA111" i="22"/>
  <c r="AB111" i="22" s="1"/>
  <c r="AC111" i="22" s="1"/>
  <c r="AD111" i="22" s="1"/>
  <c r="J71" i="22"/>
  <c r="K71" i="22" s="1"/>
  <c r="L71" i="22" s="1"/>
  <c r="M71" i="22" s="1"/>
  <c r="N71" i="22" s="1"/>
  <c r="O71" i="22" s="1"/>
  <c r="P71" i="22" s="1"/>
  <c r="Q71" i="22" s="1"/>
  <c r="R71" i="22" s="1"/>
  <c r="S71" i="22" s="1"/>
  <c r="T71" i="22" s="1"/>
  <c r="U71" i="22" s="1"/>
  <c r="V71" i="22" s="1"/>
  <c r="W71" i="22" s="1"/>
  <c r="X71" i="22" s="1"/>
  <c r="Y71" i="22" s="1"/>
  <c r="Z71" i="22" s="1"/>
  <c r="AA71" i="22" s="1"/>
  <c r="AB71" i="22" s="1"/>
  <c r="AC71" i="22" s="1"/>
  <c r="AD71" i="22" s="1"/>
  <c r="AE71" i="22" s="1"/>
  <c r="AF71" i="22" s="1"/>
  <c r="AG71" i="22" s="1"/>
  <c r="AH71" i="22" s="1"/>
  <c r="AI71" i="22" s="1"/>
  <c r="AJ71" i="22" s="1"/>
  <c r="AK71" i="22" s="1"/>
  <c r="AL71" i="22" s="1"/>
  <c r="AM71" i="22" s="1"/>
  <c r="AN71" i="22" s="1"/>
  <c r="H71" i="22"/>
  <c r="F71" i="22"/>
  <c r="Z48" i="22"/>
  <c r="AA48" i="22" s="1"/>
  <c r="AB48" i="22" s="1"/>
  <c r="AC48" i="22" s="1"/>
  <c r="X48" i="22"/>
  <c r="V48" i="22"/>
  <c r="R48" i="22"/>
  <c r="S48" i="22" s="1"/>
  <c r="T48" i="22" s="1"/>
  <c r="J45" i="22"/>
  <c r="J49" i="22" s="1"/>
  <c r="J416" i="19"/>
  <c r="K416" i="19" s="1"/>
  <c r="L416" i="19" s="1"/>
  <c r="M416" i="19" s="1"/>
  <c r="N416" i="19" s="1"/>
  <c r="O416" i="19" s="1"/>
  <c r="P416" i="19" s="1"/>
  <c r="Q416" i="19" s="1"/>
  <c r="R416" i="19" s="1"/>
  <c r="S416" i="19" s="1"/>
  <c r="T416" i="19" s="1"/>
  <c r="U416" i="19" s="1"/>
  <c r="V416" i="19" s="1"/>
  <c r="W416" i="19" s="1"/>
  <c r="X416" i="19" s="1"/>
  <c r="Y416" i="19" s="1"/>
  <c r="Z416" i="19" s="1"/>
  <c r="AA416" i="19" s="1"/>
  <c r="AB416" i="19" s="1"/>
  <c r="AC416" i="19" s="1"/>
  <c r="AD416" i="19" s="1"/>
  <c r="AE416" i="19" s="1"/>
  <c r="AF416" i="19" s="1"/>
  <c r="AG416" i="19" s="1"/>
  <c r="AH416" i="19" s="1"/>
  <c r="AI416" i="19" s="1"/>
  <c r="AJ416" i="19" s="1"/>
  <c r="AK416" i="19" s="1"/>
  <c r="AL416" i="19" s="1"/>
  <c r="AM416" i="19" s="1"/>
  <c r="AN416" i="19" s="1"/>
  <c r="J375" i="19"/>
  <c r="K375" i="19" s="1"/>
  <c r="L375" i="19" s="1"/>
  <c r="M375" i="19" s="1"/>
  <c r="N375" i="19" s="1"/>
  <c r="O375" i="19" s="1"/>
  <c r="P375" i="19" s="1"/>
  <c r="Q375" i="19" s="1"/>
  <c r="R375" i="19" s="1"/>
  <c r="S375" i="19" s="1"/>
  <c r="T375" i="19" s="1"/>
  <c r="U375" i="19" s="1"/>
  <c r="V375" i="19" s="1"/>
  <c r="W375" i="19" s="1"/>
  <c r="X375" i="19" s="1"/>
  <c r="Y375" i="19" s="1"/>
  <c r="Z375" i="19" s="1"/>
  <c r="AA375" i="19" s="1"/>
  <c r="AB375" i="19" s="1"/>
  <c r="AC375" i="19" s="1"/>
  <c r="AD375" i="19" s="1"/>
  <c r="AE375" i="19" s="1"/>
  <c r="AF375" i="19" s="1"/>
  <c r="AG375" i="19" s="1"/>
  <c r="AH375" i="19" s="1"/>
  <c r="AI375" i="19" s="1"/>
  <c r="AJ375" i="19" s="1"/>
  <c r="AK375" i="19" s="1"/>
  <c r="AL375" i="19" s="1"/>
  <c r="AM375" i="19" s="1"/>
  <c r="AN375" i="19" s="1"/>
  <c r="AN359" i="19"/>
  <c r="AM359" i="19"/>
  <c r="AL359" i="19"/>
  <c r="AK359" i="19"/>
  <c r="AJ359" i="19"/>
  <c r="AI359" i="19"/>
  <c r="AH359" i="19"/>
  <c r="AG359" i="19"/>
  <c r="AF359" i="19"/>
  <c r="AE359" i="19"/>
  <c r="AD359" i="19"/>
  <c r="AC359" i="19"/>
  <c r="AB359" i="19"/>
  <c r="AA359" i="19"/>
  <c r="Z359" i="19"/>
  <c r="Y359" i="19"/>
  <c r="X359" i="19"/>
  <c r="W359" i="19"/>
  <c r="V359" i="19"/>
  <c r="U359" i="19"/>
  <c r="T359" i="19"/>
  <c r="S359" i="19"/>
  <c r="R359" i="19"/>
  <c r="Q359" i="19"/>
  <c r="P359" i="19"/>
  <c r="O359" i="19"/>
  <c r="N359" i="19"/>
  <c r="M359" i="19"/>
  <c r="L359" i="19"/>
  <c r="K359" i="19"/>
  <c r="J359" i="19"/>
  <c r="J226" i="19"/>
  <c r="K226" i="19" s="1"/>
  <c r="L226" i="19" s="1"/>
  <c r="M226" i="19" s="1"/>
  <c r="N226" i="19" s="1"/>
  <c r="O226" i="19" s="1"/>
  <c r="P226" i="19" s="1"/>
  <c r="Q226" i="19" s="1"/>
  <c r="R226" i="19" s="1"/>
  <c r="S226" i="19" s="1"/>
  <c r="T226" i="19" s="1"/>
  <c r="U226" i="19" s="1"/>
  <c r="V226" i="19" s="1"/>
  <c r="W226" i="19" s="1"/>
  <c r="X226" i="19" s="1"/>
  <c r="Y226" i="19" s="1"/>
  <c r="Z226" i="19" s="1"/>
  <c r="AA226" i="19" s="1"/>
  <c r="AB226" i="19" s="1"/>
  <c r="AC226" i="19" s="1"/>
  <c r="AD226" i="19" s="1"/>
  <c r="AE226" i="19" s="1"/>
  <c r="AF226" i="19" s="1"/>
  <c r="AG226" i="19" s="1"/>
  <c r="AH226" i="19" s="1"/>
  <c r="AI226" i="19" s="1"/>
  <c r="AJ226" i="19" s="1"/>
  <c r="AK226" i="19" s="1"/>
  <c r="AL226" i="19" s="1"/>
  <c r="AM226" i="19" s="1"/>
  <c r="AN226" i="19" s="1"/>
  <c r="G154" i="19"/>
  <c r="J154" i="19" s="1"/>
  <c r="M154" i="19" s="1"/>
  <c r="P154" i="19" s="1"/>
  <c r="S154" i="19" s="1"/>
  <c r="V154" i="19" s="1"/>
  <c r="Y154" i="19" s="1"/>
  <c r="AB154" i="19" s="1"/>
  <c r="AE154" i="19" s="1"/>
  <c r="AH154" i="19" s="1"/>
  <c r="AK154" i="19" s="1"/>
  <c r="AN154" i="19" s="1"/>
  <c r="F154" i="19"/>
  <c r="I154" i="19" s="1"/>
  <c r="L154" i="19" s="1"/>
  <c r="O154" i="19" s="1"/>
  <c r="R154" i="19" s="1"/>
  <c r="U154" i="19" s="1"/>
  <c r="X154" i="19" s="1"/>
  <c r="AA154" i="19" s="1"/>
  <c r="AD154" i="19" s="1"/>
  <c r="AG154" i="19" s="1"/>
  <c r="AJ154" i="19" s="1"/>
  <c r="AM154" i="19" s="1"/>
  <c r="E154" i="19"/>
  <c r="H154" i="19" s="1"/>
  <c r="K154" i="19" s="1"/>
  <c r="N154" i="19" s="1"/>
  <c r="Q154" i="19" s="1"/>
  <c r="T154" i="19" s="1"/>
  <c r="W154" i="19" s="1"/>
  <c r="Z154" i="19" s="1"/>
  <c r="AC154" i="19" s="1"/>
  <c r="AF154" i="19" s="1"/>
  <c r="AI154" i="19" s="1"/>
  <c r="AL154" i="19" s="1"/>
  <c r="E112" i="19"/>
  <c r="F112" i="19" s="1"/>
  <c r="G112" i="19" s="1"/>
  <c r="H112" i="19" s="1"/>
  <c r="I112" i="19" s="1"/>
  <c r="J112" i="19" s="1"/>
  <c r="K112" i="19" s="1"/>
  <c r="L112" i="19" s="1"/>
  <c r="M112" i="19" s="1"/>
  <c r="N112" i="19" s="1"/>
  <c r="O112" i="19" s="1"/>
  <c r="P112" i="19" s="1"/>
  <c r="Q112" i="19" s="1"/>
  <c r="R112" i="19" s="1"/>
  <c r="S112" i="19" s="1"/>
  <c r="T112" i="19" s="1"/>
  <c r="U112" i="19" s="1"/>
  <c r="V112" i="19" s="1"/>
  <c r="W112" i="19" s="1"/>
  <c r="X112" i="19" s="1"/>
  <c r="Y112" i="19" s="1"/>
  <c r="Z112" i="19" s="1"/>
  <c r="AA112" i="19" s="1"/>
  <c r="AB112" i="19" s="1"/>
  <c r="AC112" i="19" s="1"/>
  <c r="AD112" i="19" s="1"/>
  <c r="AE112" i="19" s="1"/>
  <c r="AF112" i="19" s="1"/>
  <c r="AG112" i="19" s="1"/>
  <c r="AH112" i="19" s="1"/>
  <c r="AI112" i="19" s="1"/>
  <c r="AJ112" i="19" s="1"/>
  <c r="AK112" i="19" s="1"/>
  <c r="AL112" i="19" s="1"/>
  <c r="AM112" i="19" s="1"/>
  <c r="AN112" i="19" s="1"/>
  <c r="J71" i="19"/>
  <c r="K71" i="19" s="1"/>
  <c r="L71" i="19" s="1"/>
  <c r="M71" i="19" s="1"/>
  <c r="N71" i="19" s="1"/>
  <c r="O71" i="19" s="1"/>
  <c r="P71" i="19" s="1"/>
  <c r="Q71" i="19" s="1"/>
  <c r="R71" i="19" s="1"/>
  <c r="S71" i="19" s="1"/>
  <c r="T71" i="19" s="1"/>
  <c r="U71" i="19" s="1"/>
  <c r="V71" i="19" s="1"/>
  <c r="W71" i="19" s="1"/>
  <c r="X71" i="19" s="1"/>
  <c r="Y71" i="19" s="1"/>
  <c r="Z71" i="19" s="1"/>
  <c r="AA71" i="19" s="1"/>
  <c r="AB71" i="19" s="1"/>
  <c r="AC71" i="19" s="1"/>
  <c r="AD71" i="19" s="1"/>
  <c r="AE71" i="19" s="1"/>
  <c r="AF71" i="19" s="1"/>
  <c r="AG71" i="19" s="1"/>
  <c r="AH71" i="19" s="1"/>
  <c r="AI71" i="19" s="1"/>
  <c r="AJ71" i="19" s="1"/>
  <c r="AK71" i="19" s="1"/>
  <c r="AL71" i="19" s="1"/>
  <c r="AM71" i="19" s="1"/>
  <c r="AN71" i="19" s="1"/>
  <c r="H71" i="19"/>
  <c r="F71" i="19"/>
  <c r="Z48" i="19"/>
  <c r="AA48" i="19" s="1"/>
  <c r="AB48" i="19" s="1"/>
  <c r="AC48" i="19" s="1"/>
  <c r="AD48" i="19" s="1"/>
  <c r="AE48" i="19" s="1"/>
  <c r="AF48" i="19" s="1"/>
  <c r="AG48" i="19" s="1"/>
  <c r="AH48" i="19" s="1"/>
  <c r="X48" i="19"/>
  <c r="V48" i="19"/>
  <c r="R48" i="19"/>
  <c r="S48" i="19" s="1"/>
  <c r="T48" i="19" s="1"/>
  <c r="J417" i="20"/>
  <c r="K417" i="20" s="1"/>
  <c r="L417" i="20" s="1"/>
  <c r="M417" i="20" s="1"/>
  <c r="N417" i="20" s="1"/>
  <c r="O417" i="20" s="1"/>
  <c r="P417" i="20" s="1"/>
  <c r="Q417" i="20" s="1"/>
  <c r="R417" i="20" s="1"/>
  <c r="S417" i="20" s="1"/>
  <c r="T417" i="20" s="1"/>
  <c r="U417" i="20" s="1"/>
  <c r="V417" i="20" s="1"/>
  <c r="W417" i="20" s="1"/>
  <c r="X417" i="20" s="1"/>
  <c r="Y417" i="20" s="1"/>
  <c r="Z417" i="20" s="1"/>
  <c r="AA417" i="20" s="1"/>
  <c r="AB417" i="20" s="1"/>
  <c r="AC417" i="20" s="1"/>
  <c r="AD417" i="20" s="1"/>
  <c r="AE417" i="20" s="1"/>
  <c r="AF417" i="20" s="1"/>
  <c r="AG417" i="20" s="1"/>
  <c r="AH417" i="20" s="1"/>
  <c r="AI417" i="20" s="1"/>
  <c r="AJ417" i="20" s="1"/>
  <c r="AK417" i="20" s="1"/>
  <c r="AL417" i="20" s="1"/>
  <c r="AM417" i="20" s="1"/>
  <c r="AN417" i="20" s="1"/>
  <c r="J376" i="20"/>
  <c r="K376" i="20" s="1"/>
  <c r="L376" i="20" s="1"/>
  <c r="M376" i="20" s="1"/>
  <c r="N376" i="20" s="1"/>
  <c r="O376" i="20" s="1"/>
  <c r="P376" i="20" s="1"/>
  <c r="Q376" i="20" s="1"/>
  <c r="R376" i="20" s="1"/>
  <c r="S376" i="20" s="1"/>
  <c r="T376" i="20" s="1"/>
  <c r="U376" i="20" s="1"/>
  <c r="V376" i="20" s="1"/>
  <c r="W376" i="20" s="1"/>
  <c r="X376" i="20" s="1"/>
  <c r="Y376" i="20" s="1"/>
  <c r="Z376" i="20" s="1"/>
  <c r="AA376" i="20" s="1"/>
  <c r="AB376" i="20" s="1"/>
  <c r="AC376" i="20" s="1"/>
  <c r="AD376" i="20" s="1"/>
  <c r="AE376" i="20" s="1"/>
  <c r="AF376" i="20" s="1"/>
  <c r="AG376" i="20" s="1"/>
  <c r="AH376" i="20" s="1"/>
  <c r="AI376" i="20" s="1"/>
  <c r="AJ376" i="20" s="1"/>
  <c r="AK376" i="20" s="1"/>
  <c r="AL376" i="20" s="1"/>
  <c r="AM376" i="20" s="1"/>
  <c r="AN376" i="20" s="1"/>
  <c r="J226" i="20"/>
  <c r="K226" i="20" s="1"/>
  <c r="L226" i="20" s="1"/>
  <c r="M226" i="20" s="1"/>
  <c r="N226" i="20" s="1"/>
  <c r="O226" i="20" s="1"/>
  <c r="P226" i="20" s="1"/>
  <c r="Q226" i="20" s="1"/>
  <c r="R226" i="20" s="1"/>
  <c r="S226" i="20" s="1"/>
  <c r="T226" i="20" s="1"/>
  <c r="U226" i="20" s="1"/>
  <c r="V226" i="20" s="1"/>
  <c r="W226" i="20" s="1"/>
  <c r="X226" i="20" s="1"/>
  <c r="Y226" i="20" s="1"/>
  <c r="Z226" i="20" s="1"/>
  <c r="AA226" i="20" s="1"/>
  <c r="AB226" i="20" s="1"/>
  <c r="AC226" i="20" s="1"/>
  <c r="AD226" i="20" s="1"/>
  <c r="AE226" i="20" s="1"/>
  <c r="AF226" i="20" s="1"/>
  <c r="AG226" i="20" s="1"/>
  <c r="AH226" i="20" s="1"/>
  <c r="AI226" i="20" s="1"/>
  <c r="AJ226" i="20" s="1"/>
  <c r="AK226" i="20" s="1"/>
  <c r="AL226" i="20" s="1"/>
  <c r="AM226" i="20" s="1"/>
  <c r="AN226" i="20" s="1"/>
  <c r="J200" i="20"/>
  <c r="G154" i="20"/>
  <c r="J154" i="20" s="1"/>
  <c r="M154" i="20" s="1"/>
  <c r="P154" i="20" s="1"/>
  <c r="S154" i="20" s="1"/>
  <c r="V154" i="20" s="1"/>
  <c r="Y154" i="20" s="1"/>
  <c r="AB154" i="20" s="1"/>
  <c r="AE154" i="20" s="1"/>
  <c r="AH154" i="20" s="1"/>
  <c r="AK154" i="20" s="1"/>
  <c r="AN154" i="20" s="1"/>
  <c r="F154" i="20"/>
  <c r="I154" i="20" s="1"/>
  <c r="L154" i="20" s="1"/>
  <c r="O154" i="20" s="1"/>
  <c r="R154" i="20" s="1"/>
  <c r="U154" i="20" s="1"/>
  <c r="X154" i="20" s="1"/>
  <c r="AA154" i="20" s="1"/>
  <c r="AD154" i="20" s="1"/>
  <c r="AG154" i="20" s="1"/>
  <c r="AJ154" i="20" s="1"/>
  <c r="AM154" i="20" s="1"/>
  <c r="E154" i="20"/>
  <c r="H154" i="20" s="1"/>
  <c r="K154" i="20" s="1"/>
  <c r="N154" i="20" s="1"/>
  <c r="Q154" i="20" s="1"/>
  <c r="T154" i="20" s="1"/>
  <c r="W154" i="20" s="1"/>
  <c r="Z154" i="20" s="1"/>
  <c r="AC154" i="20" s="1"/>
  <c r="AF154" i="20" s="1"/>
  <c r="AI154" i="20" s="1"/>
  <c r="AL154" i="20" s="1"/>
  <c r="E112" i="20"/>
  <c r="F112" i="20" s="1"/>
  <c r="G112" i="20" s="1"/>
  <c r="H112" i="20" s="1"/>
  <c r="I112" i="20" s="1"/>
  <c r="J71" i="20"/>
  <c r="K71" i="20" s="1"/>
  <c r="L71" i="20" s="1"/>
  <c r="M71" i="20" s="1"/>
  <c r="N71" i="20" s="1"/>
  <c r="O71" i="20" s="1"/>
  <c r="P71" i="20" s="1"/>
  <c r="Q71" i="20" s="1"/>
  <c r="R71" i="20" s="1"/>
  <c r="S71" i="20" s="1"/>
  <c r="T71" i="20" s="1"/>
  <c r="U71" i="20" s="1"/>
  <c r="V71" i="20" s="1"/>
  <c r="W71" i="20" s="1"/>
  <c r="X71" i="20" s="1"/>
  <c r="Y71" i="20" s="1"/>
  <c r="Z71" i="20" s="1"/>
  <c r="AA71" i="20" s="1"/>
  <c r="AB71" i="20" s="1"/>
  <c r="AC71" i="20" s="1"/>
  <c r="AD71" i="20" s="1"/>
  <c r="AE71" i="20" s="1"/>
  <c r="AF71" i="20" s="1"/>
  <c r="AG71" i="20" s="1"/>
  <c r="AH71" i="20" s="1"/>
  <c r="AI71" i="20" s="1"/>
  <c r="AJ71" i="20" s="1"/>
  <c r="AK71" i="20" s="1"/>
  <c r="AL71" i="20" s="1"/>
  <c r="AM71" i="20" s="1"/>
  <c r="AN71" i="20" s="1"/>
  <c r="H71" i="20"/>
  <c r="F71" i="20"/>
  <c r="I60" i="20"/>
  <c r="I159" i="20" s="1"/>
  <c r="G60" i="20"/>
  <c r="G58" i="20"/>
  <c r="Z48" i="20"/>
  <c r="AA48" i="20" s="1"/>
  <c r="AB48" i="20" s="1"/>
  <c r="AC48" i="20" s="1"/>
  <c r="AD48" i="20" s="1"/>
  <c r="AE48" i="20" s="1"/>
  <c r="AF48" i="20" s="1"/>
  <c r="AG48" i="20" s="1"/>
  <c r="AH48" i="20" s="1"/>
  <c r="X48" i="20"/>
  <c r="V48" i="20"/>
  <c r="R48" i="20"/>
  <c r="S48" i="20" s="1"/>
  <c r="T48" i="20" s="1"/>
  <c r="E358" i="16"/>
  <c r="E359" i="16" s="1"/>
  <c r="F358" i="16"/>
  <c r="F359" i="16" s="1"/>
  <c r="G358" i="16"/>
  <c r="G359" i="16" s="1"/>
  <c r="H358" i="16"/>
  <c r="H359" i="16" s="1"/>
  <c r="I358" i="16"/>
  <c r="I359" i="16" s="1"/>
  <c r="Z48" i="16"/>
  <c r="AA48" i="16" s="1"/>
  <c r="AB48" i="16" s="1"/>
  <c r="AC48" i="16" s="1"/>
  <c r="AD48" i="16" s="1"/>
  <c r="AE48" i="16" s="1"/>
  <c r="AF48" i="16" s="1"/>
  <c r="AG48" i="16" s="1"/>
  <c r="AH48" i="16" s="1"/>
  <c r="AI48" i="16" s="1"/>
  <c r="AJ48" i="16" s="1"/>
  <c r="AK48" i="16" s="1"/>
  <c r="AL48" i="16" s="1"/>
  <c r="AM48" i="16" s="1"/>
  <c r="AN48" i="16" s="1"/>
  <c r="R48" i="16"/>
  <c r="S48" i="16" s="1"/>
  <c r="T48" i="16" s="1"/>
  <c r="N41" i="16"/>
  <c r="P45" i="16"/>
  <c r="U74" i="73"/>
  <c r="Z22" i="42" l="1"/>
  <c r="AA22" i="42" s="1"/>
  <c r="AB22" i="42" s="1"/>
  <c r="AC22" i="42" s="1"/>
  <c r="AD22" i="42" s="1"/>
  <c r="AE22" i="42" s="1"/>
  <c r="AF22" i="42" s="1"/>
  <c r="AG22" i="42" s="1"/>
  <c r="AH22" i="42" s="1"/>
  <c r="AI22" i="42" s="1"/>
  <c r="AJ22" i="42" s="1"/>
  <c r="AK22" i="42" s="1"/>
  <c r="AL22" i="42" s="1"/>
  <c r="AM22" i="42" s="1"/>
  <c r="AN22" i="42" s="1"/>
  <c r="B58" i="75"/>
  <c r="D58" i="75" s="1"/>
  <c r="AR60" i="37"/>
  <c r="H60" i="20"/>
  <c r="H158" i="20" s="1"/>
  <c r="T158" i="20" s="1"/>
  <c r="E25" i="20"/>
  <c r="E27" i="20" s="1"/>
  <c r="E28" i="20" s="1"/>
  <c r="G213" i="42"/>
  <c r="G219" i="42" s="1"/>
  <c r="E25" i="23"/>
  <c r="E27" i="23" s="1"/>
  <c r="E28" i="23" s="1"/>
  <c r="F213" i="42"/>
  <c r="F219" i="42" s="1"/>
  <c r="E207" i="20"/>
  <c r="E213" i="23"/>
  <c r="E219" i="23" s="1"/>
  <c r="G25" i="23"/>
  <c r="G27" i="23" s="1"/>
  <c r="G28" i="23" s="1"/>
  <c r="H213" i="19"/>
  <c r="H219" i="19" s="1"/>
  <c r="H25" i="23"/>
  <c r="H27" i="23" s="1"/>
  <c r="H28" i="23" s="1"/>
  <c r="F25" i="20"/>
  <c r="F27" i="20" s="1"/>
  <c r="F28" i="20" s="1"/>
  <c r="F213" i="19"/>
  <c r="F228" i="19" s="1"/>
  <c r="I25" i="41"/>
  <c r="H210" i="42"/>
  <c r="H214" i="42" s="1"/>
  <c r="M209" i="42"/>
  <c r="H25" i="20"/>
  <c r="H27" i="20" s="1"/>
  <c r="H28" i="20" s="1"/>
  <c r="H59" i="20"/>
  <c r="H116" i="20" s="1"/>
  <c r="U116" i="20" s="1"/>
  <c r="I213" i="19"/>
  <c r="I231" i="19" s="1"/>
  <c r="F25" i="23"/>
  <c r="F27" i="23" s="1"/>
  <c r="F28" i="23" s="1"/>
  <c r="I213" i="42"/>
  <c r="I25" i="20"/>
  <c r="I27" i="20" s="1"/>
  <c r="I28" i="20" s="1"/>
  <c r="E25" i="19"/>
  <c r="E27" i="19" s="1"/>
  <c r="E28" i="19" s="1"/>
  <c r="F25" i="19"/>
  <c r="F27" i="19" s="1"/>
  <c r="F28" i="19" s="1"/>
  <c r="G25" i="19"/>
  <c r="G27" i="19" s="1"/>
  <c r="G28" i="19" s="1"/>
  <c r="E25" i="22"/>
  <c r="E27" i="22" s="1"/>
  <c r="E28" i="22" s="1"/>
  <c r="H213" i="42"/>
  <c r="H25" i="19"/>
  <c r="H27" i="19" s="1"/>
  <c r="H28" i="19" s="1"/>
  <c r="G210" i="19"/>
  <c r="G214" i="19" s="1"/>
  <c r="G219" i="19" s="1"/>
  <c r="F25" i="22"/>
  <c r="F27" i="22" s="1"/>
  <c r="F28" i="22" s="1"/>
  <c r="E25" i="41"/>
  <c r="E27" i="41" s="1"/>
  <c r="E28" i="41" s="1"/>
  <c r="G25" i="20"/>
  <c r="G27" i="20" s="1"/>
  <c r="G28" i="20" s="1"/>
  <c r="I25" i="19"/>
  <c r="I27" i="19" s="1"/>
  <c r="I28" i="19" s="1"/>
  <c r="G25" i="22"/>
  <c r="G27" i="22" s="1"/>
  <c r="G28" i="22" s="1"/>
  <c r="F25" i="41"/>
  <c r="H25" i="22"/>
  <c r="H27" i="22" s="1"/>
  <c r="H28" i="22" s="1"/>
  <c r="E54" i="22"/>
  <c r="E55" i="22" s="1"/>
  <c r="E59" i="22" s="1"/>
  <c r="E113" i="22" s="1"/>
  <c r="G25" i="41"/>
  <c r="E213" i="41"/>
  <c r="E219" i="41" s="1"/>
  <c r="I25" i="22"/>
  <c r="I27" i="22" s="1"/>
  <c r="I28" i="22" s="1"/>
  <c r="H25" i="41"/>
  <c r="F213" i="41"/>
  <c r="F219" i="41" s="1"/>
  <c r="L71" i="68"/>
  <c r="AR97" i="57"/>
  <c r="AR96" i="63"/>
  <c r="AR98" i="63" s="1"/>
  <c r="AR93" i="62"/>
  <c r="AR95" i="62" s="1"/>
  <c r="AR95" i="61"/>
  <c r="AR97" i="61" s="1"/>
  <c r="AR75" i="61"/>
  <c r="AR81" i="61" s="1"/>
  <c r="N3" i="68"/>
  <c r="M60" i="68"/>
  <c r="M65" i="68"/>
  <c r="M70" i="68"/>
  <c r="M61" i="68"/>
  <c r="M66" i="68"/>
  <c r="M68" i="68"/>
  <c r="M58" i="68"/>
  <c r="M62" i="68"/>
  <c r="M59" i="68"/>
  <c r="M64" i="68"/>
  <c r="M69" i="68"/>
  <c r="AR95" i="60"/>
  <c r="AR97" i="60" s="1"/>
  <c r="AR97" i="66"/>
  <c r="AR99" i="66" s="1"/>
  <c r="AN71" i="68"/>
  <c r="AR96" i="59"/>
  <c r="AR99" i="52"/>
  <c r="AQ98" i="65"/>
  <c r="AO70" i="68"/>
  <c r="AO65" i="68"/>
  <c r="AP65" i="68" s="1"/>
  <c r="AO64" i="68"/>
  <c r="AO61" i="68"/>
  <c r="AO60" i="68"/>
  <c r="AP60" i="68" s="1"/>
  <c r="AO58" i="68"/>
  <c r="AP58" i="68" s="1"/>
  <c r="AO66" i="68"/>
  <c r="AO62" i="68"/>
  <c r="AO59" i="68"/>
  <c r="AP59" i="68" s="1"/>
  <c r="AO68" i="68"/>
  <c r="AP68" i="68" s="1"/>
  <c r="AO69" i="68"/>
  <c r="AS60" i="37" s="1"/>
  <c r="AP3" i="68"/>
  <c r="I25" i="23"/>
  <c r="I27" i="23" s="1"/>
  <c r="I28" i="23" s="1"/>
  <c r="AI59" i="66"/>
  <c r="Q7" i="23"/>
  <c r="E58" i="23"/>
  <c r="E72" i="23" s="1"/>
  <c r="I55" i="23"/>
  <c r="I59" i="23" s="1"/>
  <c r="I117" i="23" s="1"/>
  <c r="I210" i="23"/>
  <c r="I214" i="23" s="1"/>
  <c r="I219" i="23" s="1"/>
  <c r="H58" i="23"/>
  <c r="H64" i="23" s="1"/>
  <c r="H213" i="23"/>
  <c r="H219" i="23" s="1"/>
  <c r="E63" i="23"/>
  <c r="R7" i="23"/>
  <c r="G55" i="23"/>
  <c r="G59" i="23" s="1"/>
  <c r="G64" i="23" s="1"/>
  <c r="G210" i="23"/>
  <c r="G214" i="23" s="1"/>
  <c r="G219" i="23" s="1"/>
  <c r="F58" i="23"/>
  <c r="F64" i="23" s="1"/>
  <c r="F213" i="23"/>
  <c r="F219" i="23" s="1"/>
  <c r="W155" i="23"/>
  <c r="T155" i="23"/>
  <c r="Q155" i="23"/>
  <c r="N155" i="23"/>
  <c r="K155" i="23"/>
  <c r="H155" i="23"/>
  <c r="AL155" i="23"/>
  <c r="AF155" i="23"/>
  <c r="AC155" i="23"/>
  <c r="AI155" i="23"/>
  <c r="Z155" i="23"/>
  <c r="AE7" i="22"/>
  <c r="AF7" i="22"/>
  <c r="F58" i="22"/>
  <c r="F64" i="22" s="1"/>
  <c r="I58" i="22"/>
  <c r="I64" i="22" s="1"/>
  <c r="H210" i="22"/>
  <c r="H214" i="22" s="1"/>
  <c r="H219" i="22" s="1"/>
  <c r="G55" i="22"/>
  <c r="G59" i="22" s="1"/>
  <c r="G64" i="22" s="1"/>
  <c r="I213" i="22"/>
  <c r="I219" i="22" s="1"/>
  <c r="K45" i="22"/>
  <c r="X7" i="22"/>
  <c r="E219" i="22"/>
  <c r="H55" i="22"/>
  <c r="H59" i="22" s="1"/>
  <c r="H64" i="22" s="1"/>
  <c r="F213" i="22"/>
  <c r="F219" i="22" s="1"/>
  <c r="K200" i="22"/>
  <c r="W155" i="22"/>
  <c r="Q155" i="22"/>
  <c r="N155" i="22"/>
  <c r="T155" i="22"/>
  <c r="K155" i="22"/>
  <c r="H155" i="22"/>
  <c r="AL155" i="22"/>
  <c r="AI155" i="22"/>
  <c r="AF155" i="22"/>
  <c r="AC155" i="22"/>
  <c r="Z155" i="22"/>
  <c r="H55" i="19"/>
  <c r="H59" i="19" s="1"/>
  <c r="H64" i="19" s="1"/>
  <c r="AM312" i="19"/>
  <c r="AJ312" i="19"/>
  <c r="AG312" i="19"/>
  <c r="AA312" i="19"/>
  <c r="X312" i="19"/>
  <c r="U312" i="19"/>
  <c r="AD312" i="19"/>
  <c r="O312" i="19"/>
  <c r="R312" i="19"/>
  <c r="L312" i="19"/>
  <c r="AA309" i="19"/>
  <c r="X309" i="19"/>
  <c r="U309" i="19"/>
  <c r="R309" i="19"/>
  <c r="L309" i="19"/>
  <c r="I309" i="19"/>
  <c r="I218" i="19" s="1"/>
  <c r="O309" i="19"/>
  <c r="AJ309" i="19"/>
  <c r="AG309" i="19"/>
  <c r="AM309" i="19"/>
  <c r="AD309" i="19"/>
  <c r="I55" i="19"/>
  <c r="I59" i="19" s="1"/>
  <c r="I64" i="19" s="1"/>
  <c r="AJ76" i="19"/>
  <c r="X76" i="19"/>
  <c r="L76" i="19"/>
  <c r="AH76" i="19"/>
  <c r="AI76" i="19"/>
  <c r="W76" i="19"/>
  <c r="K76" i="19"/>
  <c r="V76" i="19"/>
  <c r="J76" i="19"/>
  <c r="AF76" i="19"/>
  <c r="Q76" i="19"/>
  <c r="AD76" i="19"/>
  <c r="O76" i="19"/>
  <c r="AE76" i="19"/>
  <c r="P76" i="19"/>
  <c r="AB76" i="19"/>
  <c r="M76" i="19"/>
  <c r="S76" i="19"/>
  <c r="AN76" i="19"/>
  <c r="R76" i="19"/>
  <c r="AK76" i="19"/>
  <c r="AG76" i="19"/>
  <c r="AC76" i="19"/>
  <c r="AA76" i="19"/>
  <c r="Z76" i="19"/>
  <c r="Y76" i="19"/>
  <c r="AM76" i="19"/>
  <c r="N76" i="19"/>
  <c r="AL76" i="19"/>
  <c r="T76" i="19"/>
  <c r="U76" i="19"/>
  <c r="H209" i="20"/>
  <c r="H210" i="20" s="1"/>
  <c r="H214" i="20" s="1"/>
  <c r="H271" i="20" s="1"/>
  <c r="H58" i="20"/>
  <c r="H75" i="20" s="1"/>
  <c r="L75" i="20" s="1"/>
  <c r="I58" i="20"/>
  <c r="I76" i="20" s="1"/>
  <c r="I209" i="20"/>
  <c r="I210" i="20" s="1"/>
  <c r="I214" i="20" s="1"/>
  <c r="I272" i="20" s="1"/>
  <c r="E59" i="20"/>
  <c r="E113" i="20" s="1"/>
  <c r="E62" i="20" s="1"/>
  <c r="U7" i="20"/>
  <c r="AD4" i="20"/>
  <c r="AD7" i="20" s="1"/>
  <c r="F207" i="20"/>
  <c r="E213" i="20"/>
  <c r="G207" i="20"/>
  <c r="I215" i="20"/>
  <c r="I312" i="20" s="1"/>
  <c r="F215" i="20"/>
  <c r="F309" i="20" s="1"/>
  <c r="S7" i="20"/>
  <c r="G215" i="20"/>
  <c r="T7" i="20"/>
  <c r="H215" i="20"/>
  <c r="H311" i="20" s="1"/>
  <c r="I207" i="20"/>
  <c r="F209" i="20"/>
  <c r="F210" i="20" s="1"/>
  <c r="F214" i="20" s="1"/>
  <c r="F269" i="20" s="1"/>
  <c r="E214" i="20"/>
  <c r="E268" i="20" s="1"/>
  <c r="G209" i="20"/>
  <c r="G210" i="20" s="1"/>
  <c r="G214" i="20" s="1"/>
  <c r="E215" i="20"/>
  <c r="G55" i="42"/>
  <c r="G59" i="42" s="1"/>
  <c r="G64" i="42" s="1"/>
  <c r="I210" i="42"/>
  <c r="I214" i="42" s="1"/>
  <c r="F58" i="42"/>
  <c r="F64" i="42" s="1"/>
  <c r="E58" i="42"/>
  <c r="E64" i="42" s="1"/>
  <c r="J210" i="42"/>
  <c r="I55" i="42"/>
  <c r="I59" i="42" s="1"/>
  <c r="I64" i="42" s="1"/>
  <c r="J7" i="42"/>
  <c r="J365" i="42"/>
  <c r="AC7" i="42"/>
  <c r="AC12" i="42" s="1"/>
  <c r="U7" i="42"/>
  <c r="U12" i="42" s="1"/>
  <c r="K7" i="42"/>
  <c r="S7" i="42"/>
  <c r="S12" i="42" s="1"/>
  <c r="T7" i="42"/>
  <c r="T12" i="42" s="1"/>
  <c r="H55" i="42"/>
  <c r="H59" i="42" s="1"/>
  <c r="H64" i="42" s="1"/>
  <c r="E213" i="42"/>
  <c r="G213" i="41"/>
  <c r="G219" i="41" s="1"/>
  <c r="H213" i="41"/>
  <c r="H219" i="41" s="1"/>
  <c r="I213" i="41"/>
  <c r="I219" i="41" s="1"/>
  <c r="E58" i="41"/>
  <c r="E64" i="41" s="1"/>
  <c r="J49" i="41"/>
  <c r="F58" i="41"/>
  <c r="F73" i="41" s="1"/>
  <c r="G58" i="41"/>
  <c r="G64" i="41" s="1"/>
  <c r="H58" i="41"/>
  <c r="H64" i="41" s="1"/>
  <c r="I58" i="41"/>
  <c r="I64" i="41" s="1"/>
  <c r="J350" i="41"/>
  <c r="J365" i="41" s="1"/>
  <c r="Q7" i="41"/>
  <c r="AD4" i="41"/>
  <c r="AD7" i="41" s="1"/>
  <c r="T7" i="41"/>
  <c r="AE4" i="41"/>
  <c r="AE7" i="41" s="1"/>
  <c r="U7" i="41"/>
  <c r="V7" i="41"/>
  <c r="AV29" i="56"/>
  <c r="Q45" i="16"/>
  <c r="F64" i="19"/>
  <c r="G55" i="19"/>
  <c r="G59" i="19" s="1"/>
  <c r="G64" i="19" s="1"/>
  <c r="E64" i="19"/>
  <c r="E219" i="19"/>
  <c r="Q7" i="19"/>
  <c r="T45" i="16"/>
  <c r="E458" i="42"/>
  <c r="E368" i="42" s="1"/>
  <c r="I360" i="42"/>
  <c r="I364" i="42" s="1"/>
  <c r="I363" i="42"/>
  <c r="E359" i="42"/>
  <c r="E360" i="42" s="1"/>
  <c r="E364" i="42" s="1"/>
  <c r="I365" i="42"/>
  <c r="G365" i="42"/>
  <c r="H365" i="42"/>
  <c r="F359" i="42"/>
  <c r="F360" i="42" s="1"/>
  <c r="F364" i="42" s="1"/>
  <c r="F365" i="42"/>
  <c r="H359" i="42"/>
  <c r="H360" i="42" s="1"/>
  <c r="H364" i="42" s="1"/>
  <c r="G359" i="42"/>
  <c r="G360" i="42" s="1"/>
  <c r="G364" i="42" s="1"/>
  <c r="F269" i="42"/>
  <c r="G270" i="42"/>
  <c r="E210" i="42"/>
  <c r="E214" i="42" s="1"/>
  <c r="E268" i="42" s="1"/>
  <c r="E113" i="42"/>
  <c r="L363" i="42"/>
  <c r="L384" i="42" s="1"/>
  <c r="J21" i="42"/>
  <c r="R7" i="42"/>
  <c r="R12" i="42" s="1"/>
  <c r="I363" i="41"/>
  <c r="I360" i="41"/>
  <c r="I364" i="41" s="1"/>
  <c r="H365" i="41"/>
  <c r="E359" i="41"/>
  <c r="E360" i="41" s="1"/>
  <c r="E364" i="41" s="1"/>
  <c r="I365" i="41"/>
  <c r="E365" i="41"/>
  <c r="G365" i="41"/>
  <c r="G460" i="41" s="1"/>
  <c r="F359" i="41"/>
  <c r="F360" i="41" s="1"/>
  <c r="F364" i="41" s="1"/>
  <c r="G359" i="41"/>
  <c r="G360" i="41" s="1"/>
  <c r="G364" i="41" s="1"/>
  <c r="H359" i="41"/>
  <c r="H360" i="41" s="1"/>
  <c r="H364" i="41" s="1"/>
  <c r="G115" i="41"/>
  <c r="K7" i="41"/>
  <c r="I363" i="23"/>
  <c r="I360" i="23"/>
  <c r="I364" i="23" s="1"/>
  <c r="I422" i="23" s="1"/>
  <c r="H365" i="23"/>
  <c r="E359" i="23"/>
  <c r="E360" i="23" s="1"/>
  <c r="E364" i="23" s="1"/>
  <c r="I365" i="23"/>
  <c r="I462" i="23" s="1"/>
  <c r="F359" i="23"/>
  <c r="F360" i="23" s="1"/>
  <c r="F364" i="23" s="1"/>
  <c r="G365" i="23"/>
  <c r="G460" i="23" s="1"/>
  <c r="G359" i="23"/>
  <c r="G360" i="23" s="1"/>
  <c r="G364" i="23" s="1"/>
  <c r="H359" i="23"/>
  <c r="H360" i="23" s="1"/>
  <c r="H364" i="23" s="1"/>
  <c r="F309" i="23"/>
  <c r="J210" i="23"/>
  <c r="M350" i="23"/>
  <c r="M352" i="23" s="1"/>
  <c r="M354" i="23" s="1"/>
  <c r="M355" i="23" s="1"/>
  <c r="K52" i="23"/>
  <c r="AF7" i="23"/>
  <c r="T7" i="23"/>
  <c r="AH7" i="23"/>
  <c r="S7" i="23"/>
  <c r="AE7" i="23"/>
  <c r="AG7" i="23"/>
  <c r="U7" i="23"/>
  <c r="F365" i="22"/>
  <c r="F459" i="22" s="1"/>
  <c r="F359" i="22"/>
  <c r="F360" i="22" s="1"/>
  <c r="F364" i="22" s="1"/>
  <c r="H365" i="22"/>
  <c r="G359" i="22"/>
  <c r="G360" i="22" s="1"/>
  <c r="G364" i="22" s="1"/>
  <c r="I363" i="22"/>
  <c r="I365" i="22"/>
  <c r="H359" i="22"/>
  <c r="H360" i="22" s="1"/>
  <c r="H364" i="22" s="1"/>
  <c r="H421" i="22" s="1"/>
  <c r="G365" i="22"/>
  <c r="E359" i="22"/>
  <c r="E360" i="22" s="1"/>
  <c r="E364" i="22" s="1"/>
  <c r="E365" i="22"/>
  <c r="G210" i="22"/>
  <c r="G214" i="22" s="1"/>
  <c r="G213" i="22"/>
  <c r="E63" i="22"/>
  <c r="R7" i="22"/>
  <c r="AC7" i="22"/>
  <c r="J21" i="22"/>
  <c r="AG4" i="22"/>
  <c r="AG7" i="22" s="1"/>
  <c r="E364" i="19"/>
  <c r="F364" i="19"/>
  <c r="F458" i="19" s="1"/>
  <c r="G364" i="19"/>
  <c r="H364" i="19"/>
  <c r="H460" i="19" s="1"/>
  <c r="E358" i="19"/>
  <c r="E359" i="19" s="1"/>
  <c r="E363" i="19" s="1"/>
  <c r="I364" i="19"/>
  <c r="F358" i="19"/>
  <c r="F359" i="19" s="1"/>
  <c r="F363" i="19" s="1"/>
  <c r="G358" i="19"/>
  <c r="G359" i="19" s="1"/>
  <c r="G363" i="19" s="1"/>
  <c r="I362" i="19"/>
  <c r="H358" i="19"/>
  <c r="H359" i="19" s="1"/>
  <c r="H363" i="19" s="1"/>
  <c r="H420" i="19" s="1"/>
  <c r="F269" i="19"/>
  <c r="F218" i="19"/>
  <c r="I272" i="19"/>
  <c r="G74" i="19"/>
  <c r="G157" i="19"/>
  <c r="V7" i="19"/>
  <c r="S7" i="19"/>
  <c r="T7" i="19"/>
  <c r="U7" i="19"/>
  <c r="M15" i="19"/>
  <c r="R7" i="19"/>
  <c r="AD7" i="19"/>
  <c r="E365" i="20"/>
  <c r="F365" i="20"/>
  <c r="G365" i="20"/>
  <c r="H365" i="20"/>
  <c r="E359" i="20"/>
  <c r="E360" i="20" s="1"/>
  <c r="E364" i="20" s="1"/>
  <c r="I365" i="20"/>
  <c r="F359" i="20"/>
  <c r="F360" i="20" s="1"/>
  <c r="F364" i="20" s="1"/>
  <c r="G359" i="20"/>
  <c r="G360" i="20" s="1"/>
  <c r="G364" i="20" s="1"/>
  <c r="I363" i="20"/>
  <c r="H359" i="20"/>
  <c r="H360" i="20" s="1"/>
  <c r="H364" i="20" s="1"/>
  <c r="N117" i="20"/>
  <c r="AE117" i="20"/>
  <c r="R117" i="20"/>
  <c r="AD117" i="20"/>
  <c r="J204" i="20"/>
  <c r="L49" i="20"/>
  <c r="L363" i="20"/>
  <c r="L384" i="20" s="1"/>
  <c r="M350" i="20"/>
  <c r="M352" i="20" s="1"/>
  <c r="O117" i="20"/>
  <c r="K200" i="20"/>
  <c r="K204" i="20" s="1"/>
  <c r="K213" i="20" s="1"/>
  <c r="Q117" i="20"/>
  <c r="AH4" i="20"/>
  <c r="AH7" i="20" s="1"/>
  <c r="V7" i="20"/>
  <c r="AI4" i="20"/>
  <c r="AI7" i="20" s="1"/>
  <c r="O20" i="20"/>
  <c r="AC4" i="20"/>
  <c r="AC7" i="20" s="1"/>
  <c r="G157" i="42"/>
  <c r="H311" i="42"/>
  <c r="E155" i="42"/>
  <c r="G310" i="42"/>
  <c r="E308" i="42"/>
  <c r="E218" i="42" s="1"/>
  <c r="K200" i="42"/>
  <c r="AE48" i="41"/>
  <c r="AF48" i="41" s="1"/>
  <c r="H112" i="41"/>
  <c r="I112" i="41" s="1"/>
  <c r="J112" i="41" s="1"/>
  <c r="K112" i="41" s="1"/>
  <c r="L112" i="41" s="1"/>
  <c r="M112" i="41" s="1"/>
  <c r="N112" i="41" s="1"/>
  <c r="O112" i="41" s="1"/>
  <c r="P112" i="41" s="1"/>
  <c r="Q112" i="41" s="1"/>
  <c r="R112" i="41" s="1"/>
  <c r="S112" i="41" s="1"/>
  <c r="T112" i="41" s="1"/>
  <c r="U112" i="41" s="1"/>
  <c r="V112" i="41" s="1"/>
  <c r="W112" i="41" s="1"/>
  <c r="X112" i="41" s="1"/>
  <c r="Y112" i="41" s="1"/>
  <c r="Z112" i="41" s="1"/>
  <c r="AA112" i="41" s="1"/>
  <c r="AB112" i="41" s="1"/>
  <c r="AC112" i="41" s="1"/>
  <c r="AD112" i="41" s="1"/>
  <c r="AE112" i="41" s="1"/>
  <c r="AF112" i="41" s="1"/>
  <c r="AG112" i="41" s="1"/>
  <c r="AH112" i="41" s="1"/>
  <c r="AI112" i="41" s="1"/>
  <c r="AJ112" i="41" s="1"/>
  <c r="AK112" i="41" s="1"/>
  <c r="AL112" i="41" s="1"/>
  <c r="AM112" i="41" s="1"/>
  <c r="AN112" i="41" s="1"/>
  <c r="F309" i="41"/>
  <c r="AB111" i="41"/>
  <c r="G270" i="41"/>
  <c r="F459" i="41"/>
  <c r="F114" i="23"/>
  <c r="E113" i="23"/>
  <c r="AN48" i="23"/>
  <c r="Z417" i="23"/>
  <c r="AA417" i="23" s="1"/>
  <c r="AB417" i="23" s="1"/>
  <c r="AC417" i="23" s="1"/>
  <c r="AD417" i="23" s="1"/>
  <c r="AE417" i="23" s="1"/>
  <c r="AF417" i="23" s="1"/>
  <c r="AG417" i="23" s="1"/>
  <c r="AH417" i="23" s="1"/>
  <c r="AI417" i="23" s="1"/>
  <c r="AJ417" i="23" s="1"/>
  <c r="AK417" i="23" s="1"/>
  <c r="AL417" i="23" s="1"/>
  <c r="AM417" i="23" s="1"/>
  <c r="AN417" i="23" s="1"/>
  <c r="AB111" i="23"/>
  <c r="G157" i="22"/>
  <c r="AD48" i="22"/>
  <c r="J363" i="22"/>
  <c r="J364" i="22"/>
  <c r="J365" i="22"/>
  <c r="H230" i="22"/>
  <c r="AE111" i="22"/>
  <c r="E155" i="19"/>
  <c r="H75" i="19"/>
  <c r="AI48" i="19"/>
  <c r="AJ48" i="19" s="1"/>
  <c r="AK48" i="19" s="1"/>
  <c r="AL48" i="19" s="1"/>
  <c r="AM48" i="19" s="1"/>
  <c r="AN48" i="19" s="1"/>
  <c r="F156" i="19"/>
  <c r="J49" i="19"/>
  <c r="K49" i="19"/>
  <c r="F114" i="19"/>
  <c r="G229" i="19"/>
  <c r="H271" i="19"/>
  <c r="G310" i="19"/>
  <c r="H158" i="19"/>
  <c r="J210" i="19"/>
  <c r="H311" i="19"/>
  <c r="I421" i="19"/>
  <c r="AI48" i="20"/>
  <c r="AJ48" i="20" s="1"/>
  <c r="G157" i="20"/>
  <c r="G63" i="20" s="1"/>
  <c r="G74" i="20"/>
  <c r="R159" i="20"/>
  <c r="O159" i="20"/>
  <c r="L159" i="20"/>
  <c r="AM159" i="20"/>
  <c r="AJ159" i="20"/>
  <c r="AD159" i="20"/>
  <c r="AA159" i="20"/>
  <c r="AG159" i="20"/>
  <c r="X159" i="20"/>
  <c r="U159" i="20"/>
  <c r="E58" i="20"/>
  <c r="E60" i="20"/>
  <c r="V117" i="20"/>
  <c r="J117" i="20"/>
  <c r="U117" i="20"/>
  <c r="AG117" i="20"/>
  <c r="T117" i="20"/>
  <c r="AF117" i="20"/>
  <c r="S117" i="20"/>
  <c r="AC117" i="20"/>
  <c r="M117" i="20"/>
  <c r="AB117" i="20"/>
  <c r="L117" i="20"/>
  <c r="AA117" i="20"/>
  <c r="K117" i="20"/>
  <c r="Z117" i="20"/>
  <c r="P117" i="20"/>
  <c r="W117" i="20"/>
  <c r="J112" i="20"/>
  <c r="K112" i="20" s="1"/>
  <c r="L112" i="20" s="1"/>
  <c r="M112" i="20" s="1"/>
  <c r="N112" i="20" s="1"/>
  <c r="O112" i="20" s="1"/>
  <c r="P112" i="20" s="1"/>
  <c r="Q112" i="20" s="1"/>
  <c r="R112" i="20" s="1"/>
  <c r="S112" i="20" s="1"/>
  <c r="T112" i="20" s="1"/>
  <c r="U112" i="20" s="1"/>
  <c r="V112" i="20" s="1"/>
  <c r="W112" i="20" s="1"/>
  <c r="X112" i="20" s="1"/>
  <c r="Y112" i="20" s="1"/>
  <c r="Z112" i="20" s="1"/>
  <c r="AA112" i="20" s="1"/>
  <c r="AB112" i="20" s="1"/>
  <c r="AC112" i="20" s="1"/>
  <c r="AD112" i="20" s="1"/>
  <c r="AE112" i="20" s="1"/>
  <c r="AF112" i="20" s="1"/>
  <c r="AG112" i="20" s="1"/>
  <c r="AH112" i="20" s="1"/>
  <c r="AI112" i="20" s="1"/>
  <c r="AJ112" i="20" s="1"/>
  <c r="AK112" i="20" s="1"/>
  <c r="AL112" i="20" s="1"/>
  <c r="AM112" i="20" s="1"/>
  <c r="AN112" i="20" s="1"/>
  <c r="X117" i="20"/>
  <c r="G59" i="20"/>
  <c r="G64" i="20" s="1"/>
  <c r="Y117" i="20"/>
  <c r="L200" i="20"/>
  <c r="F60" i="20"/>
  <c r="F59" i="20"/>
  <c r="F58" i="20"/>
  <c r="N39" i="16"/>
  <c r="S45" i="16"/>
  <c r="R45" i="16"/>
  <c r="V74" i="73"/>
  <c r="AS96" i="65" l="1"/>
  <c r="AP70" i="68"/>
  <c r="AP69" i="68"/>
  <c r="AS94" i="59"/>
  <c r="AP64" i="68"/>
  <c r="AS97" i="51"/>
  <c r="AS99" i="51" s="1"/>
  <c r="AU99" i="51" s="1"/>
  <c r="X97" i="75" s="1"/>
  <c r="Z97" i="75" s="1"/>
  <c r="AP66" i="68"/>
  <c r="AS95" i="57"/>
  <c r="AS97" i="57" s="1"/>
  <c r="AU97" i="57" s="1"/>
  <c r="AP61" i="68"/>
  <c r="AS97" i="52"/>
  <c r="AP62" i="68"/>
  <c r="Q158" i="20"/>
  <c r="F219" i="19"/>
  <c r="W158" i="20"/>
  <c r="AL158" i="20"/>
  <c r="N158" i="20"/>
  <c r="K158" i="20"/>
  <c r="Z158" i="20"/>
  <c r="AC158" i="20"/>
  <c r="AF158" i="20"/>
  <c r="AI158" i="20"/>
  <c r="X116" i="20"/>
  <c r="I219" i="19"/>
  <c r="W116" i="20"/>
  <c r="I116" i="20"/>
  <c r="AE116" i="20"/>
  <c r="Y116" i="20"/>
  <c r="AB116" i="20"/>
  <c r="M116" i="20"/>
  <c r="J116" i="20"/>
  <c r="H219" i="42"/>
  <c r="AG116" i="20"/>
  <c r="T116" i="20"/>
  <c r="G270" i="19"/>
  <c r="T270" i="19" s="1"/>
  <c r="V116" i="20"/>
  <c r="G229" i="42"/>
  <c r="S229" i="42" s="1"/>
  <c r="AA116" i="20"/>
  <c r="R116" i="20"/>
  <c r="AD116" i="20"/>
  <c r="H230" i="42"/>
  <c r="AB230" i="42" s="1"/>
  <c r="Q116" i="20"/>
  <c r="P116" i="20"/>
  <c r="AF116" i="20"/>
  <c r="Z116" i="20"/>
  <c r="AC116" i="20"/>
  <c r="S116" i="20"/>
  <c r="N116" i="20"/>
  <c r="H116" i="22"/>
  <c r="AH116" i="22" s="1"/>
  <c r="L116" i="20"/>
  <c r="G229" i="41"/>
  <c r="X229" i="41" s="1"/>
  <c r="F213" i="20"/>
  <c r="F228" i="20" s="1"/>
  <c r="I228" i="20" s="1"/>
  <c r="I231" i="41"/>
  <c r="X231" i="41" s="1"/>
  <c r="I64" i="20"/>
  <c r="I219" i="42"/>
  <c r="H116" i="19"/>
  <c r="I116" i="19" s="1"/>
  <c r="K116" i="20"/>
  <c r="E58" i="22"/>
  <c r="E64" i="22" s="1"/>
  <c r="O116" i="20"/>
  <c r="H64" i="20"/>
  <c r="H213" i="20"/>
  <c r="H219" i="20" s="1"/>
  <c r="K49" i="22"/>
  <c r="K52" i="22"/>
  <c r="M210" i="42"/>
  <c r="F64" i="41"/>
  <c r="N209" i="42"/>
  <c r="AS95" i="61"/>
  <c r="AS95" i="60"/>
  <c r="AS96" i="63"/>
  <c r="AS93" i="62"/>
  <c r="M71" i="68"/>
  <c r="AO71" i="68"/>
  <c r="AS97" i="66"/>
  <c r="AR98" i="65"/>
  <c r="AD75" i="20"/>
  <c r="E64" i="23"/>
  <c r="F73" i="22"/>
  <c r="W73" i="22" s="1"/>
  <c r="M200" i="23"/>
  <c r="M202" i="23" s="1"/>
  <c r="M45" i="23"/>
  <c r="M47" i="23" s="1"/>
  <c r="M49" i="23" s="1"/>
  <c r="M50" i="23" s="1"/>
  <c r="R75" i="20"/>
  <c r="AB75" i="20"/>
  <c r="N75" i="20"/>
  <c r="AC75" i="20"/>
  <c r="Q75" i="20"/>
  <c r="I75" i="20"/>
  <c r="M75" i="20"/>
  <c r="Y75" i="20"/>
  <c r="V75" i="20"/>
  <c r="O75" i="20"/>
  <c r="T75" i="20"/>
  <c r="W75" i="20"/>
  <c r="P75" i="20"/>
  <c r="AA75" i="20"/>
  <c r="U75" i="20"/>
  <c r="X75" i="20"/>
  <c r="K75" i="20"/>
  <c r="S75" i="20"/>
  <c r="Z75" i="20"/>
  <c r="J75" i="20"/>
  <c r="AJ59" i="66"/>
  <c r="E72" i="42"/>
  <c r="I72" i="42" s="1"/>
  <c r="K58" i="23"/>
  <c r="L49" i="23"/>
  <c r="L58" i="23" s="1"/>
  <c r="AM462" i="23"/>
  <c r="AJ462" i="23"/>
  <c r="AG462" i="23"/>
  <c r="AD462" i="23"/>
  <c r="AA462" i="23"/>
  <c r="X462" i="23"/>
  <c r="U462" i="23"/>
  <c r="L462" i="23"/>
  <c r="R462" i="23"/>
  <c r="O462" i="23"/>
  <c r="AE460" i="23"/>
  <c r="AB460" i="23"/>
  <c r="M460" i="23"/>
  <c r="Y460" i="23"/>
  <c r="V460" i="23"/>
  <c r="S460" i="23"/>
  <c r="P460" i="23"/>
  <c r="J460" i="23"/>
  <c r="AH460" i="23"/>
  <c r="AN460" i="23"/>
  <c r="AK460" i="23"/>
  <c r="AK422" i="23"/>
  <c r="Y422" i="23"/>
  <c r="M422" i="23"/>
  <c r="AI422" i="23"/>
  <c r="W422" i="23"/>
  <c r="K422" i="23"/>
  <c r="AG422" i="23"/>
  <c r="S422" i="23"/>
  <c r="AE422" i="23"/>
  <c r="Q422" i="23"/>
  <c r="AD422" i="23"/>
  <c r="P422" i="23"/>
  <c r="AC422" i="23"/>
  <c r="O422" i="23"/>
  <c r="AB422" i="23"/>
  <c r="N422" i="23"/>
  <c r="AF422" i="23"/>
  <c r="AM422" i="23"/>
  <c r="AA422" i="23"/>
  <c r="X422" i="23"/>
  <c r="Z422" i="23"/>
  <c r="V422" i="23"/>
  <c r="U422" i="23"/>
  <c r="T422" i="23"/>
  <c r="AN422" i="23"/>
  <c r="R422" i="23"/>
  <c r="L422" i="23"/>
  <c r="AH422" i="23"/>
  <c r="AJ422" i="23"/>
  <c r="J422" i="23"/>
  <c r="AL422" i="23"/>
  <c r="F363" i="23"/>
  <c r="F369" i="23" s="1"/>
  <c r="AA309" i="23"/>
  <c r="X309" i="23"/>
  <c r="U309" i="23"/>
  <c r="R309" i="23"/>
  <c r="O309" i="23"/>
  <c r="L309" i="23"/>
  <c r="AM309" i="23"/>
  <c r="AJ309" i="23"/>
  <c r="AG309" i="23"/>
  <c r="AD309" i="23"/>
  <c r="I309" i="23"/>
  <c r="J207" i="23"/>
  <c r="J215" i="23"/>
  <c r="J313" i="23" s="1"/>
  <c r="I64" i="23"/>
  <c r="J214" i="23"/>
  <c r="J273" i="23" s="1"/>
  <c r="H363" i="23"/>
  <c r="H380" i="23" s="1"/>
  <c r="G363" i="23"/>
  <c r="G369" i="23" s="1"/>
  <c r="K59" i="23"/>
  <c r="Y114" i="23"/>
  <c r="M114" i="23"/>
  <c r="W114" i="23"/>
  <c r="K114" i="23"/>
  <c r="V114" i="23"/>
  <c r="J114" i="23"/>
  <c r="X114" i="23"/>
  <c r="G114" i="23"/>
  <c r="U114" i="23"/>
  <c r="T114" i="23"/>
  <c r="S114" i="23"/>
  <c r="R114" i="23"/>
  <c r="AD114" i="23"/>
  <c r="AB114" i="23"/>
  <c r="Q114" i="23"/>
  <c r="P114" i="23"/>
  <c r="O114" i="23"/>
  <c r="N114" i="23"/>
  <c r="L114" i="23"/>
  <c r="I114" i="23"/>
  <c r="H114" i="23"/>
  <c r="AC114" i="23"/>
  <c r="AA114" i="23"/>
  <c r="Z114" i="23"/>
  <c r="Y117" i="23"/>
  <c r="M117" i="23"/>
  <c r="W117" i="23"/>
  <c r="K117" i="23"/>
  <c r="V117" i="23"/>
  <c r="J117" i="23"/>
  <c r="X117" i="23"/>
  <c r="U117" i="23"/>
  <c r="T117" i="23"/>
  <c r="S117" i="23"/>
  <c r="R117" i="23"/>
  <c r="AF117" i="23"/>
  <c r="AE117" i="23"/>
  <c r="AB117" i="23"/>
  <c r="Q117" i="23"/>
  <c r="AC117" i="23"/>
  <c r="P117" i="23"/>
  <c r="O117" i="23"/>
  <c r="AG117" i="23"/>
  <c r="N117" i="23"/>
  <c r="L117" i="23"/>
  <c r="AD117" i="23"/>
  <c r="AA117" i="23"/>
  <c r="Z117" i="23"/>
  <c r="E62" i="23"/>
  <c r="W113" i="23"/>
  <c r="K113" i="23"/>
  <c r="U113" i="23"/>
  <c r="I113" i="23"/>
  <c r="T113" i="23"/>
  <c r="H113" i="23"/>
  <c r="Z113" i="23"/>
  <c r="J113" i="23"/>
  <c r="Y113" i="23"/>
  <c r="G113" i="23"/>
  <c r="X113" i="23"/>
  <c r="F113" i="23"/>
  <c r="F62" i="23" s="1"/>
  <c r="V113" i="23"/>
  <c r="P113" i="23"/>
  <c r="AC113" i="23"/>
  <c r="AB113" i="23"/>
  <c r="AA113" i="23"/>
  <c r="S113" i="23"/>
  <c r="R113" i="23"/>
  <c r="Q113" i="23"/>
  <c r="O113" i="23"/>
  <c r="L113" i="23"/>
  <c r="N113" i="23"/>
  <c r="M113" i="23"/>
  <c r="AI72" i="23"/>
  <c r="W72" i="23"/>
  <c r="K72" i="23"/>
  <c r="AE72" i="23"/>
  <c r="S72" i="23"/>
  <c r="G72" i="23"/>
  <c r="AH72" i="23"/>
  <c r="T72" i="23"/>
  <c r="AG72" i="23"/>
  <c r="R72" i="23"/>
  <c r="AF72" i="23"/>
  <c r="Q72" i="23"/>
  <c r="AD72" i="23"/>
  <c r="P72" i="23"/>
  <c r="V72" i="23"/>
  <c r="AN72" i="23"/>
  <c r="U72" i="23"/>
  <c r="AM72" i="23"/>
  <c r="O72" i="23"/>
  <c r="AL72" i="23"/>
  <c r="N72" i="23"/>
  <c r="AC72" i="23"/>
  <c r="AB72" i="23"/>
  <c r="I72" i="23"/>
  <c r="AA72" i="23"/>
  <c r="H72" i="23"/>
  <c r="Z72" i="23"/>
  <c r="F72" i="23"/>
  <c r="Y72" i="23"/>
  <c r="X72" i="23"/>
  <c r="AK72" i="23"/>
  <c r="M72" i="23"/>
  <c r="AJ72" i="23"/>
  <c r="L72" i="23"/>
  <c r="J72" i="23"/>
  <c r="AA459" i="22"/>
  <c r="X459" i="22"/>
  <c r="U459" i="22"/>
  <c r="R459" i="22"/>
  <c r="O459" i="22"/>
  <c r="L459" i="22"/>
  <c r="I459" i="22"/>
  <c r="AM459" i="22"/>
  <c r="AJ459" i="22"/>
  <c r="AG459" i="22"/>
  <c r="AD459" i="22"/>
  <c r="AF421" i="22"/>
  <c r="T421" i="22"/>
  <c r="AE421" i="22"/>
  <c r="S421" i="22"/>
  <c r="AD421" i="22"/>
  <c r="R421" i="22"/>
  <c r="AA421" i="22"/>
  <c r="L421" i="22"/>
  <c r="Z421" i="22"/>
  <c r="K421" i="22"/>
  <c r="AN421" i="22"/>
  <c r="Y421" i="22"/>
  <c r="J421" i="22"/>
  <c r="AM421" i="22"/>
  <c r="X421" i="22"/>
  <c r="I421" i="22"/>
  <c r="AL421" i="22"/>
  <c r="W421" i="22"/>
  <c r="AK421" i="22"/>
  <c r="V421" i="22"/>
  <c r="AJ421" i="22"/>
  <c r="AG421" i="22"/>
  <c r="AC421" i="22"/>
  <c r="U421" i="22"/>
  <c r="AB421" i="22"/>
  <c r="Q421" i="22"/>
  <c r="P421" i="22"/>
  <c r="O421" i="22"/>
  <c r="N421" i="22"/>
  <c r="M421" i="22"/>
  <c r="AI421" i="22"/>
  <c r="AH421" i="22"/>
  <c r="K59" i="22"/>
  <c r="H363" i="22"/>
  <c r="H380" i="22" s="1"/>
  <c r="AC230" i="22"/>
  <c r="Q230" i="22"/>
  <c r="Y230" i="22"/>
  <c r="L230" i="22"/>
  <c r="X230" i="22"/>
  <c r="K230" i="22"/>
  <c r="W230" i="22"/>
  <c r="J230" i="22"/>
  <c r="V230" i="22"/>
  <c r="I230" i="22"/>
  <c r="U230" i="22"/>
  <c r="T230" i="22"/>
  <c r="AF230" i="22"/>
  <c r="S230" i="22"/>
  <c r="AB230" i="22"/>
  <c r="O230" i="22"/>
  <c r="AE230" i="22"/>
  <c r="AD230" i="22"/>
  <c r="AA230" i="22"/>
  <c r="Z230" i="22"/>
  <c r="R230" i="22"/>
  <c r="P230" i="22"/>
  <c r="N230" i="22"/>
  <c r="M230" i="22"/>
  <c r="K7" i="22"/>
  <c r="L7" i="22"/>
  <c r="F363" i="22"/>
  <c r="F378" i="22" s="1"/>
  <c r="AJ4" i="22"/>
  <c r="AJ7" i="22" s="1"/>
  <c r="G63" i="22"/>
  <c r="AE157" i="22"/>
  <c r="Y157" i="22"/>
  <c r="AB157" i="22"/>
  <c r="V157" i="22"/>
  <c r="S157" i="22"/>
  <c r="P157" i="22"/>
  <c r="M157" i="22"/>
  <c r="J157" i="22"/>
  <c r="AN157" i="22"/>
  <c r="AK157" i="22"/>
  <c r="AH157" i="22"/>
  <c r="E62" i="22"/>
  <c r="W113" i="22"/>
  <c r="K113" i="22"/>
  <c r="V113" i="22"/>
  <c r="J113" i="22"/>
  <c r="AE113" i="22"/>
  <c r="Q113" i="22"/>
  <c r="AD113" i="22"/>
  <c r="P113" i="22"/>
  <c r="AC113" i="22"/>
  <c r="O113" i="22"/>
  <c r="AB113" i="22"/>
  <c r="I113" i="22"/>
  <c r="AA113" i="22"/>
  <c r="H113" i="22"/>
  <c r="Z113" i="22"/>
  <c r="G113" i="22"/>
  <c r="Y113" i="22"/>
  <c r="F113" i="22"/>
  <c r="X113" i="22"/>
  <c r="AF113" i="22"/>
  <c r="U113" i="22"/>
  <c r="T113" i="22"/>
  <c r="S113" i="22"/>
  <c r="R113" i="22"/>
  <c r="N113" i="22"/>
  <c r="M113" i="22"/>
  <c r="L113" i="22"/>
  <c r="AC460" i="19"/>
  <c r="Z460" i="19"/>
  <c r="W460" i="19"/>
  <c r="T460" i="19"/>
  <c r="Q460" i="19"/>
  <c r="AL460" i="19"/>
  <c r="AI460" i="19"/>
  <c r="AF460" i="19"/>
  <c r="N460" i="19"/>
  <c r="K460" i="19"/>
  <c r="U458" i="19"/>
  <c r="R458" i="19"/>
  <c r="O458" i="19"/>
  <c r="L458" i="19"/>
  <c r="I458" i="19"/>
  <c r="AM458" i="19"/>
  <c r="AJ458" i="19"/>
  <c r="AG458" i="19"/>
  <c r="AD458" i="19"/>
  <c r="AA458" i="19"/>
  <c r="X458" i="19"/>
  <c r="AF420" i="19"/>
  <c r="T420" i="19"/>
  <c r="AE420" i="19"/>
  <c r="S420" i="19"/>
  <c r="AH420" i="19"/>
  <c r="R420" i="19"/>
  <c r="AG420" i="19"/>
  <c r="Q420" i="19"/>
  <c r="AD420" i="19"/>
  <c r="P420" i="19"/>
  <c r="AC420" i="19"/>
  <c r="O420" i="19"/>
  <c r="Z420" i="19"/>
  <c r="Y420" i="19"/>
  <c r="X420" i="19"/>
  <c r="W420" i="19"/>
  <c r="AN420" i="19"/>
  <c r="V420" i="19"/>
  <c r="AM420" i="19"/>
  <c r="U420" i="19"/>
  <c r="AL420" i="19"/>
  <c r="N420" i="19"/>
  <c r="AK420" i="19"/>
  <c r="M420" i="19"/>
  <c r="AJ420" i="19"/>
  <c r="L420" i="19"/>
  <c r="AI420" i="19"/>
  <c r="K420" i="19"/>
  <c r="AB420" i="19"/>
  <c r="J420" i="19"/>
  <c r="AA420" i="19"/>
  <c r="I420" i="19"/>
  <c r="AK421" i="19"/>
  <c r="Y421" i="19"/>
  <c r="M421" i="19"/>
  <c r="AJ421" i="19"/>
  <c r="X421" i="19"/>
  <c r="L421" i="19"/>
  <c r="AE421" i="19"/>
  <c r="Q421" i="19"/>
  <c r="AD421" i="19"/>
  <c r="P421" i="19"/>
  <c r="AC421" i="19"/>
  <c r="O421" i="19"/>
  <c r="AB421" i="19"/>
  <c r="N421" i="19"/>
  <c r="AM421" i="19"/>
  <c r="S421" i="19"/>
  <c r="AL421" i="19"/>
  <c r="R421" i="19"/>
  <c r="AI421" i="19"/>
  <c r="K421" i="19"/>
  <c r="AH421" i="19"/>
  <c r="J421" i="19"/>
  <c r="AG421" i="19"/>
  <c r="AF421" i="19"/>
  <c r="AA421" i="19"/>
  <c r="Z421" i="19"/>
  <c r="W421" i="19"/>
  <c r="V421" i="19"/>
  <c r="U421" i="19"/>
  <c r="AN421" i="19"/>
  <c r="T421" i="19"/>
  <c r="I117" i="19"/>
  <c r="L117" i="19" s="1"/>
  <c r="AI311" i="19"/>
  <c r="AF311" i="19"/>
  <c r="AC311" i="19"/>
  <c r="Z311" i="19"/>
  <c r="T311" i="19"/>
  <c r="Q311" i="19"/>
  <c r="N311" i="19"/>
  <c r="W311" i="19"/>
  <c r="K311" i="19"/>
  <c r="AL311" i="19"/>
  <c r="G218" i="19"/>
  <c r="AE310" i="19"/>
  <c r="AB310" i="19"/>
  <c r="Y310" i="19"/>
  <c r="V310" i="19"/>
  <c r="S310" i="19"/>
  <c r="P310" i="19"/>
  <c r="M310" i="19"/>
  <c r="J310" i="19"/>
  <c r="AH310" i="19"/>
  <c r="AN310" i="19"/>
  <c r="AK310" i="19"/>
  <c r="T271" i="19"/>
  <c r="AD271" i="19"/>
  <c r="R271" i="19"/>
  <c r="Q271" i="19"/>
  <c r="AE271" i="19"/>
  <c r="P271" i="19"/>
  <c r="AC271" i="19"/>
  <c r="O271" i="19"/>
  <c r="AB271" i="19"/>
  <c r="N271" i="19"/>
  <c r="AA271" i="19"/>
  <c r="M271" i="19"/>
  <c r="Z271" i="19"/>
  <c r="L271" i="19"/>
  <c r="Y271" i="19"/>
  <c r="W271" i="19"/>
  <c r="X271" i="19"/>
  <c r="K271" i="19"/>
  <c r="J271" i="19"/>
  <c r="I271" i="19"/>
  <c r="V271" i="19"/>
  <c r="U271" i="19"/>
  <c r="S271" i="19"/>
  <c r="Y272" i="19"/>
  <c r="M272" i="19"/>
  <c r="W272" i="19"/>
  <c r="K272" i="19"/>
  <c r="AD272" i="19"/>
  <c r="P272" i="19"/>
  <c r="AC272" i="19"/>
  <c r="O272" i="19"/>
  <c r="AB272" i="19"/>
  <c r="N272" i="19"/>
  <c r="AA272" i="19"/>
  <c r="L272" i="19"/>
  <c r="Z272" i="19"/>
  <c r="J272" i="19"/>
  <c r="X272" i="19"/>
  <c r="AF272" i="19"/>
  <c r="AE272" i="19"/>
  <c r="V272" i="19"/>
  <c r="U272" i="19"/>
  <c r="T272" i="19"/>
  <c r="S272" i="19"/>
  <c r="R272" i="19"/>
  <c r="Q272" i="19"/>
  <c r="Y269" i="19"/>
  <c r="M269" i="19"/>
  <c r="W269" i="19"/>
  <c r="K269" i="19"/>
  <c r="Z269" i="19"/>
  <c r="J269" i="19"/>
  <c r="X269" i="19"/>
  <c r="I269" i="19"/>
  <c r="V269" i="19"/>
  <c r="H269" i="19"/>
  <c r="U269" i="19"/>
  <c r="G269" i="19"/>
  <c r="T269" i="19"/>
  <c r="S269" i="19"/>
  <c r="O269" i="19"/>
  <c r="N269" i="19"/>
  <c r="L269" i="19"/>
  <c r="R269" i="19"/>
  <c r="Q269" i="19"/>
  <c r="P269" i="19"/>
  <c r="AC269" i="19"/>
  <c r="AB269" i="19"/>
  <c r="AA269" i="19"/>
  <c r="Z229" i="19"/>
  <c r="N229" i="19"/>
  <c r="V229" i="19"/>
  <c r="I229" i="19"/>
  <c r="AC229" i="19"/>
  <c r="O229" i="19"/>
  <c r="AB229" i="19"/>
  <c r="M229" i="19"/>
  <c r="AA229" i="19"/>
  <c r="L229" i="19"/>
  <c r="Y229" i="19"/>
  <c r="K229" i="19"/>
  <c r="X229" i="19"/>
  <c r="J229" i="19"/>
  <c r="R229" i="19"/>
  <c r="Q229" i="19"/>
  <c r="P229" i="19"/>
  <c r="H229" i="19"/>
  <c r="AE229" i="19"/>
  <c r="AD229" i="19"/>
  <c r="W229" i="19"/>
  <c r="U229" i="19"/>
  <c r="T229" i="19"/>
  <c r="S229" i="19"/>
  <c r="W231" i="19"/>
  <c r="K231" i="19"/>
  <c r="Y231" i="19"/>
  <c r="L231" i="19"/>
  <c r="X231" i="19"/>
  <c r="J231" i="19"/>
  <c r="AC231" i="19"/>
  <c r="N231" i="19"/>
  <c r="AB231" i="19"/>
  <c r="AA231" i="19"/>
  <c r="Z231" i="19"/>
  <c r="V231" i="19"/>
  <c r="M231" i="19"/>
  <c r="AG231" i="19"/>
  <c r="AF231" i="19"/>
  <c r="AE231" i="19"/>
  <c r="AD231" i="19"/>
  <c r="U231" i="19"/>
  <c r="T231" i="19"/>
  <c r="S231" i="19"/>
  <c r="R231" i="19"/>
  <c r="Q231" i="19"/>
  <c r="P231" i="19"/>
  <c r="O231" i="19"/>
  <c r="W228" i="19"/>
  <c r="K228" i="19"/>
  <c r="AC228" i="19"/>
  <c r="P228" i="19"/>
  <c r="S228" i="19"/>
  <c r="R228" i="19"/>
  <c r="Q228" i="19"/>
  <c r="AD228" i="19"/>
  <c r="O228" i="19"/>
  <c r="AB228" i="19"/>
  <c r="N228" i="19"/>
  <c r="Y228" i="19"/>
  <c r="X228" i="19"/>
  <c r="V228" i="19"/>
  <c r="U228" i="19"/>
  <c r="T228" i="19"/>
  <c r="M228" i="19"/>
  <c r="L228" i="19"/>
  <c r="J228" i="19"/>
  <c r="I228" i="19"/>
  <c r="H228" i="19"/>
  <c r="AA228" i="19"/>
  <c r="Z228" i="19"/>
  <c r="G228" i="19"/>
  <c r="F362" i="19"/>
  <c r="F377" i="19" s="1"/>
  <c r="G115" i="19"/>
  <c r="Z115" i="19" s="1"/>
  <c r="AE157" i="19"/>
  <c r="AB157" i="19"/>
  <c r="Y157" i="19"/>
  <c r="V157" i="19"/>
  <c r="S157" i="19"/>
  <c r="M157" i="19"/>
  <c r="J157" i="19"/>
  <c r="AN157" i="19"/>
  <c r="AK157" i="19"/>
  <c r="AH157" i="19"/>
  <c r="P157" i="19"/>
  <c r="F63" i="19"/>
  <c r="AA156" i="19"/>
  <c r="X156" i="19"/>
  <c r="U156" i="19"/>
  <c r="R156" i="19"/>
  <c r="O156" i="19"/>
  <c r="I156" i="19"/>
  <c r="AM156" i="19"/>
  <c r="AD156" i="19"/>
  <c r="AJ156" i="19"/>
  <c r="L156" i="19"/>
  <c r="AG156" i="19"/>
  <c r="AI158" i="19"/>
  <c r="AF158" i="19"/>
  <c r="AC158" i="19"/>
  <c r="Z158" i="19"/>
  <c r="W158" i="19"/>
  <c r="Q158" i="19"/>
  <c r="N158" i="19"/>
  <c r="K158" i="19"/>
  <c r="AL158" i="19"/>
  <c r="T158" i="19"/>
  <c r="E63" i="19"/>
  <c r="W155" i="19"/>
  <c r="T155" i="19"/>
  <c r="Q155" i="19"/>
  <c r="N155" i="19"/>
  <c r="K155" i="19"/>
  <c r="AL155" i="19"/>
  <c r="AI155" i="19"/>
  <c r="Z155" i="19"/>
  <c r="AC155" i="19"/>
  <c r="H155" i="19"/>
  <c r="H63" i="19" s="1"/>
  <c r="AF155" i="19"/>
  <c r="X114" i="19"/>
  <c r="L114" i="19"/>
  <c r="W114" i="19"/>
  <c r="K114" i="19"/>
  <c r="R114" i="19"/>
  <c r="Q114" i="19"/>
  <c r="AD114" i="19"/>
  <c r="P114" i="19"/>
  <c r="AB114" i="19"/>
  <c r="N114" i="19"/>
  <c r="AC114" i="19"/>
  <c r="H114" i="19"/>
  <c r="T114" i="19"/>
  <c r="AA114" i="19"/>
  <c r="G114" i="19"/>
  <c r="Z114" i="19"/>
  <c r="Y114" i="19"/>
  <c r="U114" i="19"/>
  <c r="S114" i="19"/>
  <c r="O114" i="19"/>
  <c r="V114" i="19"/>
  <c r="M114" i="19"/>
  <c r="J114" i="19"/>
  <c r="I114" i="19"/>
  <c r="AM74" i="19"/>
  <c r="AA74" i="19"/>
  <c r="O74" i="19"/>
  <c r="AK74" i="19"/>
  <c r="M74" i="19"/>
  <c r="AL74" i="19"/>
  <c r="Z74" i="19"/>
  <c r="N74" i="19"/>
  <c r="Y74" i="19"/>
  <c r="AF74" i="19"/>
  <c r="Q74" i="19"/>
  <c r="AD74" i="19"/>
  <c r="L74" i="19"/>
  <c r="AE74" i="19"/>
  <c r="P74" i="19"/>
  <c r="AB74" i="19"/>
  <c r="J74" i="19"/>
  <c r="AH74" i="19"/>
  <c r="H74" i="19"/>
  <c r="AG74" i="19"/>
  <c r="W74" i="19"/>
  <c r="V74" i="19"/>
  <c r="U74" i="19"/>
  <c r="T74" i="19"/>
  <c r="S74" i="19"/>
  <c r="AN74" i="19"/>
  <c r="AC74" i="19"/>
  <c r="X74" i="19"/>
  <c r="R74" i="19"/>
  <c r="AI74" i="19"/>
  <c r="I74" i="19"/>
  <c r="K74" i="19"/>
  <c r="AJ74" i="19"/>
  <c r="AE75" i="19"/>
  <c r="S75" i="19"/>
  <c r="AC75" i="19"/>
  <c r="AD75" i="19"/>
  <c r="R75" i="19"/>
  <c r="Q75" i="19"/>
  <c r="AG75" i="19"/>
  <c r="O75" i="19"/>
  <c r="AB75" i="19"/>
  <c r="M75" i="19"/>
  <c r="AF75" i="19"/>
  <c r="N75" i="19"/>
  <c r="Z75" i="19"/>
  <c r="K75" i="19"/>
  <c r="X75" i="19"/>
  <c r="W75" i="19"/>
  <c r="AL75" i="19"/>
  <c r="P75" i="19"/>
  <c r="AK75" i="19"/>
  <c r="L75" i="19"/>
  <c r="AJ75" i="19"/>
  <c r="J75" i="19"/>
  <c r="I75" i="19"/>
  <c r="AH75" i="19"/>
  <c r="V75" i="19"/>
  <c r="AM75" i="19"/>
  <c r="AN75" i="19"/>
  <c r="U75" i="19"/>
  <c r="T75" i="19"/>
  <c r="AI75" i="19"/>
  <c r="Y75" i="19"/>
  <c r="AA75" i="19"/>
  <c r="AH384" i="20"/>
  <c r="V384" i="20"/>
  <c r="AF384" i="20"/>
  <c r="T384" i="20"/>
  <c r="AD384" i="20"/>
  <c r="P384" i="20"/>
  <c r="AC384" i="20"/>
  <c r="O384" i="20"/>
  <c r="AB384" i="20"/>
  <c r="N384" i="20"/>
  <c r="AA384" i="20"/>
  <c r="M384" i="20"/>
  <c r="W384" i="20"/>
  <c r="AM384" i="20"/>
  <c r="AJ384" i="20"/>
  <c r="X384" i="20"/>
  <c r="AN384" i="20"/>
  <c r="U384" i="20"/>
  <c r="S384" i="20"/>
  <c r="R384" i="20"/>
  <c r="Q384" i="20"/>
  <c r="AI384" i="20"/>
  <c r="AG384" i="20"/>
  <c r="AE384" i="20"/>
  <c r="Z384" i="20"/>
  <c r="Y384" i="20"/>
  <c r="G213" i="20"/>
  <c r="G219" i="20" s="1"/>
  <c r="L365" i="20"/>
  <c r="L465" i="20" s="1"/>
  <c r="L364" i="20"/>
  <c r="F363" i="20"/>
  <c r="F378" i="20" s="1"/>
  <c r="I213" i="20"/>
  <c r="I219" i="20" s="1"/>
  <c r="J210" i="20"/>
  <c r="J214" i="20" s="1"/>
  <c r="J273" i="20" s="1"/>
  <c r="AI311" i="20"/>
  <c r="AF311" i="20"/>
  <c r="AC311" i="20"/>
  <c r="Z311" i="20"/>
  <c r="T311" i="20"/>
  <c r="W311" i="20"/>
  <c r="AL311" i="20"/>
  <c r="Q311" i="20"/>
  <c r="N311" i="20"/>
  <c r="K311" i="20"/>
  <c r="AA309" i="20"/>
  <c r="X309" i="20"/>
  <c r="U309" i="20"/>
  <c r="R309" i="20"/>
  <c r="O309" i="20"/>
  <c r="L309" i="20"/>
  <c r="AM309" i="20"/>
  <c r="AJ309" i="20"/>
  <c r="AG309" i="20"/>
  <c r="AD309" i="20"/>
  <c r="I309" i="20"/>
  <c r="I218" i="20" s="1"/>
  <c r="AM312" i="20"/>
  <c r="AJ312" i="20"/>
  <c r="AG312" i="20"/>
  <c r="AD312" i="20"/>
  <c r="AA312" i="20"/>
  <c r="U312" i="20"/>
  <c r="R312" i="20"/>
  <c r="O312" i="20"/>
  <c r="L312" i="20"/>
  <c r="X312" i="20"/>
  <c r="T271" i="20"/>
  <c r="AC271" i="20"/>
  <c r="P271" i="20"/>
  <c r="AB271" i="20"/>
  <c r="O271" i="20"/>
  <c r="AA271" i="20"/>
  <c r="N271" i="20"/>
  <c r="Y271" i="20"/>
  <c r="I271" i="20"/>
  <c r="X271" i="20"/>
  <c r="W271" i="20"/>
  <c r="V271" i="20"/>
  <c r="U271" i="20"/>
  <c r="Q271" i="20"/>
  <c r="AE271" i="20"/>
  <c r="M271" i="20"/>
  <c r="L271" i="20"/>
  <c r="K271" i="20"/>
  <c r="J271" i="20"/>
  <c r="AD271" i="20"/>
  <c r="Z271" i="20"/>
  <c r="S271" i="20"/>
  <c r="R271" i="20"/>
  <c r="E217" i="20"/>
  <c r="W268" i="20"/>
  <c r="K268" i="20"/>
  <c r="X268" i="20"/>
  <c r="J268" i="20"/>
  <c r="V268" i="20"/>
  <c r="I268" i="20"/>
  <c r="Y268" i="20"/>
  <c r="G268" i="20"/>
  <c r="U268" i="20"/>
  <c r="F268" i="20"/>
  <c r="F217" i="20" s="1"/>
  <c r="T268" i="20"/>
  <c r="S268" i="20"/>
  <c r="H268" i="20"/>
  <c r="P268" i="20"/>
  <c r="O268" i="20"/>
  <c r="N268" i="20"/>
  <c r="AB268" i="20"/>
  <c r="AA268" i="20"/>
  <c r="Z268" i="20"/>
  <c r="R268" i="20"/>
  <c r="Q268" i="20"/>
  <c r="M268" i="20"/>
  <c r="L268" i="20"/>
  <c r="Y269" i="20"/>
  <c r="M269" i="20"/>
  <c r="AC269" i="20"/>
  <c r="P269" i="20"/>
  <c r="N269" i="20"/>
  <c r="AB269" i="20"/>
  <c r="O269" i="20"/>
  <c r="V269" i="20"/>
  <c r="U269" i="20"/>
  <c r="T269" i="20"/>
  <c r="S269" i="20"/>
  <c r="R269" i="20"/>
  <c r="X269" i="20"/>
  <c r="J269" i="20"/>
  <c r="W269" i="20"/>
  <c r="I269" i="20"/>
  <c r="G269" i="20"/>
  <c r="Q269" i="20"/>
  <c r="L269" i="20"/>
  <c r="K269" i="20"/>
  <c r="H269" i="20"/>
  <c r="AA269" i="20"/>
  <c r="Z269" i="20"/>
  <c r="AD269" i="20"/>
  <c r="Y272" i="20"/>
  <c r="M272" i="20"/>
  <c r="X272" i="20"/>
  <c r="K272" i="20"/>
  <c r="W272" i="20"/>
  <c r="J272" i="20"/>
  <c r="V272" i="20"/>
  <c r="AD272" i="20"/>
  <c r="N272" i="20"/>
  <c r="AC272" i="20"/>
  <c r="L272" i="20"/>
  <c r="AB272" i="20"/>
  <c r="AA272" i="20"/>
  <c r="Z272" i="20"/>
  <c r="Q272" i="20"/>
  <c r="U272" i="20"/>
  <c r="T272" i="20"/>
  <c r="P272" i="20"/>
  <c r="AE272" i="20"/>
  <c r="O272" i="20"/>
  <c r="AF272" i="20"/>
  <c r="R272" i="20"/>
  <c r="S272" i="20"/>
  <c r="F218" i="20"/>
  <c r="L58" i="20"/>
  <c r="E219" i="20"/>
  <c r="E227" i="20"/>
  <c r="K215" i="20"/>
  <c r="K314" i="20" s="1"/>
  <c r="K214" i="20"/>
  <c r="E363" i="42"/>
  <c r="E377" i="42" s="1"/>
  <c r="I377" i="42" s="1"/>
  <c r="J364" i="42"/>
  <c r="J363" i="42"/>
  <c r="J382" i="42" s="1"/>
  <c r="AL458" i="42"/>
  <c r="Q458" i="42"/>
  <c r="AF458" i="42"/>
  <c r="W458" i="42"/>
  <c r="H458" i="42"/>
  <c r="Z458" i="42"/>
  <c r="AH384" i="42"/>
  <c r="V384" i="42"/>
  <c r="AG384" i="42"/>
  <c r="U384" i="42"/>
  <c r="AF384" i="42"/>
  <c r="T384" i="42"/>
  <c r="AL384" i="42"/>
  <c r="W384" i="42"/>
  <c r="AK384" i="42"/>
  <c r="S384" i="42"/>
  <c r="AJ384" i="42"/>
  <c r="R384" i="42"/>
  <c r="AI384" i="42"/>
  <c r="Q384" i="42"/>
  <c r="AE384" i="42"/>
  <c r="P384" i="42"/>
  <c r="AD384" i="42"/>
  <c r="O384" i="42"/>
  <c r="AC384" i="42"/>
  <c r="AA384" i="42"/>
  <c r="Y384" i="42"/>
  <c r="Z384" i="42"/>
  <c r="X384" i="42"/>
  <c r="N384" i="42"/>
  <c r="M384" i="42"/>
  <c r="AB384" i="42"/>
  <c r="AM384" i="42"/>
  <c r="AN384" i="42"/>
  <c r="G218" i="42"/>
  <c r="AE310" i="42"/>
  <c r="AB310" i="42"/>
  <c r="Y310" i="42"/>
  <c r="V310" i="42"/>
  <c r="S310" i="42"/>
  <c r="P310" i="42"/>
  <c r="M310" i="42"/>
  <c r="AN310" i="42"/>
  <c r="AK310" i="42"/>
  <c r="AH310" i="42"/>
  <c r="J310" i="42"/>
  <c r="AI311" i="42"/>
  <c r="AF311" i="42"/>
  <c r="AC311" i="42"/>
  <c r="Z311" i="42"/>
  <c r="W311" i="42"/>
  <c r="T311" i="42"/>
  <c r="Q311" i="42"/>
  <c r="N311" i="42"/>
  <c r="K311" i="42"/>
  <c r="AL311" i="42"/>
  <c r="AB270" i="42"/>
  <c r="P270" i="42"/>
  <c r="Z270" i="42"/>
  <c r="N270" i="42"/>
  <c r="X270" i="42"/>
  <c r="J270" i="42"/>
  <c r="V270" i="42"/>
  <c r="H270" i="42"/>
  <c r="U270" i="42"/>
  <c r="T270" i="42"/>
  <c r="S270" i="42"/>
  <c r="R270" i="42"/>
  <c r="Q270" i="42"/>
  <c r="O270" i="42"/>
  <c r="M270" i="42"/>
  <c r="AD270" i="42"/>
  <c r="AC270" i="42"/>
  <c r="AA270" i="42"/>
  <c r="Y270" i="42"/>
  <c r="W270" i="42"/>
  <c r="L270" i="42"/>
  <c r="K270" i="42"/>
  <c r="I270" i="42"/>
  <c r="Y269" i="42"/>
  <c r="M269" i="42"/>
  <c r="W269" i="42"/>
  <c r="K269" i="42"/>
  <c r="AC269" i="42"/>
  <c r="O269" i="42"/>
  <c r="AA269" i="42"/>
  <c r="L269" i="42"/>
  <c r="Z269" i="42"/>
  <c r="J269" i="42"/>
  <c r="X269" i="42"/>
  <c r="I269" i="42"/>
  <c r="V269" i="42"/>
  <c r="H269" i="42"/>
  <c r="AB269" i="42"/>
  <c r="U269" i="42"/>
  <c r="T269" i="42"/>
  <c r="S269" i="42"/>
  <c r="R269" i="42"/>
  <c r="Q269" i="42"/>
  <c r="P269" i="42"/>
  <c r="N269" i="42"/>
  <c r="G269" i="42"/>
  <c r="W268" i="42"/>
  <c r="K268" i="42"/>
  <c r="U268" i="42"/>
  <c r="I268" i="42"/>
  <c r="S268" i="42"/>
  <c r="Q268" i="42"/>
  <c r="P268" i="42"/>
  <c r="O268" i="42"/>
  <c r="AB268" i="42"/>
  <c r="N268" i="42"/>
  <c r="L268" i="42"/>
  <c r="H268" i="42"/>
  <c r="J268" i="42"/>
  <c r="Y268" i="42"/>
  <c r="X268" i="42"/>
  <c r="V268" i="42"/>
  <c r="T268" i="42"/>
  <c r="R268" i="42"/>
  <c r="M268" i="42"/>
  <c r="G268" i="42"/>
  <c r="F268" i="42"/>
  <c r="F217" i="42" s="1"/>
  <c r="AA268" i="42"/>
  <c r="Z268" i="42"/>
  <c r="H363" i="42"/>
  <c r="H369" i="42" s="1"/>
  <c r="L7" i="42"/>
  <c r="L365" i="42"/>
  <c r="L465" i="42" s="1"/>
  <c r="L364" i="42"/>
  <c r="L425" i="42" s="1"/>
  <c r="T458" i="42"/>
  <c r="AC458" i="42"/>
  <c r="G363" i="42"/>
  <c r="G369" i="42" s="1"/>
  <c r="K458" i="42"/>
  <c r="G63" i="42"/>
  <c r="AB157" i="42"/>
  <c r="Y157" i="42"/>
  <c r="V157" i="42"/>
  <c r="S157" i="42"/>
  <c r="P157" i="42"/>
  <c r="AH157" i="42"/>
  <c r="AE157" i="42"/>
  <c r="M157" i="42"/>
  <c r="J157" i="42"/>
  <c r="AN157" i="42"/>
  <c r="AK157" i="42"/>
  <c r="E63" i="42"/>
  <c r="T155" i="42"/>
  <c r="Q155" i="42"/>
  <c r="N155" i="42"/>
  <c r="K155" i="42"/>
  <c r="H155" i="42"/>
  <c r="AF155" i="42"/>
  <c r="AC155" i="42"/>
  <c r="Z155" i="42"/>
  <c r="W155" i="42"/>
  <c r="AL155" i="42"/>
  <c r="AI155" i="42"/>
  <c r="W113" i="42"/>
  <c r="K113" i="42"/>
  <c r="V113" i="42"/>
  <c r="J113" i="42"/>
  <c r="U113" i="42"/>
  <c r="I113" i="42"/>
  <c r="T113" i="42"/>
  <c r="H113" i="42"/>
  <c r="AD113" i="42"/>
  <c r="R113" i="42"/>
  <c r="F113" i="42"/>
  <c r="AC113" i="42"/>
  <c r="Q113" i="42"/>
  <c r="N113" i="42"/>
  <c r="G113" i="42"/>
  <c r="AB113" i="42"/>
  <c r="M113" i="42"/>
  <c r="L113" i="42"/>
  <c r="AE113" i="42"/>
  <c r="O113" i="42"/>
  <c r="AA113" i="42"/>
  <c r="Z113" i="42"/>
  <c r="S113" i="42"/>
  <c r="P113" i="42"/>
  <c r="Y113" i="42"/>
  <c r="X113" i="42"/>
  <c r="G74" i="41"/>
  <c r="Y74" i="41" s="1"/>
  <c r="G363" i="41"/>
  <c r="G379" i="41" s="1"/>
  <c r="P379" i="41" s="1"/>
  <c r="F368" i="41"/>
  <c r="AA459" i="41"/>
  <c r="X459" i="41"/>
  <c r="U459" i="41"/>
  <c r="R459" i="41"/>
  <c r="O459" i="41"/>
  <c r="L459" i="41"/>
  <c r="I459" i="41"/>
  <c r="AM459" i="41"/>
  <c r="AJ459" i="41"/>
  <c r="AG459" i="41"/>
  <c r="AD459" i="41"/>
  <c r="AE460" i="41"/>
  <c r="AB460" i="41"/>
  <c r="Y460" i="41"/>
  <c r="V460" i="41"/>
  <c r="S460" i="41"/>
  <c r="P460" i="41"/>
  <c r="M460" i="41"/>
  <c r="AN460" i="41"/>
  <c r="AK460" i="41"/>
  <c r="AH460" i="41"/>
  <c r="J460" i="41"/>
  <c r="G27" i="41"/>
  <c r="G28" i="41" s="1"/>
  <c r="L7" i="41"/>
  <c r="X4" i="41"/>
  <c r="W4" i="41"/>
  <c r="F27" i="41"/>
  <c r="F28" i="41" s="1"/>
  <c r="H363" i="41"/>
  <c r="H380" i="41" s="1"/>
  <c r="I27" i="41"/>
  <c r="I28" i="41" s="1"/>
  <c r="H27" i="41"/>
  <c r="H28" i="41" s="1"/>
  <c r="E363" i="41"/>
  <c r="E369" i="41" s="1"/>
  <c r="F218" i="41"/>
  <c r="AA309" i="41"/>
  <c r="X309" i="41"/>
  <c r="U309" i="41"/>
  <c r="R309" i="41"/>
  <c r="AM309" i="41"/>
  <c r="AJ309" i="41"/>
  <c r="AG309" i="41"/>
  <c r="O309" i="41"/>
  <c r="L309" i="41"/>
  <c r="I309" i="41"/>
  <c r="AD309" i="41"/>
  <c r="AB270" i="41"/>
  <c r="P270" i="41"/>
  <c r="U270" i="41"/>
  <c r="H270" i="41"/>
  <c r="T270" i="41"/>
  <c r="S270" i="41"/>
  <c r="R270" i="41"/>
  <c r="Q270" i="41"/>
  <c r="O270" i="41"/>
  <c r="N270" i="41"/>
  <c r="M270" i="41"/>
  <c r="Z270" i="41"/>
  <c r="I270" i="41"/>
  <c r="Y270" i="41"/>
  <c r="AD270" i="41"/>
  <c r="L270" i="41"/>
  <c r="J270" i="41"/>
  <c r="AC270" i="41"/>
  <c r="K270" i="41"/>
  <c r="AA270" i="41"/>
  <c r="X270" i="41"/>
  <c r="W270" i="41"/>
  <c r="V270" i="41"/>
  <c r="AB115" i="41"/>
  <c r="P115" i="41"/>
  <c r="Z115" i="41"/>
  <c r="N115" i="41"/>
  <c r="X115" i="41"/>
  <c r="J115" i="41"/>
  <c r="V115" i="41"/>
  <c r="H115" i="41"/>
  <c r="W115" i="41"/>
  <c r="I115" i="41"/>
  <c r="O115" i="41"/>
  <c r="AD115" i="41"/>
  <c r="AC115" i="41"/>
  <c r="AA115" i="41"/>
  <c r="Y115" i="41"/>
  <c r="U115" i="41"/>
  <c r="M115" i="41"/>
  <c r="AE115" i="41"/>
  <c r="L115" i="41"/>
  <c r="K115" i="41"/>
  <c r="T115" i="41"/>
  <c r="S115" i="41"/>
  <c r="R115" i="41"/>
  <c r="Q115" i="41"/>
  <c r="AK73" i="41"/>
  <c r="Y73" i="41"/>
  <c r="M73" i="41"/>
  <c r="AI73" i="41"/>
  <c r="W73" i="41"/>
  <c r="K73" i="41"/>
  <c r="AF73" i="41"/>
  <c r="R73" i="41"/>
  <c r="AD73" i="41"/>
  <c r="P73" i="41"/>
  <c r="AE73" i="41"/>
  <c r="Q73" i="41"/>
  <c r="Z73" i="41"/>
  <c r="G73" i="41"/>
  <c r="V73" i="41"/>
  <c r="AN73" i="41"/>
  <c r="U73" i="41"/>
  <c r="AM73" i="41"/>
  <c r="T73" i="41"/>
  <c r="AL73" i="41"/>
  <c r="S73" i="41"/>
  <c r="X73" i="41"/>
  <c r="O73" i="41"/>
  <c r="H73" i="41"/>
  <c r="AJ73" i="41"/>
  <c r="AH73" i="41"/>
  <c r="AG73" i="41"/>
  <c r="AB73" i="41"/>
  <c r="AA73" i="41"/>
  <c r="N73" i="41"/>
  <c r="L73" i="41"/>
  <c r="J73" i="41"/>
  <c r="I73" i="41"/>
  <c r="AC73" i="41"/>
  <c r="AF229" i="19"/>
  <c r="H362" i="19"/>
  <c r="H379" i="19" s="1"/>
  <c r="M349" i="19"/>
  <c r="M351" i="19" s="1"/>
  <c r="M353" i="19" s="1"/>
  <c r="M354" i="19" s="1"/>
  <c r="M363" i="19" s="1"/>
  <c r="L49" i="19"/>
  <c r="U45" i="16"/>
  <c r="E418" i="42"/>
  <c r="F419" i="42"/>
  <c r="I369" i="42"/>
  <c r="F459" i="42"/>
  <c r="F363" i="42"/>
  <c r="N458" i="42"/>
  <c r="AI458" i="42"/>
  <c r="E217" i="42"/>
  <c r="E219" i="42"/>
  <c r="E62" i="42"/>
  <c r="M45" i="42"/>
  <c r="M47" i="42" s="1"/>
  <c r="M350" i="42"/>
  <c r="M352" i="42" s="1"/>
  <c r="M354" i="42" s="1"/>
  <c r="M355" i="42" s="1"/>
  <c r="M365" i="42" s="1"/>
  <c r="W7" i="42"/>
  <c r="W12" i="42" s="1"/>
  <c r="AI7" i="42"/>
  <c r="AI12" i="42" s="1"/>
  <c r="K21" i="42"/>
  <c r="E418" i="41"/>
  <c r="G420" i="41"/>
  <c r="I462" i="41"/>
  <c r="E458" i="41"/>
  <c r="E368" i="41" s="1"/>
  <c r="I369" i="41"/>
  <c r="I381" i="41"/>
  <c r="F363" i="41"/>
  <c r="F378" i="41" s="1"/>
  <c r="G368" i="41"/>
  <c r="J52" i="41"/>
  <c r="J60" i="41"/>
  <c r="J160" i="41" s="1"/>
  <c r="K350" i="41"/>
  <c r="K200" i="41"/>
  <c r="E363" i="23"/>
  <c r="E377" i="23" s="1"/>
  <c r="I369" i="23"/>
  <c r="H461" i="23"/>
  <c r="G368" i="23"/>
  <c r="F218" i="23"/>
  <c r="J213" i="23"/>
  <c r="J232" i="23" s="1"/>
  <c r="E61" i="23"/>
  <c r="K60" i="23"/>
  <c r="K161" i="23" s="1"/>
  <c r="E418" i="22"/>
  <c r="I462" i="22"/>
  <c r="I369" i="22"/>
  <c r="H461" i="22"/>
  <c r="I381" i="22"/>
  <c r="G363" i="22"/>
  <c r="G379" i="22" s="1"/>
  <c r="E458" i="22"/>
  <c r="F368" i="22"/>
  <c r="E363" i="22"/>
  <c r="G460" i="22"/>
  <c r="G219" i="22"/>
  <c r="L350" i="22"/>
  <c r="L45" i="22"/>
  <c r="L52" i="22" s="1"/>
  <c r="L200" i="22"/>
  <c r="M7" i="22"/>
  <c r="N7" i="22"/>
  <c r="V7" i="22"/>
  <c r="AH4" i="22"/>
  <c r="AH7" i="22" s="1"/>
  <c r="K21" i="22"/>
  <c r="G419" i="19"/>
  <c r="E417" i="19"/>
  <c r="F418" i="19"/>
  <c r="F367" i="19"/>
  <c r="E362" i="19"/>
  <c r="I368" i="19"/>
  <c r="E457" i="19"/>
  <c r="G459" i="19"/>
  <c r="G362" i="19"/>
  <c r="G63" i="19"/>
  <c r="M45" i="19"/>
  <c r="M47" i="19" s="1"/>
  <c r="M49" i="19" s="1"/>
  <c r="M50" i="19" s="1"/>
  <c r="N15" i="19"/>
  <c r="G420" i="20"/>
  <c r="E418" i="20"/>
  <c r="E363" i="20"/>
  <c r="G460" i="20"/>
  <c r="F459" i="20"/>
  <c r="H363" i="20"/>
  <c r="H461" i="20"/>
  <c r="I381" i="20"/>
  <c r="I369" i="20"/>
  <c r="G363" i="20"/>
  <c r="J215" i="20"/>
  <c r="J313" i="20" s="1"/>
  <c r="J207" i="20"/>
  <c r="M354" i="20"/>
  <c r="M355" i="20" s="1"/>
  <c r="M45" i="20"/>
  <c r="K207" i="20"/>
  <c r="P20" i="20"/>
  <c r="M7" i="20"/>
  <c r="Y4" i="20"/>
  <c r="L7" i="20"/>
  <c r="X4" i="20"/>
  <c r="L200" i="42"/>
  <c r="G74" i="42"/>
  <c r="H461" i="42"/>
  <c r="L60" i="42"/>
  <c r="L58" i="42"/>
  <c r="L52" i="42"/>
  <c r="L59" i="42"/>
  <c r="H421" i="42"/>
  <c r="F114" i="42"/>
  <c r="J463" i="42"/>
  <c r="J215" i="42"/>
  <c r="J214" i="42"/>
  <c r="J213" i="42"/>
  <c r="J207" i="42"/>
  <c r="H116" i="42"/>
  <c r="G460" i="42"/>
  <c r="H75" i="42"/>
  <c r="K364" i="42"/>
  <c r="K365" i="42"/>
  <c r="K363" i="42"/>
  <c r="G420" i="42"/>
  <c r="F228" i="42"/>
  <c r="I272" i="42"/>
  <c r="AF113" i="42"/>
  <c r="I117" i="42"/>
  <c r="I159" i="42"/>
  <c r="H271" i="42"/>
  <c r="I231" i="42"/>
  <c r="E227" i="42"/>
  <c r="I422" i="42"/>
  <c r="F156" i="42"/>
  <c r="I381" i="42"/>
  <c r="I462" i="42"/>
  <c r="H308" i="42"/>
  <c r="H218" i="42" s="1"/>
  <c r="W308" i="42"/>
  <c r="T308" i="42"/>
  <c r="Q308" i="42"/>
  <c r="N308" i="42"/>
  <c r="AL308" i="42"/>
  <c r="AI308" i="42"/>
  <c r="AF308" i="42"/>
  <c r="AC308" i="42"/>
  <c r="Z308" i="42"/>
  <c r="K308" i="42"/>
  <c r="G115" i="42"/>
  <c r="F309" i="42"/>
  <c r="AE270" i="42"/>
  <c r="I312" i="42"/>
  <c r="H158" i="42"/>
  <c r="I76" i="42"/>
  <c r="F73" i="42"/>
  <c r="J215" i="41"/>
  <c r="J207" i="41"/>
  <c r="E155" i="41"/>
  <c r="H311" i="41"/>
  <c r="H158" i="41"/>
  <c r="F156" i="41"/>
  <c r="E268" i="41"/>
  <c r="I272" i="41"/>
  <c r="AC111" i="41"/>
  <c r="AF115" i="41" s="1"/>
  <c r="E227" i="41"/>
  <c r="H461" i="41"/>
  <c r="I117" i="41"/>
  <c r="AG48" i="41"/>
  <c r="J463" i="41"/>
  <c r="F269" i="41"/>
  <c r="I159" i="41"/>
  <c r="F228" i="41"/>
  <c r="F114" i="41"/>
  <c r="H75" i="41"/>
  <c r="AE270" i="41"/>
  <c r="F419" i="41"/>
  <c r="E72" i="41"/>
  <c r="I312" i="41"/>
  <c r="H230" i="41"/>
  <c r="G310" i="41"/>
  <c r="G157" i="41"/>
  <c r="H421" i="41"/>
  <c r="I422" i="41"/>
  <c r="E308" i="41"/>
  <c r="E218" i="41" s="1"/>
  <c r="H271" i="41"/>
  <c r="H116" i="41"/>
  <c r="I76" i="41"/>
  <c r="E113" i="41"/>
  <c r="K365" i="23"/>
  <c r="K364" i="23"/>
  <c r="K363" i="23"/>
  <c r="G157" i="23"/>
  <c r="L52" i="23"/>
  <c r="G420" i="23"/>
  <c r="L365" i="23"/>
  <c r="L363" i="23"/>
  <c r="L364" i="23"/>
  <c r="J49" i="23"/>
  <c r="E268" i="23"/>
  <c r="F156" i="23"/>
  <c r="N350" i="23"/>
  <c r="N352" i="23" s="1"/>
  <c r="I381" i="23"/>
  <c r="E227" i="23"/>
  <c r="H75" i="23"/>
  <c r="F73" i="23"/>
  <c r="I159" i="23"/>
  <c r="J365" i="23"/>
  <c r="J364" i="23"/>
  <c r="J363" i="23"/>
  <c r="F459" i="23"/>
  <c r="G74" i="23"/>
  <c r="F419" i="23"/>
  <c r="E458" i="23"/>
  <c r="E368" i="23" s="1"/>
  <c r="M364" i="23"/>
  <c r="M363" i="23"/>
  <c r="M365" i="23"/>
  <c r="F269" i="23"/>
  <c r="G115" i="23"/>
  <c r="N200" i="23"/>
  <c r="I231" i="23"/>
  <c r="AC111" i="23"/>
  <c r="AE114" i="23" s="1"/>
  <c r="H230" i="23"/>
  <c r="I272" i="23"/>
  <c r="G229" i="23"/>
  <c r="H271" i="23"/>
  <c r="I312" i="23"/>
  <c r="G310" i="23"/>
  <c r="I76" i="23"/>
  <c r="G270" i="23"/>
  <c r="H158" i="23"/>
  <c r="F228" i="23"/>
  <c r="H421" i="23"/>
  <c r="E418" i="23"/>
  <c r="E308" i="23"/>
  <c r="H116" i="23"/>
  <c r="H311" i="23"/>
  <c r="J60" i="22"/>
  <c r="J58" i="22"/>
  <c r="J59" i="22"/>
  <c r="F309" i="22"/>
  <c r="G270" i="22"/>
  <c r="I312" i="22"/>
  <c r="F269" i="22"/>
  <c r="F156" i="22"/>
  <c r="AE48" i="22"/>
  <c r="H271" i="22"/>
  <c r="K365" i="22"/>
  <c r="K364" i="22"/>
  <c r="K363" i="22"/>
  <c r="F228" i="22"/>
  <c r="E227" i="22"/>
  <c r="I76" i="22"/>
  <c r="G420" i="22"/>
  <c r="I272" i="22"/>
  <c r="J382" i="22"/>
  <c r="J369" i="22"/>
  <c r="G74" i="22"/>
  <c r="G115" i="22"/>
  <c r="AF111" i="22"/>
  <c r="AG113" i="22" s="1"/>
  <c r="K58" i="22"/>
  <c r="H311" i="22"/>
  <c r="G229" i="22"/>
  <c r="J52" i="22"/>
  <c r="F419" i="22"/>
  <c r="F114" i="22"/>
  <c r="G310" i="22"/>
  <c r="E268" i="22"/>
  <c r="E217" i="22" s="1"/>
  <c r="I117" i="22"/>
  <c r="J463" i="22"/>
  <c r="H158" i="22"/>
  <c r="I422" i="22"/>
  <c r="E308" i="22"/>
  <c r="E218" i="22" s="1"/>
  <c r="I231" i="22"/>
  <c r="I159" i="22"/>
  <c r="J423" i="22"/>
  <c r="H75" i="22"/>
  <c r="K60" i="19"/>
  <c r="K59" i="19"/>
  <c r="K52" i="19"/>
  <c r="K58" i="19"/>
  <c r="J364" i="19"/>
  <c r="J363" i="19"/>
  <c r="J362" i="19"/>
  <c r="K364" i="19"/>
  <c r="K363" i="19"/>
  <c r="K362" i="19"/>
  <c r="E268" i="19"/>
  <c r="E217" i="19" s="1"/>
  <c r="I159" i="19"/>
  <c r="E113" i="19"/>
  <c r="E72" i="19"/>
  <c r="I461" i="19"/>
  <c r="F73" i="19"/>
  <c r="J59" i="19"/>
  <c r="J60" i="19"/>
  <c r="J58" i="19"/>
  <c r="AF271" i="19"/>
  <c r="E308" i="19"/>
  <c r="E218" i="19" s="1"/>
  <c r="J52" i="19"/>
  <c r="E227" i="19"/>
  <c r="I380" i="19"/>
  <c r="N349" i="19"/>
  <c r="N351" i="19" s="1"/>
  <c r="H230" i="19"/>
  <c r="J364" i="20"/>
  <c r="J365" i="20"/>
  <c r="J363" i="20"/>
  <c r="E64" i="20"/>
  <c r="E72" i="20"/>
  <c r="E61" i="20" s="1"/>
  <c r="K49" i="20"/>
  <c r="X74" i="20"/>
  <c r="L74" i="20"/>
  <c r="V74" i="20"/>
  <c r="J74" i="20"/>
  <c r="R74" i="20"/>
  <c r="Q74" i="20"/>
  <c r="AD74" i="20"/>
  <c r="P74" i="20"/>
  <c r="AC74" i="20"/>
  <c r="O74" i="20"/>
  <c r="I74" i="20"/>
  <c r="Z74" i="20"/>
  <c r="AB74" i="20"/>
  <c r="H74" i="20"/>
  <c r="AA74" i="20"/>
  <c r="W74" i="20"/>
  <c r="U74" i="20"/>
  <c r="N74" i="20"/>
  <c r="M74" i="20"/>
  <c r="K74" i="20"/>
  <c r="Y74" i="20"/>
  <c r="T74" i="20"/>
  <c r="S74" i="20"/>
  <c r="J49" i="20"/>
  <c r="X113" i="20"/>
  <c r="L113" i="20"/>
  <c r="Y113" i="20"/>
  <c r="K113" i="20"/>
  <c r="W113" i="20"/>
  <c r="J113" i="20"/>
  <c r="V113" i="20"/>
  <c r="I113" i="20"/>
  <c r="Z113" i="20"/>
  <c r="F113" i="20"/>
  <c r="U113" i="20"/>
  <c r="T113" i="20"/>
  <c r="S113" i="20"/>
  <c r="AD113" i="20"/>
  <c r="AC113" i="20"/>
  <c r="AA113" i="20"/>
  <c r="R113" i="20"/>
  <c r="AB113" i="20"/>
  <c r="Q113" i="20"/>
  <c r="P113" i="20"/>
  <c r="N113" i="20"/>
  <c r="M113" i="20"/>
  <c r="H113" i="20"/>
  <c r="G113" i="20"/>
  <c r="O113" i="20"/>
  <c r="AK384" i="20"/>
  <c r="AE113" i="20"/>
  <c r="L52" i="20"/>
  <c r="G270" i="20"/>
  <c r="G310" i="20"/>
  <c r="H421" i="20"/>
  <c r="I462" i="20"/>
  <c r="F64" i="20"/>
  <c r="F73" i="20"/>
  <c r="AH117" i="20"/>
  <c r="AK48" i="20"/>
  <c r="AL48" i="20" s="1"/>
  <c r="AM48" i="20" s="1"/>
  <c r="AN48" i="20" s="1"/>
  <c r="AC268" i="20"/>
  <c r="M157" i="20"/>
  <c r="J157" i="20"/>
  <c r="AK157" i="20"/>
  <c r="AH157" i="20"/>
  <c r="AE157" i="20"/>
  <c r="S157" i="20"/>
  <c r="P157" i="20"/>
  <c r="Y157" i="20"/>
  <c r="V157" i="20"/>
  <c r="AB157" i="20"/>
  <c r="AN157" i="20"/>
  <c r="E458" i="20"/>
  <c r="E368" i="20" s="1"/>
  <c r="M200" i="20"/>
  <c r="AE76" i="20"/>
  <c r="S76" i="20"/>
  <c r="AC76" i="20"/>
  <c r="Q76" i="20"/>
  <c r="Y76" i="20"/>
  <c r="K76" i="20"/>
  <c r="X76" i="20"/>
  <c r="J76" i="20"/>
  <c r="W76" i="20"/>
  <c r="V76" i="20"/>
  <c r="AF76" i="20"/>
  <c r="L76" i="20"/>
  <c r="AA76" i="20"/>
  <c r="AD76" i="20"/>
  <c r="AB76" i="20"/>
  <c r="U76" i="20"/>
  <c r="T76" i="20"/>
  <c r="Z76" i="20"/>
  <c r="R76" i="20"/>
  <c r="P76" i="20"/>
  <c r="M76" i="20"/>
  <c r="O76" i="20"/>
  <c r="N76" i="20"/>
  <c r="N45" i="20"/>
  <c r="F419" i="20"/>
  <c r="K233" i="20"/>
  <c r="I422" i="20"/>
  <c r="K364" i="20"/>
  <c r="K365" i="20"/>
  <c r="K363" i="20"/>
  <c r="F114" i="20"/>
  <c r="E308" i="20"/>
  <c r="E218" i="20" s="1"/>
  <c r="G115" i="20"/>
  <c r="F156" i="20"/>
  <c r="E155" i="20"/>
  <c r="E63" i="20" s="1"/>
  <c r="N45" i="16"/>
  <c r="W74" i="73"/>
  <c r="AU97" i="51" l="1"/>
  <c r="X95" i="75" s="1"/>
  <c r="Z95" i="75" s="1"/>
  <c r="AU95" i="57"/>
  <c r="AJ231" i="41"/>
  <c r="AE228" i="20"/>
  <c r="Q231" i="41"/>
  <c r="S231" i="41"/>
  <c r="W231" i="41"/>
  <c r="V270" i="19"/>
  <c r="AG231" i="41"/>
  <c r="M270" i="19"/>
  <c r="AA231" i="41"/>
  <c r="AE229" i="42"/>
  <c r="J231" i="41"/>
  <c r="P231" i="41"/>
  <c r="U231" i="41"/>
  <c r="AI231" i="41"/>
  <c r="V231" i="41"/>
  <c r="AG116" i="19"/>
  <c r="AB229" i="42"/>
  <c r="W229" i="42"/>
  <c r="I229" i="42"/>
  <c r="AC229" i="42"/>
  <c r="AD231" i="41"/>
  <c r="M230" i="42"/>
  <c r="S116" i="22"/>
  <c r="AE231" i="41"/>
  <c r="W116" i="19"/>
  <c r="AA229" i="42"/>
  <c r="S270" i="19"/>
  <c r="K229" i="42"/>
  <c r="U270" i="19"/>
  <c r="Z229" i="41"/>
  <c r="L270" i="19"/>
  <c r="U116" i="19"/>
  <c r="Q270" i="19"/>
  <c r="AD116" i="19"/>
  <c r="Y229" i="42"/>
  <c r="P270" i="19"/>
  <c r="AF116" i="19"/>
  <c r="W270" i="19"/>
  <c r="AB116" i="19"/>
  <c r="O270" i="19"/>
  <c r="V229" i="41"/>
  <c r="AE230" i="42"/>
  <c r="H230" i="20"/>
  <c r="AG230" i="20" s="1"/>
  <c r="R229" i="41"/>
  <c r="J230" i="42"/>
  <c r="M229" i="41"/>
  <c r="O230" i="42"/>
  <c r="P229" i="41"/>
  <c r="AC230" i="42"/>
  <c r="AD229" i="41"/>
  <c r="AF230" i="42"/>
  <c r="AE229" i="41"/>
  <c r="X270" i="19"/>
  <c r="T116" i="22"/>
  <c r="AC228" i="20"/>
  <c r="J270" i="19"/>
  <c r="T229" i="41"/>
  <c r="S229" i="41"/>
  <c r="O229" i="41"/>
  <c r="X230" i="42"/>
  <c r="H228" i="20"/>
  <c r="Y229" i="41"/>
  <c r="Q230" i="42"/>
  <c r="R270" i="19"/>
  <c r="V73" i="22"/>
  <c r="Q116" i="22"/>
  <c r="H229" i="42"/>
  <c r="AD270" i="19"/>
  <c r="AG116" i="22"/>
  <c r="L116" i="19"/>
  <c r="AE116" i="22"/>
  <c r="R229" i="42"/>
  <c r="K116" i="19"/>
  <c r="AA270" i="19"/>
  <c r="AB270" i="19"/>
  <c r="N229" i="42"/>
  <c r="Y116" i="19"/>
  <c r="AC270" i="19"/>
  <c r="V229" i="42"/>
  <c r="O229" i="42"/>
  <c r="AA116" i="19"/>
  <c r="Z116" i="22"/>
  <c r="L116" i="22"/>
  <c r="L229" i="42"/>
  <c r="P116" i="19"/>
  <c r="M116" i="22"/>
  <c r="Q229" i="42"/>
  <c r="AD229" i="42"/>
  <c r="T116" i="19"/>
  <c r="O116" i="22"/>
  <c r="AG229" i="41"/>
  <c r="U230" i="42"/>
  <c r="U229" i="42"/>
  <c r="M229" i="42"/>
  <c r="Z229" i="42"/>
  <c r="U228" i="20"/>
  <c r="H270" i="19"/>
  <c r="N270" i="19"/>
  <c r="U116" i="22"/>
  <c r="I229" i="41"/>
  <c r="L230" i="42"/>
  <c r="T229" i="42"/>
  <c r="X229" i="42"/>
  <c r="P229" i="42"/>
  <c r="V228" i="20"/>
  <c r="K270" i="19"/>
  <c r="I270" i="19"/>
  <c r="Z270" i="19"/>
  <c r="X116" i="22"/>
  <c r="AF229" i="41"/>
  <c r="U229" i="41"/>
  <c r="R230" i="42"/>
  <c r="J229" i="42"/>
  <c r="L228" i="20"/>
  <c r="Y270" i="19"/>
  <c r="N116" i="22"/>
  <c r="K229" i="41"/>
  <c r="AA229" i="41"/>
  <c r="AA228" i="20"/>
  <c r="AB229" i="41"/>
  <c r="Y230" i="42"/>
  <c r="AD230" i="42"/>
  <c r="J228" i="20"/>
  <c r="P116" i="22"/>
  <c r="M228" i="20"/>
  <c r="AB116" i="22"/>
  <c r="AF116" i="22"/>
  <c r="AI116" i="22"/>
  <c r="H369" i="22"/>
  <c r="I231" i="20"/>
  <c r="AF231" i="20" s="1"/>
  <c r="H229" i="41"/>
  <c r="Q229" i="41"/>
  <c r="AB231" i="41"/>
  <c r="T231" i="41"/>
  <c r="L231" i="41"/>
  <c r="I230" i="42"/>
  <c r="Z230" i="42"/>
  <c r="T230" i="42"/>
  <c r="AB228" i="20"/>
  <c r="Q228" i="20"/>
  <c r="Y228" i="20"/>
  <c r="AD228" i="20"/>
  <c r="W228" i="20"/>
  <c r="R231" i="41"/>
  <c r="K231" i="41"/>
  <c r="V230" i="42"/>
  <c r="P230" i="42"/>
  <c r="N228" i="20"/>
  <c r="R228" i="20"/>
  <c r="AH231" i="41"/>
  <c r="Z231" i="41"/>
  <c r="W230" i="42"/>
  <c r="S230" i="42"/>
  <c r="F219" i="20"/>
  <c r="O228" i="20"/>
  <c r="S228" i="20"/>
  <c r="W229" i="41"/>
  <c r="N229" i="41"/>
  <c r="L229" i="41"/>
  <c r="M231" i="41"/>
  <c r="O231" i="41"/>
  <c r="K230" i="42"/>
  <c r="N230" i="42"/>
  <c r="P228" i="20"/>
  <c r="G228" i="20"/>
  <c r="Y116" i="22"/>
  <c r="J229" i="41"/>
  <c r="AC229" i="41"/>
  <c r="N231" i="41"/>
  <c r="AC231" i="41"/>
  <c r="AA230" i="42"/>
  <c r="X228" i="20"/>
  <c r="T228" i="20"/>
  <c r="AC116" i="22"/>
  <c r="I116" i="22"/>
  <c r="AF231" i="41"/>
  <c r="Y231" i="41"/>
  <c r="Z228" i="20"/>
  <c r="K228" i="20"/>
  <c r="M116" i="19"/>
  <c r="X116" i="19"/>
  <c r="AA116" i="22"/>
  <c r="AD116" i="22"/>
  <c r="J116" i="22"/>
  <c r="V116" i="22"/>
  <c r="R116" i="22"/>
  <c r="Q116" i="19"/>
  <c r="S116" i="19"/>
  <c r="K116" i="22"/>
  <c r="W116" i="22"/>
  <c r="O116" i="19"/>
  <c r="J116" i="19"/>
  <c r="Z116" i="19"/>
  <c r="R116" i="19"/>
  <c r="N116" i="19"/>
  <c r="AC116" i="19"/>
  <c r="AE116" i="19"/>
  <c r="P73" i="22"/>
  <c r="K73" i="22"/>
  <c r="AA73" i="22"/>
  <c r="S73" i="22"/>
  <c r="T73" i="22"/>
  <c r="N73" i="22"/>
  <c r="AG73" i="22"/>
  <c r="AB73" i="22"/>
  <c r="G73" i="22"/>
  <c r="AJ73" i="22"/>
  <c r="Z73" i="22"/>
  <c r="Y73" i="22"/>
  <c r="K219" i="20"/>
  <c r="V116" i="19"/>
  <c r="O209" i="42"/>
  <c r="P209" i="42" s="1"/>
  <c r="O73" i="22"/>
  <c r="AM73" i="22"/>
  <c r="AK73" i="22"/>
  <c r="AC73" i="22"/>
  <c r="E72" i="22"/>
  <c r="W72" i="22" s="1"/>
  <c r="L369" i="20"/>
  <c r="U73" i="22"/>
  <c r="AL73" i="22"/>
  <c r="AF73" i="22"/>
  <c r="M73" i="22"/>
  <c r="G369" i="41"/>
  <c r="H73" i="22"/>
  <c r="AD73" i="22"/>
  <c r="AN73" i="22"/>
  <c r="Q73" i="22"/>
  <c r="AE73" i="22"/>
  <c r="AI73" i="22"/>
  <c r="R73" i="22"/>
  <c r="I73" i="22"/>
  <c r="L73" i="22"/>
  <c r="AH73" i="22"/>
  <c r="J73" i="22"/>
  <c r="X73" i="22"/>
  <c r="N210" i="42"/>
  <c r="AS95" i="62"/>
  <c r="AU95" i="62" s="1"/>
  <c r="AU93" i="62"/>
  <c r="AS98" i="63"/>
  <c r="AU98" i="63" s="1"/>
  <c r="AU96" i="63"/>
  <c r="AS97" i="60"/>
  <c r="AU97" i="60" s="1"/>
  <c r="AU95" i="60"/>
  <c r="AS75" i="61"/>
  <c r="AS81" i="61" s="1"/>
  <c r="AU68" i="61"/>
  <c r="AU75" i="61" s="1"/>
  <c r="AU81" i="61" s="1"/>
  <c r="AS97" i="61"/>
  <c r="AU97" i="61" s="1"/>
  <c r="AU95" i="61"/>
  <c r="AS98" i="65"/>
  <c r="AU98" i="65" s="1"/>
  <c r="AU96" i="65"/>
  <c r="AS99" i="66"/>
  <c r="AU99" i="66" s="1"/>
  <c r="U97" i="75" s="1"/>
  <c r="W97" i="75" s="1"/>
  <c r="AU97" i="66"/>
  <c r="U95" i="75" s="1"/>
  <c r="AS99" i="52"/>
  <c r="AU99" i="52" s="1"/>
  <c r="AA97" i="75" s="1"/>
  <c r="AC97" i="75" s="1"/>
  <c r="AU97" i="52"/>
  <c r="AA95" i="75" s="1"/>
  <c r="AC95" i="75" s="1"/>
  <c r="AS96" i="59"/>
  <c r="AU96" i="59" s="1"/>
  <c r="AU94" i="59"/>
  <c r="N45" i="23"/>
  <c r="N47" i="23" s="1"/>
  <c r="N49" i="23" s="1"/>
  <c r="N50" i="23" s="1"/>
  <c r="Z379" i="41"/>
  <c r="J379" i="41"/>
  <c r="AI74" i="41"/>
  <c r="AJ74" i="41"/>
  <c r="H74" i="41"/>
  <c r="J21" i="41"/>
  <c r="L59" i="23"/>
  <c r="L60" i="23"/>
  <c r="L162" i="23" s="1"/>
  <c r="AD74" i="41"/>
  <c r="AL74" i="41"/>
  <c r="P74" i="41"/>
  <c r="AJ116" i="22"/>
  <c r="L72" i="42"/>
  <c r="AJ72" i="42"/>
  <c r="L425" i="20"/>
  <c r="AN425" i="20" s="1"/>
  <c r="K78" i="23"/>
  <c r="AC78" i="23" s="1"/>
  <c r="P36" i="23"/>
  <c r="AB36" i="23" s="1"/>
  <c r="M71" i="63"/>
  <c r="P72" i="42"/>
  <c r="G72" i="42"/>
  <c r="N72" i="42"/>
  <c r="V72" i="42"/>
  <c r="K72" i="42"/>
  <c r="Z72" i="42"/>
  <c r="W72" i="42"/>
  <c r="AC72" i="42"/>
  <c r="J72" i="42"/>
  <c r="J369" i="42"/>
  <c r="T72" i="42"/>
  <c r="AG72" i="42"/>
  <c r="H72" i="42"/>
  <c r="AL72" i="42"/>
  <c r="M364" i="42"/>
  <c r="M426" i="42" s="1"/>
  <c r="F72" i="42"/>
  <c r="F61" i="42" s="1"/>
  <c r="U72" i="42"/>
  <c r="R72" i="42"/>
  <c r="AH72" i="42"/>
  <c r="AE72" i="42"/>
  <c r="AA72" i="42"/>
  <c r="E61" i="42"/>
  <c r="E65" i="42" s="1"/>
  <c r="E66" i="42" s="1"/>
  <c r="S72" i="42"/>
  <c r="AN72" i="42"/>
  <c r="Q72" i="42"/>
  <c r="M72" i="42"/>
  <c r="AK72" i="42"/>
  <c r="AF72" i="42"/>
  <c r="AB72" i="42"/>
  <c r="AD72" i="42"/>
  <c r="AK74" i="41"/>
  <c r="Q74" i="41"/>
  <c r="AF74" i="41"/>
  <c r="AB74" i="41"/>
  <c r="O74" i="41"/>
  <c r="J74" i="41"/>
  <c r="AN74" i="41"/>
  <c r="AG74" i="41"/>
  <c r="L74" i="41"/>
  <c r="R74" i="41"/>
  <c r="AM74" i="41"/>
  <c r="M74" i="41"/>
  <c r="I74" i="41"/>
  <c r="AA74" i="41"/>
  <c r="U74" i="41"/>
  <c r="K74" i="41"/>
  <c r="S74" i="41"/>
  <c r="V74" i="41"/>
  <c r="AC74" i="41"/>
  <c r="T74" i="41"/>
  <c r="W74" i="41"/>
  <c r="N74" i="41"/>
  <c r="AE74" i="41"/>
  <c r="AH74" i="41"/>
  <c r="X74" i="41"/>
  <c r="Z74" i="41"/>
  <c r="W379" i="41"/>
  <c r="AJ379" i="41"/>
  <c r="AF379" i="41"/>
  <c r="U379" i="41"/>
  <c r="Y379" i="41"/>
  <c r="AK379" i="41"/>
  <c r="I379" i="41"/>
  <c r="AI72" i="42"/>
  <c r="M379" i="41"/>
  <c r="O379" i="41"/>
  <c r="V379" i="41"/>
  <c r="X379" i="41"/>
  <c r="AE379" i="41"/>
  <c r="H379" i="41"/>
  <c r="L379" i="41"/>
  <c r="AA379" i="41"/>
  <c r="S379" i="41"/>
  <c r="X117" i="19"/>
  <c r="Z117" i="19"/>
  <c r="N117" i="19"/>
  <c r="AG117" i="19"/>
  <c r="AB117" i="19"/>
  <c r="O115" i="19"/>
  <c r="J117" i="19"/>
  <c r="S115" i="19"/>
  <c r="AC117" i="19"/>
  <c r="AA115" i="19"/>
  <c r="AD117" i="19"/>
  <c r="R115" i="19"/>
  <c r="P117" i="19"/>
  <c r="S117" i="19"/>
  <c r="R117" i="19"/>
  <c r="U117" i="19"/>
  <c r="T115" i="19"/>
  <c r="AA117" i="19"/>
  <c r="Q117" i="19"/>
  <c r="AF117" i="19"/>
  <c r="T117" i="19"/>
  <c r="V117" i="19"/>
  <c r="M117" i="19"/>
  <c r="K117" i="19"/>
  <c r="AE117" i="19"/>
  <c r="W117" i="19"/>
  <c r="Y117" i="19"/>
  <c r="O117" i="19"/>
  <c r="AK59" i="66"/>
  <c r="AM72" i="42"/>
  <c r="O72" i="42"/>
  <c r="Y72" i="42"/>
  <c r="X72" i="42"/>
  <c r="M363" i="42"/>
  <c r="M385" i="42" s="1"/>
  <c r="N350" i="42"/>
  <c r="N352" i="42" s="1"/>
  <c r="N354" i="42" s="1"/>
  <c r="N355" i="42" s="1"/>
  <c r="Q377" i="42"/>
  <c r="Y377" i="42"/>
  <c r="U377" i="42"/>
  <c r="F378" i="23"/>
  <c r="AA378" i="23" s="1"/>
  <c r="E65" i="23"/>
  <c r="E66" i="23" s="1"/>
  <c r="F368" i="23"/>
  <c r="AA459" i="23"/>
  <c r="X459" i="23"/>
  <c r="U459" i="23"/>
  <c r="R459" i="23"/>
  <c r="O459" i="23"/>
  <c r="L459" i="23"/>
  <c r="I459" i="23"/>
  <c r="I368" i="23" s="1"/>
  <c r="AJ459" i="23"/>
  <c r="AD459" i="23"/>
  <c r="AM459" i="23"/>
  <c r="AG459" i="23"/>
  <c r="AI461" i="23"/>
  <c r="AF461" i="23"/>
  <c r="T461" i="23"/>
  <c r="AC461" i="23"/>
  <c r="Z461" i="23"/>
  <c r="W461" i="23"/>
  <c r="Q461" i="23"/>
  <c r="N461" i="23"/>
  <c r="AL461" i="23"/>
  <c r="K461" i="23"/>
  <c r="AN420" i="23"/>
  <c r="AB420" i="23"/>
  <c r="P420" i="23"/>
  <c r="AL420" i="23"/>
  <c r="Z420" i="23"/>
  <c r="N420" i="23"/>
  <c r="AM420" i="23"/>
  <c r="X420" i="23"/>
  <c r="J420" i="23"/>
  <c r="AJ420" i="23"/>
  <c r="V420" i="23"/>
  <c r="H420" i="23"/>
  <c r="AI420" i="23"/>
  <c r="U420" i="23"/>
  <c r="AH420" i="23"/>
  <c r="T420" i="23"/>
  <c r="AG420" i="23"/>
  <c r="S420" i="23"/>
  <c r="R420" i="23"/>
  <c r="M420" i="23"/>
  <c r="AK420" i="23"/>
  <c r="I420" i="23"/>
  <c r="AD420" i="23"/>
  <c r="Q420" i="23"/>
  <c r="O420" i="23"/>
  <c r="L420" i="23"/>
  <c r="AF420" i="23"/>
  <c r="K420" i="23"/>
  <c r="AE420" i="23"/>
  <c r="AC420" i="23"/>
  <c r="AA420" i="23"/>
  <c r="W420" i="23"/>
  <c r="Y420" i="23"/>
  <c r="E367" i="23"/>
  <c r="AI418" i="23"/>
  <c r="W418" i="23"/>
  <c r="K418" i="23"/>
  <c r="AG418" i="23"/>
  <c r="U418" i="23"/>
  <c r="I418" i="23"/>
  <c r="AH418" i="23"/>
  <c r="S418" i="23"/>
  <c r="AE418" i="23"/>
  <c r="Q418" i="23"/>
  <c r="AD418" i="23"/>
  <c r="P418" i="23"/>
  <c r="AC418" i="23"/>
  <c r="O418" i="23"/>
  <c r="AB418" i="23"/>
  <c r="N418" i="23"/>
  <c r="AL418" i="23"/>
  <c r="L418" i="23"/>
  <c r="AF418" i="23"/>
  <c r="G418" i="23"/>
  <c r="AA418" i="23"/>
  <c r="Y418" i="23"/>
  <c r="V418" i="23"/>
  <c r="AK418" i="23"/>
  <c r="J418" i="23"/>
  <c r="AJ418" i="23"/>
  <c r="H418" i="23"/>
  <c r="F418" i="23"/>
  <c r="F367" i="23" s="1"/>
  <c r="Z418" i="23"/>
  <c r="X418" i="23"/>
  <c r="R418" i="23"/>
  <c r="M418" i="23"/>
  <c r="AN418" i="23"/>
  <c r="AM418" i="23"/>
  <c r="T418" i="23"/>
  <c r="AK419" i="23"/>
  <c r="Y419" i="23"/>
  <c r="M419" i="23"/>
  <c r="AI419" i="23"/>
  <c r="W419" i="23"/>
  <c r="K419" i="23"/>
  <c r="AC419" i="23"/>
  <c r="O419" i="23"/>
  <c r="AA419" i="23"/>
  <c r="L419" i="23"/>
  <c r="AN419" i="23"/>
  <c r="Z419" i="23"/>
  <c r="J419" i="23"/>
  <c r="AM419" i="23"/>
  <c r="X419" i="23"/>
  <c r="I419" i="23"/>
  <c r="AL419" i="23"/>
  <c r="V419" i="23"/>
  <c r="H419" i="23"/>
  <c r="AD419" i="23"/>
  <c r="AH419" i="23"/>
  <c r="AB419" i="23"/>
  <c r="U419" i="23"/>
  <c r="T419" i="23"/>
  <c r="S419" i="23"/>
  <c r="R419" i="23"/>
  <c r="Q419" i="23"/>
  <c r="AJ419" i="23"/>
  <c r="P419" i="23"/>
  <c r="N419" i="23"/>
  <c r="AE419" i="23"/>
  <c r="G419" i="23"/>
  <c r="AG419" i="23"/>
  <c r="AF419" i="23"/>
  <c r="AF421" i="23"/>
  <c r="T421" i="23"/>
  <c r="AD421" i="23"/>
  <c r="R421" i="23"/>
  <c r="AJ421" i="23"/>
  <c r="V421" i="23"/>
  <c r="AH421" i="23"/>
  <c r="S421" i="23"/>
  <c r="AG421" i="23"/>
  <c r="Q421" i="23"/>
  <c r="AE421" i="23"/>
  <c r="P421" i="23"/>
  <c r="AC421" i="23"/>
  <c r="O421" i="23"/>
  <c r="AL421" i="23"/>
  <c r="L421" i="23"/>
  <c r="AB421" i="23"/>
  <c r="I421" i="23"/>
  <c r="Y421" i="23"/>
  <c r="W421" i="23"/>
  <c r="AK421" i="23"/>
  <c r="K421" i="23"/>
  <c r="AI421" i="23"/>
  <c r="J421" i="23"/>
  <c r="AA421" i="23"/>
  <c r="Z421" i="23"/>
  <c r="X421" i="23"/>
  <c r="AM421" i="23"/>
  <c r="AN421" i="23"/>
  <c r="U421" i="23"/>
  <c r="N421" i="23"/>
  <c r="M421" i="23"/>
  <c r="AI377" i="23"/>
  <c r="W377" i="23"/>
  <c r="K377" i="23"/>
  <c r="X377" i="23"/>
  <c r="J377" i="23"/>
  <c r="AJ377" i="23"/>
  <c r="V377" i="23"/>
  <c r="I377" i="23"/>
  <c r="AH377" i="23"/>
  <c r="U377" i="23"/>
  <c r="H377" i="23"/>
  <c r="AG377" i="23"/>
  <c r="T377" i="23"/>
  <c r="G377" i="23"/>
  <c r="AC377" i="23"/>
  <c r="L377" i="23"/>
  <c r="AB377" i="23"/>
  <c r="F377" i="23"/>
  <c r="AA377" i="23"/>
  <c r="Z377" i="23"/>
  <c r="Y377" i="23"/>
  <c r="S377" i="23"/>
  <c r="R377" i="23"/>
  <c r="Q377" i="23"/>
  <c r="P377" i="23"/>
  <c r="AF377" i="23"/>
  <c r="O377" i="23"/>
  <c r="N377" i="23"/>
  <c r="AD377" i="23"/>
  <c r="M377" i="23"/>
  <c r="AF380" i="23"/>
  <c r="T380" i="23"/>
  <c r="AC380" i="23"/>
  <c r="P380" i="23"/>
  <c r="AB380" i="23"/>
  <c r="O380" i="23"/>
  <c r="AA380" i="23"/>
  <c r="N380" i="23"/>
  <c r="AM380" i="23"/>
  <c r="Z380" i="23"/>
  <c r="M380" i="23"/>
  <c r="AD380" i="23"/>
  <c r="I380" i="23"/>
  <c r="Y380" i="23"/>
  <c r="X380" i="23"/>
  <c r="W380" i="23"/>
  <c r="V380" i="23"/>
  <c r="AL380" i="23"/>
  <c r="U380" i="23"/>
  <c r="AK380" i="23"/>
  <c r="S380" i="23"/>
  <c r="AJ380" i="23"/>
  <c r="R380" i="23"/>
  <c r="AI380" i="23"/>
  <c r="Q380" i="23"/>
  <c r="AH380" i="23"/>
  <c r="L380" i="23"/>
  <c r="AG380" i="23"/>
  <c r="K380" i="23"/>
  <c r="AE380" i="23"/>
  <c r="J380" i="23"/>
  <c r="AK381" i="23"/>
  <c r="Y381" i="23"/>
  <c r="M381" i="23"/>
  <c r="AL381" i="23"/>
  <c r="X381" i="23"/>
  <c r="K381" i="23"/>
  <c r="AJ381" i="23"/>
  <c r="W381" i="23"/>
  <c r="AI381" i="23"/>
  <c r="V381" i="23"/>
  <c r="AH381" i="23"/>
  <c r="U381" i="23"/>
  <c r="J381" i="23"/>
  <c r="AM381" i="23"/>
  <c r="Q381" i="23"/>
  <c r="AG381" i="23"/>
  <c r="P381" i="23"/>
  <c r="AF381" i="23"/>
  <c r="O381" i="23"/>
  <c r="AE381" i="23"/>
  <c r="N381" i="23"/>
  <c r="AD381" i="23"/>
  <c r="L381" i="23"/>
  <c r="AC381" i="23"/>
  <c r="AB381" i="23"/>
  <c r="AA381" i="23"/>
  <c r="Z381" i="23"/>
  <c r="T381" i="23"/>
  <c r="S381" i="23"/>
  <c r="R381" i="23"/>
  <c r="M7" i="23"/>
  <c r="AK7" i="23"/>
  <c r="G379" i="23"/>
  <c r="H369" i="23"/>
  <c r="K119" i="23"/>
  <c r="AH119" i="23" s="1"/>
  <c r="K64" i="23"/>
  <c r="M313" i="23"/>
  <c r="AN313" i="23"/>
  <c r="AK313" i="23"/>
  <c r="AH313" i="23"/>
  <c r="Y313" i="23"/>
  <c r="V313" i="23"/>
  <c r="S313" i="23"/>
  <c r="P313" i="23"/>
  <c r="AE313" i="23"/>
  <c r="AB313" i="23"/>
  <c r="AI311" i="23"/>
  <c r="AC311" i="23"/>
  <c r="AF311" i="23"/>
  <c r="Z311" i="23"/>
  <c r="W311" i="23"/>
  <c r="T311" i="23"/>
  <c r="K311" i="23"/>
  <c r="AL311" i="23"/>
  <c r="N311" i="23"/>
  <c r="Q311" i="23"/>
  <c r="G218" i="23"/>
  <c r="AE310" i="23"/>
  <c r="AB310" i="23"/>
  <c r="Y310" i="23"/>
  <c r="V310" i="23"/>
  <c r="S310" i="23"/>
  <c r="P310" i="23"/>
  <c r="AN310" i="23"/>
  <c r="AK310" i="23"/>
  <c r="AH310" i="23"/>
  <c r="M310" i="23"/>
  <c r="J310" i="23"/>
  <c r="J218" i="23" s="1"/>
  <c r="I218" i="23"/>
  <c r="AM312" i="23"/>
  <c r="AJ312" i="23"/>
  <c r="AG312" i="23"/>
  <c r="AD312" i="23"/>
  <c r="AA312" i="23"/>
  <c r="R312" i="23"/>
  <c r="O312" i="23"/>
  <c r="L312" i="23"/>
  <c r="X312" i="23"/>
  <c r="U312" i="23"/>
  <c r="E218" i="23"/>
  <c r="W308" i="23"/>
  <c r="Q308" i="23"/>
  <c r="T308" i="23"/>
  <c r="N308" i="23"/>
  <c r="K308" i="23"/>
  <c r="H308" i="23"/>
  <c r="H218" i="23" s="1"/>
  <c r="AI308" i="23"/>
  <c r="AF308" i="23"/>
  <c r="AC308" i="23"/>
  <c r="Z308" i="23"/>
  <c r="AL308" i="23"/>
  <c r="Y272" i="23"/>
  <c r="M272" i="23"/>
  <c r="L272" i="23"/>
  <c r="X272" i="23"/>
  <c r="W272" i="23"/>
  <c r="K272" i="23"/>
  <c r="AC272" i="23"/>
  <c r="N272" i="23"/>
  <c r="AB272" i="23"/>
  <c r="J272" i="23"/>
  <c r="AA272" i="23"/>
  <c r="Q272" i="23"/>
  <c r="AH272" i="23"/>
  <c r="P272" i="23"/>
  <c r="AG272" i="23"/>
  <c r="O272" i="23"/>
  <c r="AF272" i="23"/>
  <c r="AE272" i="23"/>
  <c r="AD272" i="23"/>
  <c r="Z272" i="23"/>
  <c r="V272" i="23"/>
  <c r="U272" i="23"/>
  <c r="T272" i="23"/>
  <c r="S272" i="23"/>
  <c r="R272" i="23"/>
  <c r="AF271" i="23"/>
  <c r="T271" i="23"/>
  <c r="AE271" i="23"/>
  <c r="S271" i="23"/>
  <c r="AD271" i="23"/>
  <c r="R271" i="23"/>
  <c r="AA271" i="23"/>
  <c r="L271" i="23"/>
  <c r="Z271" i="23"/>
  <c r="K271" i="23"/>
  <c r="Y271" i="23"/>
  <c r="J271" i="23"/>
  <c r="X271" i="23"/>
  <c r="W271" i="23"/>
  <c r="V271" i="23"/>
  <c r="U271" i="23"/>
  <c r="Q271" i="23"/>
  <c r="P271" i="23"/>
  <c r="O271" i="23"/>
  <c r="N271" i="23"/>
  <c r="AG271" i="23"/>
  <c r="AC271" i="23"/>
  <c r="AB271" i="23"/>
  <c r="M271" i="23"/>
  <c r="I271" i="23"/>
  <c r="E217" i="23"/>
  <c r="W268" i="23"/>
  <c r="K268" i="23"/>
  <c r="U268" i="23"/>
  <c r="I268" i="23"/>
  <c r="X268" i="23"/>
  <c r="H268" i="23"/>
  <c r="V268" i="23"/>
  <c r="G268" i="23"/>
  <c r="T268" i="23"/>
  <c r="F268" i="23"/>
  <c r="F217" i="23" s="1"/>
  <c r="AA268" i="23"/>
  <c r="Z268" i="23"/>
  <c r="Y268" i="23"/>
  <c r="S268" i="23"/>
  <c r="R268" i="23"/>
  <c r="Q268" i="23"/>
  <c r="P268" i="23"/>
  <c r="O268" i="23"/>
  <c r="AD268" i="23"/>
  <c r="AC268" i="23"/>
  <c r="AB268" i="23"/>
  <c r="N268" i="23"/>
  <c r="M268" i="23"/>
  <c r="L268" i="23"/>
  <c r="J268" i="23"/>
  <c r="AE273" i="23"/>
  <c r="S273" i="23"/>
  <c r="R273" i="23"/>
  <c r="AD273" i="23"/>
  <c r="AC273" i="23"/>
  <c r="Q273" i="23"/>
  <c r="AF273" i="23"/>
  <c r="N273" i="23"/>
  <c r="AB273" i="23"/>
  <c r="M273" i="23"/>
  <c r="AA273" i="23"/>
  <c r="L273" i="23"/>
  <c r="Z273" i="23"/>
  <c r="Y273" i="23"/>
  <c r="X273" i="23"/>
  <c r="W273" i="23"/>
  <c r="V273" i="23"/>
  <c r="U273" i="23"/>
  <c r="T273" i="23"/>
  <c r="P273" i="23"/>
  <c r="AI273" i="23"/>
  <c r="AH273" i="23"/>
  <c r="AG273" i="23"/>
  <c r="O273" i="23"/>
  <c r="K273" i="23"/>
  <c r="AB270" i="23"/>
  <c r="P270" i="23"/>
  <c r="Z270" i="23"/>
  <c r="N270" i="23"/>
  <c r="AC270" i="23"/>
  <c r="M270" i="23"/>
  <c r="AA270" i="23"/>
  <c r="L270" i="23"/>
  <c r="Y270" i="23"/>
  <c r="K270" i="23"/>
  <c r="R270" i="23"/>
  <c r="Q270" i="23"/>
  <c r="O270" i="23"/>
  <c r="AF270" i="23"/>
  <c r="J270" i="23"/>
  <c r="AE270" i="23"/>
  <c r="I270" i="23"/>
  <c r="AD270" i="23"/>
  <c r="H270" i="23"/>
  <c r="X270" i="23"/>
  <c r="W270" i="23"/>
  <c r="V270" i="23"/>
  <c r="U270" i="23"/>
  <c r="T270" i="23"/>
  <c r="S270" i="23"/>
  <c r="Y269" i="23"/>
  <c r="M269" i="23"/>
  <c r="W269" i="23"/>
  <c r="K269" i="23"/>
  <c r="R269" i="23"/>
  <c r="AE269" i="23"/>
  <c r="Q269" i="23"/>
  <c r="AD269" i="23"/>
  <c r="P269" i="23"/>
  <c r="AC269" i="23"/>
  <c r="J269" i="23"/>
  <c r="AB269" i="23"/>
  <c r="I269" i="23"/>
  <c r="AA269" i="23"/>
  <c r="H269" i="23"/>
  <c r="Z269" i="23"/>
  <c r="G269" i="23"/>
  <c r="X269" i="23"/>
  <c r="V269" i="23"/>
  <c r="U269" i="23"/>
  <c r="T269" i="23"/>
  <c r="N269" i="23"/>
  <c r="L269" i="23"/>
  <c r="O269" i="23"/>
  <c r="S269" i="23"/>
  <c r="AF230" i="23"/>
  <c r="T230" i="23"/>
  <c r="AD230" i="23"/>
  <c r="R230" i="23"/>
  <c r="W230" i="23"/>
  <c r="I230" i="23"/>
  <c r="U230" i="23"/>
  <c r="V230" i="23"/>
  <c r="S230" i="23"/>
  <c r="AB230" i="23"/>
  <c r="J230" i="23"/>
  <c r="AA230" i="23"/>
  <c r="Y230" i="23"/>
  <c r="AC230" i="23"/>
  <c r="Z230" i="23"/>
  <c r="K230" i="23"/>
  <c r="X230" i="23"/>
  <c r="Q230" i="23"/>
  <c r="P230" i="23"/>
  <c r="O230" i="23"/>
  <c r="N230" i="23"/>
  <c r="AG230" i="23"/>
  <c r="M230" i="23"/>
  <c r="AE230" i="23"/>
  <c r="L230" i="23"/>
  <c r="AB229" i="23"/>
  <c r="P229" i="23"/>
  <c r="Z229" i="23"/>
  <c r="N229" i="23"/>
  <c r="Y229" i="23"/>
  <c r="K229" i="23"/>
  <c r="W229" i="23"/>
  <c r="H229" i="23"/>
  <c r="X229" i="23"/>
  <c r="J229" i="23"/>
  <c r="I229" i="23"/>
  <c r="V229" i="23"/>
  <c r="R229" i="23"/>
  <c r="Q229" i="23"/>
  <c r="M229" i="23"/>
  <c r="S229" i="23"/>
  <c r="O229" i="23"/>
  <c r="L229" i="23"/>
  <c r="AE229" i="23"/>
  <c r="AD229" i="23"/>
  <c r="AC229" i="23"/>
  <c r="AA229" i="23"/>
  <c r="U229" i="23"/>
  <c r="T229" i="23"/>
  <c r="Y228" i="23"/>
  <c r="M228" i="23"/>
  <c r="W228" i="23"/>
  <c r="K228" i="23"/>
  <c r="AD228" i="23"/>
  <c r="P228" i="23"/>
  <c r="AB228" i="23"/>
  <c r="L228" i="23"/>
  <c r="AC228" i="23"/>
  <c r="O228" i="23"/>
  <c r="N228" i="23"/>
  <c r="AA228" i="23"/>
  <c r="G228" i="23"/>
  <c r="Z228" i="23"/>
  <c r="H228" i="23"/>
  <c r="X228" i="23"/>
  <c r="V228" i="23"/>
  <c r="U228" i="23"/>
  <c r="T228" i="23"/>
  <c r="S228" i="23"/>
  <c r="R228" i="23"/>
  <c r="Q228" i="23"/>
  <c r="J228" i="23"/>
  <c r="I228" i="23"/>
  <c r="E216" i="23"/>
  <c r="W227" i="23"/>
  <c r="K227" i="23"/>
  <c r="U227" i="23"/>
  <c r="I227" i="23"/>
  <c r="T227" i="23"/>
  <c r="F227" i="23"/>
  <c r="F216" i="23" s="1"/>
  <c r="Q227" i="23"/>
  <c r="S227" i="23"/>
  <c r="R227" i="23"/>
  <c r="V227" i="23"/>
  <c r="P227" i="23"/>
  <c r="O227" i="23"/>
  <c r="N227" i="23"/>
  <c r="X227" i="23"/>
  <c r="M227" i="23"/>
  <c r="L227" i="23"/>
  <c r="AC227" i="23"/>
  <c r="J227" i="23"/>
  <c r="AB227" i="23"/>
  <c r="H227" i="23"/>
  <c r="AA227" i="23"/>
  <c r="G227" i="23"/>
  <c r="Z227" i="23"/>
  <c r="Y227" i="23"/>
  <c r="AE232" i="23"/>
  <c r="S232" i="23"/>
  <c r="AC232" i="23"/>
  <c r="Q232" i="23"/>
  <c r="AH232" i="23"/>
  <c r="T232" i="23"/>
  <c r="AF232" i="23"/>
  <c r="AD232" i="23"/>
  <c r="AG232" i="23"/>
  <c r="R232" i="23"/>
  <c r="P232" i="23"/>
  <c r="O232" i="23"/>
  <c r="K232" i="23"/>
  <c r="L232" i="23"/>
  <c r="AB232" i="23"/>
  <c r="AA232" i="23"/>
  <c r="Z232" i="23"/>
  <c r="Y232" i="23"/>
  <c r="X232" i="23"/>
  <c r="W232" i="23"/>
  <c r="V232" i="23"/>
  <c r="U232" i="23"/>
  <c r="N232" i="23"/>
  <c r="M232" i="23"/>
  <c r="Y231" i="23"/>
  <c r="M231" i="23"/>
  <c r="W231" i="23"/>
  <c r="K231" i="23"/>
  <c r="T231" i="23"/>
  <c r="AF231" i="23"/>
  <c r="AE231" i="23"/>
  <c r="AG231" i="23"/>
  <c r="S231" i="23"/>
  <c r="R231" i="23"/>
  <c r="Q231" i="23"/>
  <c r="U231" i="23"/>
  <c r="P231" i="23"/>
  <c r="O231" i="23"/>
  <c r="N231" i="23"/>
  <c r="V231" i="23"/>
  <c r="L231" i="23"/>
  <c r="AD231" i="23"/>
  <c r="J231" i="23"/>
  <c r="AC231" i="23"/>
  <c r="AB231" i="23"/>
  <c r="AA231" i="23"/>
  <c r="Z231" i="23"/>
  <c r="X231" i="23"/>
  <c r="AE268" i="23"/>
  <c r="AH117" i="23"/>
  <c r="AD113" i="23"/>
  <c r="AN381" i="23"/>
  <c r="J219" i="23"/>
  <c r="H63" i="23"/>
  <c r="AI158" i="23"/>
  <c r="AF158" i="23"/>
  <c r="AC158" i="23"/>
  <c r="Z158" i="23"/>
  <c r="W158" i="23"/>
  <c r="T158" i="23"/>
  <c r="Q158" i="23"/>
  <c r="N158" i="23"/>
  <c r="K158" i="23"/>
  <c r="K63" i="23" s="1"/>
  <c r="AL158" i="23"/>
  <c r="T161" i="23"/>
  <c r="Q161" i="23"/>
  <c r="N161" i="23"/>
  <c r="AL161" i="23"/>
  <c r="AF161" i="23"/>
  <c r="Z161" i="23"/>
  <c r="W161" i="23"/>
  <c r="AI161" i="23"/>
  <c r="AC161" i="23"/>
  <c r="G63" i="23"/>
  <c r="AE157" i="23"/>
  <c r="AB157" i="23"/>
  <c r="Y157" i="23"/>
  <c r="V157" i="23"/>
  <c r="S157" i="23"/>
  <c r="P157" i="23"/>
  <c r="M157" i="23"/>
  <c r="J157" i="23"/>
  <c r="AN157" i="23"/>
  <c r="AK157" i="23"/>
  <c r="AH157" i="23"/>
  <c r="AM159" i="23"/>
  <c r="AJ159" i="23"/>
  <c r="AG159" i="23"/>
  <c r="AD159" i="23"/>
  <c r="AA159" i="23"/>
  <c r="X159" i="23"/>
  <c r="L159" i="23"/>
  <c r="U159" i="23"/>
  <c r="R159" i="23"/>
  <c r="O159" i="23"/>
  <c r="F63" i="23"/>
  <c r="AA156" i="23"/>
  <c r="X156" i="23"/>
  <c r="U156" i="23"/>
  <c r="R156" i="23"/>
  <c r="O156" i="23"/>
  <c r="L156" i="23"/>
  <c r="I156" i="23"/>
  <c r="I63" i="23" s="1"/>
  <c r="AM156" i="23"/>
  <c r="AJ156" i="23"/>
  <c r="AG156" i="23"/>
  <c r="AD156" i="23"/>
  <c r="AB115" i="23"/>
  <c r="P115" i="23"/>
  <c r="Z115" i="23"/>
  <c r="N115" i="23"/>
  <c r="Y115" i="23"/>
  <c r="M115" i="23"/>
  <c r="V115" i="23"/>
  <c r="U115" i="23"/>
  <c r="T115" i="23"/>
  <c r="S115" i="23"/>
  <c r="K115" i="23"/>
  <c r="R115" i="23"/>
  <c r="Q115" i="23"/>
  <c r="AF115" i="23"/>
  <c r="J115" i="23"/>
  <c r="AE115" i="23"/>
  <c r="I115" i="23"/>
  <c r="AD115" i="23"/>
  <c r="H115" i="23"/>
  <c r="H62" i="23" s="1"/>
  <c r="AC115" i="23"/>
  <c r="AA115" i="23"/>
  <c r="X115" i="23"/>
  <c r="W115" i="23"/>
  <c r="O115" i="23"/>
  <c r="L115" i="23"/>
  <c r="AF116" i="23"/>
  <c r="T116" i="23"/>
  <c r="AD116" i="23"/>
  <c r="R116" i="23"/>
  <c r="AC116" i="23"/>
  <c r="Q116" i="23"/>
  <c r="W116" i="23"/>
  <c r="V116" i="23"/>
  <c r="U116" i="23"/>
  <c r="S116" i="23"/>
  <c r="AA116" i="23"/>
  <c r="O116" i="23"/>
  <c r="N116" i="23"/>
  <c r="M116" i="23"/>
  <c r="AG116" i="23"/>
  <c r="K116" i="23"/>
  <c r="Z116" i="23"/>
  <c r="Y116" i="23"/>
  <c r="X116" i="23"/>
  <c r="P116" i="23"/>
  <c r="L116" i="23"/>
  <c r="AB116" i="23"/>
  <c r="J116" i="23"/>
  <c r="I116" i="23"/>
  <c r="AE116" i="23"/>
  <c r="F61" i="23"/>
  <c r="AK73" i="23"/>
  <c r="Y73" i="23"/>
  <c r="M73" i="23"/>
  <c r="AG73" i="23"/>
  <c r="U73" i="23"/>
  <c r="I73" i="23"/>
  <c r="AC73" i="23"/>
  <c r="O73" i="23"/>
  <c r="AB73" i="23"/>
  <c r="N73" i="23"/>
  <c r="AA73" i="23"/>
  <c r="L73" i="23"/>
  <c r="AN73" i="23"/>
  <c r="Z73" i="23"/>
  <c r="K73" i="23"/>
  <c r="AE73" i="23"/>
  <c r="G73" i="23"/>
  <c r="G61" i="23" s="1"/>
  <c r="AD73" i="23"/>
  <c r="X73" i="23"/>
  <c r="W73" i="23"/>
  <c r="AM73" i="23"/>
  <c r="S73" i="23"/>
  <c r="AL73" i="23"/>
  <c r="R73" i="23"/>
  <c r="AJ73" i="23"/>
  <c r="Q73" i="23"/>
  <c r="AI73" i="23"/>
  <c r="P73" i="23"/>
  <c r="AH73" i="23"/>
  <c r="J73" i="23"/>
  <c r="AF73" i="23"/>
  <c r="H73" i="23"/>
  <c r="V73" i="23"/>
  <c r="T73" i="23"/>
  <c r="AK76" i="23"/>
  <c r="Y76" i="23"/>
  <c r="M76" i="23"/>
  <c r="AG76" i="23"/>
  <c r="U76" i="23"/>
  <c r="AH76" i="23"/>
  <c r="S76" i="23"/>
  <c r="AF76" i="23"/>
  <c r="R76" i="23"/>
  <c r="AE76" i="23"/>
  <c r="Q76" i="23"/>
  <c r="AD76" i="23"/>
  <c r="P76" i="23"/>
  <c r="V76" i="23"/>
  <c r="AN76" i="23"/>
  <c r="T76" i="23"/>
  <c r="AM76" i="23"/>
  <c r="O76" i="23"/>
  <c r="AL76" i="23"/>
  <c r="N76" i="23"/>
  <c r="AC76" i="23"/>
  <c r="J76" i="23"/>
  <c r="AB76" i="23"/>
  <c r="AA76" i="23"/>
  <c r="Z76" i="23"/>
  <c r="X76" i="23"/>
  <c r="W76" i="23"/>
  <c r="AJ76" i="23"/>
  <c r="L76" i="23"/>
  <c r="AI76" i="23"/>
  <c r="K76" i="23"/>
  <c r="AN74" i="23"/>
  <c r="AB74" i="23"/>
  <c r="P74" i="23"/>
  <c r="AJ74" i="23"/>
  <c r="X74" i="23"/>
  <c r="L74" i="23"/>
  <c r="AM74" i="23"/>
  <c r="Y74" i="23"/>
  <c r="J74" i="23"/>
  <c r="AL74" i="23"/>
  <c r="W74" i="23"/>
  <c r="I74" i="23"/>
  <c r="AK74" i="23"/>
  <c r="V74" i="23"/>
  <c r="H74" i="23"/>
  <c r="AI74" i="23"/>
  <c r="U74" i="23"/>
  <c r="R74" i="23"/>
  <c r="Q74" i="23"/>
  <c r="AH74" i="23"/>
  <c r="O74" i="23"/>
  <c r="AG74" i="23"/>
  <c r="N74" i="23"/>
  <c r="AD74" i="23"/>
  <c r="AC74" i="23"/>
  <c r="AA74" i="23"/>
  <c r="Z74" i="23"/>
  <c r="T74" i="23"/>
  <c r="S74" i="23"/>
  <c r="AF74" i="23"/>
  <c r="M74" i="23"/>
  <c r="AE74" i="23"/>
  <c r="K74" i="23"/>
  <c r="AF75" i="23"/>
  <c r="T75" i="23"/>
  <c r="AN75" i="23"/>
  <c r="AB75" i="23"/>
  <c r="P75" i="23"/>
  <c r="AJ75" i="23"/>
  <c r="V75" i="23"/>
  <c r="AI75" i="23"/>
  <c r="U75" i="23"/>
  <c r="AH75" i="23"/>
  <c r="S75" i="23"/>
  <c r="AG75" i="23"/>
  <c r="R75" i="23"/>
  <c r="AC75" i="23"/>
  <c r="J75" i="23"/>
  <c r="AA75" i="23"/>
  <c r="I75" i="23"/>
  <c r="Z75" i="23"/>
  <c r="Y75" i="23"/>
  <c r="AM75" i="23"/>
  <c r="O75" i="23"/>
  <c r="AL75" i="23"/>
  <c r="AK75" i="23"/>
  <c r="M75" i="23"/>
  <c r="AE75" i="23"/>
  <c r="L75" i="23"/>
  <c r="AD75" i="23"/>
  <c r="K75" i="23"/>
  <c r="N75" i="23"/>
  <c r="X75" i="23"/>
  <c r="W75" i="23"/>
  <c r="Q75" i="23"/>
  <c r="K60" i="22"/>
  <c r="K64" i="22" s="1"/>
  <c r="M463" i="22"/>
  <c r="AN463" i="22"/>
  <c r="AK463" i="22"/>
  <c r="AH463" i="22"/>
  <c r="AE463" i="22"/>
  <c r="AB463" i="22"/>
  <c r="Y463" i="22"/>
  <c r="V463" i="22"/>
  <c r="S463" i="22"/>
  <c r="P463" i="22"/>
  <c r="AI461" i="22"/>
  <c r="AF461" i="22"/>
  <c r="AC461" i="22"/>
  <c r="Z461" i="22"/>
  <c r="W461" i="22"/>
  <c r="T461" i="22"/>
  <c r="Q461" i="22"/>
  <c r="N461" i="22"/>
  <c r="K461" i="22"/>
  <c r="AL461" i="22"/>
  <c r="AM462" i="22"/>
  <c r="AJ462" i="22"/>
  <c r="AG462" i="22"/>
  <c r="AD462" i="22"/>
  <c r="AA462" i="22"/>
  <c r="X462" i="22"/>
  <c r="U462" i="22"/>
  <c r="R462" i="22"/>
  <c r="O462" i="22"/>
  <c r="L462" i="22"/>
  <c r="G368" i="22"/>
  <c r="AE460" i="22"/>
  <c r="AB460" i="22"/>
  <c r="Y460" i="22"/>
  <c r="V460" i="22"/>
  <c r="S460" i="22"/>
  <c r="P460" i="22"/>
  <c r="M460" i="22"/>
  <c r="AN460" i="22"/>
  <c r="AK460" i="22"/>
  <c r="AH460" i="22"/>
  <c r="J460" i="22"/>
  <c r="J368" i="22" s="1"/>
  <c r="E367" i="22"/>
  <c r="AI418" i="22"/>
  <c r="W418" i="22"/>
  <c r="K418" i="22"/>
  <c r="AH418" i="22"/>
  <c r="V418" i="22"/>
  <c r="J418" i="22"/>
  <c r="AG418" i="22"/>
  <c r="U418" i="22"/>
  <c r="I418" i="22"/>
  <c r="AD418" i="22"/>
  <c r="O418" i="22"/>
  <c r="AC418" i="22"/>
  <c r="N418" i="22"/>
  <c r="AB418" i="22"/>
  <c r="M418" i="22"/>
  <c r="AA418" i="22"/>
  <c r="L418" i="22"/>
  <c r="Z418" i="22"/>
  <c r="H418" i="22"/>
  <c r="AN418" i="22"/>
  <c r="Y418" i="22"/>
  <c r="G418" i="22"/>
  <c r="AJ418" i="22"/>
  <c r="X418" i="22"/>
  <c r="AF418" i="22"/>
  <c r="P418" i="22"/>
  <c r="AE418" i="22"/>
  <c r="T418" i="22"/>
  <c r="S418" i="22"/>
  <c r="R418" i="22"/>
  <c r="Q418" i="22"/>
  <c r="AM418" i="22"/>
  <c r="F418" i="22"/>
  <c r="F367" i="22" s="1"/>
  <c r="AL418" i="22"/>
  <c r="AK418" i="22"/>
  <c r="AE423" i="22"/>
  <c r="S423" i="22"/>
  <c r="AD423" i="22"/>
  <c r="R423" i="22"/>
  <c r="AC423" i="22"/>
  <c r="Q423" i="22"/>
  <c r="AF423" i="22"/>
  <c r="N423" i="22"/>
  <c r="AB423" i="22"/>
  <c r="M423" i="22"/>
  <c r="AA423" i="22"/>
  <c r="L423" i="22"/>
  <c r="Z423" i="22"/>
  <c r="K423" i="22"/>
  <c r="AN423" i="22"/>
  <c r="Y423" i="22"/>
  <c r="AM423" i="22"/>
  <c r="X423" i="22"/>
  <c r="AL423" i="22"/>
  <c r="W423" i="22"/>
  <c r="AJ423" i="22"/>
  <c r="AK423" i="22"/>
  <c r="AI423" i="22"/>
  <c r="AH423" i="22"/>
  <c r="AG423" i="22"/>
  <c r="V423" i="22"/>
  <c r="U423" i="22"/>
  <c r="T423" i="22"/>
  <c r="P423" i="22"/>
  <c r="O423" i="22"/>
  <c r="AN420" i="22"/>
  <c r="AB420" i="22"/>
  <c r="P420" i="22"/>
  <c r="AM420" i="22"/>
  <c r="AA420" i="22"/>
  <c r="O420" i="22"/>
  <c r="AL420" i="22"/>
  <c r="Z420" i="22"/>
  <c r="N420" i="22"/>
  <c r="AC420" i="22"/>
  <c r="K420" i="22"/>
  <c r="Y420" i="22"/>
  <c r="J420" i="22"/>
  <c r="X420" i="22"/>
  <c r="I420" i="22"/>
  <c r="W420" i="22"/>
  <c r="H420" i="22"/>
  <c r="AK420" i="22"/>
  <c r="V420" i="22"/>
  <c r="AJ420" i="22"/>
  <c r="U420" i="22"/>
  <c r="AF420" i="22"/>
  <c r="T420" i="22"/>
  <c r="AE420" i="22"/>
  <c r="AD420" i="22"/>
  <c r="S420" i="22"/>
  <c r="R420" i="22"/>
  <c r="Q420" i="22"/>
  <c r="M420" i="22"/>
  <c r="L420" i="22"/>
  <c r="AI420" i="22"/>
  <c r="AH420" i="22"/>
  <c r="AG420" i="22"/>
  <c r="AK422" i="22"/>
  <c r="Y422" i="22"/>
  <c r="M422" i="22"/>
  <c r="AJ422" i="22"/>
  <c r="X422" i="22"/>
  <c r="L422" i="22"/>
  <c r="AI422" i="22"/>
  <c r="W422" i="22"/>
  <c r="K422" i="22"/>
  <c r="AC422" i="22"/>
  <c r="N422" i="22"/>
  <c r="AM422" i="22"/>
  <c r="AB422" i="22"/>
  <c r="J422" i="22"/>
  <c r="AA422" i="22"/>
  <c r="Z422" i="22"/>
  <c r="AN422" i="22"/>
  <c r="V422" i="22"/>
  <c r="U422" i="22"/>
  <c r="AL422" i="22"/>
  <c r="T422" i="22"/>
  <c r="AH422" i="22"/>
  <c r="AE422" i="22"/>
  <c r="AG422" i="22"/>
  <c r="AF422" i="22"/>
  <c r="AD422" i="22"/>
  <c r="S422" i="22"/>
  <c r="R422" i="22"/>
  <c r="Q422" i="22"/>
  <c r="P422" i="22"/>
  <c r="O422" i="22"/>
  <c r="AK419" i="22"/>
  <c r="Y419" i="22"/>
  <c r="M419" i="22"/>
  <c r="AJ419" i="22"/>
  <c r="X419" i="22"/>
  <c r="L419" i="22"/>
  <c r="AI419" i="22"/>
  <c r="W419" i="22"/>
  <c r="K419" i="22"/>
  <c r="AC419" i="22"/>
  <c r="N419" i="22"/>
  <c r="AB419" i="22"/>
  <c r="J419" i="22"/>
  <c r="AA419" i="22"/>
  <c r="I419" i="22"/>
  <c r="Z419" i="22"/>
  <c r="H419" i="22"/>
  <c r="AN419" i="22"/>
  <c r="V419" i="22"/>
  <c r="G419" i="22"/>
  <c r="AM419" i="22"/>
  <c r="U419" i="22"/>
  <c r="AF419" i="22"/>
  <c r="AE419" i="22"/>
  <c r="T419" i="22"/>
  <c r="AD419" i="22"/>
  <c r="S419" i="22"/>
  <c r="R419" i="22"/>
  <c r="Q419" i="22"/>
  <c r="P419" i="22"/>
  <c r="O419" i="22"/>
  <c r="AL419" i="22"/>
  <c r="AH419" i="22"/>
  <c r="AG419" i="22"/>
  <c r="AE382" i="22"/>
  <c r="S382" i="22"/>
  <c r="AC382" i="22"/>
  <c r="Q382" i="22"/>
  <c r="AG382" i="22"/>
  <c r="R382" i="22"/>
  <c r="AD382" i="22"/>
  <c r="O382" i="22"/>
  <c r="AF382" i="22"/>
  <c r="P382" i="22"/>
  <c r="AB382" i="22"/>
  <c r="N382" i="22"/>
  <c r="AA382" i="22"/>
  <c r="M382" i="22"/>
  <c r="AH382" i="22"/>
  <c r="Y382" i="22"/>
  <c r="AL382" i="22"/>
  <c r="L382" i="22"/>
  <c r="Z382" i="22"/>
  <c r="X382" i="22"/>
  <c r="W382" i="22"/>
  <c r="V382" i="22"/>
  <c r="AN382" i="22"/>
  <c r="U382" i="22"/>
  <c r="AM382" i="22"/>
  <c r="T382" i="22"/>
  <c r="K382" i="22"/>
  <c r="AK382" i="22"/>
  <c r="AI382" i="22"/>
  <c r="AB379" i="22"/>
  <c r="P379" i="22"/>
  <c r="Z379" i="22"/>
  <c r="N379" i="22"/>
  <c r="X379" i="22"/>
  <c r="J379" i="22"/>
  <c r="AJ379" i="22"/>
  <c r="V379" i="22"/>
  <c r="H379" i="22"/>
  <c r="AK379" i="22"/>
  <c r="W379" i="22"/>
  <c r="I379" i="22"/>
  <c r="AI379" i="22"/>
  <c r="U379" i="22"/>
  <c r="AH379" i="22"/>
  <c r="T379" i="22"/>
  <c r="AA379" i="22"/>
  <c r="S379" i="22"/>
  <c r="AF379" i="22"/>
  <c r="K379" i="22"/>
  <c r="Y379" i="22"/>
  <c r="R379" i="22"/>
  <c r="Q379" i="22"/>
  <c r="O379" i="22"/>
  <c r="M379" i="22"/>
  <c r="L379" i="22"/>
  <c r="AE379" i="22"/>
  <c r="AD379" i="22"/>
  <c r="AC379" i="22"/>
  <c r="AK381" i="22"/>
  <c r="Y381" i="22"/>
  <c r="M381" i="22"/>
  <c r="W381" i="22"/>
  <c r="K381" i="22"/>
  <c r="AG381" i="22"/>
  <c r="S381" i="22"/>
  <c r="AE381" i="22"/>
  <c r="Q381" i="22"/>
  <c r="AF381" i="22"/>
  <c r="R381" i="22"/>
  <c r="AD381" i="22"/>
  <c r="P381" i="22"/>
  <c r="AC381" i="22"/>
  <c r="O381" i="22"/>
  <c r="AL381" i="22"/>
  <c r="J381" i="22"/>
  <c r="AH381" i="22"/>
  <c r="U381" i="22"/>
  <c r="AJ381" i="22"/>
  <c r="AB381" i="22"/>
  <c r="AA381" i="22"/>
  <c r="Z381" i="22"/>
  <c r="X381" i="22"/>
  <c r="V381" i="22"/>
  <c r="AM381" i="22"/>
  <c r="AN381" i="22"/>
  <c r="T381" i="22"/>
  <c r="N381" i="22"/>
  <c r="L381" i="22"/>
  <c r="Y378" i="22"/>
  <c r="M378" i="22"/>
  <c r="AI378" i="22"/>
  <c r="W378" i="22"/>
  <c r="K378" i="22"/>
  <c r="AC378" i="22"/>
  <c r="O378" i="22"/>
  <c r="AA378" i="22"/>
  <c r="L378" i="22"/>
  <c r="AB378" i="22"/>
  <c r="N378" i="22"/>
  <c r="Z378" i="22"/>
  <c r="J378" i="22"/>
  <c r="X378" i="22"/>
  <c r="I378" i="22"/>
  <c r="AG378" i="22"/>
  <c r="G378" i="22"/>
  <c r="AE378" i="22"/>
  <c r="AF378" i="22"/>
  <c r="R378" i="22"/>
  <c r="AD378" i="22"/>
  <c r="V378" i="22"/>
  <c r="U378" i="22"/>
  <c r="T378" i="22"/>
  <c r="S378" i="22"/>
  <c r="AJ378" i="22"/>
  <c r="AH378" i="22"/>
  <c r="Q378" i="22"/>
  <c r="P378" i="22"/>
  <c r="H378" i="22"/>
  <c r="AF380" i="22"/>
  <c r="T380" i="22"/>
  <c r="AD380" i="22"/>
  <c r="R380" i="22"/>
  <c r="AJ380" i="22"/>
  <c r="V380" i="22"/>
  <c r="S380" i="22"/>
  <c r="AI380" i="22"/>
  <c r="U380" i="22"/>
  <c r="AG380" i="22"/>
  <c r="Q380" i="22"/>
  <c r="AE380" i="22"/>
  <c r="P380" i="22"/>
  <c r="O380" i="22"/>
  <c r="N380" i="22"/>
  <c r="M380" i="22"/>
  <c r="Z380" i="22"/>
  <c r="AL380" i="22"/>
  <c r="L380" i="22"/>
  <c r="AK380" i="22"/>
  <c r="K380" i="22"/>
  <c r="AC380" i="22"/>
  <c r="J380" i="22"/>
  <c r="AB380" i="22"/>
  <c r="I380" i="22"/>
  <c r="AA380" i="22"/>
  <c r="X380" i="22"/>
  <c r="W380" i="22"/>
  <c r="Y380" i="22"/>
  <c r="F218" i="22"/>
  <c r="AA309" i="22"/>
  <c r="X309" i="22"/>
  <c r="U309" i="22"/>
  <c r="R309" i="22"/>
  <c r="O309" i="22"/>
  <c r="AM309" i="22"/>
  <c r="AJ309" i="22"/>
  <c r="AG309" i="22"/>
  <c r="AD309" i="22"/>
  <c r="L309" i="22"/>
  <c r="I309" i="22"/>
  <c r="I218" i="22" s="1"/>
  <c r="AI311" i="22"/>
  <c r="AF311" i="22"/>
  <c r="AC311" i="22"/>
  <c r="Z311" i="22"/>
  <c r="W311" i="22"/>
  <c r="AL311" i="22"/>
  <c r="T311" i="22"/>
  <c r="Q311" i="22"/>
  <c r="N311" i="22"/>
  <c r="K311" i="22"/>
  <c r="AM312" i="22"/>
  <c r="AJ312" i="22"/>
  <c r="AG312" i="22"/>
  <c r="AD312" i="22"/>
  <c r="L312" i="22"/>
  <c r="AA312" i="22"/>
  <c r="X312" i="22"/>
  <c r="U312" i="22"/>
  <c r="R312" i="22"/>
  <c r="O312" i="22"/>
  <c r="G218" i="22"/>
  <c r="AE310" i="22"/>
  <c r="AB310" i="22"/>
  <c r="Y310" i="22"/>
  <c r="V310" i="22"/>
  <c r="S310" i="22"/>
  <c r="AN310" i="22"/>
  <c r="AK310" i="22"/>
  <c r="AH310" i="22"/>
  <c r="P310" i="22"/>
  <c r="M310" i="22"/>
  <c r="J310" i="22"/>
  <c r="Y269" i="22"/>
  <c r="M269" i="22"/>
  <c r="X269" i="22"/>
  <c r="L269" i="22"/>
  <c r="AA269" i="22"/>
  <c r="K269" i="22"/>
  <c r="W269" i="22"/>
  <c r="I269" i="22"/>
  <c r="H269" i="22"/>
  <c r="U269" i="22"/>
  <c r="G269" i="22"/>
  <c r="Z269" i="22"/>
  <c r="J269" i="22"/>
  <c r="V269" i="22"/>
  <c r="N269" i="22"/>
  <c r="AD269" i="22"/>
  <c r="AC269" i="22"/>
  <c r="AB269" i="22"/>
  <c r="T269" i="22"/>
  <c r="S269" i="22"/>
  <c r="R269" i="22"/>
  <c r="Q269" i="22"/>
  <c r="P269" i="22"/>
  <c r="O269" i="22"/>
  <c r="AB270" i="22"/>
  <c r="P270" i="22"/>
  <c r="AA270" i="22"/>
  <c r="O270" i="22"/>
  <c r="V270" i="22"/>
  <c r="H270" i="22"/>
  <c r="S270" i="22"/>
  <c r="R270" i="22"/>
  <c r="U270" i="22"/>
  <c r="T270" i="22"/>
  <c r="Z270" i="22"/>
  <c r="X270" i="22"/>
  <c r="W270" i="22"/>
  <c r="Q270" i="22"/>
  <c r="N270" i="22"/>
  <c r="M270" i="22"/>
  <c r="L270" i="22"/>
  <c r="K270" i="22"/>
  <c r="AE270" i="22"/>
  <c r="J270" i="22"/>
  <c r="AD270" i="22"/>
  <c r="I270" i="22"/>
  <c r="AC270" i="22"/>
  <c r="Y270" i="22"/>
  <c r="Y272" i="22"/>
  <c r="M272" i="22"/>
  <c r="X272" i="22"/>
  <c r="L272" i="22"/>
  <c r="AE272" i="22"/>
  <c r="Q272" i="22"/>
  <c r="O272" i="22"/>
  <c r="AB272" i="22"/>
  <c r="N272" i="22"/>
  <c r="AA272" i="22"/>
  <c r="K272" i="22"/>
  <c r="AD272" i="22"/>
  <c r="P272" i="22"/>
  <c r="AC272" i="22"/>
  <c r="J272" i="22"/>
  <c r="AG272" i="22"/>
  <c r="AF272" i="22"/>
  <c r="Z272" i="22"/>
  <c r="W272" i="22"/>
  <c r="V272" i="22"/>
  <c r="U272" i="22"/>
  <c r="T272" i="22"/>
  <c r="S272" i="22"/>
  <c r="R272" i="22"/>
  <c r="AF271" i="22"/>
  <c r="T271" i="22"/>
  <c r="AE271" i="22"/>
  <c r="S271" i="22"/>
  <c r="R271" i="22"/>
  <c r="AD271" i="22"/>
  <c r="P271" i="22"/>
  <c r="AC271" i="22"/>
  <c r="O271" i="22"/>
  <c r="AB271" i="22"/>
  <c r="N271" i="22"/>
  <c r="Q271" i="22"/>
  <c r="V271" i="22"/>
  <c r="L271" i="22"/>
  <c r="K271" i="22"/>
  <c r="J271" i="22"/>
  <c r="I271" i="22"/>
  <c r="AA271" i="22"/>
  <c r="Z271" i="22"/>
  <c r="Y271" i="22"/>
  <c r="X271" i="22"/>
  <c r="U271" i="22"/>
  <c r="M271" i="22"/>
  <c r="W271" i="22"/>
  <c r="Y229" i="22"/>
  <c r="M229" i="22"/>
  <c r="AE229" i="22"/>
  <c r="R229" i="22"/>
  <c r="AD229" i="22"/>
  <c r="Q229" i="22"/>
  <c r="AC229" i="22"/>
  <c r="P229" i="22"/>
  <c r="AB229" i="22"/>
  <c r="O229" i="22"/>
  <c r="AA229" i="22"/>
  <c r="N229" i="22"/>
  <c r="Z229" i="22"/>
  <c r="L229" i="22"/>
  <c r="X229" i="22"/>
  <c r="K229" i="22"/>
  <c r="U229" i="22"/>
  <c r="H229" i="22"/>
  <c r="W229" i="22"/>
  <c r="V229" i="22"/>
  <c r="T229" i="22"/>
  <c r="S229" i="22"/>
  <c r="J229" i="22"/>
  <c r="AF229" i="22"/>
  <c r="I229" i="22"/>
  <c r="E216" i="22"/>
  <c r="E220" i="22" s="1"/>
  <c r="E221" i="22" s="1"/>
  <c r="T227" i="22"/>
  <c r="H227" i="22"/>
  <c r="S227" i="22"/>
  <c r="F227" i="22"/>
  <c r="F216" i="22" s="1"/>
  <c r="R227" i="22"/>
  <c r="AD227" i="22"/>
  <c r="Q227" i="22"/>
  <c r="AC227" i="22"/>
  <c r="P227" i="22"/>
  <c r="AB227" i="22"/>
  <c r="O227" i="22"/>
  <c r="AA227" i="22"/>
  <c r="N227" i="22"/>
  <c r="W227" i="22"/>
  <c r="J227" i="22"/>
  <c r="U227" i="22"/>
  <c r="M227" i="22"/>
  <c r="L227" i="22"/>
  <c r="I227" i="22"/>
  <c r="G227" i="22"/>
  <c r="K227" i="22"/>
  <c r="Y227" i="22"/>
  <c r="X227" i="22"/>
  <c r="V227" i="22"/>
  <c r="Z227" i="22"/>
  <c r="V228" i="22"/>
  <c r="J228" i="22"/>
  <c r="Y228" i="22"/>
  <c r="L228" i="22"/>
  <c r="X228" i="22"/>
  <c r="K228" i="22"/>
  <c r="W228" i="22"/>
  <c r="I228" i="22"/>
  <c r="U228" i="22"/>
  <c r="H228" i="22"/>
  <c r="T228" i="22"/>
  <c r="G228" i="22"/>
  <c r="S228" i="22"/>
  <c r="R228" i="22"/>
  <c r="AB228" i="22"/>
  <c r="O228" i="22"/>
  <c r="Q228" i="22"/>
  <c r="P228" i="22"/>
  <c r="N228" i="22"/>
  <c r="M228" i="22"/>
  <c r="AC228" i="22"/>
  <c r="AA228" i="22"/>
  <c r="Z228" i="22"/>
  <c r="AD228" i="22"/>
  <c r="V231" i="22"/>
  <c r="J231" i="22"/>
  <c r="AG231" i="22"/>
  <c r="T231" i="22"/>
  <c r="AF231" i="22"/>
  <c r="S231" i="22"/>
  <c r="AE231" i="22"/>
  <c r="R231" i="22"/>
  <c r="AD231" i="22"/>
  <c r="Q231" i="22"/>
  <c r="AC231" i="22"/>
  <c r="P231" i="22"/>
  <c r="AB231" i="22"/>
  <c r="O231" i="22"/>
  <c r="AA231" i="22"/>
  <c r="N231" i="22"/>
  <c r="X231" i="22"/>
  <c r="K231" i="22"/>
  <c r="Z231" i="22"/>
  <c r="L231" i="22"/>
  <c r="Y231" i="22"/>
  <c r="W231" i="22"/>
  <c r="U231" i="22"/>
  <c r="M231" i="22"/>
  <c r="AG230" i="22"/>
  <c r="F369" i="22"/>
  <c r="AI381" i="22"/>
  <c r="W7" i="22"/>
  <c r="AI4" i="22"/>
  <c r="AI7" i="22" s="1"/>
  <c r="AH272" i="22"/>
  <c r="F63" i="22"/>
  <c r="AA156" i="22"/>
  <c r="X156" i="22"/>
  <c r="U156" i="22"/>
  <c r="R156" i="22"/>
  <c r="O156" i="22"/>
  <c r="L156" i="22"/>
  <c r="I156" i="22"/>
  <c r="I63" i="22" s="1"/>
  <c r="AM156" i="22"/>
  <c r="AJ156" i="22"/>
  <c r="AG156" i="22"/>
  <c r="AD156" i="22"/>
  <c r="H63" i="22"/>
  <c r="AI158" i="22"/>
  <c r="Z158" i="22"/>
  <c r="AF158" i="22"/>
  <c r="AC158" i="22"/>
  <c r="W158" i="22"/>
  <c r="T158" i="22"/>
  <c r="Q158" i="22"/>
  <c r="N158" i="22"/>
  <c r="K158" i="22"/>
  <c r="AL158" i="22"/>
  <c r="AM159" i="22"/>
  <c r="AJ159" i="22"/>
  <c r="AG159" i="22"/>
  <c r="AD159" i="22"/>
  <c r="AA159" i="22"/>
  <c r="X159" i="22"/>
  <c r="U159" i="22"/>
  <c r="R159" i="22"/>
  <c r="O159" i="22"/>
  <c r="L159" i="22"/>
  <c r="Y114" i="22"/>
  <c r="M114" i="22"/>
  <c r="X114" i="22"/>
  <c r="L114" i="22"/>
  <c r="AA114" i="22"/>
  <c r="K114" i="22"/>
  <c r="Z114" i="22"/>
  <c r="J114" i="22"/>
  <c r="W114" i="22"/>
  <c r="I114" i="22"/>
  <c r="AG114" i="22"/>
  <c r="P114" i="22"/>
  <c r="AF114" i="22"/>
  <c r="O114" i="22"/>
  <c r="AE114" i="22"/>
  <c r="N114" i="22"/>
  <c r="AD114" i="22"/>
  <c r="H114" i="22"/>
  <c r="AC114" i="22"/>
  <c r="G114" i="22"/>
  <c r="G62" i="22" s="1"/>
  <c r="AH114" i="22"/>
  <c r="V114" i="22"/>
  <c r="U114" i="22"/>
  <c r="T114" i="22"/>
  <c r="S114" i="22"/>
  <c r="R114" i="22"/>
  <c r="Q114" i="22"/>
  <c r="AB114" i="22"/>
  <c r="AB115" i="22"/>
  <c r="P115" i="22"/>
  <c r="AA115" i="22"/>
  <c r="O115" i="22"/>
  <c r="V115" i="22"/>
  <c r="H115" i="22"/>
  <c r="AI115" i="22"/>
  <c r="U115" i="22"/>
  <c r="AH115" i="22"/>
  <c r="T115" i="22"/>
  <c r="S115" i="22"/>
  <c r="R115" i="22"/>
  <c r="Q115" i="22"/>
  <c r="AG115" i="22"/>
  <c r="N115" i="22"/>
  <c r="AF115" i="22"/>
  <c r="M115" i="22"/>
  <c r="AD115" i="22"/>
  <c r="Z115" i="22"/>
  <c r="Y115" i="22"/>
  <c r="X115" i="22"/>
  <c r="W115" i="22"/>
  <c r="L115" i="22"/>
  <c r="K115" i="22"/>
  <c r="J115" i="22"/>
  <c r="I115" i="22"/>
  <c r="AE115" i="22"/>
  <c r="AC115" i="22"/>
  <c r="AK117" i="22"/>
  <c r="Y117" i="22"/>
  <c r="M117" i="22"/>
  <c r="AJ117" i="22"/>
  <c r="X117" i="22"/>
  <c r="L117" i="22"/>
  <c r="AE117" i="22"/>
  <c r="Q117" i="22"/>
  <c r="AD117" i="22"/>
  <c r="P117" i="22"/>
  <c r="AC117" i="22"/>
  <c r="O117" i="22"/>
  <c r="AH117" i="22"/>
  <c r="N117" i="22"/>
  <c r="K117" i="22"/>
  <c r="AF117" i="22"/>
  <c r="J117" i="22"/>
  <c r="AB117" i="22"/>
  <c r="AA117" i="22"/>
  <c r="AG117" i="22"/>
  <c r="Z117" i="22"/>
  <c r="W117" i="22"/>
  <c r="U117" i="22"/>
  <c r="T117" i="22"/>
  <c r="S117" i="22"/>
  <c r="R117" i="22"/>
  <c r="AI117" i="22"/>
  <c r="V117" i="22"/>
  <c r="AF75" i="22"/>
  <c r="T75" i="22"/>
  <c r="AE75" i="22"/>
  <c r="S75" i="22"/>
  <c r="AD75" i="22"/>
  <c r="R75" i="22"/>
  <c r="AC75" i="22"/>
  <c r="Q75" i="22"/>
  <c r="AI75" i="22"/>
  <c r="W75" i="22"/>
  <c r="K75" i="22"/>
  <c r="Y75" i="22"/>
  <c r="X75" i="22"/>
  <c r="U75" i="22"/>
  <c r="AN75" i="22"/>
  <c r="V75" i="22"/>
  <c r="AM75" i="22"/>
  <c r="AL75" i="22"/>
  <c r="P75" i="22"/>
  <c r="AB75" i="22"/>
  <c r="J75" i="22"/>
  <c r="AA75" i="22"/>
  <c r="I75" i="22"/>
  <c r="Z75" i="22"/>
  <c r="AK75" i="22"/>
  <c r="O75" i="22"/>
  <c r="AJ75" i="22"/>
  <c r="N75" i="22"/>
  <c r="AH75" i="22"/>
  <c r="M75" i="22"/>
  <c r="AG75" i="22"/>
  <c r="L75" i="22"/>
  <c r="AK76" i="22"/>
  <c r="Y76" i="22"/>
  <c r="M76" i="22"/>
  <c r="AJ76" i="22"/>
  <c r="X76" i="22"/>
  <c r="L76" i="22"/>
  <c r="AI76" i="22"/>
  <c r="W76" i="22"/>
  <c r="K76" i="22"/>
  <c r="AH76" i="22"/>
  <c r="V76" i="22"/>
  <c r="J76" i="22"/>
  <c r="AN76" i="22"/>
  <c r="AB76" i="22"/>
  <c r="P76" i="22"/>
  <c r="AG76" i="22"/>
  <c r="O76" i="22"/>
  <c r="AF76" i="22"/>
  <c r="N76" i="22"/>
  <c r="AD76" i="22"/>
  <c r="AE76" i="22"/>
  <c r="AC76" i="22"/>
  <c r="U76" i="22"/>
  <c r="S76" i="22"/>
  <c r="AM76" i="22"/>
  <c r="R76" i="22"/>
  <c r="AL76" i="22"/>
  <c r="Q76" i="22"/>
  <c r="AA76" i="22"/>
  <c r="Z76" i="22"/>
  <c r="T76" i="22"/>
  <c r="AN74" i="22"/>
  <c r="AB74" i="22"/>
  <c r="P74" i="22"/>
  <c r="AM74" i="22"/>
  <c r="AA74" i="22"/>
  <c r="O74" i="22"/>
  <c r="AL74" i="22"/>
  <c r="Z74" i="22"/>
  <c r="N74" i="22"/>
  <c r="AE74" i="22"/>
  <c r="S74" i="22"/>
  <c r="AJ74" i="22"/>
  <c r="T74" i="22"/>
  <c r="AI74" i="22"/>
  <c r="R74" i="22"/>
  <c r="M74" i="22"/>
  <c r="AF74" i="22"/>
  <c r="AH74" i="22"/>
  <c r="Q74" i="22"/>
  <c r="AG74" i="22"/>
  <c r="L74" i="22"/>
  <c r="W74" i="22"/>
  <c r="V74" i="22"/>
  <c r="AK74" i="22"/>
  <c r="U74" i="22"/>
  <c r="AD74" i="22"/>
  <c r="K74" i="22"/>
  <c r="AC74" i="22"/>
  <c r="J74" i="22"/>
  <c r="Y74" i="22"/>
  <c r="I74" i="22"/>
  <c r="X74" i="22"/>
  <c r="H74" i="22"/>
  <c r="U115" i="19"/>
  <c r="V115" i="19"/>
  <c r="L115" i="19"/>
  <c r="AE270" i="19"/>
  <c r="AE115" i="19"/>
  <c r="AB115" i="19"/>
  <c r="H115" i="19"/>
  <c r="M115" i="19"/>
  <c r="AF115" i="19"/>
  <c r="AC115" i="19"/>
  <c r="AE114" i="19"/>
  <c r="AH117" i="19"/>
  <c r="AE228" i="19"/>
  <c r="P115" i="19"/>
  <c r="N115" i="19"/>
  <c r="I115" i="19"/>
  <c r="W115" i="19"/>
  <c r="J115" i="19"/>
  <c r="K115" i="19"/>
  <c r="X115" i="19"/>
  <c r="Y115" i="19"/>
  <c r="AD115" i="19"/>
  <c r="F368" i="19"/>
  <c r="Q115" i="19"/>
  <c r="AJ461" i="19"/>
  <c r="AG461" i="19"/>
  <c r="AD461" i="19"/>
  <c r="AA461" i="19"/>
  <c r="X461" i="19"/>
  <c r="L461" i="19"/>
  <c r="AM461" i="19"/>
  <c r="U461" i="19"/>
  <c r="R461" i="19"/>
  <c r="O461" i="19"/>
  <c r="G367" i="19"/>
  <c r="Y459" i="19"/>
  <c r="V459" i="19"/>
  <c r="S459" i="19"/>
  <c r="P459" i="19"/>
  <c r="M459" i="19"/>
  <c r="AN459" i="19"/>
  <c r="AK459" i="19"/>
  <c r="AH459" i="19"/>
  <c r="AE459" i="19"/>
  <c r="AB459" i="19"/>
  <c r="J459" i="19"/>
  <c r="AN419" i="19"/>
  <c r="AB419" i="19"/>
  <c r="P419" i="19"/>
  <c r="AM419" i="19"/>
  <c r="AA419" i="19"/>
  <c r="O419" i="19"/>
  <c r="AJ419" i="19"/>
  <c r="V419" i="19"/>
  <c r="H419" i="19"/>
  <c r="AI419" i="19"/>
  <c r="U419" i="19"/>
  <c r="AH419" i="19"/>
  <c r="T419" i="19"/>
  <c r="AG419" i="19"/>
  <c r="S419" i="19"/>
  <c r="AL419" i="19"/>
  <c r="N419" i="19"/>
  <c r="AK419" i="19"/>
  <c r="M419" i="19"/>
  <c r="AF419" i="19"/>
  <c r="L419" i="19"/>
  <c r="AE419" i="19"/>
  <c r="K419" i="19"/>
  <c r="AD419" i="19"/>
  <c r="J419" i="19"/>
  <c r="AC419" i="19"/>
  <c r="I419" i="19"/>
  <c r="Z419" i="19"/>
  <c r="Y419" i="19"/>
  <c r="X419" i="19"/>
  <c r="W419" i="19"/>
  <c r="R419" i="19"/>
  <c r="Q419" i="19"/>
  <c r="AI417" i="19"/>
  <c r="W417" i="19"/>
  <c r="K417" i="19"/>
  <c r="AH417" i="19"/>
  <c r="V417" i="19"/>
  <c r="J417" i="19"/>
  <c r="AE417" i="19"/>
  <c r="Q417" i="19"/>
  <c r="AD417" i="19"/>
  <c r="P417" i="19"/>
  <c r="AC417" i="19"/>
  <c r="O417" i="19"/>
  <c r="AB417" i="19"/>
  <c r="N417" i="19"/>
  <c r="AM417" i="19"/>
  <c r="S417" i="19"/>
  <c r="AL417" i="19"/>
  <c r="R417" i="19"/>
  <c r="AK417" i="19"/>
  <c r="M417" i="19"/>
  <c r="AJ417" i="19"/>
  <c r="L417" i="19"/>
  <c r="AG417" i="19"/>
  <c r="I417" i="19"/>
  <c r="AF417" i="19"/>
  <c r="H417" i="19"/>
  <c r="AA417" i="19"/>
  <c r="G417" i="19"/>
  <c r="Z417" i="19"/>
  <c r="F417" i="19"/>
  <c r="F366" i="19" s="1"/>
  <c r="Y417" i="19"/>
  <c r="X417" i="19"/>
  <c r="U417" i="19"/>
  <c r="AN417" i="19"/>
  <c r="T417" i="19"/>
  <c r="AK418" i="19"/>
  <c r="Y418" i="19"/>
  <c r="M418" i="19"/>
  <c r="AJ418" i="19"/>
  <c r="X418" i="19"/>
  <c r="L418" i="19"/>
  <c r="AA418" i="19"/>
  <c r="K418" i="19"/>
  <c r="AN418" i="19"/>
  <c r="Z418" i="19"/>
  <c r="J418" i="19"/>
  <c r="AM418" i="19"/>
  <c r="W418" i="19"/>
  <c r="I418" i="19"/>
  <c r="AL418" i="19"/>
  <c r="V418" i="19"/>
  <c r="H418" i="19"/>
  <c r="AC418" i="19"/>
  <c r="AB418" i="19"/>
  <c r="U418" i="19"/>
  <c r="T418" i="19"/>
  <c r="S418" i="19"/>
  <c r="R418" i="19"/>
  <c r="AI418" i="19"/>
  <c r="Q418" i="19"/>
  <c r="AH418" i="19"/>
  <c r="P418" i="19"/>
  <c r="AG418" i="19"/>
  <c r="O418" i="19"/>
  <c r="AF418" i="19"/>
  <c r="N418" i="19"/>
  <c r="AE418" i="19"/>
  <c r="G418" i="19"/>
  <c r="AD418" i="19"/>
  <c r="AK377" i="19"/>
  <c r="Y377" i="19"/>
  <c r="M377" i="19"/>
  <c r="AJ377" i="19"/>
  <c r="X377" i="19"/>
  <c r="L377" i="19"/>
  <c r="AI377" i="19"/>
  <c r="W377" i="19"/>
  <c r="K377" i="19"/>
  <c r="AG377" i="19"/>
  <c r="U377" i="19"/>
  <c r="I377" i="19"/>
  <c r="AF377" i="19"/>
  <c r="T377" i="19"/>
  <c r="H377" i="19"/>
  <c r="AC377" i="19"/>
  <c r="G377" i="19"/>
  <c r="AD377" i="19"/>
  <c r="AB377" i="19"/>
  <c r="O377" i="19"/>
  <c r="AA377" i="19"/>
  <c r="Z377" i="19"/>
  <c r="V377" i="19"/>
  <c r="N377" i="19"/>
  <c r="S377" i="19"/>
  <c r="R377" i="19"/>
  <c r="Q377" i="19"/>
  <c r="P377" i="19"/>
  <c r="AH377" i="19"/>
  <c r="AE377" i="19"/>
  <c r="J377" i="19"/>
  <c r="AF379" i="19"/>
  <c r="T379" i="19"/>
  <c r="AE379" i="19"/>
  <c r="S379" i="19"/>
  <c r="AD379" i="19"/>
  <c r="R379" i="19"/>
  <c r="AB379" i="19"/>
  <c r="P379" i="19"/>
  <c r="AM379" i="19"/>
  <c r="AA379" i="19"/>
  <c r="O379" i="19"/>
  <c r="Y379" i="19"/>
  <c r="X379" i="19"/>
  <c r="W379" i="19"/>
  <c r="V379" i="19"/>
  <c r="AL379" i="19"/>
  <c r="U379" i="19"/>
  <c r="AH379" i="19"/>
  <c r="AK379" i="19"/>
  <c r="Q379" i="19"/>
  <c r="AJ379" i="19"/>
  <c r="N379" i="19"/>
  <c r="AI379" i="19"/>
  <c r="M379" i="19"/>
  <c r="L379" i="19"/>
  <c r="AG379" i="19"/>
  <c r="K379" i="19"/>
  <c r="AC379" i="19"/>
  <c r="J379" i="19"/>
  <c r="Z379" i="19"/>
  <c r="I379" i="19"/>
  <c r="AK380" i="19"/>
  <c r="Y380" i="19"/>
  <c r="M380" i="19"/>
  <c r="AJ380" i="19"/>
  <c r="X380" i="19"/>
  <c r="L380" i="19"/>
  <c r="AI380" i="19"/>
  <c r="W380" i="19"/>
  <c r="K380" i="19"/>
  <c r="AG380" i="19"/>
  <c r="U380" i="19"/>
  <c r="AF380" i="19"/>
  <c r="T380" i="19"/>
  <c r="AL380" i="19"/>
  <c r="P380" i="19"/>
  <c r="AH380" i="19"/>
  <c r="O380" i="19"/>
  <c r="AE380" i="19"/>
  <c r="N380" i="19"/>
  <c r="AD380" i="19"/>
  <c r="J380" i="19"/>
  <c r="AC380" i="19"/>
  <c r="AB380" i="19"/>
  <c r="AA380" i="19"/>
  <c r="Z380" i="19"/>
  <c r="V380" i="19"/>
  <c r="S380" i="19"/>
  <c r="R380" i="19"/>
  <c r="AM380" i="19"/>
  <c r="Q380" i="19"/>
  <c r="AG272" i="19"/>
  <c r="AD269" i="19"/>
  <c r="AH231" i="19"/>
  <c r="E216" i="19"/>
  <c r="E220" i="19" s="1"/>
  <c r="E221" i="19" s="1"/>
  <c r="U227" i="19"/>
  <c r="I227" i="19"/>
  <c r="X227" i="19"/>
  <c r="K227" i="19"/>
  <c r="Y227" i="19"/>
  <c r="J227" i="19"/>
  <c r="H227" i="19"/>
  <c r="H216" i="19" s="1"/>
  <c r="V227" i="19"/>
  <c r="G227" i="19"/>
  <c r="G216" i="19" s="1"/>
  <c r="T227" i="19"/>
  <c r="F227" i="19"/>
  <c r="F216" i="19" s="1"/>
  <c r="W227" i="19"/>
  <c r="N227" i="19"/>
  <c r="M227" i="19"/>
  <c r="AD227" i="19"/>
  <c r="L227" i="19"/>
  <c r="AC227" i="19"/>
  <c r="AB227" i="19"/>
  <c r="AA227" i="19"/>
  <c r="Z227" i="19"/>
  <c r="S227" i="19"/>
  <c r="R227" i="19"/>
  <c r="Q227" i="19"/>
  <c r="P227" i="19"/>
  <c r="O227" i="19"/>
  <c r="AD230" i="19"/>
  <c r="R230" i="19"/>
  <c r="AC230" i="19"/>
  <c r="P230" i="19"/>
  <c r="AB230" i="19"/>
  <c r="O230" i="19"/>
  <c r="AA230" i="19"/>
  <c r="L230" i="19"/>
  <c r="Z230" i="19"/>
  <c r="K230" i="19"/>
  <c r="Y230" i="19"/>
  <c r="J230" i="19"/>
  <c r="X230" i="19"/>
  <c r="I230" i="19"/>
  <c r="W230" i="19"/>
  <c r="M230" i="19"/>
  <c r="AG230" i="19"/>
  <c r="AF230" i="19"/>
  <c r="AE230" i="19"/>
  <c r="V230" i="19"/>
  <c r="U230" i="19"/>
  <c r="T230" i="19"/>
  <c r="S230" i="19"/>
  <c r="Q230" i="19"/>
  <c r="N230" i="19"/>
  <c r="H368" i="19"/>
  <c r="M364" i="19"/>
  <c r="M355" i="19" s="1"/>
  <c r="M362" i="19"/>
  <c r="M384" i="19" s="1"/>
  <c r="AM159" i="19"/>
  <c r="AJ159" i="19"/>
  <c r="AG159" i="19"/>
  <c r="AD159" i="19"/>
  <c r="X159" i="19"/>
  <c r="R159" i="19"/>
  <c r="U159" i="19"/>
  <c r="AA159" i="19"/>
  <c r="L159" i="19"/>
  <c r="O159" i="19"/>
  <c r="E62" i="19"/>
  <c r="V113" i="19"/>
  <c r="J113" i="19"/>
  <c r="U113" i="19"/>
  <c r="I113" i="19"/>
  <c r="X113" i="19"/>
  <c r="H113" i="19"/>
  <c r="W113" i="19"/>
  <c r="G113" i="19"/>
  <c r="G62" i="19" s="1"/>
  <c r="T113" i="19"/>
  <c r="F113" i="19"/>
  <c r="F62" i="19" s="1"/>
  <c r="R113" i="19"/>
  <c r="S113" i="19"/>
  <c r="Q113" i="19"/>
  <c r="P113" i="19"/>
  <c r="O113" i="19"/>
  <c r="M113" i="19"/>
  <c r="AD113" i="19"/>
  <c r="L113" i="19"/>
  <c r="AC113" i="19"/>
  <c r="K113" i="19"/>
  <c r="AB113" i="19"/>
  <c r="N113" i="19"/>
  <c r="Y113" i="19"/>
  <c r="AA113" i="19"/>
  <c r="Z113" i="19"/>
  <c r="AJ73" i="19"/>
  <c r="X73" i="19"/>
  <c r="L73" i="19"/>
  <c r="V73" i="19"/>
  <c r="AI73" i="19"/>
  <c r="W73" i="19"/>
  <c r="K73" i="19"/>
  <c r="AH73" i="19"/>
  <c r="J73" i="19"/>
  <c r="AF73" i="19"/>
  <c r="Q73" i="19"/>
  <c r="O73" i="19"/>
  <c r="AE73" i="19"/>
  <c r="P73" i="19"/>
  <c r="AD73" i="19"/>
  <c r="AB73" i="19"/>
  <c r="M73" i="19"/>
  <c r="S73" i="19"/>
  <c r="AN73" i="19"/>
  <c r="R73" i="19"/>
  <c r="H73" i="19"/>
  <c r="AG73" i="19"/>
  <c r="G73" i="19"/>
  <c r="AA73" i="19"/>
  <c r="Z73" i="19"/>
  <c r="Y73" i="19"/>
  <c r="AM73" i="19"/>
  <c r="N73" i="19"/>
  <c r="AL73" i="19"/>
  <c r="I73" i="19"/>
  <c r="AK73" i="19"/>
  <c r="AC73" i="19"/>
  <c r="U73" i="19"/>
  <c r="T73" i="19"/>
  <c r="E61" i="19"/>
  <c r="AH72" i="19"/>
  <c r="V72" i="19"/>
  <c r="J72" i="19"/>
  <c r="T72" i="19"/>
  <c r="AG72" i="19"/>
  <c r="U72" i="19"/>
  <c r="I72" i="19"/>
  <c r="AF72" i="19"/>
  <c r="H72" i="19"/>
  <c r="AJ72" i="19"/>
  <c r="R72" i="19"/>
  <c r="AE72" i="19"/>
  <c r="P72" i="19"/>
  <c r="AI72" i="19"/>
  <c r="Q72" i="19"/>
  <c r="AC72" i="19"/>
  <c r="N72" i="19"/>
  <c r="AA72" i="19"/>
  <c r="Z72" i="19"/>
  <c r="S72" i="19"/>
  <c r="AN72" i="19"/>
  <c r="O72" i="19"/>
  <c r="AM72" i="19"/>
  <c r="M72" i="19"/>
  <c r="AL72" i="19"/>
  <c r="L72" i="19"/>
  <c r="AK72" i="19"/>
  <c r="Y72" i="19"/>
  <c r="X72" i="19"/>
  <c r="W72" i="19"/>
  <c r="K72" i="19"/>
  <c r="G72" i="19"/>
  <c r="F72" i="19"/>
  <c r="F61" i="19" s="1"/>
  <c r="AD72" i="19"/>
  <c r="AB72" i="19"/>
  <c r="F369" i="20"/>
  <c r="L60" i="20"/>
  <c r="L162" i="20" s="1"/>
  <c r="AG272" i="20"/>
  <c r="J213" i="20"/>
  <c r="J232" i="20" s="1"/>
  <c r="AE232" i="20" s="1"/>
  <c r="L59" i="20"/>
  <c r="G229" i="20"/>
  <c r="M229" i="20" s="1"/>
  <c r="U459" i="20"/>
  <c r="R459" i="20"/>
  <c r="O459" i="20"/>
  <c r="L459" i="20"/>
  <c r="I459" i="20"/>
  <c r="I368" i="20" s="1"/>
  <c r="AG459" i="20"/>
  <c r="AD459" i="20"/>
  <c r="AA459" i="20"/>
  <c r="AJ459" i="20"/>
  <c r="X459" i="20"/>
  <c r="AM459" i="20"/>
  <c r="X465" i="20"/>
  <c r="U465" i="20"/>
  <c r="R465" i="20"/>
  <c r="O465" i="20"/>
  <c r="AM465" i="20"/>
  <c r="AJ465" i="20"/>
  <c r="AG465" i="20"/>
  <c r="AD465" i="20"/>
  <c r="AA465" i="20"/>
  <c r="AC461" i="20"/>
  <c r="Z461" i="20"/>
  <c r="W461" i="20"/>
  <c r="T461" i="20"/>
  <c r="Q461" i="20"/>
  <c r="AI461" i="20"/>
  <c r="AF461" i="20"/>
  <c r="N461" i="20"/>
  <c r="K461" i="20"/>
  <c r="AL461" i="20"/>
  <c r="AJ462" i="20"/>
  <c r="AG462" i="20"/>
  <c r="AD462" i="20"/>
  <c r="AA462" i="20"/>
  <c r="X462" i="20"/>
  <c r="R462" i="20"/>
  <c r="O462" i="20"/>
  <c r="L462" i="20"/>
  <c r="AM462" i="20"/>
  <c r="U462" i="20"/>
  <c r="Y460" i="20"/>
  <c r="V460" i="20"/>
  <c r="S460" i="20"/>
  <c r="P460" i="20"/>
  <c r="M460" i="20"/>
  <c r="AH460" i="20"/>
  <c r="AN460" i="20"/>
  <c r="AK460" i="20"/>
  <c r="AE460" i="20"/>
  <c r="AB460" i="20"/>
  <c r="J460" i="20"/>
  <c r="AE421" i="20"/>
  <c r="S421" i="20"/>
  <c r="AN421" i="20"/>
  <c r="AB421" i="20"/>
  <c r="P421" i="20"/>
  <c r="Z421" i="20"/>
  <c r="AM421" i="20"/>
  <c r="AA421" i="20"/>
  <c r="O421" i="20"/>
  <c r="AL421" i="20"/>
  <c r="N421" i="20"/>
  <c r="AJ421" i="20"/>
  <c r="T421" i="20"/>
  <c r="AI421" i="20"/>
  <c r="R421" i="20"/>
  <c r="U421" i="20"/>
  <c r="Q421" i="20"/>
  <c r="K421" i="20"/>
  <c r="AK421" i="20"/>
  <c r="M421" i="20"/>
  <c r="AH421" i="20"/>
  <c r="L421" i="20"/>
  <c r="AG421" i="20"/>
  <c r="AF421" i="20"/>
  <c r="AC421" i="20"/>
  <c r="Y421" i="20"/>
  <c r="X421" i="20"/>
  <c r="W421" i="20"/>
  <c r="V421" i="20"/>
  <c r="AD421" i="20"/>
  <c r="J421" i="20"/>
  <c r="I421" i="20"/>
  <c r="AJ419" i="20"/>
  <c r="X419" i="20"/>
  <c r="L419" i="20"/>
  <c r="AG419" i="20"/>
  <c r="U419" i="20"/>
  <c r="I419" i="20"/>
  <c r="S419" i="20"/>
  <c r="AF419" i="20"/>
  <c r="T419" i="20"/>
  <c r="H419" i="20"/>
  <c r="AE419" i="20"/>
  <c r="AC419" i="20"/>
  <c r="M419" i="20"/>
  <c r="AB419" i="20"/>
  <c r="K419" i="20"/>
  <c r="AN419" i="20"/>
  <c r="R419" i="20"/>
  <c r="AM419" i="20"/>
  <c r="Q419" i="20"/>
  <c r="AL419" i="20"/>
  <c r="P419" i="20"/>
  <c r="AK419" i="20"/>
  <c r="O419" i="20"/>
  <c r="AI419" i="20"/>
  <c r="N419" i="20"/>
  <c r="AH419" i="20"/>
  <c r="AD419" i="20"/>
  <c r="G419" i="20"/>
  <c r="AA419" i="20"/>
  <c r="Z419" i="20"/>
  <c r="W419" i="20"/>
  <c r="V419" i="20"/>
  <c r="J419" i="20"/>
  <c r="Y419" i="20"/>
  <c r="AH418" i="20"/>
  <c r="V418" i="20"/>
  <c r="J418" i="20"/>
  <c r="AE418" i="20"/>
  <c r="S418" i="20"/>
  <c r="G418" i="20"/>
  <c r="AD418" i="20"/>
  <c r="R418" i="20"/>
  <c r="F418" i="20"/>
  <c r="F367" i="20" s="1"/>
  <c r="AC418" i="20"/>
  <c r="N418" i="20"/>
  <c r="AB418" i="20"/>
  <c r="M418" i="20"/>
  <c r="AI418" i="20"/>
  <c r="O418" i="20"/>
  <c r="AG418" i="20"/>
  <c r="L418" i="20"/>
  <c r="AF418" i="20"/>
  <c r="K418" i="20"/>
  <c r="AA418" i="20"/>
  <c r="I418" i="20"/>
  <c r="Z418" i="20"/>
  <c r="H418" i="20"/>
  <c r="AK418" i="20"/>
  <c r="AJ418" i="20"/>
  <c r="Y418" i="20"/>
  <c r="P418" i="20"/>
  <c r="X418" i="20"/>
  <c r="U418" i="20"/>
  <c r="T418" i="20"/>
  <c r="Q418" i="20"/>
  <c r="AN418" i="20"/>
  <c r="W418" i="20"/>
  <c r="AL418" i="20"/>
  <c r="AM418" i="20"/>
  <c r="AJ422" i="20"/>
  <c r="X422" i="20"/>
  <c r="L422" i="20"/>
  <c r="AG422" i="20"/>
  <c r="U422" i="20"/>
  <c r="S422" i="20"/>
  <c r="AF422" i="20"/>
  <c r="T422" i="20"/>
  <c r="AE422" i="20"/>
  <c r="Y422" i="20"/>
  <c r="AN422" i="20"/>
  <c r="W422" i="20"/>
  <c r="AD422" i="20"/>
  <c r="K422" i="20"/>
  <c r="AC422" i="20"/>
  <c r="J422" i="20"/>
  <c r="AB422" i="20"/>
  <c r="AA422" i="20"/>
  <c r="Z422" i="20"/>
  <c r="O422" i="20"/>
  <c r="N422" i="20"/>
  <c r="M422" i="20"/>
  <c r="AM422" i="20"/>
  <c r="AK422" i="20"/>
  <c r="AI422" i="20"/>
  <c r="AH422" i="20"/>
  <c r="V422" i="20"/>
  <c r="R422" i="20"/>
  <c r="AL422" i="20"/>
  <c r="P422" i="20"/>
  <c r="Q422" i="20"/>
  <c r="AM420" i="20"/>
  <c r="AA420" i="20"/>
  <c r="O420" i="20"/>
  <c r="AJ420" i="20"/>
  <c r="X420" i="20"/>
  <c r="L420" i="20"/>
  <c r="AH420" i="20"/>
  <c r="J420" i="20"/>
  <c r="AI420" i="20"/>
  <c r="W420" i="20"/>
  <c r="K420" i="20"/>
  <c r="V420" i="20"/>
  <c r="AF420" i="20"/>
  <c r="P420" i="20"/>
  <c r="AE420" i="20"/>
  <c r="N420" i="20"/>
  <c r="AC420" i="20"/>
  <c r="AB420" i="20"/>
  <c r="Z420" i="20"/>
  <c r="Y420" i="20"/>
  <c r="U420" i="20"/>
  <c r="AN420" i="20"/>
  <c r="AL420" i="20"/>
  <c r="AK420" i="20"/>
  <c r="AG420" i="20"/>
  <c r="T420" i="20"/>
  <c r="S420" i="20"/>
  <c r="R420" i="20"/>
  <c r="Q420" i="20"/>
  <c r="M420" i="20"/>
  <c r="AD420" i="20"/>
  <c r="I420" i="20"/>
  <c r="H420" i="20"/>
  <c r="AK378" i="20"/>
  <c r="Y378" i="20"/>
  <c r="M378" i="20"/>
  <c r="AI378" i="20"/>
  <c r="W378" i="20"/>
  <c r="K378" i="20"/>
  <c r="AA378" i="20"/>
  <c r="L378" i="20"/>
  <c r="Z378" i="20"/>
  <c r="J378" i="20"/>
  <c r="X378" i="20"/>
  <c r="I378" i="20"/>
  <c r="V378" i="20"/>
  <c r="H378" i="20"/>
  <c r="N378" i="20"/>
  <c r="U378" i="20"/>
  <c r="AE378" i="20"/>
  <c r="G378" i="20"/>
  <c r="AD378" i="20"/>
  <c r="AC378" i="20"/>
  <c r="AB378" i="20"/>
  <c r="T378" i="20"/>
  <c r="S378" i="20"/>
  <c r="R378" i="20"/>
  <c r="AJ378" i="20"/>
  <c r="Q378" i="20"/>
  <c r="AH378" i="20"/>
  <c r="P378" i="20"/>
  <c r="AG378" i="20"/>
  <c r="O378" i="20"/>
  <c r="AK381" i="20"/>
  <c r="Y381" i="20"/>
  <c r="M381" i="20"/>
  <c r="AI381" i="20"/>
  <c r="W381" i="20"/>
  <c r="K381" i="20"/>
  <c r="AE381" i="20"/>
  <c r="Q381" i="20"/>
  <c r="AD381" i="20"/>
  <c r="P381" i="20"/>
  <c r="AC381" i="20"/>
  <c r="O381" i="20"/>
  <c r="AB381" i="20"/>
  <c r="N381" i="20"/>
  <c r="V381" i="20"/>
  <c r="AN381" i="20"/>
  <c r="AM381" i="20"/>
  <c r="AL381" i="20"/>
  <c r="AJ381" i="20"/>
  <c r="U381" i="20"/>
  <c r="T381" i="20"/>
  <c r="S381" i="20"/>
  <c r="R381" i="20"/>
  <c r="L381" i="20"/>
  <c r="AH381" i="20"/>
  <c r="J381" i="20"/>
  <c r="AG381" i="20"/>
  <c r="AF381" i="20"/>
  <c r="AA381" i="20"/>
  <c r="Z381" i="20"/>
  <c r="X381" i="20"/>
  <c r="AF271" i="20"/>
  <c r="G218" i="20"/>
  <c r="AE310" i="20"/>
  <c r="AB310" i="20"/>
  <c r="Y310" i="20"/>
  <c r="V310" i="20"/>
  <c r="S310" i="20"/>
  <c r="P310" i="20"/>
  <c r="J310" i="20"/>
  <c r="J218" i="20" s="1"/>
  <c r="AN310" i="20"/>
  <c r="AK310" i="20"/>
  <c r="AH310" i="20"/>
  <c r="M310" i="20"/>
  <c r="T314" i="20"/>
  <c r="Q314" i="20"/>
  <c r="N314" i="20"/>
  <c r="AI314" i="20"/>
  <c r="AF314" i="20"/>
  <c r="AC314" i="20"/>
  <c r="Z314" i="20"/>
  <c r="W314" i="20"/>
  <c r="AL314" i="20"/>
  <c r="M313" i="20"/>
  <c r="AN313" i="20"/>
  <c r="AH313" i="20"/>
  <c r="AK313" i="20"/>
  <c r="AE313" i="20"/>
  <c r="AB313" i="20"/>
  <c r="Y313" i="20"/>
  <c r="V313" i="20"/>
  <c r="S313" i="20"/>
  <c r="P313" i="20"/>
  <c r="AB270" i="20"/>
  <c r="P270" i="20"/>
  <c r="V270" i="20"/>
  <c r="I270" i="20"/>
  <c r="I217" i="20" s="1"/>
  <c r="T270" i="20"/>
  <c r="U270" i="20"/>
  <c r="H270" i="20"/>
  <c r="H217" i="20" s="1"/>
  <c r="X270" i="20"/>
  <c r="W270" i="20"/>
  <c r="S270" i="20"/>
  <c r="R270" i="20"/>
  <c r="Q270" i="20"/>
  <c r="O270" i="20"/>
  <c r="AC270" i="20"/>
  <c r="AA270" i="20"/>
  <c r="N270" i="20"/>
  <c r="M270" i="20"/>
  <c r="L270" i="20"/>
  <c r="K270" i="20"/>
  <c r="J270" i="20"/>
  <c r="J217" i="20" s="1"/>
  <c r="AE270" i="20"/>
  <c r="AD270" i="20"/>
  <c r="Z270" i="20"/>
  <c r="Y270" i="20"/>
  <c r="AE273" i="20"/>
  <c r="S273" i="20"/>
  <c r="AH273" i="20"/>
  <c r="U273" i="20"/>
  <c r="AG273" i="20"/>
  <c r="T273" i="20"/>
  <c r="AF273" i="20"/>
  <c r="R273" i="20"/>
  <c r="P273" i="20"/>
  <c r="O273" i="20"/>
  <c r="AD273" i="20"/>
  <c r="N273" i="20"/>
  <c r="AC273" i="20"/>
  <c r="M273" i="20"/>
  <c r="AB273" i="20"/>
  <c r="L273" i="20"/>
  <c r="Q273" i="20"/>
  <c r="K273" i="20"/>
  <c r="AA273" i="20"/>
  <c r="Z273" i="20"/>
  <c r="Y273" i="20"/>
  <c r="X273" i="20"/>
  <c r="W273" i="20"/>
  <c r="V273" i="20"/>
  <c r="Z233" i="20"/>
  <c r="N233" i="20"/>
  <c r="AH233" i="20"/>
  <c r="V233" i="20"/>
  <c r="AF233" i="20"/>
  <c r="R233" i="20"/>
  <c r="AE233" i="20"/>
  <c r="Q233" i="20"/>
  <c r="AD233" i="20"/>
  <c r="P233" i="20"/>
  <c r="AC233" i="20"/>
  <c r="O233" i="20"/>
  <c r="AB233" i="20"/>
  <c r="M233" i="20"/>
  <c r="AG233" i="20"/>
  <c r="AA233" i="20"/>
  <c r="T233" i="20"/>
  <c r="S233" i="20"/>
  <c r="AJ233" i="20"/>
  <c r="AI233" i="20"/>
  <c r="Y233" i="20"/>
  <c r="X233" i="20"/>
  <c r="W233" i="20"/>
  <c r="U233" i="20"/>
  <c r="L233" i="20"/>
  <c r="W227" i="20"/>
  <c r="K227" i="20"/>
  <c r="AD227" i="20"/>
  <c r="Q227" i="20"/>
  <c r="AC227" i="20"/>
  <c r="P227" i="20"/>
  <c r="AB227" i="20"/>
  <c r="O227" i="20"/>
  <c r="AA227" i="20"/>
  <c r="N227" i="20"/>
  <c r="Z227" i="20"/>
  <c r="M227" i="20"/>
  <c r="I227" i="20"/>
  <c r="H227" i="20"/>
  <c r="U227" i="20"/>
  <c r="R227" i="20"/>
  <c r="J227" i="20"/>
  <c r="G227" i="20"/>
  <c r="Y227" i="20"/>
  <c r="F227" i="20"/>
  <c r="F216" i="20" s="1"/>
  <c r="F220" i="20" s="1"/>
  <c r="X227" i="20"/>
  <c r="V227" i="20"/>
  <c r="T227" i="20"/>
  <c r="S227" i="20"/>
  <c r="L227" i="20"/>
  <c r="K274" i="20"/>
  <c r="E216" i="20"/>
  <c r="E220" i="20" s="1"/>
  <c r="E221" i="20" s="1"/>
  <c r="AJ377" i="42"/>
  <c r="AC268" i="42"/>
  <c r="R377" i="42"/>
  <c r="AB377" i="42"/>
  <c r="S377" i="42"/>
  <c r="O377" i="42"/>
  <c r="G377" i="42"/>
  <c r="L377" i="42"/>
  <c r="AG377" i="42"/>
  <c r="H380" i="42"/>
  <c r="AD380" i="42" s="1"/>
  <c r="V377" i="42"/>
  <c r="Z377" i="42"/>
  <c r="K377" i="42"/>
  <c r="X377" i="42"/>
  <c r="M377" i="42"/>
  <c r="W377" i="42"/>
  <c r="AE377" i="42"/>
  <c r="AA377" i="42"/>
  <c r="AI377" i="42"/>
  <c r="J423" i="42"/>
  <c r="AE423" i="42" s="1"/>
  <c r="AH377" i="42"/>
  <c r="N377" i="42"/>
  <c r="E366" i="42"/>
  <c r="T377" i="42"/>
  <c r="AC377" i="42"/>
  <c r="E369" i="42"/>
  <c r="AF377" i="42"/>
  <c r="P377" i="42"/>
  <c r="F377" i="42"/>
  <c r="AD377" i="42"/>
  <c r="AD269" i="42"/>
  <c r="H377" i="42"/>
  <c r="J377" i="42"/>
  <c r="G217" i="42"/>
  <c r="L369" i="42"/>
  <c r="H368" i="42"/>
  <c r="AI461" i="42"/>
  <c r="AF461" i="42"/>
  <c r="AC461" i="42"/>
  <c r="W461" i="42"/>
  <c r="Z461" i="42"/>
  <c r="T461" i="42"/>
  <c r="Q461" i="42"/>
  <c r="N461" i="42"/>
  <c r="K461" i="42"/>
  <c r="AL461" i="42"/>
  <c r="G368" i="42"/>
  <c r="AE460" i="42"/>
  <c r="AB460" i="42"/>
  <c r="Y460" i="42"/>
  <c r="V460" i="42"/>
  <c r="S460" i="42"/>
  <c r="P460" i="42"/>
  <c r="M460" i="42"/>
  <c r="J460" i="42"/>
  <c r="J368" i="42" s="1"/>
  <c r="AH460" i="42"/>
  <c r="AK460" i="42"/>
  <c r="AN460" i="42"/>
  <c r="AD465" i="42"/>
  <c r="AA465" i="42"/>
  <c r="R465" i="42"/>
  <c r="X465" i="42"/>
  <c r="U465" i="42"/>
  <c r="O465" i="42"/>
  <c r="AM465" i="42"/>
  <c r="AJ465" i="42"/>
  <c r="AG465" i="42"/>
  <c r="M463" i="42"/>
  <c r="AK463" i="42"/>
  <c r="AN463" i="42"/>
  <c r="AH463" i="42"/>
  <c r="AE463" i="42"/>
  <c r="AB463" i="42"/>
  <c r="Y463" i="42"/>
  <c r="V463" i="42"/>
  <c r="S463" i="42"/>
  <c r="P463" i="42"/>
  <c r="AM462" i="42"/>
  <c r="AJ462" i="42"/>
  <c r="AG462" i="42"/>
  <c r="AD462" i="42"/>
  <c r="AA462" i="42"/>
  <c r="X462" i="42"/>
  <c r="U462" i="42"/>
  <c r="R462" i="42"/>
  <c r="L462" i="42"/>
  <c r="O462" i="42"/>
  <c r="AA459" i="42"/>
  <c r="X459" i="42"/>
  <c r="O459" i="42"/>
  <c r="U459" i="42"/>
  <c r="R459" i="42"/>
  <c r="L459" i="42"/>
  <c r="I459" i="42"/>
  <c r="I368" i="42" s="1"/>
  <c r="AM459" i="42"/>
  <c r="AG459" i="42"/>
  <c r="AD459" i="42"/>
  <c r="AJ459" i="42"/>
  <c r="AK419" i="42"/>
  <c r="Y419" i="42"/>
  <c r="M419" i="42"/>
  <c r="AJ419" i="42"/>
  <c r="X419" i="42"/>
  <c r="L419" i="42"/>
  <c r="AI419" i="42"/>
  <c r="W419" i="42"/>
  <c r="K419" i="42"/>
  <c r="AC419" i="42"/>
  <c r="N419" i="42"/>
  <c r="AB419" i="42"/>
  <c r="J419" i="42"/>
  <c r="AA419" i="42"/>
  <c r="I419" i="42"/>
  <c r="Z419" i="42"/>
  <c r="H419" i="42"/>
  <c r="AN419" i="42"/>
  <c r="V419" i="42"/>
  <c r="G419" i="42"/>
  <c r="AM419" i="42"/>
  <c r="U419" i="42"/>
  <c r="AH419" i="42"/>
  <c r="AF419" i="42"/>
  <c r="AE419" i="42"/>
  <c r="S419" i="42"/>
  <c r="R419" i="42"/>
  <c r="AG419" i="42"/>
  <c r="AD419" i="42"/>
  <c r="T419" i="42"/>
  <c r="AL419" i="42"/>
  <c r="Q419" i="42"/>
  <c r="P419" i="42"/>
  <c r="O419" i="42"/>
  <c r="AI418" i="42"/>
  <c r="W418" i="42"/>
  <c r="K418" i="42"/>
  <c r="AH418" i="42"/>
  <c r="V418" i="42"/>
  <c r="J418" i="42"/>
  <c r="AG418" i="42"/>
  <c r="U418" i="42"/>
  <c r="I418" i="42"/>
  <c r="AD418" i="42"/>
  <c r="O418" i="42"/>
  <c r="AC418" i="42"/>
  <c r="N418" i="42"/>
  <c r="AB418" i="42"/>
  <c r="M418" i="42"/>
  <c r="AA418" i="42"/>
  <c r="L418" i="42"/>
  <c r="Z418" i="42"/>
  <c r="H418" i="42"/>
  <c r="AN418" i="42"/>
  <c r="Y418" i="42"/>
  <c r="G418" i="42"/>
  <c r="AL418" i="42"/>
  <c r="AJ418" i="42"/>
  <c r="AF418" i="42"/>
  <c r="X418" i="42"/>
  <c r="T418" i="42"/>
  <c r="S418" i="42"/>
  <c r="AK418" i="42"/>
  <c r="AE418" i="42"/>
  <c r="P418" i="42"/>
  <c r="F418" i="42"/>
  <c r="F367" i="42" s="1"/>
  <c r="AM418" i="42"/>
  <c r="R418" i="42"/>
  <c r="Q418" i="42"/>
  <c r="AK422" i="42"/>
  <c r="Y422" i="42"/>
  <c r="M422" i="42"/>
  <c r="AJ422" i="42"/>
  <c r="X422" i="42"/>
  <c r="L422" i="42"/>
  <c r="AI422" i="42"/>
  <c r="W422" i="42"/>
  <c r="K422" i="42"/>
  <c r="AC422" i="42"/>
  <c r="N422" i="42"/>
  <c r="AB422" i="42"/>
  <c r="J422" i="42"/>
  <c r="AA422" i="42"/>
  <c r="Z422" i="42"/>
  <c r="AN422" i="42"/>
  <c r="V422" i="42"/>
  <c r="AM422" i="42"/>
  <c r="U422" i="42"/>
  <c r="AH422" i="42"/>
  <c r="AF422" i="42"/>
  <c r="AE422" i="42"/>
  <c r="T422" i="42"/>
  <c r="S422" i="42"/>
  <c r="AG422" i="42"/>
  <c r="AD422" i="42"/>
  <c r="R422" i="42"/>
  <c r="AL422" i="42"/>
  <c r="Q422" i="42"/>
  <c r="P422" i="42"/>
  <c r="O422" i="42"/>
  <c r="AN420" i="42"/>
  <c r="AB420" i="42"/>
  <c r="P420" i="42"/>
  <c r="AM420" i="42"/>
  <c r="AA420" i="42"/>
  <c r="O420" i="42"/>
  <c r="AL420" i="42"/>
  <c r="Z420" i="42"/>
  <c r="N420" i="42"/>
  <c r="AC420" i="42"/>
  <c r="K420" i="42"/>
  <c r="Y420" i="42"/>
  <c r="J420" i="42"/>
  <c r="U420" i="42"/>
  <c r="X420" i="42"/>
  <c r="I420" i="42"/>
  <c r="W420" i="42"/>
  <c r="H420" i="42"/>
  <c r="AK420" i="42"/>
  <c r="V420" i="42"/>
  <c r="AJ420" i="42"/>
  <c r="AH420" i="42"/>
  <c r="AF420" i="42"/>
  <c r="AE420" i="42"/>
  <c r="T420" i="42"/>
  <c r="S420" i="42"/>
  <c r="R420" i="42"/>
  <c r="AG420" i="42"/>
  <c r="AD420" i="42"/>
  <c r="AI420" i="42"/>
  <c r="Q420" i="42"/>
  <c r="M420" i="42"/>
  <c r="L420" i="42"/>
  <c r="AF421" i="42"/>
  <c r="T421" i="42"/>
  <c r="AE421" i="42"/>
  <c r="S421" i="42"/>
  <c r="AD421" i="42"/>
  <c r="R421" i="42"/>
  <c r="AA421" i="42"/>
  <c r="L421" i="42"/>
  <c r="Z421" i="42"/>
  <c r="K421" i="42"/>
  <c r="AN421" i="42"/>
  <c r="Y421" i="42"/>
  <c r="J421" i="42"/>
  <c r="AM421" i="42"/>
  <c r="X421" i="42"/>
  <c r="I421" i="42"/>
  <c r="AL421" i="42"/>
  <c r="W421" i="42"/>
  <c r="AK421" i="42"/>
  <c r="V421" i="42"/>
  <c r="AI421" i="42"/>
  <c r="AG421" i="42"/>
  <c r="AC421" i="42"/>
  <c r="U421" i="42"/>
  <c r="Q421" i="42"/>
  <c r="P421" i="42"/>
  <c r="AH421" i="42"/>
  <c r="AB421" i="42"/>
  <c r="M421" i="42"/>
  <c r="AJ421" i="42"/>
  <c r="O421" i="42"/>
  <c r="N421" i="42"/>
  <c r="AH425" i="42"/>
  <c r="V425" i="42"/>
  <c r="AG425" i="42"/>
  <c r="U425" i="42"/>
  <c r="AF425" i="42"/>
  <c r="T425" i="42"/>
  <c r="AE425" i="42"/>
  <c r="AM425" i="42"/>
  <c r="W425" i="42"/>
  <c r="AL425" i="42"/>
  <c r="S425" i="42"/>
  <c r="AK425" i="42"/>
  <c r="R425" i="42"/>
  <c r="AJ425" i="42"/>
  <c r="Q425" i="42"/>
  <c r="AI425" i="42"/>
  <c r="P425" i="42"/>
  <c r="AD425" i="42"/>
  <c r="O425" i="42"/>
  <c r="AC425" i="42"/>
  <c r="N425" i="42"/>
  <c r="Z425" i="42"/>
  <c r="X425" i="42"/>
  <c r="M425" i="42"/>
  <c r="Y425" i="42"/>
  <c r="AN425" i="42"/>
  <c r="AB425" i="42"/>
  <c r="AA425" i="42"/>
  <c r="AE382" i="42"/>
  <c r="S382" i="42"/>
  <c r="AD382" i="42"/>
  <c r="R382" i="42"/>
  <c r="AC382" i="42"/>
  <c r="Q382" i="42"/>
  <c r="AF382" i="42"/>
  <c r="N382" i="42"/>
  <c r="AB382" i="42"/>
  <c r="M382" i="42"/>
  <c r="AA382" i="42"/>
  <c r="L382" i="42"/>
  <c r="Z382" i="42"/>
  <c r="K382" i="42"/>
  <c r="AN382" i="42"/>
  <c r="Y382" i="42"/>
  <c r="AM382" i="42"/>
  <c r="X382" i="42"/>
  <c r="U382" i="42"/>
  <c r="P382" i="42"/>
  <c r="AJ382" i="42"/>
  <c r="AI382" i="42"/>
  <c r="AH382" i="42"/>
  <c r="T382" i="42"/>
  <c r="O382" i="42"/>
  <c r="AL382" i="42"/>
  <c r="AK382" i="42"/>
  <c r="AG382" i="42"/>
  <c r="V382" i="42"/>
  <c r="W382" i="42"/>
  <c r="AK381" i="42"/>
  <c r="Y381" i="42"/>
  <c r="M381" i="42"/>
  <c r="AI381" i="42"/>
  <c r="W381" i="42"/>
  <c r="K381" i="42"/>
  <c r="AD381" i="42"/>
  <c r="P381" i="42"/>
  <c r="AC381" i="42"/>
  <c r="O381" i="42"/>
  <c r="AB381" i="42"/>
  <c r="N381" i="42"/>
  <c r="AA381" i="42"/>
  <c r="L381" i="42"/>
  <c r="AN381" i="42"/>
  <c r="Z381" i="42"/>
  <c r="J381" i="42"/>
  <c r="AM381" i="42"/>
  <c r="X381" i="42"/>
  <c r="T381" i="42"/>
  <c r="S381" i="42"/>
  <c r="R381" i="42"/>
  <c r="AH381" i="42"/>
  <c r="AG381" i="42"/>
  <c r="AF381" i="42"/>
  <c r="Q381" i="42"/>
  <c r="AL381" i="42"/>
  <c r="AJ381" i="42"/>
  <c r="V381" i="42"/>
  <c r="AE381" i="42"/>
  <c r="U381" i="42"/>
  <c r="AM312" i="42"/>
  <c r="AJ312" i="42"/>
  <c r="AG312" i="42"/>
  <c r="AD312" i="42"/>
  <c r="AA312" i="42"/>
  <c r="X312" i="42"/>
  <c r="U312" i="42"/>
  <c r="R312" i="42"/>
  <c r="O312" i="42"/>
  <c r="L312" i="42"/>
  <c r="F218" i="42"/>
  <c r="AA309" i="42"/>
  <c r="X309" i="42"/>
  <c r="U309" i="42"/>
  <c r="R309" i="42"/>
  <c r="O309" i="42"/>
  <c r="L309" i="42"/>
  <c r="I309" i="42"/>
  <c r="I218" i="42" s="1"/>
  <c r="AM309" i="42"/>
  <c r="AJ309" i="42"/>
  <c r="AG309" i="42"/>
  <c r="AD309" i="42"/>
  <c r="Y272" i="42"/>
  <c r="M272" i="42"/>
  <c r="W272" i="42"/>
  <c r="K272" i="42"/>
  <c r="AG272" i="42"/>
  <c r="S272" i="42"/>
  <c r="AE272" i="42"/>
  <c r="Q272" i="42"/>
  <c r="AD272" i="42"/>
  <c r="P272" i="42"/>
  <c r="AC272" i="42"/>
  <c r="O272" i="42"/>
  <c r="AB272" i="42"/>
  <c r="N272" i="42"/>
  <c r="AF272" i="42"/>
  <c r="AA272" i="42"/>
  <c r="Z272" i="42"/>
  <c r="X272" i="42"/>
  <c r="AH272" i="42"/>
  <c r="V272" i="42"/>
  <c r="U272" i="42"/>
  <c r="T272" i="42"/>
  <c r="R272" i="42"/>
  <c r="L272" i="42"/>
  <c r="J272" i="42"/>
  <c r="AF271" i="42"/>
  <c r="T271" i="42"/>
  <c r="AD271" i="42"/>
  <c r="R271" i="42"/>
  <c r="V271" i="42"/>
  <c r="S271" i="42"/>
  <c r="Q271" i="42"/>
  <c r="AE271" i="42"/>
  <c r="P271" i="42"/>
  <c r="AC271" i="42"/>
  <c r="O271" i="42"/>
  <c r="L271" i="42"/>
  <c r="K271" i="42"/>
  <c r="J271" i="42"/>
  <c r="AB271" i="42"/>
  <c r="I271" i="42"/>
  <c r="I217" i="42" s="1"/>
  <c r="AA271" i="42"/>
  <c r="Z271" i="42"/>
  <c r="Y271" i="42"/>
  <c r="X271" i="42"/>
  <c r="W271" i="42"/>
  <c r="U271" i="42"/>
  <c r="N271" i="42"/>
  <c r="M271" i="42"/>
  <c r="H217" i="42"/>
  <c r="Y231" i="42"/>
  <c r="M231" i="42"/>
  <c r="W231" i="42"/>
  <c r="K231" i="42"/>
  <c r="AB231" i="42"/>
  <c r="N231" i="42"/>
  <c r="AA231" i="42"/>
  <c r="L231" i="42"/>
  <c r="U231" i="42"/>
  <c r="S231" i="42"/>
  <c r="R231" i="42"/>
  <c r="AE231" i="42"/>
  <c r="O231" i="42"/>
  <c r="T231" i="42"/>
  <c r="AG231" i="42"/>
  <c r="Q231" i="42"/>
  <c r="AF231" i="42"/>
  <c r="P231" i="42"/>
  <c r="AD231" i="42"/>
  <c r="AC231" i="42"/>
  <c r="Z231" i="42"/>
  <c r="X231" i="42"/>
  <c r="V231" i="42"/>
  <c r="J231" i="42"/>
  <c r="E216" i="42"/>
  <c r="E220" i="42" s="1"/>
  <c r="E221" i="42" s="1"/>
  <c r="W227" i="42"/>
  <c r="K227" i="42"/>
  <c r="U227" i="42"/>
  <c r="I227" i="42"/>
  <c r="AB227" i="42"/>
  <c r="N227" i="42"/>
  <c r="AA227" i="42"/>
  <c r="M227" i="42"/>
  <c r="O227" i="42"/>
  <c r="AC227" i="42"/>
  <c r="J227" i="42"/>
  <c r="Z227" i="42"/>
  <c r="H227" i="42"/>
  <c r="V227" i="42"/>
  <c r="L227" i="42"/>
  <c r="Y227" i="42"/>
  <c r="G227" i="42"/>
  <c r="X227" i="42"/>
  <c r="F227" i="42"/>
  <c r="F216" i="42" s="1"/>
  <c r="R227" i="42"/>
  <c r="Q227" i="42"/>
  <c r="P227" i="42"/>
  <c r="T227" i="42"/>
  <c r="S227" i="42"/>
  <c r="Y228" i="42"/>
  <c r="M228" i="42"/>
  <c r="W228" i="42"/>
  <c r="K228" i="42"/>
  <c r="V228" i="42"/>
  <c r="H228" i="42"/>
  <c r="U228" i="42"/>
  <c r="G228" i="42"/>
  <c r="O228" i="42"/>
  <c r="AC228" i="42"/>
  <c r="L228" i="42"/>
  <c r="AB228" i="42"/>
  <c r="J228" i="42"/>
  <c r="X228" i="42"/>
  <c r="AD228" i="42"/>
  <c r="N228" i="42"/>
  <c r="AA228" i="42"/>
  <c r="I228" i="42"/>
  <c r="Z228" i="42"/>
  <c r="T228" i="42"/>
  <c r="S228" i="42"/>
  <c r="R228" i="42"/>
  <c r="Q228" i="42"/>
  <c r="P228" i="42"/>
  <c r="G379" i="42"/>
  <c r="X7" i="42"/>
  <c r="X12" i="42" s="1"/>
  <c r="F368" i="42"/>
  <c r="AF158" i="42"/>
  <c r="AC158" i="42"/>
  <c r="Z158" i="42"/>
  <c r="W158" i="42"/>
  <c r="T158" i="42"/>
  <c r="AL158" i="42"/>
  <c r="AI158" i="42"/>
  <c r="Q158" i="42"/>
  <c r="N158" i="42"/>
  <c r="K158" i="42"/>
  <c r="F63" i="42"/>
  <c r="X156" i="42"/>
  <c r="U156" i="42"/>
  <c r="R156" i="42"/>
  <c r="O156" i="42"/>
  <c r="L156" i="42"/>
  <c r="AM156" i="42"/>
  <c r="AJ156" i="42"/>
  <c r="AG156" i="42"/>
  <c r="AD156" i="42"/>
  <c r="AA156" i="42"/>
  <c r="I156" i="42"/>
  <c r="I63" i="42" s="1"/>
  <c r="AM159" i="42"/>
  <c r="AJ159" i="42"/>
  <c r="AG159" i="42"/>
  <c r="AD159" i="42"/>
  <c r="AA159" i="42"/>
  <c r="X159" i="42"/>
  <c r="U159" i="42"/>
  <c r="R159" i="42"/>
  <c r="O159" i="42"/>
  <c r="L159" i="42"/>
  <c r="AF116" i="42"/>
  <c r="T116" i="42"/>
  <c r="AE116" i="42"/>
  <c r="S116" i="42"/>
  <c r="AD116" i="42"/>
  <c r="R116" i="42"/>
  <c r="AC116" i="42"/>
  <c r="Q116" i="42"/>
  <c r="AA116" i="42"/>
  <c r="O116" i="42"/>
  <c r="Z116" i="42"/>
  <c r="N116" i="42"/>
  <c r="AI116" i="42"/>
  <c r="K116" i="42"/>
  <c r="AB116" i="42"/>
  <c r="AH116" i="42"/>
  <c r="J116" i="42"/>
  <c r="AG116" i="42"/>
  <c r="I116" i="42"/>
  <c r="L116" i="42"/>
  <c r="Y116" i="42"/>
  <c r="X116" i="42"/>
  <c r="W116" i="42"/>
  <c r="V116" i="42"/>
  <c r="U116" i="42"/>
  <c r="P116" i="42"/>
  <c r="M116" i="42"/>
  <c r="F62" i="42"/>
  <c r="Y114" i="42"/>
  <c r="M114" i="42"/>
  <c r="X114" i="42"/>
  <c r="L114" i="42"/>
  <c r="W114" i="42"/>
  <c r="K114" i="42"/>
  <c r="V114" i="42"/>
  <c r="J114" i="42"/>
  <c r="AF114" i="42"/>
  <c r="T114" i="42"/>
  <c r="H114" i="42"/>
  <c r="AE114" i="42"/>
  <c r="S114" i="42"/>
  <c r="G114" i="42"/>
  <c r="G62" i="42" s="1"/>
  <c r="AB114" i="42"/>
  <c r="U114" i="42"/>
  <c r="AA114" i="42"/>
  <c r="Z114" i="42"/>
  <c r="AC114" i="42"/>
  <c r="R114" i="42"/>
  <c r="Q114" i="42"/>
  <c r="P114" i="42"/>
  <c r="N114" i="42"/>
  <c r="O114" i="42"/>
  <c r="I114" i="42"/>
  <c r="AG114" i="42"/>
  <c r="AD114" i="42"/>
  <c r="Y117" i="42"/>
  <c r="M117" i="42"/>
  <c r="AJ117" i="42"/>
  <c r="X117" i="42"/>
  <c r="L117" i="42"/>
  <c r="AI117" i="42"/>
  <c r="W117" i="42"/>
  <c r="K117" i="42"/>
  <c r="AH117" i="42"/>
  <c r="V117" i="42"/>
  <c r="J117" i="42"/>
  <c r="AF117" i="42"/>
  <c r="T117" i="42"/>
  <c r="AE117" i="42"/>
  <c r="S117" i="42"/>
  <c r="AB117" i="42"/>
  <c r="U117" i="42"/>
  <c r="AA117" i="42"/>
  <c r="Z117" i="42"/>
  <c r="AC117" i="42"/>
  <c r="R117" i="42"/>
  <c r="Q117" i="42"/>
  <c r="P117" i="42"/>
  <c r="AG117" i="42"/>
  <c r="O117" i="42"/>
  <c r="AD117" i="42"/>
  <c r="N117" i="42"/>
  <c r="AB115" i="42"/>
  <c r="P115" i="42"/>
  <c r="AA115" i="42"/>
  <c r="O115" i="42"/>
  <c r="Z115" i="42"/>
  <c r="N115" i="42"/>
  <c r="Y115" i="42"/>
  <c r="M115" i="42"/>
  <c r="W115" i="42"/>
  <c r="K115" i="42"/>
  <c r="AH115" i="42"/>
  <c r="V115" i="42"/>
  <c r="J115" i="42"/>
  <c r="S115" i="42"/>
  <c r="AG115" i="42"/>
  <c r="R115" i="42"/>
  <c r="L115" i="42"/>
  <c r="Q115" i="42"/>
  <c r="T115" i="42"/>
  <c r="I115" i="42"/>
  <c r="AF115" i="42"/>
  <c r="H115" i="42"/>
  <c r="AE115" i="42"/>
  <c r="X115" i="42"/>
  <c r="U115" i="42"/>
  <c r="AD115" i="42"/>
  <c r="AC115" i="42"/>
  <c r="AF75" i="42"/>
  <c r="T75" i="42"/>
  <c r="AD75" i="42"/>
  <c r="R75" i="42"/>
  <c r="AJ75" i="42"/>
  <c r="V75" i="42"/>
  <c r="AI75" i="42"/>
  <c r="U75" i="42"/>
  <c r="AH75" i="42"/>
  <c r="S75" i="42"/>
  <c r="AG75" i="42"/>
  <c r="Q75" i="42"/>
  <c r="Z75" i="42"/>
  <c r="Y75" i="42"/>
  <c r="P75" i="42"/>
  <c r="AM75" i="42"/>
  <c r="N75" i="42"/>
  <c r="AK75" i="42"/>
  <c r="X75" i="42"/>
  <c r="W75" i="42"/>
  <c r="AN75" i="42"/>
  <c r="O75" i="42"/>
  <c r="AL75" i="42"/>
  <c r="M75" i="42"/>
  <c r="I75" i="42"/>
  <c r="AA75" i="42"/>
  <c r="AE75" i="42"/>
  <c r="AC75" i="42"/>
  <c r="AB75" i="42"/>
  <c r="L75" i="42"/>
  <c r="K75" i="42"/>
  <c r="J75" i="42"/>
  <c r="AK73" i="42"/>
  <c r="Y73" i="42"/>
  <c r="M73" i="42"/>
  <c r="AI73" i="42"/>
  <c r="W73" i="42"/>
  <c r="K73" i="42"/>
  <c r="AC73" i="42"/>
  <c r="O73" i="42"/>
  <c r="AB73" i="42"/>
  <c r="N73" i="42"/>
  <c r="AA73" i="42"/>
  <c r="L73" i="42"/>
  <c r="AN73" i="42"/>
  <c r="Z73" i="42"/>
  <c r="J73" i="42"/>
  <c r="X73" i="42"/>
  <c r="AM73" i="42"/>
  <c r="R73" i="42"/>
  <c r="AJ73" i="42"/>
  <c r="AH73" i="42"/>
  <c r="V73" i="42"/>
  <c r="U73" i="42"/>
  <c r="T73" i="42"/>
  <c r="S73" i="42"/>
  <c r="AL73" i="42"/>
  <c r="Q73" i="42"/>
  <c r="P73" i="42"/>
  <c r="AF73" i="42"/>
  <c r="AE73" i="42"/>
  <c r="I73" i="42"/>
  <c r="H73" i="42"/>
  <c r="AG73" i="42"/>
  <c r="AD73" i="42"/>
  <c r="G73" i="42"/>
  <c r="AK76" i="42"/>
  <c r="Y76" i="42"/>
  <c r="M76" i="42"/>
  <c r="AI76" i="42"/>
  <c r="W76" i="42"/>
  <c r="K76" i="42"/>
  <c r="AG76" i="42"/>
  <c r="S76" i="42"/>
  <c r="AF76" i="42"/>
  <c r="R76" i="42"/>
  <c r="AE76" i="42"/>
  <c r="Q76" i="42"/>
  <c r="AD76" i="42"/>
  <c r="P76" i="42"/>
  <c r="AM76" i="42"/>
  <c r="O76" i="42"/>
  <c r="AC76" i="42"/>
  <c r="AA76" i="42"/>
  <c r="AL76" i="42"/>
  <c r="N76" i="42"/>
  <c r="AJ76" i="42"/>
  <c r="L76" i="42"/>
  <c r="AH76" i="42"/>
  <c r="J76" i="42"/>
  <c r="AB76" i="42"/>
  <c r="Z76" i="42"/>
  <c r="AN76" i="42"/>
  <c r="X76" i="42"/>
  <c r="V76" i="42"/>
  <c r="U76" i="42"/>
  <c r="T76" i="42"/>
  <c r="AN74" i="42"/>
  <c r="AB74" i="42"/>
  <c r="P74" i="42"/>
  <c r="AL74" i="42"/>
  <c r="Z74" i="42"/>
  <c r="N74" i="42"/>
  <c r="AM74" i="42"/>
  <c r="X74" i="42"/>
  <c r="J74" i="42"/>
  <c r="AK74" i="42"/>
  <c r="W74" i="42"/>
  <c r="I74" i="42"/>
  <c r="AJ74" i="42"/>
  <c r="V74" i="42"/>
  <c r="H74" i="42"/>
  <c r="AI74" i="42"/>
  <c r="U74" i="42"/>
  <c r="AH74" i="42"/>
  <c r="O74" i="42"/>
  <c r="AC74" i="42"/>
  <c r="AG74" i="42"/>
  <c r="M74" i="42"/>
  <c r="AF74" i="42"/>
  <c r="L74" i="42"/>
  <c r="AE74" i="42"/>
  <c r="K74" i="42"/>
  <c r="AD74" i="42"/>
  <c r="AA74" i="42"/>
  <c r="Y74" i="42"/>
  <c r="T74" i="42"/>
  <c r="S74" i="42"/>
  <c r="R74" i="42"/>
  <c r="Q74" i="42"/>
  <c r="K379" i="41"/>
  <c r="N379" i="41"/>
  <c r="R379" i="41"/>
  <c r="Q458" i="41"/>
  <c r="Q379" i="41"/>
  <c r="AB379" i="41"/>
  <c r="AH379" i="41"/>
  <c r="AI458" i="41"/>
  <c r="AC379" i="41"/>
  <c r="AI379" i="41"/>
  <c r="AF458" i="41"/>
  <c r="AD379" i="41"/>
  <c r="T379" i="41"/>
  <c r="AC458" i="41"/>
  <c r="AI461" i="41"/>
  <c r="AF461" i="41"/>
  <c r="AC461" i="41"/>
  <c r="Z461" i="41"/>
  <c r="W461" i="41"/>
  <c r="T461" i="41"/>
  <c r="Q461" i="41"/>
  <c r="K461" i="41"/>
  <c r="AL461" i="41"/>
  <c r="N461" i="41"/>
  <c r="M463" i="41"/>
  <c r="AN463" i="41"/>
  <c r="AK463" i="41"/>
  <c r="AH463" i="41"/>
  <c r="AE463" i="41"/>
  <c r="AB463" i="41"/>
  <c r="Y463" i="41"/>
  <c r="V463" i="41"/>
  <c r="S463" i="41"/>
  <c r="P463" i="41"/>
  <c r="AM462" i="41"/>
  <c r="AJ462" i="41"/>
  <c r="AG462" i="41"/>
  <c r="AD462" i="41"/>
  <c r="AA462" i="41"/>
  <c r="X462" i="41"/>
  <c r="U462" i="41"/>
  <c r="R462" i="41"/>
  <c r="O462" i="41"/>
  <c r="L462" i="41"/>
  <c r="AK419" i="41"/>
  <c r="Y419" i="41"/>
  <c r="M419" i="41"/>
  <c r="AI419" i="41"/>
  <c r="W419" i="41"/>
  <c r="K419" i="41"/>
  <c r="AB419" i="41"/>
  <c r="N419" i="41"/>
  <c r="AA419" i="41"/>
  <c r="L419" i="41"/>
  <c r="AM419" i="41"/>
  <c r="X419" i="41"/>
  <c r="I419" i="41"/>
  <c r="AC419" i="41"/>
  <c r="G419" i="41"/>
  <c r="V419" i="41"/>
  <c r="Z419" i="41"/>
  <c r="U419" i="41"/>
  <c r="AN419" i="41"/>
  <c r="T419" i="41"/>
  <c r="AL419" i="41"/>
  <c r="S419" i="41"/>
  <c r="AD419" i="41"/>
  <c r="R419" i="41"/>
  <c r="AJ419" i="41"/>
  <c r="AH419" i="41"/>
  <c r="AE419" i="41"/>
  <c r="Q419" i="41"/>
  <c r="P419" i="41"/>
  <c r="O419" i="41"/>
  <c r="J419" i="41"/>
  <c r="H419" i="41"/>
  <c r="AG419" i="41"/>
  <c r="AF419" i="41"/>
  <c r="AF421" i="41"/>
  <c r="T421" i="41"/>
  <c r="AD421" i="41"/>
  <c r="R421" i="41"/>
  <c r="AI421" i="41"/>
  <c r="U421" i="41"/>
  <c r="AH421" i="41"/>
  <c r="S421" i="41"/>
  <c r="AE421" i="41"/>
  <c r="P421" i="41"/>
  <c r="AM421" i="41"/>
  <c r="V421" i="41"/>
  <c r="AK421" i="41"/>
  <c r="O421" i="41"/>
  <c r="AL421" i="41"/>
  <c r="Q421" i="41"/>
  <c r="AJ421" i="41"/>
  <c r="N421" i="41"/>
  <c r="AG421" i="41"/>
  <c r="M421" i="41"/>
  <c r="AC421" i="41"/>
  <c r="L421" i="41"/>
  <c r="AN421" i="41"/>
  <c r="AB421" i="41"/>
  <c r="I421" i="41"/>
  <c r="AA421" i="41"/>
  <c r="Y421" i="41"/>
  <c r="Z421" i="41"/>
  <c r="X421" i="41"/>
  <c r="W421" i="41"/>
  <c r="K421" i="41"/>
  <c r="J421" i="41"/>
  <c r="AN420" i="41"/>
  <c r="AB420" i="41"/>
  <c r="P420" i="41"/>
  <c r="AL420" i="41"/>
  <c r="Z420" i="41"/>
  <c r="N420" i="41"/>
  <c r="AK420" i="41"/>
  <c r="W420" i="41"/>
  <c r="I420" i="41"/>
  <c r="AJ420" i="41"/>
  <c r="V420" i="41"/>
  <c r="H420" i="41"/>
  <c r="AH420" i="41"/>
  <c r="T420" i="41"/>
  <c r="AF420" i="41"/>
  <c r="M420" i="41"/>
  <c r="AD420" i="41"/>
  <c r="K420" i="41"/>
  <c r="AE420" i="41"/>
  <c r="L420" i="41"/>
  <c r="AC420" i="41"/>
  <c r="J420" i="41"/>
  <c r="AA420" i="41"/>
  <c r="Y420" i="41"/>
  <c r="AG420" i="41"/>
  <c r="X420" i="41"/>
  <c r="AM420" i="41"/>
  <c r="U420" i="41"/>
  <c r="S420" i="41"/>
  <c r="R420" i="41"/>
  <c r="Q420" i="41"/>
  <c r="O420" i="41"/>
  <c r="AI420" i="41"/>
  <c r="AK422" i="41"/>
  <c r="Y422" i="41"/>
  <c r="M422" i="41"/>
  <c r="AI422" i="41"/>
  <c r="W422" i="41"/>
  <c r="K422" i="41"/>
  <c r="AF422" i="41"/>
  <c r="R422" i="41"/>
  <c r="AE422" i="41"/>
  <c r="Q422" i="41"/>
  <c r="AC422" i="41"/>
  <c r="O422" i="41"/>
  <c r="AA422" i="41"/>
  <c r="X422" i="41"/>
  <c r="Z422" i="41"/>
  <c r="V422" i="41"/>
  <c r="AN422" i="41"/>
  <c r="U422" i="41"/>
  <c r="T422" i="41"/>
  <c r="AM422" i="41"/>
  <c r="AL422" i="41"/>
  <c r="S422" i="41"/>
  <c r="P422" i="41"/>
  <c r="AJ422" i="41"/>
  <c r="J422" i="41"/>
  <c r="AH422" i="41"/>
  <c r="AG422" i="41"/>
  <c r="AD422" i="41"/>
  <c r="AB422" i="41"/>
  <c r="N422" i="41"/>
  <c r="L422" i="41"/>
  <c r="AI418" i="41"/>
  <c r="W418" i="41"/>
  <c r="K418" i="41"/>
  <c r="AG418" i="41"/>
  <c r="U418" i="41"/>
  <c r="I418" i="41"/>
  <c r="AF418" i="41"/>
  <c r="R418" i="41"/>
  <c r="AE418" i="41"/>
  <c r="Q418" i="41"/>
  <c r="AC418" i="41"/>
  <c r="O418" i="41"/>
  <c r="X418" i="41"/>
  <c r="AM418" i="41"/>
  <c r="T418" i="41"/>
  <c r="AN418" i="41"/>
  <c r="V418" i="41"/>
  <c r="AL418" i="41"/>
  <c r="S418" i="41"/>
  <c r="AK418" i="41"/>
  <c r="P418" i="41"/>
  <c r="AJ418" i="41"/>
  <c r="Y418" i="41"/>
  <c r="N418" i="41"/>
  <c r="F418" i="41"/>
  <c r="F367" i="41" s="1"/>
  <c r="AA418" i="41"/>
  <c r="AB418" i="41"/>
  <c r="Z418" i="41"/>
  <c r="M418" i="41"/>
  <c r="L418" i="41"/>
  <c r="J418" i="41"/>
  <c r="H418" i="41"/>
  <c r="G418" i="41"/>
  <c r="AH418" i="41"/>
  <c r="AD418" i="41"/>
  <c r="AL458" i="41"/>
  <c r="AK381" i="41"/>
  <c r="Y381" i="41"/>
  <c r="M381" i="41"/>
  <c r="AI381" i="41"/>
  <c r="W381" i="41"/>
  <c r="K381" i="41"/>
  <c r="AG381" i="41"/>
  <c r="S381" i="41"/>
  <c r="AF381" i="41"/>
  <c r="R381" i="41"/>
  <c r="AB381" i="41"/>
  <c r="J381" i="41"/>
  <c r="AA381" i="41"/>
  <c r="Z381" i="41"/>
  <c r="X381" i="41"/>
  <c r="V381" i="41"/>
  <c r="AL381" i="41"/>
  <c r="L381" i="41"/>
  <c r="AJ381" i="41"/>
  <c r="AH381" i="41"/>
  <c r="AE381" i="41"/>
  <c r="AC381" i="41"/>
  <c r="U381" i="41"/>
  <c r="T381" i="41"/>
  <c r="Q381" i="41"/>
  <c r="P381" i="41"/>
  <c r="O381" i="41"/>
  <c r="N381" i="41"/>
  <c r="AM381" i="41"/>
  <c r="AD381" i="41"/>
  <c r="AF380" i="41"/>
  <c r="T380" i="41"/>
  <c r="AD380" i="41"/>
  <c r="R380" i="41"/>
  <c r="AJ380" i="41"/>
  <c r="V380" i="41"/>
  <c r="AI380" i="41"/>
  <c r="U380" i="41"/>
  <c r="Y380" i="41"/>
  <c r="I380" i="41"/>
  <c r="X380" i="41"/>
  <c r="W380" i="41"/>
  <c r="AL380" i="41"/>
  <c r="S380" i="41"/>
  <c r="AK380" i="41"/>
  <c r="Q380" i="41"/>
  <c r="L380" i="41"/>
  <c r="K380" i="41"/>
  <c r="AG380" i="41"/>
  <c r="J380" i="41"/>
  <c r="AE380" i="41"/>
  <c r="O380" i="41"/>
  <c r="N380" i="41"/>
  <c r="M380" i="41"/>
  <c r="AC380" i="41"/>
  <c r="AB380" i="41"/>
  <c r="AA380" i="41"/>
  <c r="Z380" i="41"/>
  <c r="P380" i="41"/>
  <c r="Y378" i="41"/>
  <c r="M378" i="41"/>
  <c r="AI378" i="41"/>
  <c r="W378" i="41"/>
  <c r="K378" i="41"/>
  <c r="AC378" i="41"/>
  <c r="O378" i="41"/>
  <c r="AB378" i="41"/>
  <c r="N378" i="41"/>
  <c r="T378" i="41"/>
  <c r="AJ378" i="41"/>
  <c r="S378" i="41"/>
  <c r="AH378" i="41"/>
  <c r="R378" i="41"/>
  <c r="AG378" i="41"/>
  <c r="Q378" i="41"/>
  <c r="P378" i="41"/>
  <c r="L378" i="41"/>
  <c r="J378" i="41"/>
  <c r="I378" i="41"/>
  <c r="H378" i="41"/>
  <c r="AE378" i="41"/>
  <c r="AD378" i="41"/>
  <c r="AA378" i="41"/>
  <c r="Z378" i="41"/>
  <c r="X378" i="41"/>
  <c r="V378" i="41"/>
  <c r="U378" i="41"/>
  <c r="G378" i="41"/>
  <c r="T458" i="41"/>
  <c r="N458" i="41"/>
  <c r="Y4" i="41"/>
  <c r="M7" i="41"/>
  <c r="W7" i="41"/>
  <c r="AI7" i="41"/>
  <c r="H369" i="41"/>
  <c r="AH229" i="41"/>
  <c r="Z458" i="41"/>
  <c r="X7" i="41"/>
  <c r="AJ4" i="41"/>
  <c r="AJ7" i="41" s="1"/>
  <c r="E377" i="41"/>
  <c r="W458" i="41"/>
  <c r="AN381" i="41"/>
  <c r="H458" i="41"/>
  <c r="H368" i="41" s="1"/>
  <c r="K458" i="41"/>
  <c r="G218" i="41"/>
  <c r="AE310" i="41"/>
  <c r="AB310" i="41"/>
  <c r="Y310" i="41"/>
  <c r="V310" i="41"/>
  <c r="J310" i="41"/>
  <c r="AN310" i="41"/>
  <c r="S310" i="41"/>
  <c r="M310" i="41"/>
  <c r="AK310" i="41"/>
  <c r="P310" i="41"/>
  <c r="AH310" i="41"/>
  <c r="AM312" i="41"/>
  <c r="AJ312" i="41"/>
  <c r="AG312" i="41"/>
  <c r="R312" i="41"/>
  <c r="O312" i="41"/>
  <c r="L312" i="41"/>
  <c r="AD312" i="41"/>
  <c r="X312" i="41"/>
  <c r="U312" i="41"/>
  <c r="AA312" i="41"/>
  <c r="AI311" i="41"/>
  <c r="AC311" i="41"/>
  <c r="AF311" i="41"/>
  <c r="Z311" i="41"/>
  <c r="K311" i="41"/>
  <c r="W311" i="41"/>
  <c r="T311" i="41"/>
  <c r="Q311" i="41"/>
  <c r="N311" i="41"/>
  <c r="AL311" i="41"/>
  <c r="Y269" i="41"/>
  <c r="M269" i="41"/>
  <c r="AB269" i="41"/>
  <c r="O269" i="41"/>
  <c r="AA269" i="41"/>
  <c r="N269" i="41"/>
  <c r="Z269" i="41"/>
  <c r="L269" i="41"/>
  <c r="X269" i="41"/>
  <c r="K269" i="41"/>
  <c r="J269" i="41"/>
  <c r="I269" i="41"/>
  <c r="AD269" i="41"/>
  <c r="H269" i="41"/>
  <c r="AC269" i="41"/>
  <c r="G269" i="41"/>
  <c r="T269" i="41"/>
  <c r="S269" i="41"/>
  <c r="W269" i="41"/>
  <c r="V269" i="41"/>
  <c r="U269" i="41"/>
  <c r="P269" i="41"/>
  <c r="Q269" i="41"/>
  <c r="R269" i="41"/>
  <c r="E217" i="41"/>
  <c r="W268" i="41"/>
  <c r="K268" i="41"/>
  <c r="V268" i="41"/>
  <c r="I268" i="41"/>
  <c r="U268" i="41"/>
  <c r="H268" i="41"/>
  <c r="T268" i="41"/>
  <c r="G268" i="41"/>
  <c r="S268" i="41"/>
  <c r="AA268" i="41"/>
  <c r="F268" i="41"/>
  <c r="F217" i="41" s="1"/>
  <c r="Z268" i="41"/>
  <c r="Y268" i="41"/>
  <c r="X268" i="41"/>
  <c r="O268" i="41"/>
  <c r="N268" i="41"/>
  <c r="R268" i="41"/>
  <c r="P268" i="41"/>
  <c r="Q268" i="41"/>
  <c r="AC268" i="41"/>
  <c r="AB268" i="41"/>
  <c r="M268" i="41"/>
  <c r="L268" i="41"/>
  <c r="J268" i="41"/>
  <c r="AF271" i="41"/>
  <c r="T271" i="41"/>
  <c r="AB271" i="41"/>
  <c r="O271" i="41"/>
  <c r="AA271" i="41"/>
  <c r="N271" i="41"/>
  <c r="Z271" i="41"/>
  <c r="M271" i="41"/>
  <c r="Y271" i="41"/>
  <c r="L271" i="41"/>
  <c r="X271" i="41"/>
  <c r="W271" i="41"/>
  <c r="V271" i="41"/>
  <c r="U271" i="41"/>
  <c r="P271" i="41"/>
  <c r="K271" i="41"/>
  <c r="S271" i="41"/>
  <c r="Q271" i="41"/>
  <c r="R271" i="41"/>
  <c r="AC271" i="41"/>
  <c r="I271" i="41"/>
  <c r="AE271" i="41"/>
  <c r="J271" i="41"/>
  <c r="AD271" i="41"/>
  <c r="Y272" i="41"/>
  <c r="M272" i="41"/>
  <c r="X272" i="41"/>
  <c r="W272" i="41"/>
  <c r="J272" i="41"/>
  <c r="V272" i="41"/>
  <c r="U272" i="41"/>
  <c r="T272" i="41"/>
  <c r="AG272" i="41"/>
  <c r="O272" i="41"/>
  <c r="AF272" i="41"/>
  <c r="N272" i="41"/>
  <c r="AE272" i="41"/>
  <c r="L272" i="41"/>
  <c r="AD272" i="41"/>
  <c r="K272" i="41"/>
  <c r="Z272" i="41"/>
  <c r="S272" i="41"/>
  <c r="AC272" i="41"/>
  <c r="AA272" i="41"/>
  <c r="AB272" i="41"/>
  <c r="R272" i="41"/>
  <c r="Q272" i="41"/>
  <c r="P272" i="41"/>
  <c r="X228" i="41"/>
  <c r="L228" i="41"/>
  <c r="AG228" i="41"/>
  <c r="U228" i="41"/>
  <c r="I228" i="41"/>
  <c r="Z228" i="41"/>
  <c r="K228" i="41"/>
  <c r="Y228" i="41"/>
  <c r="J228" i="41"/>
  <c r="T228" i="41"/>
  <c r="S228" i="41"/>
  <c r="Q228" i="41"/>
  <c r="AD228" i="41"/>
  <c r="AF228" i="41"/>
  <c r="R228" i="41"/>
  <c r="AE228" i="41"/>
  <c r="P228" i="41"/>
  <c r="H228" i="41"/>
  <c r="G228" i="41"/>
  <c r="AC228" i="41"/>
  <c r="AA228" i="41"/>
  <c r="M228" i="41"/>
  <c r="AB228" i="41"/>
  <c r="W228" i="41"/>
  <c r="V228" i="41"/>
  <c r="O228" i="41"/>
  <c r="N228" i="41"/>
  <c r="E216" i="41"/>
  <c r="V227" i="41"/>
  <c r="J227" i="41"/>
  <c r="AE227" i="41"/>
  <c r="S227" i="41"/>
  <c r="G227" i="41"/>
  <c r="AD227" i="41"/>
  <c r="P227" i="41"/>
  <c r="AC227" i="41"/>
  <c r="O227" i="41"/>
  <c r="Z227" i="41"/>
  <c r="L227" i="41"/>
  <c r="Y227" i="41"/>
  <c r="K227" i="41"/>
  <c r="W227" i="41"/>
  <c r="F227" i="41"/>
  <c r="F216" i="41" s="1"/>
  <c r="X227" i="41"/>
  <c r="I227" i="41"/>
  <c r="H227" i="41"/>
  <c r="U227" i="41"/>
  <c r="AF227" i="41"/>
  <c r="AB227" i="41"/>
  <c r="AA227" i="41"/>
  <c r="M227" i="41"/>
  <c r="N227" i="41"/>
  <c r="T227" i="41"/>
  <c r="R227" i="41"/>
  <c r="Q227" i="41"/>
  <c r="AE230" i="41"/>
  <c r="S230" i="41"/>
  <c r="AB230" i="41"/>
  <c r="P230" i="41"/>
  <c r="AG230" i="41"/>
  <c r="R230" i="41"/>
  <c r="AF230" i="41"/>
  <c r="Q230" i="41"/>
  <c r="AA230" i="41"/>
  <c r="M230" i="41"/>
  <c r="Z230" i="41"/>
  <c r="L230" i="41"/>
  <c r="J230" i="41"/>
  <c r="W230" i="41"/>
  <c r="Y230" i="41"/>
  <c r="K230" i="41"/>
  <c r="X230" i="41"/>
  <c r="I230" i="41"/>
  <c r="N230" i="41"/>
  <c r="AI230" i="41"/>
  <c r="AD230" i="41"/>
  <c r="O230" i="41"/>
  <c r="AH230" i="41"/>
  <c r="T230" i="41"/>
  <c r="AC230" i="41"/>
  <c r="V230" i="41"/>
  <c r="U230" i="41"/>
  <c r="M160" i="41"/>
  <c r="AN160" i="41"/>
  <c r="AK160" i="41"/>
  <c r="AH160" i="41"/>
  <c r="AE160" i="41"/>
  <c r="AB160" i="41"/>
  <c r="Y160" i="41"/>
  <c r="V160" i="41"/>
  <c r="S160" i="41"/>
  <c r="P160" i="41"/>
  <c r="G63" i="41"/>
  <c r="AE157" i="41"/>
  <c r="AB157" i="41"/>
  <c r="M157" i="41"/>
  <c r="Y157" i="41"/>
  <c r="V157" i="41"/>
  <c r="S157" i="41"/>
  <c r="P157" i="41"/>
  <c r="J157" i="41"/>
  <c r="J63" i="41" s="1"/>
  <c r="AN157" i="41"/>
  <c r="AK157" i="41"/>
  <c r="AH157" i="41"/>
  <c r="AI158" i="41"/>
  <c r="AF158" i="41"/>
  <c r="AC158" i="41"/>
  <c r="N158" i="41"/>
  <c r="Z158" i="41"/>
  <c r="W158" i="41"/>
  <c r="T158" i="41"/>
  <c r="Q158" i="41"/>
  <c r="K158" i="41"/>
  <c r="AL158" i="41"/>
  <c r="U159" i="41"/>
  <c r="AM159" i="41"/>
  <c r="AJ159" i="41"/>
  <c r="AG159" i="41"/>
  <c r="AD159" i="41"/>
  <c r="AA159" i="41"/>
  <c r="X159" i="41"/>
  <c r="R159" i="41"/>
  <c r="L159" i="41"/>
  <c r="O159" i="41"/>
  <c r="E63" i="41"/>
  <c r="W155" i="41"/>
  <c r="T155" i="41"/>
  <c r="Q155" i="41"/>
  <c r="N155" i="41"/>
  <c r="K155" i="41"/>
  <c r="H155" i="41"/>
  <c r="H63" i="41" s="1"/>
  <c r="AL155" i="41"/>
  <c r="AI155" i="41"/>
  <c r="AF155" i="41"/>
  <c r="AC155" i="41"/>
  <c r="Z155" i="41"/>
  <c r="F63" i="41"/>
  <c r="AA156" i="41"/>
  <c r="X156" i="41"/>
  <c r="AM156" i="41"/>
  <c r="U156" i="41"/>
  <c r="R156" i="41"/>
  <c r="O156" i="41"/>
  <c r="L156" i="41"/>
  <c r="I156" i="41"/>
  <c r="I63" i="41" s="1"/>
  <c r="AJ156" i="41"/>
  <c r="AG156" i="41"/>
  <c r="AD156" i="41"/>
  <c r="Y117" i="41"/>
  <c r="M117" i="41"/>
  <c r="W117" i="41"/>
  <c r="K117" i="41"/>
  <c r="AG117" i="41"/>
  <c r="S117" i="41"/>
  <c r="Q117" i="41"/>
  <c r="AF117" i="41"/>
  <c r="R117" i="41"/>
  <c r="AE117" i="41"/>
  <c r="AB117" i="41"/>
  <c r="X117" i="41"/>
  <c r="V117" i="41"/>
  <c r="U117" i="41"/>
  <c r="T117" i="41"/>
  <c r="P117" i="41"/>
  <c r="AA117" i="41"/>
  <c r="Z117" i="41"/>
  <c r="AC117" i="41"/>
  <c r="O117" i="41"/>
  <c r="N117" i="41"/>
  <c r="L117" i="41"/>
  <c r="J117" i="41"/>
  <c r="AH117" i="41"/>
  <c r="AD117" i="41"/>
  <c r="Y114" i="41"/>
  <c r="M114" i="41"/>
  <c r="W114" i="41"/>
  <c r="K114" i="41"/>
  <c r="AC114" i="41"/>
  <c r="O114" i="41"/>
  <c r="AA114" i="41"/>
  <c r="L114" i="41"/>
  <c r="AB114" i="41"/>
  <c r="N114" i="41"/>
  <c r="AD114" i="41"/>
  <c r="H114" i="41"/>
  <c r="V114" i="41"/>
  <c r="U114" i="41"/>
  <c r="T114" i="41"/>
  <c r="S114" i="41"/>
  <c r="R114" i="41"/>
  <c r="Z114" i="41"/>
  <c r="G114" i="41"/>
  <c r="X114" i="41"/>
  <c r="I114" i="41"/>
  <c r="AE114" i="41"/>
  <c r="Q114" i="41"/>
  <c r="P114" i="41"/>
  <c r="J114" i="41"/>
  <c r="E62" i="41"/>
  <c r="W113" i="41"/>
  <c r="K113" i="41"/>
  <c r="U113" i="41"/>
  <c r="I113" i="41"/>
  <c r="S113" i="41"/>
  <c r="R113" i="41"/>
  <c r="Q113" i="41"/>
  <c r="Y113" i="41"/>
  <c r="F113" i="41"/>
  <c r="F62" i="41" s="1"/>
  <c r="T113" i="41"/>
  <c r="P113" i="41"/>
  <c r="O113" i="41"/>
  <c r="N113" i="41"/>
  <c r="AD113" i="41"/>
  <c r="M113" i="41"/>
  <c r="X113" i="41"/>
  <c r="V113" i="41"/>
  <c r="AC113" i="41"/>
  <c r="AB113" i="41"/>
  <c r="AA113" i="41"/>
  <c r="Z113" i="41"/>
  <c r="L113" i="41"/>
  <c r="J113" i="41"/>
  <c r="H113" i="41"/>
  <c r="G113" i="41"/>
  <c r="AF116" i="41"/>
  <c r="T116" i="41"/>
  <c r="AD116" i="41"/>
  <c r="R116" i="41"/>
  <c r="V116" i="41"/>
  <c r="S116" i="41"/>
  <c r="U116" i="41"/>
  <c r="W116" i="41"/>
  <c r="O116" i="41"/>
  <c r="AG116" i="41"/>
  <c r="N116" i="41"/>
  <c r="AE116" i="41"/>
  <c r="M116" i="41"/>
  <c r="AC116" i="41"/>
  <c r="AB116" i="41"/>
  <c r="K116" i="41"/>
  <c r="Q116" i="41"/>
  <c r="P116" i="41"/>
  <c r="L116" i="41"/>
  <c r="AA116" i="41"/>
  <c r="Z116" i="41"/>
  <c r="Y116" i="41"/>
  <c r="X116" i="41"/>
  <c r="J116" i="41"/>
  <c r="I116" i="41"/>
  <c r="E61" i="41"/>
  <c r="AI72" i="41"/>
  <c r="W72" i="41"/>
  <c r="K72" i="41"/>
  <c r="AG72" i="41"/>
  <c r="U72" i="41"/>
  <c r="I72" i="41"/>
  <c r="AL72" i="41"/>
  <c r="X72" i="41"/>
  <c r="H72" i="41"/>
  <c r="G72" i="41"/>
  <c r="G61" i="41" s="1"/>
  <c r="AJ72" i="41"/>
  <c r="T72" i="41"/>
  <c r="F72" i="41"/>
  <c r="F61" i="41" s="1"/>
  <c r="AK72" i="41"/>
  <c r="V72" i="41"/>
  <c r="S72" i="41"/>
  <c r="AN72" i="41"/>
  <c r="AM72" i="41"/>
  <c r="Q72" i="41"/>
  <c r="AH72" i="41"/>
  <c r="P72" i="41"/>
  <c r="AF72" i="41"/>
  <c r="O72" i="41"/>
  <c r="AE72" i="41"/>
  <c r="N72" i="41"/>
  <c r="R72" i="41"/>
  <c r="M72" i="41"/>
  <c r="AD72" i="41"/>
  <c r="AC72" i="41"/>
  <c r="AB72" i="41"/>
  <c r="AA72" i="41"/>
  <c r="Z72" i="41"/>
  <c r="Y72" i="41"/>
  <c r="L72" i="41"/>
  <c r="J72" i="41"/>
  <c r="AK76" i="41"/>
  <c r="Y76" i="41"/>
  <c r="M76" i="41"/>
  <c r="AI76" i="41"/>
  <c r="W76" i="41"/>
  <c r="K76" i="41"/>
  <c r="AL76" i="41"/>
  <c r="V76" i="41"/>
  <c r="AH76" i="41"/>
  <c r="T76" i="41"/>
  <c r="AJ76" i="41"/>
  <c r="U76" i="41"/>
  <c r="AA76" i="41"/>
  <c r="X76" i="41"/>
  <c r="S76" i="41"/>
  <c r="AN76" i="41"/>
  <c r="R76" i="41"/>
  <c r="AM76" i="41"/>
  <c r="Q76" i="41"/>
  <c r="AG76" i="41"/>
  <c r="P76" i="41"/>
  <c r="Z76" i="41"/>
  <c r="L76" i="41"/>
  <c r="AF76" i="41"/>
  <c r="AE76" i="41"/>
  <c r="AD76" i="41"/>
  <c r="AC76" i="41"/>
  <c r="AB76" i="41"/>
  <c r="O76" i="41"/>
  <c r="N76" i="41"/>
  <c r="J76" i="41"/>
  <c r="AF75" i="41"/>
  <c r="T75" i="41"/>
  <c r="AD75" i="41"/>
  <c r="R75" i="41"/>
  <c r="AM75" i="41"/>
  <c r="Y75" i="41"/>
  <c r="K75" i="41"/>
  <c r="AK75" i="41"/>
  <c r="W75" i="41"/>
  <c r="AL75" i="41"/>
  <c r="X75" i="41"/>
  <c r="J75" i="41"/>
  <c r="I75" i="41"/>
  <c r="AJ75" i="41"/>
  <c r="Q75" i="41"/>
  <c r="AH75" i="41"/>
  <c r="O75" i="41"/>
  <c r="AG75" i="41"/>
  <c r="N75" i="41"/>
  <c r="AE75" i="41"/>
  <c r="M75" i="41"/>
  <c r="AC75" i="41"/>
  <c r="L75" i="41"/>
  <c r="AB75" i="41"/>
  <c r="AI75" i="41"/>
  <c r="P75" i="41"/>
  <c r="V75" i="41"/>
  <c r="U75" i="41"/>
  <c r="S75" i="41"/>
  <c r="AN75" i="41"/>
  <c r="AA75" i="41"/>
  <c r="Z75" i="41"/>
  <c r="I368" i="22"/>
  <c r="J368" i="41"/>
  <c r="I368" i="41"/>
  <c r="I367" i="19"/>
  <c r="I63" i="19"/>
  <c r="V45" i="16"/>
  <c r="M365" i="20"/>
  <c r="M466" i="20" s="1"/>
  <c r="M364" i="20"/>
  <c r="M426" i="20" s="1"/>
  <c r="M363" i="20"/>
  <c r="M385" i="20" s="1"/>
  <c r="O45" i="16"/>
  <c r="F369" i="42"/>
  <c r="F378" i="42"/>
  <c r="E367" i="42"/>
  <c r="H63" i="42"/>
  <c r="M49" i="42"/>
  <c r="M50" i="42" s="1"/>
  <c r="N45" i="42"/>
  <c r="N47" i="42" s="1"/>
  <c r="N49" i="42" s="1"/>
  <c r="N50" i="42" s="1"/>
  <c r="F369" i="41"/>
  <c r="E367" i="41"/>
  <c r="I218" i="41"/>
  <c r="L350" i="41"/>
  <c r="L200" i="41"/>
  <c r="K365" i="41"/>
  <c r="K464" i="41" s="1"/>
  <c r="E369" i="23"/>
  <c r="E366" i="23"/>
  <c r="G62" i="23"/>
  <c r="W7" i="23"/>
  <c r="AI7" i="23"/>
  <c r="X7" i="23"/>
  <c r="AJ7" i="23"/>
  <c r="E377" i="22"/>
  <c r="E369" i="22"/>
  <c r="W458" i="22"/>
  <c r="T458" i="22"/>
  <c r="AI458" i="22"/>
  <c r="Z458" i="22"/>
  <c r="K458" i="22"/>
  <c r="AL458" i="22"/>
  <c r="N458" i="22"/>
  <c r="AF458" i="22"/>
  <c r="Q458" i="22"/>
  <c r="H458" i="22"/>
  <c r="H368" i="22" s="1"/>
  <c r="AC458" i="22"/>
  <c r="E368" i="22"/>
  <c r="G369" i="22"/>
  <c r="F62" i="22"/>
  <c r="M45" i="22"/>
  <c r="M350" i="22"/>
  <c r="M352" i="22" s="1"/>
  <c r="M200" i="22"/>
  <c r="L21" i="22"/>
  <c r="AL4" i="22"/>
  <c r="AL7" i="22" s="1"/>
  <c r="Z7" i="22"/>
  <c r="O7" i="22"/>
  <c r="AK4" i="22"/>
  <c r="AK7" i="22" s="1"/>
  <c r="Y7" i="22"/>
  <c r="G368" i="19"/>
  <c r="G378" i="19"/>
  <c r="E368" i="19"/>
  <c r="E366" i="19"/>
  <c r="W457" i="19"/>
  <c r="T457" i="19"/>
  <c r="AL457" i="19"/>
  <c r="AF457" i="19"/>
  <c r="AI457" i="19"/>
  <c r="H457" i="19"/>
  <c r="H367" i="19" s="1"/>
  <c r="N457" i="19"/>
  <c r="K457" i="19"/>
  <c r="AC457" i="19"/>
  <c r="Z457" i="19"/>
  <c r="Q457" i="19"/>
  <c r="E367" i="19"/>
  <c r="E376" i="19"/>
  <c r="L362" i="19"/>
  <c r="L363" i="19"/>
  <c r="L364" i="19"/>
  <c r="L464" i="19" s="1"/>
  <c r="N45" i="19"/>
  <c r="N47" i="19" s="1"/>
  <c r="O15" i="19"/>
  <c r="N20" i="19"/>
  <c r="W7" i="19"/>
  <c r="AI7" i="19"/>
  <c r="F368" i="20"/>
  <c r="G369" i="20"/>
  <c r="E367" i="20"/>
  <c r="E369" i="20"/>
  <c r="G368" i="20"/>
  <c r="E377" i="20"/>
  <c r="G379" i="20"/>
  <c r="H369" i="20"/>
  <c r="H380" i="20"/>
  <c r="G217" i="20"/>
  <c r="AE75" i="20"/>
  <c r="N350" i="20"/>
  <c r="N352" i="20" s="1"/>
  <c r="N354" i="20" s="1"/>
  <c r="N355" i="20" s="1"/>
  <c r="M47" i="20"/>
  <c r="E65" i="20"/>
  <c r="E66" i="20" s="1"/>
  <c r="F62" i="20"/>
  <c r="AK4" i="20"/>
  <c r="AK7" i="20" s="1"/>
  <c r="Y7" i="20"/>
  <c r="N15" i="20"/>
  <c r="X7" i="20"/>
  <c r="AJ4" i="20"/>
  <c r="AJ7" i="20" s="1"/>
  <c r="N7" i="20"/>
  <c r="Z4" i="20"/>
  <c r="J60" i="42"/>
  <c r="J58" i="42"/>
  <c r="J59" i="42"/>
  <c r="J52" i="42"/>
  <c r="AK377" i="42"/>
  <c r="L120" i="42"/>
  <c r="K60" i="42"/>
  <c r="K58" i="42"/>
  <c r="K59" i="42"/>
  <c r="K52" i="42"/>
  <c r="K424" i="42"/>
  <c r="L162" i="42"/>
  <c r="J273" i="42"/>
  <c r="J206" i="42"/>
  <c r="AE228" i="42"/>
  <c r="M200" i="42"/>
  <c r="M466" i="42"/>
  <c r="AG113" i="42"/>
  <c r="K369" i="42"/>
  <c r="K383" i="42"/>
  <c r="K464" i="42"/>
  <c r="L64" i="42"/>
  <c r="L79" i="42"/>
  <c r="J219" i="42"/>
  <c r="J232" i="42"/>
  <c r="J313" i="42"/>
  <c r="K215" i="41"/>
  <c r="K207" i="41"/>
  <c r="AD111" i="41"/>
  <c r="AH48" i="41"/>
  <c r="J313" i="41"/>
  <c r="AG379" i="41"/>
  <c r="AI308" i="41"/>
  <c r="AF308" i="41"/>
  <c r="AL308" i="41"/>
  <c r="Z308" i="41"/>
  <c r="AC308" i="41"/>
  <c r="T308" i="41"/>
  <c r="Q308" i="41"/>
  <c r="N308" i="41"/>
  <c r="H308" i="41"/>
  <c r="H218" i="41" s="1"/>
  <c r="W308" i="41"/>
  <c r="K308" i="41"/>
  <c r="J59" i="23"/>
  <c r="J60" i="23"/>
  <c r="J58" i="23"/>
  <c r="J21" i="23" s="1"/>
  <c r="J52" i="23"/>
  <c r="M385" i="23"/>
  <c r="M369" i="23"/>
  <c r="J369" i="23"/>
  <c r="J382" i="23"/>
  <c r="N202" i="23"/>
  <c r="M466" i="23"/>
  <c r="M356" i="23"/>
  <c r="M426" i="23"/>
  <c r="J423" i="23"/>
  <c r="AD227" i="23"/>
  <c r="L384" i="23"/>
  <c r="L369" i="23"/>
  <c r="L79" i="23"/>
  <c r="K369" i="23"/>
  <c r="K383" i="23"/>
  <c r="M59" i="23"/>
  <c r="M60" i="23"/>
  <c r="M58" i="23"/>
  <c r="M52" i="23"/>
  <c r="AE377" i="23"/>
  <c r="K213" i="23"/>
  <c r="K21" i="23" s="1"/>
  <c r="K215" i="23"/>
  <c r="K214" i="23"/>
  <c r="K207" i="23"/>
  <c r="J463" i="23"/>
  <c r="M204" i="23"/>
  <c r="M205" i="23" s="1"/>
  <c r="W458" i="23"/>
  <c r="AF458" i="23"/>
  <c r="Z458" i="23"/>
  <c r="AL458" i="23"/>
  <c r="N458" i="23"/>
  <c r="AI458" i="23"/>
  <c r="Q458" i="23"/>
  <c r="AC458" i="23"/>
  <c r="T458" i="23"/>
  <c r="H458" i="23"/>
  <c r="H368" i="23" s="1"/>
  <c r="K458" i="23"/>
  <c r="N354" i="23"/>
  <c r="N355" i="23" s="1"/>
  <c r="K424" i="23"/>
  <c r="AD111" i="23"/>
  <c r="L465" i="23"/>
  <c r="O200" i="23"/>
  <c r="L425" i="23"/>
  <c r="K464" i="23"/>
  <c r="L214" i="22"/>
  <c r="L213" i="22"/>
  <c r="L215" i="22"/>
  <c r="K213" i="22"/>
  <c r="K23" i="22" s="1"/>
  <c r="K214" i="22"/>
  <c r="K215" i="22"/>
  <c r="K207" i="22"/>
  <c r="AG111" i="22"/>
  <c r="AI114" i="22" s="1"/>
  <c r="X268" i="22"/>
  <c r="L268" i="22"/>
  <c r="Q268" i="22"/>
  <c r="AC268" i="22"/>
  <c r="P268" i="22"/>
  <c r="T268" i="22"/>
  <c r="S268" i="22"/>
  <c r="R268" i="22"/>
  <c r="AB268" i="22"/>
  <c r="M268" i="22"/>
  <c r="U268" i="22"/>
  <c r="O268" i="22"/>
  <c r="N268" i="22"/>
  <c r="I268" i="22"/>
  <c r="Z268" i="22"/>
  <c r="Y268" i="22"/>
  <c r="W268" i="22"/>
  <c r="J268" i="22"/>
  <c r="H268" i="22"/>
  <c r="K268" i="22"/>
  <c r="G268" i="22"/>
  <c r="AA268" i="22"/>
  <c r="F268" i="22"/>
  <c r="F217" i="22" s="1"/>
  <c r="V268" i="22"/>
  <c r="K119" i="22"/>
  <c r="K78" i="22"/>
  <c r="K464" i="22"/>
  <c r="J118" i="22"/>
  <c r="AF48" i="22"/>
  <c r="N308" i="22"/>
  <c r="AI308" i="22"/>
  <c r="T308" i="22"/>
  <c r="Q308" i="22"/>
  <c r="H308" i="22"/>
  <c r="H218" i="22" s="1"/>
  <c r="AL308" i="22"/>
  <c r="AF308" i="22"/>
  <c r="W308" i="22"/>
  <c r="AC308" i="22"/>
  <c r="Z308" i="22"/>
  <c r="K308" i="22"/>
  <c r="AK378" i="22"/>
  <c r="J213" i="22"/>
  <c r="J214" i="22"/>
  <c r="J215" i="22"/>
  <c r="J207" i="22"/>
  <c r="K383" i="22"/>
  <c r="K369" i="22"/>
  <c r="K424" i="22"/>
  <c r="J77" i="22"/>
  <c r="J64" i="22"/>
  <c r="J160" i="22"/>
  <c r="M60" i="19"/>
  <c r="M59" i="19"/>
  <c r="M58" i="19"/>
  <c r="M52" i="19"/>
  <c r="L60" i="19"/>
  <c r="L58" i="19"/>
  <c r="L59" i="19"/>
  <c r="L52" i="19"/>
  <c r="K463" i="19"/>
  <c r="Q308" i="19"/>
  <c r="AI308" i="19"/>
  <c r="AF308" i="19"/>
  <c r="W308" i="19"/>
  <c r="T308" i="19"/>
  <c r="N308" i="19"/>
  <c r="K308" i="19"/>
  <c r="H308" i="19"/>
  <c r="H218" i="19" s="1"/>
  <c r="Z308" i="19"/>
  <c r="AL308" i="19"/>
  <c r="AC308" i="19"/>
  <c r="J422" i="19"/>
  <c r="K119" i="19"/>
  <c r="J118" i="19"/>
  <c r="K423" i="19"/>
  <c r="AA268" i="19"/>
  <c r="O268" i="19"/>
  <c r="Z268" i="19"/>
  <c r="M268" i="19"/>
  <c r="X268" i="19"/>
  <c r="J268" i="19"/>
  <c r="W268" i="19"/>
  <c r="I268" i="19"/>
  <c r="Q268" i="19"/>
  <c r="P268" i="19"/>
  <c r="N268" i="19"/>
  <c r="R268" i="19"/>
  <c r="L268" i="19"/>
  <c r="K268" i="19"/>
  <c r="AC268" i="19"/>
  <c r="F268" i="19"/>
  <c r="F217" i="19" s="1"/>
  <c r="Y268" i="19"/>
  <c r="V268" i="19"/>
  <c r="T268" i="19"/>
  <c r="G268" i="19"/>
  <c r="G217" i="19" s="1"/>
  <c r="U268" i="19"/>
  <c r="S268" i="19"/>
  <c r="H268" i="19"/>
  <c r="AB268" i="19"/>
  <c r="M200" i="19"/>
  <c r="N353" i="19"/>
  <c r="N354" i="19" s="1"/>
  <c r="J368" i="19"/>
  <c r="J381" i="19"/>
  <c r="J215" i="19"/>
  <c r="J214" i="19"/>
  <c r="J213" i="19"/>
  <c r="J21" i="19" s="1"/>
  <c r="J207" i="19"/>
  <c r="AN380" i="19"/>
  <c r="J77" i="19"/>
  <c r="J64" i="19"/>
  <c r="J462" i="19"/>
  <c r="M425" i="19"/>
  <c r="K161" i="19"/>
  <c r="AE113" i="19"/>
  <c r="K78" i="19"/>
  <c r="K64" i="19"/>
  <c r="J160" i="19"/>
  <c r="K368" i="19"/>
  <c r="K382" i="19"/>
  <c r="K60" i="20"/>
  <c r="K58" i="20"/>
  <c r="K59" i="20"/>
  <c r="K52" i="20"/>
  <c r="K383" i="20"/>
  <c r="K369" i="20"/>
  <c r="K424" i="20"/>
  <c r="N47" i="20"/>
  <c r="AF228" i="20"/>
  <c r="L204" i="20"/>
  <c r="J382" i="20"/>
  <c r="J369" i="20"/>
  <c r="L156" i="20"/>
  <c r="I156" i="20"/>
  <c r="I63" i="20" s="1"/>
  <c r="AD156" i="20"/>
  <c r="AA156" i="20"/>
  <c r="X156" i="20"/>
  <c r="AM156" i="20"/>
  <c r="AJ156" i="20"/>
  <c r="U156" i="20"/>
  <c r="R156" i="20"/>
  <c r="AG156" i="20"/>
  <c r="O156" i="20"/>
  <c r="N200" i="20"/>
  <c r="V73" i="20"/>
  <c r="J73" i="20"/>
  <c r="T73" i="20"/>
  <c r="H73" i="20"/>
  <c r="X73" i="20"/>
  <c r="I73" i="20"/>
  <c r="W73" i="20"/>
  <c r="G73" i="20"/>
  <c r="U73" i="20"/>
  <c r="S73" i="20"/>
  <c r="Y73" i="20"/>
  <c r="P73" i="20"/>
  <c r="R73" i="20"/>
  <c r="Q73" i="20"/>
  <c r="N73" i="20"/>
  <c r="M73" i="20"/>
  <c r="AD73" i="20"/>
  <c r="AA73" i="20"/>
  <c r="O73" i="20"/>
  <c r="L73" i="20"/>
  <c r="AC73" i="20"/>
  <c r="AB73" i="20"/>
  <c r="Z73" i="20"/>
  <c r="K73" i="20"/>
  <c r="J60" i="20"/>
  <c r="J58" i="20"/>
  <c r="J21" i="20" s="1"/>
  <c r="J59" i="20"/>
  <c r="J52" i="20"/>
  <c r="J463" i="20"/>
  <c r="F63" i="20"/>
  <c r="M202" i="20"/>
  <c r="J423" i="20"/>
  <c r="AH115" i="20"/>
  <c r="AH116" i="20"/>
  <c r="AI117" i="20"/>
  <c r="AI273" i="20"/>
  <c r="Z308" i="20"/>
  <c r="Q308" i="20"/>
  <c r="AL308" i="20"/>
  <c r="AF308" i="20"/>
  <c r="N308" i="20"/>
  <c r="K308" i="20"/>
  <c r="K218" i="20" s="1"/>
  <c r="AI308" i="20"/>
  <c r="H308" i="20"/>
  <c r="H218" i="20" s="1"/>
  <c r="W308" i="20"/>
  <c r="T308" i="20"/>
  <c r="AC308" i="20"/>
  <c r="U72" i="20"/>
  <c r="I72" i="20"/>
  <c r="S72" i="20"/>
  <c r="G72" i="20"/>
  <c r="O72" i="20"/>
  <c r="AB72" i="20"/>
  <c r="N72" i="20"/>
  <c r="AA72" i="20"/>
  <c r="M72" i="20"/>
  <c r="Z72" i="20"/>
  <c r="L72" i="20"/>
  <c r="P72" i="20"/>
  <c r="K72" i="20"/>
  <c r="H72" i="20"/>
  <c r="J72" i="20"/>
  <c r="Y72" i="20"/>
  <c r="X72" i="20"/>
  <c r="W72" i="20"/>
  <c r="Q72" i="20"/>
  <c r="F72" i="20"/>
  <c r="F61" i="20" s="1"/>
  <c r="V72" i="20"/>
  <c r="T72" i="20"/>
  <c r="R72" i="20"/>
  <c r="K464" i="20"/>
  <c r="AA115" i="20"/>
  <c r="O115" i="20"/>
  <c r="U115" i="20"/>
  <c r="H115" i="20"/>
  <c r="AG115" i="20"/>
  <c r="T115" i="20"/>
  <c r="AF115" i="20"/>
  <c r="S115" i="20"/>
  <c r="Y115" i="20"/>
  <c r="I115" i="20"/>
  <c r="X115" i="20"/>
  <c r="W115" i="20"/>
  <c r="V115" i="20"/>
  <c r="M115" i="20"/>
  <c r="J115" i="20"/>
  <c r="L115" i="20"/>
  <c r="AE115" i="20"/>
  <c r="AD115" i="20"/>
  <c r="K115" i="20"/>
  <c r="AC115" i="20"/>
  <c r="AB115" i="20"/>
  <c r="N115" i="20"/>
  <c r="Q115" i="20"/>
  <c r="Z115" i="20"/>
  <c r="R115" i="20"/>
  <c r="P115" i="20"/>
  <c r="Y114" i="20"/>
  <c r="M114" i="20"/>
  <c r="AC114" i="20"/>
  <c r="P114" i="20"/>
  <c r="AB114" i="20"/>
  <c r="O114" i="20"/>
  <c r="AA114" i="20"/>
  <c r="N114" i="20"/>
  <c r="W114" i="20"/>
  <c r="G114" i="20"/>
  <c r="G62" i="20" s="1"/>
  <c r="V114" i="20"/>
  <c r="U114" i="20"/>
  <c r="T114" i="20"/>
  <c r="S114" i="20"/>
  <c r="R114" i="20"/>
  <c r="L114" i="20"/>
  <c r="K114" i="20"/>
  <c r="Q114" i="20"/>
  <c r="J114" i="20"/>
  <c r="I114" i="20"/>
  <c r="AF114" i="20"/>
  <c r="AE114" i="20"/>
  <c r="AD114" i="20"/>
  <c r="Z114" i="20"/>
  <c r="X114" i="20"/>
  <c r="H114" i="20"/>
  <c r="Z458" i="20"/>
  <c r="W458" i="20"/>
  <c r="Q458" i="20"/>
  <c r="K458" i="20"/>
  <c r="AL458" i="20"/>
  <c r="AC458" i="20"/>
  <c r="H458" i="20"/>
  <c r="H368" i="20" s="1"/>
  <c r="AF458" i="20"/>
  <c r="AI458" i="20"/>
  <c r="T458" i="20"/>
  <c r="N458" i="20"/>
  <c r="L79" i="20"/>
  <c r="K155" i="20"/>
  <c r="H155" i="20"/>
  <c r="H63" i="20" s="1"/>
  <c r="W155" i="20"/>
  <c r="T155" i="20"/>
  <c r="Q155" i="20"/>
  <c r="AF155" i="20"/>
  <c r="AC155" i="20"/>
  <c r="Z155" i="20"/>
  <c r="N155" i="20"/>
  <c r="AL155" i="20"/>
  <c r="AI155" i="20"/>
  <c r="AL384" i="20"/>
  <c r="X74" i="73"/>
  <c r="AD95" i="75" l="1"/>
  <c r="AF95" i="75" s="1"/>
  <c r="AD97" i="75"/>
  <c r="AN36" i="23"/>
  <c r="AS59" i="63" s="1"/>
  <c r="AD59" i="63"/>
  <c r="AL36" i="23"/>
  <c r="AQ59" i="63" s="1"/>
  <c r="AB59" i="63"/>
  <c r="AF59" i="63" s="1"/>
  <c r="W95" i="75"/>
  <c r="R230" i="20"/>
  <c r="I230" i="20"/>
  <c r="H217" i="19"/>
  <c r="H220" i="19" s="1"/>
  <c r="H221" i="19" s="1"/>
  <c r="S230" i="20"/>
  <c r="I217" i="19"/>
  <c r="T230" i="20"/>
  <c r="U230" i="20"/>
  <c r="AE231" i="20"/>
  <c r="AC231" i="20"/>
  <c r="AD231" i="20"/>
  <c r="M231" i="20"/>
  <c r="R231" i="20"/>
  <c r="L64" i="23"/>
  <c r="L120" i="23"/>
  <c r="AF120" i="23" s="1"/>
  <c r="F221" i="20"/>
  <c r="T231" i="20"/>
  <c r="N231" i="20"/>
  <c r="AA230" i="20"/>
  <c r="L230" i="20"/>
  <c r="W231" i="20"/>
  <c r="AA231" i="20"/>
  <c r="S231" i="20"/>
  <c r="N230" i="20"/>
  <c r="J231" i="20"/>
  <c r="AH231" i="20"/>
  <c r="P230" i="20"/>
  <c r="K231" i="20"/>
  <c r="AG231" i="20"/>
  <c r="Y72" i="22"/>
  <c r="Z230" i="20"/>
  <c r="L231" i="20"/>
  <c r="Y231" i="20"/>
  <c r="AC230" i="20"/>
  <c r="AH230" i="20"/>
  <c r="AB230" i="20"/>
  <c r="M230" i="20"/>
  <c r="V230" i="20"/>
  <c r="K230" i="20"/>
  <c r="X230" i="20"/>
  <c r="J230" i="20"/>
  <c r="AD230" i="20"/>
  <c r="Y230" i="20"/>
  <c r="W230" i="20"/>
  <c r="O230" i="20"/>
  <c r="AE230" i="20"/>
  <c r="AF230" i="20"/>
  <c r="Q230" i="20"/>
  <c r="AK72" i="22"/>
  <c r="AB231" i="20"/>
  <c r="Q231" i="20"/>
  <c r="V231" i="20"/>
  <c r="P231" i="20"/>
  <c r="AH72" i="22"/>
  <c r="AI72" i="22"/>
  <c r="X231" i="20"/>
  <c r="O231" i="20"/>
  <c r="U231" i="20"/>
  <c r="AE72" i="22"/>
  <c r="F72" i="22"/>
  <c r="F61" i="22" s="1"/>
  <c r="F65" i="22" s="1"/>
  <c r="F66" i="22" s="1"/>
  <c r="Z231" i="20"/>
  <c r="M72" i="22"/>
  <c r="R72" i="22"/>
  <c r="K161" i="22"/>
  <c r="AI161" i="22" s="1"/>
  <c r="Q72" i="22"/>
  <c r="K72" i="22"/>
  <c r="AC72" i="22"/>
  <c r="N72" i="22"/>
  <c r="S72" i="22"/>
  <c r="AN72" i="22"/>
  <c r="U72" i="22"/>
  <c r="AM72" i="22"/>
  <c r="H72" i="22"/>
  <c r="H61" i="22" s="1"/>
  <c r="L72" i="22"/>
  <c r="O72" i="22"/>
  <c r="G72" i="22"/>
  <c r="G61" i="22" s="1"/>
  <c r="G65" i="22" s="1"/>
  <c r="G66" i="22" s="1"/>
  <c r="AF72" i="22"/>
  <c r="I72" i="22"/>
  <c r="I61" i="22" s="1"/>
  <c r="P72" i="22"/>
  <c r="AG72" i="22"/>
  <c r="AB72" i="22"/>
  <c r="AL72" i="22"/>
  <c r="V72" i="22"/>
  <c r="X72" i="22"/>
  <c r="E61" i="22"/>
  <c r="E65" i="22" s="1"/>
  <c r="E66" i="22" s="1"/>
  <c r="Z72" i="22"/>
  <c r="J72" i="22"/>
  <c r="J61" i="22" s="1"/>
  <c r="AD72" i="22"/>
  <c r="AJ72" i="22"/>
  <c r="P210" i="42"/>
  <c r="Q209" i="42"/>
  <c r="Q210" i="42" s="1"/>
  <c r="AA72" i="22"/>
  <c r="T72" i="22"/>
  <c r="O210" i="42"/>
  <c r="M356" i="20"/>
  <c r="AA36" i="23"/>
  <c r="AM36" i="23" s="1"/>
  <c r="AR59" i="63" s="1"/>
  <c r="O45" i="23"/>
  <c r="O47" i="23" s="1"/>
  <c r="O49" i="23" s="1"/>
  <c r="O50" i="23" s="1"/>
  <c r="O350" i="23"/>
  <c r="O352" i="23" s="1"/>
  <c r="O354" i="23" s="1"/>
  <c r="O355" i="23" s="1"/>
  <c r="O365" i="23" s="1"/>
  <c r="L78" i="23"/>
  <c r="AJ78" i="23"/>
  <c r="M369" i="20"/>
  <c r="AF78" i="23"/>
  <c r="V78" i="23"/>
  <c r="W78" i="23"/>
  <c r="AK78" i="23"/>
  <c r="X78" i="23"/>
  <c r="S78" i="23"/>
  <c r="P78" i="23"/>
  <c r="AH78" i="23"/>
  <c r="AM78" i="23"/>
  <c r="AD78" i="23"/>
  <c r="AB78" i="23"/>
  <c r="Q78" i="23"/>
  <c r="AG78" i="23"/>
  <c r="AE78" i="23"/>
  <c r="M78" i="23"/>
  <c r="U78" i="23"/>
  <c r="N78" i="23"/>
  <c r="AI78" i="23"/>
  <c r="R78" i="23"/>
  <c r="L70" i="59"/>
  <c r="H61" i="41"/>
  <c r="AI425" i="20"/>
  <c r="AJ425" i="20"/>
  <c r="AB425" i="20"/>
  <c r="AK425" i="20"/>
  <c r="Q425" i="20"/>
  <c r="AC425" i="20"/>
  <c r="AL425" i="20"/>
  <c r="W425" i="20"/>
  <c r="R425" i="20"/>
  <c r="V425" i="20"/>
  <c r="X425" i="20"/>
  <c r="AD425" i="20"/>
  <c r="AM425" i="20"/>
  <c r="AA425" i="20"/>
  <c r="U425" i="20"/>
  <c r="O425" i="20"/>
  <c r="S425" i="20"/>
  <c r="Z425" i="20"/>
  <c r="M425" i="20"/>
  <c r="AE425" i="20"/>
  <c r="AG425" i="20"/>
  <c r="N425" i="20"/>
  <c r="AF425" i="20"/>
  <c r="Y425" i="20"/>
  <c r="T425" i="20"/>
  <c r="P425" i="20"/>
  <c r="J219" i="20"/>
  <c r="AH425" i="20"/>
  <c r="Y7" i="23"/>
  <c r="G61" i="42"/>
  <c r="G65" i="42" s="1"/>
  <c r="G66" i="42" s="1"/>
  <c r="AL4" i="19"/>
  <c r="AK4" i="19"/>
  <c r="K23" i="20"/>
  <c r="K21" i="20"/>
  <c r="L64" i="20"/>
  <c r="L120" i="20"/>
  <c r="AI120" i="20" s="1"/>
  <c r="T78" i="23"/>
  <c r="Y78" i="23"/>
  <c r="Z78" i="23"/>
  <c r="AN78" i="23"/>
  <c r="O78" i="23"/>
  <c r="AL78" i="23"/>
  <c r="AA78" i="23"/>
  <c r="N71" i="63"/>
  <c r="P350" i="23"/>
  <c r="P352" i="23" s="1"/>
  <c r="P354" i="23" s="1"/>
  <c r="P355" i="23" s="1"/>
  <c r="P45" i="23"/>
  <c r="J23" i="23"/>
  <c r="O119" i="23"/>
  <c r="R119" i="23"/>
  <c r="T119" i="23"/>
  <c r="M369" i="42"/>
  <c r="M356" i="42"/>
  <c r="AB119" i="23"/>
  <c r="L119" i="23"/>
  <c r="AJ119" i="23"/>
  <c r="N119" i="23"/>
  <c r="Z119" i="23"/>
  <c r="AE229" i="20"/>
  <c r="Q229" i="20"/>
  <c r="G378" i="23"/>
  <c r="G366" i="23" s="1"/>
  <c r="X378" i="23"/>
  <c r="H378" i="23"/>
  <c r="X232" i="20"/>
  <c r="AI232" i="20"/>
  <c r="P229" i="20"/>
  <c r="AB229" i="20"/>
  <c r="N232" i="20"/>
  <c r="AC232" i="20"/>
  <c r="I229" i="20"/>
  <c r="Z229" i="20"/>
  <c r="K232" i="20"/>
  <c r="AF232" i="20"/>
  <c r="N229" i="20"/>
  <c r="T232" i="20"/>
  <c r="R232" i="20"/>
  <c r="S229" i="20"/>
  <c r="U229" i="20"/>
  <c r="H229" i="20"/>
  <c r="H216" i="20" s="1"/>
  <c r="H220" i="20" s="1"/>
  <c r="H221" i="20" s="1"/>
  <c r="P232" i="20"/>
  <c r="G216" i="20"/>
  <c r="G220" i="20" s="1"/>
  <c r="G221" i="20" s="1"/>
  <c r="AF229" i="20"/>
  <c r="Y232" i="20"/>
  <c r="AD232" i="20"/>
  <c r="Z232" i="20"/>
  <c r="Q232" i="20"/>
  <c r="AA229" i="20"/>
  <c r="AH232" i="20"/>
  <c r="AG232" i="20"/>
  <c r="O229" i="20"/>
  <c r="U232" i="20"/>
  <c r="O232" i="20"/>
  <c r="J229" i="20"/>
  <c r="AC229" i="20"/>
  <c r="W232" i="20"/>
  <c r="O378" i="23"/>
  <c r="AB378" i="23"/>
  <c r="P378" i="23"/>
  <c r="S378" i="23"/>
  <c r="K378" i="23"/>
  <c r="U119" i="23"/>
  <c r="AJ378" i="23"/>
  <c r="AG378" i="23"/>
  <c r="AA119" i="23"/>
  <c r="T378" i="23"/>
  <c r="Q378" i="23"/>
  <c r="U378" i="23"/>
  <c r="AH378" i="23"/>
  <c r="V378" i="23"/>
  <c r="L378" i="23"/>
  <c r="AE378" i="23"/>
  <c r="AC378" i="23"/>
  <c r="J378" i="23"/>
  <c r="M378" i="23"/>
  <c r="AF378" i="23"/>
  <c r="Y378" i="23"/>
  <c r="F366" i="23"/>
  <c r="F370" i="23" s="1"/>
  <c r="F371" i="23" s="1"/>
  <c r="X119" i="23"/>
  <c r="W378" i="23"/>
  <c r="Z378" i="23"/>
  <c r="I62" i="19"/>
  <c r="G366" i="19"/>
  <c r="H62" i="19"/>
  <c r="AL59" i="66"/>
  <c r="F220" i="42"/>
  <c r="F221" i="42" s="1"/>
  <c r="V423" i="42"/>
  <c r="AI423" i="42"/>
  <c r="V380" i="42"/>
  <c r="M380" i="42"/>
  <c r="N380" i="42"/>
  <c r="AJ423" i="42"/>
  <c r="T380" i="42"/>
  <c r="AK423" i="42"/>
  <c r="AF380" i="42"/>
  <c r="W423" i="42"/>
  <c r="L423" i="42"/>
  <c r="AA423" i="42"/>
  <c r="M423" i="42"/>
  <c r="AA380" i="42"/>
  <c r="AM380" i="42"/>
  <c r="AB423" i="42"/>
  <c r="S380" i="42"/>
  <c r="N423" i="42"/>
  <c r="G367" i="42"/>
  <c r="AL7" i="23"/>
  <c r="N7" i="23"/>
  <c r="AK378" i="23"/>
  <c r="AG270" i="23"/>
  <c r="O7" i="23"/>
  <c r="AI378" i="23"/>
  <c r="AD378" i="23"/>
  <c r="N378" i="23"/>
  <c r="F65" i="23"/>
  <c r="F66" i="23" s="1"/>
  <c r="R378" i="23"/>
  <c r="I378" i="23"/>
  <c r="AD465" i="23"/>
  <c r="AA465" i="23"/>
  <c r="X465" i="23"/>
  <c r="U465" i="23"/>
  <c r="R465" i="23"/>
  <c r="O465" i="23"/>
  <c r="AJ465" i="23"/>
  <c r="AM465" i="23"/>
  <c r="AG465" i="23"/>
  <c r="T464" i="23"/>
  <c r="Q464" i="23"/>
  <c r="N464" i="23"/>
  <c r="AL464" i="23"/>
  <c r="AI464" i="23"/>
  <c r="AC464" i="23"/>
  <c r="W464" i="23"/>
  <c r="AF464" i="23"/>
  <c r="Z464" i="23"/>
  <c r="J368" i="23"/>
  <c r="M463" i="23"/>
  <c r="M368" i="23" s="1"/>
  <c r="AK463" i="23"/>
  <c r="AN463" i="23"/>
  <c r="AH463" i="23"/>
  <c r="AE463" i="23"/>
  <c r="S463" i="23"/>
  <c r="AB463" i="23"/>
  <c r="P463" i="23"/>
  <c r="Y463" i="23"/>
  <c r="V463" i="23"/>
  <c r="AN466" i="23"/>
  <c r="Y466" i="23"/>
  <c r="AK466" i="23"/>
  <c r="AH466" i="23"/>
  <c r="AE466" i="23"/>
  <c r="AB466" i="23"/>
  <c r="V466" i="23"/>
  <c r="S466" i="23"/>
  <c r="P466" i="23"/>
  <c r="AE426" i="23"/>
  <c r="S426" i="23"/>
  <c r="AC426" i="23"/>
  <c r="Q426" i="23"/>
  <c r="AN426" i="23"/>
  <c r="AB426" i="23"/>
  <c r="P426" i="23"/>
  <c r="AK426" i="23"/>
  <c r="V426" i="23"/>
  <c r="AI426" i="23"/>
  <c r="T426" i="23"/>
  <c r="AH426" i="23"/>
  <c r="R426" i="23"/>
  <c r="AG426" i="23"/>
  <c r="O426" i="23"/>
  <c r="AF426" i="23"/>
  <c r="N426" i="23"/>
  <c r="AL426" i="23"/>
  <c r="AJ426" i="23"/>
  <c r="Z426" i="23"/>
  <c r="AM426" i="23"/>
  <c r="AD426" i="23"/>
  <c r="AA426" i="23"/>
  <c r="Y426" i="23"/>
  <c r="U426" i="23"/>
  <c r="X426" i="23"/>
  <c r="W426" i="23"/>
  <c r="AH425" i="23"/>
  <c r="V425" i="23"/>
  <c r="AF425" i="23"/>
  <c r="T425" i="23"/>
  <c r="AG425" i="23"/>
  <c r="R425" i="23"/>
  <c r="AD425" i="23"/>
  <c r="P425" i="23"/>
  <c r="AC425" i="23"/>
  <c r="O425" i="23"/>
  <c r="AB425" i="23"/>
  <c r="N425" i="23"/>
  <c r="AA425" i="23"/>
  <c r="M425" i="23"/>
  <c r="AN425" i="23"/>
  <c r="S425" i="23"/>
  <c r="AE425" i="23"/>
  <c r="Y425" i="23"/>
  <c r="AM425" i="23"/>
  <c r="Q425" i="23"/>
  <c r="AL425" i="23"/>
  <c r="AK425" i="23"/>
  <c r="AJ425" i="23"/>
  <c r="AI425" i="23"/>
  <c r="Z425" i="23"/>
  <c r="X425" i="23"/>
  <c r="W425" i="23"/>
  <c r="U425" i="23"/>
  <c r="E370" i="23"/>
  <c r="E371" i="23" s="1"/>
  <c r="AE423" i="23"/>
  <c r="S423" i="23"/>
  <c r="AC423" i="23"/>
  <c r="Q423" i="23"/>
  <c r="AG423" i="23"/>
  <c r="R423" i="23"/>
  <c r="AD423" i="23"/>
  <c r="O423" i="23"/>
  <c r="AB423" i="23"/>
  <c r="N423" i="23"/>
  <c r="AA423" i="23"/>
  <c r="M423" i="23"/>
  <c r="AN423" i="23"/>
  <c r="Z423" i="23"/>
  <c r="L423" i="23"/>
  <c r="X423" i="23"/>
  <c r="U423" i="23"/>
  <c r="T423" i="23"/>
  <c r="AK423" i="23"/>
  <c r="AJ423" i="23"/>
  <c r="W423" i="23"/>
  <c r="K423" i="23"/>
  <c r="K367" i="23" s="1"/>
  <c r="AI423" i="23"/>
  <c r="V423" i="23"/>
  <c r="AM423" i="23"/>
  <c r="AL423" i="23"/>
  <c r="P423" i="23"/>
  <c r="AF423" i="23"/>
  <c r="AH423" i="23"/>
  <c r="Y423" i="23"/>
  <c r="AL424" i="23"/>
  <c r="Z424" i="23"/>
  <c r="N424" i="23"/>
  <c r="AJ424" i="23"/>
  <c r="X424" i="23"/>
  <c r="L424" i="23"/>
  <c r="AF424" i="23"/>
  <c r="R424" i="23"/>
  <c r="AD424" i="23"/>
  <c r="P424" i="23"/>
  <c r="AC424" i="23"/>
  <c r="O424" i="23"/>
  <c r="AB424" i="23"/>
  <c r="M424" i="23"/>
  <c r="AA424" i="23"/>
  <c r="U424" i="23"/>
  <c r="AM424" i="23"/>
  <c r="Q424" i="23"/>
  <c r="AK424" i="23"/>
  <c r="T424" i="23"/>
  <c r="AN424" i="23"/>
  <c r="S424" i="23"/>
  <c r="AI424" i="23"/>
  <c r="AH424" i="23"/>
  <c r="AG424" i="23"/>
  <c r="AE424" i="23"/>
  <c r="Y424" i="23"/>
  <c r="V424" i="23"/>
  <c r="W424" i="23"/>
  <c r="AL383" i="23"/>
  <c r="Z383" i="23"/>
  <c r="N383" i="23"/>
  <c r="AE383" i="23"/>
  <c r="R383" i="23"/>
  <c r="AD383" i="23"/>
  <c r="Q383" i="23"/>
  <c r="AC383" i="23"/>
  <c r="P383" i="23"/>
  <c r="AB383" i="23"/>
  <c r="O383" i="23"/>
  <c r="AJ383" i="23"/>
  <c r="S383" i="23"/>
  <c r="AI383" i="23"/>
  <c r="M383" i="23"/>
  <c r="AH383" i="23"/>
  <c r="L383" i="23"/>
  <c r="AG383" i="23"/>
  <c r="AF383" i="23"/>
  <c r="AA383" i="23"/>
  <c r="Y383" i="23"/>
  <c r="W383" i="23"/>
  <c r="AN383" i="23"/>
  <c r="V383" i="23"/>
  <c r="AM383" i="23"/>
  <c r="U383" i="23"/>
  <c r="T383" i="23"/>
  <c r="X383" i="23"/>
  <c r="AK383" i="23"/>
  <c r="AE382" i="23"/>
  <c r="S382" i="23"/>
  <c r="AH382" i="23"/>
  <c r="U382" i="23"/>
  <c r="AG382" i="23"/>
  <c r="T382" i="23"/>
  <c r="AF382" i="23"/>
  <c r="R382" i="23"/>
  <c r="AD382" i="23"/>
  <c r="Q382" i="23"/>
  <c r="Z382" i="23"/>
  <c r="X382" i="23"/>
  <c r="AN382" i="23"/>
  <c r="W382" i="23"/>
  <c r="AM382" i="23"/>
  <c r="V382" i="23"/>
  <c r="AL382" i="23"/>
  <c r="P382" i="23"/>
  <c r="AK382" i="23"/>
  <c r="O382" i="23"/>
  <c r="AJ382" i="23"/>
  <c r="N382" i="23"/>
  <c r="AI382" i="23"/>
  <c r="M382" i="23"/>
  <c r="AC382" i="23"/>
  <c r="L382" i="23"/>
  <c r="AB382" i="23"/>
  <c r="K382" i="23"/>
  <c r="Y382" i="23"/>
  <c r="AA382" i="23"/>
  <c r="AB379" i="23"/>
  <c r="P379" i="23"/>
  <c r="AI379" i="23"/>
  <c r="V379" i="23"/>
  <c r="I379" i="23"/>
  <c r="AH379" i="23"/>
  <c r="U379" i="23"/>
  <c r="H379" i="23"/>
  <c r="AG379" i="23"/>
  <c r="T379" i="23"/>
  <c r="AF379" i="23"/>
  <c r="S379" i="23"/>
  <c r="W379" i="23"/>
  <c r="AM379" i="23"/>
  <c r="R379" i="23"/>
  <c r="AL379" i="23"/>
  <c r="Q379" i="23"/>
  <c r="AK379" i="23"/>
  <c r="O379" i="23"/>
  <c r="AJ379" i="23"/>
  <c r="N379" i="23"/>
  <c r="AE379" i="23"/>
  <c r="M379" i="23"/>
  <c r="AD379" i="23"/>
  <c r="L379" i="23"/>
  <c r="AC379" i="23"/>
  <c r="K379" i="23"/>
  <c r="AA379" i="23"/>
  <c r="J379" i="23"/>
  <c r="Z379" i="23"/>
  <c r="Y379" i="23"/>
  <c r="X379" i="23"/>
  <c r="AE385" i="23"/>
  <c r="S385" i="23"/>
  <c r="AD385" i="23"/>
  <c r="R385" i="23"/>
  <c r="AC385" i="23"/>
  <c r="O385" i="23"/>
  <c r="AB385" i="23"/>
  <c r="AA385" i="23"/>
  <c r="AN385" i="23"/>
  <c r="Z385" i="23"/>
  <c r="N385" i="23"/>
  <c r="V385" i="23"/>
  <c r="AM385" i="23"/>
  <c r="U385" i="23"/>
  <c r="AL385" i="23"/>
  <c r="T385" i="23"/>
  <c r="AK385" i="23"/>
  <c r="Q385" i="23"/>
  <c r="AJ385" i="23"/>
  <c r="P385" i="23"/>
  <c r="AG385" i="23"/>
  <c r="AF385" i="23"/>
  <c r="Y385" i="23"/>
  <c r="X385" i="23"/>
  <c r="W385" i="23"/>
  <c r="AI385" i="23"/>
  <c r="AH385" i="23"/>
  <c r="AH384" i="23"/>
  <c r="V384" i="23"/>
  <c r="AC384" i="23"/>
  <c r="P384" i="23"/>
  <c r="AB384" i="23"/>
  <c r="O384" i="23"/>
  <c r="AN384" i="23"/>
  <c r="AA384" i="23"/>
  <c r="N384" i="23"/>
  <c r="AM384" i="23"/>
  <c r="Z384" i="23"/>
  <c r="M384" i="23"/>
  <c r="AD384" i="23"/>
  <c r="Y384" i="23"/>
  <c r="X384" i="23"/>
  <c r="W384" i="23"/>
  <c r="U384" i="23"/>
  <c r="AL384" i="23"/>
  <c r="T384" i="23"/>
  <c r="AK384" i="23"/>
  <c r="S384" i="23"/>
  <c r="AJ384" i="23"/>
  <c r="R384" i="23"/>
  <c r="AI384" i="23"/>
  <c r="AG384" i="23"/>
  <c r="AF384" i="23"/>
  <c r="AE384" i="23"/>
  <c r="Q384" i="23"/>
  <c r="AH231" i="23"/>
  <c r="AF229" i="23"/>
  <c r="P119" i="23"/>
  <c r="AC119" i="23"/>
  <c r="Q119" i="23"/>
  <c r="M119" i="23"/>
  <c r="S119" i="23"/>
  <c r="AD119" i="23"/>
  <c r="AI232" i="23"/>
  <c r="AJ273" i="23"/>
  <c r="Y119" i="23"/>
  <c r="V119" i="23"/>
  <c r="G367" i="23"/>
  <c r="AE119" i="23"/>
  <c r="W119" i="23"/>
  <c r="AF119" i="23"/>
  <c r="AI119" i="23"/>
  <c r="AG119" i="23"/>
  <c r="AF269" i="23"/>
  <c r="AE228" i="23"/>
  <c r="AH271" i="23"/>
  <c r="AI272" i="23"/>
  <c r="E220" i="23"/>
  <c r="E221" i="23" s="1"/>
  <c r="AE113" i="23"/>
  <c r="AI117" i="23"/>
  <c r="AF114" i="23"/>
  <c r="AK119" i="23"/>
  <c r="AG115" i="23"/>
  <c r="I367" i="23"/>
  <c r="AH116" i="23"/>
  <c r="I217" i="23"/>
  <c r="AD162" i="23"/>
  <c r="AA162" i="23"/>
  <c r="X162" i="23"/>
  <c r="U162" i="23"/>
  <c r="R162" i="23"/>
  <c r="O162" i="23"/>
  <c r="AM162" i="23"/>
  <c r="AJ162" i="23"/>
  <c r="AG162" i="23"/>
  <c r="I61" i="23"/>
  <c r="G65" i="23"/>
  <c r="G66" i="23" s="1"/>
  <c r="AH79" i="23"/>
  <c r="V79" i="23"/>
  <c r="AD79" i="23"/>
  <c r="R79" i="23"/>
  <c r="AG79" i="23"/>
  <c r="S79" i="23"/>
  <c r="AF79" i="23"/>
  <c r="Q79" i="23"/>
  <c r="AE79" i="23"/>
  <c r="P79" i="23"/>
  <c r="AC79" i="23"/>
  <c r="O79" i="23"/>
  <c r="AN79" i="23"/>
  <c r="U79" i="23"/>
  <c r="AM79" i="23"/>
  <c r="T79" i="23"/>
  <c r="AL79" i="23"/>
  <c r="N79" i="23"/>
  <c r="AK79" i="23"/>
  <c r="M79" i="23"/>
  <c r="AB79" i="23"/>
  <c r="AA79" i="23"/>
  <c r="Z79" i="23"/>
  <c r="Y79" i="23"/>
  <c r="X79" i="23"/>
  <c r="W79" i="23"/>
  <c r="AJ79" i="23"/>
  <c r="AI79" i="23"/>
  <c r="AJ382" i="22"/>
  <c r="AG379" i="22"/>
  <c r="AH380" i="22"/>
  <c r="AH231" i="22"/>
  <c r="AE228" i="22"/>
  <c r="AM380" i="22"/>
  <c r="AL379" i="22"/>
  <c r="AD268" i="22"/>
  <c r="T464" i="22"/>
  <c r="Q464" i="22"/>
  <c r="N464" i="22"/>
  <c r="AL464" i="22"/>
  <c r="Z464" i="22"/>
  <c r="W464" i="22"/>
  <c r="AI464" i="22"/>
  <c r="AF464" i="22"/>
  <c r="AC464" i="22"/>
  <c r="AL424" i="22"/>
  <c r="Z424" i="22"/>
  <c r="N424" i="22"/>
  <c r="AK424" i="22"/>
  <c r="Y424" i="22"/>
  <c r="M424" i="22"/>
  <c r="AJ424" i="22"/>
  <c r="X424" i="22"/>
  <c r="L424" i="22"/>
  <c r="AG424" i="22"/>
  <c r="R424" i="22"/>
  <c r="AF424" i="22"/>
  <c r="Q424" i="22"/>
  <c r="AE424" i="22"/>
  <c r="P424" i="22"/>
  <c r="AD424" i="22"/>
  <c r="O424" i="22"/>
  <c r="AC424" i="22"/>
  <c r="AB424" i="22"/>
  <c r="AA424" i="22"/>
  <c r="T424" i="22"/>
  <c r="AH424" i="22"/>
  <c r="S424" i="22"/>
  <c r="AN424" i="22"/>
  <c r="AM424" i="22"/>
  <c r="AI424" i="22"/>
  <c r="W424" i="22"/>
  <c r="V424" i="22"/>
  <c r="U424" i="22"/>
  <c r="AL383" i="22"/>
  <c r="Z383" i="22"/>
  <c r="N383" i="22"/>
  <c r="AJ383" i="22"/>
  <c r="X383" i="22"/>
  <c r="L383" i="22"/>
  <c r="AF383" i="22"/>
  <c r="R383" i="22"/>
  <c r="P383" i="22"/>
  <c r="AE383" i="22"/>
  <c r="Q383" i="22"/>
  <c r="AD383" i="22"/>
  <c r="AC383" i="22"/>
  <c r="O383" i="22"/>
  <c r="AB383" i="22"/>
  <c r="M383" i="22"/>
  <c r="Y383" i="22"/>
  <c r="V383" i="22"/>
  <c r="AI383" i="22"/>
  <c r="W383" i="22"/>
  <c r="U383" i="22"/>
  <c r="T383" i="22"/>
  <c r="AN383" i="22"/>
  <c r="S383" i="22"/>
  <c r="AM383" i="22"/>
  <c r="AK383" i="22"/>
  <c r="AH383" i="22"/>
  <c r="AG383" i="22"/>
  <c r="AA383" i="22"/>
  <c r="G367" i="22"/>
  <c r="H367" i="22"/>
  <c r="E366" i="22"/>
  <c r="E370" i="22" s="1"/>
  <c r="E371" i="22" s="1"/>
  <c r="AI377" i="22"/>
  <c r="W377" i="22"/>
  <c r="K377" i="22"/>
  <c r="K366" i="22" s="1"/>
  <c r="AG377" i="22"/>
  <c r="U377" i="22"/>
  <c r="I377" i="22"/>
  <c r="I366" i="22" s="1"/>
  <c r="AH377" i="22"/>
  <c r="S377" i="22"/>
  <c r="AE377" i="22"/>
  <c r="AF377" i="22"/>
  <c r="R377" i="22"/>
  <c r="Q377" i="22"/>
  <c r="AD377" i="22"/>
  <c r="P377" i="22"/>
  <c r="AC377" i="22"/>
  <c r="O377" i="22"/>
  <c r="T377" i="22"/>
  <c r="M377" i="22"/>
  <c r="Z377" i="22"/>
  <c r="N377" i="22"/>
  <c r="L377" i="22"/>
  <c r="AK377" i="22"/>
  <c r="J377" i="22"/>
  <c r="J366" i="22" s="1"/>
  <c r="AJ377" i="22"/>
  <c r="H377" i="22"/>
  <c r="H366" i="22" s="1"/>
  <c r="AB377" i="22"/>
  <c r="G377" i="22"/>
  <c r="G366" i="22" s="1"/>
  <c r="AA377" i="22"/>
  <c r="F377" i="22"/>
  <c r="F366" i="22" s="1"/>
  <c r="F370" i="22" s="1"/>
  <c r="F371" i="22" s="1"/>
  <c r="Y377" i="22"/>
  <c r="X377" i="22"/>
  <c r="V377" i="22"/>
  <c r="AF270" i="22"/>
  <c r="AE269" i="22"/>
  <c r="AG271" i="22"/>
  <c r="AH113" i="22"/>
  <c r="AK116" i="22"/>
  <c r="AJ115" i="22"/>
  <c r="AL117" i="22"/>
  <c r="J63" i="22"/>
  <c r="M160" i="22"/>
  <c r="AN160" i="22"/>
  <c r="AK160" i="22"/>
  <c r="AH160" i="22"/>
  <c r="AE160" i="22"/>
  <c r="P160" i="22"/>
  <c r="AB160" i="22"/>
  <c r="Y160" i="22"/>
  <c r="V160" i="22"/>
  <c r="S160" i="22"/>
  <c r="AL119" i="22"/>
  <c r="Z119" i="22"/>
  <c r="N119" i="22"/>
  <c r="AJ119" i="22"/>
  <c r="AK119" i="22"/>
  <c r="Y119" i="22"/>
  <c r="M119" i="22"/>
  <c r="AD119" i="22"/>
  <c r="P119" i="22"/>
  <c r="AC119" i="22"/>
  <c r="O119" i="22"/>
  <c r="AB119" i="22"/>
  <c r="L119" i="22"/>
  <c r="AG119" i="22"/>
  <c r="AF119" i="22"/>
  <c r="AE119" i="22"/>
  <c r="AA119" i="22"/>
  <c r="X119" i="22"/>
  <c r="W119" i="22"/>
  <c r="Q119" i="22"/>
  <c r="AN119" i="22"/>
  <c r="AM119" i="22"/>
  <c r="AI119" i="22"/>
  <c r="AH119" i="22"/>
  <c r="V119" i="22"/>
  <c r="U119" i="22"/>
  <c r="T119" i="22"/>
  <c r="S119" i="22"/>
  <c r="R119" i="22"/>
  <c r="AE118" i="22"/>
  <c r="S118" i="22"/>
  <c r="AD118" i="22"/>
  <c r="R118" i="22"/>
  <c r="AC118" i="22"/>
  <c r="O118" i="22"/>
  <c r="AB118" i="22"/>
  <c r="N118" i="22"/>
  <c r="AA118" i="22"/>
  <c r="M118" i="22"/>
  <c r="W118" i="22"/>
  <c r="AM118" i="22"/>
  <c r="V118" i="22"/>
  <c r="AL118" i="22"/>
  <c r="U118" i="22"/>
  <c r="AK118" i="22"/>
  <c r="T118" i="22"/>
  <c r="AJ118" i="22"/>
  <c r="Q118" i="22"/>
  <c r="AI118" i="22"/>
  <c r="AG118" i="22"/>
  <c r="AF118" i="22"/>
  <c r="Z118" i="22"/>
  <c r="Y118" i="22"/>
  <c r="X118" i="22"/>
  <c r="P118" i="22"/>
  <c r="L118" i="22"/>
  <c r="K118" i="22"/>
  <c r="K62" i="22" s="1"/>
  <c r="AH118" i="22"/>
  <c r="AL78" i="22"/>
  <c r="Z78" i="22"/>
  <c r="N78" i="22"/>
  <c r="AK78" i="22"/>
  <c r="Y78" i="22"/>
  <c r="M78" i="22"/>
  <c r="AJ78" i="22"/>
  <c r="X78" i="22"/>
  <c r="L78" i="22"/>
  <c r="AI78" i="22"/>
  <c r="W78" i="22"/>
  <c r="AC78" i="22"/>
  <c r="Q78" i="22"/>
  <c r="AM78" i="22"/>
  <c r="R78" i="22"/>
  <c r="AH78" i="22"/>
  <c r="P78" i="22"/>
  <c r="AE78" i="22"/>
  <c r="AA78" i="22"/>
  <c r="AG78" i="22"/>
  <c r="O78" i="22"/>
  <c r="AF78" i="22"/>
  <c r="U78" i="22"/>
  <c r="T78" i="22"/>
  <c r="AN78" i="22"/>
  <c r="S78" i="22"/>
  <c r="AD78" i="22"/>
  <c r="AB78" i="22"/>
  <c r="V78" i="22"/>
  <c r="AE77" i="22"/>
  <c r="S77" i="22"/>
  <c r="AD77" i="22"/>
  <c r="R77" i="22"/>
  <c r="AC77" i="22"/>
  <c r="Q77" i="22"/>
  <c r="AN77" i="22"/>
  <c r="AB77" i="22"/>
  <c r="P77" i="22"/>
  <c r="AH77" i="22"/>
  <c r="V77" i="22"/>
  <c r="Y77" i="22"/>
  <c r="T77" i="22"/>
  <c r="X77" i="22"/>
  <c r="AM77" i="22"/>
  <c r="W77" i="22"/>
  <c r="U77" i="22"/>
  <c r="AL77" i="22"/>
  <c r="M77" i="22"/>
  <c r="AF77" i="22"/>
  <c r="K77" i="22"/>
  <c r="AA77" i="22"/>
  <c r="Z77" i="22"/>
  <c r="AK77" i="22"/>
  <c r="O77" i="22"/>
  <c r="AJ77" i="22"/>
  <c r="N77" i="22"/>
  <c r="AI77" i="22"/>
  <c r="AG77" i="22"/>
  <c r="L77" i="22"/>
  <c r="I62" i="23"/>
  <c r="N463" i="19"/>
  <c r="AL463" i="19"/>
  <c r="T463" i="19"/>
  <c r="Q463" i="19"/>
  <c r="AI463" i="19"/>
  <c r="AF463" i="19"/>
  <c r="AC463" i="19"/>
  <c r="Z463" i="19"/>
  <c r="W463" i="19"/>
  <c r="X464" i="19"/>
  <c r="U464" i="19"/>
  <c r="R464" i="19"/>
  <c r="O464" i="19"/>
  <c r="AM464" i="19"/>
  <c r="AJ464" i="19"/>
  <c r="AG464" i="19"/>
  <c r="AD464" i="19"/>
  <c r="AA464" i="19"/>
  <c r="AN462" i="19"/>
  <c r="AK462" i="19"/>
  <c r="AH462" i="19"/>
  <c r="AE462" i="19"/>
  <c r="AB462" i="19"/>
  <c r="Y462" i="19"/>
  <c r="V462" i="19"/>
  <c r="S462" i="19"/>
  <c r="P462" i="19"/>
  <c r="M462" i="19"/>
  <c r="AE425" i="19"/>
  <c r="S425" i="19"/>
  <c r="AC425" i="19"/>
  <c r="Q425" i="19"/>
  <c r="AD425" i="19"/>
  <c r="R425" i="19"/>
  <c r="AK425" i="19"/>
  <c r="V425" i="19"/>
  <c r="AJ425" i="19"/>
  <c r="U425" i="19"/>
  <c r="AI425" i="19"/>
  <c r="T425" i="19"/>
  <c r="AH425" i="19"/>
  <c r="P425" i="19"/>
  <c r="AM425" i="19"/>
  <c r="AL425" i="19"/>
  <c r="AG425" i="19"/>
  <c r="AF425" i="19"/>
  <c r="AB425" i="19"/>
  <c r="AA425" i="19"/>
  <c r="Z425" i="19"/>
  <c r="Y425" i="19"/>
  <c r="X425" i="19"/>
  <c r="W425" i="19"/>
  <c r="O425" i="19"/>
  <c r="AN425" i="19"/>
  <c r="N425" i="19"/>
  <c r="AE422" i="19"/>
  <c r="S422" i="19"/>
  <c r="AD422" i="19"/>
  <c r="R422" i="19"/>
  <c r="AC422" i="19"/>
  <c r="O422" i="19"/>
  <c r="AB422" i="19"/>
  <c r="N422" i="19"/>
  <c r="AA422" i="19"/>
  <c r="M422" i="19"/>
  <c r="AN422" i="19"/>
  <c r="Z422" i="19"/>
  <c r="L422" i="19"/>
  <c r="AG422" i="19"/>
  <c r="AF422" i="19"/>
  <c r="Y422" i="19"/>
  <c r="X422" i="19"/>
  <c r="W422" i="19"/>
  <c r="V422" i="19"/>
  <c r="AM422" i="19"/>
  <c r="U422" i="19"/>
  <c r="AL422" i="19"/>
  <c r="T422" i="19"/>
  <c r="AK422" i="19"/>
  <c r="Q422" i="19"/>
  <c r="AJ422" i="19"/>
  <c r="P422" i="19"/>
  <c r="AI422" i="19"/>
  <c r="K422" i="19"/>
  <c r="K366" i="19" s="1"/>
  <c r="AH422" i="19"/>
  <c r="AL423" i="19"/>
  <c r="Z423" i="19"/>
  <c r="N423" i="19"/>
  <c r="AK423" i="19"/>
  <c r="Y423" i="19"/>
  <c r="M423" i="19"/>
  <c r="AD423" i="19"/>
  <c r="P423" i="19"/>
  <c r="AC423" i="19"/>
  <c r="O423" i="19"/>
  <c r="AB423" i="19"/>
  <c r="L423" i="19"/>
  <c r="AA423" i="19"/>
  <c r="V423" i="19"/>
  <c r="U423" i="19"/>
  <c r="AN423" i="19"/>
  <c r="T423" i="19"/>
  <c r="AM423" i="19"/>
  <c r="S423" i="19"/>
  <c r="AJ423" i="19"/>
  <c r="R423" i="19"/>
  <c r="AI423" i="19"/>
  <c r="Q423" i="19"/>
  <c r="AH423" i="19"/>
  <c r="AG423" i="19"/>
  <c r="AF423" i="19"/>
  <c r="AE423" i="19"/>
  <c r="X423" i="19"/>
  <c r="W423" i="19"/>
  <c r="AE381" i="19"/>
  <c r="S381" i="19"/>
  <c r="AD381" i="19"/>
  <c r="R381" i="19"/>
  <c r="AC381" i="19"/>
  <c r="Q381" i="19"/>
  <c r="AM381" i="19"/>
  <c r="AA381" i="19"/>
  <c r="O381" i="19"/>
  <c r="AL381" i="19"/>
  <c r="Z381" i="19"/>
  <c r="N381" i="19"/>
  <c r="Y381" i="19"/>
  <c r="X381" i="19"/>
  <c r="W381" i="19"/>
  <c r="V381" i="19"/>
  <c r="AN381" i="19"/>
  <c r="U381" i="19"/>
  <c r="AK381" i="19"/>
  <c r="T381" i="19"/>
  <c r="AJ381" i="19"/>
  <c r="P381" i="19"/>
  <c r="AI381" i="19"/>
  <c r="M381" i="19"/>
  <c r="L381" i="19"/>
  <c r="AG381" i="19"/>
  <c r="K381" i="19"/>
  <c r="AF381" i="19"/>
  <c r="AB381" i="19"/>
  <c r="AH381" i="19"/>
  <c r="AE384" i="19"/>
  <c r="S384" i="19"/>
  <c r="AD384" i="19"/>
  <c r="R384" i="19"/>
  <c r="AC384" i="19"/>
  <c r="Q384" i="19"/>
  <c r="AN384" i="19"/>
  <c r="AB384" i="19"/>
  <c r="P384" i="19"/>
  <c r="AM384" i="19"/>
  <c r="AA384" i="19"/>
  <c r="O384" i="19"/>
  <c r="AL384" i="19"/>
  <c r="Z384" i="19"/>
  <c r="N384" i="19"/>
  <c r="AK384" i="19"/>
  <c r="Y384" i="19"/>
  <c r="AJ384" i="19"/>
  <c r="AI384" i="19"/>
  <c r="AH384" i="19"/>
  <c r="AG384" i="19"/>
  <c r="AF384" i="19"/>
  <c r="X384" i="19"/>
  <c r="W384" i="19"/>
  <c r="V384" i="19"/>
  <c r="U384" i="19"/>
  <c r="T384" i="19"/>
  <c r="E365" i="19"/>
  <c r="E369" i="19" s="1"/>
  <c r="E370" i="19" s="1"/>
  <c r="AI376" i="19"/>
  <c r="W376" i="19"/>
  <c r="K376" i="19"/>
  <c r="AH376" i="19"/>
  <c r="V376" i="19"/>
  <c r="J376" i="19"/>
  <c r="AG376" i="19"/>
  <c r="U376" i="19"/>
  <c r="I376" i="19"/>
  <c r="AE376" i="19"/>
  <c r="S376" i="19"/>
  <c r="G376" i="19"/>
  <c r="G365" i="19" s="1"/>
  <c r="AD376" i="19"/>
  <c r="R376" i="19"/>
  <c r="F376" i="19"/>
  <c r="F365" i="19" s="1"/>
  <c r="F369" i="19" s="1"/>
  <c r="F370" i="19" s="1"/>
  <c r="X376" i="19"/>
  <c r="T376" i="19"/>
  <c r="Q376" i="19"/>
  <c r="P376" i="19"/>
  <c r="O376" i="19"/>
  <c r="AJ376" i="19"/>
  <c r="N376" i="19"/>
  <c r="AF376" i="19"/>
  <c r="M376" i="19"/>
  <c r="AC376" i="19"/>
  <c r="L376" i="19"/>
  <c r="AB376" i="19"/>
  <c r="H376" i="19"/>
  <c r="AA376" i="19"/>
  <c r="Z376" i="19"/>
  <c r="Y376" i="19"/>
  <c r="AL382" i="19"/>
  <c r="Z382" i="19"/>
  <c r="N382" i="19"/>
  <c r="AK382" i="19"/>
  <c r="Y382" i="19"/>
  <c r="M382" i="19"/>
  <c r="AJ382" i="19"/>
  <c r="X382" i="19"/>
  <c r="L382" i="19"/>
  <c r="AI382" i="19"/>
  <c r="W382" i="19"/>
  <c r="AH382" i="19"/>
  <c r="V382" i="19"/>
  <c r="AG382" i="19"/>
  <c r="U382" i="19"/>
  <c r="R382" i="19"/>
  <c r="Q382" i="19"/>
  <c r="AN382" i="19"/>
  <c r="P382" i="19"/>
  <c r="AM382" i="19"/>
  <c r="O382" i="19"/>
  <c r="AF382" i="19"/>
  <c r="AE382" i="19"/>
  <c r="AD382" i="19"/>
  <c r="AC382" i="19"/>
  <c r="AB382" i="19"/>
  <c r="AA382" i="19"/>
  <c r="T382" i="19"/>
  <c r="S382" i="19"/>
  <c r="AB378" i="19"/>
  <c r="P378" i="19"/>
  <c r="AA378" i="19"/>
  <c r="O378" i="19"/>
  <c r="AL378" i="19"/>
  <c r="Z378" i="19"/>
  <c r="N378" i="19"/>
  <c r="AJ378" i="19"/>
  <c r="X378" i="19"/>
  <c r="L378" i="19"/>
  <c r="AI378" i="19"/>
  <c r="W378" i="19"/>
  <c r="K378" i="19"/>
  <c r="AK378" i="19"/>
  <c r="R378" i="19"/>
  <c r="AH378" i="19"/>
  <c r="Q378" i="19"/>
  <c r="AG378" i="19"/>
  <c r="M378" i="19"/>
  <c r="AF378" i="19"/>
  <c r="J378" i="19"/>
  <c r="AE378" i="19"/>
  <c r="I378" i="19"/>
  <c r="AD378" i="19"/>
  <c r="H378" i="19"/>
  <c r="AC378" i="19"/>
  <c r="Y378" i="19"/>
  <c r="V378" i="19"/>
  <c r="U378" i="19"/>
  <c r="T378" i="19"/>
  <c r="S378" i="19"/>
  <c r="AI231" i="19"/>
  <c r="AF228" i="19"/>
  <c r="AG229" i="19"/>
  <c r="AF270" i="19"/>
  <c r="AE269" i="19"/>
  <c r="AG271" i="19"/>
  <c r="AH272" i="19"/>
  <c r="AE227" i="19"/>
  <c r="AH230" i="19"/>
  <c r="M465" i="19"/>
  <c r="AG115" i="19"/>
  <c r="AH116" i="19"/>
  <c r="AF114" i="19"/>
  <c r="AI117" i="19"/>
  <c r="M368" i="19"/>
  <c r="K63" i="19"/>
  <c r="T161" i="19"/>
  <c r="Q161" i="19"/>
  <c r="N161" i="19"/>
  <c r="AL161" i="19"/>
  <c r="AF161" i="19"/>
  <c r="AI161" i="19"/>
  <c r="AC161" i="19"/>
  <c r="Z161" i="19"/>
  <c r="W161" i="19"/>
  <c r="E65" i="19"/>
  <c r="E66" i="19" s="1"/>
  <c r="J63" i="19"/>
  <c r="M160" i="19"/>
  <c r="AN160" i="19"/>
  <c r="AK160" i="19"/>
  <c r="AE160" i="19"/>
  <c r="AB160" i="19"/>
  <c r="Y160" i="19"/>
  <c r="AH160" i="19"/>
  <c r="V160" i="19"/>
  <c r="P160" i="19"/>
  <c r="S160" i="19"/>
  <c r="AK119" i="19"/>
  <c r="Y119" i="19"/>
  <c r="M119" i="19"/>
  <c r="AJ119" i="19"/>
  <c r="X119" i="19"/>
  <c r="L119" i="19"/>
  <c r="AI119" i="19"/>
  <c r="U119" i="19"/>
  <c r="AH119" i="19"/>
  <c r="T119" i="19"/>
  <c r="AG119" i="19"/>
  <c r="S119" i="19"/>
  <c r="AE119" i="19"/>
  <c r="Q119" i="19"/>
  <c r="AA119" i="19"/>
  <c r="Z119" i="19"/>
  <c r="W119" i="19"/>
  <c r="V119" i="19"/>
  <c r="P119" i="19"/>
  <c r="O119" i="19"/>
  <c r="N119" i="19"/>
  <c r="AF119" i="19"/>
  <c r="R119" i="19"/>
  <c r="AD119" i="19"/>
  <c r="AC119" i="19"/>
  <c r="AB119" i="19"/>
  <c r="AD118" i="19"/>
  <c r="R118" i="19"/>
  <c r="AC118" i="19"/>
  <c r="Q118" i="19"/>
  <c r="AJ118" i="19"/>
  <c r="V118" i="19"/>
  <c r="AI118" i="19"/>
  <c r="U118" i="19"/>
  <c r="AH118" i="19"/>
  <c r="T118" i="19"/>
  <c r="AF118" i="19"/>
  <c r="P118" i="19"/>
  <c r="AG118" i="19"/>
  <c r="L118" i="19"/>
  <c r="W118" i="19"/>
  <c r="AE118" i="19"/>
  <c r="K118" i="19"/>
  <c r="K62" i="19" s="1"/>
  <c r="AB118" i="19"/>
  <c r="AA118" i="19"/>
  <c r="Y118" i="19"/>
  <c r="X118" i="19"/>
  <c r="S118" i="19"/>
  <c r="Z118" i="19"/>
  <c r="O118" i="19"/>
  <c r="N118" i="19"/>
  <c r="M118" i="19"/>
  <c r="AD77" i="19"/>
  <c r="R77" i="19"/>
  <c r="AN77" i="19"/>
  <c r="AC77" i="19"/>
  <c r="Q77" i="19"/>
  <c r="AB77" i="19"/>
  <c r="P77" i="19"/>
  <c r="AI77" i="19"/>
  <c r="T77" i="19"/>
  <c r="AG77" i="19"/>
  <c r="O77" i="19"/>
  <c r="AH77" i="19"/>
  <c r="S77" i="19"/>
  <c r="AE77" i="19"/>
  <c r="M77" i="19"/>
  <c r="AK77" i="19"/>
  <c r="K77" i="19"/>
  <c r="K61" i="19" s="1"/>
  <c r="AJ77" i="19"/>
  <c r="Y77" i="19"/>
  <c r="X77" i="19"/>
  <c r="W77" i="19"/>
  <c r="V77" i="19"/>
  <c r="U77" i="19"/>
  <c r="AF77" i="19"/>
  <c r="AA77" i="19"/>
  <c r="Z77" i="19"/>
  <c r="AM77" i="19"/>
  <c r="AL77" i="19"/>
  <c r="N77" i="19"/>
  <c r="L77" i="19"/>
  <c r="AK78" i="19"/>
  <c r="Y78" i="19"/>
  <c r="M78" i="19"/>
  <c r="AI78" i="19"/>
  <c r="AJ78" i="19"/>
  <c r="X78" i="19"/>
  <c r="L78" i="19"/>
  <c r="W78" i="19"/>
  <c r="AM78" i="19"/>
  <c r="U78" i="19"/>
  <c r="AH78" i="19"/>
  <c r="S78" i="19"/>
  <c r="AL78" i="19"/>
  <c r="T78" i="19"/>
  <c r="AF78" i="19"/>
  <c r="Q78" i="19"/>
  <c r="AD78" i="19"/>
  <c r="AC78" i="19"/>
  <c r="V78" i="19"/>
  <c r="R78" i="19"/>
  <c r="P78" i="19"/>
  <c r="O78" i="19"/>
  <c r="AN78" i="19"/>
  <c r="AB78" i="19"/>
  <c r="AA78" i="19"/>
  <c r="Z78" i="19"/>
  <c r="N78" i="19"/>
  <c r="AG78" i="19"/>
  <c r="AE78" i="19"/>
  <c r="R229" i="20"/>
  <c r="K229" i="20"/>
  <c r="T229" i="20"/>
  <c r="X229" i="20"/>
  <c r="AF378" i="20"/>
  <c r="V229" i="20"/>
  <c r="L229" i="20"/>
  <c r="AJ232" i="20"/>
  <c r="AA232" i="20"/>
  <c r="W229" i="20"/>
  <c r="Y229" i="20"/>
  <c r="L232" i="20"/>
  <c r="M232" i="20"/>
  <c r="S232" i="20"/>
  <c r="AD229" i="20"/>
  <c r="V232" i="20"/>
  <c r="AB232" i="20"/>
  <c r="AN463" i="20"/>
  <c r="AK463" i="20"/>
  <c r="AH463" i="20"/>
  <c r="AE463" i="20"/>
  <c r="AB463" i="20"/>
  <c r="Y463" i="20"/>
  <c r="V463" i="20"/>
  <c r="S463" i="20"/>
  <c r="P463" i="20"/>
  <c r="M463" i="20"/>
  <c r="M368" i="20" s="1"/>
  <c r="AH466" i="20"/>
  <c r="AE466" i="20"/>
  <c r="AB466" i="20"/>
  <c r="Y466" i="20"/>
  <c r="V466" i="20"/>
  <c r="AN466" i="20"/>
  <c r="S466" i="20"/>
  <c r="P466" i="20"/>
  <c r="AK466" i="20"/>
  <c r="N464" i="20"/>
  <c r="AL464" i="20"/>
  <c r="AF464" i="20"/>
  <c r="AC464" i="20"/>
  <c r="Q464" i="20"/>
  <c r="AI464" i="20"/>
  <c r="Z464" i="20"/>
  <c r="W464" i="20"/>
  <c r="T464" i="20"/>
  <c r="AD426" i="20"/>
  <c r="R426" i="20"/>
  <c r="AC426" i="20"/>
  <c r="Q426" i="20"/>
  <c r="AM426" i="20"/>
  <c r="AA426" i="20"/>
  <c r="O426" i="20"/>
  <c r="Y426" i="20"/>
  <c r="AL426" i="20"/>
  <c r="Z426" i="20"/>
  <c r="N426" i="20"/>
  <c r="AK426" i="20"/>
  <c r="AN426" i="20"/>
  <c r="T426" i="20"/>
  <c r="AJ426" i="20"/>
  <c r="S426" i="20"/>
  <c r="AI426" i="20"/>
  <c r="P426" i="20"/>
  <c r="AE426" i="20"/>
  <c r="AB426" i="20"/>
  <c r="W426" i="20"/>
  <c r="X426" i="20"/>
  <c r="V426" i="20"/>
  <c r="AH426" i="20"/>
  <c r="AG426" i="20"/>
  <c r="AF426" i="20"/>
  <c r="U426" i="20"/>
  <c r="AD423" i="20"/>
  <c r="R423" i="20"/>
  <c r="AM423" i="20"/>
  <c r="AA423" i="20"/>
  <c r="O423" i="20"/>
  <c r="AK423" i="20"/>
  <c r="M423" i="20"/>
  <c r="AL423" i="20"/>
  <c r="Z423" i="20"/>
  <c r="N423" i="20"/>
  <c r="Y423" i="20"/>
  <c r="AE423" i="20"/>
  <c r="K423" i="20"/>
  <c r="K367" i="20" s="1"/>
  <c r="AC423" i="20"/>
  <c r="V423" i="20"/>
  <c r="U423" i="20"/>
  <c r="T423" i="20"/>
  <c r="AN423" i="20"/>
  <c r="S423" i="20"/>
  <c r="AJ423" i="20"/>
  <c r="Q423" i="20"/>
  <c r="W423" i="20"/>
  <c r="P423" i="20"/>
  <c r="L423" i="20"/>
  <c r="AI423" i="20"/>
  <c r="AH423" i="20"/>
  <c r="AG423" i="20"/>
  <c r="AF423" i="20"/>
  <c r="X423" i="20"/>
  <c r="AB423" i="20"/>
  <c r="AK424" i="20"/>
  <c r="Y424" i="20"/>
  <c r="M424" i="20"/>
  <c r="AH424" i="20"/>
  <c r="V424" i="20"/>
  <c r="AF424" i="20"/>
  <c r="AG424" i="20"/>
  <c r="U424" i="20"/>
  <c r="T424" i="20"/>
  <c r="AL424" i="20"/>
  <c r="R424" i="20"/>
  <c r="AJ424" i="20"/>
  <c r="Q424" i="20"/>
  <c r="AM424" i="20"/>
  <c r="O424" i="20"/>
  <c r="AI424" i="20"/>
  <c r="N424" i="20"/>
  <c r="AE424" i="20"/>
  <c r="L424" i="20"/>
  <c r="AD424" i="20"/>
  <c r="AC424" i="20"/>
  <c r="AA424" i="20"/>
  <c r="Z424" i="20"/>
  <c r="X424" i="20"/>
  <c r="W424" i="20"/>
  <c r="P424" i="20"/>
  <c r="AN424" i="20"/>
  <c r="S424" i="20"/>
  <c r="AB424" i="20"/>
  <c r="AB379" i="20"/>
  <c r="P379" i="20"/>
  <c r="AL379" i="20"/>
  <c r="Z379" i="20"/>
  <c r="N379" i="20"/>
  <c r="AJ379" i="20"/>
  <c r="V379" i="20"/>
  <c r="H379" i="20"/>
  <c r="AI379" i="20"/>
  <c r="U379" i="20"/>
  <c r="AH379" i="20"/>
  <c r="T379" i="20"/>
  <c r="AG379" i="20"/>
  <c r="S379" i="20"/>
  <c r="W379" i="20"/>
  <c r="Q379" i="20"/>
  <c r="O379" i="20"/>
  <c r="M379" i="20"/>
  <c r="AF379" i="20"/>
  <c r="R379" i="20"/>
  <c r="AK379" i="20"/>
  <c r="L379" i="20"/>
  <c r="AE379" i="20"/>
  <c r="K379" i="20"/>
  <c r="AD379" i="20"/>
  <c r="J379" i="20"/>
  <c r="AC379" i="20"/>
  <c r="I379" i="20"/>
  <c r="AA379" i="20"/>
  <c r="Y379" i="20"/>
  <c r="X379" i="20"/>
  <c r="AL383" i="20"/>
  <c r="Z383" i="20"/>
  <c r="N383" i="20"/>
  <c r="AJ383" i="20"/>
  <c r="X383" i="20"/>
  <c r="L383" i="20"/>
  <c r="AD383" i="20"/>
  <c r="P383" i="20"/>
  <c r="AC383" i="20"/>
  <c r="O383" i="20"/>
  <c r="AB383" i="20"/>
  <c r="M383" i="20"/>
  <c r="AA383" i="20"/>
  <c r="AE383" i="20"/>
  <c r="W383" i="20"/>
  <c r="V383" i="20"/>
  <c r="U383" i="20"/>
  <c r="T383" i="20"/>
  <c r="Y383" i="20"/>
  <c r="AN383" i="20"/>
  <c r="AM383" i="20"/>
  <c r="S383" i="20"/>
  <c r="AK383" i="20"/>
  <c r="R383" i="20"/>
  <c r="AI383" i="20"/>
  <c r="Q383" i="20"/>
  <c r="AH383" i="20"/>
  <c r="AG383" i="20"/>
  <c r="AF383" i="20"/>
  <c r="AE382" i="20"/>
  <c r="S382" i="20"/>
  <c r="AC382" i="20"/>
  <c r="Q382" i="20"/>
  <c r="AD382" i="20"/>
  <c r="O382" i="20"/>
  <c r="AB382" i="20"/>
  <c r="N382" i="20"/>
  <c r="AA382" i="20"/>
  <c r="M382" i="20"/>
  <c r="AN382" i="20"/>
  <c r="Z382" i="20"/>
  <c r="L382" i="20"/>
  <c r="AJ382" i="20"/>
  <c r="P382" i="20"/>
  <c r="AI382" i="20"/>
  <c r="K382" i="20"/>
  <c r="AH382" i="20"/>
  <c r="AG382" i="20"/>
  <c r="AF382" i="20"/>
  <c r="Y382" i="20"/>
  <c r="X382" i="20"/>
  <c r="W382" i="20"/>
  <c r="V382" i="20"/>
  <c r="AM382" i="20"/>
  <c r="U382" i="20"/>
  <c r="AL382" i="20"/>
  <c r="T382" i="20"/>
  <c r="AK382" i="20"/>
  <c r="R382" i="20"/>
  <c r="AF380" i="20"/>
  <c r="T380" i="20"/>
  <c r="AD380" i="20"/>
  <c r="R380" i="20"/>
  <c r="AH380" i="20"/>
  <c r="S380" i="20"/>
  <c r="AG380" i="20"/>
  <c r="Q380" i="20"/>
  <c r="AE380" i="20"/>
  <c r="P380" i="20"/>
  <c r="AC380" i="20"/>
  <c r="O380" i="20"/>
  <c r="AI380" i="20"/>
  <c r="K380" i="20"/>
  <c r="AA380" i="20"/>
  <c r="Z380" i="20"/>
  <c r="Y380" i="20"/>
  <c r="X380" i="20"/>
  <c r="AB380" i="20"/>
  <c r="J380" i="20"/>
  <c r="I380" i="20"/>
  <c r="W380" i="20"/>
  <c r="V380" i="20"/>
  <c r="AM380" i="20"/>
  <c r="U380" i="20"/>
  <c r="AL380" i="20"/>
  <c r="N380" i="20"/>
  <c r="AK380" i="20"/>
  <c r="M380" i="20"/>
  <c r="AJ380" i="20"/>
  <c r="L380" i="20"/>
  <c r="AE385" i="20"/>
  <c r="S385" i="20"/>
  <c r="AD385" i="20"/>
  <c r="R385" i="20"/>
  <c r="AC385" i="20"/>
  <c r="Q385" i="20"/>
  <c r="AI385" i="20"/>
  <c r="T385" i="20"/>
  <c r="AH385" i="20"/>
  <c r="P385" i="20"/>
  <c r="AG385" i="20"/>
  <c r="O385" i="20"/>
  <c r="AF385" i="20"/>
  <c r="N385" i="20"/>
  <c r="AN385" i="20"/>
  <c r="U385" i="20"/>
  <c r="AM385" i="20"/>
  <c r="AL385" i="20"/>
  <c r="AK385" i="20"/>
  <c r="AJ385" i="20"/>
  <c r="AB385" i="20"/>
  <c r="AA385" i="20"/>
  <c r="Z385" i="20"/>
  <c r="Y385" i="20"/>
  <c r="X385" i="20"/>
  <c r="W385" i="20"/>
  <c r="V385" i="20"/>
  <c r="AI377" i="20"/>
  <c r="W377" i="20"/>
  <c r="K377" i="20"/>
  <c r="AG377" i="20"/>
  <c r="U377" i="20"/>
  <c r="I377" i="20"/>
  <c r="AE377" i="20"/>
  <c r="Q377" i="20"/>
  <c r="AD377" i="20"/>
  <c r="P377" i="20"/>
  <c r="AC377" i="20"/>
  <c r="O377" i="20"/>
  <c r="AB377" i="20"/>
  <c r="N377" i="20"/>
  <c r="X377" i="20"/>
  <c r="M377" i="20"/>
  <c r="L377" i="20"/>
  <c r="H377" i="20"/>
  <c r="Z377" i="20"/>
  <c r="V377" i="20"/>
  <c r="T377" i="20"/>
  <c r="S377" i="20"/>
  <c r="R377" i="20"/>
  <c r="AJ377" i="20"/>
  <c r="AH377" i="20"/>
  <c r="J377" i="20"/>
  <c r="AF377" i="20"/>
  <c r="AA377" i="20"/>
  <c r="G377" i="20"/>
  <c r="G366" i="20" s="1"/>
  <c r="F377" i="20"/>
  <c r="F366" i="20" s="1"/>
  <c r="F370" i="20" s="1"/>
  <c r="F371" i="20" s="1"/>
  <c r="Y377" i="20"/>
  <c r="AF270" i="20"/>
  <c r="AG229" i="20"/>
  <c r="AK233" i="20"/>
  <c r="AD268" i="20"/>
  <c r="AG271" i="20"/>
  <c r="AH272" i="20"/>
  <c r="AE269" i="20"/>
  <c r="AI231" i="20"/>
  <c r="AE227" i="20"/>
  <c r="Z274" i="20"/>
  <c r="N274" i="20"/>
  <c r="AE274" i="20"/>
  <c r="R274" i="20"/>
  <c r="AD274" i="20"/>
  <c r="Q274" i="20"/>
  <c r="AC274" i="20"/>
  <c r="P274" i="20"/>
  <c r="W274" i="20"/>
  <c r="V274" i="20"/>
  <c r="U274" i="20"/>
  <c r="AJ274" i="20"/>
  <c r="T274" i="20"/>
  <c r="AI274" i="20"/>
  <c r="S274" i="20"/>
  <c r="M274" i="20"/>
  <c r="AF274" i="20"/>
  <c r="AB274" i="20"/>
  <c r="AA274" i="20"/>
  <c r="Y274" i="20"/>
  <c r="L274" i="20"/>
  <c r="AH274" i="20"/>
  <c r="AG274" i="20"/>
  <c r="X274" i="20"/>
  <c r="O274" i="20"/>
  <c r="AG114" i="20"/>
  <c r="AC380" i="42"/>
  <c r="AL423" i="42"/>
  <c r="AH380" i="42"/>
  <c r="AK380" i="42"/>
  <c r="AE380" i="42"/>
  <c r="O423" i="42"/>
  <c r="X423" i="42"/>
  <c r="Q423" i="42"/>
  <c r="AJ380" i="42"/>
  <c r="O380" i="42"/>
  <c r="I380" i="42"/>
  <c r="AF423" i="42"/>
  <c r="Y380" i="42"/>
  <c r="U380" i="42"/>
  <c r="P380" i="42"/>
  <c r="P423" i="42"/>
  <c r="AM423" i="42"/>
  <c r="AC423" i="42"/>
  <c r="E370" i="42"/>
  <c r="E371" i="42" s="1"/>
  <c r="AI380" i="42"/>
  <c r="AB380" i="42"/>
  <c r="X380" i="42"/>
  <c r="W380" i="42"/>
  <c r="Q380" i="42"/>
  <c r="T423" i="42"/>
  <c r="Y423" i="42"/>
  <c r="R423" i="42"/>
  <c r="J380" i="42"/>
  <c r="L380" i="42"/>
  <c r="AG380" i="42"/>
  <c r="AG423" i="42"/>
  <c r="AN423" i="42"/>
  <c r="AD423" i="42"/>
  <c r="AL380" i="42"/>
  <c r="Z380" i="42"/>
  <c r="R380" i="42"/>
  <c r="AH423" i="42"/>
  <c r="K423" i="42"/>
  <c r="K367" i="42" s="1"/>
  <c r="S423" i="42"/>
  <c r="K380" i="42"/>
  <c r="AN380" i="42"/>
  <c r="U423" i="42"/>
  <c r="Z423" i="42"/>
  <c r="AJ7" i="42"/>
  <c r="AJ12" i="42" s="1"/>
  <c r="AF229" i="42"/>
  <c r="AG230" i="42"/>
  <c r="AJ116" i="42"/>
  <c r="AD227" i="42"/>
  <c r="AH231" i="42"/>
  <c r="AE269" i="42"/>
  <c r="AD268" i="42"/>
  <c r="AF270" i="42"/>
  <c r="AG271" i="42"/>
  <c r="T464" i="42"/>
  <c r="Q464" i="42"/>
  <c r="N464" i="42"/>
  <c r="AL464" i="42"/>
  <c r="AI464" i="42"/>
  <c r="AF464" i="42"/>
  <c r="Z464" i="42"/>
  <c r="W464" i="42"/>
  <c r="AC464" i="42"/>
  <c r="AN466" i="42"/>
  <c r="AK466" i="42"/>
  <c r="AH466" i="42"/>
  <c r="AE466" i="42"/>
  <c r="AB466" i="42"/>
  <c r="Y466" i="42"/>
  <c r="V466" i="42"/>
  <c r="S466" i="42"/>
  <c r="P466" i="42"/>
  <c r="AL424" i="42"/>
  <c r="Z424" i="42"/>
  <c r="N424" i="42"/>
  <c r="AK424" i="42"/>
  <c r="Y424" i="42"/>
  <c r="M424" i="42"/>
  <c r="AJ424" i="42"/>
  <c r="X424" i="42"/>
  <c r="L424" i="42"/>
  <c r="AG424" i="42"/>
  <c r="R424" i="42"/>
  <c r="AF424" i="42"/>
  <c r="Q424" i="42"/>
  <c r="AE424" i="42"/>
  <c r="P424" i="42"/>
  <c r="AD424" i="42"/>
  <c r="O424" i="42"/>
  <c r="AC424" i="42"/>
  <c r="AB424" i="42"/>
  <c r="AA424" i="42"/>
  <c r="S424" i="42"/>
  <c r="AI424" i="42"/>
  <c r="AH424" i="42"/>
  <c r="AN424" i="42"/>
  <c r="AM424" i="42"/>
  <c r="U424" i="42"/>
  <c r="V424" i="42"/>
  <c r="T424" i="42"/>
  <c r="W424" i="42"/>
  <c r="AE426" i="42"/>
  <c r="S426" i="42"/>
  <c r="AD426" i="42"/>
  <c r="R426" i="42"/>
  <c r="AC426" i="42"/>
  <c r="Q426" i="42"/>
  <c r="AN426" i="42"/>
  <c r="AB426" i="42"/>
  <c r="P426" i="42"/>
  <c r="AF426" i="42"/>
  <c r="AA426" i="42"/>
  <c r="Z426" i="42"/>
  <c r="Y426" i="42"/>
  <c r="X426" i="42"/>
  <c r="AM426" i="42"/>
  <c r="W426" i="42"/>
  <c r="AL426" i="42"/>
  <c r="V426" i="42"/>
  <c r="AK426" i="42"/>
  <c r="AI426" i="42"/>
  <c r="AH426" i="42"/>
  <c r="U426" i="42"/>
  <c r="T426" i="42"/>
  <c r="O426" i="42"/>
  <c r="AJ426" i="42"/>
  <c r="AG426" i="42"/>
  <c r="N426" i="42"/>
  <c r="L368" i="42"/>
  <c r="AL383" i="42"/>
  <c r="Z383" i="42"/>
  <c r="N383" i="42"/>
  <c r="AK383" i="42"/>
  <c r="Y383" i="42"/>
  <c r="M383" i="42"/>
  <c r="AJ383" i="42"/>
  <c r="X383" i="42"/>
  <c r="L383" i="42"/>
  <c r="AG383" i="42"/>
  <c r="R383" i="42"/>
  <c r="Q383" i="42"/>
  <c r="AF383" i="42"/>
  <c r="AE383" i="42"/>
  <c r="P383" i="42"/>
  <c r="AD383" i="42"/>
  <c r="O383" i="42"/>
  <c r="AC383" i="42"/>
  <c r="AB383" i="42"/>
  <c r="V383" i="42"/>
  <c r="T383" i="42"/>
  <c r="AN383" i="42"/>
  <c r="AM383" i="42"/>
  <c r="AI383" i="42"/>
  <c r="U383" i="42"/>
  <c r="S383" i="42"/>
  <c r="AH383" i="42"/>
  <c r="AA383" i="42"/>
  <c r="W383" i="42"/>
  <c r="AB379" i="42"/>
  <c r="P379" i="42"/>
  <c r="AL379" i="42"/>
  <c r="Z379" i="42"/>
  <c r="N379" i="42"/>
  <c r="AI379" i="42"/>
  <c r="U379" i="42"/>
  <c r="T379" i="42"/>
  <c r="AH379" i="42"/>
  <c r="AG379" i="42"/>
  <c r="S379" i="42"/>
  <c r="AF379" i="42"/>
  <c r="R379" i="42"/>
  <c r="AE379" i="42"/>
  <c r="Q379" i="42"/>
  <c r="AD379" i="42"/>
  <c r="O379" i="42"/>
  <c r="Y379" i="42"/>
  <c r="W379" i="42"/>
  <c r="K379" i="42"/>
  <c r="AM379" i="42"/>
  <c r="J379" i="42"/>
  <c r="AK379" i="42"/>
  <c r="I379" i="42"/>
  <c r="X379" i="42"/>
  <c r="V379" i="42"/>
  <c r="M379" i="42"/>
  <c r="L379" i="42"/>
  <c r="H379" i="42"/>
  <c r="AJ379" i="42"/>
  <c r="AC379" i="42"/>
  <c r="AA379" i="42"/>
  <c r="AE385" i="42"/>
  <c r="S385" i="42"/>
  <c r="AD385" i="42"/>
  <c r="R385" i="42"/>
  <c r="AC385" i="42"/>
  <c r="Q385" i="42"/>
  <c r="AN385" i="42"/>
  <c r="AB385" i="42"/>
  <c r="P385" i="42"/>
  <c r="AA385" i="42"/>
  <c r="Z385" i="42"/>
  <c r="Y385" i="42"/>
  <c r="X385" i="42"/>
  <c r="AM385" i="42"/>
  <c r="W385" i="42"/>
  <c r="AL385" i="42"/>
  <c r="V385" i="42"/>
  <c r="AK385" i="42"/>
  <c r="U385" i="42"/>
  <c r="AI385" i="42"/>
  <c r="T385" i="42"/>
  <c r="O385" i="42"/>
  <c r="N385" i="42"/>
  <c r="AJ385" i="42"/>
  <c r="AH385" i="42"/>
  <c r="AG385" i="42"/>
  <c r="AF385" i="42"/>
  <c r="AK378" i="42"/>
  <c r="Y378" i="42"/>
  <c r="M378" i="42"/>
  <c r="AI378" i="42"/>
  <c r="W378" i="42"/>
  <c r="K378" i="42"/>
  <c r="Z378" i="42"/>
  <c r="J378" i="42"/>
  <c r="X378" i="42"/>
  <c r="I378" i="42"/>
  <c r="AL378" i="42"/>
  <c r="V378" i="42"/>
  <c r="H378" i="42"/>
  <c r="AJ378" i="42"/>
  <c r="U378" i="42"/>
  <c r="G378" i="42"/>
  <c r="G366" i="42" s="1"/>
  <c r="AH378" i="42"/>
  <c r="T378" i="42"/>
  <c r="AG378" i="42"/>
  <c r="S378" i="42"/>
  <c r="AD378" i="42"/>
  <c r="AB378" i="42"/>
  <c r="P378" i="42"/>
  <c r="O378" i="42"/>
  <c r="N378" i="42"/>
  <c r="AC378" i="42"/>
  <c r="AA378" i="42"/>
  <c r="R378" i="42"/>
  <c r="Q378" i="42"/>
  <c r="AE378" i="42"/>
  <c r="AF378" i="42"/>
  <c r="L378" i="42"/>
  <c r="J218" i="42"/>
  <c r="M313" i="42"/>
  <c r="AN313" i="42"/>
  <c r="AK313" i="42"/>
  <c r="AH313" i="42"/>
  <c r="AE313" i="42"/>
  <c r="AB313" i="42"/>
  <c r="Y313" i="42"/>
  <c r="V313" i="42"/>
  <c r="S313" i="42"/>
  <c r="P313" i="42"/>
  <c r="AE273" i="42"/>
  <c r="S273" i="42"/>
  <c r="AC273" i="42"/>
  <c r="Q273" i="42"/>
  <c r="AG273" i="42"/>
  <c r="R273" i="42"/>
  <c r="AD273" i="42"/>
  <c r="O273" i="42"/>
  <c r="AB273" i="42"/>
  <c r="N273" i="42"/>
  <c r="AA273" i="42"/>
  <c r="M273" i="42"/>
  <c r="Z273" i="42"/>
  <c r="L273" i="42"/>
  <c r="X273" i="42"/>
  <c r="W273" i="42"/>
  <c r="V273" i="42"/>
  <c r="U273" i="42"/>
  <c r="AI273" i="42"/>
  <c r="AH273" i="42"/>
  <c r="AF273" i="42"/>
  <c r="Y273" i="42"/>
  <c r="T273" i="42"/>
  <c r="P273" i="42"/>
  <c r="K273" i="42"/>
  <c r="AE232" i="42"/>
  <c r="S232" i="42"/>
  <c r="AC232" i="42"/>
  <c r="Q232" i="42"/>
  <c r="Z232" i="42"/>
  <c r="L232" i="42"/>
  <c r="Y232" i="42"/>
  <c r="K232" i="42"/>
  <c r="AA232" i="42"/>
  <c r="W232" i="42"/>
  <c r="V232" i="42"/>
  <c r="AI232" i="42"/>
  <c r="R232" i="42"/>
  <c r="X232" i="42"/>
  <c r="U232" i="42"/>
  <c r="T232" i="42"/>
  <c r="AH232" i="42"/>
  <c r="AB232" i="42"/>
  <c r="P232" i="42"/>
  <c r="O232" i="42"/>
  <c r="N232" i="42"/>
  <c r="AG232" i="42"/>
  <c r="AF232" i="42"/>
  <c r="AD232" i="42"/>
  <c r="M232" i="42"/>
  <c r="AI115" i="42"/>
  <c r="F65" i="42"/>
  <c r="F66" i="42" s="1"/>
  <c r="AK117" i="42"/>
  <c r="AH114" i="42"/>
  <c r="I62" i="42"/>
  <c r="I61" i="42"/>
  <c r="AA162" i="42"/>
  <c r="X162" i="42"/>
  <c r="U162" i="42"/>
  <c r="R162" i="42"/>
  <c r="O162" i="42"/>
  <c r="AM162" i="42"/>
  <c r="AJ162" i="42"/>
  <c r="AG162" i="42"/>
  <c r="AD162" i="42"/>
  <c r="AH120" i="42"/>
  <c r="V120" i="42"/>
  <c r="AD120" i="42"/>
  <c r="R120" i="42"/>
  <c r="AG120" i="42"/>
  <c r="U120" i="42"/>
  <c r="AF120" i="42"/>
  <c r="T120" i="42"/>
  <c r="AE120" i="42"/>
  <c r="S120" i="42"/>
  <c r="AC120" i="42"/>
  <c r="Q120" i="42"/>
  <c r="AN120" i="42"/>
  <c r="AB120" i="42"/>
  <c r="P120" i="42"/>
  <c r="N120" i="42"/>
  <c r="AK120" i="42"/>
  <c r="AM120" i="42"/>
  <c r="M120" i="42"/>
  <c r="AL120" i="42"/>
  <c r="O120" i="42"/>
  <c r="AJ120" i="42"/>
  <c r="AI120" i="42"/>
  <c r="AA120" i="42"/>
  <c r="X120" i="42"/>
  <c r="W120" i="42"/>
  <c r="Y120" i="42"/>
  <c r="Z120" i="42"/>
  <c r="AH79" i="42"/>
  <c r="V79" i="42"/>
  <c r="AF79" i="42"/>
  <c r="T79" i="42"/>
  <c r="AG79" i="42"/>
  <c r="R79" i="42"/>
  <c r="AE79" i="42"/>
  <c r="Q79" i="42"/>
  <c r="O79" i="42"/>
  <c r="AD79" i="42"/>
  <c r="P79" i="42"/>
  <c r="AC79" i="42"/>
  <c r="AL79" i="42"/>
  <c r="N79" i="42"/>
  <c r="Z79" i="42"/>
  <c r="AK79" i="42"/>
  <c r="M79" i="42"/>
  <c r="AJ79" i="42"/>
  <c r="AI79" i="42"/>
  <c r="AB79" i="42"/>
  <c r="AA79" i="42"/>
  <c r="Y79" i="42"/>
  <c r="S79" i="42"/>
  <c r="X79" i="42"/>
  <c r="W79" i="42"/>
  <c r="AN79" i="42"/>
  <c r="AM79" i="42"/>
  <c r="U79" i="42"/>
  <c r="H62" i="42"/>
  <c r="M200" i="41"/>
  <c r="M202" i="41" s="1"/>
  <c r="E220" i="41"/>
  <c r="E221" i="41" s="1"/>
  <c r="AM380" i="41"/>
  <c r="AL379" i="41"/>
  <c r="AK378" i="41"/>
  <c r="AH380" i="41"/>
  <c r="AF378" i="41"/>
  <c r="T464" i="41"/>
  <c r="Q464" i="41"/>
  <c r="N464" i="41"/>
  <c r="AL464" i="41"/>
  <c r="W464" i="41"/>
  <c r="Z464" i="41"/>
  <c r="AI464" i="41"/>
  <c r="AF464" i="41"/>
  <c r="AC464" i="41"/>
  <c r="AI377" i="41"/>
  <c r="W377" i="41"/>
  <c r="K377" i="41"/>
  <c r="AG377" i="41"/>
  <c r="U377" i="41"/>
  <c r="I377" i="41"/>
  <c r="I366" i="41" s="1"/>
  <c r="AH377" i="41"/>
  <c r="S377" i="41"/>
  <c r="AF377" i="41"/>
  <c r="R377" i="41"/>
  <c r="T377" i="41"/>
  <c r="Q377" i="41"/>
  <c r="AJ377" i="41"/>
  <c r="P377" i="41"/>
  <c r="AE377" i="41"/>
  <c r="O377" i="41"/>
  <c r="AD377" i="41"/>
  <c r="N377" i="41"/>
  <c r="X377" i="41"/>
  <c r="V377" i="41"/>
  <c r="M377" i="41"/>
  <c r="L377" i="41"/>
  <c r="AA377" i="41"/>
  <c r="Z377" i="41"/>
  <c r="Y377" i="41"/>
  <c r="J377" i="41"/>
  <c r="H377" i="41"/>
  <c r="H366" i="41" s="1"/>
  <c r="G377" i="41"/>
  <c r="G366" i="41" s="1"/>
  <c r="F377" i="41"/>
  <c r="F366" i="41" s="1"/>
  <c r="F370" i="41" s="1"/>
  <c r="F371" i="41" s="1"/>
  <c r="AC377" i="41"/>
  <c r="AB377" i="41"/>
  <c r="O4" i="41"/>
  <c r="P4" i="41" s="1"/>
  <c r="Z4" i="41"/>
  <c r="N7" i="41"/>
  <c r="E366" i="41"/>
  <c r="E370" i="41" s="1"/>
  <c r="E371" i="41" s="1"/>
  <c r="AG115" i="41"/>
  <c r="AI117" i="41"/>
  <c r="AH116" i="41"/>
  <c r="AF114" i="41"/>
  <c r="AE113" i="41"/>
  <c r="AF270" i="41"/>
  <c r="AE269" i="41"/>
  <c r="AD268" i="41"/>
  <c r="AG271" i="41"/>
  <c r="AH272" i="41"/>
  <c r="AI229" i="41"/>
  <c r="AK231" i="41"/>
  <c r="AK377" i="41"/>
  <c r="AJ230" i="41"/>
  <c r="AH228" i="41"/>
  <c r="AG227" i="41"/>
  <c r="AK4" i="41"/>
  <c r="AK7" i="41" s="1"/>
  <c r="Y7" i="41"/>
  <c r="M313" i="41"/>
  <c r="AN313" i="41"/>
  <c r="AB313" i="41"/>
  <c r="Y313" i="41"/>
  <c r="V313" i="41"/>
  <c r="S313" i="41"/>
  <c r="AK313" i="41"/>
  <c r="AH313" i="41"/>
  <c r="AE313" i="41"/>
  <c r="P313" i="41"/>
  <c r="E65" i="41"/>
  <c r="E66" i="41" s="1"/>
  <c r="H62" i="22"/>
  <c r="I367" i="22"/>
  <c r="I62" i="22"/>
  <c r="G217" i="41"/>
  <c r="G62" i="41"/>
  <c r="G65" i="41" s="1"/>
  <c r="G66" i="41" s="1"/>
  <c r="I217" i="41"/>
  <c r="G367" i="41"/>
  <c r="H216" i="41"/>
  <c r="I61" i="41"/>
  <c r="I62" i="41"/>
  <c r="AM4" i="19"/>
  <c r="J366" i="19"/>
  <c r="K367" i="19"/>
  <c r="H366" i="19"/>
  <c r="I216" i="19"/>
  <c r="I61" i="19"/>
  <c r="G61" i="19"/>
  <c r="G65" i="19" s="1"/>
  <c r="G66" i="19" s="1"/>
  <c r="W45" i="16"/>
  <c r="L368" i="20"/>
  <c r="J23" i="20"/>
  <c r="O45" i="20"/>
  <c r="O47" i="20" s="1"/>
  <c r="F366" i="42"/>
  <c r="F370" i="42" s="1"/>
  <c r="F371" i="42" s="1"/>
  <c r="I367" i="42"/>
  <c r="K368" i="42"/>
  <c r="H367" i="42"/>
  <c r="H216" i="42"/>
  <c r="H220" i="42" s="1"/>
  <c r="H221" i="42" s="1"/>
  <c r="G216" i="42"/>
  <c r="G220" i="42" s="1"/>
  <c r="G221" i="42" s="1"/>
  <c r="I216" i="42"/>
  <c r="I220" i="42" s="1"/>
  <c r="I221" i="42" s="1"/>
  <c r="H61" i="42"/>
  <c r="L63" i="42"/>
  <c r="J216" i="42"/>
  <c r="M60" i="42"/>
  <c r="M59" i="42"/>
  <c r="M58" i="42"/>
  <c r="M52" i="42"/>
  <c r="J217" i="42"/>
  <c r="M368" i="42"/>
  <c r="P36" i="42"/>
  <c r="O45" i="42"/>
  <c r="O47" i="42" s="1"/>
  <c r="O49" i="42" s="1"/>
  <c r="O50" i="42" s="1"/>
  <c r="O350" i="42"/>
  <c r="O352" i="42" s="1"/>
  <c r="J23" i="42"/>
  <c r="N15" i="42"/>
  <c r="N20" i="42"/>
  <c r="I367" i="41"/>
  <c r="H367" i="41"/>
  <c r="H217" i="41"/>
  <c r="I216" i="41"/>
  <c r="J218" i="41"/>
  <c r="G216" i="41"/>
  <c r="F220" i="41"/>
  <c r="F221" i="41" s="1"/>
  <c r="F65" i="41"/>
  <c r="F66" i="41" s="1"/>
  <c r="H62" i="41"/>
  <c r="M45" i="41"/>
  <c r="M350" i="41"/>
  <c r="M352" i="41" s="1"/>
  <c r="M354" i="41" s="1"/>
  <c r="M355" i="41" s="1"/>
  <c r="L364" i="41"/>
  <c r="L365" i="41"/>
  <c r="L465" i="41" s="1"/>
  <c r="L363" i="41"/>
  <c r="K368" i="41"/>
  <c r="J23" i="41"/>
  <c r="K49" i="41"/>
  <c r="H367" i="23"/>
  <c r="H216" i="23"/>
  <c r="H217" i="23"/>
  <c r="F220" i="23"/>
  <c r="F221" i="23" s="1"/>
  <c r="G216" i="23"/>
  <c r="I216" i="23"/>
  <c r="G217" i="23"/>
  <c r="H61" i="23"/>
  <c r="H65" i="23" s="1"/>
  <c r="H66" i="23" s="1"/>
  <c r="L368" i="23"/>
  <c r="K368" i="23"/>
  <c r="L63" i="23"/>
  <c r="J367" i="23"/>
  <c r="K23" i="23"/>
  <c r="J216" i="23"/>
  <c r="AM7" i="23"/>
  <c r="AA7" i="23"/>
  <c r="K368" i="22"/>
  <c r="H216" i="22"/>
  <c r="I216" i="22"/>
  <c r="I217" i="22"/>
  <c r="G216" i="22"/>
  <c r="F220" i="22"/>
  <c r="F221" i="22" s="1"/>
  <c r="G217" i="22"/>
  <c r="H217" i="22"/>
  <c r="K367" i="22"/>
  <c r="L364" i="22"/>
  <c r="L365" i="22"/>
  <c r="L465" i="22" s="1"/>
  <c r="L363" i="22"/>
  <c r="M202" i="22"/>
  <c r="J23" i="22"/>
  <c r="N45" i="22"/>
  <c r="N47" i="22" s="1"/>
  <c r="N49" i="22" s="1"/>
  <c r="N200" i="22"/>
  <c r="N202" i="22" s="1"/>
  <c r="N204" i="22" s="1"/>
  <c r="N350" i="22"/>
  <c r="N352" i="22" s="1"/>
  <c r="N354" i="22" s="1"/>
  <c r="N355" i="22" s="1"/>
  <c r="N365" i="22" s="1"/>
  <c r="J367" i="22"/>
  <c r="L49" i="22"/>
  <c r="J62" i="22"/>
  <c r="M354" i="22"/>
  <c r="M355" i="22" s="1"/>
  <c r="M47" i="22"/>
  <c r="P7" i="22"/>
  <c r="AM4" i="22"/>
  <c r="AM7" i="22" s="1"/>
  <c r="AA7" i="22"/>
  <c r="I366" i="19"/>
  <c r="L367" i="19"/>
  <c r="G220" i="19"/>
  <c r="G221" i="19" s="1"/>
  <c r="F220" i="19"/>
  <c r="F221" i="19" s="1"/>
  <c r="H61" i="19"/>
  <c r="F65" i="19"/>
  <c r="F66" i="19" s="1"/>
  <c r="N49" i="19"/>
  <c r="N50" i="19" s="1"/>
  <c r="N60" i="19" s="1"/>
  <c r="O45" i="19"/>
  <c r="O349" i="19"/>
  <c r="O351" i="19" s="1"/>
  <c r="O353" i="19" s="1"/>
  <c r="O354" i="19" s="1"/>
  <c r="O364" i="19" s="1"/>
  <c r="L424" i="19"/>
  <c r="L383" i="19"/>
  <c r="L368" i="19"/>
  <c r="J62" i="19"/>
  <c r="O7" i="19"/>
  <c r="O20" i="19"/>
  <c r="P15" i="19"/>
  <c r="N7" i="19"/>
  <c r="M7" i="19"/>
  <c r="X7" i="19"/>
  <c r="AJ7" i="19"/>
  <c r="H367" i="20"/>
  <c r="J368" i="20"/>
  <c r="G367" i="20"/>
  <c r="E366" i="20"/>
  <c r="E370" i="20" s="1"/>
  <c r="E371" i="20" s="1"/>
  <c r="I367" i="20"/>
  <c r="H61" i="20"/>
  <c r="AF75" i="20"/>
  <c r="AE74" i="20"/>
  <c r="AG76" i="20"/>
  <c r="AC72" i="20"/>
  <c r="I62" i="20"/>
  <c r="K368" i="20"/>
  <c r="M49" i="20"/>
  <c r="M50" i="20" s="1"/>
  <c r="N363" i="20"/>
  <c r="N364" i="20"/>
  <c r="N365" i="20"/>
  <c r="N467" i="20" s="1"/>
  <c r="L63" i="20"/>
  <c r="O350" i="20"/>
  <c r="O352" i="20" s="1"/>
  <c r="O354" i="20" s="1"/>
  <c r="O355" i="20" s="1"/>
  <c r="F65" i="20"/>
  <c r="F66" i="20" s="1"/>
  <c r="K217" i="20"/>
  <c r="J367" i="20"/>
  <c r="H62" i="20"/>
  <c r="Z7" i="20"/>
  <c r="AL4" i="20"/>
  <c r="AL7" i="20" s="1"/>
  <c r="O15" i="20"/>
  <c r="O7" i="20"/>
  <c r="AA4" i="20"/>
  <c r="P7" i="20"/>
  <c r="AB4" i="20"/>
  <c r="K215" i="42"/>
  <c r="K214" i="42"/>
  <c r="K213" i="42"/>
  <c r="K207" i="42"/>
  <c r="N60" i="42"/>
  <c r="N58" i="42"/>
  <c r="N59" i="42"/>
  <c r="N52" i="42"/>
  <c r="AL377" i="42"/>
  <c r="K119" i="42"/>
  <c r="N365" i="42"/>
  <c r="N364" i="42"/>
  <c r="N363" i="42"/>
  <c r="K64" i="42"/>
  <c r="K78" i="42"/>
  <c r="AJ232" i="42"/>
  <c r="K161" i="42"/>
  <c r="M202" i="42"/>
  <c r="N200" i="42"/>
  <c r="J367" i="42"/>
  <c r="J118" i="42"/>
  <c r="J77" i="42"/>
  <c r="J64" i="42"/>
  <c r="J160" i="42"/>
  <c r="K314" i="41"/>
  <c r="AE111" i="41"/>
  <c r="N200" i="41"/>
  <c r="AI48" i="41"/>
  <c r="N59" i="23"/>
  <c r="N58" i="23"/>
  <c r="N60" i="23"/>
  <c r="N52" i="23"/>
  <c r="L215" i="23"/>
  <c r="L213" i="23"/>
  <c r="L214" i="23"/>
  <c r="L207" i="23"/>
  <c r="K314" i="23"/>
  <c r="K233" i="23"/>
  <c r="K219" i="23"/>
  <c r="N363" i="23"/>
  <c r="N364" i="23"/>
  <c r="N365" i="23"/>
  <c r="J77" i="23"/>
  <c r="J64" i="23"/>
  <c r="M64" i="23"/>
  <c r="M80" i="23"/>
  <c r="J160" i="23"/>
  <c r="M215" i="23"/>
  <c r="M214" i="23"/>
  <c r="M213" i="23"/>
  <c r="M9" i="23" s="1"/>
  <c r="M21" i="23" s="1"/>
  <c r="M207" i="23"/>
  <c r="M121" i="23"/>
  <c r="M51" i="23"/>
  <c r="J118" i="23"/>
  <c r="P200" i="23"/>
  <c r="AE111" i="23"/>
  <c r="J217" i="23"/>
  <c r="O202" i="23"/>
  <c r="N204" i="23"/>
  <c r="N205" i="23" s="1"/>
  <c r="M163" i="23"/>
  <c r="K274" i="23"/>
  <c r="J232" i="22"/>
  <c r="J219" i="22"/>
  <c r="AG48" i="22"/>
  <c r="AH111" i="22"/>
  <c r="AN118" i="22" s="1"/>
  <c r="L315" i="22"/>
  <c r="K274" i="22"/>
  <c r="K219" i="22"/>
  <c r="K233" i="22"/>
  <c r="L275" i="22"/>
  <c r="J313" i="22"/>
  <c r="J273" i="22"/>
  <c r="K314" i="22"/>
  <c r="L234" i="22"/>
  <c r="L219" i="22"/>
  <c r="N363" i="19"/>
  <c r="N364" i="19"/>
  <c r="N362" i="19"/>
  <c r="L120" i="19"/>
  <c r="K214" i="19"/>
  <c r="K215" i="19"/>
  <c r="K213" i="19"/>
  <c r="K21" i="19" s="1"/>
  <c r="K207" i="19"/>
  <c r="L64" i="19"/>
  <c r="L79" i="19"/>
  <c r="L162" i="19"/>
  <c r="M51" i="19"/>
  <c r="M121" i="19"/>
  <c r="J232" i="19"/>
  <c r="J219" i="19"/>
  <c r="N200" i="19"/>
  <c r="J61" i="19"/>
  <c r="M64" i="19"/>
  <c r="M80" i="19"/>
  <c r="L205" i="19"/>
  <c r="M163" i="19"/>
  <c r="AK118" i="19"/>
  <c r="J367" i="19"/>
  <c r="J273" i="19"/>
  <c r="M202" i="19"/>
  <c r="AD268" i="19"/>
  <c r="AJ374" i="19"/>
  <c r="AK376" i="19" s="1"/>
  <c r="J313" i="19"/>
  <c r="L213" i="20"/>
  <c r="L214" i="20"/>
  <c r="L215" i="20"/>
  <c r="L207" i="20"/>
  <c r="K119" i="20"/>
  <c r="AG162" i="20"/>
  <c r="AD162" i="20"/>
  <c r="AA162" i="20"/>
  <c r="X162" i="20"/>
  <c r="U162" i="20"/>
  <c r="O162" i="20"/>
  <c r="R162" i="20"/>
  <c r="AM162" i="20"/>
  <c r="AJ162" i="20"/>
  <c r="AK79" i="20"/>
  <c r="Y79" i="20"/>
  <c r="M79" i="20"/>
  <c r="AI79" i="20"/>
  <c r="W79" i="20"/>
  <c r="AJ79" i="20"/>
  <c r="U79" i="20"/>
  <c r="AH79" i="20"/>
  <c r="T79" i="20"/>
  <c r="AG79" i="20"/>
  <c r="S79" i="20"/>
  <c r="AF79" i="20"/>
  <c r="R79" i="20"/>
  <c r="AB79" i="20"/>
  <c r="X79" i="20"/>
  <c r="AA79" i="20"/>
  <c r="Z79" i="20"/>
  <c r="Q79" i="20"/>
  <c r="P79" i="20"/>
  <c r="AD79" i="20"/>
  <c r="AC79" i="20"/>
  <c r="V79" i="20"/>
  <c r="O79" i="20"/>
  <c r="N79" i="20"/>
  <c r="AE79" i="20"/>
  <c r="O200" i="20"/>
  <c r="K64" i="20"/>
  <c r="K78" i="20"/>
  <c r="AL378" i="20"/>
  <c r="N202" i="20"/>
  <c r="K161" i="20"/>
  <c r="K63" i="20" s="1"/>
  <c r="J118" i="20"/>
  <c r="AK274" i="20"/>
  <c r="J77" i="20"/>
  <c r="J64" i="20"/>
  <c r="M204" i="20"/>
  <c r="M205" i="20" s="1"/>
  <c r="J160" i="20"/>
  <c r="J63" i="20" s="1"/>
  <c r="G61" i="20"/>
  <c r="G65" i="20" s="1"/>
  <c r="G66" i="20" s="1"/>
  <c r="I61" i="20"/>
  <c r="AI116" i="20"/>
  <c r="AJ117" i="20"/>
  <c r="AF113" i="20"/>
  <c r="N49" i="20"/>
  <c r="N50" i="20" s="1"/>
  <c r="AF50" i="73"/>
  <c r="T50" i="73"/>
  <c r="Y74" i="73"/>
  <c r="I216" i="20" l="1"/>
  <c r="I220" i="20" s="1"/>
  <c r="I221" i="20" s="1"/>
  <c r="I220" i="19"/>
  <c r="I221" i="19" s="1"/>
  <c r="O120" i="23"/>
  <c r="AG120" i="23"/>
  <c r="Q120" i="23"/>
  <c r="R120" i="23"/>
  <c r="AD120" i="23"/>
  <c r="S120" i="23"/>
  <c r="AC120" i="23"/>
  <c r="W120" i="23"/>
  <c r="X120" i="23"/>
  <c r="AE120" i="23"/>
  <c r="AB120" i="23"/>
  <c r="T120" i="23"/>
  <c r="Y120" i="23"/>
  <c r="AK120" i="23"/>
  <c r="AA120" i="23"/>
  <c r="U120" i="23"/>
  <c r="AI120" i="23"/>
  <c r="V120" i="23"/>
  <c r="N120" i="23"/>
  <c r="P120" i="23"/>
  <c r="AH120" i="23"/>
  <c r="M120" i="23"/>
  <c r="AL120" i="23"/>
  <c r="Z120" i="23"/>
  <c r="AJ120" i="23"/>
  <c r="O364" i="23"/>
  <c r="O428" i="23" s="1"/>
  <c r="K63" i="22"/>
  <c r="J216" i="20"/>
  <c r="J220" i="20" s="1"/>
  <c r="J221" i="20" s="1"/>
  <c r="O363" i="23"/>
  <c r="O387" i="23" s="1"/>
  <c r="Z161" i="22"/>
  <c r="AC161" i="22"/>
  <c r="T161" i="22"/>
  <c r="W161" i="22"/>
  <c r="AL161" i="22"/>
  <c r="Q161" i="22"/>
  <c r="N161" i="22"/>
  <c r="AF161" i="22"/>
  <c r="K61" i="22"/>
  <c r="R209" i="42"/>
  <c r="R210" i="42" s="1"/>
  <c r="M10" i="23"/>
  <c r="M23" i="23" s="1"/>
  <c r="H65" i="41"/>
  <c r="H66" i="41" s="1"/>
  <c r="Z120" i="20"/>
  <c r="AK120" i="20"/>
  <c r="N120" i="20"/>
  <c r="AD120" i="20"/>
  <c r="O120" i="20"/>
  <c r="U120" i="20"/>
  <c r="V120" i="20"/>
  <c r="AL120" i="20"/>
  <c r="AE120" i="20"/>
  <c r="T120" i="20"/>
  <c r="P120" i="20"/>
  <c r="AM120" i="20"/>
  <c r="AB120" i="20"/>
  <c r="AF120" i="20"/>
  <c r="M120" i="20"/>
  <c r="S120" i="20"/>
  <c r="AA120" i="20"/>
  <c r="AN4" i="19"/>
  <c r="AG120" i="20"/>
  <c r="Q120" i="20"/>
  <c r="W120" i="20"/>
  <c r="AH120" i="20"/>
  <c r="AC120" i="20"/>
  <c r="AN120" i="20"/>
  <c r="X120" i="20"/>
  <c r="R120" i="20"/>
  <c r="AJ120" i="20"/>
  <c r="Y120" i="20"/>
  <c r="L23" i="20"/>
  <c r="L21" i="20"/>
  <c r="I65" i="19"/>
  <c r="I66" i="19" s="1"/>
  <c r="G369" i="19"/>
  <c r="G370" i="19" s="1"/>
  <c r="Z7" i="23"/>
  <c r="P365" i="23"/>
  <c r="P469" i="23" s="1"/>
  <c r="P368" i="23" s="1"/>
  <c r="P364" i="23"/>
  <c r="P363" i="23"/>
  <c r="Q59" i="52"/>
  <c r="O71" i="63"/>
  <c r="Q71" i="63" s="1"/>
  <c r="Q59" i="63"/>
  <c r="Q45" i="23"/>
  <c r="Q350" i="23"/>
  <c r="Q352" i="23" s="1"/>
  <c r="P47" i="23"/>
  <c r="P49" i="23" s="1"/>
  <c r="P50" i="23" s="1"/>
  <c r="P52" i="23" s="1"/>
  <c r="I65" i="23"/>
  <c r="I66" i="23" s="1"/>
  <c r="H65" i="19"/>
  <c r="H66" i="19" s="1"/>
  <c r="H366" i="23"/>
  <c r="H370" i="23" s="1"/>
  <c r="H371" i="23" s="1"/>
  <c r="I366" i="23"/>
  <c r="I370" i="23" s="1"/>
  <c r="I371" i="23" s="1"/>
  <c r="J18" i="41"/>
  <c r="K216" i="20"/>
  <c r="K220" i="20" s="1"/>
  <c r="K221" i="20" s="1"/>
  <c r="J366" i="23"/>
  <c r="J370" i="23" s="1"/>
  <c r="J371" i="23" s="1"/>
  <c r="K366" i="23"/>
  <c r="K370" i="23" s="1"/>
  <c r="K371" i="23" s="1"/>
  <c r="I365" i="19"/>
  <c r="I369" i="19" s="1"/>
  <c r="I370" i="19" s="1"/>
  <c r="J365" i="19"/>
  <c r="J23" i="19" s="1"/>
  <c r="AM378" i="19"/>
  <c r="AM59" i="66"/>
  <c r="J366" i="42"/>
  <c r="J370" i="42" s="1"/>
  <c r="J371" i="42" s="1"/>
  <c r="L367" i="42"/>
  <c r="I65" i="42"/>
  <c r="I66" i="42" s="1"/>
  <c r="G370" i="42"/>
  <c r="G371" i="42" s="1"/>
  <c r="M367" i="42"/>
  <c r="Q59" i="60"/>
  <c r="B11" i="45"/>
  <c r="G370" i="23"/>
  <c r="G371" i="23" s="1"/>
  <c r="AK377" i="23"/>
  <c r="AL378" i="23"/>
  <c r="AN380" i="23"/>
  <c r="P7" i="23"/>
  <c r="L367" i="23"/>
  <c r="AF268" i="23"/>
  <c r="AJ272" i="23"/>
  <c r="AI271" i="23"/>
  <c r="AH270" i="23"/>
  <c r="AK273" i="23"/>
  <c r="AG269" i="23"/>
  <c r="AF228" i="23"/>
  <c r="AE227" i="23"/>
  <c r="AG229" i="23"/>
  <c r="AH230" i="23"/>
  <c r="AJ232" i="23"/>
  <c r="AI231" i="23"/>
  <c r="K218" i="23"/>
  <c r="T314" i="23"/>
  <c r="Q314" i="23"/>
  <c r="N314" i="23"/>
  <c r="AC314" i="23"/>
  <c r="AF314" i="23"/>
  <c r="Z314" i="23"/>
  <c r="W314" i="23"/>
  <c r="AL314" i="23"/>
  <c r="AI314" i="23"/>
  <c r="K217" i="23"/>
  <c r="AL274" i="23"/>
  <c r="Z274" i="23"/>
  <c r="N274" i="23"/>
  <c r="AK274" i="23"/>
  <c r="Y274" i="23"/>
  <c r="M274" i="23"/>
  <c r="AJ274" i="23"/>
  <c r="X274" i="23"/>
  <c r="L274" i="23"/>
  <c r="AG274" i="23"/>
  <c r="R274" i="23"/>
  <c r="AF274" i="23"/>
  <c r="Q274" i="23"/>
  <c r="AE274" i="23"/>
  <c r="P274" i="23"/>
  <c r="U274" i="23"/>
  <c r="T274" i="23"/>
  <c r="S274" i="23"/>
  <c r="O274" i="23"/>
  <c r="AI274" i="23"/>
  <c r="AH274" i="23"/>
  <c r="AD274" i="23"/>
  <c r="AC274" i="23"/>
  <c r="AB274" i="23"/>
  <c r="AA274" i="23"/>
  <c r="W274" i="23"/>
  <c r="V274" i="23"/>
  <c r="K216" i="23"/>
  <c r="Z233" i="23"/>
  <c r="N233" i="23"/>
  <c r="AK233" i="23"/>
  <c r="Y233" i="23"/>
  <c r="AJ233" i="23"/>
  <c r="X233" i="23"/>
  <c r="L233" i="23"/>
  <c r="AH233" i="23"/>
  <c r="S233" i="23"/>
  <c r="AE233" i="23"/>
  <c r="AD233" i="23"/>
  <c r="AG233" i="23"/>
  <c r="R233" i="23"/>
  <c r="AF233" i="23"/>
  <c r="Q233" i="23"/>
  <c r="P233" i="23"/>
  <c r="AA233" i="23"/>
  <c r="W233" i="23"/>
  <c r="AB233" i="23"/>
  <c r="V233" i="23"/>
  <c r="U233" i="23"/>
  <c r="T233" i="23"/>
  <c r="O233" i="23"/>
  <c r="M233" i="23"/>
  <c r="AI233" i="23"/>
  <c r="AC233" i="23"/>
  <c r="AM274" i="23"/>
  <c r="AF113" i="23"/>
  <c r="AJ117" i="23"/>
  <c r="AG114" i="23"/>
  <c r="AH115" i="23"/>
  <c r="AL119" i="23"/>
  <c r="AI116" i="23"/>
  <c r="I220" i="23"/>
  <c r="I221" i="23" s="1"/>
  <c r="G220" i="23"/>
  <c r="G221" i="23" s="1"/>
  <c r="L366" i="23"/>
  <c r="AM120" i="23"/>
  <c r="J63" i="23"/>
  <c r="M160" i="23"/>
  <c r="M63" i="23" s="1"/>
  <c r="AN160" i="23"/>
  <c r="AK160" i="23"/>
  <c r="AH160" i="23"/>
  <c r="AE160" i="23"/>
  <c r="S160" i="23"/>
  <c r="P160" i="23"/>
  <c r="AB160" i="23"/>
  <c r="Y160" i="23"/>
  <c r="V160" i="23"/>
  <c r="AN163" i="23"/>
  <c r="AK163" i="23"/>
  <c r="AH163" i="23"/>
  <c r="AE163" i="23"/>
  <c r="AB163" i="23"/>
  <c r="Y163" i="23"/>
  <c r="V163" i="23"/>
  <c r="P163" i="23"/>
  <c r="S163" i="23"/>
  <c r="AE121" i="23"/>
  <c r="S121" i="23"/>
  <c r="AC121" i="23"/>
  <c r="Q121" i="23"/>
  <c r="AN121" i="23"/>
  <c r="AB121" i="23"/>
  <c r="P121" i="23"/>
  <c r="AM121" i="23"/>
  <c r="AA121" i="23"/>
  <c r="O121" i="23"/>
  <c r="AD121" i="23"/>
  <c r="Z121" i="23"/>
  <c r="Y121" i="23"/>
  <c r="X121" i="23"/>
  <c r="AI121" i="23"/>
  <c r="V121" i="23"/>
  <c r="U121" i="23"/>
  <c r="R121" i="23"/>
  <c r="AL121" i="23"/>
  <c r="AH121" i="23"/>
  <c r="AG121" i="23"/>
  <c r="AF121" i="23"/>
  <c r="W121" i="23"/>
  <c r="T121" i="23"/>
  <c r="N121" i="23"/>
  <c r="AJ121" i="23"/>
  <c r="AK121" i="23"/>
  <c r="J62" i="23"/>
  <c r="AE118" i="23"/>
  <c r="S118" i="23"/>
  <c r="AC118" i="23"/>
  <c r="Q118" i="23"/>
  <c r="AB118" i="23"/>
  <c r="P118" i="23"/>
  <c r="Y118" i="23"/>
  <c r="X118" i="23"/>
  <c r="W118" i="23"/>
  <c r="AK118" i="23"/>
  <c r="V118" i="23"/>
  <c r="AJ118" i="23"/>
  <c r="N118" i="23"/>
  <c r="Z118" i="23"/>
  <c r="T118" i="23"/>
  <c r="AI118" i="23"/>
  <c r="M118" i="23"/>
  <c r="AH118" i="23"/>
  <c r="L118" i="23"/>
  <c r="L62" i="23" s="1"/>
  <c r="AG118" i="23"/>
  <c r="K118" i="23"/>
  <c r="K62" i="23" s="1"/>
  <c r="AF118" i="23"/>
  <c r="AD118" i="23"/>
  <c r="AA118" i="23"/>
  <c r="U118" i="23"/>
  <c r="R118" i="23"/>
  <c r="O118" i="23"/>
  <c r="AE80" i="23"/>
  <c r="S80" i="23"/>
  <c r="AD80" i="23"/>
  <c r="R80" i="23"/>
  <c r="AM80" i="23"/>
  <c r="AA80" i="23"/>
  <c r="O80" i="23"/>
  <c r="AK80" i="23"/>
  <c r="V80" i="23"/>
  <c r="AJ80" i="23"/>
  <c r="U80" i="23"/>
  <c r="AI80" i="23"/>
  <c r="T80" i="23"/>
  <c r="AH80" i="23"/>
  <c r="Q80" i="23"/>
  <c r="AN80" i="23"/>
  <c r="AL80" i="23"/>
  <c r="AG80" i="23"/>
  <c r="AF80" i="23"/>
  <c r="Z80" i="23"/>
  <c r="Y80" i="23"/>
  <c r="X80" i="23"/>
  <c r="W80" i="23"/>
  <c r="P80" i="23"/>
  <c r="N80" i="23"/>
  <c r="AC80" i="23"/>
  <c r="AB80" i="23"/>
  <c r="J61" i="23"/>
  <c r="AE77" i="23"/>
  <c r="S77" i="23"/>
  <c r="AM77" i="23"/>
  <c r="AA77" i="23"/>
  <c r="O77" i="23"/>
  <c r="AG77" i="23"/>
  <c r="R77" i="23"/>
  <c r="AF77" i="23"/>
  <c r="Q77" i="23"/>
  <c r="AD77" i="23"/>
  <c r="P77" i="23"/>
  <c r="AC77" i="23"/>
  <c r="N77" i="23"/>
  <c r="AI77" i="23"/>
  <c r="K77" i="23"/>
  <c r="K61" i="23" s="1"/>
  <c r="AH77" i="23"/>
  <c r="AB77" i="23"/>
  <c r="Z77" i="23"/>
  <c r="W77" i="23"/>
  <c r="V77" i="23"/>
  <c r="AN77" i="23"/>
  <c r="U77" i="23"/>
  <c r="AL77" i="23"/>
  <c r="T77" i="23"/>
  <c r="AK77" i="23"/>
  <c r="M77" i="23"/>
  <c r="M61" i="23" s="1"/>
  <c r="AJ77" i="23"/>
  <c r="L77" i="23"/>
  <c r="L61" i="23" s="1"/>
  <c r="Y77" i="23"/>
  <c r="X77" i="23"/>
  <c r="AM379" i="22"/>
  <c r="AL378" i="22"/>
  <c r="AN380" i="22"/>
  <c r="L368" i="22"/>
  <c r="AD465" i="22"/>
  <c r="AA465" i="22"/>
  <c r="X465" i="22"/>
  <c r="U465" i="22"/>
  <c r="R465" i="22"/>
  <c r="O465" i="22"/>
  <c r="AM465" i="22"/>
  <c r="AJ465" i="22"/>
  <c r="AG465" i="22"/>
  <c r="H370" i="22"/>
  <c r="H371" i="22" s="1"/>
  <c r="I370" i="22"/>
  <c r="I371" i="22" s="1"/>
  <c r="G370" i="22"/>
  <c r="G371" i="22" s="1"/>
  <c r="H65" i="22"/>
  <c r="H66" i="22" s="1"/>
  <c r="AH230" i="22"/>
  <c r="AF228" i="22"/>
  <c r="AE227" i="22"/>
  <c r="AG229" i="22"/>
  <c r="AI231" i="22"/>
  <c r="AI272" i="22"/>
  <c r="AF269" i="22"/>
  <c r="AG270" i="22"/>
  <c r="AH271" i="22"/>
  <c r="J218" i="22"/>
  <c r="M313" i="22"/>
  <c r="AN313" i="22"/>
  <c r="AK313" i="22"/>
  <c r="AH313" i="22"/>
  <c r="AE313" i="22"/>
  <c r="AB313" i="22"/>
  <c r="Y313" i="22"/>
  <c r="V313" i="22"/>
  <c r="S313" i="22"/>
  <c r="P313" i="22"/>
  <c r="L218" i="22"/>
  <c r="AD315" i="22"/>
  <c r="AA315" i="22"/>
  <c r="X315" i="22"/>
  <c r="U315" i="22"/>
  <c r="R315" i="22"/>
  <c r="AM315" i="22"/>
  <c r="AJ315" i="22"/>
  <c r="AG315" i="22"/>
  <c r="O315" i="22"/>
  <c r="K218" i="22"/>
  <c r="T314" i="22"/>
  <c r="Q314" i="22"/>
  <c r="N314" i="22"/>
  <c r="AL314" i="22"/>
  <c r="AI314" i="22"/>
  <c r="AF314" i="22"/>
  <c r="AC314" i="22"/>
  <c r="Z314" i="22"/>
  <c r="W314" i="22"/>
  <c r="Z274" i="22"/>
  <c r="N274" i="22"/>
  <c r="AJ274" i="22"/>
  <c r="AK274" i="22"/>
  <c r="Y274" i="22"/>
  <c r="M274" i="22"/>
  <c r="AD274" i="22"/>
  <c r="P274" i="22"/>
  <c r="AB274" i="22"/>
  <c r="L274" i="22"/>
  <c r="AA274" i="22"/>
  <c r="AC274" i="22"/>
  <c r="O274" i="22"/>
  <c r="X274" i="22"/>
  <c r="AE274" i="22"/>
  <c r="U274" i="22"/>
  <c r="T274" i="22"/>
  <c r="S274" i="22"/>
  <c r="R274" i="22"/>
  <c r="Q274" i="22"/>
  <c r="AI274" i="22"/>
  <c r="AG274" i="22"/>
  <c r="AF274" i="22"/>
  <c r="W274" i="22"/>
  <c r="V274" i="22"/>
  <c r="AH274" i="22"/>
  <c r="J217" i="22"/>
  <c r="AE273" i="22"/>
  <c r="S273" i="22"/>
  <c r="AD273" i="22"/>
  <c r="R273" i="22"/>
  <c r="AC273" i="22"/>
  <c r="O273" i="22"/>
  <c r="AA273" i="22"/>
  <c r="M273" i="22"/>
  <c r="Z273" i="22"/>
  <c r="L273" i="22"/>
  <c r="Y273" i="22"/>
  <c r="K273" i="22"/>
  <c r="K217" i="22" s="1"/>
  <c r="AB273" i="22"/>
  <c r="N273" i="22"/>
  <c r="AH273" i="22"/>
  <c r="X273" i="22"/>
  <c r="W273" i="22"/>
  <c r="V273" i="22"/>
  <c r="U273" i="22"/>
  <c r="T273" i="22"/>
  <c r="Q273" i="22"/>
  <c r="P273" i="22"/>
  <c r="AI273" i="22"/>
  <c r="AG273" i="22"/>
  <c r="AF273" i="22"/>
  <c r="AJ273" i="22"/>
  <c r="AH275" i="22"/>
  <c r="V275" i="22"/>
  <c r="AF275" i="22"/>
  <c r="T275" i="22"/>
  <c r="AG275" i="22"/>
  <c r="U275" i="22"/>
  <c r="AI275" i="22"/>
  <c r="Q275" i="22"/>
  <c r="O275" i="22"/>
  <c r="AC275" i="22"/>
  <c r="N275" i="22"/>
  <c r="AB275" i="22"/>
  <c r="M275" i="22"/>
  <c r="AA275" i="22"/>
  <c r="AE275" i="22"/>
  <c r="P275" i="22"/>
  <c r="AD275" i="22"/>
  <c r="AJ275" i="22"/>
  <c r="X275" i="22"/>
  <c r="W275" i="22"/>
  <c r="S275" i="22"/>
  <c r="R275" i="22"/>
  <c r="AL275" i="22"/>
  <c r="AK275" i="22"/>
  <c r="Z275" i="22"/>
  <c r="Y275" i="22"/>
  <c r="AI233" i="22"/>
  <c r="W233" i="22"/>
  <c r="AA233" i="22"/>
  <c r="N233" i="22"/>
  <c r="Z233" i="22"/>
  <c r="M233" i="22"/>
  <c r="Y233" i="22"/>
  <c r="L233" i="22"/>
  <c r="AK233" i="22"/>
  <c r="X233" i="22"/>
  <c r="AJ233" i="22"/>
  <c r="V233" i="22"/>
  <c r="AH233" i="22"/>
  <c r="U233" i="22"/>
  <c r="AG233" i="22"/>
  <c r="T233" i="22"/>
  <c r="AD233" i="22"/>
  <c r="Q233" i="22"/>
  <c r="S233" i="22"/>
  <c r="R233" i="22"/>
  <c r="P233" i="22"/>
  <c r="O233" i="22"/>
  <c r="AE233" i="22"/>
  <c r="AC233" i="22"/>
  <c r="AB233" i="22"/>
  <c r="AF233" i="22"/>
  <c r="AE234" i="22"/>
  <c r="S234" i="22"/>
  <c r="AL234" i="22"/>
  <c r="Y234" i="22"/>
  <c r="AK234" i="22"/>
  <c r="X234" i="22"/>
  <c r="AJ234" i="22"/>
  <c r="W234" i="22"/>
  <c r="AI234" i="22"/>
  <c r="V234" i="22"/>
  <c r="AH234" i="22"/>
  <c r="U234" i="22"/>
  <c r="AG234" i="22"/>
  <c r="T234" i="22"/>
  <c r="AF234" i="22"/>
  <c r="R234" i="22"/>
  <c r="AB234" i="22"/>
  <c r="O234" i="22"/>
  <c r="AD234" i="22"/>
  <c r="AC234" i="22"/>
  <c r="AA234" i="22"/>
  <c r="Z234" i="22"/>
  <c r="Q234" i="22"/>
  <c r="P234" i="22"/>
  <c r="N234" i="22"/>
  <c r="M234" i="22"/>
  <c r="J216" i="22"/>
  <c r="AB232" i="22"/>
  <c r="P232" i="22"/>
  <c r="AD232" i="22"/>
  <c r="Q232" i="22"/>
  <c r="AC232" i="22"/>
  <c r="O232" i="22"/>
  <c r="AA232" i="22"/>
  <c r="N232" i="22"/>
  <c r="Z232" i="22"/>
  <c r="M232" i="22"/>
  <c r="Y232" i="22"/>
  <c r="L232" i="22"/>
  <c r="X232" i="22"/>
  <c r="K232" i="22"/>
  <c r="K216" i="22" s="1"/>
  <c r="AJ232" i="22"/>
  <c r="W232" i="22"/>
  <c r="AG232" i="22"/>
  <c r="T232" i="22"/>
  <c r="AI232" i="22"/>
  <c r="AH232" i="22"/>
  <c r="U232" i="22"/>
  <c r="S232" i="22"/>
  <c r="R232" i="22"/>
  <c r="AF232" i="22"/>
  <c r="AE232" i="22"/>
  <c r="V232" i="22"/>
  <c r="AL116" i="22"/>
  <c r="AI113" i="22"/>
  <c r="AM117" i="22"/>
  <c r="AK115" i="22"/>
  <c r="AJ114" i="22"/>
  <c r="AE268" i="22"/>
  <c r="AM275" i="22"/>
  <c r="N363" i="22"/>
  <c r="N386" i="22" s="1"/>
  <c r="N364" i="22"/>
  <c r="N427" i="22" s="1"/>
  <c r="AM234" i="22"/>
  <c r="I65" i="22"/>
  <c r="I66" i="22" s="1"/>
  <c r="AN379" i="19"/>
  <c r="AL377" i="19"/>
  <c r="AH465" i="19"/>
  <c r="AE465" i="19"/>
  <c r="AB465" i="19"/>
  <c r="Y465" i="19"/>
  <c r="V465" i="19"/>
  <c r="S465" i="19"/>
  <c r="P465" i="19"/>
  <c r="AN465" i="19"/>
  <c r="AK465" i="19"/>
  <c r="AH424" i="19"/>
  <c r="V424" i="19"/>
  <c r="AF424" i="19"/>
  <c r="T424" i="19"/>
  <c r="AG424" i="19"/>
  <c r="U424" i="19"/>
  <c r="AE424" i="19"/>
  <c r="P424" i="19"/>
  <c r="AD424" i="19"/>
  <c r="O424" i="19"/>
  <c r="AC424" i="19"/>
  <c r="N424" i="19"/>
  <c r="AB424" i="19"/>
  <c r="M424" i="19"/>
  <c r="M366" i="19" s="1"/>
  <c r="AN424" i="19"/>
  <c r="R424" i="19"/>
  <c r="AM424" i="19"/>
  <c r="Q424" i="19"/>
  <c r="AL424" i="19"/>
  <c r="AK424" i="19"/>
  <c r="AJ424" i="19"/>
  <c r="AI424" i="19"/>
  <c r="AA424" i="19"/>
  <c r="Z424" i="19"/>
  <c r="Y424" i="19"/>
  <c r="X424" i="19"/>
  <c r="W424" i="19"/>
  <c r="S424" i="19"/>
  <c r="AH383" i="19"/>
  <c r="V383" i="19"/>
  <c r="AG383" i="19"/>
  <c r="U383" i="19"/>
  <c r="AF383" i="19"/>
  <c r="T383" i="19"/>
  <c r="AE383" i="19"/>
  <c r="S383" i="19"/>
  <c r="AD383" i="19"/>
  <c r="R383" i="19"/>
  <c r="AC383" i="19"/>
  <c r="Q383" i="19"/>
  <c r="AN383" i="19"/>
  <c r="AL383" i="19"/>
  <c r="N383" i="19"/>
  <c r="AK383" i="19"/>
  <c r="M383" i="19"/>
  <c r="M365" i="19" s="1"/>
  <c r="AJ383" i="19"/>
  <c r="AI383" i="19"/>
  <c r="AB383" i="19"/>
  <c r="AA383" i="19"/>
  <c r="Z383" i="19"/>
  <c r="Y383" i="19"/>
  <c r="X383" i="19"/>
  <c r="W383" i="19"/>
  <c r="P383" i="19"/>
  <c r="AM383" i="19"/>
  <c r="O383" i="19"/>
  <c r="AG270" i="19"/>
  <c r="AF269" i="19"/>
  <c r="AH271" i="19"/>
  <c r="AI272" i="19"/>
  <c r="AH229" i="19"/>
  <c r="AG228" i="19"/>
  <c r="AJ231" i="19"/>
  <c r="AF227" i="19"/>
  <c r="AI230" i="19"/>
  <c r="J218" i="19"/>
  <c r="M313" i="19"/>
  <c r="AN313" i="19"/>
  <c r="AH313" i="19"/>
  <c r="AE313" i="19"/>
  <c r="AB313" i="19"/>
  <c r="AK313" i="19"/>
  <c r="V313" i="19"/>
  <c r="Y313" i="19"/>
  <c r="S313" i="19"/>
  <c r="P313" i="19"/>
  <c r="J217" i="19"/>
  <c r="AE273" i="19"/>
  <c r="S273" i="19"/>
  <c r="AC273" i="19"/>
  <c r="Q273" i="19"/>
  <c r="AB273" i="19"/>
  <c r="N273" i="19"/>
  <c r="AA273" i="19"/>
  <c r="M273" i="19"/>
  <c r="Z273" i="19"/>
  <c r="L273" i="19"/>
  <c r="Y273" i="19"/>
  <c r="K273" i="19"/>
  <c r="X273" i="19"/>
  <c r="W273" i="19"/>
  <c r="AG273" i="19"/>
  <c r="AF273" i="19"/>
  <c r="AD273" i="19"/>
  <c r="V273" i="19"/>
  <c r="T273" i="19"/>
  <c r="U273" i="19"/>
  <c r="AJ273" i="19"/>
  <c r="AI273" i="19"/>
  <c r="AH273" i="19"/>
  <c r="R273" i="19"/>
  <c r="P273" i="19"/>
  <c r="O273" i="19"/>
  <c r="J216" i="19"/>
  <c r="AC232" i="19"/>
  <c r="Q232" i="19"/>
  <c r="AH232" i="19"/>
  <c r="U232" i="19"/>
  <c r="AG232" i="19"/>
  <c r="T232" i="19"/>
  <c r="AD232" i="19"/>
  <c r="N232" i="19"/>
  <c r="M232" i="19"/>
  <c r="AA232" i="19"/>
  <c r="L232" i="19"/>
  <c r="Z232" i="19"/>
  <c r="K232" i="19"/>
  <c r="Y232" i="19"/>
  <c r="AB232" i="19"/>
  <c r="AF232" i="19"/>
  <c r="AE232" i="19"/>
  <c r="AK232" i="19"/>
  <c r="X232" i="19"/>
  <c r="W232" i="19"/>
  <c r="V232" i="19"/>
  <c r="S232" i="19"/>
  <c r="R232" i="19"/>
  <c r="P232" i="19"/>
  <c r="AL232" i="19"/>
  <c r="O232" i="19"/>
  <c r="AJ232" i="19"/>
  <c r="AI232" i="19"/>
  <c r="M367" i="19"/>
  <c r="H365" i="19"/>
  <c r="H369" i="19" s="1"/>
  <c r="H370" i="19" s="1"/>
  <c r="AI116" i="19"/>
  <c r="AG114" i="19"/>
  <c r="AH115" i="19"/>
  <c r="AJ117" i="19"/>
  <c r="AF113" i="19"/>
  <c r="AL119" i="19"/>
  <c r="AD162" i="19"/>
  <c r="AA162" i="19"/>
  <c r="X162" i="19"/>
  <c r="U162" i="19"/>
  <c r="R162" i="19"/>
  <c r="AG162" i="19"/>
  <c r="AM162" i="19"/>
  <c r="AJ162" i="19"/>
  <c r="O162" i="19"/>
  <c r="AN163" i="19"/>
  <c r="AK163" i="19"/>
  <c r="AH163" i="19"/>
  <c r="AE163" i="19"/>
  <c r="AB163" i="19"/>
  <c r="V163" i="19"/>
  <c r="S163" i="19"/>
  <c r="P163" i="19"/>
  <c r="Y163" i="19"/>
  <c r="AD121" i="19"/>
  <c r="R121" i="19"/>
  <c r="AC121" i="19"/>
  <c r="Q121" i="19"/>
  <c r="AN121" i="19"/>
  <c r="AB121" i="19"/>
  <c r="P121" i="19"/>
  <c r="AM121" i="19"/>
  <c r="AA121" i="19"/>
  <c r="O121" i="19"/>
  <c r="AE121" i="19"/>
  <c r="Z121" i="19"/>
  <c r="Y121" i="19"/>
  <c r="W121" i="19"/>
  <c r="S121" i="19"/>
  <c r="AL121" i="19"/>
  <c r="N121" i="19"/>
  <c r="AK121" i="19"/>
  <c r="AJ121" i="19"/>
  <c r="AH121" i="19"/>
  <c r="AG121" i="19"/>
  <c r="AF121" i="19"/>
  <c r="X121" i="19"/>
  <c r="AI121" i="19"/>
  <c r="V121" i="19"/>
  <c r="U121" i="19"/>
  <c r="T121" i="19"/>
  <c r="AG120" i="19"/>
  <c r="U120" i="19"/>
  <c r="AF120" i="19"/>
  <c r="T120" i="19"/>
  <c r="AD120" i="19"/>
  <c r="AL120" i="19"/>
  <c r="W120" i="19"/>
  <c r="AK120" i="19"/>
  <c r="V120" i="19"/>
  <c r="AJ120" i="19"/>
  <c r="S120" i="19"/>
  <c r="AH120" i="19"/>
  <c r="Q120" i="19"/>
  <c r="R120" i="19"/>
  <c r="P120" i="19"/>
  <c r="O120" i="19"/>
  <c r="AM120" i="19"/>
  <c r="N120" i="19"/>
  <c r="AE120" i="19"/>
  <c r="AC120" i="19"/>
  <c r="AB120" i="19"/>
  <c r="AA120" i="19"/>
  <c r="AI120" i="19"/>
  <c r="M120" i="19"/>
  <c r="M62" i="19" s="1"/>
  <c r="Z120" i="19"/>
  <c r="Y120" i="19"/>
  <c r="X120" i="19"/>
  <c r="AG79" i="19"/>
  <c r="U79" i="19"/>
  <c r="AF79" i="19"/>
  <c r="T79" i="19"/>
  <c r="AE79" i="19"/>
  <c r="S79" i="19"/>
  <c r="Z79" i="19"/>
  <c r="AM79" i="19"/>
  <c r="AN79" i="19"/>
  <c r="Y79" i="19"/>
  <c r="X79" i="19"/>
  <c r="AK79" i="19"/>
  <c r="V79" i="19"/>
  <c r="AB79" i="19"/>
  <c r="AA79" i="19"/>
  <c r="P79" i="19"/>
  <c r="AL79" i="19"/>
  <c r="O79" i="19"/>
  <c r="AJ79" i="19"/>
  <c r="N79" i="19"/>
  <c r="AI79" i="19"/>
  <c r="M79" i="19"/>
  <c r="M61" i="19" s="1"/>
  <c r="AH79" i="19"/>
  <c r="W79" i="19"/>
  <c r="R79" i="19"/>
  <c r="Q79" i="19"/>
  <c r="AD79" i="19"/>
  <c r="AC79" i="19"/>
  <c r="AD80" i="19"/>
  <c r="R80" i="19"/>
  <c r="P80" i="19"/>
  <c r="AC80" i="19"/>
  <c r="Q80" i="19"/>
  <c r="AN80" i="19"/>
  <c r="AB80" i="19"/>
  <c r="AF80" i="19"/>
  <c r="N80" i="19"/>
  <c r="AA80" i="19"/>
  <c r="AE80" i="19"/>
  <c r="Y80" i="19"/>
  <c r="W80" i="19"/>
  <c r="V80" i="19"/>
  <c r="AL80" i="19"/>
  <c r="AK80" i="19"/>
  <c r="O80" i="19"/>
  <c r="AJ80" i="19"/>
  <c r="AI80" i="19"/>
  <c r="AH80" i="19"/>
  <c r="AG80" i="19"/>
  <c r="U80" i="19"/>
  <c r="AM80" i="19"/>
  <c r="T80" i="19"/>
  <c r="S80" i="19"/>
  <c r="Z80" i="19"/>
  <c r="X80" i="19"/>
  <c r="H65" i="20"/>
  <c r="H66" i="20" s="1"/>
  <c r="AK377" i="20"/>
  <c r="AM379" i="20"/>
  <c r="AN380" i="20"/>
  <c r="AL467" i="20"/>
  <c r="AI467" i="20"/>
  <c r="AF467" i="20"/>
  <c r="AC467" i="20"/>
  <c r="Z467" i="20"/>
  <c r="W467" i="20"/>
  <c r="T467" i="20"/>
  <c r="Q467" i="20"/>
  <c r="AG228" i="20"/>
  <c r="AH229" i="20"/>
  <c r="AL233" i="20"/>
  <c r="AJ231" i="20"/>
  <c r="AK232" i="20"/>
  <c r="AI230" i="20"/>
  <c r="AF227" i="20"/>
  <c r="AH271" i="20"/>
  <c r="AI272" i="20"/>
  <c r="AE268" i="20"/>
  <c r="AF269" i="20"/>
  <c r="AJ273" i="20"/>
  <c r="AG270" i="20"/>
  <c r="AM378" i="42"/>
  <c r="AE268" i="42"/>
  <c r="AG270" i="42"/>
  <c r="AF269" i="42"/>
  <c r="AI272" i="42"/>
  <c r="AH271" i="42"/>
  <c r="AG229" i="42"/>
  <c r="AH230" i="42"/>
  <c r="AE227" i="42"/>
  <c r="AI231" i="42"/>
  <c r="AF228" i="42"/>
  <c r="H366" i="42"/>
  <c r="H370" i="42" s="1"/>
  <c r="H371" i="42" s="1"/>
  <c r="AN379" i="42"/>
  <c r="H65" i="42"/>
  <c r="H66" i="42" s="1"/>
  <c r="AJ273" i="42"/>
  <c r="M366" i="42"/>
  <c r="K366" i="42"/>
  <c r="K370" i="42" s="1"/>
  <c r="K371" i="42" s="1"/>
  <c r="J220" i="42"/>
  <c r="J221" i="42" s="1"/>
  <c r="AK7" i="42"/>
  <c r="AK12" i="42" s="1"/>
  <c r="AH113" i="42"/>
  <c r="AL117" i="42"/>
  <c r="AK116" i="42"/>
  <c r="AJ115" i="42"/>
  <c r="AI114" i="42"/>
  <c r="I366" i="42"/>
  <c r="I370" i="42" s="1"/>
  <c r="I371" i="42" s="1"/>
  <c r="N7" i="42"/>
  <c r="N12" i="42" s="1"/>
  <c r="K63" i="42"/>
  <c r="Q161" i="42"/>
  <c r="N161" i="42"/>
  <c r="AF161" i="42"/>
  <c r="AC161" i="42"/>
  <c r="Z161" i="42"/>
  <c r="W161" i="42"/>
  <c r="AL161" i="42"/>
  <c r="AI161" i="42"/>
  <c r="T161" i="42"/>
  <c r="J63" i="42"/>
  <c r="AN160" i="42"/>
  <c r="AK160" i="42"/>
  <c r="AH160" i="42"/>
  <c r="P160" i="42"/>
  <c r="M160" i="42"/>
  <c r="AE160" i="42"/>
  <c r="AB160" i="42"/>
  <c r="Y160" i="42"/>
  <c r="V160" i="42"/>
  <c r="S160" i="42"/>
  <c r="AE118" i="42"/>
  <c r="S118" i="42"/>
  <c r="AD118" i="42"/>
  <c r="R118" i="42"/>
  <c r="AC118" i="42"/>
  <c r="Q118" i="42"/>
  <c r="AB118" i="42"/>
  <c r="P118" i="42"/>
  <c r="AL118" i="42"/>
  <c r="Z118" i="42"/>
  <c r="N118" i="42"/>
  <c r="AK118" i="42"/>
  <c r="Y118" i="42"/>
  <c r="M118" i="42"/>
  <c r="V118" i="42"/>
  <c r="AM118" i="42"/>
  <c r="U118" i="42"/>
  <c r="T118" i="42"/>
  <c r="W118" i="42"/>
  <c r="O118" i="42"/>
  <c r="AJ118" i="42"/>
  <c r="L118" i="42"/>
  <c r="AI118" i="42"/>
  <c r="K118" i="42"/>
  <c r="K62" i="42" s="1"/>
  <c r="AH118" i="42"/>
  <c r="AF118" i="42"/>
  <c r="X118" i="42"/>
  <c r="AG118" i="42"/>
  <c r="AA118" i="42"/>
  <c r="AL119" i="42"/>
  <c r="Z119" i="42"/>
  <c r="N119" i="42"/>
  <c r="AH119" i="42"/>
  <c r="AK119" i="42"/>
  <c r="Y119" i="42"/>
  <c r="M119" i="42"/>
  <c r="AJ119" i="42"/>
  <c r="X119" i="42"/>
  <c r="L119" i="42"/>
  <c r="AI119" i="42"/>
  <c r="W119" i="42"/>
  <c r="AG119" i="42"/>
  <c r="U119" i="42"/>
  <c r="AF119" i="42"/>
  <c r="T119" i="42"/>
  <c r="Q119" i="42"/>
  <c r="AM119" i="42"/>
  <c r="AE119" i="42"/>
  <c r="P119" i="42"/>
  <c r="AN119" i="42"/>
  <c r="O119" i="42"/>
  <c r="R119" i="42"/>
  <c r="AD119" i="42"/>
  <c r="AC119" i="42"/>
  <c r="AB119" i="42"/>
  <c r="AA119" i="42"/>
  <c r="V119" i="42"/>
  <c r="S119" i="42"/>
  <c r="AE77" i="42"/>
  <c r="S77" i="42"/>
  <c r="AC77" i="42"/>
  <c r="Q77" i="42"/>
  <c r="AG77" i="42"/>
  <c r="R77" i="42"/>
  <c r="AF77" i="42"/>
  <c r="P77" i="42"/>
  <c r="AD77" i="42"/>
  <c r="O77" i="42"/>
  <c r="AB77" i="42"/>
  <c r="N77" i="42"/>
  <c r="AA77" i="42"/>
  <c r="V77" i="42"/>
  <c r="AM77" i="42"/>
  <c r="Z77" i="42"/>
  <c r="Y77" i="42"/>
  <c r="X77" i="42"/>
  <c r="W77" i="42"/>
  <c r="AN77" i="42"/>
  <c r="U77" i="42"/>
  <c r="AL77" i="42"/>
  <c r="T77" i="42"/>
  <c r="AJ77" i="42"/>
  <c r="AI77" i="42"/>
  <c r="AH77" i="42"/>
  <c r="M77" i="42"/>
  <c r="L77" i="42"/>
  <c r="K77" i="42"/>
  <c r="K61" i="42" s="1"/>
  <c r="AK77" i="42"/>
  <c r="AL78" i="42"/>
  <c r="Z78" i="42"/>
  <c r="N78" i="42"/>
  <c r="AJ78" i="42"/>
  <c r="X78" i="42"/>
  <c r="L78" i="42"/>
  <c r="AF78" i="42"/>
  <c r="R78" i="42"/>
  <c r="AE78" i="42"/>
  <c r="Q78" i="42"/>
  <c r="AD78" i="42"/>
  <c r="P78" i="42"/>
  <c r="AC78" i="42"/>
  <c r="O78" i="42"/>
  <c r="V78" i="42"/>
  <c r="M78" i="42"/>
  <c r="AI78" i="42"/>
  <c r="AG78" i="42"/>
  <c r="U78" i="42"/>
  <c r="AN78" i="42"/>
  <c r="T78" i="42"/>
  <c r="AM78" i="42"/>
  <c r="S78" i="42"/>
  <c r="AK78" i="42"/>
  <c r="AH78" i="42"/>
  <c r="AB78" i="42"/>
  <c r="AA78" i="42"/>
  <c r="Y78" i="42"/>
  <c r="W78" i="42"/>
  <c r="J61" i="42"/>
  <c r="J16" i="42" s="1"/>
  <c r="AM379" i="41"/>
  <c r="AL378" i="41"/>
  <c r="AN380" i="41"/>
  <c r="AD465" i="41"/>
  <c r="AA465" i="41"/>
  <c r="X465" i="41"/>
  <c r="U465" i="41"/>
  <c r="R465" i="41"/>
  <c r="O465" i="41"/>
  <c r="AM465" i="41"/>
  <c r="AJ465" i="41"/>
  <c r="AG465" i="41"/>
  <c r="P7" i="41"/>
  <c r="AB4" i="41"/>
  <c r="AG270" i="41"/>
  <c r="AF269" i="41"/>
  <c r="AH271" i="41"/>
  <c r="AI272" i="41"/>
  <c r="AE268" i="41"/>
  <c r="AJ229" i="41"/>
  <c r="AL231" i="41"/>
  <c r="AI228" i="41"/>
  <c r="AK230" i="41"/>
  <c r="AH227" i="41"/>
  <c r="I370" i="41"/>
  <c r="I371" i="41" s="1"/>
  <c r="AL4" i="41"/>
  <c r="AL7" i="41" s="1"/>
  <c r="Z7" i="41"/>
  <c r="AH115" i="41"/>
  <c r="AJ117" i="41"/>
  <c r="AG114" i="41"/>
  <c r="AF113" i="41"/>
  <c r="AI116" i="41"/>
  <c r="O7" i="41"/>
  <c r="AA4" i="41"/>
  <c r="H370" i="41"/>
  <c r="H371" i="41" s="1"/>
  <c r="K218" i="41"/>
  <c r="T314" i="41"/>
  <c r="Q314" i="41"/>
  <c r="N314" i="41"/>
  <c r="AF314" i="41"/>
  <c r="AC314" i="41"/>
  <c r="Z314" i="41"/>
  <c r="AL314" i="41"/>
  <c r="AI314" i="41"/>
  <c r="W314" i="41"/>
  <c r="H220" i="41"/>
  <c r="H221" i="41" s="1"/>
  <c r="G220" i="41"/>
  <c r="G221" i="41" s="1"/>
  <c r="P7" i="16"/>
  <c r="P12" i="16" s="1"/>
  <c r="K7" i="16"/>
  <c r="AF7" i="16"/>
  <c r="AF12" i="16" s="1"/>
  <c r="R7" i="16"/>
  <c r="R12" i="16" s="1"/>
  <c r="AC7" i="16"/>
  <c r="AC12" i="16" s="1"/>
  <c r="K370" i="22"/>
  <c r="K371" i="22" s="1"/>
  <c r="B7" i="45"/>
  <c r="H220" i="22"/>
  <c r="H221" i="22" s="1"/>
  <c r="J65" i="22"/>
  <c r="J66" i="22" s="1"/>
  <c r="I65" i="41"/>
  <c r="I66" i="41" s="1"/>
  <c r="G370" i="41"/>
  <c r="G371" i="41" s="1"/>
  <c r="I220" i="41"/>
  <c r="I221" i="41" s="1"/>
  <c r="N52" i="19"/>
  <c r="N58" i="19"/>
  <c r="N81" i="19" s="1"/>
  <c r="N59" i="19"/>
  <c r="B6" i="45"/>
  <c r="C6" i="45"/>
  <c r="X45" i="16"/>
  <c r="L366" i="42"/>
  <c r="P350" i="42"/>
  <c r="P352" i="42" s="1"/>
  <c r="P45" i="42"/>
  <c r="O354" i="42"/>
  <c r="O355" i="42" s="1"/>
  <c r="M80" i="42"/>
  <c r="M64" i="42"/>
  <c r="K23" i="42"/>
  <c r="M51" i="42"/>
  <c r="M121" i="42"/>
  <c r="M163" i="42"/>
  <c r="O20" i="42"/>
  <c r="O15" i="42"/>
  <c r="K60" i="41"/>
  <c r="K52" i="41"/>
  <c r="L368" i="41"/>
  <c r="L425" i="41"/>
  <c r="L384" i="41"/>
  <c r="L369" i="41"/>
  <c r="L49" i="41"/>
  <c r="M365" i="41"/>
  <c r="M466" i="41" s="1"/>
  <c r="M364" i="41"/>
  <c r="M363" i="41"/>
  <c r="M47" i="41"/>
  <c r="N350" i="41"/>
  <c r="N352" i="41" s="1"/>
  <c r="N45" i="41"/>
  <c r="N47" i="41" s="1"/>
  <c r="M367" i="23"/>
  <c r="H220" i="23"/>
  <c r="H221" i="23" s="1"/>
  <c r="L23" i="23"/>
  <c r="J220" i="23"/>
  <c r="J221" i="23" s="1"/>
  <c r="AN7" i="23"/>
  <c r="AB7" i="23"/>
  <c r="G220" i="22"/>
  <c r="G221" i="22" s="1"/>
  <c r="I220" i="22"/>
  <c r="I221" i="22" s="1"/>
  <c r="N50" i="22"/>
  <c r="N60" i="22" s="1"/>
  <c r="J370" i="22"/>
  <c r="J371" i="22" s="1"/>
  <c r="L60" i="22"/>
  <c r="L58" i="22"/>
  <c r="L59" i="22"/>
  <c r="M49" i="22"/>
  <c r="M50" i="22" s="1"/>
  <c r="M364" i="22"/>
  <c r="M363" i="22"/>
  <c r="M365" i="22"/>
  <c r="M466" i="22" s="1"/>
  <c r="N205" i="22"/>
  <c r="N215" i="22" s="1"/>
  <c r="M204" i="22"/>
  <c r="M205" i="22" s="1"/>
  <c r="L369" i="22"/>
  <c r="L384" i="22"/>
  <c r="O350" i="22"/>
  <c r="O352" i="22" s="1"/>
  <c r="O200" i="22"/>
  <c r="O202" i="22" s="1"/>
  <c r="O204" i="22" s="1"/>
  <c r="O205" i="22" s="1"/>
  <c r="O45" i="22"/>
  <c r="O47" i="22" s="1"/>
  <c r="O49" i="22" s="1"/>
  <c r="O50" i="22" s="1"/>
  <c r="L425" i="22"/>
  <c r="AB7" i="22"/>
  <c r="AN4" i="22"/>
  <c r="AN7" i="22" s="1"/>
  <c r="K365" i="19"/>
  <c r="L61" i="19"/>
  <c r="M63" i="19"/>
  <c r="L365" i="19"/>
  <c r="O363" i="19"/>
  <c r="O362" i="19"/>
  <c r="L366" i="19"/>
  <c r="L62" i="19"/>
  <c r="O47" i="19"/>
  <c r="P349" i="19"/>
  <c r="P351" i="19" s="1"/>
  <c r="P353" i="19" s="1"/>
  <c r="P354" i="19" s="1"/>
  <c r="P45" i="19"/>
  <c r="Z7" i="19"/>
  <c r="AL7" i="19"/>
  <c r="P7" i="19"/>
  <c r="AK7" i="19"/>
  <c r="Y7" i="19"/>
  <c r="P20" i="19"/>
  <c r="AM7" i="19"/>
  <c r="AA7" i="19"/>
  <c r="G370" i="20"/>
  <c r="G371" i="20" s="1"/>
  <c r="H366" i="20"/>
  <c r="H370" i="20" s="1"/>
  <c r="H371" i="20" s="1"/>
  <c r="J366" i="20"/>
  <c r="K366" i="20"/>
  <c r="K370" i="20" s="1"/>
  <c r="K371" i="20" s="1"/>
  <c r="I366" i="20"/>
  <c r="I370" i="20" s="1"/>
  <c r="I371" i="20" s="1"/>
  <c r="I65" i="20"/>
  <c r="I66" i="20" s="1"/>
  <c r="AG75" i="20"/>
  <c r="AH76" i="20"/>
  <c r="AF74" i="20"/>
  <c r="AD72" i="20"/>
  <c r="AE73" i="20"/>
  <c r="M367" i="20"/>
  <c r="N368" i="20"/>
  <c r="O363" i="20"/>
  <c r="O365" i="20"/>
  <c r="O468" i="20" s="1"/>
  <c r="O364" i="20"/>
  <c r="P350" i="20"/>
  <c r="P352" i="20" s="1"/>
  <c r="P45" i="20"/>
  <c r="M60" i="20"/>
  <c r="M163" i="20" s="1"/>
  <c r="M58" i="20"/>
  <c r="M59" i="20"/>
  <c r="M52" i="20"/>
  <c r="N427" i="20"/>
  <c r="N356" i="20"/>
  <c r="N386" i="20"/>
  <c r="N369" i="20"/>
  <c r="L366" i="20"/>
  <c r="L367" i="20"/>
  <c r="M366" i="20"/>
  <c r="AA7" i="20"/>
  <c r="AM4" i="20"/>
  <c r="AM7" i="20" s="1"/>
  <c r="P15" i="20"/>
  <c r="AB7" i="20"/>
  <c r="AN4" i="20"/>
  <c r="AN7" i="20" s="1"/>
  <c r="O58" i="42"/>
  <c r="O60" i="42"/>
  <c r="O59" i="42"/>
  <c r="O52" i="42"/>
  <c r="L215" i="42"/>
  <c r="L214" i="42"/>
  <c r="L213" i="42"/>
  <c r="L207" i="42"/>
  <c r="K274" i="42"/>
  <c r="K206" i="42"/>
  <c r="N81" i="42"/>
  <c r="N64" i="42"/>
  <c r="N427" i="42"/>
  <c r="N356" i="42"/>
  <c r="N467" i="42"/>
  <c r="N202" i="42"/>
  <c r="K233" i="42"/>
  <c r="K216" i="42" s="1"/>
  <c r="K219" i="42"/>
  <c r="N51" i="42"/>
  <c r="N122" i="42"/>
  <c r="K314" i="42"/>
  <c r="N164" i="42"/>
  <c r="N386" i="42"/>
  <c r="N369" i="42"/>
  <c r="M204" i="42"/>
  <c r="M205" i="42" s="1"/>
  <c r="J62" i="42"/>
  <c r="O200" i="42"/>
  <c r="AN118" i="42"/>
  <c r="L215" i="41"/>
  <c r="AJ48" i="41"/>
  <c r="N202" i="41"/>
  <c r="M204" i="41"/>
  <c r="M205" i="41" s="1"/>
  <c r="AF111" i="41"/>
  <c r="N213" i="23"/>
  <c r="N9" i="23" s="1"/>
  <c r="N21" i="23" s="1"/>
  <c r="N215" i="23"/>
  <c r="N214" i="23"/>
  <c r="N207" i="23"/>
  <c r="N81" i="23"/>
  <c r="N64" i="23"/>
  <c r="N122" i="23"/>
  <c r="N51" i="23"/>
  <c r="Q200" i="23"/>
  <c r="N467" i="23"/>
  <c r="O59" i="23"/>
  <c r="O60" i="23"/>
  <c r="O58" i="23"/>
  <c r="O52" i="23"/>
  <c r="P202" i="23"/>
  <c r="N427" i="23"/>
  <c r="N356" i="23"/>
  <c r="O468" i="23"/>
  <c r="L315" i="23"/>
  <c r="O204" i="23"/>
  <c r="O205" i="23" s="1"/>
  <c r="M366" i="23"/>
  <c r="AL233" i="23"/>
  <c r="AF111" i="23"/>
  <c r="AL118" i="23" s="1"/>
  <c r="M235" i="23"/>
  <c r="M219" i="23"/>
  <c r="M316" i="23"/>
  <c r="N164" i="23"/>
  <c r="N386" i="23"/>
  <c r="N369" i="23"/>
  <c r="L275" i="23"/>
  <c r="L219" i="23"/>
  <c r="L234" i="23"/>
  <c r="M276" i="23"/>
  <c r="M206" i="23"/>
  <c r="N467" i="22"/>
  <c r="AH48" i="22"/>
  <c r="AI111" i="22"/>
  <c r="L213" i="19"/>
  <c r="L21" i="19" s="1"/>
  <c r="L215" i="19"/>
  <c r="L214" i="19"/>
  <c r="J65" i="19"/>
  <c r="J66" i="19" s="1"/>
  <c r="N202" i="19"/>
  <c r="K314" i="19"/>
  <c r="M204" i="19"/>
  <c r="M205" i="19" s="1"/>
  <c r="AE268" i="19"/>
  <c r="N426" i="19"/>
  <c r="N355" i="19"/>
  <c r="K219" i="19"/>
  <c r="K233" i="19"/>
  <c r="O200" i="19"/>
  <c r="K274" i="19"/>
  <c r="L63" i="19"/>
  <c r="K65" i="19"/>
  <c r="K66" i="19" s="1"/>
  <c r="O467" i="19"/>
  <c r="N385" i="19"/>
  <c r="N368" i="19"/>
  <c r="AK374" i="19"/>
  <c r="N164" i="19"/>
  <c r="N466" i="19"/>
  <c r="M214" i="20"/>
  <c r="M213" i="20"/>
  <c r="M215" i="20"/>
  <c r="M207" i="20"/>
  <c r="N59" i="20"/>
  <c r="N60" i="20"/>
  <c r="N58" i="20"/>
  <c r="N52" i="20"/>
  <c r="AB118" i="20"/>
  <c r="P118" i="20"/>
  <c r="AA118" i="20"/>
  <c r="O118" i="20"/>
  <c r="AF118" i="20"/>
  <c r="R118" i="20"/>
  <c r="AE118" i="20"/>
  <c r="Q118" i="20"/>
  <c r="AD118" i="20"/>
  <c r="N118" i="20"/>
  <c r="AJ118" i="20"/>
  <c r="S118" i="20"/>
  <c r="AI118" i="20"/>
  <c r="M118" i="20"/>
  <c r="AH118" i="20"/>
  <c r="L118" i="20"/>
  <c r="AG118" i="20"/>
  <c r="K118" i="20"/>
  <c r="K62" i="20" s="1"/>
  <c r="W118" i="20"/>
  <c r="V118" i="20"/>
  <c r="T118" i="20"/>
  <c r="U118" i="20"/>
  <c r="AL118" i="20"/>
  <c r="X118" i="20"/>
  <c r="Z118" i="20"/>
  <c r="AK118" i="20"/>
  <c r="AC118" i="20"/>
  <c r="Y118" i="20"/>
  <c r="V160" i="20"/>
  <c r="S160" i="20"/>
  <c r="AB160" i="20"/>
  <c r="Y160" i="20"/>
  <c r="P160" i="20"/>
  <c r="AK160" i="20"/>
  <c r="AH160" i="20"/>
  <c r="AE160" i="20"/>
  <c r="M160" i="20"/>
  <c r="AN160" i="20"/>
  <c r="J62" i="20"/>
  <c r="L315" i="20"/>
  <c r="O49" i="20"/>
  <c r="O50" i="20" s="1"/>
  <c r="AJ77" i="20"/>
  <c r="X77" i="20"/>
  <c r="L77" i="20"/>
  <c r="AH77" i="20"/>
  <c r="V77" i="20"/>
  <c r="W77" i="20"/>
  <c r="U77" i="20"/>
  <c r="AI77" i="20"/>
  <c r="T77" i="20"/>
  <c r="AG77" i="20"/>
  <c r="S77" i="20"/>
  <c r="Y77" i="20"/>
  <c r="P77" i="20"/>
  <c r="R77" i="20"/>
  <c r="Q77" i="20"/>
  <c r="AF77" i="20"/>
  <c r="N77" i="20"/>
  <c r="AE77" i="20"/>
  <c r="M77" i="20"/>
  <c r="AD77" i="20"/>
  <c r="AC77" i="20"/>
  <c r="K77" i="20"/>
  <c r="K61" i="20" s="1"/>
  <c r="AB77" i="20"/>
  <c r="AA77" i="20"/>
  <c r="Z77" i="20"/>
  <c r="O77" i="20"/>
  <c r="N204" i="20"/>
  <c r="N205" i="20" s="1"/>
  <c r="AM118" i="20"/>
  <c r="AK117" i="20"/>
  <c r="AJ116" i="20"/>
  <c r="AG113" i="20"/>
  <c r="AI115" i="20"/>
  <c r="AH114" i="20"/>
  <c r="P200" i="20"/>
  <c r="O202" i="20"/>
  <c r="AD78" i="20"/>
  <c r="R78" i="20"/>
  <c r="AB78" i="20"/>
  <c r="P78" i="20"/>
  <c r="AJ78" i="20"/>
  <c r="V78" i="20"/>
  <c r="AI78" i="20"/>
  <c r="U78" i="20"/>
  <c r="AH78" i="20"/>
  <c r="T78" i="20"/>
  <c r="AG78" i="20"/>
  <c r="S78" i="20"/>
  <c r="AK78" i="20"/>
  <c r="M78" i="20"/>
  <c r="AC78" i="20"/>
  <c r="AF78" i="20"/>
  <c r="L78" i="20"/>
  <c r="AE78" i="20"/>
  <c r="Z78" i="20"/>
  <c r="Y78" i="20"/>
  <c r="O78" i="20"/>
  <c r="N78" i="20"/>
  <c r="AA78" i="20"/>
  <c r="W78" i="20"/>
  <c r="X78" i="20"/>
  <c r="Q78" i="20"/>
  <c r="J61" i="20"/>
  <c r="L275" i="20"/>
  <c r="Z161" i="20"/>
  <c r="W161" i="20"/>
  <c r="AL161" i="20"/>
  <c r="AI161" i="20"/>
  <c r="AF161" i="20"/>
  <c r="AC161" i="20"/>
  <c r="T161" i="20"/>
  <c r="Q161" i="20"/>
  <c r="N161" i="20"/>
  <c r="AH119" i="20"/>
  <c r="V119" i="20"/>
  <c r="AG119" i="20"/>
  <c r="U119" i="20"/>
  <c r="AD119" i="20"/>
  <c r="P119" i="20"/>
  <c r="AC119" i="20"/>
  <c r="O119" i="20"/>
  <c r="AB119" i="20"/>
  <c r="N119" i="20"/>
  <c r="Y119" i="20"/>
  <c r="X119" i="20"/>
  <c r="W119" i="20"/>
  <c r="AM119" i="20"/>
  <c r="T119" i="20"/>
  <c r="S119" i="20"/>
  <c r="R119" i="20"/>
  <c r="M119" i="20"/>
  <c r="AL119" i="20"/>
  <c r="L119" i="20"/>
  <c r="Q119" i="20"/>
  <c r="AK119" i="20"/>
  <c r="AJ119" i="20"/>
  <c r="AI119" i="20"/>
  <c r="AF119" i="20"/>
  <c r="Z119" i="20"/>
  <c r="AE119" i="20"/>
  <c r="AA119" i="20"/>
  <c r="L234" i="20"/>
  <c r="L219" i="20"/>
  <c r="Z74" i="73"/>
  <c r="C7" i="45" l="1"/>
  <c r="O356" i="23"/>
  <c r="O369" i="23"/>
  <c r="M62" i="23"/>
  <c r="E8" i="45" s="1"/>
  <c r="K65" i="22"/>
  <c r="K66" i="22" s="1"/>
  <c r="S209" i="42"/>
  <c r="S210" i="42" s="1"/>
  <c r="N64" i="19"/>
  <c r="AA36" i="41"/>
  <c r="N10" i="23"/>
  <c r="N23" i="23" s="1"/>
  <c r="M9" i="20"/>
  <c r="M21" i="20" s="1"/>
  <c r="M10" i="20"/>
  <c r="M23" i="20" s="1"/>
  <c r="O427" i="19"/>
  <c r="R427" i="19" s="1"/>
  <c r="AD7" i="16"/>
  <c r="AD12" i="16" s="1"/>
  <c r="AE7" i="16"/>
  <c r="AE12" i="16" s="1"/>
  <c r="AE16" i="16" s="1"/>
  <c r="AG7" i="16"/>
  <c r="AG12" i="16" s="1"/>
  <c r="AH7" i="16"/>
  <c r="AH12" i="16" s="1"/>
  <c r="AH16" i="16" s="1"/>
  <c r="Q47" i="23"/>
  <c r="Q49" i="23" s="1"/>
  <c r="Q50" i="23" s="1"/>
  <c r="Q52" i="23" s="1"/>
  <c r="R350" i="23"/>
  <c r="R352" i="23" s="1"/>
  <c r="R45" i="23"/>
  <c r="R47" i="23" s="1"/>
  <c r="S59" i="52"/>
  <c r="P388" i="23"/>
  <c r="P369" i="23"/>
  <c r="P356" i="23"/>
  <c r="P429" i="23"/>
  <c r="P59" i="23"/>
  <c r="P60" i="23"/>
  <c r="P166" i="23" s="1"/>
  <c r="AK166" i="23" s="1"/>
  <c r="P58" i="23"/>
  <c r="AB469" i="23"/>
  <c r="Y469" i="23"/>
  <c r="V469" i="23"/>
  <c r="AN469" i="23"/>
  <c r="AK469" i="23"/>
  <c r="AH469" i="23"/>
  <c r="AE469" i="23"/>
  <c r="S469" i="23"/>
  <c r="Q354" i="23"/>
  <c r="Q355" i="23" s="1"/>
  <c r="L370" i="42"/>
  <c r="L371" i="42" s="1"/>
  <c r="J369" i="19"/>
  <c r="J370" i="19" s="1"/>
  <c r="K369" i="19"/>
  <c r="K370" i="19" s="1"/>
  <c r="K23" i="19"/>
  <c r="L23" i="19"/>
  <c r="J18" i="23"/>
  <c r="L370" i="23"/>
  <c r="L371" i="23" s="1"/>
  <c r="K18" i="23"/>
  <c r="J370" i="20"/>
  <c r="J371" i="20" s="1"/>
  <c r="J18" i="20"/>
  <c r="K18" i="20"/>
  <c r="AN59" i="66"/>
  <c r="J18" i="42"/>
  <c r="J25" i="42" s="1"/>
  <c r="M370" i="42"/>
  <c r="M371" i="42" s="1"/>
  <c r="S59" i="51"/>
  <c r="AM378" i="23"/>
  <c r="AL377" i="23"/>
  <c r="AN379" i="23"/>
  <c r="AL467" i="23"/>
  <c r="AI467" i="23"/>
  <c r="AF467" i="23"/>
  <c r="AC467" i="23"/>
  <c r="T467" i="23"/>
  <c r="W467" i="23"/>
  <c r="Q467" i="23"/>
  <c r="Z467" i="23"/>
  <c r="O368" i="23"/>
  <c r="AA468" i="23"/>
  <c r="X468" i="23"/>
  <c r="U468" i="23"/>
  <c r="R468" i="23"/>
  <c r="AM468" i="23"/>
  <c r="AJ468" i="23"/>
  <c r="AD468" i="23"/>
  <c r="AG468" i="23"/>
  <c r="AN428" i="23"/>
  <c r="AB428" i="23"/>
  <c r="P428" i="23"/>
  <c r="AL428" i="23"/>
  <c r="Z428" i="23"/>
  <c r="AK428" i="23"/>
  <c r="Y428" i="23"/>
  <c r="AH428" i="23"/>
  <c r="S428" i="23"/>
  <c r="AF428" i="23"/>
  <c r="Q428" i="23"/>
  <c r="AE428" i="23"/>
  <c r="AD428" i="23"/>
  <c r="AC428" i="23"/>
  <c r="U428" i="23"/>
  <c r="AM428" i="23"/>
  <c r="T428" i="23"/>
  <c r="AG428" i="23"/>
  <c r="R428" i="23"/>
  <c r="AJ428" i="23"/>
  <c r="AI428" i="23"/>
  <c r="AA428" i="23"/>
  <c r="V428" i="23"/>
  <c r="X428" i="23"/>
  <c r="W428" i="23"/>
  <c r="N367" i="23"/>
  <c r="AC427" i="23"/>
  <c r="Q427" i="23"/>
  <c r="AM427" i="23"/>
  <c r="AA427" i="23"/>
  <c r="O427" i="23"/>
  <c r="O367" i="23" s="1"/>
  <c r="AL427" i="23"/>
  <c r="Z427" i="23"/>
  <c r="AB427" i="23"/>
  <c r="X427" i="23"/>
  <c r="AN427" i="23"/>
  <c r="W427" i="23"/>
  <c r="AK427" i="23"/>
  <c r="V427" i="23"/>
  <c r="AJ427" i="23"/>
  <c r="U427" i="23"/>
  <c r="R427" i="23"/>
  <c r="AI427" i="23"/>
  <c r="AF427" i="23"/>
  <c r="AD427" i="23"/>
  <c r="P427" i="23"/>
  <c r="AH427" i="23"/>
  <c r="AG427" i="23"/>
  <c r="AE427" i="23"/>
  <c r="T427" i="23"/>
  <c r="S427" i="23"/>
  <c r="Y427" i="23"/>
  <c r="N366" i="23"/>
  <c r="AC386" i="23"/>
  <c r="Q386" i="23"/>
  <c r="AN386" i="23"/>
  <c r="AB386" i="23"/>
  <c r="P386" i="23"/>
  <c r="AG386" i="23"/>
  <c r="S386" i="23"/>
  <c r="AF386" i="23"/>
  <c r="R386" i="23"/>
  <c r="AE386" i="23"/>
  <c r="O386" i="23"/>
  <c r="O366" i="23" s="1"/>
  <c r="AD386" i="23"/>
  <c r="AL386" i="23"/>
  <c r="T386" i="23"/>
  <c r="AK386" i="23"/>
  <c r="AJ386" i="23"/>
  <c r="AI386" i="23"/>
  <c r="AH386" i="23"/>
  <c r="AA386" i="23"/>
  <c r="Z386" i="23"/>
  <c r="Y386" i="23"/>
  <c r="X386" i="23"/>
  <c r="V386" i="23"/>
  <c r="AM386" i="23"/>
  <c r="U386" i="23"/>
  <c r="W386" i="23"/>
  <c r="M370" i="23"/>
  <c r="M371" i="23" s="1"/>
  <c r="AN387" i="23"/>
  <c r="AB387" i="23"/>
  <c r="P387" i="23"/>
  <c r="AM387" i="23"/>
  <c r="AA387" i="23"/>
  <c r="AJ387" i="23"/>
  <c r="V387" i="23"/>
  <c r="AI387" i="23"/>
  <c r="U387" i="23"/>
  <c r="AH387" i="23"/>
  <c r="T387" i="23"/>
  <c r="AG387" i="23"/>
  <c r="S387" i="23"/>
  <c r="AK387" i="23"/>
  <c r="AF387" i="23"/>
  <c r="AE387" i="23"/>
  <c r="AD387" i="23"/>
  <c r="AC387" i="23"/>
  <c r="Z387" i="23"/>
  <c r="Y387" i="23"/>
  <c r="X387" i="23"/>
  <c r="W387" i="23"/>
  <c r="R387" i="23"/>
  <c r="AL387" i="23"/>
  <c r="Q387" i="23"/>
  <c r="K220" i="23"/>
  <c r="K221" i="23" s="1"/>
  <c r="AG228" i="23"/>
  <c r="AF227" i="23"/>
  <c r="AH229" i="23"/>
  <c r="AK232" i="23"/>
  <c r="AJ231" i="23"/>
  <c r="AI230" i="23"/>
  <c r="AJ271" i="23"/>
  <c r="AG268" i="23"/>
  <c r="AI270" i="23"/>
  <c r="AL273" i="23"/>
  <c r="AH269" i="23"/>
  <c r="AK272" i="23"/>
  <c r="L218" i="23"/>
  <c r="AD315" i="23"/>
  <c r="AA315" i="23"/>
  <c r="X315" i="23"/>
  <c r="U315" i="23"/>
  <c r="R315" i="23"/>
  <c r="O315" i="23"/>
  <c r="AM315" i="23"/>
  <c r="AJ315" i="23"/>
  <c r="AG315" i="23"/>
  <c r="M218" i="23"/>
  <c r="AN316" i="23"/>
  <c r="AH316" i="23"/>
  <c r="AK316" i="23"/>
  <c r="AE316" i="23"/>
  <c r="AB316" i="23"/>
  <c r="Y316" i="23"/>
  <c r="P316" i="23"/>
  <c r="V316" i="23"/>
  <c r="S316" i="23"/>
  <c r="AE276" i="23"/>
  <c r="S276" i="23"/>
  <c r="AD276" i="23"/>
  <c r="R276" i="23"/>
  <c r="AC276" i="23"/>
  <c r="Q276" i="23"/>
  <c r="AN276" i="23"/>
  <c r="AB276" i="23"/>
  <c r="P276" i="23"/>
  <c r="AA276" i="23"/>
  <c r="Z276" i="23"/>
  <c r="Y276" i="23"/>
  <c r="AH276" i="23"/>
  <c r="AG276" i="23"/>
  <c r="AF276" i="23"/>
  <c r="X276" i="23"/>
  <c r="W276" i="23"/>
  <c r="V276" i="23"/>
  <c r="U276" i="23"/>
  <c r="AM276" i="23"/>
  <c r="T276" i="23"/>
  <c r="AL276" i="23"/>
  <c r="N276" i="23"/>
  <c r="AK276" i="23"/>
  <c r="AJ276" i="23"/>
  <c r="AI276" i="23"/>
  <c r="O276" i="23"/>
  <c r="AH275" i="23"/>
  <c r="V275" i="23"/>
  <c r="AG275" i="23"/>
  <c r="U275" i="23"/>
  <c r="AF275" i="23"/>
  <c r="T275" i="23"/>
  <c r="AL275" i="23"/>
  <c r="W275" i="23"/>
  <c r="AK275" i="23"/>
  <c r="S275" i="23"/>
  <c r="AJ275" i="23"/>
  <c r="R275" i="23"/>
  <c r="AI275" i="23"/>
  <c r="N275" i="23"/>
  <c r="AE275" i="23"/>
  <c r="M275" i="23"/>
  <c r="M217" i="23" s="1"/>
  <c r="AD275" i="23"/>
  <c r="AC275" i="23"/>
  <c r="AB275" i="23"/>
  <c r="AA275" i="23"/>
  <c r="Z275" i="23"/>
  <c r="Y275" i="23"/>
  <c r="P275" i="23"/>
  <c r="AM275" i="23"/>
  <c r="O275" i="23"/>
  <c r="AN275" i="23"/>
  <c r="X275" i="23"/>
  <c r="Q275" i="23"/>
  <c r="AH234" i="23"/>
  <c r="V234" i="23"/>
  <c r="AG234" i="23"/>
  <c r="U234" i="23"/>
  <c r="AF234" i="23"/>
  <c r="T234" i="23"/>
  <c r="AM234" i="23"/>
  <c r="X234" i="23"/>
  <c r="S234" i="23"/>
  <c r="AJ234" i="23"/>
  <c r="AI234" i="23"/>
  <c r="AL234" i="23"/>
  <c r="W234" i="23"/>
  <c r="AK234" i="23"/>
  <c r="R234" i="23"/>
  <c r="Q234" i="23"/>
  <c r="AA234" i="23"/>
  <c r="Z234" i="23"/>
  <c r="Y234" i="23"/>
  <c r="P234" i="23"/>
  <c r="O234" i="23"/>
  <c r="N234" i="23"/>
  <c r="M234" i="23"/>
  <c r="M216" i="23" s="1"/>
  <c r="M12" i="23" s="1"/>
  <c r="AB234" i="23"/>
  <c r="AE234" i="23"/>
  <c r="AD234" i="23"/>
  <c r="AC234" i="23"/>
  <c r="AE235" i="23"/>
  <c r="S235" i="23"/>
  <c r="AD235" i="23"/>
  <c r="R235" i="23"/>
  <c r="AC235" i="23"/>
  <c r="Q235" i="23"/>
  <c r="AA235" i="23"/>
  <c r="Y235" i="23"/>
  <c r="AM235" i="23"/>
  <c r="AL235" i="23"/>
  <c r="Z235" i="23"/>
  <c r="AN235" i="23"/>
  <c r="X235" i="23"/>
  <c r="W235" i="23"/>
  <c r="AB235" i="23"/>
  <c r="V235" i="23"/>
  <c r="T235" i="23"/>
  <c r="AF235" i="23"/>
  <c r="U235" i="23"/>
  <c r="P235" i="23"/>
  <c r="O235" i="23"/>
  <c r="AK235" i="23"/>
  <c r="N235" i="23"/>
  <c r="AJ235" i="23"/>
  <c r="AI235" i="23"/>
  <c r="AH235" i="23"/>
  <c r="AG235" i="23"/>
  <c r="AG113" i="23"/>
  <c r="AH114" i="23"/>
  <c r="AK117" i="23"/>
  <c r="AI115" i="23"/>
  <c r="AJ116" i="23"/>
  <c r="AM119" i="23"/>
  <c r="AN120" i="23"/>
  <c r="B8" i="45"/>
  <c r="J65" i="23"/>
  <c r="J66" i="23" s="1"/>
  <c r="N63" i="23"/>
  <c r="AA165" i="23"/>
  <c r="X165" i="23"/>
  <c r="U165" i="23"/>
  <c r="R165" i="23"/>
  <c r="AL164" i="23"/>
  <c r="AI164" i="23"/>
  <c r="AF164" i="23"/>
  <c r="AD165" i="23"/>
  <c r="Z164" i="23"/>
  <c r="W164" i="23"/>
  <c r="AM165" i="23"/>
  <c r="AJ165" i="23"/>
  <c r="AC164" i="23"/>
  <c r="AG165" i="23"/>
  <c r="T164" i="23"/>
  <c r="Q164" i="23"/>
  <c r="AC122" i="23"/>
  <c r="Q122" i="23"/>
  <c r="AM122" i="23"/>
  <c r="AA122" i="23"/>
  <c r="O122" i="23"/>
  <c r="AK122" i="23"/>
  <c r="AL122" i="23"/>
  <c r="Z122" i="23"/>
  <c r="Y122" i="23"/>
  <c r="AN122" i="23"/>
  <c r="U122" i="23"/>
  <c r="AJ122" i="23"/>
  <c r="T122" i="23"/>
  <c r="AI122" i="23"/>
  <c r="S122" i="23"/>
  <c r="AH122" i="23"/>
  <c r="R122" i="23"/>
  <c r="AG122" i="23"/>
  <c r="V122" i="23"/>
  <c r="AF122" i="23"/>
  <c r="AE122" i="23"/>
  <c r="AD122" i="23"/>
  <c r="AB122" i="23"/>
  <c r="X122" i="23"/>
  <c r="W122" i="23"/>
  <c r="P122" i="23"/>
  <c r="D8" i="45"/>
  <c r="AC81" i="23"/>
  <c r="Q81" i="23"/>
  <c r="AN81" i="23"/>
  <c r="AB81" i="23"/>
  <c r="P81" i="23"/>
  <c r="AK81" i="23"/>
  <c r="Y81" i="23"/>
  <c r="AA81" i="23"/>
  <c r="Z81" i="23"/>
  <c r="X81" i="23"/>
  <c r="AM81" i="23"/>
  <c r="W81" i="23"/>
  <c r="AI81" i="23"/>
  <c r="AH81" i="23"/>
  <c r="AG81" i="23"/>
  <c r="AF81" i="23"/>
  <c r="V81" i="23"/>
  <c r="U81" i="23"/>
  <c r="T81" i="23"/>
  <c r="S81" i="23"/>
  <c r="AL81" i="23"/>
  <c r="R81" i="23"/>
  <c r="AJ81" i="23"/>
  <c r="O81" i="23"/>
  <c r="AE81" i="23"/>
  <c r="AD81" i="23"/>
  <c r="AK232" i="22"/>
  <c r="AL233" i="22"/>
  <c r="AN379" i="22"/>
  <c r="AM378" i="22"/>
  <c r="AL377" i="22"/>
  <c r="N356" i="22"/>
  <c r="N368" i="22"/>
  <c r="AL467" i="22"/>
  <c r="AI467" i="22"/>
  <c r="AF467" i="22"/>
  <c r="Z467" i="22"/>
  <c r="W467" i="22"/>
  <c r="T467" i="22"/>
  <c r="Q467" i="22"/>
  <c r="AC467" i="22"/>
  <c r="AN466" i="22"/>
  <c r="AK466" i="22"/>
  <c r="AH466" i="22"/>
  <c r="AE466" i="22"/>
  <c r="AB466" i="22"/>
  <c r="Y466" i="22"/>
  <c r="V466" i="22"/>
  <c r="S466" i="22"/>
  <c r="P466" i="22"/>
  <c r="L367" i="22"/>
  <c r="AH425" i="22"/>
  <c r="V425" i="22"/>
  <c r="AG425" i="22"/>
  <c r="U425" i="22"/>
  <c r="AF425" i="22"/>
  <c r="T425" i="22"/>
  <c r="AL425" i="22"/>
  <c r="W425" i="22"/>
  <c r="AK425" i="22"/>
  <c r="S425" i="22"/>
  <c r="AJ425" i="22"/>
  <c r="R425" i="22"/>
  <c r="AI425" i="22"/>
  <c r="Q425" i="22"/>
  <c r="AE425" i="22"/>
  <c r="P425" i="22"/>
  <c r="AD425" i="22"/>
  <c r="O425" i="22"/>
  <c r="AC425" i="22"/>
  <c r="Z425" i="22"/>
  <c r="N425" i="22"/>
  <c r="Y425" i="22"/>
  <c r="X425" i="22"/>
  <c r="M425" i="22"/>
  <c r="AN425" i="22"/>
  <c r="AM425" i="22"/>
  <c r="AB425" i="22"/>
  <c r="AA425" i="22"/>
  <c r="AC427" i="22"/>
  <c r="Q427" i="22"/>
  <c r="AN427" i="22"/>
  <c r="AB427" i="22"/>
  <c r="P427" i="22"/>
  <c r="AM427" i="22"/>
  <c r="AA427" i="22"/>
  <c r="O427" i="22"/>
  <c r="AL427" i="22"/>
  <c r="Z427" i="22"/>
  <c r="AK427" i="22"/>
  <c r="U427" i="22"/>
  <c r="AJ427" i="22"/>
  <c r="T427" i="22"/>
  <c r="AI427" i="22"/>
  <c r="S427" i="22"/>
  <c r="AH427" i="22"/>
  <c r="R427" i="22"/>
  <c r="AG427" i="22"/>
  <c r="AF427" i="22"/>
  <c r="AE427" i="22"/>
  <c r="AD427" i="22"/>
  <c r="Y427" i="22"/>
  <c r="X427" i="22"/>
  <c r="W427" i="22"/>
  <c r="V427" i="22"/>
  <c r="L366" i="22"/>
  <c r="AH384" i="22"/>
  <c r="V384" i="22"/>
  <c r="AF384" i="22"/>
  <c r="T384" i="22"/>
  <c r="AG384" i="22"/>
  <c r="R384" i="22"/>
  <c r="AD384" i="22"/>
  <c r="P384" i="22"/>
  <c r="AE384" i="22"/>
  <c r="Q384" i="22"/>
  <c r="AC384" i="22"/>
  <c r="O384" i="22"/>
  <c r="AB384" i="22"/>
  <c r="N384" i="22"/>
  <c r="X384" i="22"/>
  <c r="U384" i="22"/>
  <c r="AJ384" i="22"/>
  <c r="AI384" i="22"/>
  <c r="W384" i="22"/>
  <c r="AN384" i="22"/>
  <c r="S384" i="22"/>
  <c r="AM384" i="22"/>
  <c r="M384" i="22"/>
  <c r="AL384" i="22"/>
  <c r="AK384" i="22"/>
  <c r="AA384" i="22"/>
  <c r="Z384" i="22"/>
  <c r="Y384" i="22"/>
  <c r="AC386" i="22"/>
  <c r="Q386" i="22"/>
  <c r="AM386" i="22"/>
  <c r="AA386" i="22"/>
  <c r="O386" i="22"/>
  <c r="AL386" i="22"/>
  <c r="Z386" i="22"/>
  <c r="AB386" i="22"/>
  <c r="X386" i="22"/>
  <c r="Y386" i="22"/>
  <c r="AN386" i="22"/>
  <c r="W386" i="22"/>
  <c r="AK386" i="22"/>
  <c r="V386" i="22"/>
  <c r="U386" i="22"/>
  <c r="S386" i="22"/>
  <c r="AG386" i="22"/>
  <c r="AF386" i="22"/>
  <c r="T386" i="22"/>
  <c r="R386" i="22"/>
  <c r="P386" i="22"/>
  <c r="AJ386" i="22"/>
  <c r="AI386" i="22"/>
  <c r="AH386" i="22"/>
  <c r="AD386" i="22"/>
  <c r="AE386" i="22"/>
  <c r="AL274" i="22"/>
  <c r="AH270" i="22"/>
  <c r="AG269" i="22"/>
  <c r="AI271" i="22"/>
  <c r="AJ272" i="22"/>
  <c r="AK273" i="22"/>
  <c r="AI230" i="22"/>
  <c r="AF227" i="22"/>
  <c r="AG228" i="22"/>
  <c r="AJ231" i="22"/>
  <c r="AH229" i="22"/>
  <c r="N369" i="22"/>
  <c r="L216" i="22"/>
  <c r="J220" i="22"/>
  <c r="J221" i="22" s="1"/>
  <c r="N59" i="22"/>
  <c r="N207" i="22"/>
  <c r="N214" i="22"/>
  <c r="N277" i="22" s="1"/>
  <c r="N213" i="22"/>
  <c r="AM116" i="22"/>
  <c r="AJ113" i="22"/>
  <c r="AK114" i="22"/>
  <c r="AL115" i="22"/>
  <c r="AN117" i="22"/>
  <c r="N52" i="22"/>
  <c r="N58" i="22"/>
  <c r="AF268" i="22"/>
  <c r="C8" i="45"/>
  <c r="AM377" i="19"/>
  <c r="AL376" i="19"/>
  <c r="AN378" i="19"/>
  <c r="O367" i="19"/>
  <c r="U467" i="19"/>
  <c r="R467" i="19"/>
  <c r="AJ467" i="19"/>
  <c r="AG467" i="19"/>
  <c r="AD467" i="19"/>
  <c r="AA467" i="19"/>
  <c r="X467" i="19"/>
  <c r="AM467" i="19"/>
  <c r="N367" i="19"/>
  <c r="AL466" i="19"/>
  <c r="AI466" i="19"/>
  <c r="AF466" i="19"/>
  <c r="AC466" i="19"/>
  <c r="Z466" i="19"/>
  <c r="W466" i="19"/>
  <c r="T466" i="19"/>
  <c r="Q466" i="19"/>
  <c r="AC426" i="19"/>
  <c r="Q426" i="19"/>
  <c r="AA426" i="19"/>
  <c r="O426" i="19"/>
  <c r="AN426" i="19"/>
  <c r="AB426" i="19"/>
  <c r="P426" i="19"/>
  <c r="AM426" i="19"/>
  <c r="Z426" i="19"/>
  <c r="Y426" i="19"/>
  <c r="X426" i="19"/>
  <c r="AL426" i="19"/>
  <c r="W426" i="19"/>
  <c r="AI426" i="19"/>
  <c r="AH426" i="19"/>
  <c r="AG426" i="19"/>
  <c r="AF426" i="19"/>
  <c r="AE426" i="19"/>
  <c r="AD426" i="19"/>
  <c r="V426" i="19"/>
  <c r="U426" i="19"/>
  <c r="T426" i="19"/>
  <c r="S426" i="19"/>
  <c r="AK426" i="19"/>
  <c r="R426" i="19"/>
  <c r="AJ426" i="19"/>
  <c r="AC385" i="19"/>
  <c r="Q385" i="19"/>
  <c r="AN385" i="19"/>
  <c r="AB385" i="19"/>
  <c r="P385" i="19"/>
  <c r="AM385" i="19"/>
  <c r="AA385" i="19"/>
  <c r="O385" i="19"/>
  <c r="AL385" i="19"/>
  <c r="Z385" i="19"/>
  <c r="AK385" i="19"/>
  <c r="Y385" i="19"/>
  <c r="AJ385" i="19"/>
  <c r="X385" i="19"/>
  <c r="AI385" i="19"/>
  <c r="W385" i="19"/>
  <c r="R385" i="19"/>
  <c r="AH385" i="19"/>
  <c r="AG385" i="19"/>
  <c r="U385" i="19"/>
  <c r="AF385" i="19"/>
  <c r="AE385" i="19"/>
  <c r="AD385" i="19"/>
  <c r="V385" i="19"/>
  <c r="T385" i="19"/>
  <c r="S385" i="19"/>
  <c r="AI271" i="19"/>
  <c r="AG269" i="19"/>
  <c r="AJ272" i="19"/>
  <c r="AH270" i="19"/>
  <c r="AI229" i="19"/>
  <c r="AK231" i="19"/>
  <c r="AH228" i="19"/>
  <c r="AG227" i="19"/>
  <c r="AJ230" i="19"/>
  <c r="AK273" i="19"/>
  <c r="J220" i="19"/>
  <c r="J221" i="19" s="1"/>
  <c r="T314" i="19"/>
  <c r="Q314" i="19"/>
  <c r="N314" i="19"/>
  <c r="AL314" i="19"/>
  <c r="AI314" i="19"/>
  <c r="W314" i="19"/>
  <c r="AF314" i="19"/>
  <c r="AC314" i="19"/>
  <c r="Z314" i="19"/>
  <c r="J18" i="19"/>
  <c r="J16" i="19"/>
  <c r="AL274" i="19"/>
  <c r="Z274" i="19"/>
  <c r="N274" i="19"/>
  <c r="AJ274" i="19"/>
  <c r="X274" i="19"/>
  <c r="L274" i="19"/>
  <c r="AI274" i="19"/>
  <c r="AC274" i="19"/>
  <c r="O274" i="19"/>
  <c r="AB274" i="19"/>
  <c r="M274" i="19"/>
  <c r="AA274" i="19"/>
  <c r="Y274" i="19"/>
  <c r="W274" i="19"/>
  <c r="V274" i="19"/>
  <c r="AF274" i="19"/>
  <c r="AE274" i="19"/>
  <c r="AD274" i="19"/>
  <c r="U274" i="19"/>
  <c r="S274" i="19"/>
  <c r="T274" i="19"/>
  <c r="AK274" i="19"/>
  <c r="AH274" i="19"/>
  <c r="AG274" i="19"/>
  <c r="R274" i="19"/>
  <c r="Q274" i="19"/>
  <c r="P274" i="19"/>
  <c r="AJ233" i="19"/>
  <c r="X233" i="19"/>
  <c r="L233" i="19"/>
  <c r="AE233" i="19"/>
  <c r="R233" i="19"/>
  <c r="AD233" i="19"/>
  <c r="Q233" i="19"/>
  <c r="AG233" i="19"/>
  <c r="P233" i="19"/>
  <c r="O233" i="19"/>
  <c r="AC233" i="19"/>
  <c r="N233" i="19"/>
  <c r="AB233" i="19"/>
  <c r="M233" i="19"/>
  <c r="AA233" i="19"/>
  <c r="AF233" i="19"/>
  <c r="Z233" i="19"/>
  <c r="Y233" i="19"/>
  <c r="W233" i="19"/>
  <c r="V233" i="19"/>
  <c r="U233" i="19"/>
  <c r="T233" i="19"/>
  <c r="S233" i="19"/>
  <c r="AM233" i="19"/>
  <c r="AL233" i="19"/>
  <c r="AK233" i="19"/>
  <c r="AI233" i="19"/>
  <c r="AH233" i="19"/>
  <c r="N122" i="19"/>
  <c r="AN122" i="19" s="1"/>
  <c r="N51" i="19"/>
  <c r="O355" i="19"/>
  <c r="AJ116" i="19"/>
  <c r="AK117" i="19"/>
  <c r="AH114" i="19"/>
  <c r="AI115" i="19"/>
  <c r="AG113" i="19"/>
  <c r="AL118" i="19"/>
  <c r="AM119" i="19"/>
  <c r="AN120" i="19"/>
  <c r="N63" i="19"/>
  <c r="AA165" i="19"/>
  <c r="X165" i="19"/>
  <c r="U165" i="19"/>
  <c r="R165" i="19"/>
  <c r="AL164" i="19"/>
  <c r="AF164" i="19"/>
  <c r="Z164" i="19"/>
  <c r="AC164" i="19"/>
  <c r="AM165" i="19"/>
  <c r="AJ165" i="19"/>
  <c r="AG165" i="19"/>
  <c r="AD165" i="19"/>
  <c r="AI164" i="19"/>
  <c r="W164" i="19"/>
  <c r="T164" i="19"/>
  <c r="Q164" i="19"/>
  <c r="AN81" i="19"/>
  <c r="AB81" i="19"/>
  <c r="P81" i="19"/>
  <c r="Z81" i="19"/>
  <c r="AM81" i="19"/>
  <c r="AA81" i="19"/>
  <c r="O81" i="19"/>
  <c r="AL81" i="19"/>
  <c r="AJ81" i="19"/>
  <c r="U81" i="19"/>
  <c r="AH81" i="19"/>
  <c r="S81" i="19"/>
  <c r="AI81" i="19"/>
  <c r="T81" i="19"/>
  <c r="AF81" i="19"/>
  <c r="Q81" i="19"/>
  <c r="W81" i="19"/>
  <c r="V81" i="19"/>
  <c r="AK81" i="19"/>
  <c r="AG81" i="19"/>
  <c r="AE81" i="19"/>
  <c r="AD81" i="19"/>
  <c r="AC81" i="19"/>
  <c r="R81" i="19"/>
  <c r="Y81" i="19"/>
  <c r="X81" i="19"/>
  <c r="AM378" i="20"/>
  <c r="AN379" i="20"/>
  <c r="AL377" i="20"/>
  <c r="O368" i="20"/>
  <c r="U468" i="20"/>
  <c r="R468" i="20"/>
  <c r="AD468" i="20"/>
  <c r="AA468" i="20"/>
  <c r="X468" i="20"/>
  <c r="AM468" i="20"/>
  <c r="AJ468" i="20"/>
  <c r="AG468" i="20"/>
  <c r="AN427" i="20"/>
  <c r="AB427" i="20"/>
  <c r="P427" i="20"/>
  <c r="AM427" i="20"/>
  <c r="AA427" i="20"/>
  <c r="O427" i="20"/>
  <c r="AK427" i="20"/>
  <c r="Y427" i="20"/>
  <c r="W427" i="20"/>
  <c r="AJ427" i="20"/>
  <c r="X427" i="20"/>
  <c r="AI427" i="20"/>
  <c r="AG427" i="20"/>
  <c r="AF427" i="20"/>
  <c r="AE427" i="20"/>
  <c r="AD427" i="20"/>
  <c r="AC427" i="20"/>
  <c r="Z427" i="20"/>
  <c r="V427" i="20"/>
  <c r="U427" i="20"/>
  <c r="AL427" i="20"/>
  <c r="AH427" i="20"/>
  <c r="T427" i="20"/>
  <c r="S427" i="20"/>
  <c r="Q427" i="20"/>
  <c r="R427" i="20"/>
  <c r="AC386" i="20"/>
  <c r="Q386" i="20"/>
  <c r="AN386" i="20"/>
  <c r="AB386" i="20"/>
  <c r="P386" i="20"/>
  <c r="AM386" i="20"/>
  <c r="AA386" i="20"/>
  <c r="O386" i="20"/>
  <c r="X386" i="20"/>
  <c r="AL386" i="20"/>
  <c r="W386" i="20"/>
  <c r="AK386" i="20"/>
  <c r="V386" i="20"/>
  <c r="AJ386" i="20"/>
  <c r="U386" i="20"/>
  <c r="AH386" i="20"/>
  <c r="AG386" i="20"/>
  <c r="AF386" i="20"/>
  <c r="AE386" i="20"/>
  <c r="AI386" i="20"/>
  <c r="AD386" i="20"/>
  <c r="Z386" i="20"/>
  <c r="Y386" i="20"/>
  <c r="T386" i="20"/>
  <c r="S386" i="20"/>
  <c r="R386" i="20"/>
  <c r="AH228" i="20"/>
  <c r="AG227" i="20"/>
  <c r="AI229" i="20"/>
  <c r="AL232" i="20"/>
  <c r="AK231" i="20"/>
  <c r="AM233" i="20"/>
  <c r="AJ230" i="20"/>
  <c r="AF268" i="20"/>
  <c r="AJ272" i="20"/>
  <c r="AG269" i="20"/>
  <c r="AI271" i="20"/>
  <c r="AK273" i="20"/>
  <c r="AH270" i="20"/>
  <c r="AL274" i="20"/>
  <c r="L218" i="20"/>
  <c r="AD315" i="20"/>
  <c r="AA315" i="20"/>
  <c r="X315" i="20"/>
  <c r="U315" i="20"/>
  <c r="R315" i="20"/>
  <c r="O315" i="20"/>
  <c r="AM315" i="20"/>
  <c r="AJ315" i="20"/>
  <c r="AG315" i="20"/>
  <c r="L217" i="20"/>
  <c r="AH275" i="20"/>
  <c r="V275" i="20"/>
  <c r="AC275" i="20"/>
  <c r="P275" i="20"/>
  <c r="AB275" i="20"/>
  <c r="O275" i="20"/>
  <c r="AA275" i="20"/>
  <c r="N275" i="20"/>
  <c r="AE275" i="20"/>
  <c r="AD275" i="20"/>
  <c r="Z275" i="20"/>
  <c r="Y275" i="20"/>
  <c r="X275" i="20"/>
  <c r="S275" i="20"/>
  <c r="AJ275" i="20"/>
  <c r="W275" i="20"/>
  <c r="R275" i="20"/>
  <c r="AM275" i="20"/>
  <c r="Q275" i="20"/>
  <c r="AG275" i="20"/>
  <c r="AL275" i="20"/>
  <c r="M275" i="20"/>
  <c r="AK275" i="20"/>
  <c r="AI275" i="20"/>
  <c r="AF275" i="20"/>
  <c r="T275" i="20"/>
  <c r="U275" i="20"/>
  <c r="L216" i="20"/>
  <c r="AH234" i="20"/>
  <c r="V234" i="20"/>
  <c r="AD234" i="20"/>
  <c r="R234" i="20"/>
  <c r="AG234" i="20"/>
  <c r="S234" i="20"/>
  <c r="AF234" i="20"/>
  <c r="Q234" i="20"/>
  <c r="AE234" i="20"/>
  <c r="P234" i="20"/>
  <c r="AC234" i="20"/>
  <c r="O234" i="20"/>
  <c r="AB234" i="20"/>
  <c r="N234" i="20"/>
  <c r="Z234" i="20"/>
  <c r="Y234" i="20"/>
  <c r="AM234" i="20"/>
  <c r="M234" i="20"/>
  <c r="X234" i="20"/>
  <c r="W234" i="20"/>
  <c r="U234" i="20"/>
  <c r="AN234" i="20"/>
  <c r="T234" i="20"/>
  <c r="AL234" i="20"/>
  <c r="AK234" i="20"/>
  <c r="AJ234" i="20"/>
  <c r="AI234" i="20"/>
  <c r="AA234" i="20"/>
  <c r="O7" i="42"/>
  <c r="O12" i="42" s="1"/>
  <c r="P7" i="42"/>
  <c r="P12" i="42" s="1"/>
  <c r="AB7" i="42"/>
  <c r="AB12" i="42" s="1"/>
  <c r="AH229" i="42"/>
  <c r="AI230" i="42"/>
  <c r="AJ231" i="42"/>
  <c r="AG228" i="42"/>
  <c r="AF227" i="42"/>
  <c r="AK232" i="42"/>
  <c r="AM377" i="42"/>
  <c r="AN378" i="42"/>
  <c r="AH270" i="42"/>
  <c r="AF268" i="42"/>
  <c r="AG269" i="42"/>
  <c r="AJ272" i="42"/>
  <c r="AI271" i="42"/>
  <c r="AK273" i="42"/>
  <c r="N368" i="42"/>
  <c r="AL467" i="42"/>
  <c r="AI467" i="42"/>
  <c r="AF467" i="42"/>
  <c r="AC467" i="42"/>
  <c r="Z467" i="42"/>
  <c r="W467" i="42"/>
  <c r="T467" i="42"/>
  <c r="Q467" i="42"/>
  <c r="N367" i="42"/>
  <c r="AC427" i="42"/>
  <c r="Q427" i="42"/>
  <c r="AN427" i="42"/>
  <c r="AB427" i="42"/>
  <c r="P427" i="42"/>
  <c r="AM427" i="42"/>
  <c r="AA427" i="42"/>
  <c r="O427" i="42"/>
  <c r="AL427" i="42"/>
  <c r="Z427" i="42"/>
  <c r="V427" i="42"/>
  <c r="AK427" i="42"/>
  <c r="U427" i="42"/>
  <c r="AJ427" i="42"/>
  <c r="T427" i="42"/>
  <c r="AI427" i="42"/>
  <c r="S427" i="42"/>
  <c r="AH427" i="42"/>
  <c r="R427" i="42"/>
  <c r="AG427" i="42"/>
  <c r="AF427" i="42"/>
  <c r="AE427" i="42"/>
  <c r="W427" i="42"/>
  <c r="AD427" i="42"/>
  <c r="Y427" i="42"/>
  <c r="X427" i="42"/>
  <c r="N366" i="42"/>
  <c r="AC386" i="42"/>
  <c r="Q386" i="42"/>
  <c r="AN386" i="42"/>
  <c r="AB386" i="42"/>
  <c r="P386" i="42"/>
  <c r="AM386" i="42"/>
  <c r="AA386" i="42"/>
  <c r="O386" i="42"/>
  <c r="AL386" i="42"/>
  <c r="Z386" i="42"/>
  <c r="AK386" i="42"/>
  <c r="U386" i="42"/>
  <c r="AJ386" i="42"/>
  <c r="T386" i="42"/>
  <c r="AI386" i="42"/>
  <c r="S386" i="42"/>
  <c r="AH386" i="42"/>
  <c r="R386" i="42"/>
  <c r="AG386" i="42"/>
  <c r="AF386" i="42"/>
  <c r="AE386" i="42"/>
  <c r="V386" i="42"/>
  <c r="AD386" i="42"/>
  <c r="Y386" i="42"/>
  <c r="X386" i="42"/>
  <c r="W386" i="42"/>
  <c r="K218" i="42"/>
  <c r="T314" i="42"/>
  <c r="Q314" i="42"/>
  <c r="N314" i="42"/>
  <c r="AL314" i="42"/>
  <c r="AI314" i="42"/>
  <c r="AF314" i="42"/>
  <c r="Z314" i="42"/>
  <c r="W314" i="42"/>
  <c r="AC314" i="42"/>
  <c r="K217" i="42"/>
  <c r="AL274" i="42"/>
  <c r="Z274" i="42"/>
  <c r="N274" i="42"/>
  <c r="AJ274" i="42"/>
  <c r="X274" i="42"/>
  <c r="L274" i="42"/>
  <c r="AF274" i="42"/>
  <c r="R274" i="42"/>
  <c r="AD274" i="42"/>
  <c r="P274" i="42"/>
  <c r="AC274" i="42"/>
  <c r="O274" i="42"/>
  <c r="AB274" i="42"/>
  <c r="M274" i="42"/>
  <c r="AA274" i="42"/>
  <c r="U274" i="42"/>
  <c r="T274" i="42"/>
  <c r="S274" i="42"/>
  <c r="Q274" i="42"/>
  <c r="V274" i="42"/>
  <c r="AK274" i="42"/>
  <c r="AI274" i="42"/>
  <c r="AH274" i="42"/>
  <c r="AG274" i="42"/>
  <c r="AE274" i="42"/>
  <c r="Y274" i="42"/>
  <c r="W274" i="42"/>
  <c r="AL233" i="42"/>
  <c r="Z233" i="42"/>
  <c r="N233" i="42"/>
  <c r="AJ233" i="42"/>
  <c r="X233" i="42"/>
  <c r="L233" i="42"/>
  <c r="AA233" i="42"/>
  <c r="Y233" i="42"/>
  <c r="AF233" i="42"/>
  <c r="P233" i="42"/>
  <c r="AD233" i="42"/>
  <c r="M233" i="42"/>
  <c r="AC233" i="42"/>
  <c r="V233" i="42"/>
  <c r="AE233" i="42"/>
  <c r="O233" i="42"/>
  <c r="AB233" i="42"/>
  <c r="W233" i="42"/>
  <c r="U233" i="42"/>
  <c r="AI233" i="42"/>
  <c r="AH233" i="42"/>
  <c r="T233" i="42"/>
  <c r="S233" i="42"/>
  <c r="R233" i="42"/>
  <c r="Q233" i="42"/>
  <c r="AK233" i="42"/>
  <c r="AG233" i="42"/>
  <c r="K16" i="42"/>
  <c r="AN7" i="42"/>
  <c r="AN12" i="42" s="1"/>
  <c r="AL7" i="42"/>
  <c r="AL12" i="42" s="1"/>
  <c r="AI113" i="42"/>
  <c r="AL116" i="42"/>
  <c r="AK115" i="42"/>
  <c r="AJ114" i="42"/>
  <c r="AM117" i="42"/>
  <c r="AA7" i="42"/>
  <c r="AA12" i="42" s="1"/>
  <c r="AM7" i="42"/>
  <c r="AM12" i="42" s="1"/>
  <c r="AK163" i="42"/>
  <c r="AH163" i="42"/>
  <c r="AE163" i="42"/>
  <c r="AB163" i="42"/>
  <c r="Y163" i="42"/>
  <c r="AN163" i="42"/>
  <c r="V163" i="42"/>
  <c r="S163" i="42"/>
  <c r="P163" i="42"/>
  <c r="L61" i="42"/>
  <c r="X165" i="42"/>
  <c r="U165" i="42"/>
  <c r="R165" i="42"/>
  <c r="AL164" i="42"/>
  <c r="AI164" i="42"/>
  <c r="T164" i="42"/>
  <c r="Q164" i="42"/>
  <c r="AM165" i="42"/>
  <c r="Z164" i="42"/>
  <c r="W164" i="42"/>
  <c r="AJ165" i="42"/>
  <c r="AG165" i="42"/>
  <c r="AD165" i="42"/>
  <c r="AA165" i="42"/>
  <c r="AF164" i="42"/>
  <c r="AC164" i="42"/>
  <c r="AC122" i="42"/>
  <c r="Q122" i="42"/>
  <c r="AK122" i="42"/>
  <c r="Y122" i="42"/>
  <c r="AN122" i="42"/>
  <c r="AB122" i="42"/>
  <c r="P122" i="42"/>
  <c r="AM122" i="42"/>
  <c r="AA122" i="42"/>
  <c r="O122" i="42"/>
  <c r="AL122" i="42"/>
  <c r="Z122" i="42"/>
  <c r="AJ122" i="42"/>
  <c r="X122" i="42"/>
  <c r="AI122" i="42"/>
  <c r="W122" i="42"/>
  <c r="T122" i="42"/>
  <c r="S122" i="42"/>
  <c r="R122" i="42"/>
  <c r="U122" i="42"/>
  <c r="AH122" i="42"/>
  <c r="AG122" i="42"/>
  <c r="AF122" i="42"/>
  <c r="AE122" i="42"/>
  <c r="V122" i="42"/>
  <c r="AD122" i="42"/>
  <c r="AE121" i="42"/>
  <c r="S121" i="42"/>
  <c r="AM121" i="42"/>
  <c r="AA121" i="42"/>
  <c r="O121" i="42"/>
  <c r="AD121" i="42"/>
  <c r="R121" i="42"/>
  <c r="AC121" i="42"/>
  <c r="Q121" i="42"/>
  <c r="AN121" i="42"/>
  <c r="AB121" i="42"/>
  <c r="P121" i="42"/>
  <c r="AL121" i="42"/>
  <c r="Z121" i="42"/>
  <c r="N121" i="42"/>
  <c r="N62" i="42" s="1"/>
  <c r="AK121" i="42"/>
  <c r="Y121" i="42"/>
  <c r="T121" i="42"/>
  <c r="AJ121" i="42"/>
  <c r="U121" i="42"/>
  <c r="AI121" i="42"/>
  <c r="AH121" i="42"/>
  <c r="AG121" i="42"/>
  <c r="W121" i="42"/>
  <c r="X121" i="42"/>
  <c r="V121" i="42"/>
  <c r="AF121" i="42"/>
  <c r="M62" i="42"/>
  <c r="AC81" i="42"/>
  <c r="Q81" i="42"/>
  <c r="AN81" i="42"/>
  <c r="AB81" i="42"/>
  <c r="P81" i="42"/>
  <c r="AM81" i="42"/>
  <c r="AA81" i="42"/>
  <c r="O81" i="42"/>
  <c r="Z81" i="42"/>
  <c r="Y81" i="42"/>
  <c r="X81" i="42"/>
  <c r="AL81" i="42"/>
  <c r="W81" i="42"/>
  <c r="AG81" i="42"/>
  <c r="V81" i="42"/>
  <c r="T81" i="42"/>
  <c r="S81" i="42"/>
  <c r="AF81" i="42"/>
  <c r="AE81" i="42"/>
  <c r="AD81" i="42"/>
  <c r="U81" i="42"/>
  <c r="AH81" i="42"/>
  <c r="AJ81" i="42"/>
  <c r="AI81" i="42"/>
  <c r="R81" i="42"/>
  <c r="AK81" i="42"/>
  <c r="B10" i="45"/>
  <c r="AE80" i="42"/>
  <c r="S80" i="42"/>
  <c r="AD80" i="42"/>
  <c r="R80" i="42"/>
  <c r="AC80" i="42"/>
  <c r="Q80" i="42"/>
  <c r="AK80" i="42"/>
  <c r="V80" i="42"/>
  <c r="P80" i="42"/>
  <c r="AJ80" i="42"/>
  <c r="U80" i="42"/>
  <c r="AI80" i="42"/>
  <c r="T80" i="42"/>
  <c r="AH80" i="42"/>
  <c r="AG80" i="42"/>
  <c r="Y80" i="42"/>
  <c r="AF80" i="42"/>
  <c r="AB80" i="42"/>
  <c r="AA80" i="42"/>
  <c r="Z80" i="42"/>
  <c r="X80" i="42"/>
  <c r="W80" i="42"/>
  <c r="AN80" i="42"/>
  <c r="AL80" i="42"/>
  <c r="AM80" i="42"/>
  <c r="O80" i="42"/>
  <c r="N80" i="42"/>
  <c r="N61" i="42" s="1"/>
  <c r="J13" i="42"/>
  <c r="J8" i="42" s="1"/>
  <c r="C10" i="45"/>
  <c r="AN379" i="41"/>
  <c r="AM378" i="41"/>
  <c r="AL377" i="41"/>
  <c r="AN466" i="41"/>
  <c r="AK466" i="41"/>
  <c r="AH466" i="41"/>
  <c r="AE466" i="41"/>
  <c r="AB466" i="41"/>
  <c r="Y466" i="41"/>
  <c r="V466" i="41"/>
  <c r="S466" i="41"/>
  <c r="P466" i="41"/>
  <c r="AH425" i="41"/>
  <c r="V425" i="41"/>
  <c r="AF425" i="41"/>
  <c r="T425" i="41"/>
  <c r="AE425" i="41"/>
  <c r="Q425" i="41"/>
  <c r="AD425" i="41"/>
  <c r="P425" i="41"/>
  <c r="AB425" i="41"/>
  <c r="N425" i="41"/>
  <c r="AK425" i="41"/>
  <c r="R425" i="41"/>
  <c r="AI425" i="41"/>
  <c r="M425" i="41"/>
  <c r="AJ425" i="41"/>
  <c r="O425" i="41"/>
  <c r="AG425" i="41"/>
  <c r="AC425" i="41"/>
  <c r="AA425" i="41"/>
  <c r="Z425" i="41"/>
  <c r="Y425" i="41"/>
  <c r="U425" i="41"/>
  <c r="AM425" i="41"/>
  <c r="AL425" i="41"/>
  <c r="X425" i="41"/>
  <c r="W425" i="41"/>
  <c r="S425" i="41"/>
  <c r="AN425" i="41"/>
  <c r="AH384" i="41"/>
  <c r="V384" i="41"/>
  <c r="AF384" i="41"/>
  <c r="T384" i="41"/>
  <c r="AG384" i="41"/>
  <c r="R384" i="41"/>
  <c r="AE384" i="41"/>
  <c r="Q384" i="41"/>
  <c r="AA384" i="41"/>
  <c r="Z384" i="41"/>
  <c r="Y384" i="41"/>
  <c r="AN384" i="41"/>
  <c r="X384" i="41"/>
  <c r="AM384" i="41"/>
  <c r="W384" i="41"/>
  <c r="AL384" i="41"/>
  <c r="M384" i="41"/>
  <c r="AK384" i="41"/>
  <c r="AJ384" i="41"/>
  <c r="AI384" i="41"/>
  <c r="AC384" i="41"/>
  <c r="AB384" i="41"/>
  <c r="U384" i="41"/>
  <c r="S384" i="41"/>
  <c r="P384" i="41"/>
  <c r="O384" i="41"/>
  <c r="N384" i="41"/>
  <c r="AD384" i="41"/>
  <c r="AI115" i="41"/>
  <c r="AK117" i="41"/>
  <c r="AG113" i="41"/>
  <c r="AJ116" i="41"/>
  <c r="AH114" i="41"/>
  <c r="AH270" i="41"/>
  <c r="AG269" i="41"/>
  <c r="AF268" i="41"/>
  <c r="AJ272" i="41"/>
  <c r="AI271" i="41"/>
  <c r="AA7" i="41"/>
  <c r="AM4" i="41"/>
  <c r="AM7" i="41" s="1"/>
  <c r="AM231" i="41"/>
  <c r="AK229" i="41"/>
  <c r="AJ228" i="41"/>
  <c r="AI227" i="41"/>
  <c r="AL230" i="41"/>
  <c r="AN4" i="41"/>
  <c r="AN7" i="41" s="1"/>
  <c r="AB7" i="41"/>
  <c r="M40" i="16"/>
  <c r="AJ7" i="16"/>
  <c r="AJ12" i="16" s="1"/>
  <c r="X7" i="16"/>
  <c r="X12" i="16" s="1"/>
  <c r="AI7" i="16"/>
  <c r="AI12" i="16" s="1"/>
  <c r="L217" i="22"/>
  <c r="O368" i="19"/>
  <c r="L369" i="19"/>
  <c r="L370" i="19" s="1"/>
  <c r="N366" i="19"/>
  <c r="E6" i="45"/>
  <c r="D6" i="45"/>
  <c r="Y45" i="16"/>
  <c r="C5" i="45"/>
  <c r="M63" i="20"/>
  <c r="B5" i="45"/>
  <c r="K18" i="42"/>
  <c r="N63" i="42"/>
  <c r="O365" i="42"/>
  <c r="O468" i="42" s="1"/>
  <c r="O363" i="42"/>
  <c r="O364" i="42"/>
  <c r="M61" i="42"/>
  <c r="L23" i="42"/>
  <c r="Q350" i="42"/>
  <c r="Q352" i="42" s="1"/>
  <c r="Q45" i="42"/>
  <c r="M63" i="42"/>
  <c r="P47" i="42"/>
  <c r="P354" i="42"/>
  <c r="P355" i="42" s="1"/>
  <c r="P15" i="42"/>
  <c r="P20" i="42"/>
  <c r="X20" i="42" s="1"/>
  <c r="AB20" i="42" s="1"/>
  <c r="AC20" i="42" s="1"/>
  <c r="AD20" i="42" s="1"/>
  <c r="AE20" i="42" s="1"/>
  <c r="AF20" i="42" s="1"/>
  <c r="AG20" i="42" s="1"/>
  <c r="AH20" i="42" s="1"/>
  <c r="AI20" i="42" s="1"/>
  <c r="AJ20" i="42" s="1"/>
  <c r="AK20" i="42" s="1"/>
  <c r="AL20" i="42" s="1"/>
  <c r="AM20" i="42" s="1"/>
  <c r="AN20" i="42" s="1"/>
  <c r="L60" i="41"/>
  <c r="L59" i="41"/>
  <c r="L58" i="41"/>
  <c r="L21" i="41" s="1"/>
  <c r="L52" i="41"/>
  <c r="M426" i="41"/>
  <c r="M356" i="41"/>
  <c r="M368" i="41"/>
  <c r="N49" i="41"/>
  <c r="N50" i="41" s="1"/>
  <c r="N354" i="41"/>
  <c r="N355" i="41" s="1"/>
  <c r="K161" i="41"/>
  <c r="O350" i="41"/>
  <c r="O352" i="41" s="1"/>
  <c r="O45" i="41"/>
  <c r="O47" i="41" s="1"/>
  <c r="O49" i="41" s="1"/>
  <c r="O50" i="41" s="1"/>
  <c r="O60" i="41" s="1"/>
  <c r="M49" i="41"/>
  <c r="M50" i="41" s="1"/>
  <c r="O200" i="41"/>
  <c r="O202" i="41" s="1"/>
  <c r="M385" i="41"/>
  <c r="M369" i="41"/>
  <c r="L216" i="23"/>
  <c r="L217" i="23"/>
  <c r="N62" i="23"/>
  <c r="N61" i="23"/>
  <c r="J18" i="22"/>
  <c r="O354" i="22"/>
  <c r="O355" i="22" s="1"/>
  <c r="L120" i="22"/>
  <c r="P350" i="22"/>
  <c r="P352" i="22" s="1"/>
  <c r="P354" i="22" s="1"/>
  <c r="P355" i="22" s="1"/>
  <c r="P45" i="22"/>
  <c r="P200" i="22"/>
  <c r="P202" i="22" s="1"/>
  <c r="L79" i="22"/>
  <c r="L64" i="22"/>
  <c r="M369" i="22"/>
  <c r="M385" i="22"/>
  <c r="K18" i="22"/>
  <c r="M58" i="22"/>
  <c r="M59" i="22"/>
  <c r="M60" i="22"/>
  <c r="M52" i="22"/>
  <c r="M368" i="22"/>
  <c r="L162" i="22"/>
  <c r="M426" i="22"/>
  <c r="M356" i="22"/>
  <c r="M214" i="22"/>
  <c r="M213" i="22"/>
  <c r="M215" i="22"/>
  <c r="M316" i="22" s="1"/>
  <c r="M207" i="22"/>
  <c r="L65" i="19"/>
  <c r="L66" i="19" s="1"/>
  <c r="O386" i="19"/>
  <c r="M369" i="19"/>
  <c r="M370" i="19" s="1"/>
  <c r="Q349" i="19"/>
  <c r="Q351" i="19" s="1"/>
  <c r="Q353" i="19" s="1"/>
  <c r="Q354" i="19" s="1"/>
  <c r="Q45" i="19"/>
  <c r="P47" i="19"/>
  <c r="O49" i="19"/>
  <c r="O50" i="19" s="1"/>
  <c r="P364" i="19"/>
  <c r="P468" i="19" s="1"/>
  <c r="P363" i="19"/>
  <c r="P362" i="19"/>
  <c r="AN7" i="19"/>
  <c r="AB7" i="19"/>
  <c r="AH75" i="20"/>
  <c r="AI76" i="20"/>
  <c r="AG74" i="20"/>
  <c r="AF73" i="20"/>
  <c r="AE72" i="20"/>
  <c r="AL79" i="20"/>
  <c r="L61" i="20"/>
  <c r="M370" i="20"/>
  <c r="M371" i="20" s="1"/>
  <c r="M121" i="20"/>
  <c r="M62" i="20" s="1"/>
  <c r="M51" i="20"/>
  <c r="P47" i="20"/>
  <c r="N367" i="20"/>
  <c r="P354" i="20"/>
  <c r="P355" i="20" s="1"/>
  <c r="O428" i="20"/>
  <c r="O356" i="20"/>
  <c r="N366" i="20"/>
  <c r="L370" i="20"/>
  <c r="L371" i="20" s="1"/>
  <c r="AN163" i="20"/>
  <c r="S163" i="20"/>
  <c r="AH163" i="20"/>
  <c r="P163" i="20"/>
  <c r="AB163" i="20"/>
  <c r="Y163" i="20"/>
  <c r="AE163" i="20"/>
  <c r="V163" i="20"/>
  <c r="AK163" i="20"/>
  <c r="M64" i="20"/>
  <c r="M80" i="20"/>
  <c r="M61" i="20" s="1"/>
  <c r="Q350" i="20"/>
  <c r="Q352" i="20" s="1"/>
  <c r="Q45" i="20"/>
  <c r="O369" i="20"/>
  <c r="O387" i="20"/>
  <c r="M213" i="42"/>
  <c r="M9" i="42" s="1"/>
  <c r="M21" i="42" s="1"/>
  <c r="M214" i="42"/>
  <c r="M215" i="42"/>
  <c r="M207" i="42"/>
  <c r="AM233" i="42"/>
  <c r="O202" i="42"/>
  <c r="P200" i="42"/>
  <c r="L62" i="42"/>
  <c r="K65" i="42"/>
  <c r="K66" i="42" s="1"/>
  <c r="N204" i="42"/>
  <c r="N205" i="42" s="1"/>
  <c r="L275" i="42"/>
  <c r="L315" i="42"/>
  <c r="AN377" i="42"/>
  <c r="O51" i="42"/>
  <c r="O123" i="42"/>
  <c r="J65" i="42"/>
  <c r="J66" i="42" s="1"/>
  <c r="O165" i="42"/>
  <c r="O63" i="42" s="1"/>
  <c r="L234" i="42"/>
  <c r="L219" i="42"/>
  <c r="AM274" i="42"/>
  <c r="O82" i="42"/>
  <c r="O64" i="42"/>
  <c r="M215" i="41"/>
  <c r="M213" i="41"/>
  <c r="M214" i="41"/>
  <c r="M207" i="41"/>
  <c r="L315" i="41"/>
  <c r="AK48" i="41"/>
  <c r="AG111" i="41"/>
  <c r="N204" i="41"/>
  <c r="N205" i="41" s="1"/>
  <c r="O215" i="23"/>
  <c r="O213" i="23"/>
  <c r="O9" i="23" s="1"/>
  <c r="O21" i="23" s="1"/>
  <c r="O214" i="23"/>
  <c r="O207" i="23"/>
  <c r="P204" i="23"/>
  <c r="P205" i="23" s="1"/>
  <c r="AN234" i="23"/>
  <c r="O123" i="23"/>
  <c r="O51" i="23"/>
  <c r="AN377" i="23"/>
  <c r="K65" i="23"/>
  <c r="K66" i="23" s="1"/>
  <c r="Q202" i="23"/>
  <c r="R200" i="23"/>
  <c r="N206" i="23"/>
  <c r="N277" i="23"/>
  <c r="N317" i="23"/>
  <c r="N219" i="23"/>
  <c r="N236" i="23"/>
  <c r="O165" i="23"/>
  <c r="O63" i="23" s="1"/>
  <c r="AG111" i="23"/>
  <c r="L65" i="23"/>
  <c r="L66" i="23" s="1"/>
  <c r="O82" i="23"/>
  <c r="O64" i="23"/>
  <c r="N368" i="23"/>
  <c r="O213" i="22"/>
  <c r="O215" i="22"/>
  <c r="O214" i="22"/>
  <c r="O207" i="22"/>
  <c r="O59" i="22"/>
  <c r="O60" i="22"/>
  <c r="O58" i="22"/>
  <c r="O52" i="22"/>
  <c r="N164" i="22"/>
  <c r="N317" i="22"/>
  <c r="K220" i="22"/>
  <c r="K221" i="22" s="1"/>
  <c r="AI48" i="22"/>
  <c r="AJ111" i="22"/>
  <c r="P200" i="19"/>
  <c r="M65" i="19"/>
  <c r="M66" i="19" s="1"/>
  <c r="K217" i="19"/>
  <c r="N204" i="19"/>
  <c r="N205" i="19" s="1"/>
  <c r="L275" i="19"/>
  <c r="L206" i="19"/>
  <c r="AL374" i="19"/>
  <c r="AM274" i="19"/>
  <c r="AF268" i="19"/>
  <c r="M214" i="19"/>
  <c r="M213" i="19"/>
  <c r="M215" i="19"/>
  <c r="M207" i="19"/>
  <c r="L315" i="19"/>
  <c r="L234" i="19"/>
  <c r="L219" i="19"/>
  <c r="N61" i="19"/>
  <c r="N365" i="19"/>
  <c r="O202" i="19"/>
  <c r="K216" i="19"/>
  <c r="K218" i="19"/>
  <c r="M316" i="20"/>
  <c r="M219" i="20"/>
  <c r="M235" i="20"/>
  <c r="AN119" i="20"/>
  <c r="O204" i="20"/>
  <c r="O205" i="20" s="1"/>
  <c r="Q200" i="20"/>
  <c r="L62" i="20"/>
  <c r="M276" i="20"/>
  <c r="M206" i="20"/>
  <c r="J65" i="20"/>
  <c r="J66" i="20" s="1"/>
  <c r="O60" i="20"/>
  <c r="O59" i="20"/>
  <c r="O58" i="20"/>
  <c r="O52" i="20"/>
  <c r="K65" i="20"/>
  <c r="K66" i="20" s="1"/>
  <c r="N164" i="20"/>
  <c r="N63" i="20" s="1"/>
  <c r="N122" i="20"/>
  <c r="N51" i="20"/>
  <c r="P202" i="20"/>
  <c r="AL117" i="20"/>
  <c r="AK116" i="20"/>
  <c r="AH113" i="20"/>
  <c r="AI114" i="20"/>
  <c r="AJ115" i="20"/>
  <c r="AN275" i="20"/>
  <c r="N81" i="20"/>
  <c r="N64" i="20"/>
  <c r="N213" i="20"/>
  <c r="N215" i="20"/>
  <c r="N214" i="20"/>
  <c r="N207" i="20"/>
  <c r="AA74" i="73"/>
  <c r="M65" i="23" l="1"/>
  <c r="M66" i="23" s="1"/>
  <c r="T209" i="42"/>
  <c r="T210" i="42" s="1"/>
  <c r="U427" i="19"/>
  <c r="AM427" i="19"/>
  <c r="AN427" i="19"/>
  <c r="N9" i="22"/>
  <c r="N21" i="22" s="1"/>
  <c r="M9" i="22"/>
  <c r="M21" i="22" s="1"/>
  <c r="N81" i="22"/>
  <c r="P81" i="22" s="1"/>
  <c r="AI427" i="19"/>
  <c r="K25" i="42"/>
  <c r="J25" i="19"/>
  <c r="J27" i="19" s="1"/>
  <c r="J28" i="19" s="1"/>
  <c r="AA427" i="19"/>
  <c r="N219" i="22"/>
  <c r="M10" i="22"/>
  <c r="M10" i="19"/>
  <c r="M23" i="19" s="1"/>
  <c r="Q58" i="59"/>
  <c r="AM36" i="41"/>
  <c r="AR58" i="59" s="1"/>
  <c r="N51" i="22"/>
  <c r="N10" i="22"/>
  <c r="N23" i="22" s="1"/>
  <c r="AH427" i="19"/>
  <c r="T427" i="19"/>
  <c r="AG427" i="19"/>
  <c r="V427" i="19"/>
  <c r="W427" i="19"/>
  <c r="Y427" i="19"/>
  <c r="AK427" i="19"/>
  <c r="S427" i="19"/>
  <c r="AE427" i="19"/>
  <c r="Q427" i="19"/>
  <c r="AF427" i="19"/>
  <c r="M9" i="19"/>
  <c r="M21" i="19" s="1"/>
  <c r="O10" i="23"/>
  <c r="O23" i="23" s="1"/>
  <c r="N10" i="20"/>
  <c r="N23" i="20" s="1"/>
  <c r="S166" i="23"/>
  <c r="V166" i="23"/>
  <c r="L220" i="22"/>
  <c r="L221" i="22" s="1"/>
  <c r="N9" i="20"/>
  <c r="N21" i="20" s="1"/>
  <c r="X427" i="19"/>
  <c r="Z427" i="19"/>
  <c r="AC427" i="19"/>
  <c r="AD427" i="19"/>
  <c r="AB427" i="19"/>
  <c r="O366" i="19"/>
  <c r="AJ427" i="19"/>
  <c r="Y166" i="23"/>
  <c r="AN166" i="23"/>
  <c r="P63" i="23"/>
  <c r="AL427" i="19"/>
  <c r="P427" i="19"/>
  <c r="AA388" i="23"/>
  <c r="V388" i="23"/>
  <c r="Z388" i="23"/>
  <c r="U388" i="23"/>
  <c r="Y388" i="23"/>
  <c r="T388" i="23"/>
  <c r="W388" i="23"/>
  <c r="AI388" i="23"/>
  <c r="AG388" i="23"/>
  <c r="Q388" i="23"/>
  <c r="AF388" i="23"/>
  <c r="AH388" i="23"/>
  <c r="AN388" i="23"/>
  <c r="AE388" i="23"/>
  <c r="AB388" i="23"/>
  <c r="AD388" i="23"/>
  <c r="AM388" i="23"/>
  <c r="AC388" i="23"/>
  <c r="AL388" i="23"/>
  <c r="S388" i="23"/>
  <c r="X388" i="23"/>
  <c r="AJ388" i="23"/>
  <c r="AK388" i="23"/>
  <c r="R388" i="23"/>
  <c r="Q365" i="23"/>
  <c r="Q470" i="23" s="1"/>
  <c r="Q368" i="23" s="1"/>
  <c r="Q363" i="23"/>
  <c r="Q364" i="23"/>
  <c r="R49" i="23"/>
  <c r="R50" i="23" s="1"/>
  <c r="R354" i="23"/>
  <c r="R355" i="23" s="1"/>
  <c r="P83" i="23"/>
  <c r="P64" i="23"/>
  <c r="S350" i="23"/>
  <c r="S352" i="23" s="1"/>
  <c r="S354" i="23" s="1"/>
  <c r="S355" i="23" s="1"/>
  <c r="S363" i="23" s="1"/>
  <c r="S45" i="23"/>
  <c r="S47" i="23" s="1"/>
  <c r="S49" i="23" s="1"/>
  <c r="S50" i="23" s="1"/>
  <c r="S58" i="23" s="1"/>
  <c r="AB166" i="23"/>
  <c r="AE166" i="23"/>
  <c r="AH166" i="23"/>
  <c r="Y429" i="23"/>
  <c r="AD429" i="23"/>
  <c r="W429" i="23"/>
  <c r="AH429" i="23"/>
  <c r="U429" i="23"/>
  <c r="AG429" i="23"/>
  <c r="Q429" i="23"/>
  <c r="AK429" i="23"/>
  <c r="AE429" i="23"/>
  <c r="X429" i="23"/>
  <c r="AJ429" i="23"/>
  <c r="Z429" i="23"/>
  <c r="R429" i="23"/>
  <c r="AL429" i="23"/>
  <c r="S429" i="23"/>
  <c r="AA429" i="23"/>
  <c r="T429" i="23"/>
  <c r="AC429" i="23"/>
  <c r="AB429" i="23"/>
  <c r="V429" i="23"/>
  <c r="AI429" i="23"/>
  <c r="AF429" i="23"/>
  <c r="AN429" i="23"/>
  <c r="AM429" i="23"/>
  <c r="P124" i="23"/>
  <c r="P51" i="23"/>
  <c r="M11" i="23"/>
  <c r="M18" i="23" s="1"/>
  <c r="Q60" i="23"/>
  <c r="Q167" i="23" s="1"/>
  <c r="Q59" i="23"/>
  <c r="Q58" i="23"/>
  <c r="M10" i="42"/>
  <c r="M23" i="42" s="1"/>
  <c r="AO59" i="66"/>
  <c r="S59" i="32"/>
  <c r="AM377" i="23"/>
  <c r="AN378" i="23"/>
  <c r="N370" i="23"/>
  <c r="N371" i="23" s="1"/>
  <c r="AI229" i="23"/>
  <c r="AL232" i="23"/>
  <c r="AG227" i="23"/>
  <c r="AH228" i="23"/>
  <c r="AJ230" i="23"/>
  <c r="AK231" i="23"/>
  <c r="AM233" i="23"/>
  <c r="AL272" i="23"/>
  <c r="AM273" i="23"/>
  <c r="AI269" i="23"/>
  <c r="AH268" i="23"/>
  <c r="AK271" i="23"/>
  <c r="AJ270" i="23"/>
  <c r="AN274" i="23"/>
  <c r="N218" i="23"/>
  <c r="AL317" i="23"/>
  <c r="AI317" i="23"/>
  <c r="Z317" i="23"/>
  <c r="T317" i="23"/>
  <c r="Q317" i="23"/>
  <c r="AF317" i="23"/>
  <c r="AC317" i="23"/>
  <c r="W317" i="23"/>
  <c r="AC277" i="23"/>
  <c r="Q277" i="23"/>
  <c r="AN277" i="23"/>
  <c r="AB277" i="23"/>
  <c r="P277" i="23"/>
  <c r="AM277" i="23"/>
  <c r="AA277" i="23"/>
  <c r="O277" i="23"/>
  <c r="AL277" i="23"/>
  <c r="Z277" i="23"/>
  <c r="AK277" i="23"/>
  <c r="U277" i="23"/>
  <c r="AJ277" i="23"/>
  <c r="T277" i="23"/>
  <c r="AI277" i="23"/>
  <c r="S277" i="23"/>
  <c r="AE277" i="23"/>
  <c r="AD277" i="23"/>
  <c r="Y277" i="23"/>
  <c r="X277" i="23"/>
  <c r="W277" i="23"/>
  <c r="V277" i="23"/>
  <c r="R277" i="23"/>
  <c r="AH277" i="23"/>
  <c r="AG277" i="23"/>
  <c r="AF277" i="23"/>
  <c r="L220" i="23"/>
  <c r="L221" i="23" s="1"/>
  <c r="AC236" i="23"/>
  <c r="Q236" i="23"/>
  <c r="AN236" i="23"/>
  <c r="AB236" i="23"/>
  <c r="P236" i="23"/>
  <c r="AM236" i="23"/>
  <c r="AA236" i="23"/>
  <c r="O236" i="23"/>
  <c r="AL236" i="23"/>
  <c r="Z236" i="23"/>
  <c r="AI236" i="23"/>
  <c r="S236" i="23"/>
  <c r="AG236" i="23"/>
  <c r="AH236" i="23"/>
  <c r="R236" i="23"/>
  <c r="AF236" i="23"/>
  <c r="AE236" i="23"/>
  <c r="Y236" i="23"/>
  <c r="X236" i="23"/>
  <c r="V236" i="23"/>
  <c r="W236" i="23"/>
  <c r="AD236" i="23"/>
  <c r="U236" i="23"/>
  <c r="T236" i="23"/>
  <c r="AK236" i="23"/>
  <c r="AJ236" i="23"/>
  <c r="AI114" i="23"/>
  <c r="AL117" i="23"/>
  <c r="AH113" i="23"/>
  <c r="AK116" i="23"/>
  <c r="AN119" i="23"/>
  <c r="AJ115" i="23"/>
  <c r="AM118" i="23"/>
  <c r="M16" i="23"/>
  <c r="AN123" i="23"/>
  <c r="AB123" i="23"/>
  <c r="P123" i="23"/>
  <c r="AL123" i="23"/>
  <c r="Z123" i="23"/>
  <c r="AK123" i="23"/>
  <c r="Y123" i="23"/>
  <c r="AJ123" i="23"/>
  <c r="X123" i="23"/>
  <c r="AF123" i="23"/>
  <c r="AE123" i="23"/>
  <c r="AD123" i="23"/>
  <c r="AC123" i="23"/>
  <c r="AM123" i="23"/>
  <c r="W123" i="23"/>
  <c r="V123" i="23"/>
  <c r="T123" i="23"/>
  <c r="S123" i="23"/>
  <c r="AI123" i="23"/>
  <c r="AH123" i="23"/>
  <c r="AG123" i="23"/>
  <c r="AA123" i="23"/>
  <c r="U123" i="23"/>
  <c r="R123" i="23"/>
  <c r="Q123" i="23"/>
  <c r="AN82" i="23"/>
  <c r="AB82" i="23"/>
  <c r="P82" i="23"/>
  <c r="AM82" i="23"/>
  <c r="AA82" i="23"/>
  <c r="AJ82" i="23"/>
  <c r="X82" i="23"/>
  <c r="AH82" i="23"/>
  <c r="S82" i="23"/>
  <c r="AG82" i="23"/>
  <c r="R82" i="23"/>
  <c r="AF82" i="23"/>
  <c r="Q82" i="23"/>
  <c r="AE82" i="23"/>
  <c r="AK82" i="23"/>
  <c r="AI82" i="23"/>
  <c r="AD82" i="23"/>
  <c r="AC82" i="23"/>
  <c r="V82" i="23"/>
  <c r="U82" i="23"/>
  <c r="T82" i="23"/>
  <c r="AL82" i="23"/>
  <c r="Z82" i="23"/>
  <c r="Y82" i="23"/>
  <c r="W82" i="23"/>
  <c r="AN378" i="22"/>
  <c r="AM377" i="22"/>
  <c r="N206" i="22"/>
  <c r="L370" i="22"/>
  <c r="L371" i="22" s="1"/>
  <c r="AE426" i="22"/>
  <c r="S426" i="22"/>
  <c r="AD426" i="22"/>
  <c r="R426" i="22"/>
  <c r="AC426" i="22"/>
  <c r="Q426" i="22"/>
  <c r="AN426" i="22"/>
  <c r="AB426" i="22"/>
  <c r="P426" i="22"/>
  <c r="AA426" i="22"/>
  <c r="Z426" i="22"/>
  <c r="Y426" i="22"/>
  <c r="X426" i="22"/>
  <c r="AM426" i="22"/>
  <c r="W426" i="22"/>
  <c r="AL426" i="22"/>
  <c r="V426" i="22"/>
  <c r="AK426" i="22"/>
  <c r="U426" i="22"/>
  <c r="AJ426" i="22"/>
  <c r="AI426" i="22"/>
  <c r="AG426" i="22"/>
  <c r="AH426" i="22"/>
  <c r="AF426" i="22"/>
  <c r="T426" i="22"/>
  <c r="O426" i="22"/>
  <c r="N426" i="22"/>
  <c r="N367" i="22" s="1"/>
  <c r="AE385" i="22"/>
  <c r="S385" i="22"/>
  <c r="AC385" i="22"/>
  <c r="Q385" i="22"/>
  <c r="AN385" i="22"/>
  <c r="AB385" i="22"/>
  <c r="P385" i="22"/>
  <c r="AK385" i="22"/>
  <c r="V385" i="22"/>
  <c r="AI385" i="22"/>
  <c r="T385" i="22"/>
  <c r="AJ385" i="22"/>
  <c r="U385" i="22"/>
  <c r="AH385" i="22"/>
  <c r="R385" i="22"/>
  <c r="AG385" i="22"/>
  <c r="O385" i="22"/>
  <c r="X385" i="22"/>
  <c r="N385" i="22"/>
  <c r="N366" i="22" s="1"/>
  <c r="AD385" i="22"/>
  <c r="W385" i="22"/>
  <c r="AM385" i="22"/>
  <c r="AL385" i="22"/>
  <c r="AF385" i="22"/>
  <c r="AA385" i="22"/>
  <c r="Y385" i="22"/>
  <c r="Z385" i="22"/>
  <c r="AJ230" i="22"/>
  <c r="AI229" i="22"/>
  <c r="AH228" i="22"/>
  <c r="AG227" i="22"/>
  <c r="AK231" i="22"/>
  <c r="AN234" i="22"/>
  <c r="AM233" i="22"/>
  <c r="AL232" i="22"/>
  <c r="N122" i="22"/>
  <c r="X122" i="22" s="1"/>
  <c r="AI270" i="22"/>
  <c r="AK272" i="22"/>
  <c r="AJ271" i="22"/>
  <c r="AH269" i="22"/>
  <c r="AM274" i="22"/>
  <c r="AL273" i="22"/>
  <c r="AN275" i="22"/>
  <c r="N64" i="22"/>
  <c r="N218" i="22"/>
  <c r="AL317" i="22"/>
  <c r="AI317" i="22"/>
  <c r="AF317" i="22"/>
  <c r="AC317" i="22"/>
  <c r="Z317" i="22"/>
  <c r="W317" i="22"/>
  <c r="T317" i="22"/>
  <c r="Q317" i="22"/>
  <c r="AN316" i="22"/>
  <c r="AK316" i="22"/>
  <c r="AH316" i="22"/>
  <c r="AE316" i="22"/>
  <c r="AB316" i="22"/>
  <c r="S316" i="22"/>
  <c r="P316" i="22"/>
  <c r="Y316" i="22"/>
  <c r="V316" i="22"/>
  <c r="AC277" i="22"/>
  <c r="Q277" i="22"/>
  <c r="AM277" i="22"/>
  <c r="AA277" i="22"/>
  <c r="O277" i="22"/>
  <c r="AN277" i="22"/>
  <c r="AB277" i="22"/>
  <c r="P277" i="22"/>
  <c r="AD277" i="22"/>
  <c r="Y277" i="22"/>
  <c r="X277" i="22"/>
  <c r="AL277" i="22"/>
  <c r="W277" i="22"/>
  <c r="AK277" i="22"/>
  <c r="V277" i="22"/>
  <c r="Z277" i="22"/>
  <c r="AH277" i="22"/>
  <c r="AG277" i="22"/>
  <c r="AF277" i="22"/>
  <c r="AE277" i="22"/>
  <c r="T277" i="22"/>
  <c r="S277" i="22"/>
  <c r="R277" i="22"/>
  <c r="AJ277" i="22"/>
  <c r="AI277" i="22"/>
  <c r="U277" i="22"/>
  <c r="AG268" i="22"/>
  <c r="AN116" i="22"/>
  <c r="AK113" i="22"/>
  <c r="AM115" i="22"/>
  <c r="AL114" i="22"/>
  <c r="N236" i="22"/>
  <c r="AD162" i="22"/>
  <c r="U162" i="22"/>
  <c r="AA162" i="22"/>
  <c r="X162" i="22"/>
  <c r="R162" i="22"/>
  <c r="O162" i="22"/>
  <c r="AM162" i="22"/>
  <c r="AJ162" i="22"/>
  <c r="AG162" i="22"/>
  <c r="N63" i="22"/>
  <c r="AA165" i="22"/>
  <c r="X165" i="22"/>
  <c r="U165" i="22"/>
  <c r="R165" i="22"/>
  <c r="AL164" i="22"/>
  <c r="AI164" i="22"/>
  <c r="AF164" i="22"/>
  <c r="AC164" i="22"/>
  <c r="AM165" i="22"/>
  <c r="Z164" i="22"/>
  <c r="AJ165" i="22"/>
  <c r="W164" i="22"/>
  <c r="AG165" i="22"/>
  <c r="T164" i="22"/>
  <c r="AD165" i="22"/>
  <c r="Q164" i="22"/>
  <c r="AH120" i="22"/>
  <c r="V120" i="22"/>
  <c r="AF120" i="22"/>
  <c r="T120" i="22"/>
  <c r="AG120" i="22"/>
  <c r="U120" i="22"/>
  <c r="AI120" i="22"/>
  <c r="Q120" i="22"/>
  <c r="AE120" i="22"/>
  <c r="P120" i="22"/>
  <c r="AD120" i="22"/>
  <c r="O120" i="22"/>
  <c r="Z120" i="22"/>
  <c r="Y120" i="22"/>
  <c r="X120" i="22"/>
  <c r="W120" i="22"/>
  <c r="AN120" i="22"/>
  <c r="S120" i="22"/>
  <c r="AM120" i="22"/>
  <c r="R120" i="22"/>
  <c r="AA120" i="22"/>
  <c r="M120" i="22"/>
  <c r="AL120" i="22"/>
  <c r="AK120" i="22"/>
  <c r="AJ120" i="22"/>
  <c r="AC120" i="22"/>
  <c r="AB120" i="22"/>
  <c r="N120" i="22"/>
  <c r="AH79" i="22"/>
  <c r="V79" i="22"/>
  <c r="AG79" i="22"/>
  <c r="U79" i="22"/>
  <c r="AF79" i="22"/>
  <c r="T79" i="22"/>
  <c r="AE79" i="22"/>
  <c r="S79" i="22"/>
  <c r="AK79" i="22"/>
  <c r="Y79" i="22"/>
  <c r="M79" i="22"/>
  <c r="AJ79" i="22"/>
  <c r="X79" i="22"/>
  <c r="AD79" i="22"/>
  <c r="AC79" i="22"/>
  <c r="AA79" i="22"/>
  <c r="AB79" i="22"/>
  <c r="Z79" i="22"/>
  <c r="AM79" i="22"/>
  <c r="O79" i="22"/>
  <c r="AL79" i="22"/>
  <c r="N79" i="22"/>
  <c r="AI79" i="22"/>
  <c r="W79" i="22"/>
  <c r="R79" i="22"/>
  <c r="Q79" i="22"/>
  <c r="AN79" i="22"/>
  <c r="P79" i="22"/>
  <c r="F8" i="45"/>
  <c r="AD122" i="19"/>
  <c r="AH122" i="19"/>
  <c r="U122" i="19"/>
  <c r="AN377" i="19"/>
  <c r="AM376" i="19"/>
  <c r="Y122" i="19"/>
  <c r="X122" i="19"/>
  <c r="AC122" i="19"/>
  <c r="AJ122" i="19"/>
  <c r="AK122" i="19"/>
  <c r="AH468" i="19"/>
  <c r="AE468" i="19"/>
  <c r="AB468" i="19"/>
  <c r="Y468" i="19"/>
  <c r="V468" i="19"/>
  <c r="AN468" i="19"/>
  <c r="AK468" i="19"/>
  <c r="S468" i="19"/>
  <c r="AN386" i="19"/>
  <c r="AB386" i="19"/>
  <c r="P386" i="19"/>
  <c r="AM386" i="19"/>
  <c r="AA386" i="19"/>
  <c r="AL386" i="19"/>
  <c r="Z386" i="19"/>
  <c r="AK386" i="19"/>
  <c r="Y386" i="19"/>
  <c r="AJ386" i="19"/>
  <c r="X386" i="19"/>
  <c r="AI386" i="19"/>
  <c r="W386" i="19"/>
  <c r="AH386" i="19"/>
  <c r="V386" i="19"/>
  <c r="S386" i="19"/>
  <c r="R386" i="19"/>
  <c r="Q386" i="19"/>
  <c r="AG386" i="19"/>
  <c r="AF386" i="19"/>
  <c r="AE386" i="19"/>
  <c r="AD386" i="19"/>
  <c r="AC386" i="19"/>
  <c r="U386" i="19"/>
  <c r="T386" i="19"/>
  <c r="AE122" i="19"/>
  <c r="Z122" i="19"/>
  <c r="AI228" i="19"/>
  <c r="AJ229" i="19"/>
  <c r="AL231" i="19"/>
  <c r="AK230" i="19"/>
  <c r="AH227" i="19"/>
  <c r="AM232" i="19"/>
  <c r="AF122" i="19"/>
  <c r="AL122" i="19"/>
  <c r="R122" i="19"/>
  <c r="O122" i="19"/>
  <c r="Q122" i="19"/>
  <c r="AA122" i="19"/>
  <c r="AG122" i="19"/>
  <c r="AM122" i="19"/>
  <c r="S122" i="19"/>
  <c r="P122" i="19"/>
  <c r="V122" i="19"/>
  <c r="AI122" i="19"/>
  <c r="AB122" i="19"/>
  <c r="AN233" i="19"/>
  <c r="AJ271" i="19"/>
  <c r="AH269" i="19"/>
  <c r="AK272" i="19"/>
  <c r="AI270" i="19"/>
  <c r="AL273" i="19"/>
  <c r="N62" i="19"/>
  <c r="F6" i="45" s="1"/>
  <c r="W122" i="19"/>
  <c r="T122" i="19"/>
  <c r="J13" i="19"/>
  <c r="J8" i="19" s="1"/>
  <c r="L218" i="19"/>
  <c r="AD315" i="19"/>
  <c r="AA315" i="19"/>
  <c r="X315" i="19"/>
  <c r="U315" i="19"/>
  <c r="O315" i="19"/>
  <c r="R315" i="19"/>
  <c r="AM315" i="19"/>
  <c r="AJ315" i="19"/>
  <c r="AG315" i="19"/>
  <c r="AH275" i="19"/>
  <c r="V275" i="19"/>
  <c r="AF275" i="19"/>
  <c r="T275" i="19"/>
  <c r="AE275" i="19"/>
  <c r="S275" i="19"/>
  <c r="AG275" i="19"/>
  <c r="P275" i="19"/>
  <c r="AD275" i="19"/>
  <c r="O275" i="19"/>
  <c r="AC275" i="19"/>
  <c r="N275" i="19"/>
  <c r="AB275" i="19"/>
  <c r="M275" i="19"/>
  <c r="AA275" i="19"/>
  <c r="Z275" i="19"/>
  <c r="AK275" i="19"/>
  <c r="AJ275" i="19"/>
  <c r="AI275" i="19"/>
  <c r="Y275" i="19"/>
  <c r="W275" i="19"/>
  <c r="X275" i="19"/>
  <c r="AN275" i="19"/>
  <c r="AM275" i="19"/>
  <c r="AL275" i="19"/>
  <c r="U275" i="19"/>
  <c r="R275" i="19"/>
  <c r="Q275" i="19"/>
  <c r="AF234" i="19"/>
  <c r="T234" i="19"/>
  <c r="AC234" i="19"/>
  <c r="P234" i="19"/>
  <c r="AB234" i="19"/>
  <c r="O234" i="19"/>
  <c r="AJ234" i="19"/>
  <c r="U234" i="19"/>
  <c r="S234" i="19"/>
  <c r="AH234" i="19"/>
  <c r="R234" i="19"/>
  <c r="AG234" i="19"/>
  <c r="Q234" i="19"/>
  <c r="AE234" i="19"/>
  <c r="N234" i="19"/>
  <c r="AI234" i="19"/>
  <c r="Z234" i="19"/>
  <c r="Y234" i="19"/>
  <c r="X234" i="19"/>
  <c r="W234" i="19"/>
  <c r="V234" i="19"/>
  <c r="M234" i="19"/>
  <c r="AN234" i="19"/>
  <c r="AM234" i="19"/>
  <c r="AL234" i="19"/>
  <c r="AK234" i="19"/>
  <c r="AD234" i="19"/>
  <c r="AA234" i="19"/>
  <c r="AK116" i="19"/>
  <c r="AL117" i="19"/>
  <c r="AI114" i="19"/>
  <c r="AJ115" i="19"/>
  <c r="AH113" i="19"/>
  <c r="AN119" i="19"/>
  <c r="AM118" i="19"/>
  <c r="N369" i="19"/>
  <c r="N370" i="19" s="1"/>
  <c r="AN378" i="20"/>
  <c r="AM377" i="20"/>
  <c r="AM428" i="20"/>
  <c r="AA428" i="20"/>
  <c r="AL428" i="20"/>
  <c r="Z428" i="20"/>
  <c r="AJ428" i="20"/>
  <c r="X428" i="20"/>
  <c r="V428" i="20"/>
  <c r="AI428" i="20"/>
  <c r="W428" i="20"/>
  <c r="AH428" i="20"/>
  <c r="AD428" i="20"/>
  <c r="AC428" i="20"/>
  <c r="AB428" i="20"/>
  <c r="AG428" i="20"/>
  <c r="AF428" i="20"/>
  <c r="AE428" i="20"/>
  <c r="Y428" i="20"/>
  <c r="U428" i="20"/>
  <c r="AN428" i="20"/>
  <c r="AK428" i="20"/>
  <c r="T428" i="20"/>
  <c r="S428" i="20"/>
  <c r="R428" i="20"/>
  <c r="Q428" i="20"/>
  <c r="P428" i="20"/>
  <c r="AN387" i="20"/>
  <c r="AB387" i="20"/>
  <c r="P387" i="20"/>
  <c r="AM387" i="20"/>
  <c r="AA387" i="20"/>
  <c r="AL387" i="20"/>
  <c r="Z387" i="20"/>
  <c r="AF387" i="20"/>
  <c r="Q387" i="20"/>
  <c r="AE387" i="20"/>
  <c r="AD387" i="20"/>
  <c r="AC387" i="20"/>
  <c r="AK387" i="20"/>
  <c r="R387" i="20"/>
  <c r="Y387" i="20"/>
  <c r="U387" i="20"/>
  <c r="AJ387" i="20"/>
  <c r="AI387" i="20"/>
  <c r="AH387" i="20"/>
  <c r="AG387" i="20"/>
  <c r="S387" i="20"/>
  <c r="X387" i="20"/>
  <c r="W387" i="20"/>
  <c r="V387" i="20"/>
  <c r="T387" i="20"/>
  <c r="L220" i="20"/>
  <c r="L221" i="20" s="1"/>
  <c r="E5" i="45"/>
  <c r="AH269" i="20"/>
  <c r="AG268" i="20"/>
  <c r="AK272" i="20"/>
  <c r="AJ271" i="20"/>
  <c r="AI270" i="20"/>
  <c r="AL273" i="20"/>
  <c r="AM274" i="20"/>
  <c r="AI228" i="20"/>
  <c r="AM232" i="20"/>
  <c r="AH227" i="20"/>
  <c r="AL231" i="20"/>
  <c r="AJ229" i="20"/>
  <c r="AN233" i="20"/>
  <c r="AK230" i="20"/>
  <c r="M218" i="20"/>
  <c r="AN316" i="20"/>
  <c r="AK316" i="20"/>
  <c r="AH316" i="20"/>
  <c r="AE316" i="20"/>
  <c r="Y316" i="20"/>
  <c r="AB316" i="20"/>
  <c r="V316" i="20"/>
  <c r="S316" i="20"/>
  <c r="P316" i="20"/>
  <c r="AE276" i="20"/>
  <c r="S276" i="20"/>
  <c r="AD276" i="20"/>
  <c r="R276" i="20"/>
  <c r="AC276" i="20"/>
  <c r="O276" i="20"/>
  <c r="AB276" i="20"/>
  <c r="N276" i="20"/>
  <c r="AA276" i="20"/>
  <c r="AM276" i="20"/>
  <c r="V276" i="20"/>
  <c r="AL276" i="20"/>
  <c r="U276" i="20"/>
  <c r="AK276" i="20"/>
  <c r="T276" i="20"/>
  <c r="AJ276" i="20"/>
  <c r="Q276" i="20"/>
  <c r="AI276" i="20"/>
  <c r="P276" i="20"/>
  <c r="X276" i="20"/>
  <c r="AN276" i="20"/>
  <c r="AG276" i="20"/>
  <c r="W276" i="20"/>
  <c r="AH276" i="20"/>
  <c r="AF276" i="20"/>
  <c r="Z276" i="20"/>
  <c r="Y276" i="20"/>
  <c r="AE235" i="20"/>
  <c r="S235" i="20"/>
  <c r="AD235" i="20"/>
  <c r="R235" i="20"/>
  <c r="AM235" i="20"/>
  <c r="AA235" i="20"/>
  <c r="O235" i="20"/>
  <c r="AK235" i="20"/>
  <c r="V235" i="20"/>
  <c r="AJ235" i="20"/>
  <c r="U235" i="20"/>
  <c r="AI235" i="20"/>
  <c r="T235" i="20"/>
  <c r="AH235" i="20"/>
  <c r="Q235" i="20"/>
  <c r="AG235" i="20"/>
  <c r="P235" i="20"/>
  <c r="Z235" i="20"/>
  <c r="Y235" i="20"/>
  <c r="AN235" i="20"/>
  <c r="AL235" i="20"/>
  <c r="AC235" i="20"/>
  <c r="AB235" i="20"/>
  <c r="X235" i="20"/>
  <c r="W235" i="20"/>
  <c r="N235" i="20"/>
  <c r="AF235" i="20"/>
  <c r="K220" i="42"/>
  <c r="K221" i="42" s="1"/>
  <c r="AJ230" i="42"/>
  <c r="AI229" i="42"/>
  <c r="AG227" i="42"/>
  <c r="AK231" i="42"/>
  <c r="AH228" i="42"/>
  <c r="AL232" i="42"/>
  <c r="AG268" i="42"/>
  <c r="AI270" i="42"/>
  <c r="AH269" i="42"/>
  <c r="AJ271" i="42"/>
  <c r="AK272" i="42"/>
  <c r="AL273" i="42"/>
  <c r="O368" i="42"/>
  <c r="AA468" i="42"/>
  <c r="X468" i="42"/>
  <c r="U468" i="42"/>
  <c r="R468" i="42"/>
  <c r="AM468" i="42"/>
  <c r="AJ468" i="42"/>
  <c r="AG468" i="42"/>
  <c r="AD468" i="42"/>
  <c r="N370" i="42"/>
  <c r="N371" i="42" s="1"/>
  <c r="L218" i="42"/>
  <c r="AD315" i="42"/>
  <c r="AA315" i="42"/>
  <c r="O315" i="42"/>
  <c r="X315" i="42"/>
  <c r="U315" i="42"/>
  <c r="R315" i="42"/>
  <c r="AM315" i="42"/>
  <c r="AJ315" i="42"/>
  <c r="AG315" i="42"/>
  <c r="AH275" i="42"/>
  <c r="V275" i="42"/>
  <c r="AF275" i="42"/>
  <c r="T275" i="42"/>
  <c r="AG275" i="42"/>
  <c r="R275" i="42"/>
  <c r="AD275" i="42"/>
  <c r="P275" i="42"/>
  <c r="AC275" i="42"/>
  <c r="O275" i="42"/>
  <c r="AB275" i="42"/>
  <c r="N275" i="42"/>
  <c r="AA275" i="42"/>
  <c r="M275" i="42"/>
  <c r="AN275" i="42"/>
  <c r="S275" i="42"/>
  <c r="AM275" i="42"/>
  <c r="Q275" i="42"/>
  <c r="AL275" i="42"/>
  <c r="AK275" i="42"/>
  <c r="Y275" i="42"/>
  <c r="X275" i="42"/>
  <c r="W275" i="42"/>
  <c r="U275" i="42"/>
  <c r="AJ275" i="42"/>
  <c r="AI275" i="42"/>
  <c r="AE275" i="42"/>
  <c r="Z275" i="42"/>
  <c r="AH234" i="42"/>
  <c r="V234" i="42"/>
  <c r="AF234" i="42"/>
  <c r="T234" i="42"/>
  <c r="AA234" i="42"/>
  <c r="M234" i="42"/>
  <c r="AN234" i="42"/>
  <c r="Z234" i="42"/>
  <c r="AL234" i="42"/>
  <c r="U234" i="42"/>
  <c r="AJ234" i="42"/>
  <c r="R234" i="42"/>
  <c r="AI234" i="42"/>
  <c r="Q234" i="42"/>
  <c r="AD234" i="42"/>
  <c r="N234" i="42"/>
  <c r="AK234" i="42"/>
  <c r="S234" i="42"/>
  <c r="AG234" i="42"/>
  <c r="P234" i="42"/>
  <c r="AE234" i="42"/>
  <c r="O234" i="42"/>
  <c r="AC234" i="42"/>
  <c r="W234" i="42"/>
  <c r="AM234" i="42"/>
  <c r="AB234" i="42"/>
  <c r="Y234" i="42"/>
  <c r="X234" i="42"/>
  <c r="AJ113" i="42"/>
  <c r="AN117" i="42"/>
  <c r="AM116" i="42"/>
  <c r="AL115" i="42"/>
  <c r="AK114" i="42"/>
  <c r="L216" i="42"/>
  <c r="L18" i="42" s="1"/>
  <c r="D10" i="45"/>
  <c r="AN123" i="42"/>
  <c r="AB123" i="42"/>
  <c r="P123" i="42"/>
  <c r="AJ123" i="42"/>
  <c r="X123" i="42"/>
  <c r="AM123" i="42"/>
  <c r="AA123" i="42"/>
  <c r="AL123" i="42"/>
  <c r="Z123" i="42"/>
  <c r="AK123" i="42"/>
  <c r="Y123" i="42"/>
  <c r="AI123" i="42"/>
  <c r="W123" i="42"/>
  <c r="AH123" i="42"/>
  <c r="V123" i="42"/>
  <c r="U123" i="42"/>
  <c r="R123" i="42"/>
  <c r="T123" i="42"/>
  <c r="S123" i="42"/>
  <c r="AC123" i="42"/>
  <c r="Q123" i="42"/>
  <c r="AE123" i="42"/>
  <c r="AG123" i="42"/>
  <c r="AD123" i="42"/>
  <c r="AF123" i="42"/>
  <c r="K13" i="42"/>
  <c r="K8" i="42" s="1"/>
  <c r="E10" i="45"/>
  <c r="AN82" i="42"/>
  <c r="AB82" i="42"/>
  <c r="P82" i="42"/>
  <c r="AM82" i="42"/>
  <c r="AA82" i="42"/>
  <c r="AL82" i="42"/>
  <c r="Z82" i="42"/>
  <c r="AH82" i="42"/>
  <c r="S82" i="42"/>
  <c r="AG82" i="42"/>
  <c r="R82" i="42"/>
  <c r="AF82" i="42"/>
  <c r="Q82" i="42"/>
  <c r="AE82" i="42"/>
  <c r="AD82" i="42"/>
  <c r="V82" i="42"/>
  <c r="AC82" i="42"/>
  <c r="Y82" i="42"/>
  <c r="X82" i="42"/>
  <c r="W82" i="42"/>
  <c r="U82" i="42"/>
  <c r="T82" i="42"/>
  <c r="AK82" i="42"/>
  <c r="AI82" i="42"/>
  <c r="AJ82" i="42"/>
  <c r="M65" i="42"/>
  <c r="M66" i="42" s="1"/>
  <c r="F10" i="45"/>
  <c r="AN378" i="41"/>
  <c r="AM377" i="41"/>
  <c r="AE426" i="41"/>
  <c r="S426" i="41"/>
  <c r="AC426" i="41"/>
  <c r="Q426" i="41"/>
  <c r="AN426" i="41"/>
  <c r="AB426" i="41"/>
  <c r="P426" i="41"/>
  <c r="AJ426" i="41"/>
  <c r="U426" i="41"/>
  <c r="AI426" i="41"/>
  <c r="T426" i="41"/>
  <c r="AG426" i="41"/>
  <c r="O426" i="41"/>
  <c r="AD426" i="41"/>
  <c r="Z426" i="41"/>
  <c r="AA426" i="41"/>
  <c r="Y426" i="41"/>
  <c r="X426" i="41"/>
  <c r="W426" i="41"/>
  <c r="AM426" i="41"/>
  <c r="R426" i="41"/>
  <c r="AL426" i="41"/>
  <c r="AK426" i="41"/>
  <c r="AH426" i="41"/>
  <c r="AF426" i="41"/>
  <c r="V426" i="41"/>
  <c r="N426" i="41"/>
  <c r="AE385" i="41"/>
  <c r="S385" i="41"/>
  <c r="AC385" i="41"/>
  <c r="Q385" i="41"/>
  <c r="AN385" i="41"/>
  <c r="AB385" i="41"/>
  <c r="P385" i="41"/>
  <c r="AK385" i="41"/>
  <c r="V385" i="41"/>
  <c r="AJ385" i="41"/>
  <c r="U385" i="41"/>
  <c r="AL385" i="41"/>
  <c r="R385" i="41"/>
  <c r="AI385" i="41"/>
  <c r="O385" i="41"/>
  <c r="AH385" i="41"/>
  <c r="N385" i="41"/>
  <c r="AG385" i="41"/>
  <c r="AF385" i="41"/>
  <c r="AM385" i="41"/>
  <c r="AD385" i="41"/>
  <c r="AA385" i="41"/>
  <c r="Z385" i="41"/>
  <c r="Y385" i="41"/>
  <c r="X385" i="41"/>
  <c r="W385" i="41"/>
  <c r="T385" i="41"/>
  <c r="AL229" i="41"/>
  <c r="AN231" i="41"/>
  <c r="AK228" i="41"/>
  <c r="AM230" i="41"/>
  <c r="AJ227" i="41"/>
  <c r="O59" i="41"/>
  <c r="O123" i="41" s="1"/>
  <c r="O58" i="41"/>
  <c r="AJ115" i="41"/>
  <c r="AI114" i="41"/>
  <c r="AH113" i="41"/>
  <c r="AK116" i="41"/>
  <c r="AL117" i="41"/>
  <c r="AN377" i="41"/>
  <c r="AI270" i="41"/>
  <c r="AK272" i="41"/>
  <c r="AH269" i="41"/>
  <c r="AJ271" i="41"/>
  <c r="AG268" i="41"/>
  <c r="L218" i="41"/>
  <c r="AD315" i="41"/>
  <c r="AA315" i="41"/>
  <c r="X315" i="41"/>
  <c r="U315" i="41"/>
  <c r="AM315" i="41"/>
  <c r="AJ315" i="41"/>
  <c r="R315" i="41"/>
  <c r="O315" i="41"/>
  <c r="AG315" i="41"/>
  <c r="T161" i="41"/>
  <c r="Q161" i="41"/>
  <c r="AI161" i="41"/>
  <c r="N161" i="41"/>
  <c r="AL161" i="41"/>
  <c r="AF161" i="41"/>
  <c r="Z161" i="41"/>
  <c r="AC161" i="41"/>
  <c r="W161" i="41"/>
  <c r="N40" i="16"/>
  <c r="M42" i="16"/>
  <c r="O365" i="19"/>
  <c r="L216" i="19"/>
  <c r="K18" i="19"/>
  <c r="Z45" i="16"/>
  <c r="D5" i="45"/>
  <c r="N65" i="42"/>
  <c r="N66" i="42" s="1"/>
  <c r="O428" i="42"/>
  <c r="O356" i="42"/>
  <c r="O387" i="42"/>
  <c r="O369" i="42"/>
  <c r="Q354" i="42"/>
  <c r="Q355" i="42" s="1"/>
  <c r="R45" i="42"/>
  <c r="R350" i="42"/>
  <c r="R352" i="42" s="1"/>
  <c r="O62" i="42"/>
  <c r="P49" i="42"/>
  <c r="P50" i="42" s="1"/>
  <c r="O61" i="42"/>
  <c r="P363" i="42"/>
  <c r="P364" i="42"/>
  <c r="P365" i="42"/>
  <c r="P469" i="42" s="1"/>
  <c r="Q47" i="42"/>
  <c r="Q49" i="42" s="1"/>
  <c r="Q50" i="42" s="1"/>
  <c r="Q52" i="42" s="1"/>
  <c r="M59" i="41"/>
  <c r="M58" i="41"/>
  <c r="M9" i="41" s="1"/>
  <c r="M21" i="41" s="1"/>
  <c r="M60" i="41"/>
  <c r="M52" i="41"/>
  <c r="N58" i="41"/>
  <c r="N60" i="41"/>
  <c r="N59" i="41"/>
  <c r="N52" i="41"/>
  <c r="K63" i="41"/>
  <c r="L120" i="41"/>
  <c r="O52" i="41"/>
  <c r="L162" i="41"/>
  <c r="P350" i="41"/>
  <c r="P352" i="41" s="1"/>
  <c r="P45" i="41"/>
  <c r="P200" i="41"/>
  <c r="P202" i="41" s="1"/>
  <c r="N363" i="41"/>
  <c r="N364" i="41"/>
  <c r="N365" i="41"/>
  <c r="N467" i="41" s="1"/>
  <c r="L64" i="41"/>
  <c r="L79" i="41"/>
  <c r="K23" i="41"/>
  <c r="O354" i="41"/>
  <c r="O355" i="41" s="1"/>
  <c r="N216" i="23"/>
  <c r="N12" i="23" s="1"/>
  <c r="O61" i="23"/>
  <c r="O370" i="23"/>
  <c r="O371" i="23" s="1"/>
  <c r="O62" i="23"/>
  <c r="N217" i="23"/>
  <c r="N65" i="23"/>
  <c r="N66" i="23" s="1"/>
  <c r="M367" i="22"/>
  <c r="P364" i="22"/>
  <c r="P363" i="22"/>
  <c r="P365" i="22"/>
  <c r="P469" i="22" s="1"/>
  <c r="Q350" i="22"/>
  <c r="Q352" i="22" s="1"/>
  <c r="Q354" i="22" s="1"/>
  <c r="Q355" i="22" s="1"/>
  <c r="Q45" i="22"/>
  <c r="Q200" i="22"/>
  <c r="Q202" i="22" s="1"/>
  <c r="Q204" i="22" s="1"/>
  <c r="M218" i="22"/>
  <c r="L62" i="22"/>
  <c r="M219" i="22"/>
  <c r="M235" i="22"/>
  <c r="P47" i="22"/>
  <c r="M80" i="22"/>
  <c r="M64" i="22"/>
  <c r="P204" i="22"/>
  <c r="P205" i="22" s="1"/>
  <c r="M276" i="22"/>
  <c r="M206" i="22"/>
  <c r="O363" i="22"/>
  <c r="O9" i="22" s="1"/>
  <c r="O21" i="22" s="1"/>
  <c r="O365" i="22"/>
  <c r="O468" i="22" s="1"/>
  <c r="O364" i="22"/>
  <c r="L63" i="22"/>
  <c r="M366" i="22"/>
  <c r="M163" i="22"/>
  <c r="L61" i="22"/>
  <c r="M51" i="22"/>
  <c r="M121" i="22"/>
  <c r="L23" i="22"/>
  <c r="Q47" i="19"/>
  <c r="P368" i="19"/>
  <c r="P387" i="19"/>
  <c r="P355" i="19"/>
  <c r="P428" i="19"/>
  <c r="P367" i="19"/>
  <c r="O58" i="19"/>
  <c r="O59" i="19"/>
  <c r="O60" i="19"/>
  <c r="O165" i="19" s="1"/>
  <c r="O63" i="19" s="1"/>
  <c r="O52" i="19"/>
  <c r="L217" i="19"/>
  <c r="P49" i="19"/>
  <c r="P50" i="19" s="1"/>
  <c r="R349" i="19"/>
  <c r="R351" i="19" s="1"/>
  <c r="R353" i="19" s="1"/>
  <c r="R354" i="19" s="1"/>
  <c r="R45" i="19"/>
  <c r="Q364" i="19"/>
  <c r="Q469" i="19" s="1"/>
  <c r="Q363" i="19"/>
  <c r="Q362" i="19"/>
  <c r="M217" i="20"/>
  <c r="AI75" i="20"/>
  <c r="AH74" i="20"/>
  <c r="AJ76" i="20"/>
  <c r="AF72" i="20"/>
  <c r="AG73" i="20"/>
  <c r="AM79" i="20"/>
  <c r="AL78" i="20"/>
  <c r="AK77" i="20"/>
  <c r="L65" i="20"/>
  <c r="L66" i="20" s="1"/>
  <c r="O367" i="20"/>
  <c r="M216" i="20"/>
  <c r="O366" i="20"/>
  <c r="N370" i="20"/>
  <c r="N371" i="20" s="1"/>
  <c r="Q47" i="20"/>
  <c r="Q49" i="20" s="1"/>
  <c r="Q50" i="20" s="1"/>
  <c r="Q52" i="20" s="1"/>
  <c r="Q354" i="20"/>
  <c r="Q355" i="20" s="1"/>
  <c r="R350" i="20"/>
  <c r="R352" i="20" s="1"/>
  <c r="R354" i="20" s="1"/>
  <c r="R355" i="20" s="1"/>
  <c r="R45" i="20"/>
  <c r="AH80" i="20"/>
  <c r="AC80" i="20"/>
  <c r="R80" i="20"/>
  <c r="AB80" i="20"/>
  <c r="AG80" i="20"/>
  <c r="X80" i="20"/>
  <c r="AA80" i="20"/>
  <c r="S80" i="20"/>
  <c r="Q80" i="20"/>
  <c r="V80" i="20"/>
  <c r="AK80" i="20"/>
  <c r="AN80" i="20"/>
  <c r="AD80" i="20"/>
  <c r="W80" i="20"/>
  <c r="P80" i="20"/>
  <c r="AJ80" i="20"/>
  <c r="AF80" i="20"/>
  <c r="U80" i="20"/>
  <c r="AE80" i="20"/>
  <c r="AI80" i="20"/>
  <c r="T80" i="20"/>
  <c r="AM80" i="20"/>
  <c r="O80" i="20"/>
  <c r="Z80" i="20"/>
  <c r="Y80" i="20"/>
  <c r="N80" i="20"/>
  <c r="N61" i="20" s="1"/>
  <c r="AL80" i="20"/>
  <c r="AC121" i="20"/>
  <c r="AL121" i="20"/>
  <c r="O121" i="20"/>
  <c r="AI121" i="20"/>
  <c r="Z121" i="20"/>
  <c r="AF121" i="20"/>
  <c r="Y121" i="20"/>
  <c r="AN121" i="20"/>
  <c r="AG121" i="20"/>
  <c r="X121" i="20"/>
  <c r="S121" i="20"/>
  <c r="AJ121" i="20"/>
  <c r="U121" i="20"/>
  <c r="AB121" i="20"/>
  <c r="T121" i="20"/>
  <c r="AE121" i="20"/>
  <c r="N121" i="20"/>
  <c r="N62" i="20" s="1"/>
  <c r="AM121" i="20"/>
  <c r="R121" i="20"/>
  <c r="AA121" i="20"/>
  <c r="AH121" i="20"/>
  <c r="V121" i="20"/>
  <c r="AK121" i="20"/>
  <c r="Q121" i="20"/>
  <c r="P121" i="20"/>
  <c r="AD121" i="20"/>
  <c r="W121" i="20"/>
  <c r="P363" i="20"/>
  <c r="P365" i="20"/>
  <c r="P469" i="20" s="1"/>
  <c r="P364" i="20"/>
  <c r="P49" i="20"/>
  <c r="P50" i="20" s="1"/>
  <c r="N214" i="42"/>
  <c r="N215" i="42"/>
  <c r="N213" i="42"/>
  <c r="N9" i="42" s="1"/>
  <c r="N21" i="42" s="1"/>
  <c r="N207" i="42"/>
  <c r="L65" i="42"/>
  <c r="L66" i="42" s="1"/>
  <c r="L217" i="42"/>
  <c r="M316" i="42"/>
  <c r="M206" i="42"/>
  <c r="M276" i="42"/>
  <c r="Q200" i="42"/>
  <c r="M235" i="42"/>
  <c r="M219" i="42"/>
  <c r="P202" i="42"/>
  <c r="O204" i="42"/>
  <c r="O205" i="42" s="1"/>
  <c r="N215" i="41"/>
  <c r="N213" i="41"/>
  <c r="N214" i="41"/>
  <c r="N207" i="41"/>
  <c r="M276" i="41"/>
  <c r="M206" i="41"/>
  <c r="AH111" i="41"/>
  <c r="M235" i="41"/>
  <c r="M219" i="41"/>
  <c r="M316" i="41"/>
  <c r="AL48" i="41"/>
  <c r="O165" i="41"/>
  <c r="O204" i="41"/>
  <c r="O205" i="41" s="1"/>
  <c r="M220" i="23"/>
  <c r="M221" i="23" s="1"/>
  <c r="P366" i="23"/>
  <c r="P367" i="23"/>
  <c r="Q204" i="23"/>
  <c r="Q205" i="23" s="1"/>
  <c r="O219" i="23"/>
  <c r="O237" i="23"/>
  <c r="AH111" i="23"/>
  <c r="S200" i="23"/>
  <c r="R202" i="23"/>
  <c r="P215" i="23"/>
  <c r="P214" i="23"/>
  <c r="P213" i="23"/>
  <c r="P9" i="23" s="1"/>
  <c r="P21" i="23" s="1"/>
  <c r="P207" i="23"/>
  <c r="O318" i="23"/>
  <c r="O206" i="23"/>
  <c r="O278" i="23"/>
  <c r="O165" i="22"/>
  <c r="O318" i="22"/>
  <c r="O278" i="22"/>
  <c r="O206" i="22"/>
  <c r="O123" i="22"/>
  <c r="O51" i="22"/>
  <c r="O237" i="22"/>
  <c r="O219" i="22"/>
  <c r="AK111" i="22"/>
  <c r="AJ48" i="22"/>
  <c r="AN377" i="22"/>
  <c r="O82" i="22"/>
  <c r="O64" i="22"/>
  <c r="AG268" i="19"/>
  <c r="N215" i="19"/>
  <c r="N214" i="19"/>
  <c r="N213" i="19"/>
  <c r="N207" i="19"/>
  <c r="K220" i="19"/>
  <c r="K221" i="19" s="1"/>
  <c r="M219" i="19"/>
  <c r="M235" i="19"/>
  <c r="M276" i="19"/>
  <c r="M206" i="19"/>
  <c r="Q200" i="19"/>
  <c r="P202" i="19"/>
  <c r="M316" i="19"/>
  <c r="O204" i="19"/>
  <c r="O205" i="19" s="1"/>
  <c r="AM374" i="19"/>
  <c r="AN376" i="19" s="1"/>
  <c r="O214" i="20"/>
  <c r="O215" i="20"/>
  <c r="O213" i="20"/>
  <c r="O9" i="20" s="1"/>
  <c r="O21" i="20" s="1"/>
  <c r="O207" i="20"/>
  <c r="M65" i="20"/>
  <c r="M66" i="20" s="1"/>
  <c r="Q202" i="20"/>
  <c r="N277" i="20"/>
  <c r="N206" i="20"/>
  <c r="AH122" i="20"/>
  <c r="V122" i="20"/>
  <c r="AG122" i="20"/>
  <c r="U122" i="20"/>
  <c r="AF122" i="20"/>
  <c r="R122" i="20"/>
  <c r="AE122" i="20"/>
  <c r="Q122" i="20"/>
  <c r="AD122" i="20"/>
  <c r="P122" i="20"/>
  <c r="AL122" i="20"/>
  <c r="S122" i="20"/>
  <c r="AK122" i="20"/>
  <c r="O122" i="20"/>
  <c r="AJ122" i="20"/>
  <c r="AI122" i="20"/>
  <c r="Y122" i="20"/>
  <c r="X122" i="20"/>
  <c r="T122" i="20"/>
  <c r="W122" i="20"/>
  <c r="AN122" i="20"/>
  <c r="AM122" i="20"/>
  <c r="AC122" i="20"/>
  <c r="AB122" i="20"/>
  <c r="AA122" i="20"/>
  <c r="Z122" i="20"/>
  <c r="N317" i="20"/>
  <c r="U165" i="20"/>
  <c r="R165" i="20"/>
  <c r="AI164" i="20"/>
  <c r="AF164" i="20"/>
  <c r="AC164" i="20"/>
  <c r="Z164" i="20"/>
  <c r="W164" i="20"/>
  <c r="T164" i="20"/>
  <c r="AM165" i="20"/>
  <c r="Q164" i="20"/>
  <c r="AJ165" i="20"/>
  <c r="AG165" i="20"/>
  <c r="AD165" i="20"/>
  <c r="AA165" i="20"/>
  <c r="AL164" i="20"/>
  <c r="X165" i="20"/>
  <c r="N219" i="20"/>
  <c r="N236" i="20"/>
  <c r="O82" i="20"/>
  <c r="O64" i="20"/>
  <c r="AN377" i="20"/>
  <c r="O165" i="20"/>
  <c r="O63" i="20" s="1"/>
  <c r="R200" i="20"/>
  <c r="AM117" i="20"/>
  <c r="AL116" i="20"/>
  <c r="AI113" i="20"/>
  <c r="AK115" i="20"/>
  <c r="AJ114" i="20"/>
  <c r="AN118" i="20"/>
  <c r="AD81" i="20"/>
  <c r="R81" i="20"/>
  <c r="AN81" i="20"/>
  <c r="AB81" i="20"/>
  <c r="P81" i="20"/>
  <c r="AL81" i="20"/>
  <c r="X81" i="20"/>
  <c r="AK81" i="20"/>
  <c r="W81" i="20"/>
  <c r="AJ81" i="20"/>
  <c r="V81" i="20"/>
  <c r="AI81" i="20"/>
  <c r="U81" i="20"/>
  <c r="AM81" i="20"/>
  <c r="O81" i="20"/>
  <c r="AF81" i="20"/>
  <c r="AH81" i="20"/>
  <c r="AG81" i="20"/>
  <c r="AC81" i="20"/>
  <c r="AA81" i="20"/>
  <c r="S81" i="20"/>
  <c r="Q81" i="20"/>
  <c r="Z81" i="20"/>
  <c r="Y81" i="20"/>
  <c r="AE81" i="20"/>
  <c r="T81" i="20"/>
  <c r="P204" i="20"/>
  <c r="P205" i="20" s="1"/>
  <c r="O51" i="20"/>
  <c r="O123" i="20"/>
  <c r="AE42" i="73"/>
  <c r="AB74" i="73"/>
  <c r="AC81" i="22" l="1"/>
  <c r="AN81" i="22"/>
  <c r="U209" i="42"/>
  <c r="V209" i="42" s="1"/>
  <c r="V210" i="42" s="1"/>
  <c r="AG81" i="22"/>
  <c r="W81" i="22"/>
  <c r="AE81" i="22"/>
  <c r="O81" i="22"/>
  <c r="R81" i="22"/>
  <c r="V81" i="22"/>
  <c r="S81" i="22"/>
  <c r="AF81" i="22"/>
  <c r="AL81" i="22"/>
  <c r="AH81" i="22"/>
  <c r="AA81" i="22"/>
  <c r="U81" i="22"/>
  <c r="AB81" i="22"/>
  <c r="AK81" i="22"/>
  <c r="Z81" i="22"/>
  <c r="AD81" i="22"/>
  <c r="T81" i="22"/>
  <c r="Q81" i="22"/>
  <c r="AI81" i="22"/>
  <c r="X81" i="22"/>
  <c r="AM81" i="22"/>
  <c r="AJ81" i="22"/>
  <c r="Y81" i="22"/>
  <c r="N10" i="19"/>
  <c r="N23" i="19" s="1"/>
  <c r="N10" i="41"/>
  <c r="O51" i="41"/>
  <c r="N9" i="41"/>
  <c r="N21" i="41" s="1"/>
  <c r="Q59" i="51"/>
  <c r="O64" i="41"/>
  <c r="AU58" i="59"/>
  <c r="M10" i="41"/>
  <c r="O10" i="22"/>
  <c r="O23" i="22" s="1"/>
  <c r="N9" i="19"/>
  <c r="N21" i="19" s="1"/>
  <c r="P10" i="23"/>
  <c r="P23" i="23" s="1"/>
  <c r="O10" i="20"/>
  <c r="O23" i="20" s="1"/>
  <c r="S52" i="23"/>
  <c r="S59" i="23"/>
  <c r="S365" i="23"/>
  <c r="S472" i="23" s="1"/>
  <c r="V472" i="23" s="1"/>
  <c r="S364" i="23"/>
  <c r="T59" i="52"/>
  <c r="M25" i="23"/>
  <c r="L25" i="23"/>
  <c r="L27" i="23" s="1"/>
  <c r="L28" i="23" s="1"/>
  <c r="P61" i="23"/>
  <c r="P62" i="23"/>
  <c r="R365" i="23"/>
  <c r="R471" i="23" s="1"/>
  <c r="R364" i="23"/>
  <c r="R363" i="23"/>
  <c r="R52" i="23"/>
  <c r="R60" i="23"/>
  <c r="R168" i="23" s="1"/>
  <c r="AM168" i="23" s="1"/>
  <c r="R59" i="23"/>
  <c r="R58" i="23"/>
  <c r="Q84" i="23"/>
  <c r="Q64" i="23"/>
  <c r="Q51" i="23"/>
  <c r="Q125" i="23"/>
  <c r="Q356" i="23"/>
  <c r="Q430" i="23"/>
  <c r="AL167" i="23"/>
  <c r="AI167" i="23"/>
  <c r="AF167" i="23"/>
  <c r="T167" i="23"/>
  <c r="AC167" i="23"/>
  <c r="Z167" i="23"/>
  <c r="W167" i="23"/>
  <c r="T45" i="23"/>
  <c r="T350" i="23"/>
  <c r="T352" i="23" s="1"/>
  <c r="T354" i="23" s="1"/>
  <c r="T355" i="23" s="1"/>
  <c r="Q389" i="23"/>
  <c r="Q369" i="23"/>
  <c r="AL470" i="23"/>
  <c r="AI470" i="23"/>
  <c r="AF470" i="23"/>
  <c r="AC470" i="23"/>
  <c r="W470" i="23"/>
  <c r="Z470" i="23"/>
  <c r="T470" i="23"/>
  <c r="S60" i="23"/>
  <c r="AN124" i="23"/>
  <c r="AM124" i="23"/>
  <c r="AB124" i="23"/>
  <c r="AC124" i="23"/>
  <c r="AL124" i="23"/>
  <c r="AI124" i="23"/>
  <c r="Z124" i="23"/>
  <c r="AH124" i="23"/>
  <c r="AK124" i="23"/>
  <c r="AG124" i="23"/>
  <c r="Y124" i="23"/>
  <c r="AF124" i="23"/>
  <c r="AJ124" i="23"/>
  <c r="AE124" i="23"/>
  <c r="X124" i="23"/>
  <c r="AD124" i="23"/>
  <c r="S124" i="23"/>
  <c r="Q124" i="23"/>
  <c r="R124" i="23"/>
  <c r="W124" i="23"/>
  <c r="V124" i="23"/>
  <c r="U124" i="23"/>
  <c r="T124" i="23"/>
  <c r="AA124" i="23"/>
  <c r="AH83" i="23"/>
  <c r="AC83" i="23"/>
  <c r="AN83" i="23"/>
  <c r="AG83" i="23"/>
  <c r="AB83" i="23"/>
  <c r="AF83" i="23"/>
  <c r="AM83" i="23"/>
  <c r="AE83" i="23"/>
  <c r="AA83" i="23"/>
  <c r="U83" i="23"/>
  <c r="AJ83" i="23"/>
  <c r="T83" i="23"/>
  <c r="X83" i="23"/>
  <c r="S83" i="23"/>
  <c r="Z83" i="23"/>
  <c r="R83" i="23"/>
  <c r="Y83" i="23"/>
  <c r="W83" i="23"/>
  <c r="AD83" i="23"/>
  <c r="AL83" i="23"/>
  <c r="V83" i="23"/>
  <c r="AK83" i="23"/>
  <c r="Q83" i="23"/>
  <c r="AI83" i="23"/>
  <c r="Q63" i="23"/>
  <c r="N11" i="23"/>
  <c r="N18" i="23" s="1"/>
  <c r="N10" i="42"/>
  <c r="N23" i="42" s="1"/>
  <c r="O369" i="19"/>
  <c r="O370" i="19" s="1"/>
  <c r="W122" i="22"/>
  <c r="AJ122" i="22"/>
  <c r="M11" i="20"/>
  <c r="M18" i="20" s="1"/>
  <c r="M12" i="20"/>
  <c r="M16" i="20" s="1"/>
  <c r="K27" i="42"/>
  <c r="K28" i="42" s="1"/>
  <c r="J27" i="42"/>
  <c r="J28" i="42" s="1"/>
  <c r="AP59" i="66"/>
  <c r="U59" i="51"/>
  <c r="C11" i="45"/>
  <c r="AN273" i="23"/>
  <c r="AK270" i="23"/>
  <c r="AL271" i="23"/>
  <c r="AJ269" i="23"/>
  <c r="AM272" i="23"/>
  <c r="AI268" i="23"/>
  <c r="AH227" i="23"/>
  <c r="AM232" i="23"/>
  <c r="AK230" i="23"/>
  <c r="AL231" i="23"/>
  <c r="AJ229" i="23"/>
  <c r="AI228" i="23"/>
  <c r="AN233" i="23"/>
  <c r="O218" i="23"/>
  <c r="AA318" i="23"/>
  <c r="X318" i="23"/>
  <c r="U318" i="23"/>
  <c r="R318" i="23"/>
  <c r="AM318" i="23"/>
  <c r="AJ318" i="23"/>
  <c r="AG318" i="23"/>
  <c r="AD318" i="23"/>
  <c r="L13" i="23"/>
  <c r="L8" i="23" s="1"/>
  <c r="AN278" i="23"/>
  <c r="AB278" i="23"/>
  <c r="P278" i="23"/>
  <c r="AM278" i="23"/>
  <c r="AA278" i="23"/>
  <c r="AL278" i="23"/>
  <c r="Z278" i="23"/>
  <c r="AK278" i="23"/>
  <c r="Y278" i="23"/>
  <c r="AF278" i="23"/>
  <c r="AE278" i="23"/>
  <c r="AD278" i="23"/>
  <c r="AC278" i="23"/>
  <c r="R278" i="23"/>
  <c r="X278" i="23"/>
  <c r="W278" i="23"/>
  <c r="V278" i="23"/>
  <c r="U278" i="23"/>
  <c r="T278" i="23"/>
  <c r="S278" i="23"/>
  <c r="AJ278" i="23"/>
  <c r="Q278" i="23"/>
  <c r="AI278" i="23"/>
  <c r="AG278" i="23"/>
  <c r="AH278" i="23"/>
  <c r="AN237" i="23"/>
  <c r="AB237" i="23"/>
  <c r="P237" i="23"/>
  <c r="AM237" i="23"/>
  <c r="AL237" i="23"/>
  <c r="Z237" i="23"/>
  <c r="AK237" i="23"/>
  <c r="Y237" i="23"/>
  <c r="AC237" i="23"/>
  <c r="W237" i="23"/>
  <c r="V237" i="23"/>
  <c r="AA237" i="23"/>
  <c r="X237" i="23"/>
  <c r="AG237" i="23"/>
  <c r="AF237" i="23"/>
  <c r="AE237" i="23"/>
  <c r="AD237" i="23"/>
  <c r="U237" i="23"/>
  <c r="T237" i="23"/>
  <c r="S237" i="23"/>
  <c r="R237" i="23"/>
  <c r="Q237" i="23"/>
  <c r="AJ237" i="23"/>
  <c r="AH237" i="23"/>
  <c r="AI237" i="23"/>
  <c r="N16" i="23"/>
  <c r="P238" i="23"/>
  <c r="O217" i="23"/>
  <c r="M13" i="23"/>
  <c r="N220" i="23"/>
  <c r="N221" i="23" s="1"/>
  <c r="AM117" i="23"/>
  <c r="AJ114" i="23"/>
  <c r="AI113" i="23"/>
  <c r="AL116" i="23"/>
  <c r="AK115" i="23"/>
  <c r="AN118" i="23"/>
  <c r="AK122" i="22"/>
  <c r="AL122" i="22"/>
  <c r="Y122" i="22"/>
  <c r="Z122" i="22"/>
  <c r="P122" i="22"/>
  <c r="AB122" i="22"/>
  <c r="AA468" i="22"/>
  <c r="X468" i="22"/>
  <c r="U468" i="22"/>
  <c r="R468" i="22"/>
  <c r="AM468" i="22"/>
  <c r="AJ468" i="22"/>
  <c r="AG468" i="22"/>
  <c r="AD468" i="22"/>
  <c r="P368" i="22"/>
  <c r="AN469" i="22"/>
  <c r="AK469" i="22"/>
  <c r="AH469" i="22"/>
  <c r="AE469" i="22"/>
  <c r="AB469" i="22"/>
  <c r="Y469" i="22"/>
  <c r="V469" i="22"/>
  <c r="S469" i="22"/>
  <c r="AE122" i="22"/>
  <c r="AA122" i="22"/>
  <c r="AF122" i="22"/>
  <c r="AM122" i="22"/>
  <c r="AK230" i="22"/>
  <c r="AL231" i="22"/>
  <c r="AI228" i="22"/>
  <c r="AH227" i="22"/>
  <c r="AJ229" i="22"/>
  <c r="AN233" i="22"/>
  <c r="AM232" i="22"/>
  <c r="R122" i="22"/>
  <c r="AN122" i="22"/>
  <c r="AD122" i="22"/>
  <c r="O122" i="22"/>
  <c r="S122" i="22"/>
  <c r="AG122" i="22"/>
  <c r="Q122" i="22"/>
  <c r="AI269" i="22"/>
  <c r="AK271" i="22"/>
  <c r="AL272" i="22"/>
  <c r="AJ270" i="22"/>
  <c r="AM273" i="22"/>
  <c r="AN274" i="22"/>
  <c r="T122" i="22"/>
  <c r="AH122" i="22"/>
  <c r="AC122" i="22"/>
  <c r="U122" i="22"/>
  <c r="AI122" i="22"/>
  <c r="V122" i="22"/>
  <c r="O218" i="22"/>
  <c r="AA318" i="22"/>
  <c r="X318" i="22"/>
  <c r="U318" i="22"/>
  <c r="R318" i="22"/>
  <c r="AJ318" i="22"/>
  <c r="AG318" i="22"/>
  <c r="AD318" i="22"/>
  <c r="AM318" i="22"/>
  <c r="AE276" i="22"/>
  <c r="S276" i="22"/>
  <c r="AC276" i="22"/>
  <c r="Q276" i="22"/>
  <c r="AD276" i="22"/>
  <c r="R276" i="22"/>
  <c r="AL276" i="22"/>
  <c r="W276" i="22"/>
  <c r="AJ276" i="22"/>
  <c r="U276" i="22"/>
  <c r="AI276" i="22"/>
  <c r="AH276" i="22"/>
  <c r="P276" i="22"/>
  <c r="AG276" i="22"/>
  <c r="O276" i="22"/>
  <c r="O217" i="22" s="1"/>
  <c r="AK276" i="22"/>
  <c r="V276" i="22"/>
  <c r="T276" i="22"/>
  <c r="AM276" i="22"/>
  <c r="AA276" i="22"/>
  <c r="Z276" i="22"/>
  <c r="Y276" i="22"/>
  <c r="X276" i="22"/>
  <c r="N276" i="22"/>
  <c r="N217" i="22" s="1"/>
  <c r="AN276" i="22"/>
  <c r="AF276" i="22"/>
  <c r="AB276" i="22"/>
  <c r="AN278" i="22"/>
  <c r="AB278" i="22"/>
  <c r="P278" i="22"/>
  <c r="AL278" i="22"/>
  <c r="Z278" i="22"/>
  <c r="AM278" i="22"/>
  <c r="AA278" i="22"/>
  <c r="AI278" i="22"/>
  <c r="T278" i="22"/>
  <c r="AG278" i="22"/>
  <c r="R278" i="22"/>
  <c r="AF278" i="22"/>
  <c r="Q278" i="22"/>
  <c r="AE278" i="22"/>
  <c r="AD278" i="22"/>
  <c r="AH278" i="22"/>
  <c r="S278" i="22"/>
  <c r="U278" i="22"/>
  <c r="AK278" i="22"/>
  <c r="AJ278" i="22"/>
  <c r="AC278" i="22"/>
  <c r="Y278" i="22"/>
  <c r="X278" i="22"/>
  <c r="W278" i="22"/>
  <c r="V278" i="22"/>
  <c r="AN236" i="22"/>
  <c r="AL236" i="22"/>
  <c r="Z236" i="22"/>
  <c r="AK236" i="22"/>
  <c r="Y236" i="22"/>
  <c r="AC236" i="22"/>
  <c r="O236" i="22"/>
  <c r="AB236" i="22"/>
  <c r="AA236" i="22"/>
  <c r="X236" i="22"/>
  <c r="AM236" i="22"/>
  <c r="W236" i="22"/>
  <c r="AJ236" i="22"/>
  <c r="V236" i="22"/>
  <c r="AI236" i="22"/>
  <c r="U236" i="22"/>
  <c r="AF236" i="22"/>
  <c r="R236" i="22"/>
  <c r="T236" i="22"/>
  <c r="S236" i="22"/>
  <c r="Q236" i="22"/>
  <c r="P236" i="22"/>
  <c r="AG236" i="22"/>
  <c r="AE236" i="22"/>
  <c r="AD236" i="22"/>
  <c r="AH236" i="22"/>
  <c r="AM237" i="22"/>
  <c r="AA237" i="22"/>
  <c r="AK237" i="22"/>
  <c r="Y237" i="22"/>
  <c r="AJ237" i="22"/>
  <c r="X237" i="22"/>
  <c r="AH237" i="22"/>
  <c r="S237" i="22"/>
  <c r="AG237" i="22"/>
  <c r="R237" i="22"/>
  <c r="AF237" i="22"/>
  <c r="Q237" i="22"/>
  <c r="AE237" i="22"/>
  <c r="P237" i="22"/>
  <c r="AD237" i="22"/>
  <c r="AC237" i="22"/>
  <c r="AB237" i="22"/>
  <c r="AN237" i="22"/>
  <c r="V237" i="22"/>
  <c r="AL237" i="22"/>
  <c r="AI237" i="22"/>
  <c r="Z237" i="22"/>
  <c r="W237" i="22"/>
  <c r="U237" i="22"/>
  <c r="T237" i="22"/>
  <c r="AN235" i="22"/>
  <c r="AB235" i="22"/>
  <c r="P235" i="22"/>
  <c r="AM235" i="22"/>
  <c r="AA235" i="22"/>
  <c r="O235" i="22"/>
  <c r="Y235" i="22"/>
  <c r="AL235" i="22"/>
  <c r="X235" i="22"/>
  <c r="AK235" i="22"/>
  <c r="W235" i="22"/>
  <c r="AJ235" i="22"/>
  <c r="V235" i="22"/>
  <c r="AI235" i="22"/>
  <c r="U235" i="22"/>
  <c r="AH235" i="22"/>
  <c r="T235" i="22"/>
  <c r="AG235" i="22"/>
  <c r="S235" i="22"/>
  <c r="AD235" i="22"/>
  <c r="N235" i="22"/>
  <c r="N216" i="22" s="1"/>
  <c r="AF235" i="22"/>
  <c r="AE235" i="22"/>
  <c r="Q235" i="22"/>
  <c r="AC235" i="22"/>
  <c r="Z235" i="22"/>
  <c r="R235" i="22"/>
  <c r="AH268" i="22"/>
  <c r="AL113" i="22"/>
  <c r="AM114" i="22"/>
  <c r="AN115" i="22"/>
  <c r="AN163" i="22"/>
  <c r="AH163" i="22"/>
  <c r="AK163" i="22"/>
  <c r="AE163" i="22"/>
  <c r="AB163" i="22"/>
  <c r="Y163" i="22"/>
  <c r="V163" i="22"/>
  <c r="S163" i="22"/>
  <c r="P163" i="22"/>
  <c r="AE121" i="22"/>
  <c r="S121" i="22"/>
  <c r="Q121" i="22"/>
  <c r="AD121" i="22"/>
  <c r="R121" i="22"/>
  <c r="AK121" i="22"/>
  <c r="W121" i="22"/>
  <c r="AJ121" i="22"/>
  <c r="V121" i="22"/>
  <c r="AI121" i="22"/>
  <c r="U121" i="22"/>
  <c r="AN121" i="22"/>
  <c r="T121" i="22"/>
  <c r="AM121" i="22"/>
  <c r="P121" i="22"/>
  <c r="AL121" i="22"/>
  <c r="O121" i="22"/>
  <c r="AH121" i="22"/>
  <c r="N121" i="22"/>
  <c r="N62" i="22" s="1"/>
  <c r="AG121" i="22"/>
  <c r="AF121" i="22"/>
  <c r="AB121" i="22"/>
  <c r="AA121" i="22"/>
  <c r="Z121" i="22"/>
  <c r="Y121" i="22"/>
  <c r="X121" i="22"/>
  <c r="AC121" i="22"/>
  <c r="AN123" i="22"/>
  <c r="AB123" i="22"/>
  <c r="P123" i="22"/>
  <c r="AL123" i="22"/>
  <c r="Z123" i="22"/>
  <c r="AM123" i="22"/>
  <c r="AA123" i="22"/>
  <c r="AH123" i="22"/>
  <c r="S123" i="22"/>
  <c r="AG123" i="22"/>
  <c r="R123" i="22"/>
  <c r="AF123" i="22"/>
  <c r="Q123" i="22"/>
  <c r="AE123" i="22"/>
  <c r="AD123" i="22"/>
  <c r="AC123" i="22"/>
  <c r="Y123" i="22"/>
  <c r="X123" i="22"/>
  <c r="W123" i="22"/>
  <c r="AI123" i="22"/>
  <c r="U123" i="22"/>
  <c r="T123" i="22"/>
  <c r="AK123" i="22"/>
  <c r="AJ123" i="22"/>
  <c r="V123" i="22"/>
  <c r="AE80" i="22"/>
  <c r="S80" i="22"/>
  <c r="AD80" i="22"/>
  <c r="R80" i="22"/>
  <c r="AC80" i="22"/>
  <c r="Q80" i="22"/>
  <c r="AN80" i="22"/>
  <c r="AB80" i="22"/>
  <c r="P80" i="22"/>
  <c r="AH80" i="22"/>
  <c r="V80" i="22"/>
  <c r="AG80" i="22"/>
  <c r="U80" i="22"/>
  <c r="AA80" i="22"/>
  <c r="N80" i="22"/>
  <c r="N61" i="22" s="1"/>
  <c r="Z80" i="22"/>
  <c r="Y80" i="22"/>
  <c r="X80" i="22"/>
  <c r="W80" i="22"/>
  <c r="AJ80" i="22"/>
  <c r="AI80" i="22"/>
  <c r="AF80" i="22"/>
  <c r="T80" i="22"/>
  <c r="AM80" i="22"/>
  <c r="O80" i="22"/>
  <c r="AL80" i="22"/>
  <c r="AK80" i="22"/>
  <c r="AN82" i="22"/>
  <c r="AB82" i="22"/>
  <c r="P82" i="22"/>
  <c r="AM82" i="22"/>
  <c r="AA82" i="22"/>
  <c r="AL82" i="22"/>
  <c r="Z82" i="22"/>
  <c r="AK82" i="22"/>
  <c r="Y82" i="22"/>
  <c r="AE82" i="22"/>
  <c r="S82" i="22"/>
  <c r="AD82" i="22"/>
  <c r="R82" i="22"/>
  <c r="X82" i="22"/>
  <c r="W82" i="22"/>
  <c r="V82" i="22"/>
  <c r="U82" i="22"/>
  <c r="T82" i="22"/>
  <c r="AG82" i="22"/>
  <c r="AF82" i="22"/>
  <c r="AC82" i="22"/>
  <c r="Q82" i="22"/>
  <c r="AJ82" i="22"/>
  <c r="AI82" i="22"/>
  <c r="AH82" i="22"/>
  <c r="O65" i="23"/>
  <c r="O66" i="23" s="1"/>
  <c r="G8" i="45"/>
  <c r="N65" i="19"/>
  <c r="N66" i="19" s="1"/>
  <c r="Q367" i="19"/>
  <c r="AL469" i="19"/>
  <c r="AI469" i="19"/>
  <c r="AF469" i="19"/>
  <c r="AC469" i="19"/>
  <c r="Z469" i="19"/>
  <c r="W469" i="19"/>
  <c r="T469" i="19"/>
  <c r="P366" i="19"/>
  <c r="AN428" i="19"/>
  <c r="AB428" i="19"/>
  <c r="AL428" i="19"/>
  <c r="Z428" i="19"/>
  <c r="AM428" i="19"/>
  <c r="AA428" i="19"/>
  <c r="Y428" i="19"/>
  <c r="X428" i="19"/>
  <c r="W428" i="19"/>
  <c r="AK428" i="19"/>
  <c r="V428" i="19"/>
  <c r="AH428" i="19"/>
  <c r="AG428" i="19"/>
  <c r="AF428" i="19"/>
  <c r="AE428" i="19"/>
  <c r="AD428" i="19"/>
  <c r="AC428" i="19"/>
  <c r="U428" i="19"/>
  <c r="T428" i="19"/>
  <c r="S428" i="19"/>
  <c r="R428" i="19"/>
  <c r="AJ428" i="19"/>
  <c r="Q428" i="19"/>
  <c r="AI428" i="19"/>
  <c r="AN387" i="19"/>
  <c r="AB387" i="19"/>
  <c r="AM387" i="19"/>
  <c r="AA387" i="19"/>
  <c r="AL387" i="19"/>
  <c r="Z387" i="19"/>
  <c r="AK387" i="19"/>
  <c r="Y387" i="19"/>
  <c r="AJ387" i="19"/>
  <c r="X387" i="19"/>
  <c r="AI387" i="19"/>
  <c r="W387" i="19"/>
  <c r="AH387" i="19"/>
  <c r="V387" i="19"/>
  <c r="U387" i="19"/>
  <c r="T387" i="19"/>
  <c r="S387" i="19"/>
  <c r="R387" i="19"/>
  <c r="Q387" i="19"/>
  <c r="AG387" i="19"/>
  <c r="AF387" i="19"/>
  <c r="AE387" i="19"/>
  <c r="AD387" i="19"/>
  <c r="AC387" i="19"/>
  <c r="AJ270" i="19"/>
  <c r="AI269" i="19"/>
  <c r="AK271" i="19"/>
  <c r="AL272" i="19"/>
  <c r="AM273" i="19"/>
  <c r="AN274" i="19"/>
  <c r="AJ228" i="19"/>
  <c r="AK229" i="19"/>
  <c r="AM231" i="19"/>
  <c r="AL230" i="19"/>
  <c r="AI227" i="19"/>
  <c r="AN232" i="19"/>
  <c r="M218" i="19"/>
  <c r="AN316" i="19"/>
  <c r="AK316" i="19"/>
  <c r="AH316" i="19"/>
  <c r="AE316" i="19"/>
  <c r="Y316" i="19"/>
  <c r="V316" i="19"/>
  <c r="S316" i="19"/>
  <c r="AB316" i="19"/>
  <c r="P316" i="19"/>
  <c r="AE276" i="19"/>
  <c r="S276" i="19"/>
  <c r="AC276" i="19"/>
  <c r="Q276" i="19"/>
  <c r="AN276" i="19"/>
  <c r="AB276" i="19"/>
  <c r="P276" i="19"/>
  <c r="AK276" i="19"/>
  <c r="V276" i="19"/>
  <c r="AJ276" i="19"/>
  <c r="U276" i="19"/>
  <c r="AI276" i="19"/>
  <c r="T276" i="19"/>
  <c r="AH276" i="19"/>
  <c r="R276" i="19"/>
  <c r="AG276" i="19"/>
  <c r="O276" i="19"/>
  <c r="AF276" i="19"/>
  <c r="N276" i="19"/>
  <c r="AM276" i="19"/>
  <c r="AL276" i="19"/>
  <c r="AD276" i="19"/>
  <c r="AA276" i="19"/>
  <c r="Z276" i="19"/>
  <c r="Y276" i="19"/>
  <c r="X276" i="19"/>
  <c r="W276" i="19"/>
  <c r="AC235" i="19"/>
  <c r="Q235" i="19"/>
  <c r="AN235" i="19"/>
  <c r="AB235" i="19"/>
  <c r="P235" i="19"/>
  <c r="AE235" i="19"/>
  <c r="O235" i="19"/>
  <c r="AD235" i="19"/>
  <c r="N235" i="19"/>
  <c r="Y235" i="19"/>
  <c r="X235" i="19"/>
  <c r="AM235" i="19"/>
  <c r="W235" i="19"/>
  <c r="AL235" i="19"/>
  <c r="V235" i="19"/>
  <c r="AK235" i="19"/>
  <c r="U235" i="19"/>
  <c r="AF235" i="19"/>
  <c r="AA235" i="19"/>
  <c r="Z235" i="19"/>
  <c r="T235" i="19"/>
  <c r="S235" i="19"/>
  <c r="R235" i="19"/>
  <c r="AJ235" i="19"/>
  <c r="AI235" i="19"/>
  <c r="AH235" i="19"/>
  <c r="AG235" i="19"/>
  <c r="AM117" i="19"/>
  <c r="AK115" i="19"/>
  <c r="AL116" i="19"/>
  <c r="AJ114" i="19"/>
  <c r="AI113" i="19"/>
  <c r="AN118" i="19"/>
  <c r="AH469" i="20"/>
  <c r="AE469" i="20"/>
  <c r="AB469" i="20"/>
  <c r="Y469" i="20"/>
  <c r="V469" i="20"/>
  <c r="AN469" i="20"/>
  <c r="AK469" i="20"/>
  <c r="S469" i="20"/>
  <c r="AK271" i="20"/>
  <c r="AI269" i="20"/>
  <c r="AL272" i="20"/>
  <c r="AH268" i="20"/>
  <c r="AJ270" i="20"/>
  <c r="AM273" i="20"/>
  <c r="AN274" i="20"/>
  <c r="AJ228" i="20"/>
  <c r="AI227" i="20"/>
  <c r="AN232" i="20"/>
  <c r="AL230" i="20"/>
  <c r="AK229" i="20"/>
  <c r="AM231" i="20"/>
  <c r="N218" i="20"/>
  <c r="AI317" i="20"/>
  <c r="AL317" i="20"/>
  <c r="AC317" i="20"/>
  <c r="Z317" i="20"/>
  <c r="W317" i="20"/>
  <c r="T317" i="20"/>
  <c r="Q317" i="20"/>
  <c r="AF317" i="20"/>
  <c r="L18" i="20"/>
  <c r="AC277" i="20"/>
  <c r="Q277" i="20"/>
  <c r="AN277" i="20"/>
  <c r="AB277" i="20"/>
  <c r="P277" i="20"/>
  <c r="AG277" i="20"/>
  <c r="S277" i="20"/>
  <c r="AF277" i="20"/>
  <c r="R277" i="20"/>
  <c r="AE277" i="20"/>
  <c r="O277" i="20"/>
  <c r="AI277" i="20"/>
  <c r="AH277" i="20"/>
  <c r="AD277" i="20"/>
  <c r="AA277" i="20"/>
  <c r="Z277" i="20"/>
  <c r="Y277" i="20"/>
  <c r="AL277" i="20"/>
  <c r="X277" i="20"/>
  <c r="W277" i="20"/>
  <c r="V277" i="20"/>
  <c r="U277" i="20"/>
  <c r="T277" i="20"/>
  <c r="AM277" i="20"/>
  <c r="AJ277" i="20"/>
  <c r="AK277" i="20"/>
  <c r="AC236" i="20"/>
  <c r="Q236" i="20"/>
  <c r="AN236" i="20"/>
  <c r="AB236" i="20"/>
  <c r="P236" i="20"/>
  <c r="AK236" i="20"/>
  <c r="Y236" i="20"/>
  <c r="AA236" i="20"/>
  <c r="Z236" i="20"/>
  <c r="X236" i="20"/>
  <c r="AM236" i="20"/>
  <c r="W236" i="20"/>
  <c r="AL236" i="20"/>
  <c r="V236" i="20"/>
  <c r="AE236" i="20"/>
  <c r="AD236" i="20"/>
  <c r="AH236" i="20"/>
  <c r="AF236" i="20"/>
  <c r="U236" i="20"/>
  <c r="T236" i="20"/>
  <c r="S236" i="20"/>
  <c r="R236" i="20"/>
  <c r="O236" i="20"/>
  <c r="AJ236" i="20"/>
  <c r="AI236" i="20"/>
  <c r="AG236" i="20"/>
  <c r="AJ270" i="42"/>
  <c r="AI269" i="42"/>
  <c r="AH268" i="42"/>
  <c r="AL272" i="42"/>
  <c r="AK271" i="42"/>
  <c r="AM273" i="42"/>
  <c r="AN274" i="42"/>
  <c r="AJ229" i="42"/>
  <c r="AK230" i="42"/>
  <c r="AI228" i="42"/>
  <c r="AH227" i="42"/>
  <c r="AL231" i="42"/>
  <c r="AM232" i="42"/>
  <c r="AN233" i="42"/>
  <c r="AN469" i="42"/>
  <c r="AK469" i="42"/>
  <c r="V469" i="42"/>
  <c r="AH469" i="42"/>
  <c r="AE469" i="42"/>
  <c r="AB469" i="42"/>
  <c r="Y469" i="42"/>
  <c r="S469" i="42"/>
  <c r="O367" i="42"/>
  <c r="AN428" i="42"/>
  <c r="AB428" i="42"/>
  <c r="P428" i="42"/>
  <c r="AM428" i="42"/>
  <c r="AA428" i="42"/>
  <c r="AL428" i="42"/>
  <c r="Z428" i="42"/>
  <c r="AK428" i="42"/>
  <c r="Y428" i="42"/>
  <c r="AG428" i="42"/>
  <c r="Q428" i="42"/>
  <c r="AF428" i="42"/>
  <c r="AE428" i="42"/>
  <c r="AD428" i="42"/>
  <c r="AC428" i="42"/>
  <c r="X428" i="42"/>
  <c r="W428" i="42"/>
  <c r="AI428" i="42"/>
  <c r="V428" i="42"/>
  <c r="U428" i="42"/>
  <c r="R428" i="42"/>
  <c r="AH428" i="42"/>
  <c r="T428" i="42"/>
  <c r="S428" i="42"/>
  <c r="AJ428" i="42"/>
  <c r="AN387" i="42"/>
  <c r="AB387" i="42"/>
  <c r="P387" i="42"/>
  <c r="AM387" i="42"/>
  <c r="AA387" i="42"/>
  <c r="AL387" i="42"/>
  <c r="Z387" i="42"/>
  <c r="AK387" i="42"/>
  <c r="Y387" i="42"/>
  <c r="AF387" i="42"/>
  <c r="AE387" i="42"/>
  <c r="AD387" i="42"/>
  <c r="AC387" i="42"/>
  <c r="X387" i="42"/>
  <c r="W387" i="42"/>
  <c r="V387" i="42"/>
  <c r="AI387" i="42"/>
  <c r="AG387" i="42"/>
  <c r="R387" i="42"/>
  <c r="Q387" i="42"/>
  <c r="AH387" i="42"/>
  <c r="U387" i="42"/>
  <c r="T387" i="42"/>
  <c r="S387" i="42"/>
  <c r="AJ387" i="42"/>
  <c r="L220" i="42"/>
  <c r="L221" i="42" s="1"/>
  <c r="AN316" i="42"/>
  <c r="AK316" i="42"/>
  <c r="AH316" i="42"/>
  <c r="AE316" i="42"/>
  <c r="AB316" i="42"/>
  <c r="Y316" i="42"/>
  <c r="V316" i="42"/>
  <c r="S316" i="42"/>
  <c r="P316" i="42"/>
  <c r="AE276" i="42"/>
  <c r="S276" i="42"/>
  <c r="AC276" i="42"/>
  <c r="Q276" i="42"/>
  <c r="AN276" i="42"/>
  <c r="AB276" i="42"/>
  <c r="P276" i="42"/>
  <c r="AK276" i="42"/>
  <c r="V276" i="42"/>
  <c r="AI276" i="42"/>
  <c r="T276" i="42"/>
  <c r="AH276" i="42"/>
  <c r="R276" i="42"/>
  <c r="AG276" i="42"/>
  <c r="O276" i="42"/>
  <c r="AF276" i="42"/>
  <c r="N276" i="42"/>
  <c r="AM276" i="42"/>
  <c r="AL276" i="42"/>
  <c r="AJ276" i="42"/>
  <c r="AD276" i="42"/>
  <c r="AA276" i="42"/>
  <c r="Z276" i="42"/>
  <c r="Y276" i="42"/>
  <c r="X276" i="42"/>
  <c r="W276" i="42"/>
  <c r="U276" i="42"/>
  <c r="AE235" i="42"/>
  <c r="S235" i="42"/>
  <c r="AC235" i="42"/>
  <c r="Q235" i="42"/>
  <c r="AN235" i="42"/>
  <c r="AB235" i="42"/>
  <c r="P235" i="42"/>
  <c r="AF235" i="42"/>
  <c r="N235" i="42"/>
  <c r="AD235" i="42"/>
  <c r="AG235" i="42"/>
  <c r="Z235" i="42"/>
  <c r="Y235" i="42"/>
  <c r="AM235" i="42"/>
  <c r="V235" i="42"/>
  <c r="AA235" i="42"/>
  <c r="X235" i="42"/>
  <c r="W235" i="42"/>
  <c r="AL235" i="42"/>
  <c r="U235" i="42"/>
  <c r="AK235" i="42"/>
  <c r="AI235" i="42"/>
  <c r="R235" i="42"/>
  <c r="O235" i="42"/>
  <c r="AJ235" i="42"/>
  <c r="AH235" i="42"/>
  <c r="T235" i="42"/>
  <c r="AK113" i="42"/>
  <c r="AM115" i="42"/>
  <c r="AN116" i="42"/>
  <c r="AL114" i="42"/>
  <c r="L16" i="42"/>
  <c r="L25" i="42" s="1"/>
  <c r="G10" i="45"/>
  <c r="O65" i="42"/>
  <c r="O66" i="42" s="1"/>
  <c r="AL467" i="41"/>
  <c r="AI467" i="41"/>
  <c r="AF467" i="41"/>
  <c r="W467" i="41"/>
  <c r="T467" i="41"/>
  <c r="Q467" i="41"/>
  <c r="AC467" i="41"/>
  <c r="Z467" i="41"/>
  <c r="AK115" i="41"/>
  <c r="AI113" i="41"/>
  <c r="AM117" i="41"/>
  <c r="AL116" i="41"/>
  <c r="AJ114" i="41"/>
  <c r="AJ270" i="41"/>
  <c r="AL272" i="41"/>
  <c r="AH268" i="41"/>
  <c r="AI269" i="41"/>
  <c r="AK271" i="41"/>
  <c r="AM229" i="41"/>
  <c r="AL228" i="41"/>
  <c r="AN230" i="41"/>
  <c r="AK227" i="41"/>
  <c r="O82" i="41"/>
  <c r="AI82" i="41" s="1"/>
  <c r="Q200" i="41"/>
  <c r="Q202" i="41" s="1"/>
  <c r="M218" i="41"/>
  <c r="AN316" i="41"/>
  <c r="AK316" i="41"/>
  <c r="AH316" i="41"/>
  <c r="AE316" i="41"/>
  <c r="P316" i="41"/>
  <c r="AB316" i="41"/>
  <c r="S316" i="41"/>
  <c r="Y316" i="41"/>
  <c r="V316" i="41"/>
  <c r="AE276" i="41"/>
  <c r="S276" i="41"/>
  <c r="R276" i="41"/>
  <c r="AD276" i="41"/>
  <c r="AM276" i="41"/>
  <c r="Y276" i="41"/>
  <c r="AL276" i="41"/>
  <c r="X276" i="41"/>
  <c r="AK276" i="41"/>
  <c r="W276" i="41"/>
  <c r="AJ276" i="41"/>
  <c r="V276" i="41"/>
  <c r="AC276" i="41"/>
  <c r="AB276" i="41"/>
  <c r="AA276" i="41"/>
  <c r="Z276" i="41"/>
  <c r="AN276" i="41"/>
  <c r="P276" i="41"/>
  <c r="AI276" i="41"/>
  <c r="O276" i="41"/>
  <c r="U276" i="41"/>
  <c r="T276" i="41"/>
  <c r="Q276" i="41"/>
  <c r="AG276" i="41"/>
  <c r="AH276" i="41"/>
  <c r="AF276" i="41"/>
  <c r="N276" i="41"/>
  <c r="AD235" i="41"/>
  <c r="R235" i="41"/>
  <c r="AC235" i="41"/>
  <c r="Q235" i="41"/>
  <c r="AM235" i="41"/>
  <c r="AA235" i="41"/>
  <c r="O235" i="41"/>
  <c r="AH235" i="41"/>
  <c r="S235" i="41"/>
  <c r="AG235" i="41"/>
  <c r="P235" i="41"/>
  <c r="AB235" i="41"/>
  <c r="Z235" i="41"/>
  <c r="AN235" i="41"/>
  <c r="AL235" i="41"/>
  <c r="Y235" i="41"/>
  <c r="X235" i="41"/>
  <c r="W235" i="41"/>
  <c r="AK235" i="41"/>
  <c r="AJ235" i="41"/>
  <c r="AF235" i="41"/>
  <c r="V235" i="41"/>
  <c r="AE235" i="41"/>
  <c r="U235" i="41"/>
  <c r="T235" i="41"/>
  <c r="N235" i="41"/>
  <c r="AI235" i="41"/>
  <c r="AD162" i="41"/>
  <c r="AA162" i="41"/>
  <c r="X162" i="41"/>
  <c r="U162" i="41"/>
  <c r="R162" i="41"/>
  <c r="O162" i="41"/>
  <c r="O63" i="41" s="1"/>
  <c r="AG162" i="41"/>
  <c r="AM162" i="41"/>
  <c r="AJ162" i="41"/>
  <c r="AH120" i="41"/>
  <c r="V120" i="41"/>
  <c r="AF120" i="41"/>
  <c r="T120" i="41"/>
  <c r="AG120" i="41"/>
  <c r="R120" i="41"/>
  <c r="AD120" i="41"/>
  <c r="P120" i="41"/>
  <c r="AE120" i="41"/>
  <c r="Q120" i="41"/>
  <c r="AL120" i="41"/>
  <c r="S120" i="41"/>
  <c r="AI120" i="41"/>
  <c r="M120" i="41"/>
  <c r="AC120" i="41"/>
  <c r="AB120" i="41"/>
  <c r="AA120" i="41"/>
  <c r="Z120" i="41"/>
  <c r="AK120" i="41"/>
  <c r="O120" i="41"/>
  <c r="AJ120" i="41"/>
  <c r="N120" i="41"/>
  <c r="AN120" i="41"/>
  <c r="AM120" i="41"/>
  <c r="Y120" i="41"/>
  <c r="X120" i="41"/>
  <c r="W120" i="41"/>
  <c r="U120" i="41"/>
  <c r="AN123" i="41"/>
  <c r="AB123" i="41"/>
  <c r="P123" i="41"/>
  <c r="AL123" i="41"/>
  <c r="Z123" i="41"/>
  <c r="AK123" i="41"/>
  <c r="Y123" i="41"/>
  <c r="AH123" i="41"/>
  <c r="S123" i="41"/>
  <c r="AF123" i="41"/>
  <c r="Q123" i="41"/>
  <c r="AG123" i="41"/>
  <c r="R123" i="41"/>
  <c r="W123" i="41"/>
  <c r="T123" i="41"/>
  <c r="AM123" i="41"/>
  <c r="AJ123" i="41"/>
  <c r="AI123" i="41"/>
  <c r="AE123" i="41"/>
  <c r="V123" i="41"/>
  <c r="U123" i="41"/>
  <c r="AD123" i="41"/>
  <c r="AC123" i="41"/>
  <c r="AA123" i="41"/>
  <c r="X123" i="41"/>
  <c r="AH79" i="41"/>
  <c r="V79" i="41"/>
  <c r="AF79" i="41"/>
  <c r="T79" i="41"/>
  <c r="AK79" i="41"/>
  <c r="W79" i="41"/>
  <c r="AI79" i="41"/>
  <c r="S79" i="41"/>
  <c r="AJ79" i="41"/>
  <c r="U79" i="41"/>
  <c r="AG79" i="41"/>
  <c r="O79" i="41"/>
  <c r="AD79" i="41"/>
  <c r="M79" i="41"/>
  <c r="AC79" i="41"/>
  <c r="AB79" i="41"/>
  <c r="AA79" i="41"/>
  <c r="Z79" i="41"/>
  <c r="AE79" i="41"/>
  <c r="N79" i="41"/>
  <c r="Q79" i="41"/>
  <c r="AN79" i="41"/>
  <c r="AM79" i="41"/>
  <c r="AL79" i="41"/>
  <c r="Y79" i="41"/>
  <c r="X79" i="41"/>
  <c r="R79" i="41"/>
  <c r="P79" i="41"/>
  <c r="O40" i="16"/>
  <c r="N42" i="16"/>
  <c r="D7" i="45"/>
  <c r="L220" i="19"/>
  <c r="L221" i="19" s="1"/>
  <c r="M216" i="19"/>
  <c r="AA45" i="16"/>
  <c r="AM7" i="16"/>
  <c r="AM12" i="16" s="1"/>
  <c r="AA7" i="16"/>
  <c r="AA12" i="16" s="1"/>
  <c r="AN7" i="16"/>
  <c r="AN12" i="16" s="1"/>
  <c r="AB7" i="16"/>
  <c r="AB12" i="16" s="1"/>
  <c r="F5" i="45"/>
  <c r="P238" i="20"/>
  <c r="R47" i="42"/>
  <c r="R49" i="42" s="1"/>
  <c r="R50" i="42" s="1"/>
  <c r="R52" i="42" s="1"/>
  <c r="S350" i="42"/>
  <c r="S352" i="42" s="1"/>
  <c r="S45" i="42"/>
  <c r="Q363" i="42"/>
  <c r="Q365" i="42"/>
  <c r="Q470" i="42" s="1"/>
  <c r="Q364" i="42"/>
  <c r="P368" i="42"/>
  <c r="P60" i="42"/>
  <c r="P59" i="42"/>
  <c r="P58" i="42"/>
  <c r="P52" i="42"/>
  <c r="P429" i="42"/>
  <c r="P356" i="42"/>
  <c r="P388" i="42"/>
  <c r="P369" i="42"/>
  <c r="M217" i="42"/>
  <c r="O366" i="42"/>
  <c r="M216" i="42"/>
  <c r="Q59" i="42"/>
  <c r="Q60" i="42"/>
  <c r="Q58" i="42"/>
  <c r="R354" i="42"/>
  <c r="R355" i="42" s="1"/>
  <c r="N386" i="41"/>
  <c r="N369" i="41"/>
  <c r="L63" i="41"/>
  <c r="N427" i="41"/>
  <c r="N356" i="41"/>
  <c r="N81" i="41"/>
  <c r="N64" i="41"/>
  <c r="M163" i="41"/>
  <c r="M80" i="41"/>
  <c r="M64" i="41"/>
  <c r="O363" i="41"/>
  <c r="O364" i="41"/>
  <c r="O365" i="41"/>
  <c r="O468" i="41" s="1"/>
  <c r="M121" i="41"/>
  <c r="M51" i="41"/>
  <c r="L23" i="41"/>
  <c r="P47" i="41"/>
  <c r="Q45" i="41"/>
  <c r="Q350" i="41"/>
  <c r="Q352" i="41" s="1"/>
  <c r="Q354" i="41" s="1"/>
  <c r="Q355" i="41" s="1"/>
  <c r="N51" i="41"/>
  <c r="N122" i="41"/>
  <c r="N368" i="41"/>
  <c r="P354" i="41"/>
  <c r="P355" i="41" s="1"/>
  <c r="N164" i="41"/>
  <c r="O216" i="23"/>
  <c r="S86" i="23"/>
  <c r="S391" i="23"/>
  <c r="M370" i="22"/>
  <c r="M371" i="22" s="1"/>
  <c r="N370" i="22"/>
  <c r="N371" i="22" s="1"/>
  <c r="P213" i="22"/>
  <c r="P238" i="22" s="1"/>
  <c r="P214" i="22"/>
  <c r="P279" i="22" s="1"/>
  <c r="P215" i="22"/>
  <c r="P207" i="22"/>
  <c r="M216" i="22"/>
  <c r="O63" i="22"/>
  <c r="L65" i="22"/>
  <c r="L66" i="22" s="1"/>
  <c r="M23" i="22"/>
  <c r="O428" i="22"/>
  <c r="O356" i="22"/>
  <c r="O368" i="22"/>
  <c r="Q47" i="22"/>
  <c r="Q49" i="22" s="1"/>
  <c r="Q50" i="22" s="1"/>
  <c r="Q52" i="22" s="1"/>
  <c r="M63" i="22"/>
  <c r="O369" i="22"/>
  <c r="O387" i="22"/>
  <c r="Q365" i="22"/>
  <c r="Q470" i="22" s="1"/>
  <c r="Q364" i="22"/>
  <c r="Q363" i="22"/>
  <c r="M217" i="22"/>
  <c r="R45" i="22"/>
  <c r="R350" i="22"/>
  <c r="R352" i="22" s="1"/>
  <c r="R354" i="22" s="1"/>
  <c r="R355" i="22" s="1"/>
  <c r="R200" i="22"/>
  <c r="R202" i="22" s="1"/>
  <c r="R204" i="22" s="1"/>
  <c r="R205" i="22" s="1"/>
  <c r="M62" i="22"/>
  <c r="Q205" i="22"/>
  <c r="Q213" i="22" s="1"/>
  <c r="M61" i="22"/>
  <c r="P49" i="22"/>
  <c r="P50" i="22" s="1"/>
  <c r="P369" i="22"/>
  <c r="P388" i="22"/>
  <c r="P429" i="22"/>
  <c r="P356" i="22"/>
  <c r="M217" i="19"/>
  <c r="P60" i="19"/>
  <c r="P166" i="19" s="1"/>
  <c r="P58" i="19"/>
  <c r="P59" i="19"/>
  <c r="P52" i="19"/>
  <c r="Q388" i="19"/>
  <c r="Q368" i="19"/>
  <c r="R47" i="19"/>
  <c r="Q49" i="19"/>
  <c r="Q50" i="19" s="1"/>
  <c r="R363" i="19"/>
  <c r="R364" i="19"/>
  <c r="R470" i="19" s="1"/>
  <c r="R362" i="19"/>
  <c r="P365" i="19"/>
  <c r="Q355" i="19"/>
  <c r="Q429" i="19"/>
  <c r="S349" i="19"/>
  <c r="S351" i="19" s="1"/>
  <c r="S353" i="19" s="1"/>
  <c r="S354" i="19" s="1"/>
  <c r="S45" i="19"/>
  <c r="O123" i="19"/>
  <c r="O51" i="19"/>
  <c r="O82" i="19"/>
  <c r="O64" i="19"/>
  <c r="M220" i="20"/>
  <c r="M221" i="20" s="1"/>
  <c r="AJ75" i="20"/>
  <c r="AI74" i="20"/>
  <c r="AK76" i="20"/>
  <c r="AH73" i="20"/>
  <c r="AG72" i="20"/>
  <c r="AN79" i="20"/>
  <c r="AM78" i="20"/>
  <c r="AL77" i="20"/>
  <c r="N65" i="20"/>
  <c r="N66" i="20" s="1"/>
  <c r="O370" i="20"/>
  <c r="O371" i="20" s="1"/>
  <c r="N216" i="20"/>
  <c r="N217" i="20"/>
  <c r="Q365" i="20"/>
  <c r="Q470" i="20" s="1"/>
  <c r="Q363" i="20"/>
  <c r="Q364" i="20"/>
  <c r="O61" i="20"/>
  <c r="Q59" i="20"/>
  <c r="Q58" i="20"/>
  <c r="Q60" i="20"/>
  <c r="Q167" i="20" s="1"/>
  <c r="Q63" i="20" s="1"/>
  <c r="P368" i="20"/>
  <c r="R363" i="20"/>
  <c r="R365" i="20"/>
  <c r="R471" i="20" s="1"/>
  <c r="R364" i="20"/>
  <c r="P388" i="20"/>
  <c r="P369" i="20"/>
  <c r="S350" i="20"/>
  <c r="S352" i="20" s="1"/>
  <c r="S45" i="20"/>
  <c r="P59" i="20"/>
  <c r="P58" i="20"/>
  <c r="P60" i="20"/>
  <c r="P166" i="20" s="1"/>
  <c r="P52" i="20"/>
  <c r="P429" i="20"/>
  <c r="P356" i="20"/>
  <c r="R47" i="20"/>
  <c r="R49" i="20" s="1"/>
  <c r="R50" i="20" s="1"/>
  <c r="R52" i="20" s="1"/>
  <c r="O62" i="20"/>
  <c r="O214" i="42"/>
  <c r="O213" i="42"/>
  <c r="O9" i="42" s="1"/>
  <c r="O21" i="42" s="1"/>
  <c r="O215" i="42"/>
  <c r="O207" i="42"/>
  <c r="M218" i="42"/>
  <c r="Q202" i="42"/>
  <c r="R200" i="42"/>
  <c r="P204" i="42"/>
  <c r="P205" i="42" s="1"/>
  <c r="N236" i="42"/>
  <c r="N219" i="42"/>
  <c r="N317" i="42"/>
  <c r="N277" i="42"/>
  <c r="N206" i="42"/>
  <c r="O214" i="41"/>
  <c r="O213" i="41"/>
  <c r="O215" i="41"/>
  <c r="O207" i="41"/>
  <c r="N236" i="41"/>
  <c r="N219" i="41"/>
  <c r="N317" i="41"/>
  <c r="AM48" i="41"/>
  <c r="P204" i="41"/>
  <c r="P205" i="41" s="1"/>
  <c r="AI111" i="41"/>
  <c r="N206" i="41"/>
  <c r="N277" i="41"/>
  <c r="Q215" i="23"/>
  <c r="Q213" i="23"/>
  <c r="Q9" i="23" s="1"/>
  <c r="Q21" i="23" s="1"/>
  <c r="Q214" i="23"/>
  <c r="Q207" i="23"/>
  <c r="P206" i="23"/>
  <c r="P279" i="23"/>
  <c r="R204" i="23"/>
  <c r="R205" i="23" s="1"/>
  <c r="S202" i="23"/>
  <c r="T200" i="23"/>
  <c r="AI111" i="23"/>
  <c r="P219" i="23"/>
  <c r="P370" i="23"/>
  <c r="P371" i="23" s="1"/>
  <c r="P319" i="23"/>
  <c r="AL111" i="22"/>
  <c r="AK48" i="22"/>
  <c r="N277" i="19"/>
  <c r="N206" i="19"/>
  <c r="O215" i="19"/>
  <c r="O214" i="19"/>
  <c r="O213" i="19"/>
  <c r="O9" i="19" s="1"/>
  <c r="O21" i="19" s="1"/>
  <c r="O207" i="19"/>
  <c r="Q202" i="19"/>
  <c r="P204" i="19"/>
  <c r="P205" i="19" s="1"/>
  <c r="AN374" i="19"/>
  <c r="R200" i="19"/>
  <c r="N219" i="19"/>
  <c r="N236" i="19"/>
  <c r="N317" i="19"/>
  <c r="AH268" i="19"/>
  <c r="AN82" i="20"/>
  <c r="AB82" i="20"/>
  <c r="P82" i="20"/>
  <c r="AL82" i="20"/>
  <c r="Z82" i="20"/>
  <c r="AA82" i="20"/>
  <c r="Y82" i="20"/>
  <c r="AM82" i="20"/>
  <c r="X82" i="20"/>
  <c r="AK82" i="20"/>
  <c r="W82" i="20"/>
  <c r="AG82" i="20"/>
  <c r="AD82" i="20"/>
  <c r="AF82" i="20"/>
  <c r="AE82" i="20"/>
  <c r="V82" i="20"/>
  <c r="U82" i="20"/>
  <c r="AI82" i="20"/>
  <c r="AH82" i="20"/>
  <c r="AC82" i="20"/>
  <c r="T82" i="20"/>
  <c r="S82" i="20"/>
  <c r="R82" i="20"/>
  <c r="Q82" i="20"/>
  <c r="AJ82" i="20"/>
  <c r="P215" i="20"/>
  <c r="P214" i="20"/>
  <c r="P213" i="20"/>
  <c r="P207" i="20"/>
  <c r="R202" i="20"/>
  <c r="Q204" i="20"/>
  <c r="Q205" i="20" s="1"/>
  <c r="AM116" i="20"/>
  <c r="AN117" i="20"/>
  <c r="AJ113" i="20"/>
  <c r="AL115" i="20"/>
  <c r="AK114" i="20"/>
  <c r="AF123" i="20"/>
  <c r="T123" i="20"/>
  <c r="AE123" i="20"/>
  <c r="S123" i="20"/>
  <c r="AJ123" i="20"/>
  <c r="V123" i="20"/>
  <c r="AI123" i="20"/>
  <c r="U123" i="20"/>
  <c r="AH123" i="20"/>
  <c r="R123" i="20"/>
  <c r="AC123" i="20"/>
  <c r="AB123" i="20"/>
  <c r="AA123" i="20"/>
  <c r="Z123" i="20"/>
  <c r="Y123" i="20"/>
  <c r="Q123" i="20"/>
  <c r="X123" i="20"/>
  <c r="P123" i="20"/>
  <c r="W123" i="20"/>
  <c r="AN123" i="20"/>
  <c r="AM123" i="20"/>
  <c r="AL123" i="20"/>
  <c r="AK123" i="20"/>
  <c r="AG123" i="20"/>
  <c r="AD123" i="20"/>
  <c r="O219" i="20"/>
  <c r="O237" i="20"/>
  <c r="O318" i="20"/>
  <c r="S200" i="20"/>
  <c r="O206" i="20"/>
  <c r="O278" i="20"/>
  <c r="AC74" i="73"/>
  <c r="U210" i="42" l="1"/>
  <c r="O61" i="22"/>
  <c r="S64" i="23"/>
  <c r="S51" i="23"/>
  <c r="S127" i="23"/>
  <c r="AB127" i="23" s="1"/>
  <c r="O10" i="19"/>
  <c r="O23" i="19" s="1"/>
  <c r="O9" i="41"/>
  <c r="O21" i="41" s="1"/>
  <c r="W209" i="42"/>
  <c r="W210" i="42" s="1"/>
  <c r="O10" i="41"/>
  <c r="O23" i="41" s="1"/>
  <c r="AN472" i="23"/>
  <c r="S369" i="23"/>
  <c r="AF58" i="59"/>
  <c r="T59" i="51"/>
  <c r="AK472" i="23"/>
  <c r="AH472" i="23"/>
  <c r="AB472" i="23"/>
  <c r="S432" i="23"/>
  <c r="Y432" i="23" s="1"/>
  <c r="Y472" i="23"/>
  <c r="AE472" i="23"/>
  <c r="S356" i="23"/>
  <c r="S368" i="23"/>
  <c r="Q10" i="23"/>
  <c r="Q23" i="23" s="1"/>
  <c r="U59" i="52"/>
  <c r="U59" i="32" s="1"/>
  <c r="N11" i="22"/>
  <c r="N18" i="22" s="1"/>
  <c r="P9" i="20"/>
  <c r="P21" i="20" s="1"/>
  <c r="P10" i="20"/>
  <c r="P23" i="20" s="1"/>
  <c r="M25" i="20"/>
  <c r="Q62" i="23"/>
  <c r="H8" i="45"/>
  <c r="N25" i="23"/>
  <c r="P65" i="23"/>
  <c r="P66" i="23" s="1"/>
  <c r="AJ168" i="23"/>
  <c r="U168" i="23"/>
  <c r="X168" i="23"/>
  <c r="Q61" i="23"/>
  <c r="AA168" i="23"/>
  <c r="M12" i="22"/>
  <c r="M16" i="22" s="1"/>
  <c r="M11" i="22"/>
  <c r="R63" i="23"/>
  <c r="T365" i="23"/>
  <c r="T473" i="23" s="1"/>
  <c r="T364" i="23"/>
  <c r="T363" i="23"/>
  <c r="R390" i="23"/>
  <c r="R369" i="23"/>
  <c r="T47" i="23"/>
  <c r="T49" i="23" s="1"/>
  <c r="T50" i="23" s="1"/>
  <c r="T52" i="23" s="1"/>
  <c r="T125" i="23"/>
  <c r="W125" i="23"/>
  <c r="S125" i="23"/>
  <c r="AI125" i="23"/>
  <c r="AC125" i="23"/>
  <c r="AM125" i="23"/>
  <c r="AH125" i="23"/>
  <c r="AA125" i="23"/>
  <c r="R125" i="23"/>
  <c r="AL125" i="23"/>
  <c r="AF125" i="23"/>
  <c r="Z125" i="23"/>
  <c r="AE125" i="23"/>
  <c r="AK125" i="23"/>
  <c r="AB125" i="23"/>
  <c r="V125" i="23"/>
  <c r="AJ125" i="23"/>
  <c r="X125" i="23"/>
  <c r="AG125" i="23"/>
  <c r="AD125" i="23"/>
  <c r="Y125" i="23"/>
  <c r="AN125" i="23"/>
  <c r="U125" i="23"/>
  <c r="R356" i="23"/>
  <c r="R431" i="23"/>
  <c r="U45" i="23"/>
  <c r="U47" i="23" s="1"/>
  <c r="U49" i="23" s="1"/>
  <c r="U50" i="23" s="1"/>
  <c r="U350" i="23"/>
  <c r="U352" i="23" s="1"/>
  <c r="U354" i="23" s="1"/>
  <c r="U355" i="23" s="1"/>
  <c r="AG471" i="23"/>
  <c r="AD471" i="23"/>
  <c r="AA471" i="23"/>
  <c r="R368" i="23"/>
  <c r="X471" i="23"/>
  <c r="U471" i="23"/>
  <c r="AM471" i="23"/>
  <c r="AJ471" i="23"/>
  <c r="S169" i="23"/>
  <c r="AE169" i="23" s="1"/>
  <c r="R85" i="23"/>
  <c r="R64" i="23"/>
  <c r="R51" i="23"/>
  <c r="R126" i="23"/>
  <c r="AD168" i="23"/>
  <c r="AG168" i="23"/>
  <c r="AG389" i="23"/>
  <c r="AM389" i="23"/>
  <c r="T389" i="23"/>
  <c r="Z389" i="23"/>
  <c r="AB389" i="23"/>
  <c r="S389" i="23"/>
  <c r="U389" i="23"/>
  <c r="AF389" i="23"/>
  <c r="AL389" i="23"/>
  <c r="AE389" i="23"/>
  <c r="AD389" i="23"/>
  <c r="AK389" i="23"/>
  <c r="R389" i="23"/>
  <c r="AJ389" i="23"/>
  <c r="AH389" i="23"/>
  <c r="AI389" i="23"/>
  <c r="AA389" i="23"/>
  <c r="X389" i="23"/>
  <c r="AC389" i="23"/>
  <c r="Y389" i="23"/>
  <c r="AN389" i="23"/>
  <c r="W389" i="23"/>
  <c r="V389" i="23"/>
  <c r="AL430" i="23"/>
  <c r="AK430" i="23"/>
  <c r="AD430" i="23"/>
  <c r="Z430" i="23"/>
  <c r="X430" i="23"/>
  <c r="AI430" i="23"/>
  <c r="W430" i="23"/>
  <c r="T430" i="23"/>
  <c r="U430" i="23"/>
  <c r="AG430" i="23"/>
  <c r="S430" i="23"/>
  <c r="R430" i="23"/>
  <c r="AB430" i="23"/>
  <c r="AF430" i="23"/>
  <c r="AJ430" i="23"/>
  <c r="AE430" i="23"/>
  <c r="AH430" i="23"/>
  <c r="Q367" i="23"/>
  <c r="AC430" i="23"/>
  <c r="Y430" i="23"/>
  <c r="AM430" i="23"/>
  <c r="V430" i="23"/>
  <c r="AA430" i="23"/>
  <c r="AN430" i="23"/>
  <c r="S84" i="23"/>
  <c r="AM84" i="23"/>
  <c r="AG84" i="23"/>
  <c r="AA84" i="23"/>
  <c r="R84" i="23"/>
  <c r="Z84" i="23"/>
  <c r="AF84" i="23"/>
  <c r="AC84" i="23"/>
  <c r="AL84" i="23"/>
  <c r="AN84" i="23"/>
  <c r="AJ84" i="23"/>
  <c r="AB84" i="23"/>
  <c r="AE84" i="23"/>
  <c r="AK84" i="23"/>
  <c r="AD84" i="23"/>
  <c r="Y84" i="23"/>
  <c r="AI84" i="23"/>
  <c r="T84" i="23"/>
  <c r="AH84" i="23"/>
  <c r="X84" i="23"/>
  <c r="W84" i="23"/>
  <c r="V84" i="23"/>
  <c r="U84" i="23"/>
  <c r="Q366" i="23"/>
  <c r="O11" i="23"/>
  <c r="O18" i="23" s="1"/>
  <c r="O10" i="42"/>
  <c r="O23" i="42" s="1"/>
  <c r="M11" i="19"/>
  <c r="M18" i="19" s="1"/>
  <c r="M12" i="19"/>
  <c r="M16" i="19" s="1"/>
  <c r="M11" i="42"/>
  <c r="M18" i="42" s="1"/>
  <c r="Z82" i="41"/>
  <c r="N12" i="22"/>
  <c r="N16" i="22" s="1"/>
  <c r="O62" i="22"/>
  <c r="N11" i="20"/>
  <c r="N18" i="20" s="1"/>
  <c r="N12" i="20"/>
  <c r="N16" i="20" s="1"/>
  <c r="O12" i="23"/>
  <c r="O16" i="23" s="1"/>
  <c r="L27" i="42"/>
  <c r="L28" i="42" s="1"/>
  <c r="AQ59" i="66"/>
  <c r="U71" i="51"/>
  <c r="V59" i="51"/>
  <c r="E11" i="45"/>
  <c r="D11" i="45"/>
  <c r="AH391" i="23"/>
  <c r="V391" i="23"/>
  <c r="AG391" i="23"/>
  <c r="U391" i="23"/>
  <c r="AF391" i="23"/>
  <c r="AE391" i="23"/>
  <c r="AD391" i="23"/>
  <c r="AC391" i="23"/>
  <c r="AI391" i="23"/>
  <c r="AB391" i="23"/>
  <c r="AA391" i="23"/>
  <c r="Z391" i="23"/>
  <c r="Y391" i="23"/>
  <c r="X391" i="23"/>
  <c r="W391" i="23"/>
  <c r="AN391" i="23"/>
  <c r="T391" i="23"/>
  <c r="AM391" i="23"/>
  <c r="AL391" i="23"/>
  <c r="AK391" i="23"/>
  <c r="AJ391" i="23"/>
  <c r="AK269" i="23"/>
  <c r="AJ268" i="23"/>
  <c r="AM271" i="23"/>
  <c r="AN272" i="23"/>
  <c r="AL270" i="23"/>
  <c r="AN232" i="23"/>
  <c r="AM231" i="23"/>
  <c r="AI227" i="23"/>
  <c r="AL230" i="23"/>
  <c r="AJ228" i="23"/>
  <c r="AK229" i="23"/>
  <c r="N13" i="23"/>
  <c r="P218" i="23"/>
  <c r="AN319" i="23"/>
  <c r="AK319" i="23"/>
  <c r="AH319" i="23"/>
  <c r="AE319" i="23"/>
  <c r="AB319" i="23"/>
  <c r="Y319" i="23"/>
  <c r="V319" i="23"/>
  <c r="S319" i="23"/>
  <c r="P216" i="23"/>
  <c r="AN279" i="23"/>
  <c r="AB279" i="23"/>
  <c r="AM279" i="23"/>
  <c r="AA279" i="23"/>
  <c r="AL279" i="23"/>
  <c r="Z279" i="23"/>
  <c r="AK279" i="23"/>
  <c r="Y279" i="23"/>
  <c r="X279" i="23"/>
  <c r="W279" i="23"/>
  <c r="V279" i="23"/>
  <c r="AE279" i="23"/>
  <c r="AD279" i="23"/>
  <c r="AC279" i="23"/>
  <c r="U279" i="23"/>
  <c r="T279" i="23"/>
  <c r="S279" i="23"/>
  <c r="R279" i="23"/>
  <c r="AJ279" i="23"/>
  <c r="Q279" i="23"/>
  <c r="AI279" i="23"/>
  <c r="AG279" i="23"/>
  <c r="AH279" i="23"/>
  <c r="AF279" i="23"/>
  <c r="O220" i="23"/>
  <c r="O221" i="23" s="1"/>
  <c r="AN238" i="23"/>
  <c r="AB238" i="23"/>
  <c r="AM238" i="23"/>
  <c r="AA238" i="23"/>
  <c r="AL238" i="23"/>
  <c r="Z238" i="23"/>
  <c r="AK238" i="23"/>
  <c r="Y238" i="23"/>
  <c r="U238" i="23"/>
  <c r="S238" i="23"/>
  <c r="AH238" i="23"/>
  <c r="AG238" i="23"/>
  <c r="AJ238" i="23"/>
  <c r="T238" i="23"/>
  <c r="AI238" i="23"/>
  <c r="R238" i="23"/>
  <c r="Q238" i="23"/>
  <c r="AF238" i="23"/>
  <c r="AE238" i="23"/>
  <c r="AD238" i="23"/>
  <c r="AC238" i="23"/>
  <c r="X238" i="23"/>
  <c r="W238" i="23"/>
  <c r="V238" i="23"/>
  <c r="AK114" i="23"/>
  <c r="AJ113" i="23"/>
  <c r="AN117" i="23"/>
  <c r="AL115" i="23"/>
  <c r="AM116" i="23"/>
  <c r="AH86" i="23"/>
  <c r="V86" i="23"/>
  <c r="AG86" i="23"/>
  <c r="U86" i="23"/>
  <c r="AD86" i="23"/>
  <c r="AN86" i="23"/>
  <c r="Y86" i="23"/>
  <c r="AM86" i="23"/>
  <c r="X86" i="23"/>
  <c r="AL86" i="23"/>
  <c r="W86" i="23"/>
  <c r="AK86" i="23"/>
  <c r="T86" i="23"/>
  <c r="AJ86" i="23"/>
  <c r="AI86" i="23"/>
  <c r="AB86" i="23"/>
  <c r="AA86" i="23"/>
  <c r="AF86" i="23"/>
  <c r="AE86" i="23"/>
  <c r="AC86" i="23"/>
  <c r="Z86" i="23"/>
  <c r="Q215" i="22"/>
  <c r="Q320" i="22" s="1"/>
  <c r="Q207" i="22"/>
  <c r="Q214" i="22"/>
  <c r="Q280" i="22" s="1"/>
  <c r="AL470" i="22"/>
  <c r="AI470" i="22"/>
  <c r="AF470" i="22"/>
  <c r="AC470" i="22"/>
  <c r="Z470" i="22"/>
  <c r="W470" i="22"/>
  <c r="T470" i="22"/>
  <c r="AN429" i="22"/>
  <c r="AB429" i="22"/>
  <c r="AM429" i="22"/>
  <c r="AA429" i="22"/>
  <c r="AL429" i="22"/>
  <c r="Z429" i="22"/>
  <c r="AK429" i="22"/>
  <c r="Y429" i="22"/>
  <c r="X429" i="22"/>
  <c r="W429" i="22"/>
  <c r="V429" i="22"/>
  <c r="U429" i="22"/>
  <c r="AJ429" i="22"/>
  <c r="T429" i="22"/>
  <c r="AI429" i="22"/>
  <c r="S429" i="22"/>
  <c r="AH429" i="22"/>
  <c r="R429" i="22"/>
  <c r="AG429" i="22"/>
  <c r="AF429" i="22"/>
  <c r="AE429" i="22"/>
  <c r="AD429" i="22"/>
  <c r="AC429" i="22"/>
  <c r="Q429" i="22"/>
  <c r="AN428" i="22"/>
  <c r="AB428" i="22"/>
  <c r="P428" i="22"/>
  <c r="P367" i="22" s="1"/>
  <c r="AM428" i="22"/>
  <c r="AA428" i="22"/>
  <c r="AL428" i="22"/>
  <c r="Z428" i="22"/>
  <c r="AK428" i="22"/>
  <c r="Y428" i="22"/>
  <c r="AF428" i="22"/>
  <c r="AE428" i="22"/>
  <c r="AD428" i="22"/>
  <c r="AC428" i="22"/>
  <c r="X428" i="22"/>
  <c r="W428" i="22"/>
  <c r="V428" i="22"/>
  <c r="AH428" i="22"/>
  <c r="AG428" i="22"/>
  <c r="T428" i="22"/>
  <c r="U428" i="22"/>
  <c r="S428" i="22"/>
  <c r="R428" i="22"/>
  <c r="Q428" i="22"/>
  <c r="AJ428" i="22"/>
  <c r="AI428" i="22"/>
  <c r="AN387" i="22"/>
  <c r="AB387" i="22"/>
  <c r="P387" i="22"/>
  <c r="P366" i="22" s="1"/>
  <c r="AL387" i="22"/>
  <c r="Z387" i="22"/>
  <c r="AK387" i="22"/>
  <c r="Y387" i="22"/>
  <c r="AH387" i="22"/>
  <c r="S387" i="22"/>
  <c r="AF387" i="22"/>
  <c r="Q387" i="22"/>
  <c r="AG387" i="22"/>
  <c r="R387" i="22"/>
  <c r="AE387" i="22"/>
  <c r="AD387" i="22"/>
  <c r="X387" i="22"/>
  <c r="V387" i="22"/>
  <c r="AJ387" i="22"/>
  <c r="AI387" i="22"/>
  <c r="W387" i="22"/>
  <c r="U387" i="22"/>
  <c r="T387" i="22"/>
  <c r="AM387" i="22"/>
  <c r="AC387" i="22"/>
  <c r="AA387" i="22"/>
  <c r="AN388" i="22"/>
  <c r="AB388" i="22"/>
  <c r="AL388" i="22"/>
  <c r="Z388" i="22"/>
  <c r="AK388" i="22"/>
  <c r="Y388" i="22"/>
  <c r="AA388" i="22"/>
  <c r="W388" i="22"/>
  <c r="X388" i="22"/>
  <c r="AM388" i="22"/>
  <c r="V388" i="22"/>
  <c r="AJ388" i="22"/>
  <c r="U388" i="22"/>
  <c r="AE388" i="22"/>
  <c r="AC388" i="22"/>
  <c r="AI388" i="22"/>
  <c r="AH388" i="22"/>
  <c r="AD388" i="22"/>
  <c r="T388" i="22"/>
  <c r="S388" i="22"/>
  <c r="R388" i="22"/>
  <c r="Q388" i="22"/>
  <c r="AF388" i="22"/>
  <c r="AG388" i="22"/>
  <c r="AL230" i="22"/>
  <c r="AM231" i="22"/>
  <c r="AK229" i="22"/>
  <c r="AI227" i="22"/>
  <c r="AJ228" i="22"/>
  <c r="AN232" i="22"/>
  <c r="AK270" i="22"/>
  <c r="AM272" i="22"/>
  <c r="AJ269" i="22"/>
  <c r="AL271" i="22"/>
  <c r="AN273" i="22"/>
  <c r="AN279" i="22"/>
  <c r="AB279" i="22"/>
  <c r="AL279" i="22"/>
  <c r="Z279" i="22"/>
  <c r="AM279" i="22"/>
  <c r="AA279" i="22"/>
  <c r="AC279" i="22"/>
  <c r="X279" i="22"/>
  <c r="W279" i="22"/>
  <c r="AK279" i="22"/>
  <c r="V279" i="22"/>
  <c r="AJ279" i="22"/>
  <c r="U279" i="22"/>
  <c r="Y279" i="22"/>
  <c r="AD279" i="22"/>
  <c r="R279" i="22"/>
  <c r="Q279" i="22"/>
  <c r="AI279" i="22"/>
  <c r="AH279" i="22"/>
  <c r="AG279" i="22"/>
  <c r="AF279" i="22"/>
  <c r="AE279" i="22"/>
  <c r="T279" i="22"/>
  <c r="S279" i="22"/>
  <c r="O216" i="22"/>
  <c r="O220" i="22" s="1"/>
  <c r="O221" i="22" s="1"/>
  <c r="AM238" i="22"/>
  <c r="AA238" i="22"/>
  <c r="AK238" i="22"/>
  <c r="Y238" i="22"/>
  <c r="AJ238" i="22"/>
  <c r="X238" i="22"/>
  <c r="AB238" i="22"/>
  <c r="Z238" i="22"/>
  <c r="W238" i="22"/>
  <c r="AN238" i="22"/>
  <c r="V238" i="22"/>
  <c r="AL238" i="22"/>
  <c r="U238" i="22"/>
  <c r="AI238" i="22"/>
  <c r="T238" i="22"/>
  <c r="AH238" i="22"/>
  <c r="S238" i="22"/>
  <c r="AE238" i="22"/>
  <c r="R238" i="22"/>
  <c r="Q238" i="22"/>
  <c r="AF238" i="22"/>
  <c r="AD238" i="22"/>
  <c r="AC238" i="22"/>
  <c r="AG238" i="22"/>
  <c r="AI268" i="22"/>
  <c r="AM113" i="22"/>
  <c r="AN114" i="22"/>
  <c r="AA470" i="19"/>
  <c r="X470" i="19"/>
  <c r="U470" i="19"/>
  <c r="AJ470" i="19"/>
  <c r="AG470" i="19"/>
  <c r="AD470" i="19"/>
  <c r="AM470" i="19"/>
  <c r="P369" i="19"/>
  <c r="P370" i="19" s="1"/>
  <c r="AC429" i="19"/>
  <c r="AM429" i="19"/>
  <c r="AA429" i="19"/>
  <c r="AN429" i="19"/>
  <c r="AB429" i="19"/>
  <c r="AI429" i="19"/>
  <c r="T429" i="19"/>
  <c r="AH429" i="19"/>
  <c r="S429" i="19"/>
  <c r="AG429" i="19"/>
  <c r="R429" i="19"/>
  <c r="AF429" i="19"/>
  <c r="AK429" i="19"/>
  <c r="AJ429" i="19"/>
  <c r="AE429" i="19"/>
  <c r="AD429" i="19"/>
  <c r="Z429" i="19"/>
  <c r="Y429" i="19"/>
  <c r="X429" i="19"/>
  <c r="W429" i="19"/>
  <c r="V429" i="19"/>
  <c r="U429" i="19"/>
  <c r="AL429" i="19"/>
  <c r="AC388" i="19"/>
  <c r="AN388" i="19"/>
  <c r="AB388" i="19"/>
  <c r="AM388" i="19"/>
  <c r="AA388" i="19"/>
  <c r="AL388" i="19"/>
  <c r="Z388" i="19"/>
  <c r="AK388" i="19"/>
  <c r="Y388" i="19"/>
  <c r="AJ388" i="19"/>
  <c r="X388" i="19"/>
  <c r="AI388" i="19"/>
  <c r="W388" i="19"/>
  <c r="AE388" i="19"/>
  <c r="AD388" i="19"/>
  <c r="V388" i="19"/>
  <c r="U388" i="19"/>
  <c r="T388" i="19"/>
  <c r="S388" i="19"/>
  <c r="R388" i="19"/>
  <c r="AH388" i="19"/>
  <c r="AG388" i="19"/>
  <c r="AF388" i="19"/>
  <c r="AM272" i="19"/>
  <c r="AL271" i="19"/>
  <c r="AJ269" i="19"/>
  <c r="AK270" i="19"/>
  <c r="AN273" i="19"/>
  <c r="AK228" i="19"/>
  <c r="AN231" i="19"/>
  <c r="AL229" i="19"/>
  <c r="AM230" i="19"/>
  <c r="AJ227" i="19"/>
  <c r="AI317" i="19"/>
  <c r="AF317" i="19"/>
  <c r="AC317" i="19"/>
  <c r="AL317" i="19"/>
  <c r="W317" i="19"/>
  <c r="T317" i="19"/>
  <c r="Z317" i="19"/>
  <c r="Q317" i="19"/>
  <c r="AC277" i="19"/>
  <c r="Q277" i="19"/>
  <c r="AM277" i="19"/>
  <c r="AA277" i="19"/>
  <c r="O277" i="19"/>
  <c r="AL277" i="19"/>
  <c r="Z277" i="19"/>
  <c r="AB277" i="19"/>
  <c r="Y277" i="19"/>
  <c r="X277" i="19"/>
  <c r="AN277" i="19"/>
  <c r="W277" i="19"/>
  <c r="AK277" i="19"/>
  <c r="V277" i="19"/>
  <c r="AJ277" i="19"/>
  <c r="U277" i="19"/>
  <c r="AI277" i="19"/>
  <c r="P277" i="19"/>
  <c r="AG277" i="19"/>
  <c r="AH277" i="19"/>
  <c r="T277" i="19"/>
  <c r="S277" i="19"/>
  <c r="R277" i="19"/>
  <c r="AF277" i="19"/>
  <c r="AE277" i="19"/>
  <c r="AD277" i="19"/>
  <c r="AM236" i="19"/>
  <c r="AA236" i="19"/>
  <c r="O236" i="19"/>
  <c r="AL236" i="19"/>
  <c r="Z236" i="19"/>
  <c r="AG236" i="19"/>
  <c r="S236" i="19"/>
  <c r="AF236" i="19"/>
  <c r="R236" i="19"/>
  <c r="AI236" i="19"/>
  <c r="Q236" i="19"/>
  <c r="AH236" i="19"/>
  <c r="AE236" i="19"/>
  <c r="AD236" i="19"/>
  <c r="AC236" i="19"/>
  <c r="P236" i="19"/>
  <c r="AJ236" i="19"/>
  <c r="AB236" i="19"/>
  <c r="Y236" i="19"/>
  <c r="X236" i="19"/>
  <c r="W236" i="19"/>
  <c r="V236" i="19"/>
  <c r="U236" i="19"/>
  <c r="T236" i="19"/>
  <c r="AK236" i="19"/>
  <c r="AN236" i="19"/>
  <c r="M220" i="19"/>
  <c r="M221" i="19" s="1"/>
  <c r="AK114" i="19"/>
  <c r="AM116" i="19"/>
  <c r="AN117" i="19"/>
  <c r="AL115" i="19"/>
  <c r="AJ113" i="19"/>
  <c r="AN166" i="19"/>
  <c r="AK166" i="19"/>
  <c r="AH166" i="19"/>
  <c r="AE166" i="19"/>
  <c r="AB166" i="19"/>
  <c r="V166" i="19"/>
  <c r="S166" i="19"/>
  <c r="Y166" i="19"/>
  <c r="AM123" i="19"/>
  <c r="AA123" i="19"/>
  <c r="AL123" i="19"/>
  <c r="Z123" i="19"/>
  <c r="AK123" i="19"/>
  <c r="Y123" i="19"/>
  <c r="AJ123" i="19"/>
  <c r="X123" i="19"/>
  <c r="AF123" i="19"/>
  <c r="P123" i="19"/>
  <c r="AE123" i="19"/>
  <c r="AD123" i="19"/>
  <c r="AB123" i="19"/>
  <c r="T123" i="19"/>
  <c r="S123" i="19"/>
  <c r="R123" i="19"/>
  <c r="Q123" i="19"/>
  <c r="AI123" i="19"/>
  <c r="AH123" i="19"/>
  <c r="AG123" i="19"/>
  <c r="AC123" i="19"/>
  <c r="AN123" i="19"/>
  <c r="W123" i="19"/>
  <c r="V123" i="19"/>
  <c r="U123" i="19"/>
  <c r="AM82" i="19"/>
  <c r="AA82" i="19"/>
  <c r="AL82" i="19"/>
  <c r="Z82" i="19"/>
  <c r="AK82" i="19"/>
  <c r="Y82" i="19"/>
  <c r="AC82" i="19"/>
  <c r="X82" i="19"/>
  <c r="AB82" i="19"/>
  <c r="AN82" i="19"/>
  <c r="V82" i="19"/>
  <c r="T82" i="19"/>
  <c r="S82" i="19"/>
  <c r="AG82" i="19"/>
  <c r="AF82" i="19"/>
  <c r="AE82" i="19"/>
  <c r="AD82" i="19"/>
  <c r="R82" i="19"/>
  <c r="AJ82" i="19"/>
  <c r="Q82" i="19"/>
  <c r="AI82" i="19"/>
  <c r="P82" i="19"/>
  <c r="AH82" i="19"/>
  <c r="W82" i="19"/>
  <c r="U82" i="19"/>
  <c r="AL470" i="20"/>
  <c r="AI470" i="20"/>
  <c r="AF470" i="20"/>
  <c r="AC470" i="20"/>
  <c r="Z470" i="20"/>
  <c r="W470" i="20"/>
  <c r="T470" i="20"/>
  <c r="AA471" i="20"/>
  <c r="X471" i="20"/>
  <c r="U471" i="20"/>
  <c r="AD471" i="20"/>
  <c r="AJ471" i="20"/>
  <c r="AG471" i="20"/>
  <c r="AM471" i="20"/>
  <c r="P367" i="20"/>
  <c r="AM429" i="20"/>
  <c r="AA429" i="20"/>
  <c r="AL429" i="20"/>
  <c r="Z429" i="20"/>
  <c r="AJ429" i="20"/>
  <c r="X429" i="20"/>
  <c r="V429" i="20"/>
  <c r="AI429" i="20"/>
  <c r="W429" i="20"/>
  <c r="AH429" i="20"/>
  <c r="AB429" i="20"/>
  <c r="Y429" i="20"/>
  <c r="U429" i="20"/>
  <c r="AK429" i="20"/>
  <c r="AG429" i="20"/>
  <c r="AF429" i="20"/>
  <c r="AE429" i="20"/>
  <c r="AD429" i="20"/>
  <c r="AC429" i="20"/>
  <c r="AN429" i="20"/>
  <c r="T429" i="20"/>
  <c r="S429" i="20"/>
  <c r="R429" i="20"/>
  <c r="Q429" i="20"/>
  <c r="P366" i="20"/>
  <c r="AN388" i="20"/>
  <c r="AB388" i="20"/>
  <c r="AM388" i="20"/>
  <c r="AA388" i="20"/>
  <c r="AL388" i="20"/>
  <c r="Z388" i="20"/>
  <c r="W388" i="20"/>
  <c r="AK388" i="20"/>
  <c r="V388" i="20"/>
  <c r="AJ388" i="20"/>
  <c r="U388" i="20"/>
  <c r="AI388" i="20"/>
  <c r="T388" i="20"/>
  <c r="AG388" i="20"/>
  <c r="AF388" i="20"/>
  <c r="AE388" i="20"/>
  <c r="AH388" i="20"/>
  <c r="AD388" i="20"/>
  <c r="AC388" i="20"/>
  <c r="Y388" i="20"/>
  <c r="X388" i="20"/>
  <c r="S388" i="20"/>
  <c r="R388" i="20"/>
  <c r="Q388" i="20"/>
  <c r="AK228" i="20"/>
  <c r="AM230" i="20"/>
  <c r="AJ227" i="20"/>
  <c r="AL229" i="20"/>
  <c r="AN231" i="20"/>
  <c r="AM272" i="20"/>
  <c r="AJ269" i="20"/>
  <c r="AI268" i="20"/>
  <c r="AL271" i="20"/>
  <c r="AK270" i="20"/>
  <c r="AN273" i="20"/>
  <c r="O218" i="20"/>
  <c r="AA318" i="20"/>
  <c r="X318" i="20"/>
  <c r="U318" i="20"/>
  <c r="R318" i="20"/>
  <c r="AM318" i="20"/>
  <c r="AJ318" i="20"/>
  <c r="AG318" i="20"/>
  <c r="AD318" i="20"/>
  <c r="AN278" i="20"/>
  <c r="AB278" i="20"/>
  <c r="P278" i="20"/>
  <c r="AM278" i="20"/>
  <c r="AA278" i="20"/>
  <c r="AJ278" i="20"/>
  <c r="V278" i="20"/>
  <c r="AI278" i="20"/>
  <c r="U278" i="20"/>
  <c r="AH278" i="20"/>
  <c r="T278" i="20"/>
  <c r="AC278" i="20"/>
  <c r="Z278" i="20"/>
  <c r="Y278" i="20"/>
  <c r="X278" i="20"/>
  <c r="W278" i="20"/>
  <c r="AK278" i="20"/>
  <c r="Q278" i="20"/>
  <c r="AG278" i="20"/>
  <c r="AF278" i="20"/>
  <c r="AE278" i="20"/>
  <c r="AD278" i="20"/>
  <c r="S278" i="20"/>
  <c r="R278" i="20"/>
  <c r="AL278" i="20"/>
  <c r="AN238" i="20"/>
  <c r="AB238" i="20"/>
  <c r="AM238" i="20"/>
  <c r="AA238" i="20"/>
  <c r="AJ238" i="20"/>
  <c r="X238" i="20"/>
  <c r="Z238" i="20"/>
  <c r="Y238" i="20"/>
  <c r="W238" i="20"/>
  <c r="AL238" i="20"/>
  <c r="V238" i="20"/>
  <c r="AK238" i="20"/>
  <c r="U238" i="20"/>
  <c r="AG238" i="20"/>
  <c r="AF238" i="20"/>
  <c r="S238" i="20"/>
  <c r="R238" i="20"/>
  <c r="Q238" i="20"/>
  <c r="AI238" i="20"/>
  <c r="AH238" i="20"/>
  <c r="AE238" i="20"/>
  <c r="AD238" i="20"/>
  <c r="AC238" i="20"/>
  <c r="T238" i="20"/>
  <c r="AN237" i="20"/>
  <c r="AB237" i="20"/>
  <c r="P237" i="20"/>
  <c r="P216" i="20" s="1"/>
  <c r="AM237" i="20"/>
  <c r="AA237" i="20"/>
  <c r="AJ237" i="20"/>
  <c r="X237" i="20"/>
  <c r="AH237" i="20"/>
  <c r="S237" i="20"/>
  <c r="AG237" i="20"/>
  <c r="R237" i="20"/>
  <c r="AF237" i="20"/>
  <c r="Q237" i="20"/>
  <c r="AE237" i="20"/>
  <c r="AD237" i="20"/>
  <c r="AC237" i="20"/>
  <c r="Z237" i="20"/>
  <c r="T237" i="20"/>
  <c r="Y237" i="20"/>
  <c r="AK237" i="20"/>
  <c r="W237" i="20"/>
  <c r="V237" i="20"/>
  <c r="U237" i="20"/>
  <c r="AL237" i="20"/>
  <c r="AI237" i="20"/>
  <c r="M13" i="20"/>
  <c r="AJ269" i="42"/>
  <c r="AK270" i="42"/>
  <c r="AI268" i="42"/>
  <c r="AM272" i="42"/>
  <c r="AL271" i="42"/>
  <c r="AN273" i="42"/>
  <c r="AK229" i="42"/>
  <c r="AL230" i="42"/>
  <c r="AM231" i="42"/>
  <c r="AJ228" i="42"/>
  <c r="AI227" i="42"/>
  <c r="AN232" i="42"/>
  <c r="O370" i="42"/>
  <c r="O371" i="42" s="1"/>
  <c r="AC470" i="42"/>
  <c r="AL470" i="42"/>
  <c r="AI470" i="42"/>
  <c r="AF470" i="42"/>
  <c r="Z470" i="42"/>
  <c r="W470" i="42"/>
  <c r="T470" i="42"/>
  <c r="AN429" i="42"/>
  <c r="AB429" i="42"/>
  <c r="AM429" i="42"/>
  <c r="AA429" i="42"/>
  <c r="AL429" i="42"/>
  <c r="Z429" i="42"/>
  <c r="AK429" i="42"/>
  <c r="Y429" i="42"/>
  <c r="AC429" i="42"/>
  <c r="X429" i="42"/>
  <c r="W429" i="42"/>
  <c r="V429" i="42"/>
  <c r="U429" i="42"/>
  <c r="AJ429" i="42"/>
  <c r="T429" i="42"/>
  <c r="AI429" i="42"/>
  <c r="S429" i="42"/>
  <c r="AF429" i="42"/>
  <c r="AE429" i="42"/>
  <c r="AH429" i="42"/>
  <c r="AG429" i="42"/>
  <c r="Q429" i="42"/>
  <c r="AD429" i="42"/>
  <c r="R429" i="42"/>
  <c r="AN388" i="42"/>
  <c r="AB388" i="42"/>
  <c r="AM388" i="42"/>
  <c r="AA388" i="42"/>
  <c r="AL388" i="42"/>
  <c r="Z388" i="42"/>
  <c r="AK388" i="42"/>
  <c r="Y388" i="42"/>
  <c r="X388" i="42"/>
  <c r="W388" i="42"/>
  <c r="V388" i="42"/>
  <c r="U388" i="42"/>
  <c r="AJ388" i="42"/>
  <c r="T388" i="42"/>
  <c r="AI388" i="42"/>
  <c r="S388" i="42"/>
  <c r="AH388" i="42"/>
  <c r="R388" i="42"/>
  <c r="AF388" i="42"/>
  <c r="AE388" i="42"/>
  <c r="AD388" i="42"/>
  <c r="AG388" i="42"/>
  <c r="Q388" i="42"/>
  <c r="AC388" i="42"/>
  <c r="AL317" i="42"/>
  <c r="AI317" i="42"/>
  <c r="AF317" i="42"/>
  <c r="T317" i="42"/>
  <c r="Q317" i="42"/>
  <c r="Z317" i="42"/>
  <c r="W317" i="42"/>
  <c r="AC317" i="42"/>
  <c r="AC277" i="42"/>
  <c r="Q277" i="42"/>
  <c r="AM277" i="42"/>
  <c r="AA277" i="42"/>
  <c r="O277" i="42"/>
  <c r="AL277" i="42"/>
  <c r="Z277" i="42"/>
  <c r="AB277" i="42"/>
  <c r="X277" i="42"/>
  <c r="AN277" i="42"/>
  <c r="W277" i="42"/>
  <c r="AK277" i="42"/>
  <c r="V277" i="42"/>
  <c r="AJ277" i="42"/>
  <c r="U277" i="42"/>
  <c r="R277" i="42"/>
  <c r="P277" i="42"/>
  <c r="AI277" i="42"/>
  <c r="AH277" i="42"/>
  <c r="AG277" i="42"/>
  <c r="AF277" i="42"/>
  <c r="AE277" i="42"/>
  <c r="AD277" i="42"/>
  <c r="Y277" i="42"/>
  <c r="T277" i="42"/>
  <c r="S277" i="42"/>
  <c r="AC236" i="42"/>
  <c r="Q236" i="42"/>
  <c r="AN236" i="42"/>
  <c r="AB236" i="42"/>
  <c r="AM236" i="42"/>
  <c r="AA236" i="42"/>
  <c r="O236" i="42"/>
  <c r="AL236" i="42"/>
  <c r="Z236" i="42"/>
  <c r="AK236" i="42"/>
  <c r="U236" i="42"/>
  <c r="AJ236" i="42"/>
  <c r="T236" i="42"/>
  <c r="X236" i="42"/>
  <c r="V236" i="42"/>
  <c r="S236" i="42"/>
  <c r="AH236" i="42"/>
  <c r="W236" i="42"/>
  <c r="R236" i="42"/>
  <c r="AI236" i="42"/>
  <c r="P236" i="42"/>
  <c r="AG236" i="42"/>
  <c r="Y236" i="42"/>
  <c r="AF236" i="42"/>
  <c r="AE236" i="42"/>
  <c r="AD236" i="42"/>
  <c r="M16" i="42"/>
  <c r="AL113" i="42"/>
  <c r="AM114" i="42"/>
  <c r="AN115" i="42"/>
  <c r="V82" i="41"/>
  <c r="W82" i="41"/>
  <c r="R82" i="41"/>
  <c r="AE82" i="41"/>
  <c r="AF82" i="41"/>
  <c r="AG82" i="41"/>
  <c r="Y82" i="41"/>
  <c r="AM82" i="41"/>
  <c r="AK82" i="41"/>
  <c r="AA468" i="41"/>
  <c r="X468" i="41"/>
  <c r="U468" i="41"/>
  <c r="R468" i="41"/>
  <c r="AJ468" i="41"/>
  <c r="AM468" i="41"/>
  <c r="AG468" i="41"/>
  <c r="AD468" i="41"/>
  <c r="AC427" i="41"/>
  <c r="Q427" i="41"/>
  <c r="AM427" i="41"/>
  <c r="AA427" i="41"/>
  <c r="O427" i="41"/>
  <c r="AL427" i="41"/>
  <c r="Z427" i="41"/>
  <c r="Y427" i="41"/>
  <c r="X427" i="41"/>
  <c r="AK427" i="41"/>
  <c r="V427" i="41"/>
  <c r="AB427" i="41"/>
  <c r="U427" i="41"/>
  <c r="W427" i="41"/>
  <c r="T427" i="41"/>
  <c r="AN427" i="41"/>
  <c r="S427" i="41"/>
  <c r="AJ427" i="41"/>
  <c r="R427" i="41"/>
  <c r="P427" i="41"/>
  <c r="AG427" i="41"/>
  <c r="AF427" i="41"/>
  <c r="AI427" i="41"/>
  <c r="AH427" i="41"/>
  <c r="AE427" i="41"/>
  <c r="AD427" i="41"/>
  <c r="AC386" i="41"/>
  <c r="Q386" i="41"/>
  <c r="AM386" i="41"/>
  <c r="AA386" i="41"/>
  <c r="O386" i="41"/>
  <c r="AL386" i="41"/>
  <c r="Z386" i="41"/>
  <c r="AB386" i="41"/>
  <c r="Y386" i="41"/>
  <c r="AF386" i="41"/>
  <c r="AE386" i="41"/>
  <c r="AD386" i="41"/>
  <c r="X386" i="41"/>
  <c r="W386" i="41"/>
  <c r="T386" i="41"/>
  <c r="S386" i="41"/>
  <c r="R386" i="41"/>
  <c r="P386" i="41"/>
  <c r="AG386" i="41"/>
  <c r="V386" i="41"/>
  <c r="U386" i="41"/>
  <c r="AN386" i="41"/>
  <c r="AK386" i="41"/>
  <c r="AJ386" i="41"/>
  <c r="AI386" i="41"/>
  <c r="AH386" i="41"/>
  <c r="S82" i="41"/>
  <c r="AB82" i="41"/>
  <c r="AC82" i="41"/>
  <c r="T82" i="41"/>
  <c r="AK270" i="41"/>
  <c r="AI268" i="41"/>
  <c r="AM272" i="41"/>
  <c r="AL271" i="41"/>
  <c r="AJ269" i="41"/>
  <c r="AH82" i="41"/>
  <c r="AL82" i="41"/>
  <c r="Q82" i="41"/>
  <c r="P82" i="41"/>
  <c r="AN229" i="41"/>
  <c r="AL227" i="41"/>
  <c r="AM228" i="41"/>
  <c r="X82" i="41"/>
  <c r="U82" i="41"/>
  <c r="AN82" i="41"/>
  <c r="AA82" i="41"/>
  <c r="AJ82" i="41"/>
  <c r="AL115" i="41"/>
  <c r="AK114" i="41"/>
  <c r="AN117" i="41"/>
  <c r="AJ113" i="41"/>
  <c r="AM116" i="41"/>
  <c r="AD82" i="41"/>
  <c r="N218" i="41"/>
  <c r="AC317" i="41"/>
  <c r="Z317" i="41"/>
  <c r="W317" i="41"/>
  <c r="T317" i="41"/>
  <c r="AL317" i="41"/>
  <c r="AF317" i="41"/>
  <c r="AI317" i="41"/>
  <c r="Q317" i="41"/>
  <c r="AC277" i="41"/>
  <c r="Q277" i="41"/>
  <c r="AN277" i="41"/>
  <c r="AB277" i="41"/>
  <c r="P277" i="41"/>
  <c r="AK277" i="41"/>
  <c r="AA277" i="41"/>
  <c r="Z277" i="41"/>
  <c r="Y277" i="41"/>
  <c r="AM277" i="41"/>
  <c r="X277" i="41"/>
  <c r="W277" i="41"/>
  <c r="V277" i="41"/>
  <c r="U277" i="41"/>
  <c r="T277" i="41"/>
  <c r="AH277" i="41"/>
  <c r="AG277" i="41"/>
  <c r="AL277" i="41"/>
  <c r="S277" i="41"/>
  <c r="O277" i="41"/>
  <c r="AJ277" i="41"/>
  <c r="R277" i="41"/>
  <c r="AI277" i="41"/>
  <c r="AD277" i="41"/>
  <c r="AF277" i="41"/>
  <c r="AE277" i="41"/>
  <c r="AN236" i="41"/>
  <c r="AB236" i="41"/>
  <c r="P236" i="41"/>
  <c r="AM236" i="41"/>
  <c r="AA236" i="41"/>
  <c r="O236" i="41"/>
  <c r="AK236" i="41"/>
  <c r="Y236" i="41"/>
  <c r="W236" i="41"/>
  <c r="AL236" i="41"/>
  <c r="V236" i="41"/>
  <c r="AH236" i="41"/>
  <c r="S236" i="41"/>
  <c r="AG236" i="41"/>
  <c r="R236" i="41"/>
  <c r="AF236" i="41"/>
  <c r="Q236" i="41"/>
  <c r="AE236" i="41"/>
  <c r="AD236" i="41"/>
  <c r="T236" i="41"/>
  <c r="AJ236" i="41"/>
  <c r="U236" i="41"/>
  <c r="AI236" i="41"/>
  <c r="AC236" i="41"/>
  <c r="Z236" i="41"/>
  <c r="X236" i="41"/>
  <c r="AA165" i="41"/>
  <c r="Z164" i="41"/>
  <c r="X165" i="41"/>
  <c r="U165" i="41"/>
  <c r="R165" i="41"/>
  <c r="AL164" i="41"/>
  <c r="AI164" i="41"/>
  <c r="AF164" i="41"/>
  <c r="AC164" i="41"/>
  <c r="AM165" i="41"/>
  <c r="T164" i="41"/>
  <c r="AG165" i="41"/>
  <c r="Q164" i="41"/>
  <c r="W164" i="41"/>
  <c r="AJ165" i="41"/>
  <c r="AD165" i="41"/>
  <c r="AN163" i="41"/>
  <c r="AK163" i="41"/>
  <c r="AH163" i="41"/>
  <c r="AE163" i="41"/>
  <c r="AB163" i="41"/>
  <c r="Y163" i="41"/>
  <c r="V163" i="41"/>
  <c r="S163" i="41"/>
  <c r="P163" i="41"/>
  <c r="AE121" i="41"/>
  <c r="S121" i="41"/>
  <c r="AC121" i="41"/>
  <c r="Q121" i="41"/>
  <c r="AN121" i="41"/>
  <c r="AB121" i="41"/>
  <c r="P121" i="41"/>
  <c r="AK121" i="41"/>
  <c r="V121" i="41"/>
  <c r="T121" i="41"/>
  <c r="AJ121" i="41"/>
  <c r="U121" i="41"/>
  <c r="AI121" i="41"/>
  <c r="AF121" i="41"/>
  <c r="Y121" i="41"/>
  <c r="X121" i="41"/>
  <c r="W121" i="41"/>
  <c r="R121" i="41"/>
  <c r="AD121" i="41"/>
  <c r="AA121" i="41"/>
  <c r="Z121" i="41"/>
  <c r="AG121" i="41"/>
  <c r="O121" i="41"/>
  <c r="N121" i="41"/>
  <c r="AM121" i="41"/>
  <c r="AL121" i="41"/>
  <c r="AH121" i="41"/>
  <c r="AC122" i="41"/>
  <c r="Q122" i="41"/>
  <c r="AM122" i="41"/>
  <c r="AA122" i="41"/>
  <c r="O122" i="41"/>
  <c r="AL122" i="41"/>
  <c r="Z122" i="41"/>
  <c r="AB122" i="41"/>
  <c r="X122" i="41"/>
  <c r="Y122" i="41"/>
  <c r="AD122" i="41"/>
  <c r="U122" i="41"/>
  <c r="AN122" i="41"/>
  <c r="T122" i="41"/>
  <c r="AK122" i="41"/>
  <c r="S122" i="41"/>
  <c r="AJ122" i="41"/>
  <c r="R122" i="41"/>
  <c r="AI122" i="41"/>
  <c r="P122" i="41"/>
  <c r="W122" i="41"/>
  <c r="V122" i="41"/>
  <c r="AH122" i="41"/>
  <c r="AG122" i="41"/>
  <c r="AF122" i="41"/>
  <c r="AE122" i="41"/>
  <c r="AE80" i="41"/>
  <c r="S80" i="41"/>
  <c r="AC80" i="41"/>
  <c r="Q80" i="41"/>
  <c r="AN80" i="41"/>
  <c r="AB80" i="41"/>
  <c r="P80" i="41"/>
  <c r="Y80" i="41"/>
  <c r="AL80" i="41"/>
  <c r="AM80" i="41"/>
  <c r="X80" i="41"/>
  <c r="W80" i="41"/>
  <c r="AD80" i="41"/>
  <c r="Z80" i="41"/>
  <c r="V80" i="41"/>
  <c r="U80" i="41"/>
  <c r="T80" i="41"/>
  <c r="AK80" i="41"/>
  <c r="R80" i="41"/>
  <c r="AA80" i="41"/>
  <c r="AI80" i="41"/>
  <c r="N80" i="41"/>
  <c r="AJ80" i="41"/>
  <c r="AH80" i="41"/>
  <c r="AG80" i="41"/>
  <c r="AF80" i="41"/>
  <c r="O80" i="41"/>
  <c r="AC81" i="41"/>
  <c r="Q81" i="41"/>
  <c r="AM81" i="41"/>
  <c r="AA81" i="41"/>
  <c r="O81" i="41"/>
  <c r="AL81" i="41"/>
  <c r="Z81" i="41"/>
  <c r="AF81" i="41"/>
  <c r="P81" i="41"/>
  <c r="AD81" i="41"/>
  <c r="AE81" i="41"/>
  <c r="W81" i="41"/>
  <c r="V81" i="41"/>
  <c r="U81" i="41"/>
  <c r="AN81" i="41"/>
  <c r="T81" i="41"/>
  <c r="AK81" i="41"/>
  <c r="S81" i="41"/>
  <c r="AJ81" i="41"/>
  <c r="AI81" i="41"/>
  <c r="R81" i="41"/>
  <c r="AH81" i="41"/>
  <c r="AG81" i="41"/>
  <c r="AB81" i="41"/>
  <c r="Y81" i="41"/>
  <c r="X81" i="41"/>
  <c r="P40" i="16"/>
  <c r="O42" i="16"/>
  <c r="P206" i="22"/>
  <c r="E7" i="45"/>
  <c r="F7" i="45"/>
  <c r="AJ225" i="19"/>
  <c r="L18" i="19"/>
  <c r="AB45" i="16"/>
  <c r="N220" i="20"/>
  <c r="N221" i="20" s="1"/>
  <c r="G5" i="45"/>
  <c r="N217" i="42"/>
  <c r="R365" i="42"/>
  <c r="R471" i="42" s="1"/>
  <c r="R363" i="42"/>
  <c r="R364" i="42"/>
  <c r="S47" i="42"/>
  <c r="S49" i="42" s="1"/>
  <c r="S50" i="42" s="1"/>
  <c r="S52" i="42" s="1"/>
  <c r="Q84" i="42"/>
  <c r="Q64" i="42"/>
  <c r="P366" i="42"/>
  <c r="S354" i="42"/>
  <c r="S355" i="42" s="1"/>
  <c r="Q167" i="42"/>
  <c r="T45" i="42"/>
  <c r="T350" i="42"/>
  <c r="T352" i="42" s="1"/>
  <c r="Q51" i="42"/>
  <c r="Q125" i="42"/>
  <c r="P83" i="42"/>
  <c r="P64" i="42"/>
  <c r="R60" i="42"/>
  <c r="R58" i="42"/>
  <c r="R59" i="42"/>
  <c r="P367" i="42"/>
  <c r="P51" i="42"/>
  <c r="P124" i="42"/>
  <c r="N216" i="42"/>
  <c r="P166" i="42"/>
  <c r="Q356" i="42"/>
  <c r="Q430" i="42"/>
  <c r="Q368" i="42"/>
  <c r="Q389" i="42"/>
  <c r="Q369" i="42"/>
  <c r="K18" i="41"/>
  <c r="P363" i="41"/>
  <c r="P364" i="41"/>
  <c r="P365" i="41"/>
  <c r="P469" i="41" s="1"/>
  <c r="N23" i="41"/>
  <c r="O368" i="41"/>
  <c r="O356" i="41"/>
  <c r="O428" i="41"/>
  <c r="O387" i="41"/>
  <c r="O369" i="41"/>
  <c r="Q364" i="41"/>
  <c r="Q363" i="41"/>
  <c r="Q365" i="41"/>
  <c r="Q470" i="41" s="1"/>
  <c r="Q47" i="41"/>
  <c r="Q49" i="41" s="1"/>
  <c r="Q50" i="41" s="1"/>
  <c r="Q52" i="41" s="1"/>
  <c r="R350" i="41"/>
  <c r="R352" i="41" s="1"/>
  <c r="R45" i="41"/>
  <c r="M23" i="41"/>
  <c r="M63" i="41"/>
  <c r="R200" i="41"/>
  <c r="R202" i="41" s="1"/>
  <c r="N63" i="41"/>
  <c r="P49" i="41"/>
  <c r="P50" i="41" s="1"/>
  <c r="U20" i="41"/>
  <c r="P217" i="23"/>
  <c r="P216" i="22"/>
  <c r="N65" i="22"/>
  <c r="N66" i="22" s="1"/>
  <c r="P319" i="22"/>
  <c r="P219" i="22"/>
  <c r="P59" i="22"/>
  <c r="P60" i="22"/>
  <c r="P58" i="22"/>
  <c r="P9" i="22" s="1"/>
  <c r="P21" i="22" s="1"/>
  <c r="P52" i="22"/>
  <c r="Q60" i="22"/>
  <c r="Q58" i="22"/>
  <c r="Q9" i="22" s="1"/>
  <c r="Q21" i="22" s="1"/>
  <c r="Q59" i="22"/>
  <c r="S45" i="22"/>
  <c r="S350" i="22"/>
  <c r="S352" i="22" s="1"/>
  <c r="S354" i="22" s="1"/>
  <c r="S355" i="22" s="1"/>
  <c r="S200" i="22"/>
  <c r="S202" i="22" s="1"/>
  <c r="S204" i="22" s="1"/>
  <c r="S205" i="22" s="1"/>
  <c r="R47" i="22"/>
  <c r="L18" i="22"/>
  <c r="M65" i="22"/>
  <c r="M66" i="22" s="1"/>
  <c r="M220" i="22"/>
  <c r="M221" i="22" s="1"/>
  <c r="Q389" i="22"/>
  <c r="Q369" i="22"/>
  <c r="O367" i="22"/>
  <c r="P217" i="22"/>
  <c r="Q356" i="22"/>
  <c r="Q430" i="22"/>
  <c r="N220" i="22"/>
  <c r="N221" i="22" s="1"/>
  <c r="R364" i="22"/>
  <c r="R363" i="22"/>
  <c r="R365" i="22"/>
  <c r="R471" i="22" s="1"/>
  <c r="Q368" i="22"/>
  <c r="O366" i="22"/>
  <c r="Q366" i="19"/>
  <c r="Q365" i="19"/>
  <c r="P51" i="19"/>
  <c r="P124" i="19"/>
  <c r="O61" i="19"/>
  <c r="R367" i="19"/>
  <c r="R355" i="19"/>
  <c r="R430" i="19"/>
  <c r="Q58" i="19"/>
  <c r="Q59" i="19"/>
  <c r="Q60" i="19"/>
  <c r="Q167" i="19" s="1"/>
  <c r="Q52" i="19"/>
  <c r="O62" i="19"/>
  <c r="S47" i="19"/>
  <c r="S49" i="19" s="1"/>
  <c r="S50" i="19" s="1"/>
  <c r="S52" i="19" s="1"/>
  <c r="R49" i="19"/>
  <c r="R50" i="19" s="1"/>
  <c r="S362" i="19"/>
  <c r="S363" i="19"/>
  <c r="S364" i="19"/>
  <c r="S471" i="19" s="1"/>
  <c r="T349" i="19"/>
  <c r="T351" i="19" s="1"/>
  <c r="T353" i="19" s="1"/>
  <c r="T354" i="19" s="1"/>
  <c r="T45" i="19"/>
  <c r="P64" i="19"/>
  <c r="P83" i="19"/>
  <c r="R368" i="19"/>
  <c r="R389" i="19"/>
  <c r="P63" i="19"/>
  <c r="N216" i="19"/>
  <c r="N12" i="19" s="1"/>
  <c r="AK75" i="20"/>
  <c r="AJ74" i="20"/>
  <c r="AL76" i="20"/>
  <c r="AH72" i="20"/>
  <c r="AI73" i="20"/>
  <c r="AM77" i="20"/>
  <c r="AN78" i="20"/>
  <c r="O65" i="20"/>
  <c r="O66" i="20" s="1"/>
  <c r="O216" i="20"/>
  <c r="O12" i="20" s="1"/>
  <c r="O217" i="20"/>
  <c r="S47" i="20"/>
  <c r="S49" i="20" s="1"/>
  <c r="S50" i="20" s="1"/>
  <c r="S52" i="20" s="1"/>
  <c r="S354" i="20"/>
  <c r="S355" i="20" s="1"/>
  <c r="T45" i="20"/>
  <c r="T350" i="20"/>
  <c r="T352" i="20" s="1"/>
  <c r="AK166" i="20"/>
  <c r="AH166" i="20"/>
  <c r="V166" i="20"/>
  <c r="AE166" i="20"/>
  <c r="AB166" i="20"/>
  <c r="Y166" i="20"/>
  <c r="AN166" i="20"/>
  <c r="S166" i="20"/>
  <c r="P63" i="20"/>
  <c r="P64" i="20"/>
  <c r="P83" i="20"/>
  <c r="P61" i="20" s="1"/>
  <c r="T167" i="20"/>
  <c r="AF167" i="20"/>
  <c r="Z167" i="20"/>
  <c r="AC167" i="20"/>
  <c r="AL167" i="20"/>
  <c r="AI167" i="20"/>
  <c r="W167" i="20"/>
  <c r="R60" i="20"/>
  <c r="R168" i="20" s="1"/>
  <c r="R59" i="20"/>
  <c r="R58" i="20"/>
  <c r="P51" i="20"/>
  <c r="P124" i="20"/>
  <c r="P62" i="20" s="1"/>
  <c r="Q64" i="20"/>
  <c r="Q84" i="20"/>
  <c r="Q125" i="20"/>
  <c r="Q51" i="20"/>
  <c r="R431" i="20"/>
  <c r="R356" i="20"/>
  <c r="R368" i="20"/>
  <c r="Q430" i="20"/>
  <c r="Q356" i="20"/>
  <c r="R390" i="20"/>
  <c r="R369" i="20"/>
  <c r="Q369" i="20"/>
  <c r="Q389" i="20"/>
  <c r="Q368" i="20"/>
  <c r="O318" i="42"/>
  <c r="M220" i="42"/>
  <c r="M221" i="42" s="1"/>
  <c r="P214" i="42"/>
  <c r="P215" i="42"/>
  <c r="P213" i="42"/>
  <c r="P9" i="42" s="1"/>
  <c r="P21" i="42" s="1"/>
  <c r="P207" i="42"/>
  <c r="S200" i="42"/>
  <c r="O237" i="42"/>
  <c r="O219" i="42"/>
  <c r="O206" i="42"/>
  <c r="O278" i="42"/>
  <c r="N218" i="42"/>
  <c r="R202" i="42"/>
  <c r="Q204" i="42"/>
  <c r="Q205" i="42" s="1"/>
  <c r="P215" i="41"/>
  <c r="P214" i="41"/>
  <c r="P213" i="41"/>
  <c r="P238" i="41" s="1"/>
  <c r="P207" i="41"/>
  <c r="Q204" i="41"/>
  <c r="Q205" i="41" s="1"/>
  <c r="AN48" i="41"/>
  <c r="O318" i="41"/>
  <c r="O219" i="41"/>
  <c r="O237" i="41"/>
  <c r="AJ111" i="41"/>
  <c r="O206" i="41"/>
  <c r="O278" i="41"/>
  <c r="R213" i="23"/>
  <c r="R9" i="23" s="1"/>
  <c r="R21" i="23" s="1"/>
  <c r="R215" i="23"/>
  <c r="R214" i="23"/>
  <c r="R207" i="23"/>
  <c r="S204" i="23"/>
  <c r="S205" i="23" s="1"/>
  <c r="AJ111" i="23"/>
  <c r="Q206" i="23"/>
  <c r="Q280" i="23"/>
  <c r="Q239" i="23"/>
  <c r="Q219" i="23"/>
  <c r="Q320" i="23"/>
  <c r="T202" i="23"/>
  <c r="U200" i="23"/>
  <c r="R215" i="22"/>
  <c r="R214" i="22"/>
  <c r="R213" i="22"/>
  <c r="R207" i="22"/>
  <c r="Q239" i="22"/>
  <c r="AL48" i="22"/>
  <c r="AM111" i="22"/>
  <c r="AN113" i="22" s="1"/>
  <c r="P214" i="19"/>
  <c r="P213" i="19"/>
  <c r="P9" i="19" s="1"/>
  <c r="P21" i="19" s="1"/>
  <c r="P215" i="19"/>
  <c r="P207" i="19"/>
  <c r="N217" i="19"/>
  <c r="S200" i="19"/>
  <c r="O237" i="19"/>
  <c r="O219" i="19"/>
  <c r="O278" i="19"/>
  <c r="O206" i="19"/>
  <c r="AI268" i="19"/>
  <c r="O318" i="19"/>
  <c r="Q204" i="19"/>
  <c r="Q205" i="19" s="1"/>
  <c r="R202" i="19"/>
  <c r="N218" i="19"/>
  <c r="R204" i="20"/>
  <c r="R205" i="20" s="1"/>
  <c r="AN116" i="20"/>
  <c r="AK113" i="20"/>
  <c r="AM115" i="20"/>
  <c r="AL114" i="20"/>
  <c r="T200" i="20"/>
  <c r="S202" i="20"/>
  <c r="P219" i="20"/>
  <c r="P279" i="20"/>
  <c r="P206" i="20"/>
  <c r="P319" i="20"/>
  <c r="Q215" i="20"/>
  <c r="Q214" i="20"/>
  <c r="Q213" i="20"/>
  <c r="Q9" i="20" s="1"/>
  <c r="Q21" i="20" s="1"/>
  <c r="Q207" i="20"/>
  <c r="AD74" i="73"/>
  <c r="G7" i="45" l="1"/>
  <c r="AI127" i="23"/>
  <c r="Z127" i="23"/>
  <c r="T127" i="23"/>
  <c r="AF127" i="23"/>
  <c r="V127" i="23"/>
  <c r="X127" i="23"/>
  <c r="AN127" i="23"/>
  <c r="Y127" i="23"/>
  <c r="AE127" i="23"/>
  <c r="AH127" i="23"/>
  <c r="W127" i="23"/>
  <c r="AL127" i="23"/>
  <c r="AC127" i="23"/>
  <c r="AM127" i="23"/>
  <c r="AG127" i="23"/>
  <c r="Q206" i="22"/>
  <c r="U127" i="23"/>
  <c r="AD127" i="23"/>
  <c r="X209" i="42"/>
  <c r="X210" i="42" s="1"/>
  <c r="AJ127" i="23"/>
  <c r="AA127" i="23"/>
  <c r="AK127" i="23"/>
  <c r="N11" i="19"/>
  <c r="P10" i="19"/>
  <c r="P23" i="19" s="1"/>
  <c r="X432" i="23"/>
  <c r="AG432" i="23"/>
  <c r="AA432" i="23"/>
  <c r="AM432" i="23"/>
  <c r="AD432" i="23"/>
  <c r="AC432" i="23"/>
  <c r="AI432" i="23"/>
  <c r="T432" i="23"/>
  <c r="AF432" i="23"/>
  <c r="V432" i="23"/>
  <c r="AH432" i="23"/>
  <c r="T59" i="32"/>
  <c r="Q219" i="22"/>
  <c r="P10" i="22"/>
  <c r="AN432" i="23"/>
  <c r="Z432" i="23"/>
  <c r="AE432" i="23"/>
  <c r="AJ432" i="23"/>
  <c r="U432" i="23"/>
  <c r="AK432" i="23"/>
  <c r="W432" i="23"/>
  <c r="AL432" i="23"/>
  <c r="AB432" i="23"/>
  <c r="R10" i="23"/>
  <c r="R23" i="23" s="1"/>
  <c r="Q10" i="20"/>
  <c r="Q23" i="20" s="1"/>
  <c r="V59" i="52"/>
  <c r="V59" i="32" s="1"/>
  <c r="Q10" i="22"/>
  <c r="N25" i="22"/>
  <c r="N25" i="20"/>
  <c r="M25" i="19"/>
  <c r="R366" i="23"/>
  <c r="Q65" i="23"/>
  <c r="Q66" i="23" s="1"/>
  <c r="I8" i="45"/>
  <c r="R61" i="23"/>
  <c r="O25" i="23"/>
  <c r="Q370" i="23"/>
  <c r="Q371" i="23" s="1"/>
  <c r="S63" i="23"/>
  <c r="AB169" i="23"/>
  <c r="S85" i="23"/>
  <c r="S61" i="23" s="1"/>
  <c r="X85" i="23"/>
  <c r="Z85" i="23"/>
  <c r="AL85" i="23"/>
  <c r="Y85" i="23"/>
  <c r="AG85" i="23"/>
  <c r="AK85" i="23"/>
  <c r="AF85" i="23"/>
  <c r="AJ85" i="23"/>
  <c r="AI85" i="23"/>
  <c r="AE85" i="23"/>
  <c r="AH85" i="23"/>
  <c r="AD85" i="23"/>
  <c r="W85" i="23"/>
  <c r="AM85" i="23"/>
  <c r="V85" i="23"/>
  <c r="AA85" i="23"/>
  <c r="U85" i="23"/>
  <c r="AC85" i="23"/>
  <c r="AN85" i="23"/>
  <c r="AB85" i="23"/>
  <c r="T85" i="23"/>
  <c r="W473" i="23"/>
  <c r="T368" i="23"/>
  <c r="AC473" i="23"/>
  <c r="Z473" i="23"/>
  <c r="AL473" i="23"/>
  <c r="AI473" i="23"/>
  <c r="AF473" i="23"/>
  <c r="AM431" i="23"/>
  <c r="AK431" i="23"/>
  <c r="AC431" i="23"/>
  <c r="AG431" i="23"/>
  <c r="AN431" i="23"/>
  <c r="AF431" i="23"/>
  <c r="AB431" i="23"/>
  <c r="AA431" i="23"/>
  <c r="AD431" i="23"/>
  <c r="U431" i="23"/>
  <c r="Z431" i="23"/>
  <c r="T431" i="23"/>
  <c r="Y431" i="23"/>
  <c r="AJ431" i="23"/>
  <c r="X431" i="23"/>
  <c r="AI431" i="23"/>
  <c r="AL431" i="23"/>
  <c r="W431" i="23"/>
  <c r="AE431" i="23"/>
  <c r="AH431" i="23"/>
  <c r="S431" i="23"/>
  <c r="S367" i="23" s="1"/>
  <c r="V431" i="23"/>
  <c r="T433" i="23"/>
  <c r="T356" i="23"/>
  <c r="U364" i="23"/>
  <c r="U363" i="23"/>
  <c r="U365" i="23"/>
  <c r="U474" i="23" s="1"/>
  <c r="AH169" i="23"/>
  <c r="AK169" i="23"/>
  <c r="AN169" i="23"/>
  <c r="R367" i="23"/>
  <c r="T60" i="23"/>
  <c r="T170" i="23" s="1"/>
  <c r="Z170" i="23" s="1"/>
  <c r="T59" i="23"/>
  <c r="T58" i="23"/>
  <c r="W126" i="23"/>
  <c r="AB126" i="23"/>
  <c r="U126" i="23"/>
  <c r="AA126" i="23"/>
  <c r="AL126" i="23"/>
  <c r="AI126" i="23"/>
  <c r="AK126" i="23"/>
  <c r="AH126" i="23"/>
  <c r="Y126" i="23"/>
  <c r="AG126" i="23"/>
  <c r="X126" i="23"/>
  <c r="AF126" i="23"/>
  <c r="AE126" i="23"/>
  <c r="T126" i="23"/>
  <c r="S126" i="23"/>
  <c r="S62" i="23" s="1"/>
  <c r="AJ126" i="23"/>
  <c r="AC126" i="23"/>
  <c r="AD126" i="23"/>
  <c r="AM126" i="23"/>
  <c r="Z126" i="23"/>
  <c r="AN126" i="23"/>
  <c r="V126" i="23"/>
  <c r="AJ390" i="23"/>
  <c r="AG390" i="23"/>
  <c r="AM390" i="23"/>
  <c r="Z390" i="23"/>
  <c r="Y390" i="23"/>
  <c r="U390" i="23"/>
  <c r="AL390" i="23"/>
  <c r="T390" i="23"/>
  <c r="X390" i="23"/>
  <c r="AN390" i="23"/>
  <c r="AK390" i="23"/>
  <c r="AI390" i="23"/>
  <c r="W390" i="23"/>
  <c r="AH390" i="23"/>
  <c r="V390" i="23"/>
  <c r="AF390" i="23"/>
  <c r="AE390" i="23"/>
  <c r="AC390" i="23"/>
  <c r="S390" i="23"/>
  <c r="S366" i="23" s="1"/>
  <c r="AB390" i="23"/>
  <c r="AD390" i="23"/>
  <c r="AA390" i="23"/>
  <c r="T392" i="23"/>
  <c r="T369" i="23"/>
  <c r="Y169" i="23"/>
  <c r="V169" i="23"/>
  <c r="V45" i="23"/>
  <c r="V47" i="23" s="1"/>
  <c r="V49" i="23" s="1"/>
  <c r="V50" i="23" s="1"/>
  <c r="V350" i="23"/>
  <c r="V352" i="23" s="1"/>
  <c r="R62" i="23"/>
  <c r="P10" i="42"/>
  <c r="P23" i="42" s="1"/>
  <c r="O12" i="22"/>
  <c r="O16" i="22" s="1"/>
  <c r="O11" i="20"/>
  <c r="O18" i="20" s="1"/>
  <c r="L12" i="61"/>
  <c r="J8" i="68" s="1"/>
  <c r="M25" i="42"/>
  <c r="P11" i="23"/>
  <c r="P18" i="23" s="1"/>
  <c r="P370" i="20"/>
  <c r="P371" i="20" s="1"/>
  <c r="N11" i="42"/>
  <c r="N18" i="42" s="1"/>
  <c r="L71" i="61"/>
  <c r="O11" i="22"/>
  <c r="O18" i="22" s="1"/>
  <c r="O65" i="22"/>
  <c r="O66" i="22" s="1"/>
  <c r="L23" i="61"/>
  <c r="L29" i="61" s="1"/>
  <c r="P12" i="20"/>
  <c r="P16" i="20" s="1"/>
  <c r="P12" i="23"/>
  <c r="P16" i="23" s="1"/>
  <c r="L12" i="63"/>
  <c r="L23" i="63"/>
  <c r="L43" i="61"/>
  <c r="AS59" i="66"/>
  <c r="AR59" i="66"/>
  <c r="W59" i="51"/>
  <c r="V71" i="51"/>
  <c r="G11" i="45"/>
  <c r="F11" i="45"/>
  <c r="O13" i="23"/>
  <c r="AN271" i="23"/>
  <c r="AM270" i="23"/>
  <c r="AL269" i="23"/>
  <c r="AK268" i="23"/>
  <c r="AK228" i="23"/>
  <c r="AL229" i="23"/>
  <c r="AM230" i="23"/>
  <c r="AN231" i="23"/>
  <c r="AJ227" i="23"/>
  <c r="P220" i="23"/>
  <c r="P221" i="23" s="1"/>
  <c r="AL320" i="23"/>
  <c r="AI320" i="23"/>
  <c r="AF320" i="23"/>
  <c r="AC320" i="23"/>
  <c r="Z320" i="23"/>
  <c r="T320" i="23"/>
  <c r="W320" i="23"/>
  <c r="AC280" i="23"/>
  <c r="AN280" i="23"/>
  <c r="AB280" i="23"/>
  <c r="AM280" i="23"/>
  <c r="AA280" i="23"/>
  <c r="AL280" i="23"/>
  <c r="Z280" i="23"/>
  <c r="AK280" i="23"/>
  <c r="U280" i="23"/>
  <c r="AJ280" i="23"/>
  <c r="T280" i="23"/>
  <c r="AI280" i="23"/>
  <c r="S280" i="23"/>
  <c r="AE280" i="23"/>
  <c r="AD280" i="23"/>
  <c r="Y280" i="23"/>
  <c r="X280" i="23"/>
  <c r="W280" i="23"/>
  <c r="V280" i="23"/>
  <c r="R280" i="23"/>
  <c r="AF280" i="23"/>
  <c r="AH280" i="23"/>
  <c r="AG280" i="23"/>
  <c r="Q216" i="23"/>
  <c r="AC239" i="23"/>
  <c r="AN239" i="23"/>
  <c r="AB239" i="23"/>
  <c r="AM239" i="23"/>
  <c r="AA239" i="23"/>
  <c r="AL239" i="23"/>
  <c r="Z239" i="23"/>
  <c r="AH239" i="23"/>
  <c r="R239" i="23"/>
  <c r="AF239" i="23"/>
  <c r="AD239" i="23"/>
  <c r="AG239" i="23"/>
  <c r="AE239" i="23"/>
  <c r="T239" i="23"/>
  <c r="S239" i="23"/>
  <c r="U239" i="23"/>
  <c r="AK239" i="23"/>
  <c r="AJ239" i="23"/>
  <c r="AI239" i="23"/>
  <c r="Y239" i="23"/>
  <c r="X239" i="23"/>
  <c r="W239" i="23"/>
  <c r="V239" i="23"/>
  <c r="Q217" i="23"/>
  <c r="AL114" i="23"/>
  <c r="AK113" i="23"/>
  <c r="AM115" i="23"/>
  <c r="AN116" i="23"/>
  <c r="R368" i="22"/>
  <c r="AG471" i="22"/>
  <c r="AD471" i="22"/>
  <c r="AA471" i="22"/>
  <c r="X471" i="22"/>
  <c r="U471" i="22"/>
  <c r="AJ471" i="22"/>
  <c r="AM471" i="22"/>
  <c r="AC430" i="22"/>
  <c r="AN430" i="22"/>
  <c r="AB430" i="22"/>
  <c r="AM430" i="22"/>
  <c r="AA430" i="22"/>
  <c r="AL430" i="22"/>
  <c r="Z430" i="22"/>
  <c r="AK430" i="22"/>
  <c r="U430" i="22"/>
  <c r="AJ430" i="22"/>
  <c r="T430" i="22"/>
  <c r="AI430" i="22"/>
  <c r="S430" i="22"/>
  <c r="AH430" i="22"/>
  <c r="R430" i="22"/>
  <c r="AG430" i="22"/>
  <c r="AF430" i="22"/>
  <c r="AE430" i="22"/>
  <c r="Y430" i="22"/>
  <c r="V430" i="22"/>
  <c r="X430" i="22"/>
  <c r="W430" i="22"/>
  <c r="AD430" i="22"/>
  <c r="P370" i="22"/>
  <c r="P371" i="22" s="1"/>
  <c r="AC389" i="22"/>
  <c r="AM389" i="22"/>
  <c r="AA389" i="22"/>
  <c r="AL389" i="22"/>
  <c r="Z389" i="22"/>
  <c r="AI389" i="22"/>
  <c r="T389" i="22"/>
  <c r="AG389" i="22"/>
  <c r="R389" i="22"/>
  <c r="AH389" i="22"/>
  <c r="S389" i="22"/>
  <c r="AF389" i="22"/>
  <c r="AE389" i="22"/>
  <c r="AJ389" i="22"/>
  <c r="AB389" i="22"/>
  <c r="AD389" i="22"/>
  <c r="Y389" i="22"/>
  <c r="X389" i="22"/>
  <c r="W389" i="22"/>
  <c r="V389" i="22"/>
  <c r="U389" i="22"/>
  <c r="AN389" i="22"/>
  <c r="AK389" i="22"/>
  <c r="AM230" i="22"/>
  <c r="AK228" i="22"/>
  <c r="AJ227" i="22"/>
  <c r="AL229" i="22"/>
  <c r="AN231" i="22"/>
  <c r="AK269" i="22"/>
  <c r="AL270" i="22"/>
  <c r="AN272" i="22"/>
  <c r="AM271" i="22"/>
  <c r="AL320" i="22"/>
  <c r="AI320" i="22"/>
  <c r="AF320" i="22"/>
  <c r="AC320" i="22"/>
  <c r="Z320" i="22"/>
  <c r="W320" i="22"/>
  <c r="T320" i="22"/>
  <c r="AN319" i="22"/>
  <c r="AK319" i="22"/>
  <c r="AH319" i="22"/>
  <c r="AE319" i="22"/>
  <c r="AB319" i="22"/>
  <c r="Y319" i="22"/>
  <c r="V319" i="22"/>
  <c r="S319" i="22"/>
  <c r="AC280" i="22"/>
  <c r="AM280" i="22"/>
  <c r="AA280" i="22"/>
  <c r="AN280" i="22"/>
  <c r="AB280" i="22"/>
  <c r="AJ280" i="22"/>
  <c r="U280" i="22"/>
  <c r="AH280" i="22"/>
  <c r="AG280" i="22"/>
  <c r="R280" i="22"/>
  <c r="AF280" i="22"/>
  <c r="AE280" i="22"/>
  <c r="AI280" i="22"/>
  <c r="T280" i="22"/>
  <c r="S280" i="22"/>
  <c r="AK280" i="22"/>
  <c r="Y280" i="22"/>
  <c r="X280" i="22"/>
  <c r="W280" i="22"/>
  <c r="V280" i="22"/>
  <c r="AL280" i="22"/>
  <c r="AD280" i="22"/>
  <c r="Z280" i="22"/>
  <c r="AN239" i="22"/>
  <c r="AB239" i="22"/>
  <c r="AL239" i="22"/>
  <c r="Z239" i="22"/>
  <c r="AK239" i="22"/>
  <c r="Y239" i="22"/>
  <c r="AI239" i="22"/>
  <c r="T239" i="22"/>
  <c r="AH239" i="22"/>
  <c r="S239" i="22"/>
  <c r="AG239" i="22"/>
  <c r="R239" i="22"/>
  <c r="AF239" i="22"/>
  <c r="AE239" i="22"/>
  <c r="AD239" i="22"/>
  <c r="AC239" i="22"/>
  <c r="W239" i="22"/>
  <c r="AM239" i="22"/>
  <c r="AJ239" i="22"/>
  <c r="AA239" i="22"/>
  <c r="X239" i="22"/>
  <c r="V239" i="22"/>
  <c r="U239" i="22"/>
  <c r="P218" i="22"/>
  <c r="P220" i="22" s="1"/>
  <c r="P221" i="22" s="1"/>
  <c r="AJ268" i="22"/>
  <c r="AN471" i="19"/>
  <c r="AK471" i="19"/>
  <c r="AH471" i="19"/>
  <c r="AE471" i="19"/>
  <c r="AB471" i="19"/>
  <c r="Y471" i="19"/>
  <c r="V471" i="19"/>
  <c r="AE430" i="19"/>
  <c r="S430" i="19"/>
  <c r="AC430" i="19"/>
  <c r="AD430" i="19"/>
  <c r="AB430" i="19"/>
  <c r="AA430" i="19"/>
  <c r="Z430" i="19"/>
  <c r="AN430" i="19"/>
  <c r="Y430" i="19"/>
  <c r="AK430" i="19"/>
  <c r="AJ430" i="19"/>
  <c r="AI430" i="19"/>
  <c r="AH430" i="19"/>
  <c r="AG430" i="19"/>
  <c r="AF430" i="19"/>
  <c r="X430" i="19"/>
  <c r="W430" i="19"/>
  <c r="V430" i="19"/>
  <c r="U430" i="19"/>
  <c r="AM430" i="19"/>
  <c r="T430" i="19"/>
  <c r="AL430" i="19"/>
  <c r="AE389" i="19"/>
  <c r="S389" i="19"/>
  <c r="AD389" i="19"/>
  <c r="AC389" i="19"/>
  <c r="AN389" i="19"/>
  <c r="AB389" i="19"/>
  <c r="AM389" i="19"/>
  <c r="AA389" i="19"/>
  <c r="AL389" i="19"/>
  <c r="Z389" i="19"/>
  <c r="AK389" i="19"/>
  <c r="Y389" i="19"/>
  <c r="AI389" i="19"/>
  <c r="AH389" i="19"/>
  <c r="AG389" i="19"/>
  <c r="AF389" i="19"/>
  <c r="X389" i="19"/>
  <c r="W389" i="19"/>
  <c r="V389" i="19"/>
  <c r="U389" i="19"/>
  <c r="T389" i="19"/>
  <c r="AJ389" i="19"/>
  <c r="M13" i="19"/>
  <c r="AK269" i="19"/>
  <c r="AM271" i="19"/>
  <c r="AL270" i="19"/>
  <c r="AN272" i="19"/>
  <c r="AL228" i="19"/>
  <c r="AM229" i="19"/>
  <c r="AN230" i="19"/>
  <c r="AK227" i="19"/>
  <c r="O218" i="19"/>
  <c r="AA318" i="19"/>
  <c r="X318" i="19"/>
  <c r="U318" i="19"/>
  <c r="R318" i="19"/>
  <c r="AD318" i="19"/>
  <c r="AG318" i="19"/>
  <c r="AM318" i="19"/>
  <c r="AJ318" i="19"/>
  <c r="AN278" i="19"/>
  <c r="AB278" i="19"/>
  <c r="P278" i="19"/>
  <c r="AL278" i="19"/>
  <c r="Z278" i="19"/>
  <c r="AK278" i="19"/>
  <c r="Y278" i="19"/>
  <c r="AH278" i="19"/>
  <c r="S278" i="19"/>
  <c r="AG278" i="19"/>
  <c r="R278" i="19"/>
  <c r="AF278" i="19"/>
  <c r="Q278" i="19"/>
  <c r="AE278" i="19"/>
  <c r="AD278" i="19"/>
  <c r="AC278" i="19"/>
  <c r="AA278" i="19"/>
  <c r="W278" i="19"/>
  <c r="V278" i="19"/>
  <c r="U278" i="19"/>
  <c r="T278" i="19"/>
  <c r="AM278" i="19"/>
  <c r="AJ278" i="19"/>
  <c r="AI278" i="19"/>
  <c r="X278" i="19"/>
  <c r="AL237" i="19"/>
  <c r="Z237" i="19"/>
  <c r="AK237" i="19"/>
  <c r="Y237" i="19"/>
  <c r="AJ237" i="19"/>
  <c r="V237" i="19"/>
  <c r="AI237" i="19"/>
  <c r="U237" i="19"/>
  <c r="AB237" i="19"/>
  <c r="X237" i="19"/>
  <c r="W237" i="19"/>
  <c r="AN237" i="19"/>
  <c r="T237" i="19"/>
  <c r="AA237" i="19"/>
  <c r="AH237" i="19"/>
  <c r="AG237" i="19"/>
  <c r="P237" i="19"/>
  <c r="AF237" i="19"/>
  <c r="AE237" i="19"/>
  <c r="AD237" i="19"/>
  <c r="AC237" i="19"/>
  <c r="S237" i="19"/>
  <c r="R237" i="19"/>
  <c r="Q237" i="19"/>
  <c r="AM237" i="19"/>
  <c r="AM115" i="19"/>
  <c r="AN116" i="19"/>
  <c r="AL114" i="19"/>
  <c r="AK113" i="19"/>
  <c r="AI167" i="19"/>
  <c r="AC167" i="19"/>
  <c r="AF167" i="19"/>
  <c r="T167" i="19"/>
  <c r="AL167" i="19"/>
  <c r="Z167" i="19"/>
  <c r="W167" i="19"/>
  <c r="AM124" i="19"/>
  <c r="AA124" i="19"/>
  <c r="AL124" i="19"/>
  <c r="Z124" i="19"/>
  <c r="AK124" i="19"/>
  <c r="Y124" i="19"/>
  <c r="AJ124" i="19"/>
  <c r="X124" i="19"/>
  <c r="AB124" i="19"/>
  <c r="W124" i="19"/>
  <c r="V124" i="19"/>
  <c r="AN124" i="19"/>
  <c r="T124" i="19"/>
  <c r="U124" i="19"/>
  <c r="S124" i="19"/>
  <c r="R124" i="19"/>
  <c r="Q124" i="19"/>
  <c r="AI124" i="19"/>
  <c r="AH124" i="19"/>
  <c r="AG124" i="19"/>
  <c r="AF124" i="19"/>
  <c r="AE124" i="19"/>
  <c r="AD124" i="19"/>
  <c r="AC124" i="19"/>
  <c r="AM83" i="19"/>
  <c r="AA83" i="19"/>
  <c r="Y83" i="19"/>
  <c r="AL83" i="19"/>
  <c r="Z83" i="19"/>
  <c r="AK83" i="19"/>
  <c r="AI83" i="19"/>
  <c r="T83" i="19"/>
  <c r="AG83" i="19"/>
  <c r="R83" i="19"/>
  <c r="AH83" i="19"/>
  <c r="S83" i="19"/>
  <c r="AE83" i="19"/>
  <c r="V83" i="19"/>
  <c r="U83" i="19"/>
  <c r="AJ83" i="19"/>
  <c r="AF83" i="19"/>
  <c r="AD83" i="19"/>
  <c r="AC83" i="19"/>
  <c r="AB83" i="19"/>
  <c r="X83" i="19"/>
  <c r="Q83" i="19"/>
  <c r="AN83" i="19"/>
  <c r="W83" i="19"/>
  <c r="AN430" i="20"/>
  <c r="AB430" i="20"/>
  <c r="AM430" i="20"/>
  <c r="AA430" i="20"/>
  <c r="AK430" i="20"/>
  <c r="Y430" i="20"/>
  <c r="W430" i="20"/>
  <c r="AJ430" i="20"/>
  <c r="X430" i="20"/>
  <c r="AI430" i="20"/>
  <c r="V430" i="20"/>
  <c r="U430" i="20"/>
  <c r="T430" i="20"/>
  <c r="AL430" i="20"/>
  <c r="AH430" i="20"/>
  <c r="AG430" i="20"/>
  <c r="AF430" i="20"/>
  <c r="AE430" i="20"/>
  <c r="AD430" i="20"/>
  <c r="AC430" i="20"/>
  <c r="Z430" i="20"/>
  <c r="S430" i="20"/>
  <c r="R430" i="20"/>
  <c r="R367" i="20" s="1"/>
  <c r="AD431" i="20"/>
  <c r="AC431" i="20"/>
  <c r="AM431" i="20"/>
  <c r="AA431" i="20"/>
  <c r="Y431" i="20"/>
  <c r="AL431" i="20"/>
  <c r="Z431" i="20"/>
  <c r="AK431" i="20"/>
  <c r="V431" i="20"/>
  <c r="U431" i="20"/>
  <c r="AN431" i="20"/>
  <c r="T431" i="20"/>
  <c r="S431" i="20"/>
  <c r="AJ431" i="20"/>
  <c r="AI431" i="20"/>
  <c r="AH431" i="20"/>
  <c r="AG431" i="20"/>
  <c r="AF431" i="20"/>
  <c r="AE431" i="20"/>
  <c r="AB431" i="20"/>
  <c r="X431" i="20"/>
  <c r="W431" i="20"/>
  <c r="AC389" i="20"/>
  <c r="AN389" i="20"/>
  <c r="AB389" i="20"/>
  <c r="AM389" i="20"/>
  <c r="AA389" i="20"/>
  <c r="AG389" i="20"/>
  <c r="R389" i="20"/>
  <c r="R366" i="20" s="1"/>
  <c r="AF389" i="20"/>
  <c r="AE389" i="20"/>
  <c r="AD389" i="20"/>
  <c r="AL389" i="20"/>
  <c r="S389" i="20"/>
  <c r="AK389" i="20"/>
  <c r="Z389" i="20"/>
  <c r="AJ389" i="20"/>
  <c r="AI389" i="20"/>
  <c r="AH389" i="20"/>
  <c r="V389" i="20"/>
  <c r="Y389" i="20"/>
  <c r="X389" i="20"/>
  <c r="W389" i="20"/>
  <c r="U389" i="20"/>
  <c r="T389" i="20"/>
  <c r="AE390" i="20"/>
  <c r="S390" i="20"/>
  <c r="AD390" i="20"/>
  <c r="AC390" i="20"/>
  <c r="Z390" i="20"/>
  <c r="AN390" i="20"/>
  <c r="Y390" i="20"/>
  <c r="AM390" i="20"/>
  <c r="X390" i="20"/>
  <c r="AL390" i="20"/>
  <c r="W390" i="20"/>
  <c r="AJ390" i="20"/>
  <c r="AI390" i="20"/>
  <c r="AH390" i="20"/>
  <c r="AK390" i="20"/>
  <c r="AG390" i="20"/>
  <c r="AF390" i="20"/>
  <c r="AB390" i="20"/>
  <c r="AA390" i="20"/>
  <c r="V390" i="20"/>
  <c r="U390" i="20"/>
  <c r="T390" i="20"/>
  <c r="AK269" i="20"/>
  <c r="AJ268" i="20"/>
  <c r="AN272" i="20"/>
  <c r="AM271" i="20"/>
  <c r="AL270" i="20"/>
  <c r="AL228" i="20"/>
  <c r="AM229" i="20"/>
  <c r="AN230" i="20"/>
  <c r="AK227" i="20"/>
  <c r="P218" i="20"/>
  <c r="AN319" i="20"/>
  <c r="AK319" i="20"/>
  <c r="AH319" i="20"/>
  <c r="AE319" i="20"/>
  <c r="Y319" i="20"/>
  <c r="AB319" i="20"/>
  <c r="V319" i="20"/>
  <c r="S319" i="20"/>
  <c r="AN279" i="20"/>
  <c r="AB279" i="20"/>
  <c r="AM279" i="20"/>
  <c r="AA279" i="20"/>
  <c r="Z279" i="20"/>
  <c r="X279" i="20"/>
  <c r="Y279" i="20"/>
  <c r="AL279" i="20"/>
  <c r="V279" i="20"/>
  <c r="U279" i="20"/>
  <c r="AK279" i="20"/>
  <c r="T279" i="20"/>
  <c r="AJ279" i="20"/>
  <c r="S279" i="20"/>
  <c r="AI279" i="20"/>
  <c r="R279" i="20"/>
  <c r="AE279" i="20"/>
  <c r="AC279" i="20"/>
  <c r="AH279" i="20"/>
  <c r="AG279" i="20"/>
  <c r="AF279" i="20"/>
  <c r="AD279" i="20"/>
  <c r="Q279" i="20"/>
  <c r="W279" i="20"/>
  <c r="Q367" i="42"/>
  <c r="AL229" i="42"/>
  <c r="AM230" i="42"/>
  <c r="AJ227" i="42"/>
  <c r="AN231" i="42"/>
  <c r="AK228" i="42"/>
  <c r="AK269" i="42"/>
  <c r="AJ268" i="42"/>
  <c r="AL270" i="42"/>
  <c r="AM271" i="42"/>
  <c r="AN272" i="42"/>
  <c r="P370" i="42"/>
  <c r="P371" i="42" s="1"/>
  <c r="M13" i="42"/>
  <c r="AG471" i="42"/>
  <c r="AD471" i="42"/>
  <c r="AA471" i="42"/>
  <c r="X471" i="42"/>
  <c r="U471" i="42"/>
  <c r="AM471" i="42"/>
  <c r="AJ471" i="42"/>
  <c r="AC430" i="42"/>
  <c r="AN430" i="42"/>
  <c r="AB430" i="42"/>
  <c r="AM430" i="42"/>
  <c r="AA430" i="42"/>
  <c r="AL430" i="42"/>
  <c r="Z430" i="42"/>
  <c r="V430" i="42"/>
  <c r="AK430" i="42"/>
  <c r="U430" i="42"/>
  <c r="AJ430" i="42"/>
  <c r="T430" i="42"/>
  <c r="AI430" i="42"/>
  <c r="S430" i="42"/>
  <c r="AH430" i="42"/>
  <c r="R430" i="42"/>
  <c r="AG430" i="42"/>
  <c r="AF430" i="42"/>
  <c r="AD430" i="42"/>
  <c r="X430" i="42"/>
  <c r="W430" i="42"/>
  <c r="Y430" i="42"/>
  <c r="AE430" i="42"/>
  <c r="AC389" i="42"/>
  <c r="AN389" i="42"/>
  <c r="AB389" i="42"/>
  <c r="AM389" i="42"/>
  <c r="AA389" i="42"/>
  <c r="AL389" i="42"/>
  <c r="Z389" i="42"/>
  <c r="AK389" i="42"/>
  <c r="U389" i="42"/>
  <c r="AJ389" i="42"/>
  <c r="T389" i="42"/>
  <c r="AI389" i="42"/>
  <c r="S389" i="42"/>
  <c r="AH389" i="42"/>
  <c r="R389" i="42"/>
  <c r="AG389" i="42"/>
  <c r="AF389" i="42"/>
  <c r="AE389" i="42"/>
  <c r="AD389" i="42"/>
  <c r="X389" i="42"/>
  <c r="Y389" i="42"/>
  <c r="W389" i="42"/>
  <c r="V389" i="42"/>
  <c r="AA318" i="42"/>
  <c r="X318" i="42"/>
  <c r="U318" i="42"/>
  <c r="R318" i="42"/>
  <c r="AM318" i="42"/>
  <c r="AJ318" i="42"/>
  <c r="AG318" i="42"/>
  <c r="AD318" i="42"/>
  <c r="AN278" i="42"/>
  <c r="AB278" i="42"/>
  <c r="P278" i="42"/>
  <c r="AL278" i="42"/>
  <c r="Z278" i="42"/>
  <c r="AK278" i="42"/>
  <c r="Y278" i="42"/>
  <c r="AH278" i="42"/>
  <c r="S278" i="42"/>
  <c r="AF278" i="42"/>
  <c r="Q278" i="42"/>
  <c r="AE278" i="42"/>
  <c r="AD278" i="42"/>
  <c r="AC278" i="42"/>
  <c r="U278" i="42"/>
  <c r="R278" i="42"/>
  <c r="T278" i="42"/>
  <c r="AA278" i="42"/>
  <c r="X278" i="42"/>
  <c r="W278" i="42"/>
  <c r="V278" i="42"/>
  <c r="AM278" i="42"/>
  <c r="AJ278" i="42"/>
  <c r="AI278" i="42"/>
  <c r="AG278" i="42"/>
  <c r="AN237" i="42"/>
  <c r="AB237" i="42"/>
  <c r="P237" i="42"/>
  <c r="AM237" i="42"/>
  <c r="AA237" i="42"/>
  <c r="AL237" i="42"/>
  <c r="Z237" i="42"/>
  <c r="AK237" i="42"/>
  <c r="Y237" i="42"/>
  <c r="AF237" i="42"/>
  <c r="AE237" i="42"/>
  <c r="U237" i="42"/>
  <c r="S237" i="42"/>
  <c r="AJ237" i="42"/>
  <c r="R237" i="42"/>
  <c r="AG237" i="42"/>
  <c r="T237" i="42"/>
  <c r="AI237" i="42"/>
  <c r="Q237" i="42"/>
  <c r="AH237" i="42"/>
  <c r="AD237" i="42"/>
  <c r="X237" i="42"/>
  <c r="W237" i="42"/>
  <c r="V237" i="42"/>
  <c r="AC237" i="42"/>
  <c r="N16" i="42"/>
  <c r="P238" i="42"/>
  <c r="AM113" i="42"/>
  <c r="AN114" i="42"/>
  <c r="Q366" i="42"/>
  <c r="AL167" i="42"/>
  <c r="W167" i="42"/>
  <c r="T167" i="42"/>
  <c r="AI167" i="42"/>
  <c r="AF167" i="42"/>
  <c r="AC167" i="42"/>
  <c r="Z167" i="42"/>
  <c r="AK166" i="42"/>
  <c r="AH166" i="42"/>
  <c r="AE166" i="42"/>
  <c r="AB166" i="42"/>
  <c r="Y166" i="42"/>
  <c r="AN166" i="42"/>
  <c r="V166" i="42"/>
  <c r="S166" i="42"/>
  <c r="AN124" i="42"/>
  <c r="AB124" i="42"/>
  <c r="AJ124" i="42"/>
  <c r="X124" i="42"/>
  <c r="AM124" i="42"/>
  <c r="AA124" i="42"/>
  <c r="AL124" i="42"/>
  <c r="Z124" i="42"/>
  <c r="AK124" i="42"/>
  <c r="Y124" i="42"/>
  <c r="AI124" i="42"/>
  <c r="W124" i="42"/>
  <c r="AH124" i="42"/>
  <c r="V124" i="42"/>
  <c r="AD124" i="42"/>
  <c r="T124" i="42"/>
  <c r="AC124" i="42"/>
  <c r="U124" i="42"/>
  <c r="AE124" i="42"/>
  <c r="S124" i="42"/>
  <c r="R124" i="42"/>
  <c r="Q124" i="42"/>
  <c r="Q62" i="42" s="1"/>
  <c r="AF124" i="42"/>
  <c r="AG124" i="42"/>
  <c r="AC125" i="42"/>
  <c r="AK125" i="42"/>
  <c r="Y125" i="42"/>
  <c r="AN125" i="42"/>
  <c r="AB125" i="42"/>
  <c r="AM125" i="42"/>
  <c r="AA125" i="42"/>
  <c r="AL125" i="42"/>
  <c r="Z125" i="42"/>
  <c r="AJ125" i="42"/>
  <c r="X125" i="42"/>
  <c r="AI125" i="42"/>
  <c r="W125" i="42"/>
  <c r="AG125" i="42"/>
  <c r="AD125" i="42"/>
  <c r="AF125" i="42"/>
  <c r="AE125" i="42"/>
  <c r="AH125" i="42"/>
  <c r="V125" i="42"/>
  <c r="U125" i="42"/>
  <c r="T125" i="42"/>
  <c r="S125" i="42"/>
  <c r="R125" i="42"/>
  <c r="AN83" i="42"/>
  <c r="AB83" i="42"/>
  <c r="AM83" i="42"/>
  <c r="AA83" i="42"/>
  <c r="AL83" i="42"/>
  <c r="Z83" i="42"/>
  <c r="Y83" i="42"/>
  <c r="X83" i="42"/>
  <c r="W83" i="42"/>
  <c r="AK83" i="42"/>
  <c r="V83" i="42"/>
  <c r="AF83" i="42"/>
  <c r="AE83" i="42"/>
  <c r="S83" i="42"/>
  <c r="AD83" i="42"/>
  <c r="R83" i="42"/>
  <c r="AC83" i="42"/>
  <c r="U83" i="42"/>
  <c r="T83" i="42"/>
  <c r="AJ83" i="42"/>
  <c r="AG83" i="42"/>
  <c r="AI83" i="42"/>
  <c r="AH83" i="42"/>
  <c r="Q83" i="42"/>
  <c r="Q61" i="42" s="1"/>
  <c r="AC84" i="42"/>
  <c r="AN84" i="42"/>
  <c r="AB84" i="42"/>
  <c r="AM84" i="42"/>
  <c r="AA84" i="42"/>
  <c r="AI84" i="42"/>
  <c r="T84" i="42"/>
  <c r="AH84" i="42"/>
  <c r="S84" i="42"/>
  <c r="AG84" i="42"/>
  <c r="R84" i="42"/>
  <c r="AF84" i="42"/>
  <c r="AE84" i="42"/>
  <c r="W84" i="42"/>
  <c r="U84" i="42"/>
  <c r="AD84" i="42"/>
  <c r="Z84" i="42"/>
  <c r="V84" i="42"/>
  <c r="Y84" i="42"/>
  <c r="X84" i="42"/>
  <c r="AJ84" i="42"/>
  <c r="AL84" i="42"/>
  <c r="AK84" i="42"/>
  <c r="AN469" i="41"/>
  <c r="AK469" i="41"/>
  <c r="Y469" i="41"/>
  <c r="AH469" i="41"/>
  <c r="AE469" i="41"/>
  <c r="AB469" i="41"/>
  <c r="V469" i="41"/>
  <c r="S469" i="41"/>
  <c r="AL470" i="41"/>
  <c r="AI470" i="41"/>
  <c r="AF470" i="41"/>
  <c r="AC470" i="41"/>
  <c r="Z470" i="41"/>
  <c r="W470" i="41"/>
  <c r="T470" i="41"/>
  <c r="AN428" i="41"/>
  <c r="AB428" i="41"/>
  <c r="P428" i="41"/>
  <c r="AL428" i="41"/>
  <c r="Z428" i="41"/>
  <c r="AK428" i="41"/>
  <c r="Y428" i="41"/>
  <c r="AG428" i="41"/>
  <c r="R428" i="41"/>
  <c r="AF428" i="41"/>
  <c r="Q428" i="41"/>
  <c r="AD428" i="41"/>
  <c r="V428" i="41"/>
  <c r="T428" i="41"/>
  <c r="U428" i="41"/>
  <c r="AM428" i="41"/>
  <c r="S428" i="41"/>
  <c r="AJ428" i="41"/>
  <c r="AI428" i="41"/>
  <c r="AH428" i="41"/>
  <c r="AE428" i="41"/>
  <c r="AC428" i="41"/>
  <c r="AA428" i="41"/>
  <c r="X428" i="41"/>
  <c r="W428" i="41"/>
  <c r="AN387" i="41"/>
  <c r="AB387" i="41"/>
  <c r="P387" i="41"/>
  <c r="AL387" i="41"/>
  <c r="Z387" i="41"/>
  <c r="AK387" i="41"/>
  <c r="Y387" i="41"/>
  <c r="AH387" i="41"/>
  <c r="S387" i="41"/>
  <c r="AG387" i="41"/>
  <c r="R387" i="41"/>
  <c r="X387" i="41"/>
  <c r="W387" i="41"/>
  <c r="V387" i="41"/>
  <c r="U387" i="41"/>
  <c r="AM387" i="41"/>
  <c r="T387" i="41"/>
  <c r="AD387" i="41"/>
  <c r="AC387" i="41"/>
  <c r="AA387" i="41"/>
  <c r="Q387" i="41"/>
  <c r="AJ387" i="41"/>
  <c r="AI387" i="41"/>
  <c r="AF387" i="41"/>
  <c r="AE387" i="41"/>
  <c r="AL270" i="41"/>
  <c r="AJ268" i="41"/>
  <c r="AM271" i="41"/>
  <c r="AK269" i="41"/>
  <c r="AN272" i="41"/>
  <c r="AM227" i="41"/>
  <c r="AN228" i="41"/>
  <c r="AM115" i="41"/>
  <c r="AL114" i="41"/>
  <c r="AK113" i="41"/>
  <c r="AN116" i="41"/>
  <c r="O218" i="41"/>
  <c r="AA318" i="41"/>
  <c r="U318" i="41"/>
  <c r="X318" i="41"/>
  <c r="R318" i="41"/>
  <c r="AG318" i="41"/>
  <c r="AJ318" i="41"/>
  <c r="AM318" i="41"/>
  <c r="AD318" i="41"/>
  <c r="AN278" i="41"/>
  <c r="AB278" i="41"/>
  <c r="P278" i="41"/>
  <c r="AM278" i="41"/>
  <c r="AA278" i="41"/>
  <c r="AJ278" i="41"/>
  <c r="X278" i="41"/>
  <c r="AH278" i="41"/>
  <c r="S278" i="41"/>
  <c r="AG278" i="41"/>
  <c r="R278" i="41"/>
  <c r="AF278" i="41"/>
  <c r="Q278" i="41"/>
  <c r="AE278" i="41"/>
  <c r="W278" i="41"/>
  <c r="V278" i="41"/>
  <c r="U278" i="41"/>
  <c r="T278" i="41"/>
  <c r="AI278" i="41"/>
  <c r="AD278" i="41"/>
  <c r="AK278" i="41"/>
  <c r="AL278" i="41"/>
  <c r="Z278" i="41"/>
  <c r="Y278" i="41"/>
  <c r="AC278" i="41"/>
  <c r="AM237" i="41"/>
  <c r="AA237" i="41"/>
  <c r="AL237" i="41"/>
  <c r="Z237" i="41"/>
  <c r="AJ237" i="41"/>
  <c r="X237" i="41"/>
  <c r="AE237" i="41"/>
  <c r="P237" i="41"/>
  <c r="AD237" i="41"/>
  <c r="Y237" i="41"/>
  <c r="W237" i="41"/>
  <c r="U237" i="41"/>
  <c r="T237" i="41"/>
  <c r="AN237" i="41"/>
  <c r="V237" i="41"/>
  <c r="AK237" i="41"/>
  <c r="AI237" i="41"/>
  <c r="AF237" i="41"/>
  <c r="AC237" i="41"/>
  <c r="AB237" i="41"/>
  <c r="S237" i="41"/>
  <c r="R237" i="41"/>
  <c r="AG237" i="41"/>
  <c r="Q237" i="41"/>
  <c r="AH237" i="41"/>
  <c r="AM238" i="41"/>
  <c r="AA238" i="41"/>
  <c r="AL238" i="41"/>
  <c r="Z238" i="41"/>
  <c r="AJ238" i="41"/>
  <c r="X238" i="41"/>
  <c r="AN238" i="41"/>
  <c r="V238" i="41"/>
  <c r="AK238" i="41"/>
  <c r="U238" i="41"/>
  <c r="AG238" i="41"/>
  <c r="R238" i="41"/>
  <c r="AF238" i="41"/>
  <c r="Q238" i="41"/>
  <c r="AD238" i="41"/>
  <c r="AC238" i="41"/>
  <c r="AE238" i="41"/>
  <c r="AI238" i="41"/>
  <c r="AH238" i="41"/>
  <c r="AB238" i="41"/>
  <c r="Y238" i="41"/>
  <c r="W238" i="41"/>
  <c r="T238" i="41"/>
  <c r="S238" i="41"/>
  <c r="Q40" i="16"/>
  <c r="P42" i="16"/>
  <c r="N13" i="22"/>
  <c r="O370" i="22"/>
  <c r="O371" i="22" s="1"/>
  <c r="S200" i="41"/>
  <c r="S202" i="41" s="1"/>
  <c r="AK225" i="19"/>
  <c r="R366" i="19"/>
  <c r="Q369" i="19"/>
  <c r="Q370" i="19" s="1"/>
  <c r="P238" i="19"/>
  <c r="N16" i="19"/>
  <c r="G6" i="45"/>
  <c r="AC45" i="16"/>
  <c r="H5" i="45"/>
  <c r="O16" i="20"/>
  <c r="N13" i="20"/>
  <c r="O217" i="42"/>
  <c r="S365" i="42"/>
  <c r="S472" i="42" s="1"/>
  <c r="S364" i="42"/>
  <c r="S363" i="42"/>
  <c r="P61" i="42"/>
  <c r="T47" i="42"/>
  <c r="T49" i="42" s="1"/>
  <c r="T50" i="42" s="1"/>
  <c r="N220" i="42"/>
  <c r="N221" i="42" s="1"/>
  <c r="P62" i="42"/>
  <c r="R126" i="42"/>
  <c r="R51" i="42"/>
  <c r="P63" i="42"/>
  <c r="R85" i="42"/>
  <c r="R64" i="42"/>
  <c r="R168" i="42"/>
  <c r="T354" i="42"/>
  <c r="T355" i="42" s="1"/>
  <c r="U45" i="42"/>
  <c r="U350" i="42"/>
  <c r="U352" i="42" s="1"/>
  <c r="R431" i="42"/>
  <c r="R356" i="42"/>
  <c r="Q63" i="42"/>
  <c r="R390" i="42"/>
  <c r="R369" i="42"/>
  <c r="R368" i="42"/>
  <c r="S60" i="42"/>
  <c r="S59" i="42"/>
  <c r="S58" i="42"/>
  <c r="P368" i="41"/>
  <c r="S350" i="41"/>
  <c r="S352" i="41" s="1"/>
  <c r="S45" i="41"/>
  <c r="P59" i="41"/>
  <c r="P60" i="41"/>
  <c r="P58" i="41"/>
  <c r="P9" i="41" s="1"/>
  <c r="P21" i="41" s="1"/>
  <c r="P52" i="41"/>
  <c r="L18" i="41"/>
  <c r="Q59" i="41"/>
  <c r="Q58" i="41"/>
  <c r="Q60" i="41"/>
  <c r="P388" i="41"/>
  <c r="P369" i="41"/>
  <c r="R47" i="41"/>
  <c r="R354" i="41"/>
  <c r="R355" i="41" s="1"/>
  <c r="Q368" i="41"/>
  <c r="Q389" i="41"/>
  <c r="Q369" i="41"/>
  <c r="P429" i="41"/>
  <c r="P356" i="41"/>
  <c r="Q430" i="41"/>
  <c r="Q356" i="41"/>
  <c r="V20" i="41"/>
  <c r="U58" i="23"/>
  <c r="U59" i="23"/>
  <c r="U60" i="23"/>
  <c r="U52" i="23"/>
  <c r="Q366" i="22"/>
  <c r="S364" i="22"/>
  <c r="S365" i="22"/>
  <c r="S472" i="22" s="1"/>
  <c r="S363" i="22"/>
  <c r="P64" i="22"/>
  <c r="P83" i="22"/>
  <c r="Q217" i="22"/>
  <c r="R49" i="22"/>
  <c r="R50" i="22" s="1"/>
  <c r="Q125" i="22"/>
  <c r="Q51" i="22"/>
  <c r="Q367" i="22"/>
  <c r="Q84" i="22"/>
  <c r="Q64" i="22"/>
  <c r="Q167" i="22"/>
  <c r="R390" i="22"/>
  <c r="R369" i="22"/>
  <c r="M18" i="22"/>
  <c r="M25" i="22" s="1"/>
  <c r="M13" i="22"/>
  <c r="S47" i="22"/>
  <c r="S49" i="22" s="1"/>
  <c r="S50" i="22" s="1"/>
  <c r="S52" i="22" s="1"/>
  <c r="P166" i="22"/>
  <c r="R356" i="22"/>
  <c r="R431" i="22"/>
  <c r="T45" i="22"/>
  <c r="T350" i="22"/>
  <c r="T352" i="22" s="1"/>
  <c r="T200" i="22"/>
  <c r="T202" i="22" s="1"/>
  <c r="T204" i="22" s="1"/>
  <c r="T205" i="22" s="1"/>
  <c r="P51" i="22"/>
  <c r="P124" i="22"/>
  <c r="P62" i="19"/>
  <c r="O217" i="19"/>
  <c r="S60" i="19"/>
  <c r="S169" i="19" s="1"/>
  <c r="S59" i="19"/>
  <c r="S58" i="19"/>
  <c r="R365" i="19"/>
  <c r="S367" i="19"/>
  <c r="Q63" i="19"/>
  <c r="S431" i="19"/>
  <c r="S355" i="19"/>
  <c r="Q125" i="19"/>
  <c r="Q51" i="19"/>
  <c r="S368" i="19"/>
  <c r="S390" i="19"/>
  <c r="Q84" i="19"/>
  <c r="Q64" i="19"/>
  <c r="P61" i="19"/>
  <c r="O65" i="19"/>
  <c r="O66" i="19" s="1"/>
  <c r="U45" i="19"/>
  <c r="U349" i="19"/>
  <c r="U351" i="19" s="1"/>
  <c r="T362" i="19"/>
  <c r="T363" i="19"/>
  <c r="T364" i="19"/>
  <c r="T472" i="19" s="1"/>
  <c r="R58" i="19"/>
  <c r="R59" i="19"/>
  <c r="R60" i="19"/>
  <c r="R168" i="19" s="1"/>
  <c r="R52" i="19"/>
  <c r="T47" i="19"/>
  <c r="O216" i="19"/>
  <c r="O12" i="19" s="1"/>
  <c r="AL75" i="20"/>
  <c r="AM76" i="20"/>
  <c r="AK74" i="20"/>
  <c r="AI72" i="20"/>
  <c r="AJ73" i="20"/>
  <c r="AN77" i="20"/>
  <c r="O220" i="20"/>
  <c r="O221" i="20" s="1"/>
  <c r="P65" i="20"/>
  <c r="P66" i="20" s="1"/>
  <c r="P217" i="20"/>
  <c r="AC125" i="20"/>
  <c r="Z125" i="20"/>
  <c r="AB125" i="20"/>
  <c r="Y125" i="20"/>
  <c r="AA125" i="20"/>
  <c r="AF125" i="20"/>
  <c r="AL125" i="20"/>
  <c r="X125" i="20"/>
  <c r="U125" i="20"/>
  <c r="W125" i="20"/>
  <c r="V125" i="20"/>
  <c r="AJ125" i="20"/>
  <c r="AE125" i="20"/>
  <c r="AI125" i="20"/>
  <c r="S125" i="20"/>
  <c r="AH125" i="20"/>
  <c r="AD125" i="20"/>
  <c r="R125" i="20"/>
  <c r="AG125" i="20"/>
  <c r="AK125" i="20"/>
  <c r="AN125" i="20"/>
  <c r="T125" i="20"/>
  <c r="AM125" i="20"/>
  <c r="R126" i="20"/>
  <c r="R51" i="20"/>
  <c r="T47" i="20"/>
  <c r="AM168" i="20"/>
  <c r="AJ168" i="20"/>
  <c r="AD168" i="20"/>
  <c r="AG168" i="20"/>
  <c r="X168" i="20"/>
  <c r="U168" i="20"/>
  <c r="AA168" i="20"/>
  <c r="R63" i="20"/>
  <c r="S363" i="20"/>
  <c r="S365" i="20"/>
  <c r="S472" i="20" s="1"/>
  <c r="S364" i="20"/>
  <c r="S59" i="20"/>
  <c r="S58" i="20"/>
  <c r="S60" i="20"/>
  <c r="S169" i="20" s="1"/>
  <c r="Q367" i="20"/>
  <c r="R124" i="20"/>
  <c r="AF124" i="20"/>
  <c r="AM124" i="20"/>
  <c r="AC124" i="20"/>
  <c r="Y124" i="20"/>
  <c r="AA124" i="20"/>
  <c r="AK124" i="20"/>
  <c r="AJ124" i="20"/>
  <c r="AE124" i="20"/>
  <c r="W124" i="20"/>
  <c r="AI124" i="20"/>
  <c r="U124" i="20"/>
  <c r="Z124" i="20"/>
  <c r="AH124" i="20"/>
  <c r="V124" i="20"/>
  <c r="AG124" i="20"/>
  <c r="AD124" i="20"/>
  <c r="AL124" i="20"/>
  <c r="X124" i="20"/>
  <c r="AN124" i="20"/>
  <c r="T124" i="20"/>
  <c r="S124" i="20"/>
  <c r="Q124" i="20"/>
  <c r="Q62" i="20" s="1"/>
  <c r="AB124" i="20"/>
  <c r="Q366" i="20"/>
  <c r="T354" i="20"/>
  <c r="T355" i="20" s="1"/>
  <c r="U84" i="20"/>
  <c r="AD84" i="20"/>
  <c r="AH84" i="20"/>
  <c r="AC84" i="20"/>
  <c r="T84" i="20"/>
  <c r="V84" i="20"/>
  <c r="AG84" i="20"/>
  <c r="AL84" i="20"/>
  <c r="S84" i="20"/>
  <c r="AJ84" i="20"/>
  <c r="R84" i="20"/>
  <c r="AM84" i="20"/>
  <c r="AA84" i="20"/>
  <c r="W84" i="20"/>
  <c r="AK84" i="20"/>
  <c r="Z84" i="20"/>
  <c r="Y84" i="20"/>
  <c r="X84" i="20"/>
  <c r="AI84" i="20"/>
  <c r="AN84" i="20"/>
  <c r="AF84" i="20"/>
  <c r="AE84" i="20"/>
  <c r="AB84" i="20"/>
  <c r="R64" i="20"/>
  <c r="R85" i="20"/>
  <c r="AF83" i="20"/>
  <c r="AH83" i="20"/>
  <c r="W83" i="20"/>
  <c r="S83" i="20"/>
  <c r="Z83" i="20"/>
  <c r="R83" i="20"/>
  <c r="AK83" i="20"/>
  <c r="AN83" i="20"/>
  <c r="Y83" i="20"/>
  <c r="T83" i="20"/>
  <c r="AD83" i="20"/>
  <c r="AE83" i="20"/>
  <c r="AL83" i="20"/>
  <c r="AG83" i="20"/>
  <c r="Q83" i="20"/>
  <c r="Q61" i="20" s="1"/>
  <c r="AJ83" i="20"/>
  <c r="AI83" i="20"/>
  <c r="V83" i="20"/>
  <c r="AM83" i="20"/>
  <c r="X83" i="20"/>
  <c r="AA83" i="20"/>
  <c r="AC83" i="20"/>
  <c r="U83" i="20"/>
  <c r="AB83" i="20"/>
  <c r="U45" i="20"/>
  <c r="U350" i="20"/>
  <c r="U352" i="20" s="1"/>
  <c r="Q214" i="42"/>
  <c r="Q213" i="42"/>
  <c r="Q215" i="42"/>
  <c r="Q207" i="42"/>
  <c r="R204" i="42"/>
  <c r="R205" i="42" s="1"/>
  <c r="S202" i="42"/>
  <c r="T200" i="42"/>
  <c r="P219" i="42"/>
  <c r="AN113" i="42"/>
  <c r="O216" i="42"/>
  <c r="P319" i="42"/>
  <c r="P279" i="42"/>
  <c r="P206" i="42"/>
  <c r="O218" i="42"/>
  <c r="Q213" i="41"/>
  <c r="Q214" i="41"/>
  <c r="Q215" i="41"/>
  <c r="Q207" i="41"/>
  <c r="T200" i="41"/>
  <c r="AN227" i="41"/>
  <c r="AK111" i="41"/>
  <c r="P219" i="41"/>
  <c r="P279" i="41"/>
  <c r="P206" i="41"/>
  <c r="P319" i="41"/>
  <c r="R204" i="41"/>
  <c r="R205" i="41" s="1"/>
  <c r="V200" i="23"/>
  <c r="U202" i="23"/>
  <c r="AK111" i="23"/>
  <c r="S213" i="23"/>
  <c r="S9" i="23" s="1"/>
  <c r="S21" i="23" s="1"/>
  <c r="S214" i="23"/>
  <c r="S215" i="23"/>
  <c r="S207" i="23"/>
  <c r="R206" i="23"/>
  <c r="R281" i="23"/>
  <c r="R321" i="23"/>
  <c r="Q218" i="23"/>
  <c r="T204" i="23"/>
  <c r="T205" i="23" s="1"/>
  <c r="R240" i="23"/>
  <c r="R219" i="23"/>
  <c r="S213" i="22"/>
  <c r="S215" i="22"/>
  <c r="S214" i="22"/>
  <c r="S207" i="22"/>
  <c r="R219" i="22"/>
  <c r="R240" i="22"/>
  <c r="R321" i="22"/>
  <c r="Q216" i="22"/>
  <c r="R281" i="22"/>
  <c r="R206" i="22"/>
  <c r="AM48" i="22"/>
  <c r="AN111" i="22"/>
  <c r="Q218" i="22"/>
  <c r="Q214" i="19"/>
  <c r="Q213" i="19"/>
  <c r="Q9" i="19" s="1"/>
  <c r="Q215" i="19"/>
  <c r="Q207" i="19"/>
  <c r="P319" i="19"/>
  <c r="R204" i="19"/>
  <c r="R205" i="19" s="1"/>
  <c r="AJ268" i="19"/>
  <c r="P206" i="19"/>
  <c r="P279" i="19"/>
  <c r="S202" i="19"/>
  <c r="P219" i="19"/>
  <c r="N220" i="19"/>
  <c r="N221" i="19" s="1"/>
  <c r="T200" i="19"/>
  <c r="Q206" i="20"/>
  <c r="Q280" i="20"/>
  <c r="Q239" i="20"/>
  <c r="Q219" i="20"/>
  <c r="Q320" i="20"/>
  <c r="U200" i="20"/>
  <c r="T202" i="20"/>
  <c r="AL113" i="20"/>
  <c r="AN115" i="20"/>
  <c r="AM114" i="20"/>
  <c r="R215" i="20"/>
  <c r="R214" i="20"/>
  <c r="R213" i="20"/>
  <c r="R207" i="20"/>
  <c r="S204" i="20"/>
  <c r="S205" i="20" s="1"/>
  <c r="F22" i="73"/>
  <c r="G10" i="73"/>
  <c r="F10" i="73"/>
  <c r="AE74" i="73"/>
  <c r="AF74" i="73"/>
  <c r="Y209" i="42" l="1"/>
  <c r="Y210" i="42" s="1"/>
  <c r="Q9" i="41"/>
  <c r="Q21" i="41" s="1"/>
  <c r="Q10" i="19"/>
  <c r="Q23" i="19" s="1"/>
  <c r="P10" i="41"/>
  <c r="Q10" i="41"/>
  <c r="R10" i="20"/>
  <c r="R23" i="20" s="1"/>
  <c r="R370" i="23"/>
  <c r="R371" i="23" s="1"/>
  <c r="W59" i="52"/>
  <c r="W59" i="32" s="1"/>
  <c r="O25" i="22"/>
  <c r="O25" i="20"/>
  <c r="R9" i="20"/>
  <c r="R21" i="20" s="1"/>
  <c r="S370" i="23"/>
  <c r="S371" i="23" s="1"/>
  <c r="T367" i="23"/>
  <c r="J8" i="45"/>
  <c r="K8" i="45"/>
  <c r="AL170" i="23"/>
  <c r="P25" i="23"/>
  <c r="AF170" i="23"/>
  <c r="AC170" i="23"/>
  <c r="Q21" i="19"/>
  <c r="Q9" i="42"/>
  <c r="Q21" i="42" s="1"/>
  <c r="Q10" i="42"/>
  <c r="Q23" i="42" s="1"/>
  <c r="O11" i="19"/>
  <c r="O18" i="19" s="1"/>
  <c r="T63" i="23"/>
  <c r="S65" i="23"/>
  <c r="S66" i="23" s="1"/>
  <c r="T366" i="23"/>
  <c r="AI170" i="23"/>
  <c r="W170" i="23"/>
  <c r="Y392" i="23"/>
  <c r="V392" i="23"/>
  <c r="AB392" i="23"/>
  <c r="U392" i="23"/>
  <c r="AA392" i="23"/>
  <c r="AJ392" i="23"/>
  <c r="AH392" i="23"/>
  <c r="W392" i="23"/>
  <c r="X392" i="23"/>
  <c r="AG392" i="23"/>
  <c r="AF392" i="23"/>
  <c r="AL392" i="23"/>
  <c r="AE392" i="23"/>
  <c r="Z392" i="23"/>
  <c r="AK392" i="23"/>
  <c r="AC392" i="23"/>
  <c r="AM392" i="23"/>
  <c r="AN392" i="23"/>
  <c r="AI392" i="23"/>
  <c r="AD392" i="23"/>
  <c r="V354" i="23"/>
  <c r="V355" i="23" s="1"/>
  <c r="AE433" i="23"/>
  <c r="AK433" i="23"/>
  <c r="AG433" i="23"/>
  <c r="AD433" i="23"/>
  <c r="AH433" i="23"/>
  <c r="AJ433" i="23"/>
  <c r="AC433" i="23"/>
  <c r="X433" i="23"/>
  <c r="AM433" i="23"/>
  <c r="AI433" i="23"/>
  <c r="AB433" i="23"/>
  <c r="W433" i="23"/>
  <c r="AA433" i="23"/>
  <c r="V433" i="23"/>
  <c r="AF433" i="23"/>
  <c r="U433" i="23"/>
  <c r="Z433" i="23"/>
  <c r="Y433" i="23"/>
  <c r="AL433" i="23"/>
  <c r="AN433" i="23"/>
  <c r="U369" i="23"/>
  <c r="U393" i="23"/>
  <c r="T87" i="23"/>
  <c r="T64" i="23"/>
  <c r="T128" i="23"/>
  <c r="T51" i="23"/>
  <c r="W45" i="23"/>
  <c r="W350" i="23"/>
  <c r="W352" i="23" s="1"/>
  <c r="W354" i="23" s="1"/>
  <c r="W355" i="23" s="1"/>
  <c r="AD474" i="23"/>
  <c r="AA474" i="23"/>
  <c r="X474" i="23"/>
  <c r="AM474" i="23"/>
  <c r="AJ474" i="23"/>
  <c r="AG474" i="23"/>
  <c r="U368" i="23"/>
  <c r="S10" i="23"/>
  <c r="S23" i="23" s="1"/>
  <c r="U356" i="23"/>
  <c r="U434" i="23"/>
  <c r="R65" i="23"/>
  <c r="R66" i="23" s="1"/>
  <c r="N25" i="42"/>
  <c r="L45" i="61"/>
  <c r="L51" i="61" s="1"/>
  <c r="Q11" i="23"/>
  <c r="Q18" i="23" s="1"/>
  <c r="O11" i="42"/>
  <c r="O18" i="42" s="1"/>
  <c r="L21" i="61"/>
  <c r="L22" i="61" s="1"/>
  <c r="P11" i="20"/>
  <c r="P13" i="20" s="1"/>
  <c r="Q12" i="23"/>
  <c r="Q16" i="23" s="1"/>
  <c r="L45" i="63"/>
  <c r="L29" i="63"/>
  <c r="L43" i="63"/>
  <c r="L21" i="63"/>
  <c r="L27" i="63" s="1"/>
  <c r="J6" i="68"/>
  <c r="M23" i="61"/>
  <c r="L69" i="62"/>
  <c r="AU59" i="66"/>
  <c r="U58" i="75" s="1"/>
  <c r="W58" i="75" s="1"/>
  <c r="X59" i="51"/>
  <c r="Q370" i="42"/>
  <c r="Q371" i="42" s="1"/>
  <c r="P13" i="23"/>
  <c r="AK227" i="23"/>
  <c r="AM229" i="23"/>
  <c r="AL228" i="23"/>
  <c r="AN230" i="23"/>
  <c r="AM269" i="23"/>
  <c r="AN270" i="23"/>
  <c r="AL268" i="23"/>
  <c r="R218" i="23"/>
  <c r="AG321" i="23"/>
  <c r="AA321" i="23"/>
  <c r="AD321" i="23"/>
  <c r="X321" i="23"/>
  <c r="U321" i="23"/>
  <c r="AM321" i="23"/>
  <c r="AJ321" i="23"/>
  <c r="AE281" i="23"/>
  <c r="S281" i="23"/>
  <c r="AD281" i="23"/>
  <c r="AC281" i="23"/>
  <c r="AN281" i="23"/>
  <c r="AB281" i="23"/>
  <c r="AI281" i="23"/>
  <c r="AH281" i="23"/>
  <c r="AG281" i="23"/>
  <c r="AF281" i="23"/>
  <c r="AA281" i="23"/>
  <c r="Z281" i="23"/>
  <c r="Y281" i="23"/>
  <c r="X281" i="23"/>
  <c r="W281" i="23"/>
  <c r="V281" i="23"/>
  <c r="U281" i="23"/>
  <c r="AM281" i="23"/>
  <c r="T281" i="23"/>
  <c r="AL281" i="23"/>
  <c r="AK281" i="23"/>
  <c r="AJ281" i="23"/>
  <c r="Q220" i="23"/>
  <c r="Q221" i="23" s="1"/>
  <c r="AE240" i="23"/>
  <c r="S240" i="23"/>
  <c r="AD240" i="23"/>
  <c r="AC240" i="23"/>
  <c r="AN240" i="23"/>
  <c r="AB240" i="23"/>
  <c r="AF240" i="23"/>
  <c r="Y240" i="23"/>
  <c r="AA240" i="23"/>
  <c r="Z240" i="23"/>
  <c r="X240" i="23"/>
  <c r="W240" i="23"/>
  <c r="V240" i="23"/>
  <c r="T240" i="23"/>
  <c r="U240" i="23"/>
  <c r="AM240" i="23"/>
  <c r="AL240" i="23"/>
  <c r="AK240" i="23"/>
  <c r="AJ240" i="23"/>
  <c r="AI240" i="23"/>
  <c r="AH240" i="23"/>
  <c r="AG240" i="23"/>
  <c r="R217" i="23"/>
  <c r="AL113" i="23"/>
  <c r="AM114" i="23"/>
  <c r="AN115" i="23"/>
  <c r="AN472" i="22"/>
  <c r="AK472" i="22"/>
  <c r="AH472" i="22"/>
  <c r="AE472" i="22"/>
  <c r="AB472" i="22"/>
  <c r="Y472" i="22"/>
  <c r="V472" i="22"/>
  <c r="AE431" i="22"/>
  <c r="S431" i="22"/>
  <c r="AD431" i="22"/>
  <c r="AC431" i="22"/>
  <c r="AN431" i="22"/>
  <c r="AB431" i="22"/>
  <c r="AI431" i="22"/>
  <c r="AH431" i="22"/>
  <c r="AG431" i="22"/>
  <c r="AF431" i="22"/>
  <c r="AA431" i="22"/>
  <c r="Z431" i="22"/>
  <c r="Y431" i="22"/>
  <c r="AL431" i="22"/>
  <c r="AM431" i="22"/>
  <c r="AK431" i="22"/>
  <c r="AJ431" i="22"/>
  <c r="X431" i="22"/>
  <c r="W431" i="22"/>
  <c r="V431" i="22"/>
  <c r="U431" i="22"/>
  <c r="T431" i="22"/>
  <c r="AE390" i="22"/>
  <c r="S390" i="22"/>
  <c r="AC390" i="22"/>
  <c r="AN390" i="22"/>
  <c r="AB390" i="22"/>
  <c r="AD390" i="22"/>
  <c r="Z390" i="22"/>
  <c r="AA390" i="22"/>
  <c r="Y390" i="22"/>
  <c r="AM390" i="22"/>
  <c r="X390" i="22"/>
  <c r="AK390" i="22"/>
  <c r="AI390" i="22"/>
  <c r="U390" i="22"/>
  <c r="T390" i="22"/>
  <c r="AJ390" i="22"/>
  <c r="AH390" i="22"/>
  <c r="AG390" i="22"/>
  <c r="AF390" i="22"/>
  <c r="W390" i="22"/>
  <c r="V390" i="22"/>
  <c r="AL390" i="22"/>
  <c r="AM270" i="22"/>
  <c r="AL269" i="22"/>
  <c r="AN271" i="22"/>
  <c r="AN230" i="22"/>
  <c r="AM229" i="22"/>
  <c r="AK227" i="22"/>
  <c r="AL228" i="22"/>
  <c r="R218" i="22"/>
  <c r="AG321" i="22"/>
  <c r="AD321" i="22"/>
  <c r="AA321" i="22"/>
  <c r="X321" i="22"/>
  <c r="U321" i="22"/>
  <c r="AJ321" i="22"/>
  <c r="AM321" i="22"/>
  <c r="AE281" i="22"/>
  <c r="S281" i="22"/>
  <c r="AC281" i="22"/>
  <c r="AD281" i="22"/>
  <c r="AF281" i="22"/>
  <c r="AA281" i="22"/>
  <c r="Z281" i="22"/>
  <c r="AN281" i="22"/>
  <c r="Y281" i="22"/>
  <c r="AM281" i="22"/>
  <c r="X281" i="22"/>
  <c r="AB281" i="22"/>
  <c r="AJ281" i="22"/>
  <c r="AI281" i="22"/>
  <c r="AH281" i="22"/>
  <c r="AG281" i="22"/>
  <c r="W281" i="22"/>
  <c r="V281" i="22"/>
  <c r="U281" i="22"/>
  <c r="T281" i="22"/>
  <c r="AL281" i="22"/>
  <c r="AK281" i="22"/>
  <c r="AD240" i="22"/>
  <c r="AN240" i="22"/>
  <c r="AB240" i="22"/>
  <c r="AM240" i="22"/>
  <c r="AA240" i="22"/>
  <c r="AE240" i="22"/>
  <c r="AC240" i="22"/>
  <c r="Z240" i="22"/>
  <c r="Y240" i="22"/>
  <c r="X240" i="22"/>
  <c r="AL240" i="22"/>
  <c r="W240" i="22"/>
  <c r="AK240" i="22"/>
  <c r="V240" i="22"/>
  <c r="AH240" i="22"/>
  <c r="S240" i="22"/>
  <c r="U240" i="22"/>
  <c r="T240" i="22"/>
  <c r="AI240" i="22"/>
  <c r="AG240" i="22"/>
  <c r="AF240" i="22"/>
  <c r="AJ240" i="22"/>
  <c r="AK268" i="22"/>
  <c r="AN166" i="22"/>
  <c r="AH166" i="22"/>
  <c r="AK166" i="22"/>
  <c r="AE166" i="22"/>
  <c r="AB166" i="22"/>
  <c r="Y166" i="22"/>
  <c r="V166" i="22"/>
  <c r="S166" i="22"/>
  <c r="AL167" i="22"/>
  <c r="AI167" i="22"/>
  <c r="AF167" i="22"/>
  <c r="AC167" i="22"/>
  <c r="Z167" i="22"/>
  <c r="W167" i="22"/>
  <c r="T167" i="22"/>
  <c r="AN124" i="22"/>
  <c r="AB124" i="22"/>
  <c r="AL124" i="22"/>
  <c r="Z124" i="22"/>
  <c r="AM124" i="22"/>
  <c r="AA124" i="22"/>
  <c r="Y124" i="22"/>
  <c r="X124" i="22"/>
  <c r="W124" i="22"/>
  <c r="AE124" i="22"/>
  <c r="AD124" i="22"/>
  <c r="AC124" i="22"/>
  <c r="V124" i="22"/>
  <c r="U124" i="22"/>
  <c r="T124" i="22"/>
  <c r="AJ124" i="22"/>
  <c r="AI124" i="22"/>
  <c r="AH124" i="22"/>
  <c r="AG124" i="22"/>
  <c r="AF124" i="22"/>
  <c r="S124" i="22"/>
  <c r="R124" i="22"/>
  <c r="Q124" i="22"/>
  <c r="Q62" i="22" s="1"/>
  <c r="AK124" i="22"/>
  <c r="AC125" i="22"/>
  <c r="AM125" i="22"/>
  <c r="AA125" i="22"/>
  <c r="AN125" i="22"/>
  <c r="AB125" i="22"/>
  <c r="AI125" i="22"/>
  <c r="T125" i="22"/>
  <c r="AH125" i="22"/>
  <c r="S125" i="22"/>
  <c r="AG125" i="22"/>
  <c r="R125" i="22"/>
  <c r="Z125" i="22"/>
  <c r="Y125" i="22"/>
  <c r="X125" i="22"/>
  <c r="W125" i="22"/>
  <c r="V125" i="22"/>
  <c r="U125" i="22"/>
  <c r="AL125" i="22"/>
  <c r="AK125" i="22"/>
  <c r="AJ125" i="22"/>
  <c r="AF125" i="22"/>
  <c r="AE125" i="22"/>
  <c r="AD125" i="22"/>
  <c r="AN83" i="22"/>
  <c r="AB83" i="22"/>
  <c r="AM83" i="22"/>
  <c r="AA83" i="22"/>
  <c r="AL83" i="22"/>
  <c r="Z83" i="22"/>
  <c r="AK83" i="22"/>
  <c r="Y83" i="22"/>
  <c r="AE83" i="22"/>
  <c r="S83" i="22"/>
  <c r="AD83" i="22"/>
  <c r="R83" i="22"/>
  <c r="X83" i="22"/>
  <c r="W83" i="22"/>
  <c r="U83" i="22"/>
  <c r="V83" i="22"/>
  <c r="T83" i="22"/>
  <c r="AG83" i="22"/>
  <c r="AF83" i="22"/>
  <c r="AC83" i="22"/>
  <c r="Q83" i="22"/>
  <c r="Q61" i="22" s="1"/>
  <c r="AJ83" i="22"/>
  <c r="AI83" i="22"/>
  <c r="AH83" i="22"/>
  <c r="AC84" i="22"/>
  <c r="AN84" i="22"/>
  <c r="AB84" i="22"/>
  <c r="AM84" i="22"/>
  <c r="AA84" i="22"/>
  <c r="AL84" i="22"/>
  <c r="Z84" i="22"/>
  <c r="AF84" i="22"/>
  <c r="T84" i="22"/>
  <c r="AE84" i="22"/>
  <c r="S84" i="22"/>
  <c r="Y84" i="22"/>
  <c r="AK84" i="22"/>
  <c r="X84" i="22"/>
  <c r="W84" i="22"/>
  <c r="V84" i="22"/>
  <c r="AH84" i="22"/>
  <c r="AG84" i="22"/>
  <c r="AD84" i="22"/>
  <c r="U84" i="22"/>
  <c r="R84" i="22"/>
  <c r="AJ84" i="22"/>
  <c r="AI84" i="22"/>
  <c r="W472" i="19"/>
  <c r="AL472" i="19"/>
  <c r="AI472" i="19"/>
  <c r="AF472" i="19"/>
  <c r="AC472" i="19"/>
  <c r="Z472" i="19"/>
  <c r="AH431" i="19"/>
  <c r="V431" i="19"/>
  <c r="AF431" i="19"/>
  <c r="T431" i="19"/>
  <c r="AG431" i="19"/>
  <c r="U431" i="19"/>
  <c r="AN431" i="19"/>
  <c r="Y431" i="19"/>
  <c r="AM431" i="19"/>
  <c r="X431" i="19"/>
  <c r="AL431" i="19"/>
  <c r="W431" i="19"/>
  <c r="AK431" i="19"/>
  <c r="AJ431" i="19"/>
  <c r="AI431" i="19"/>
  <c r="AE431" i="19"/>
  <c r="AD431" i="19"/>
  <c r="AC431" i="19"/>
  <c r="AB431" i="19"/>
  <c r="AA431" i="19"/>
  <c r="Z431" i="19"/>
  <c r="AH390" i="19"/>
  <c r="V390" i="19"/>
  <c r="AG390" i="19"/>
  <c r="U390" i="19"/>
  <c r="AF390" i="19"/>
  <c r="T390" i="19"/>
  <c r="AE390" i="19"/>
  <c r="AD390" i="19"/>
  <c r="AC390" i="19"/>
  <c r="AN390" i="19"/>
  <c r="AB390" i="19"/>
  <c r="AM390" i="19"/>
  <c r="AL390" i="19"/>
  <c r="AK390" i="19"/>
  <c r="AJ390" i="19"/>
  <c r="AI390" i="19"/>
  <c r="AA390" i="19"/>
  <c r="Z390" i="19"/>
  <c r="Y390" i="19"/>
  <c r="X390" i="19"/>
  <c r="W390" i="19"/>
  <c r="AL269" i="19"/>
  <c r="AN271" i="19"/>
  <c r="AM270" i="19"/>
  <c r="AM228" i="19"/>
  <c r="AN229" i="19"/>
  <c r="AL227" i="19"/>
  <c r="P218" i="19"/>
  <c r="AN319" i="19"/>
  <c r="AK319" i="19"/>
  <c r="AH319" i="19"/>
  <c r="AE319" i="19"/>
  <c r="Y319" i="19"/>
  <c r="V319" i="19"/>
  <c r="S319" i="19"/>
  <c r="AB319" i="19"/>
  <c r="P216" i="19"/>
  <c r="AN279" i="19"/>
  <c r="AB279" i="19"/>
  <c r="AL279" i="19"/>
  <c r="Z279" i="19"/>
  <c r="AK279" i="19"/>
  <c r="Y279" i="19"/>
  <c r="AA279" i="19"/>
  <c r="X279" i="19"/>
  <c r="W279" i="19"/>
  <c r="AM279" i="19"/>
  <c r="V279" i="19"/>
  <c r="AJ279" i="19"/>
  <c r="U279" i="19"/>
  <c r="AI279" i="19"/>
  <c r="T279" i="19"/>
  <c r="AH279" i="19"/>
  <c r="S279" i="19"/>
  <c r="AG279" i="19"/>
  <c r="AF279" i="19"/>
  <c r="AE279" i="19"/>
  <c r="AC279" i="19"/>
  <c r="AD279" i="19"/>
  <c r="R279" i="19"/>
  <c r="Q279" i="19"/>
  <c r="AL238" i="19"/>
  <c r="Z238" i="19"/>
  <c r="AK238" i="19"/>
  <c r="Y238" i="19"/>
  <c r="AB238" i="19"/>
  <c r="AA238" i="19"/>
  <c r="AJ238" i="19"/>
  <c r="T238" i="19"/>
  <c r="AI238" i="19"/>
  <c r="AH238" i="19"/>
  <c r="R238" i="19"/>
  <c r="AG238" i="19"/>
  <c r="Q238" i="19"/>
  <c r="AF238" i="19"/>
  <c r="S238" i="19"/>
  <c r="AN238" i="19"/>
  <c r="AM238" i="19"/>
  <c r="AE238" i="19"/>
  <c r="AD238" i="19"/>
  <c r="AC238" i="19"/>
  <c r="X238" i="19"/>
  <c r="W238" i="19"/>
  <c r="V238" i="19"/>
  <c r="U238" i="19"/>
  <c r="AM114" i="19"/>
  <c r="AN115" i="19"/>
  <c r="AL113" i="19"/>
  <c r="AG168" i="19"/>
  <c r="AD168" i="19"/>
  <c r="AA168" i="19"/>
  <c r="X168" i="19"/>
  <c r="U168" i="19"/>
  <c r="AJ168" i="19"/>
  <c r="AM168" i="19"/>
  <c r="AN169" i="19"/>
  <c r="AK169" i="19"/>
  <c r="AE169" i="19"/>
  <c r="AB169" i="19"/>
  <c r="Y169" i="19"/>
  <c r="AH169" i="19"/>
  <c r="V169" i="19"/>
  <c r="N13" i="19"/>
  <c r="AN125" i="19"/>
  <c r="AB125" i="19"/>
  <c r="AM125" i="19"/>
  <c r="AA125" i="19"/>
  <c r="AL125" i="19"/>
  <c r="Z125" i="19"/>
  <c r="AK125" i="19"/>
  <c r="Y125" i="19"/>
  <c r="U125" i="19"/>
  <c r="AJ125" i="19"/>
  <c r="T125" i="19"/>
  <c r="AI125" i="19"/>
  <c r="S125" i="19"/>
  <c r="AG125" i="19"/>
  <c r="AC125" i="19"/>
  <c r="X125" i="19"/>
  <c r="W125" i="19"/>
  <c r="V125" i="19"/>
  <c r="AH125" i="19"/>
  <c r="R125" i="19"/>
  <c r="AF125" i="19"/>
  <c r="AE125" i="19"/>
  <c r="AD125" i="19"/>
  <c r="AN84" i="19"/>
  <c r="AB84" i="19"/>
  <c r="AL84" i="19"/>
  <c r="AM84" i="19"/>
  <c r="AA84" i="19"/>
  <c r="Z84" i="19"/>
  <c r="AD84" i="19"/>
  <c r="Y84" i="19"/>
  <c r="AC84" i="19"/>
  <c r="W84" i="19"/>
  <c r="U84" i="19"/>
  <c r="T84" i="19"/>
  <c r="AI84" i="19"/>
  <c r="AG84" i="19"/>
  <c r="AF84" i="19"/>
  <c r="X84" i="19"/>
  <c r="S84" i="19"/>
  <c r="AH84" i="19"/>
  <c r="AK84" i="19"/>
  <c r="R84" i="19"/>
  <c r="AJ84" i="19"/>
  <c r="AE84" i="19"/>
  <c r="V84" i="19"/>
  <c r="N18" i="19"/>
  <c r="P220" i="20"/>
  <c r="P221" i="20" s="1"/>
  <c r="AN472" i="20"/>
  <c r="AK472" i="20"/>
  <c r="AH472" i="20"/>
  <c r="AE472" i="20"/>
  <c r="V472" i="20"/>
  <c r="AB472" i="20"/>
  <c r="Y472" i="20"/>
  <c r="AL269" i="20"/>
  <c r="AN271" i="20"/>
  <c r="AK268" i="20"/>
  <c r="AM270" i="20"/>
  <c r="AM228" i="20"/>
  <c r="AN229" i="20"/>
  <c r="AL227" i="20"/>
  <c r="AL320" i="20"/>
  <c r="AF320" i="20"/>
  <c r="AI320" i="20"/>
  <c r="AC320" i="20"/>
  <c r="Z320" i="20"/>
  <c r="W320" i="20"/>
  <c r="T320" i="20"/>
  <c r="AC280" i="20"/>
  <c r="AN280" i="20"/>
  <c r="AB280" i="20"/>
  <c r="AG280" i="20"/>
  <c r="S280" i="20"/>
  <c r="AF280" i="20"/>
  <c r="R280" i="20"/>
  <c r="AE280" i="20"/>
  <c r="AL280" i="20"/>
  <c r="U280" i="20"/>
  <c r="AK280" i="20"/>
  <c r="T280" i="20"/>
  <c r="AJ280" i="20"/>
  <c r="AI280" i="20"/>
  <c r="AH280" i="20"/>
  <c r="X280" i="20"/>
  <c r="AM280" i="20"/>
  <c r="W280" i="20"/>
  <c r="V280" i="20"/>
  <c r="AD280" i="20"/>
  <c r="AA280" i="20"/>
  <c r="Z280" i="20"/>
  <c r="Y280" i="20"/>
  <c r="Q216" i="20"/>
  <c r="AC239" i="20"/>
  <c r="AN239" i="20"/>
  <c r="AB239" i="20"/>
  <c r="AK239" i="20"/>
  <c r="Y239" i="20"/>
  <c r="AI239" i="20"/>
  <c r="T239" i="20"/>
  <c r="AH239" i="20"/>
  <c r="S239" i="20"/>
  <c r="AG239" i="20"/>
  <c r="R239" i="20"/>
  <c r="AF239" i="20"/>
  <c r="AE239" i="20"/>
  <c r="AM239" i="20"/>
  <c r="AL239" i="20"/>
  <c r="X239" i="20"/>
  <c r="AJ239" i="20"/>
  <c r="AD239" i="20"/>
  <c r="AA239" i="20"/>
  <c r="Z239" i="20"/>
  <c r="W239" i="20"/>
  <c r="V239" i="20"/>
  <c r="U239" i="20"/>
  <c r="AL269" i="42"/>
  <c r="AK268" i="42"/>
  <c r="AM270" i="42"/>
  <c r="AN271" i="42"/>
  <c r="AN230" i="42"/>
  <c r="AM229" i="42"/>
  <c r="AK227" i="42"/>
  <c r="AL228" i="42"/>
  <c r="N13" i="42"/>
  <c r="AE472" i="42"/>
  <c r="AN472" i="42"/>
  <c r="AK472" i="42"/>
  <c r="AH472" i="42"/>
  <c r="AB472" i="42"/>
  <c r="Y472" i="42"/>
  <c r="V472" i="42"/>
  <c r="AE431" i="42"/>
  <c r="S431" i="42"/>
  <c r="AD431" i="42"/>
  <c r="AC431" i="42"/>
  <c r="AN431" i="42"/>
  <c r="AB431" i="42"/>
  <c r="AJ431" i="42"/>
  <c r="T431" i="42"/>
  <c r="AI431" i="42"/>
  <c r="AH431" i="42"/>
  <c r="AG431" i="42"/>
  <c r="AF431" i="42"/>
  <c r="AA431" i="42"/>
  <c r="Z431" i="42"/>
  <c r="AM431" i="42"/>
  <c r="Y431" i="42"/>
  <c r="X431" i="42"/>
  <c r="AL431" i="42"/>
  <c r="AK431" i="42"/>
  <c r="V431" i="42"/>
  <c r="W431" i="42"/>
  <c r="U431" i="42"/>
  <c r="AE390" i="42"/>
  <c r="S390" i="42"/>
  <c r="AD390" i="42"/>
  <c r="AC390" i="42"/>
  <c r="AN390" i="42"/>
  <c r="AB390" i="42"/>
  <c r="AI390" i="42"/>
  <c r="AH390" i="42"/>
  <c r="AG390" i="42"/>
  <c r="AF390" i="42"/>
  <c r="AA390" i="42"/>
  <c r="Z390" i="42"/>
  <c r="Y390" i="42"/>
  <c r="AJ390" i="42"/>
  <c r="X390" i="42"/>
  <c r="W390" i="42"/>
  <c r="AM390" i="42"/>
  <c r="AL390" i="42"/>
  <c r="AK390" i="42"/>
  <c r="V390" i="42"/>
  <c r="U390" i="42"/>
  <c r="T390" i="42"/>
  <c r="R367" i="42"/>
  <c r="AN319" i="42"/>
  <c r="AK319" i="42"/>
  <c r="AH319" i="42"/>
  <c r="AE319" i="42"/>
  <c r="AB319" i="42"/>
  <c r="Y319" i="42"/>
  <c r="V319" i="42"/>
  <c r="S319" i="42"/>
  <c r="AN279" i="42"/>
  <c r="AB279" i="42"/>
  <c r="AL279" i="42"/>
  <c r="Z279" i="42"/>
  <c r="AK279" i="42"/>
  <c r="Y279" i="42"/>
  <c r="AA279" i="42"/>
  <c r="W279" i="42"/>
  <c r="AM279" i="42"/>
  <c r="V279" i="42"/>
  <c r="AJ279" i="42"/>
  <c r="U279" i="42"/>
  <c r="AI279" i="42"/>
  <c r="T279" i="42"/>
  <c r="X279" i="42"/>
  <c r="S279" i="42"/>
  <c r="R279" i="42"/>
  <c r="Q279" i="42"/>
  <c r="AH279" i="42"/>
  <c r="AG279" i="42"/>
  <c r="AF279" i="42"/>
  <c r="AE279" i="42"/>
  <c r="AD279" i="42"/>
  <c r="AC279" i="42"/>
  <c r="AN238" i="42"/>
  <c r="AB238" i="42"/>
  <c r="AM238" i="42"/>
  <c r="AA238" i="42"/>
  <c r="AL238" i="42"/>
  <c r="Z238" i="42"/>
  <c r="AK238" i="42"/>
  <c r="Y238" i="42"/>
  <c r="X238" i="42"/>
  <c r="W238" i="42"/>
  <c r="S238" i="42"/>
  <c r="AI238" i="42"/>
  <c r="Q238" i="42"/>
  <c r="AH238" i="42"/>
  <c r="AE238" i="42"/>
  <c r="AJ238" i="42"/>
  <c r="R238" i="42"/>
  <c r="AG238" i="42"/>
  <c r="AF238" i="42"/>
  <c r="AD238" i="42"/>
  <c r="V238" i="42"/>
  <c r="U238" i="42"/>
  <c r="AC238" i="42"/>
  <c r="T238" i="42"/>
  <c r="P216" i="42"/>
  <c r="P16" i="42" s="1"/>
  <c r="O16" i="42"/>
  <c r="AD168" i="42"/>
  <c r="AA168" i="42"/>
  <c r="X168" i="42"/>
  <c r="U168" i="42"/>
  <c r="AM168" i="42"/>
  <c r="AJ168" i="42"/>
  <c r="AG168" i="42"/>
  <c r="AE126" i="42"/>
  <c r="S126" i="42"/>
  <c r="AM126" i="42"/>
  <c r="AA126" i="42"/>
  <c r="AD126" i="42"/>
  <c r="AC126" i="42"/>
  <c r="AN126" i="42"/>
  <c r="AB126" i="42"/>
  <c r="AL126" i="42"/>
  <c r="Z126" i="42"/>
  <c r="AK126" i="42"/>
  <c r="Y126" i="42"/>
  <c r="AH126" i="42"/>
  <c r="AG126" i="42"/>
  <c r="AJ126" i="42"/>
  <c r="AI126" i="42"/>
  <c r="AF126" i="42"/>
  <c r="X126" i="42"/>
  <c r="W126" i="42"/>
  <c r="T126" i="42"/>
  <c r="V126" i="42"/>
  <c r="U126" i="42"/>
  <c r="H10" i="45"/>
  <c r="AE85" i="42"/>
  <c r="S85" i="42"/>
  <c r="AD85" i="42"/>
  <c r="AC85" i="42"/>
  <c r="AB85" i="42"/>
  <c r="AA85" i="42"/>
  <c r="Z85" i="42"/>
  <c r="AN85" i="42"/>
  <c r="Y85" i="42"/>
  <c r="AI85" i="42"/>
  <c r="V85" i="42"/>
  <c r="AH85" i="42"/>
  <c r="AG85" i="42"/>
  <c r="AF85" i="42"/>
  <c r="X85" i="42"/>
  <c r="W85" i="42"/>
  <c r="U85" i="42"/>
  <c r="AK85" i="42"/>
  <c r="T85" i="42"/>
  <c r="AL85" i="42"/>
  <c r="AM85" i="42"/>
  <c r="AJ85" i="42"/>
  <c r="I10" i="45"/>
  <c r="AC430" i="41"/>
  <c r="AM430" i="41"/>
  <c r="AA430" i="41"/>
  <c r="AL430" i="41"/>
  <c r="Z430" i="41"/>
  <c r="AH430" i="41"/>
  <c r="S430" i="41"/>
  <c r="AG430" i="41"/>
  <c r="R430" i="41"/>
  <c r="AE430" i="41"/>
  <c r="AD430" i="41"/>
  <c r="T430" i="41"/>
  <c r="AK430" i="41"/>
  <c r="AN430" i="41"/>
  <c r="AJ430" i="41"/>
  <c r="AI430" i="41"/>
  <c r="AF430" i="41"/>
  <c r="AB430" i="41"/>
  <c r="Y430" i="41"/>
  <c r="X430" i="41"/>
  <c r="W430" i="41"/>
  <c r="V430" i="41"/>
  <c r="U430" i="41"/>
  <c r="AN429" i="41"/>
  <c r="AB429" i="41"/>
  <c r="AL429" i="41"/>
  <c r="Z429" i="41"/>
  <c r="AK429" i="41"/>
  <c r="Y429" i="41"/>
  <c r="X429" i="41"/>
  <c r="W429" i="41"/>
  <c r="AJ429" i="41"/>
  <c r="U429" i="41"/>
  <c r="S429" i="41"/>
  <c r="AI429" i="41"/>
  <c r="Q429" i="41"/>
  <c r="AM429" i="41"/>
  <c r="R429" i="41"/>
  <c r="AH429" i="41"/>
  <c r="AG429" i="41"/>
  <c r="AF429" i="41"/>
  <c r="AD429" i="41"/>
  <c r="V429" i="41"/>
  <c r="T429" i="41"/>
  <c r="AE429" i="41"/>
  <c r="AC429" i="41"/>
  <c r="AA429" i="41"/>
  <c r="AC389" i="41"/>
  <c r="AM389" i="41"/>
  <c r="AA389" i="41"/>
  <c r="AL389" i="41"/>
  <c r="Z389" i="41"/>
  <c r="AI389" i="41"/>
  <c r="T389" i="41"/>
  <c r="AH389" i="41"/>
  <c r="S389" i="41"/>
  <c r="AJ389" i="41"/>
  <c r="AG389" i="41"/>
  <c r="AF389" i="41"/>
  <c r="AE389" i="41"/>
  <c r="AD389" i="41"/>
  <c r="R389" i="41"/>
  <c r="AN389" i="41"/>
  <c r="AK389" i="41"/>
  <c r="AB389" i="41"/>
  <c r="Y389" i="41"/>
  <c r="X389" i="41"/>
  <c r="W389" i="41"/>
  <c r="V389" i="41"/>
  <c r="U389" i="41"/>
  <c r="AN388" i="41"/>
  <c r="AB388" i="41"/>
  <c r="AL388" i="41"/>
  <c r="Z388" i="41"/>
  <c r="AK388" i="41"/>
  <c r="Y388" i="41"/>
  <c r="AA388" i="41"/>
  <c r="X388" i="41"/>
  <c r="AM388" i="41"/>
  <c r="T388" i="41"/>
  <c r="AJ388" i="41"/>
  <c r="S388" i="41"/>
  <c r="AI388" i="41"/>
  <c r="R388" i="41"/>
  <c r="AH388" i="41"/>
  <c r="Q388" i="41"/>
  <c r="AG388" i="41"/>
  <c r="AF388" i="41"/>
  <c r="AE388" i="41"/>
  <c r="AD388" i="41"/>
  <c r="W388" i="41"/>
  <c r="V388" i="41"/>
  <c r="U388" i="41"/>
  <c r="AC388" i="41"/>
  <c r="AN115" i="41"/>
  <c r="AL113" i="41"/>
  <c r="AM114" i="41"/>
  <c r="AM270" i="41"/>
  <c r="AN271" i="41"/>
  <c r="AK268" i="41"/>
  <c r="AL269" i="41"/>
  <c r="P218" i="41"/>
  <c r="AN319" i="41"/>
  <c r="AK319" i="41"/>
  <c r="AH319" i="41"/>
  <c r="AE319" i="41"/>
  <c r="AB319" i="41"/>
  <c r="Y319" i="41"/>
  <c r="V319" i="41"/>
  <c r="S319" i="41"/>
  <c r="AN279" i="41"/>
  <c r="AB279" i="41"/>
  <c r="AM279" i="41"/>
  <c r="AA279" i="41"/>
  <c r="AJ279" i="41"/>
  <c r="X279" i="41"/>
  <c r="Z279" i="41"/>
  <c r="Y279" i="41"/>
  <c r="W279" i="41"/>
  <c r="AL279" i="41"/>
  <c r="V279" i="41"/>
  <c r="U279" i="41"/>
  <c r="T279" i="41"/>
  <c r="S279" i="41"/>
  <c r="R279" i="41"/>
  <c r="AG279" i="41"/>
  <c r="AF279" i="41"/>
  <c r="AK279" i="41"/>
  <c r="Q279" i="41"/>
  <c r="AI279" i="41"/>
  <c r="AH279" i="41"/>
  <c r="AC279" i="41"/>
  <c r="AE279" i="41"/>
  <c r="AD279" i="41"/>
  <c r="R40" i="16"/>
  <c r="Q42" i="16"/>
  <c r="R369" i="19"/>
  <c r="R370" i="19" s="1"/>
  <c r="AL225" i="19"/>
  <c r="H6" i="45"/>
  <c r="O16" i="19"/>
  <c r="P65" i="19"/>
  <c r="P66" i="19" s="1"/>
  <c r="AD45" i="16"/>
  <c r="I5" i="45"/>
  <c r="O13" i="20"/>
  <c r="P217" i="42"/>
  <c r="T364" i="42"/>
  <c r="T363" i="42"/>
  <c r="T365" i="42"/>
  <c r="T473" i="42" s="1"/>
  <c r="S391" i="42"/>
  <c r="S369" i="42"/>
  <c r="S432" i="42"/>
  <c r="S356" i="42"/>
  <c r="S368" i="42"/>
  <c r="U354" i="42"/>
  <c r="U355" i="42" s="1"/>
  <c r="R61" i="42"/>
  <c r="T59" i="42"/>
  <c r="T60" i="42"/>
  <c r="T58" i="42"/>
  <c r="R63" i="42"/>
  <c r="P65" i="42"/>
  <c r="P66" i="42" s="1"/>
  <c r="S64" i="42"/>
  <c r="S86" i="42"/>
  <c r="V350" i="42"/>
  <c r="V352" i="42" s="1"/>
  <c r="V45" i="42"/>
  <c r="Q65" i="42"/>
  <c r="Q66" i="42" s="1"/>
  <c r="S51" i="42"/>
  <c r="S127" i="42"/>
  <c r="U47" i="42"/>
  <c r="S169" i="42"/>
  <c r="R366" i="42"/>
  <c r="R62" i="42"/>
  <c r="T52" i="42"/>
  <c r="P166" i="41"/>
  <c r="P51" i="41"/>
  <c r="P124" i="41"/>
  <c r="Q167" i="41"/>
  <c r="T350" i="41"/>
  <c r="T352" i="41" s="1"/>
  <c r="T354" i="41" s="1"/>
  <c r="T355" i="41" s="1"/>
  <c r="T45" i="41"/>
  <c r="R49" i="41"/>
  <c r="R50" i="41" s="1"/>
  <c r="P83" i="41"/>
  <c r="P64" i="41"/>
  <c r="S47" i="41"/>
  <c r="S49" i="41" s="1"/>
  <c r="S50" i="41" s="1"/>
  <c r="S52" i="41" s="1"/>
  <c r="R363" i="41"/>
  <c r="R364" i="41"/>
  <c r="R365" i="41"/>
  <c r="R471" i="41" s="1"/>
  <c r="S354" i="41"/>
  <c r="S355" i="41" s="1"/>
  <c r="Q64" i="41"/>
  <c r="Q84" i="41"/>
  <c r="Q51" i="41"/>
  <c r="Q125" i="41"/>
  <c r="W20" i="41"/>
  <c r="U88" i="23"/>
  <c r="U64" i="23"/>
  <c r="V58" i="23"/>
  <c r="V59" i="23"/>
  <c r="V60" i="23"/>
  <c r="V52" i="23"/>
  <c r="R216" i="23"/>
  <c r="R12" i="23" s="1"/>
  <c r="U171" i="23"/>
  <c r="U51" i="23"/>
  <c r="U129" i="23"/>
  <c r="Q370" i="22"/>
  <c r="Q371" i="22" s="1"/>
  <c r="O13" i="22"/>
  <c r="R58" i="22"/>
  <c r="R9" i="22" s="1"/>
  <c r="R21" i="22" s="1"/>
  <c r="R59" i="22"/>
  <c r="R60" i="22"/>
  <c r="R52" i="22"/>
  <c r="P61" i="22"/>
  <c r="R217" i="22"/>
  <c r="P62" i="22"/>
  <c r="P63" i="22"/>
  <c r="P23" i="22"/>
  <c r="T47" i="22"/>
  <c r="T49" i="22" s="1"/>
  <c r="T50" i="22" s="1"/>
  <c r="T52" i="22" s="1"/>
  <c r="Q23" i="22"/>
  <c r="S391" i="22"/>
  <c r="S369" i="22"/>
  <c r="R367" i="22"/>
  <c r="S368" i="22"/>
  <c r="S356" i="22"/>
  <c r="S432" i="22"/>
  <c r="R366" i="22"/>
  <c r="U45" i="22"/>
  <c r="U350" i="22"/>
  <c r="U352" i="22" s="1"/>
  <c r="U200" i="22"/>
  <c r="U202" i="22" s="1"/>
  <c r="U204" i="22" s="1"/>
  <c r="U205" i="22" s="1"/>
  <c r="S60" i="22"/>
  <c r="S59" i="22"/>
  <c r="S58" i="22"/>
  <c r="S9" i="22" s="1"/>
  <c r="S21" i="22" s="1"/>
  <c r="Q63" i="22"/>
  <c r="T354" i="22"/>
  <c r="T355" i="22" s="1"/>
  <c r="S365" i="19"/>
  <c r="Q61" i="19"/>
  <c r="Q62" i="19"/>
  <c r="S366" i="19"/>
  <c r="R63" i="19"/>
  <c r="S63" i="19"/>
  <c r="R126" i="19"/>
  <c r="R51" i="19"/>
  <c r="S64" i="19"/>
  <c r="S86" i="19"/>
  <c r="R85" i="19"/>
  <c r="R64" i="19"/>
  <c r="T367" i="19"/>
  <c r="T355" i="19"/>
  <c r="T432" i="19"/>
  <c r="T391" i="19"/>
  <c r="T368" i="19"/>
  <c r="U353" i="19"/>
  <c r="U354" i="19" s="1"/>
  <c r="V45" i="19"/>
  <c r="V349" i="19"/>
  <c r="V351" i="19" s="1"/>
  <c r="V353" i="19" s="1"/>
  <c r="V354" i="19" s="1"/>
  <c r="U47" i="19"/>
  <c r="U49" i="19" s="1"/>
  <c r="U50" i="19" s="1"/>
  <c r="U52" i="19" s="1"/>
  <c r="T49" i="19"/>
  <c r="T50" i="19" s="1"/>
  <c r="O220" i="19"/>
  <c r="O221" i="19" s="1"/>
  <c r="S127" i="19"/>
  <c r="S51" i="19"/>
  <c r="P217" i="19"/>
  <c r="Q65" i="20"/>
  <c r="Q66" i="20" s="1"/>
  <c r="AM75" i="20"/>
  <c r="AN76" i="20"/>
  <c r="AL74" i="20"/>
  <c r="AJ72" i="20"/>
  <c r="AK73" i="20"/>
  <c r="R62" i="20"/>
  <c r="R370" i="20"/>
  <c r="R371" i="20" s="1"/>
  <c r="R61" i="20"/>
  <c r="T365" i="20"/>
  <c r="T473" i="20" s="1"/>
  <c r="T364" i="20"/>
  <c r="T363" i="20"/>
  <c r="AN169" i="20"/>
  <c r="AK169" i="20"/>
  <c r="AH169" i="20"/>
  <c r="Y169" i="20"/>
  <c r="V169" i="20"/>
  <c r="AE169" i="20"/>
  <c r="AB169" i="20"/>
  <c r="S86" i="20"/>
  <c r="S64" i="20"/>
  <c r="S51" i="20"/>
  <c r="S127" i="20"/>
  <c r="U354" i="20"/>
  <c r="U355" i="20" s="1"/>
  <c r="U47" i="20"/>
  <c r="U49" i="20" s="1"/>
  <c r="U50" i="20" s="1"/>
  <c r="U52" i="20" s="1"/>
  <c r="S356" i="20"/>
  <c r="S432" i="20"/>
  <c r="V350" i="20"/>
  <c r="V352" i="20" s="1"/>
  <c r="V45" i="20"/>
  <c r="Q370" i="20"/>
  <c r="Q371" i="20" s="1"/>
  <c r="S368" i="20"/>
  <c r="T49" i="20"/>
  <c r="T50" i="20" s="1"/>
  <c r="W85" i="20"/>
  <c r="S85" i="20"/>
  <c r="AD85" i="20"/>
  <c r="AC85" i="20"/>
  <c r="T85" i="20"/>
  <c r="AN85" i="20"/>
  <c r="V85" i="20"/>
  <c r="AB85" i="20"/>
  <c r="U85" i="20"/>
  <c r="AH85" i="20"/>
  <c r="Y85" i="20"/>
  <c r="AG85" i="20"/>
  <c r="AM85" i="20"/>
  <c r="AF85" i="20"/>
  <c r="AE85" i="20"/>
  <c r="AK85" i="20"/>
  <c r="AL85" i="20"/>
  <c r="AJ85" i="20"/>
  <c r="Z85" i="20"/>
  <c r="AI85" i="20"/>
  <c r="AA85" i="20"/>
  <c r="X85" i="20"/>
  <c r="S63" i="20"/>
  <c r="S391" i="20"/>
  <c r="S369" i="20"/>
  <c r="S126" i="20"/>
  <c r="AM126" i="20"/>
  <c r="W126" i="20"/>
  <c r="U126" i="20"/>
  <c r="AJ126" i="20"/>
  <c r="AL126" i="20"/>
  <c r="V126" i="20"/>
  <c r="AA126" i="20"/>
  <c r="AI126" i="20"/>
  <c r="Z126" i="20"/>
  <c r="AK126" i="20"/>
  <c r="AG126" i="20"/>
  <c r="AD126" i="20"/>
  <c r="AF126" i="20"/>
  <c r="AC126" i="20"/>
  <c r="AB126" i="20"/>
  <c r="AE126" i="20"/>
  <c r="AN126" i="20"/>
  <c r="AH126" i="20"/>
  <c r="Y126" i="20"/>
  <c r="X126" i="20"/>
  <c r="T126" i="20"/>
  <c r="Q217" i="20"/>
  <c r="R214" i="42"/>
  <c r="R213" i="42"/>
  <c r="R9" i="42" s="1"/>
  <c r="R21" i="42" s="1"/>
  <c r="R215" i="42"/>
  <c r="R207" i="42"/>
  <c r="U200" i="42"/>
  <c r="T202" i="42"/>
  <c r="P218" i="42"/>
  <c r="Q219" i="42"/>
  <c r="Q239" i="42"/>
  <c r="O220" i="42"/>
  <c r="O221" i="42" s="1"/>
  <c r="Q206" i="42"/>
  <c r="Q280" i="42"/>
  <c r="S204" i="42"/>
  <c r="S205" i="42" s="1"/>
  <c r="Q320" i="42"/>
  <c r="R214" i="41"/>
  <c r="R213" i="41"/>
  <c r="R215" i="41"/>
  <c r="R207" i="41"/>
  <c r="AL111" i="41"/>
  <c r="Q320" i="41"/>
  <c r="S204" i="41"/>
  <c r="S205" i="41" s="1"/>
  <c r="T202" i="41"/>
  <c r="Q206" i="41"/>
  <c r="Q280" i="41"/>
  <c r="Q239" i="41"/>
  <c r="Q219" i="41"/>
  <c r="T214" i="23"/>
  <c r="T215" i="23"/>
  <c r="T213" i="23"/>
  <c r="T9" i="23" s="1"/>
  <c r="T21" i="23" s="1"/>
  <c r="T207" i="23"/>
  <c r="AL111" i="23"/>
  <c r="S282" i="23"/>
  <c r="S206" i="23"/>
  <c r="S241" i="23"/>
  <c r="S219" i="23"/>
  <c r="W200" i="23"/>
  <c r="S322" i="23"/>
  <c r="V202" i="23"/>
  <c r="U204" i="23"/>
  <c r="U205" i="23" s="1"/>
  <c r="T215" i="22"/>
  <c r="T213" i="22"/>
  <c r="T214" i="22"/>
  <c r="T207" i="22"/>
  <c r="Q220" i="22"/>
  <c r="Q221" i="22" s="1"/>
  <c r="S322" i="22"/>
  <c r="R216" i="22"/>
  <c r="AN48" i="22"/>
  <c r="S206" i="22"/>
  <c r="S282" i="22"/>
  <c r="S219" i="22"/>
  <c r="S241" i="22"/>
  <c r="Q320" i="19"/>
  <c r="T202" i="19"/>
  <c r="S204" i="19"/>
  <c r="S205" i="19" s="1"/>
  <c r="AK268" i="19"/>
  <c r="Q239" i="19"/>
  <c r="Q219" i="19"/>
  <c r="U200" i="19"/>
  <c r="R215" i="19"/>
  <c r="R213" i="19"/>
  <c r="R9" i="19" s="1"/>
  <c r="R214" i="19"/>
  <c r="R207" i="19"/>
  <c r="Q206" i="19"/>
  <c r="Q280" i="19"/>
  <c r="S215" i="20"/>
  <c r="S214" i="20"/>
  <c r="S213" i="20"/>
  <c r="S207" i="20"/>
  <c r="R206" i="20"/>
  <c r="R281" i="20"/>
  <c r="T204" i="20"/>
  <c r="T205" i="20" s="1"/>
  <c r="U202" i="20"/>
  <c r="Q218" i="20"/>
  <c r="AM113" i="20"/>
  <c r="AN114" i="20"/>
  <c r="R321" i="20"/>
  <c r="R240" i="20"/>
  <c r="R219" i="20"/>
  <c r="V200" i="20"/>
  <c r="G22" i="73"/>
  <c r="F18" i="73"/>
  <c r="Z209" i="42" l="1"/>
  <c r="Z210" i="42" s="1"/>
  <c r="O25" i="19"/>
  <c r="T10" i="23"/>
  <c r="T23" i="23" s="1"/>
  <c r="R10" i="42"/>
  <c r="R23" i="42" s="1"/>
  <c r="S10" i="20"/>
  <c r="S23" i="20" s="1"/>
  <c r="P11" i="22"/>
  <c r="S10" i="22"/>
  <c r="X59" i="52"/>
  <c r="X59" i="32" s="1"/>
  <c r="R10" i="22"/>
  <c r="Q11" i="22"/>
  <c r="S9" i="20"/>
  <c r="S21" i="20" s="1"/>
  <c r="N25" i="19"/>
  <c r="T370" i="23"/>
  <c r="T371" i="23" s="1"/>
  <c r="U366" i="23"/>
  <c r="L11" i="62"/>
  <c r="J7" i="68" s="1"/>
  <c r="R10" i="19"/>
  <c r="R23" i="19" s="1"/>
  <c r="R21" i="19"/>
  <c r="L22" i="62"/>
  <c r="Q25" i="23"/>
  <c r="S7" i="63" s="1"/>
  <c r="U367" i="23"/>
  <c r="V364" i="23"/>
  <c r="V363" i="23"/>
  <c r="V365" i="23"/>
  <c r="V475" i="23" s="1"/>
  <c r="AL128" i="23"/>
  <c r="Y128" i="23"/>
  <c r="AK128" i="23"/>
  <c r="AI128" i="23"/>
  <c r="AG128" i="23"/>
  <c r="W128" i="23"/>
  <c r="AF128" i="23"/>
  <c r="T62" i="23"/>
  <c r="AB128" i="23"/>
  <c r="AA128" i="23"/>
  <c r="Z128" i="23"/>
  <c r="AM128" i="23"/>
  <c r="AJ128" i="23"/>
  <c r="X128" i="23"/>
  <c r="U128" i="23"/>
  <c r="U62" i="23" s="1"/>
  <c r="AH128" i="23"/>
  <c r="AE128" i="23"/>
  <c r="AD128" i="23"/>
  <c r="AC128" i="23"/>
  <c r="V128" i="23"/>
  <c r="AN128" i="23"/>
  <c r="Y434" i="23"/>
  <c r="AL434" i="23"/>
  <c r="AC434" i="23"/>
  <c r="X434" i="23"/>
  <c r="AN434" i="23"/>
  <c r="W434" i="23"/>
  <c r="AA434" i="23"/>
  <c r="Z434" i="23"/>
  <c r="V434" i="23"/>
  <c r="AE434" i="23"/>
  <c r="AK434" i="23"/>
  <c r="AB434" i="23"/>
  <c r="AM434" i="23"/>
  <c r="AG434" i="23"/>
  <c r="AD434" i="23"/>
  <c r="AH434" i="23"/>
  <c r="AJ434" i="23"/>
  <c r="AF434" i="23"/>
  <c r="AI434" i="23"/>
  <c r="W47" i="23"/>
  <c r="W49" i="23" s="1"/>
  <c r="W50" i="23" s="1"/>
  <c r="W52" i="23" s="1"/>
  <c r="AH87" i="23"/>
  <c r="AA87" i="23"/>
  <c r="AJ87" i="23"/>
  <c r="AN87" i="23"/>
  <c r="AG87" i="23"/>
  <c r="AF87" i="23"/>
  <c r="AK87" i="23"/>
  <c r="AC87" i="23"/>
  <c r="V87" i="23"/>
  <c r="X87" i="23"/>
  <c r="AI87" i="23"/>
  <c r="AM87" i="23"/>
  <c r="Y87" i="23"/>
  <c r="W87" i="23"/>
  <c r="AD87" i="23"/>
  <c r="U87" i="23"/>
  <c r="U61" i="23" s="1"/>
  <c r="AL87" i="23"/>
  <c r="AE87" i="23"/>
  <c r="Z87" i="23"/>
  <c r="T61" i="23"/>
  <c r="AB87" i="23"/>
  <c r="W363" i="23"/>
  <c r="W364" i="23"/>
  <c r="W365" i="23"/>
  <c r="W476" i="23" s="1"/>
  <c r="AD393" i="23"/>
  <c r="AA393" i="23"/>
  <c r="Y393" i="23"/>
  <c r="AI393" i="23"/>
  <c r="AH393" i="23"/>
  <c r="AM393" i="23"/>
  <c r="AE393" i="23"/>
  <c r="AB393" i="23"/>
  <c r="AK393" i="23"/>
  <c r="Z393" i="23"/>
  <c r="W393" i="23"/>
  <c r="AN393" i="23"/>
  <c r="AJ393" i="23"/>
  <c r="X393" i="23"/>
  <c r="V393" i="23"/>
  <c r="AF393" i="23"/>
  <c r="AC393" i="23"/>
  <c r="AL393" i="23"/>
  <c r="AG393" i="23"/>
  <c r="X45" i="23"/>
  <c r="X47" i="23" s="1"/>
  <c r="X49" i="23" s="1"/>
  <c r="X350" i="23"/>
  <c r="X352" i="23" s="1"/>
  <c r="X354" i="23" s="1"/>
  <c r="X355" i="23" s="1"/>
  <c r="X365" i="23" s="1"/>
  <c r="X477" i="23" s="1"/>
  <c r="L73" i="61"/>
  <c r="L79" i="61" s="1"/>
  <c r="Q11" i="20"/>
  <c r="P11" i="19"/>
  <c r="P18" i="19" s="1"/>
  <c r="P11" i="42"/>
  <c r="P13" i="42" s="1"/>
  <c r="P12" i="19"/>
  <c r="P16" i="19" s="1"/>
  <c r="P18" i="20"/>
  <c r="L27" i="61"/>
  <c r="L49" i="61" s="1"/>
  <c r="O25" i="42"/>
  <c r="P12" i="22"/>
  <c r="P16" i="22" s="1"/>
  <c r="Q12" i="22"/>
  <c r="Q16" i="22" s="1"/>
  <c r="Q12" i="20"/>
  <c r="Q16" i="20" s="1"/>
  <c r="M23" i="63"/>
  <c r="M29" i="63" s="1"/>
  <c r="R11" i="23"/>
  <c r="R18" i="23" s="1"/>
  <c r="N23" i="63"/>
  <c r="L22" i="63"/>
  <c r="L51" i="63"/>
  <c r="L73" i="63"/>
  <c r="L79" i="63" s="1"/>
  <c r="L49" i="63"/>
  <c r="L33" i="63"/>
  <c r="L12" i="57"/>
  <c r="L23" i="57"/>
  <c r="M29" i="61"/>
  <c r="M45" i="61"/>
  <c r="L42" i="62"/>
  <c r="Y59" i="51"/>
  <c r="X71" i="51"/>
  <c r="L23" i="60"/>
  <c r="H11" i="45"/>
  <c r="AN269" i="23"/>
  <c r="AM268" i="23"/>
  <c r="AM228" i="23"/>
  <c r="AN229" i="23"/>
  <c r="AL227" i="23"/>
  <c r="S218" i="23"/>
  <c r="AN322" i="23"/>
  <c r="AK322" i="23"/>
  <c r="AH322" i="23"/>
  <c r="AE322" i="23"/>
  <c r="AB322" i="23"/>
  <c r="Y322" i="23"/>
  <c r="V322" i="23"/>
  <c r="AH282" i="23"/>
  <c r="V282" i="23"/>
  <c r="AG282" i="23"/>
  <c r="U282" i="23"/>
  <c r="AF282" i="23"/>
  <c r="T282" i="23"/>
  <c r="AE282" i="23"/>
  <c r="AD282" i="23"/>
  <c r="AC282" i="23"/>
  <c r="AB282" i="23"/>
  <c r="AK282" i="23"/>
  <c r="AJ282" i="23"/>
  <c r="AI282" i="23"/>
  <c r="AA282" i="23"/>
  <c r="Z282" i="23"/>
  <c r="Y282" i="23"/>
  <c r="X282" i="23"/>
  <c r="W282" i="23"/>
  <c r="AN282" i="23"/>
  <c r="AM282" i="23"/>
  <c r="AL282" i="23"/>
  <c r="Q13" i="23"/>
  <c r="AH241" i="23"/>
  <c r="V241" i="23"/>
  <c r="AG241" i="23"/>
  <c r="U241" i="23"/>
  <c r="AF241" i="23"/>
  <c r="T241" i="23"/>
  <c r="AE241" i="23"/>
  <c r="AA241" i="23"/>
  <c r="Y241" i="23"/>
  <c r="AN241" i="23"/>
  <c r="W241" i="23"/>
  <c r="Z241" i="23"/>
  <c r="X241" i="23"/>
  <c r="AM241" i="23"/>
  <c r="AJ241" i="23"/>
  <c r="AI241" i="23"/>
  <c r="AD241" i="23"/>
  <c r="AC241" i="23"/>
  <c r="AB241" i="23"/>
  <c r="AK241" i="23"/>
  <c r="AL241" i="23"/>
  <c r="AM113" i="23"/>
  <c r="AN114" i="23"/>
  <c r="AN268" i="23"/>
  <c r="R16" i="23"/>
  <c r="S217" i="23"/>
  <c r="AM171" i="23"/>
  <c r="AJ171" i="23"/>
  <c r="AG171" i="23"/>
  <c r="AD171" i="23"/>
  <c r="X171" i="23"/>
  <c r="AA171" i="23"/>
  <c r="AE129" i="23"/>
  <c r="AC129" i="23"/>
  <c r="AN129" i="23"/>
  <c r="AB129" i="23"/>
  <c r="AM129" i="23"/>
  <c r="AA129" i="23"/>
  <c r="AD129" i="23"/>
  <c r="Z129" i="23"/>
  <c r="Y129" i="23"/>
  <c r="X129" i="23"/>
  <c r="W129" i="23"/>
  <c r="AI129" i="23"/>
  <c r="AH129" i="23"/>
  <c r="AG129" i="23"/>
  <c r="AF129" i="23"/>
  <c r="AL129" i="23"/>
  <c r="AK129" i="23"/>
  <c r="AJ129" i="23"/>
  <c r="V129" i="23"/>
  <c r="AE88" i="23"/>
  <c r="AD88" i="23"/>
  <c r="AM88" i="23"/>
  <c r="AA88" i="23"/>
  <c r="AH88" i="23"/>
  <c r="AG88" i="23"/>
  <c r="AF88" i="23"/>
  <c r="AC88" i="23"/>
  <c r="Y88" i="23"/>
  <c r="X88" i="23"/>
  <c r="W88" i="23"/>
  <c r="V88" i="23"/>
  <c r="AL88" i="23"/>
  <c r="AK88" i="23"/>
  <c r="AJ88" i="23"/>
  <c r="AI88" i="23"/>
  <c r="AB88" i="23"/>
  <c r="Z88" i="23"/>
  <c r="AN88" i="23"/>
  <c r="AH432" i="22"/>
  <c r="V432" i="22"/>
  <c r="AG432" i="22"/>
  <c r="U432" i="22"/>
  <c r="AF432" i="22"/>
  <c r="T432" i="22"/>
  <c r="AE432" i="22"/>
  <c r="AD432" i="22"/>
  <c r="AC432" i="22"/>
  <c r="AB432" i="22"/>
  <c r="AA432" i="22"/>
  <c r="Z432" i="22"/>
  <c r="Y432" i="22"/>
  <c r="AN432" i="22"/>
  <c r="X432" i="22"/>
  <c r="AI432" i="22"/>
  <c r="W432" i="22"/>
  <c r="AM432" i="22"/>
  <c r="AL432" i="22"/>
  <c r="AK432" i="22"/>
  <c r="AJ432" i="22"/>
  <c r="AH391" i="22"/>
  <c r="V391" i="22"/>
  <c r="AF391" i="22"/>
  <c r="T391" i="22"/>
  <c r="AE391" i="22"/>
  <c r="AN391" i="22"/>
  <c r="Y391" i="22"/>
  <c r="AL391" i="22"/>
  <c r="W391" i="22"/>
  <c r="AM391" i="22"/>
  <c r="X391" i="22"/>
  <c r="AK391" i="22"/>
  <c r="U391" i="22"/>
  <c r="AJ391" i="22"/>
  <c r="AB391" i="22"/>
  <c r="AA391" i="22"/>
  <c r="AI391" i="22"/>
  <c r="AG391" i="22"/>
  <c r="AD391" i="22"/>
  <c r="AC391" i="22"/>
  <c r="Z391" i="22"/>
  <c r="AM269" i="22"/>
  <c r="AN270" i="22"/>
  <c r="AM228" i="22"/>
  <c r="AL227" i="22"/>
  <c r="AN229" i="22"/>
  <c r="S218" i="22"/>
  <c r="AN322" i="22"/>
  <c r="AK322" i="22"/>
  <c r="AH322" i="22"/>
  <c r="AE322" i="22"/>
  <c r="AB322" i="22"/>
  <c r="Y322" i="22"/>
  <c r="V322" i="22"/>
  <c r="AH282" i="22"/>
  <c r="V282" i="22"/>
  <c r="AF282" i="22"/>
  <c r="T282" i="22"/>
  <c r="AG282" i="22"/>
  <c r="U282" i="22"/>
  <c r="Z282" i="22"/>
  <c r="AM282" i="22"/>
  <c r="X282" i="22"/>
  <c r="AL282" i="22"/>
  <c r="W282" i="22"/>
  <c r="AK282" i="22"/>
  <c r="AJ282" i="22"/>
  <c r="AN282" i="22"/>
  <c r="Y282" i="22"/>
  <c r="AA282" i="22"/>
  <c r="AI282" i="22"/>
  <c r="AE282" i="22"/>
  <c r="AD282" i="22"/>
  <c r="AC282" i="22"/>
  <c r="AB282" i="22"/>
  <c r="AG241" i="22"/>
  <c r="U241" i="22"/>
  <c r="AE241" i="22"/>
  <c r="AD241" i="22"/>
  <c r="AN241" i="22"/>
  <c r="Y241" i="22"/>
  <c r="AM241" i="22"/>
  <c r="X241" i="22"/>
  <c r="AL241" i="22"/>
  <c r="W241" i="22"/>
  <c r="AK241" i="22"/>
  <c r="V241" i="22"/>
  <c r="AJ241" i="22"/>
  <c r="T241" i="22"/>
  <c r="AI241" i="22"/>
  <c r="AH241" i="22"/>
  <c r="AB241" i="22"/>
  <c r="AF241" i="22"/>
  <c r="AC241" i="22"/>
  <c r="AA241" i="22"/>
  <c r="Z241" i="22"/>
  <c r="AN269" i="22"/>
  <c r="AL268" i="22"/>
  <c r="S216" i="22"/>
  <c r="AL432" i="19"/>
  <c r="Z432" i="19"/>
  <c r="AJ432" i="19"/>
  <c r="X432" i="19"/>
  <c r="AK432" i="19"/>
  <c r="Y432" i="19"/>
  <c r="AI432" i="19"/>
  <c r="AH432" i="19"/>
  <c r="AG432" i="19"/>
  <c r="AF432" i="19"/>
  <c r="V432" i="19"/>
  <c r="U432" i="19"/>
  <c r="AN432" i="19"/>
  <c r="AM432" i="19"/>
  <c r="AE432" i="19"/>
  <c r="AD432" i="19"/>
  <c r="AC432" i="19"/>
  <c r="AB432" i="19"/>
  <c r="AA432" i="19"/>
  <c r="W432" i="19"/>
  <c r="AL391" i="19"/>
  <c r="Z391" i="19"/>
  <c r="AK391" i="19"/>
  <c r="Y391" i="19"/>
  <c r="AJ391" i="19"/>
  <c r="X391" i="19"/>
  <c r="AI391" i="19"/>
  <c r="W391" i="19"/>
  <c r="AH391" i="19"/>
  <c r="V391" i="19"/>
  <c r="AG391" i="19"/>
  <c r="U391" i="19"/>
  <c r="AF391" i="19"/>
  <c r="AA391" i="19"/>
  <c r="AN391" i="19"/>
  <c r="AM391" i="19"/>
  <c r="AE391" i="19"/>
  <c r="AD391" i="19"/>
  <c r="AC391" i="19"/>
  <c r="AB391" i="19"/>
  <c r="AN228" i="19"/>
  <c r="AM227" i="19"/>
  <c r="AN270" i="19"/>
  <c r="AM269" i="19"/>
  <c r="Q218" i="19"/>
  <c r="AL320" i="19"/>
  <c r="AI320" i="19"/>
  <c r="AF320" i="19"/>
  <c r="AC320" i="19"/>
  <c r="T320" i="19"/>
  <c r="W320" i="19"/>
  <c r="Z320" i="19"/>
  <c r="P220" i="19"/>
  <c r="P221" i="19" s="1"/>
  <c r="AC280" i="19"/>
  <c r="AM280" i="19"/>
  <c r="AA280" i="19"/>
  <c r="AL280" i="19"/>
  <c r="Z280" i="19"/>
  <c r="AI280" i="19"/>
  <c r="T280" i="19"/>
  <c r="AH280" i="19"/>
  <c r="S280" i="19"/>
  <c r="AG280" i="19"/>
  <c r="R280" i="19"/>
  <c r="AF280" i="19"/>
  <c r="AE280" i="19"/>
  <c r="AD280" i="19"/>
  <c r="AB280" i="19"/>
  <c r="U280" i="19"/>
  <c r="AN280" i="19"/>
  <c r="X280" i="19"/>
  <c r="W280" i="19"/>
  <c r="V280" i="19"/>
  <c r="AK280" i="19"/>
  <c r="AJ280" i="19"/>
  <c r="Y280" i="19"/>
  <c r="AM239" i="19"/>
  <c r="AA239" i="19"/>
  <c r="AL239" i="19"/>
  <c r="Z239" i="19"/>
  <c r="AG239" i="19"/>
  <c r="S239" i="19"/>
  <c r="AF239" i="19"/>
  <c r="R239" i="19"/>
  <c r="AE239" i="19"/>
  <c r="AC239" i="19"/>
  <c r="AB239" i="19"/>
  <c r="Y239" i="19"/>
  <c r="AD239" i="19"/>
  <c r="U239" i="19"/>
  <c r="T239" i="19"/>
  <c r="AN239" i="19"/>
  <c r="AK239" i="19"/>
  <c r="AJ239" i="19"/>
  <c r="AI239" i="19"/>
  <c r="AH239" i="19"/>
  <c r="X239" i="19"/>
  <c r="W239" i="19"/>
  <c r="V239" i="19"/>
  <c r="AN114" i="19"/>
  <c r="AM113" i="19"/>
  <c r="Q216" i="19"/>
  <c r="Q12" i="19" s="1"/>
  <c r="AD126" i="19"/>
  <c r="AC126" i="19"/>
  <c r="AN126" i="19"/>
  <c r="AB126" i="19"/>
  <c r="AM126" i="19"/>
  <c r="AA126" i="19"/>
  <c r="AI126" i="19"/>
  <c r="S126" i="19"/>
  <c r="S62" i="19" s="1"/>
  <c r="AH126" i="19"/>
  <c r="AG126" i="19"/>
  <c r="AE126" i="19"/>
  <c r="AF126" i="19"/>
  <c r="Z126" i="19"/>
  <c r="Y126" i="19"/>
  <c r="X126" i="19"/>
  <c r="V126" i="19"/>
  <c r="U126" i="19"/>
  <c r="T126" i="19"/>
  <c r="W126" i="19"/>
  <c r="AK126" i="19"/>
  <c r="AJ126" i="19"/>
  <c r="AL126" i="19"/>
  <c r="AG127" i="19"/>
  <c r="U127" i="19"/>
  <c r="AF127" i="19"/>
  <c r="T127" i="19"/>
  <c r="AE127" i="19"/>
  <c r="AD127" i="19"/>
  <c r="AH127" i="19"/>
  <c r="AC127" i="19"/>
  <c r="AB127" i="19"/>
  <c r="Z127" i="19"/>
  <c r="AL127" i="19"/>
  <c r="V127" i="19"/>
  <c r="AK127" i="19"/>
  <c r="AJ127" i="19"/>
  <c r="AI127" i="19"/>
  <c r="Y127" i="19"/>
  <c r="X127" i="19"/>
  <c r="W127" i="19"/>
  <c r="AA127" i="19"/>
  <c r="AN127" i="19"/>
  <c r="AM127" i="19"/>
  <c r="AD85" i="19"/>
  <c r="AN85" i="19"/>
  <c r="AC85" i="19"/>
  <c r="AB85" i="19"/>
  <c r="AL85" i="19"/>
  <c r="W85" i="19"/>
  <c r="AJ85" i="19"/>
  <c r="U85" i="19"/>
  <c r="AK85" i="19"/>
  <c r="V85" i="19"/>
  <c r="AH85" i="19"/>
  <c r="S85" i="19"/>
  <c r="S61" i="19" s="1"/>
  <c r="Y85" i="19"/>
  <c r="X85" i="19"/>
  <c r="AM85" i="19"/>
  <c r="AI85" i="19"/>
  <c r="AG85" i="19"/>
  <c r="AF85" i="19"/>
  <c r="AE85" i="19"/>
  <c r="T85" i="19"/>
  <c r="AA85" i="19"/>
  <c r="Z85" i="19"/>
  <c r="AG86" i="19"/>
  <c r="U86" i="19"/>
  <c r="AF86" i="19"/>
  <c r="T86" i="19"/>
  <c r="AE86" i="19"/>
  <c r="AI86" i="19"/>
  <c r="AD86" i="19"/>
  <c r="AH86" i="19"/>
  <c r="AB86" i="19"/>
  <c r="Z86" i="19"/>
  <c r="Y86" i="19"/>
  <c r="AN86" i="19"/>
  <c r="AM86" i="19"/>
  <c r="AL86" i="19"/>
  <c r="AK86" i="19"/>
  <c r="AJ86" i="19"/>
  <c r="AC86" i="19"/>
  <c r="X86" i="19"/>
  <c r="W86" i="19"/>
  <c r="V86" i="19"/>
  <c r="AA86" i="19"/>
  <c r="O13" i="19"/>
  <c r="W473" i="20"/>
  <c r="AL473" i="20"/>
  <c r="AI473" i="20"/>
  <c r="AF473" i="20"/>
  <c r="AC473" i="20"/>
  <c r="Z473" i="20"/>
  <c r="AG432" i="20"/>
  <c r="U432" i="20"/>
  <c r="AF432" i="20"/>
  <c r="T432" i="20"/>
  <c r="AD432" i="20"/>
  <c r="AB432" i="20"/>
  <c r="AC432" i="20"/>
  <c r="AN432" i="20"/>
  <c r="W432" i="20"/>
  <c r="AM432" i="20"/>
  <c r="V432" i="20"/>
  <c r="AL432" i="20"/>
  <c r="Z432" i="20"/>
  <c r="Y432" i="20"/>
  <c r="X432" i="20"/>
  <c r="AE432" i="20"/>
  <c r="AK432" i="20"/>
  <c r="AJ432" i="20"/>
  <c r="AI432" i="20"/>
  <c r="AH432" i="20"/>
  <c r="AA432" i="20"/>
  <c r="AH391" i="20"/>
  <c r="V391" i="20"/>
  <c r="AG391" i="20"/>
  <c r="U391" i="20"/>
  <c r="AF391" i="20"/>
  <c r="T391" i="20"/>
  <c r="AL391" i="20"/>
  <c r="W391" i="20"/>
  <c r="AK391" i="20"/>
  <c r="AJ391" i="20"/>
  <c r="AI391" i="20"/>
  <c r="X391" i="20"/>
  <c r="AM391" i="20"/>
  <c r="AE391" i="20"/>
  <c r="AN391" i="20"/>
  <c r="AC391" i="20"/>
  <c r="AD391" i="20"/>
  <c r="AB391" i="20"/>
  <c r="AA391" i="20"/>
  <c r="Z391" i="20"/>
  <c r="Y391" i="20"/>
  <c r="AM269" i="20"/>
  <c r="AL268" i="20"/>
  <c r="AN270" i="20"/>
  <c r="AN228" i="20"/>
  <c r="AM227" i="20"/>
  <c r="R218" i="20"/>
  <c r="AG321" i="20"/>
  <c r="AD321" i="20"/>
  <c r="AA321" i="20"/>
  <c r="X321" i="20"/>
  <c r="U321" i="20"/>
  <c r="AM321" i="20"/>
  <c r="AJ321" i="20"/>
  <c r="AE281" i="20"/>
  <c r="S281" i="20"/>
  <c r="AD281" i="20"/>
  <c r="AM281" i="20"/>
  <c r="Y281" i="20"/>
  <c r="AL281" i="20"/>
  <c r="X281" i="20"/>
  <c r="AK281" i="20"/>
  <c r="W281" i="20"/>
  <c r="AI281" i="20"/>
  <c r="AH281" i="20"/>
  <c r="AG281" i="20"/>
  <c r="AF281" i="20"/>
  <c r="AC281" i="20"/>
  <c r="AJ281" i="20"/>
  <c r="U281" i="20"/>
  <c r="AB281" i="20"/>
  <c r="AA281" i="20"/>
  <c r="Z281" i="20"/>
  <c r="V281" i="20"/>
  <c r="T281" i="20"/>
  <c r="AN281" i="20"/>
  <c r="AE240" i="20"/>
  <c r="S240" i="20"/>
  <c r="AD240" i="20"/>
  <c r="AM240" i="20"/>
  <c r="AA240" i="20"/>
  <c r="AC240" i="20"/>
  <c r="AB240" i="20"/>
  <c r="Z240" i="20"/>
  <c r="Y240" i="20"/>
  <c r="AN240" i="20"/>
  <c r="X240" i="20"/>
  <c r="AL240" i="20"/>
  <c r="AG240" i="20"/>
  <c r="AF240" i="20"/>
  <c r="W240" i="20"/>
  <c r="V240" i="20"/>
  <c r="AK240" i="20"/>
  <c r="AJ240" i="20"/>
  <c r="AI240" i="20"/>
  <c r="AH240" i="20"/>
  <c r="U240" i="20"/>
  <c r="T240" i="20"/>
  <c r="AM269" i="42"/>
  <c r="AL268" i="42"/>
  <c r="AN270" i="42"/>
  <c r="AN229" i="42"/>
  <c r="AM228" i="42"/>
  <c r="AL227" i="42"/>
  <c r="AC473" i="42"/>
  <c r="Z473" i="42"/>
  <c r="W473" i="42"/>
  <c r="AL473" i="42"/>
  <c r="AI473" i="42"/>
  <c r="AF473" i="42"/>
  <c r="AH432" i="42"/>
  <c r="V432" i="42"/>
  <c r="AG432" i="42"/>
  <c r="U432" i="42"/>
  <c r="AF432" i="42"/>
  <c r="T432" i="42"/>
  <c r="AE432" i="42"/>
  <c r="AI432" i="42"/>
  <c r="AD432" i="42"/>
  <c r="AC432" i="42"/>
  <c r="AB432" i="42"/>
  <c r="AA432" i="42"/>
  <c r="Z432" i="42"/>
  <c r="Y432" i="42"/>
  <c r="AJ432" i="42"/>
  <c r="W432" i="42"/>
  <c r="X432" i="42"/>
  <c r="AK432" i="42"/>
  <c r="AN432" i="42"/>
  <c r="AM432" i="42"/>
  <c r="AL432" i="42"/>
  <c r="R370" i="42"/>
  <c r="R371" i="42" s="1"/>
  <c r="AH391" i="42"/>
  <c r="V391" i="42"/>
  <c r="AG391" i="42"/>
  <c r="U391" i="42"/>
  <c r="AF391" i="42"/>
  <c r="T391" i="42"/>
  <c r="AE391" i="42"/>
  <c r="AD391" i="42"/>
  <c r="AC391" i="42"/>
  <c r="AB391" i="42"/>
  <c r="AA391" i="42"/>
  <c r="Z391" i="42"/>
  <c r="Y391" i="42"/>
  <c r="AN391" i="42"/>
  <c r="X391" i="42"/>
  <c r="AJ391" i="42"/>
  <c r="W391" i="42"/>
  <c r="AI391" i="42"/>
  <c r="AK391" i="42"/>
  <c r="AM391" i="42"/>
  <c r="AL391" i="42"/>
  <c r="Q216" i="42"/>
  <c r="Q16" i="42" s="1"/>
  <c r="AL320" i="42"/>
  <c r="AI320" i="42"/>
  <c r="AF320" i="42"/>
  <c r="AC320" i="42"/>
  <c r="Z320" i="42"/>
  <c r="W320" i="42"/>
  <c r="T320" i="42"/>
  <c r="AC280" i="42"/>
  <c r="AM280" i="42"/>
  <c r="AA280" i="42"/>
  <c r="AL280" i="42"/>
  <c r="Z280" i="42"/>
  <c r="AI280" i="42"/>
  <c r="T280" i="42"/>
  <c r="AG280" i="42"/>
  <c r="R280" i="42"/>
  <c r="AF280" i="42"/>
  <c r="AE280" i="42"/>
  <c r="AD280" i="42"/>
  <c r="Y280" i="42"/>
  <c r="X280" i="42"/>
  <c r="W280" i="42"/>
  <c r="V280" i="42"/>
  <c r="U280" i="42"/>
  <c r="S280" i="42"/>
  <c r="AN280" i="42"/>
  <c r="AK280" i="42"/>
  <c r="AJ280" i="42"/>
  <c r="AH280" i="42"/>
  <c r="AB280" i="42"/>
  <c r="AC239" i="42"/>
  <c r="AN239" i="42"/>
  <c r="AB239" i="42"/>
  <c r="AM239" i="42"/>
  <c r="AA239" i="42"/>
  <c r="AL239" i="42"/>
  <c r="Z239" i="42"/>
  <c r="AK239" i="42"/>
  <c r="U239" i="42"/>
  <c r="AJ239" i="42"/>
  <c r="T239" i="42"/>
  <c r="R239" i="42"/>
  <c r="AH239" i="42"/>
  <c r="AG239" i="42"/>
  <c r="AD239" i="42"/>
  <c r="AI239" i="42"/>
  <c r="AF239" i="42"/>
  <c r="AE239" i="42"/>
  <c r="Y239" i="42"/>
  <c r="S239" i="42"/>
  <c r="W239" i="42"/>
  <c r="V239" i="42"/>
  <c r="X239" i="42"/>
  <c r="O13" i="42"/>
  <c r="J10" i="45"/>
  <c r="S63" i="42"/>
  <c r="AN169" i="42"/>
  <c r="AK169" i="42"/>
  <c r="AH169" i="42"/>
  <c r="AB169" i="42"/>
  <c r="Y169" i="42"/>
  <c r="V169" i="42"/>
  <c r="AE169" i="42"/>
  <c r="AH127" i="42"/>
  <c r="V127" i="42"/>
  <c r="AD127" i="42"/>
  <c r="AG127" i="42"/>
  <c r="U127" i="42"/>
  <c r="AF127" i="42"/>
  <c r="T127" i="42"/>
  <c r="AE127" i="42"/>
  <c r="AC127" i="42"/>
  <c r="AN127" i="42"/>
  <c r="AB127" i="42"/>
  <c r="W127" i="42"/>
  <c r="AM127" i="42"/>
  <c r="AK127" i="42"/>
  <c r="X127" i="42"/>
  <c r="AL127" i="42"/>
  <c r="AJ127" i="42"/>
  <c r="Z127" i="42"/>
  <c r="AA127" i="42"/>
  <c r="Y127" i="42"/>
  <c r="AI127" i="42"/>
  <c r="AH86" i="42"/>
  <c r="V86" i="42"/>
  <c r="AG86" i="42"/>
  <c r="U86" i="42"/>
  <c r="AF86" i="42"/>
  <c r="T86" i="42"/>
  <c r="AN86" i="42"/>
  <c r="Y86" i="42"/>
  <c r="AM86" i="42"/>
  <c r="X86" i="42"/>
  <c r="AL86" i="42"/>
  <c r="W86" i="42"/>
  <c r="AK86" i="42"/>
  <c r="AJ86" i="42"/>
  <c r="AC86" i="42"/>
  <c r="AB86" i="42"/>
  <c r="Z86" i="42"/>
  <c r="AI86" i="42"/>
  <c r="AE86" i="42"/>
  <c r="AD86" i="42"/>
  <c r="AA86" i="42"/>
  <c r="S61" i="42"/>
  <c r="AG471" i="41"/>
  <c r="AD471" i="41"/>
  <c r="AA471" i="41"/>
  <c r="X471" i="41"/>
  <c r="U471" i="41"/>
  <c r="AJ471" i="41"/>
  <c r="AM471" i="41"/>
  <c r="AM113" i="41"/>
  <c r="AN114" i="41"/>
  <c r="AN270" i="41"/>
  <c r="AL268" i="41"/>
  <c r="AM269" i="41"/>
  <c r="Q218" i="41"/>
  <c r="AC320" i="41"/>
  <c r="Z320" i="41"/>
  <c r="W320" i="41"/>
  <c r="AI320" i="41"/>
  <c r="AF320" i="41"/>
  <c r="AL320" i="41"/>
  <c r="T320" i="41"/>
  <c r="AC280" i="41"/>
  <c r="AN280" i="41"/>
  <c r="AB280" i="41"/>
  <c r="AK280" i="41"/>
  <c r="Y280" i="41"/>
  <c r="AI280" i="41"/>
  <c r="T280" i="41"/>
  <c r="AH280" i="41"/>
  <c r="S280" i="41"/>
  <c r="AG280" i="41"/>
  <c r="R280" i="41"/>
  <c r="AF280" i="41"/>
  <c r="X280" i="41"/>
  <c r="W280" i="41"/>
  <c r="V280" i="41"/>
  <c r="U280" i="41"/>
  <c r="AJ280" i="41"/>
  <c r="AE280" i="41"/>
  <c r="AL280" i="41"/>
  <c r="AM280" i="41"/>
  <c r="AA280" i="41"/>
  <c r="AD280" i="41"/>
  <c r="Z280" i="41"/>
  <c r="AN239" i="41"/>
  <c r="AB239" i="41"/>
  <c r="AM239" i="41"/>
  <c r="AA239" i="41"/>
  <c r="AK239" i="41"/>
  <c r="Y239" i="41"/>
  <c r="AF239" i="41"/>
  <c r="AE239" i="41"/>
  <c r="Z239" i="41"/>
  <c r="X239" i="41"/>
  <c r="AL239" i="41"/>
  <c r="AJ239" i="41"/>
  <c r="W239" i="41"/>
  <c r="V239" i="41"/>
  <c r="U239" i="41"/>
  <c r="T239" i="41"/>
  <c r="S239" i="41"/>
  <c r="R239" i="41"/>
  <c r="AC239" i="41"/>
  <c r="AI239" i="41"/>
  <c r="AH239" i="41"/>
  <c r="AG239" i="41"/>
  <c r="AD239" i="41"/>
  <c r="AN166" i="41"/>
  <c r="AK166" i="41"/>
  <c r="AH166" i="41"/>
  <c r="AE166" i="41"/>
  <c r="AB166" i="41"/>
  <c r="Y166" i="41"/>
  <c r="V166" i="41"/>
  <c r="S166" i="41"/>
  <c r="AI167" i="41"/>
  <c r="AC167" i="41"/>
  <c r="AL167" i="41"/>
  <c r="AF167" i="41"/>
  <c r="W167" i="41"/>
  <c r="Z167" i="41"/>
  <c r="T167" i="41"/>
  <c r="AN124" i="41"/>
  <c r="AB124" i="41"/>
  <c r="AL124" i="41"/>
  <c r="Z124" i="41"/>
  <c r="AK124" i="41"/>
  <c r="Y124" i="41"/>
  <c r="AA124" i="41"/>
  <c r="W124" i="41"/>
  <c r="X124" i="41"/>
  <c r="T124" i="41"/>
  <c r="Q124" i="41"/>
  <c r="AH124" i="41"/>
  <c r="AG124" i="41"/>
  <c r="AF124" i="41"/>
  <c r="AE124" i="41"/>
  <c r="AM124" i="41"/>
  <c r="S124" i="41"/>
  <c r="AJ124" i="41"/>
  <c r="R124" i="41"/>
  <c r="AI124" i="41"/>
  <c r="U124" i="41"/>
  <c r="AD124" i="41"/>
  <c r="AC124" i="41"/>
  <c r="V124" i="41"/>
  <c r="AC125" i="41"/>
  <c r="AM125" i="41"/>
  <c r="AA125" i="41"/>
  <c r="AL125" i="41"/>
  <c r="Z125" i="41"/>
  <c r="AI125" i="41"/>
  <c r="T125" i="41"/>
  <c r="AG125" i="41"/>
  <c r="R125" i="41"/>
  <c r="AH125" i="41"/>
  <c r="S125" i="41"/>
  <c r="U125" i="41"/>
  <c r="AJ125" i="41"/>
  <c r="AF125" i="41"/>
  <c r="AE125" i="41"/>
  <c r="AD125" i="41"/>
  <c r="AB125" i="41"/>
  <c r="AN125" i="41"/>
  <c r="AK125" i="41"/>
  <c r="Y125" i="41"/>
  <c r="X125" i="41"/>
  <c r="W125" i="41"/>
  <c r="V125" i="41"/>
  <c r="AC84" i="41"/>
  <c r="AM84" i="41"/>
  <c r="AA84" i="41"/>
  <c r="AL84" i="41"/>
  <c r="Z84" i="41"/>
  <c r="AN84" i="41"/>
  <c r="W84" i="41"/>
  <c r="V84" i="41"/>
  <c r="AJ84" i="41"/>
  <c r="U84" i="41"/>
  <c r="AK84" i="41"/>
  <c r="AI84" i="41"/>
  <c r="AG84" i="41"/>
  <c r="AF84" i="41"/>
  <c r="AE84" i="41"/>
  <c r="AD84" i="41"/>
  <c r="AB84" i="41"/>
  <c r="AH84" i="41"/>
  <c r="T84" i="41"/>
  <c r="S84" i="41"/>
  <c r="R84" i="41"/>
  <c r="Y84" i="41"/>
  <c r="X84" i="41"/>
  <c r="AN83" i="41"/>
  <c r="AB83" i="41"/>
  <c r="AL83" i="41"/>
  <c r="Z83" i="41"/>
  <c r="AK83" i="41"/>
  <c r="Y83" i="41"/>
  <c r="AE83" i="41"/>
  <c r="AC83" i="41"/>
  <c r="AD83" i="41"/>
  <c r="AM83" i="41"/>
  <c r="S83" i="41"/>
  <c r="AI83" i="41"/>
  <c r="Q83" i="41"/>
  <c r="AH83" i="41"/>
  <c r="AG83" i="41"/>
  <c r="AF83" i="41"/>
  <c r="AA83" i="41"/>
  <c r="AJ83" i="41"/>
  <c r="R83" i="41"/>
  <c r="T83" i="41"/>
  <c r="X83" i="41"/>
  <c r="W83" i="41"/>
  <c r="V83" i="41"/>
  <c r="U83" i="41"/>
  <c r="S40" i="16"/>
  <c r="R42" i="16"/>
  <c r="S367" i="22"/>
  <c r="H7" i="45"/>
  <c r="I7" i="45"/>
  <c r="U200" i="41"/>
  <c r="U202" i="41" s="1"/>
  <c r="R62" i="19"/>
  <c r="AM225" i="19"/>
  <c r="AN227" i="19" s="1"/>
  <c r="S369" i="19"/>
  <c r="S370" i="19" s="1"/>
  <c r="Q65" i="19"/>
  <c r="Q66" i="19" s="1"/>
  <c r="I6" i="45"/>
  <c r="AE45" i="16"/>
  <c r="J5" i="45"/>
  <c r="P220" i="42"/>
  <c r="P221" i="42" s="1"/>
  <c r="S62" i="42"/>
  <c r="T87" i="42"/>
  <c r="T64" i="42"/>
  <c r="U365" i="42"/>
  <c r="U474" i="42" s="1"/>
  <c r="U363" i="42"/>
  <c r="U364" i="42"/>
  <c r="T170" i="42"/>
  <c r="S367" i="42"/>
  <c r="T128" i="42"/>
  <c r="T51" i="42"/>
  <c r="V47" i="42"/>
  <c r="R65" i="42"/>
  <c r="R66" i="42" s="1"/>
  <c r="Q217" i="42"/>
  <c r="W350" i="42"/>
  <c r="W352" i="42" s="1"/>
  <c r="W354" i="42" s="1"/>
  <c r="W355" i="42" s="1"/>
  <c r="W45" i="42"/>
  <c r="S366" i="42"/>
  <c r="V354" i="42"/>
  <c r="V355" i="42" s="1"/>
  <c r="T368" i="42"/>
  <c r="T369" i="42"/>
  <c r="T392" i="42"/>
  <c r="U49" i="42"/>
  <c r="U50" i="42" s="1"/>
  <c r="T356" i="42"/>
  <c r="T433" i="42"/>
  <c r="R368" i="41"/>
  <c r="R356" i="41"/>
  <c r="R431" i="41"/>
  <c r="R58" i="41"/>
  <c r="R9" i="41" s="1"/>
  <c r="R21" i="41" s="1"/>
  <c r="R60" i="41"/>
  <c r="R59" i="41"/>
  <c r="R52" i="41"/>
  <c r="R390" i="41"/>
  <c r="R369" i="41"/>
  <c r="P23" i="41"/>
  <c r="P63" i="41"/>
  <c r="S58" i="41"/>
  <c r="S59" i="41"/>
  <c r="S60" i="41"/>
  <c r="T47" i="41"/>
  <c r="T49" i="41" s="1"/>
  <c r="T50" i="41" s="1"/>
  <c r="T52" i="41" s="1"/>
  <c r="S365" i="41"/>
  <c r="S472" i="41" s="1"/>
  <c r="S364" i="41"/>
  <c r="S363" i="41"/>
  <c r="U350" i="41"/>
  <c r="U352" i="41" s="1"/>
  <c r="U45" i="41"/>
  <c r="T364" i="41"/>
  <c r="T363" i="41"/>
  <c r="T365" i="41"/>
  <c r="T473" i="41" s="1"/>
  <c r="Q23" i="41"/>
  <c r="Q63" i="41"/>
  <c r="X20" i="41"/>
  <c r="V15" i="41"/>
  <c r="S216" i="23"/>
  <c r="S12" i="23" s="1"/>
  <c r="R220" i="23"/>
  <c r="R221" i="23" s="1"/>
  <c r="V172" i="23"/>
  <c r="V51" i="23"/>
  <c r="V130" i="23"/>
  <c r="V64" i="23"/>
  <c r="V89" i="23"/>
  <c r="U63" i="23"/>
  <c r="S366" i="22"/>
  <c r="R370" i="22"/>
  <c r="R371" i="22" s="1"/>
  <c r="T58" i="22"/>
  <c r="T59" i="22"/>
  <c r="T60" i="22"/>
  <c r="Q65" i="22"/>
  <c r="Q66" i="22" s="1"/>
  <c r="U354" i="22"/>
  <c r="U355" i="22" s="1"/>
  <c r="U47" i="22"/>
  <c r="S64" i="22"/>
  <c r="S86" i="22"/>
  <c r="R51" i="22"/>
  <c r="R126" i="22"/>
  <c r="S127" i="22"/>
  <c r="S51" i="22"/>
  <c r="R85" i="22"/>
  <c r="R64" i="22"/>
  <c r="T365" i="22"/>
  <c r="T473" i="22" s="1"/>
  <c r="T364" i="22"/>
  <c r="T363" i="22"/>
  <c r="S169" i="22"/>
  <c r="V45" i="22"/>
  <c r="V350" i="22"/>
  <c r="V352" i="22" s="1"/>
  <c r="V200" i="22"/>
  <c r="V202" i="22" s="1"/>
  <c r="V204" i="22" s="1"/>
  <c r="V205" i="22" s="1"/>
  <c r="S217" i="22"/>
  <c r="P65" i="22"/>
  <c r="P66" i="22" s="1"/>
  <c r="R168" i="22"/>
  <c r="R61" i="19"/>
  <c r="T365" i="19"/>
  <c r="U59" i="19"/>
  <c r="U60" i="19"/>
  <c r="U171" i="19" s="1"/>
  <c r="U58" i="19"/>
  <c r="V364" i="19"/>
  <c r="V474" i="19" s="1"/>
  <c r="V363" i="19"/>
  <c r="V362" i="19"/>
  <c r="T60" i="19"/>
  <c r="T170" i="19" s="1"/>
  <c r="T58" i="19"/>
  <c r="T59" i="19"/>
  <c r="T52" i="19"/>
  <c r="W45" i="19"/>
  <c r="W349" i="19"/>
  <c r="W351" i="19" s="1"/>
  <c r="W353" i="19" s="1"/>
  <c r="W354" i="19" s="1"/>
  <c r="U362" i="19"/>
  <c r="U364" i="19"/>
  <c r="U473" i="19" s="1"/>
  <c r="U363" i="19"/>
  <c r="V47" i="19"/>
  <c r="T366" i="19"/>
  <c r="Q217" i="19"/>
  <c r="R216" i="20"/>
  <c r="AN75" i="20"/>
  <c r="AM74" i="20"/>
  <c r="AK72" i="20"/>
  <c r="AL73" i="20"/>
  <c r="S61" i="20"/>
  <c r="R65" i="20"/>
  <c r="R66" i="20" s="1"/>
  <c r="R217" i="20"/>
  <c r="U363" i="20"/>
  <c r="U364" i="20"/>
  <c r="U365" i="20"/>
  <c r="U474" i="20" s="1"/>
  <c r="S367" i="20"/>
  <c r="V127" i="20"/>
  <c r="W127" i="20"/>
  <c r="AG127" i="20"/>
  <c r="T127" i="20"/>
  <c r="U127" i="20"/>
  <c r="AM127" i="20"/>
  <c r="AB127" i="20"/>
  <c r="AL127" i="20"/>
  <c r="AA127" i="20"/>
  <c r="AI127" i="20"/>
  <c r="AF127" i="20"/>
  <c r="AJ127" i="20"/>
  <c r="AE127" i="20"/>
  <c r="AD127" i="20"/>
  <c r="AC127" i="20"/>
  <c r="AH127" i="20"/>
  <c r="Y127" i="20"/>
  <c r="AN127" i="20"/>
  <c r="X127" i="20"/>
  <c r="Z127" i="20"/>
  <c r="AK127" i="20"/>
  <c r="S62" i="20"/>
  <c r="T356" i="20"/>
  <c r="T433" i="20"/>
  <c r="T368" i="20"/>
  <c r="T59" i="20"/>
  <c r="T60" i="20"/>
  <c r="T170" i="20" s="1"/>
  <c r="T58" i="20"/>
  <c r="T52" i="20"/>
  <c r="U59" i="20"/>
  <c r="U60" i="20"/>
  <c r="U171" i="20" s="1"/>
  <c r="U58" i="20"/>
  <c r="Q220" i="20"/>
  <c r="Q221" i="20" s="1"/>
  <c r="V47" i="20"/>
  <c r="V49" i="20" s="1"/>
  <c r="V50" i="20" s="1"/>
  <c r="V52" i="20" s="1"/>
  <c r="W350" i="20"/>
  <c r="W352" i="20" s="1"/>
  <c r="W354" i="20" s="1"/>
  <c r="W355" i="20" s="1"/>
  <c r="W45" i="20"/>
  <c r="AD86" i="20"/>
  <c r="AL86" i="20"/>
  <c r="AN86" i="20"/>
  <c r="AK86" i="20"/>
  <c r="AB86" i="20"/>
  <c r="AA86" i="20"/>
  <c r="AH86" i="20"/>
  <c r="Z86" i="20"/>
  <c r="T86" i="20"/>
  <c r="AM86" i="20"/>
  <c r="AE86" i="20"/>
  <c r="AI86" i="20"/>
  <c r="Y86" i="20"/>
  <c r="AC86" i="20"/>
  <c r="V86" i="20"/>
  <c r="X86" i="20"/>
  <c r="W86" i="20"/>
  <c r="AG86" i="20"/>
  <c r="U86" i="20"/>
  <c r="AF86" i="20"/>
  <c r="AJ86" i="20"/>
  <c r="S366" i="20"/>
  <c r="T369" i="20"/>
  <c r="T392" i="20"/>
  <c r="V354" i="20"/>
  <c r="V355" i="20" s="1"/>
  <c r="V200" i="42"/>
  <c r="U202" i="42"/>
  <c r="S215" i="42"/>
  <c r="S213" i="42"/>
  <c r="S9" i="42" s="1"/>
  <c r="S21" i="42" s="1"/>
  <c r="S214" i="42"/>
  <c r="S207" i="42"/>
  <c r="T204" i="42"/>
  <c r="T205" i="42" s="1"/>
  <c r="R321" i="42"/>
  <c r="R219" i="42"/>
  <c r="R240" i="42"/>
  <c r="Q218" i="42"/>
  <c r="R206" i="42"/>
  <c r="R281" i="42"/>
  <c r="S213" i="41"/>
  <c r="S215" i="41"/>
  <c r="S214" i="41"/>
  <c r="S207" i="41"/>
  <c r="T204" i="41"/>
  <c r="T205" i="41" s="1"/>
  <c r="R321" i="41"/>
  <c r="R240" i="41"/>
  <c r="R219" i="41"/>
  <c r="AM111" i="41"/>
  <c r="AN113" i="41" s="1"/>
  <c r="R281" i="41"/>
  <c r="R206" i="41"/>
  <c r="V204" i="23"/>
  <c r="V205" i="23" s="1"/>
  <c r="W202" i="23"/>
  <c r="T242" i="23"/>
  <c r="T219" i="23"/>
  <c r="X200" i="23"/>
  <c r="T323" i="23"/>
  <c r="T206" i="23"/>
  <c r="T283" i="23"/>
  <c r="AM111" i="23"/>
  <c r="AN113" i="23" s="1"/>
  <c r="U215" i="23"/>
  <c r="U214" i="23"/>
  <c r="U213" i="23"/>
  <c r="U9" i="23" s="1"/>
  <c r="U21" i="23" s="1"/>
  <c r="U207" i="23"/>
  <c r="U215" i="22"/>
  <c r="U213" i="22"/>
  <c r="U214" i="22"/>
  <c r="U207" i="22"/>
  <c r="T206" i="22"/>
  <c r="T283" i="22"/>
  <c r="R220" i="22"/>
  <c r="R221" i="22" s="1"/>
  <c r="T242" i="22"/>
  <c r="T219" i="22"/>
  <c r="T323" i="22"/>
  <c r="S214" i="19"/>
  <c r="S213" i="19"/>
  <c r="S9" i="19" s="1"/>
  <c r="S215" i="19"/>
  <c r="S207" i="19"/>
  <c r="R321" i="19"/>
  <c r="T204" i="19"/>
  <c r="T205" i="19" s="1"/>
  <c r="AN113" i="19"/>
  <c r="R281" i="19"/>
  <c r="R206" i="19"/>
  <c r="R240" i="19"/>
  <c r="R219" i="19"/>
  <c r="V200" i="19"/>
  <c r="U202" i="19"/>
  <c r="AN269" i="19"/>
  <c r="AL268" i="19"/>
  <c r="T214" i="20"/>
  <c r="T213" i="20"/>
  <c r="T215" i="20"/>
  <c r="T207" i="20"/>
  <c r="AN113" i="20"/>
  <c r="U204" i="20"/>
  <c r="U205" i="20" s="1"/>
  <c r="S219" i="20"/>
  <c r="S241" i="20"/>
  <c r="S282" i="20"/>
  <c r="S206" i="20"/>
  <c r="S322" i="20"/>
  <c r="V202" i="20"/>
  <c r="W200" i="20"/>
  <c r="AN227" i="20"/>
  <c r="G18" i="73"/>
  <c r="H10" i="73"/>
  <c r="F14" i="73"/>
  <c r="I10" i="73"/>
  <c r="F2" i="73"/>
  <c r="Q7" i="63" l="1"/>
  <c r="AA209" i="42"/>
  <c r="AA210" i="42" s="1"/>
  <c r="X363" i="23"/>
  <c r="X396" i="23" s="1"/>
  <c r="X364" i="23"/>
  <c r="X356" i="23" s="1"/>
  <c r="S10" i="42"/>
  <c r="S23" i="42" s="1"/>
  <c r="R10" i="41"/>
  <c r="S10" i="41"/>
  <c r="S9" i="41"/>
  <c r="S21" i="41" s="1"/>
  <c r="T9" i="22"/>
  <c r="T21" i="22" s="1"/>
  <c r="T9" i="20"/>
  <c r="T21" i="20" s="1"/>
  <c r="X50" i="23"/>
  <c r="X59" i="23" s="1"/>
  <c r="U10" i="23"/>
  <c r="U23" i="23" s="1"/>
  <c r="Y59" i="52"/>
  <c r="Y59" i="32" s="1"/>
  <c r="T10" i="22"/>
  <c r="T10" i="20"/>
  <c r="T23" i="20" s="1"/>
  <c r="P25" i="20"/>
  <c r="P25" i="19"/>
  <c r="M22" i="62"/>
  <c r="U370" i="23"/>
  <c r="U371" i="23" s="1"/>
  <c r="O23" i="63"/>
  <c r="O29" i="63" s="1"/>
  <c r="S10" i="19"/>
  <c r="S23" i="19" s="1"/>
  <c r="S21" i="19"/>
  <c r="L20" i="62"/>
  <c r="L26" i="62" s="1"/>
  <c r="L48" i="62" s="1"/>
  <c r="R11" i="20"/>
  <c r="R18" i="20" s="1"/>
  <c r="R25" i="23"/>
  <c r="T7" i="63" s="1"/>
  <c r="L8" i="45"/>
  <c r="Y45" i="23"/>
  <c r="Y47" i="23" s="1"/>
  <c r="Y49" i="23" s="1"/>
  <c r="Y50" i="23" s="1"/>
  <c r="Y52" i="23" s="1"/>
  <c r="Y350" i="23"/>
  <c r="Y352" i="23" s="1"/>
  <c r="Y354" i="23" s="1"/>
  <c r="Y355" i="23" s="1"/>
  <c r="W356" i="23"/>
  <c r="W436" i="23"/>
  <c r="W59" i="23"/>
  <c r="W60" i="23"/>
  <c r="W173" i="23" s="1"/>
  <c r="W63" i="23" s="1"/>
  <c r="W58" i="23"/>
  <c r="T65" i="23"/>
  <c r="T66" i="23" s="1"/>
  <c r="AK475" i="23"/>
  <c r="AH475" i="23"/>
  <c r="AB475" i="23"/>
  <c r="V368" i="23"/>
  <c r="Y475" i="23"/>
  <c r="AN475" i="23"/>
  <c r="AE475" i="23"/>
  <c r="W395" i="23"/>
  <c r="W369" i="23"/>
  <c r="V369" i="23"/>
  <c r="V394" i="23"/>
  <c r="AI476" i="23"/>
  <c r="AF476" i="23"/>
  <c r="AL476" i="23"/>
  <c r="AC476" i="23"/>
  <c r="Z476" i="23"/>
  <c r="W368" i="23"/>
  <c r="V435" i="23"/>
  <c r="V356" i="23"/>
  <c r="M23" i="57"/>
  <c r="M45" i="57" s="1"/>
  <c r="S38" i="63"/>
  <c r="S16" i="63"/>
  <c r="S23" i="63" s="1"/>
  <c r="Q11" i="19"/>
  <c r="Q18" i="19" s="1"/>
  <c r="L33" i="61"/>
  <c r="Q11" i="42"/>
  <c r="Q13" i="42" s="1"/>
  <c r="Q13" i="20"/>
  <c r="M45" i="63"/>
  <c r="M51" i="63" s="1"/>
  <c r="R12" i="20"/>
  <c r="R16" i="20" s="1"/>
  <c r="S11" i="23"/>
  <c r="N45" i="63"/>
  <c r="N29" i="63"/>
  <c r="L55" i="63"/>
  <c r="L77" i="63"/>
  <c r="J17" i="68"/>
  <c r="M17" i="65"/>
  <c r="M22" i="65" s="1"/>
  <c r="M13" i="65"/>
  <c r="K17" i="68" s="1"/>
  <c r="L45" i="57"/>
  <c r="L29" i="57"/>
  <c r="L21" i="57"/>
  <c r="L27" i="57" s="1"/>
  <c r="L43" i="57"/>
  <c r="J9" i="68"/>
  <c r="M51" i="61"/>
  <c r="M73" i="61"/>
  <c r="M79" i="61" s="1"/>
  <c r="N23" i="61"/>
  <c r="N29" i="61" s="1"/>
  <c r="L77" i="61"/>
  <c r="L55" i="61"/>
  <c r="L44" i="62"/>
  <c r="L28" i="62"/>
  <c r="Z59" i="51"/>
  <c r="Y71" i="51"/>
  <c r="L29" i="60"/>
  <c r="L45" i="60"/>
  <c r="L21" i="60"/>
  <c r="M23" i="60"/>
  <c r="I11" i="45"/>
  <c r="AJ477" i="23"/>
  <c r="AG477" i="23"/>
  <c r="AD477" i="23"/>
  <c r="AA477" i="23"/>
  <c r="AM477" i="23"/>
  <c r="AN228" i="23"/>
  <c r="AM227" i="23"/>
  <c r="T218" i="23"/>
  <c r="AC323" i="23"/>
  <c r="Z323" i="23"/>
  <c r="W323" i="23"/>
  <c r="AF323" i="23"/>
  <c r="AL323" i="23"/>
  <c r="AI323" i="23"/>
  <c r="AL283" i="23"/>
  <c r="Z283" i="23"/>
  <c r="AK283" i="23"/>
  <c r="Y283" i="23"/>
  <c r="AJ283" i="23"/>
  <c r="X283" i="23"/>
  <c r="AI283" i="23"/>
  <c r="W283" i="23"/>
  <c r="AD283" i="23"/>
  <c r="AC283" i="23"/>
  <c r="AB283" i="23"/>
  <c r="AN283" i="23"/>
  <c r="AM283" i="23"/>
  <c r="AH283" i="23"/>
  <c r="AG283" i="23"/>
  <c r="AF283" i="23"/>
  <c r="AE283" i="23"/>
  <c r="AA283" i="23"/>
  <c r="V283" i="23"/>
  <c r="U283" i="23"/>
  <c r="AL242" i="23"/>
  <c r="Z242" i="23"/>
  <c r="AK242" i="23"/>
  <c r="Y242" i="23"/>
  <c r="AJ242" i="23"/>
  <c r="X242" i="23"/>
  <c r="AI242" i="23"/>
  <c r="W242" i="23"/>
  <c r="AA242" i="23"/>
  <c r="AM242" i="23"/>
  <c r="V242" i="23"/>
  <c r="U242" i="23"/>
  <c r="AN242" i="23"/>
  <c r="AH242" i="23"/>
  <c r="AG242" i="23"/>
  <c r="AF242" i="23"/>
  <c r="AE242" i="23"/>
  <c r="AD242" i="23"/>
  <c r="AC242" i="23"/>
  <c r="AB242" i="23"/>
  <c r="T216" i="23"/>
  <c r="T12" i="23" s="1"/>
  <c r="T217" i="23"/>
  <c r="R13" i="23"/>
  <c r="S16" i="23"/>
  <c r="S220" i="23"/>
  <c r="S221" i="23" s="1"/>
  <c r="AE172" i="23"/>
  <c r="AB172" i="23"/>
  <c r="Y172" i="23"/>
  <c r="AN172" i="23"/>
  <c r="AK172" i="23"/>
  <c r="AH172" i="23"/>
  <c r="AK130" i="23"/>
  <c r="Y130" i="23"/>
  <c r="AI130" i="23"/>
  <c r="W130" i="23"/>
  <c r="AH130" i="23"/>
  <c r="AG130" i="23"/>
  <c r="AC130" i="23"/>
  <c r="AB130" i="23"/>
  <c r="AA130" i="23"/>
  <c r="Z130" i="23"/>
  <c r="X130" i="23"/>
  <c r="AF130" i="23"/>
  <c r="AM130" i="23"/>
  <c r="AE130" i="23"/>
  <c r="AD130" i="23"/>
  <c r="AN130" i="23"/>
  <c r="AL130" i="23"/>
  <c r="AJ130" i="23"/>
  <c r="AK89" i="23"/>
  <c r="Y89" i="23"/>
  <c r="AJ89" i="23"/>
  <c r="X89" i="23"/>
  <c r="AG89" i="23"/>
  <c r="AE89" i="23"/>
  <c r="AD89" i="23"/>
  <c r="AC89" i="23"/>
  <c r="AB89" i="23"/>
  <c r="AH89" i="23"/>
  <c r="AF89" i="23"/>
  <c r="AA89" i="23"/>
  <c r="Z89" i="23"/>
  <c r="AN89" i="23"/>
  <c r="AM89" i="23"/>
  <c r="AL89" i="23"/>
  <c r="AI89" i="23"/>
  <c r="W89" i="23"/>
  <c r="AC473" i="22"/>
  <c r="Z473" i="22"/>
  <c r="W473" i="22"/>
  <c r="AL473" i="22"/>
  <c r="AI473" i="22"/>
  <c r="AF473" i="22"/>
  <c r="S370" i="22"/>
  <c r="S371" i="22" s="1"/>
  <c r="AM227" i="22"/>
  <c r="AN228" i="22"/>
  <c r="AC323" i="22"/>
  <c r="Z323" i="22"/>
  <c r="W323" i="22"/>
  <c r="AL323" i="22"/>
  <c r="AI323" i="22"/>
  <c r="AF323" i="22"/>
  <c r="AL283" i="22"/>
  <c r="Z283" i="22"/>
  <c r="AJ283" i="22"/>
  <c r="X283" i="22"/>
  <c r="AK283" i="22"/>
  <c r="Y283" i="22"/>
  <c r="AM283" i="22"/>
  <c r="U283" i="22"/>
  <c r="AH283" i="22"/>
  <c r="AG283" i="22"/>
  <c r="AF283" i="22"/>
  <c r="AE283" i="22"/>
  <c r="AI283" i="22"/>
  <c r="AN283" i="22"/>
  <c r="AB283" i="22"/>
  <c r="AA283" i="22"/>
  <c r="W283" i="22"/>
  <c r="V283" i="22"/>
  <c r="AD283" i="22"/>
  <c r="AC283" i="22"/>
  <c r="AK242" i="22"/>
  <c r="Y242" i="22"/>
  <c r="AI242" i="22"/>
  <c r="W242" i="22"/>
  <c r="AH242" i="22"/>
  <c r="V242" i="22"/>
  <c r="AL242" i="22"/>
  <c r="AJ242" i="22"/>
  <c r="AG242" i="22"/>
  <c r="AF242" i="22"/>
  <c r="AE242" i="22"/>
  <c r="AD242" i="22"/>
  <c r="AC242" i="22"/>
  <c r="Z242" i="22"/>
  <c r="AB242" i="22"/>
  <c r="AA242" i="22"/>
  <c r="X242" i="22"/>
  <c r="U242" i="22"/>
  <c r="AN242" i="22"/>
  <c r="AM242" i="22"/>
  <c r="AN227" i="22"/>
  <c r="S220" i="22"/>
  <c r="S221" i="22" s="1"/>
  <c r="AM268" i="22"/>
  <c r="AG168" i="22"/>
  <c r="X168" i="22"/>
  <c r="AD168" i="22"/>
  <c r="AA168" i="22"/>
  <c r="U168" i="22"/>
  <c r="AM168" i="22"/>
  <c r="AJ168" i="22"/>
  <c r="S63" i="22"/>
  <c r="AN169" i="22"/>
  <c r="AK169" i="22"/>
  <c r="AH169" i="22"/>
  <c r="AE169" i="22"/>
  <c r="AB169" i="22"/>
  <c r="Y169" i="22"/>
  <c r="V169" i="22"/>
  <c r="R62" i="22"/>
  <c r="AE126" i="22"/>
  <c r="S126" i="22"/>
  <c r="S62" i="22" s="1"/>
  <c r="AC126" i="22"/>
  <c r="AD126" i="22"/>
  <c r="AB126" i="22"/>
  <c r="AA126" i="22"/>
  <c r="Z126" i="22"/>
  <c r="Y126" i="22"/>
  <c r="X126" i="22"/>
  <c r="W126" i="22"/>
  <c r="AN126" i="22"/>
  <c r="V126" i="22"/>
  <c r="AM126" i="22"/>
  <c r="U126" i="22"/>
  <c r="AL126" i="22"/>
  <c r="T126" i="22"/>
  <c r="AK126" i="22"/>
  <c r="AI126" i="22"/>
  <c r="AH126" i="22"/>
  <c r="AG126" i="22"/>
  <c r="AF126" i="22"/>
  <c r="AJ126" i="22"/>
  <c r="AH127" i="22"/>
  <c r="V127" i="22"/>
  <c r="T127" i="22"/>
  <c r="AG127" i="22"/>
  <c r="U127" i="22"/>
  <c r="AF127" i="22"/>
  <c r="AN127" i="22"/>
  <c r="Y127" i="22"/>
  <c r="AM127" i="22"/>
  <c r="X127" i="22"/>
  <c r="AL127" i="22"/>
  <c r="W127" i="22"/>
  <c r="AB127" i="22"/>
  <c r="AA127" i="22"/>
  <c r="Z127" i="22"/>
  <c r="AK127" i="22"/>
  <c r="AJ127" i="22"/>
  <c r="AI127" i="22"/>
  <c r="AE127" i="22"/>
  <c r="AD127" i="22"/>
  <c r="AC127" i="22"/>
  <c r="AH86" i="22"/>
  <c r="V86" i="22"/>
  <c r="AG86" i="22"/>
  <c r="U86" i="22"/>
  <c r="AF86" i="22"/>
  <c r="T86" i="22"/>
  <c r="AE86" i="22"/>
  <c r="AK86" i="22"/>
  <c r="Y86" i="22"/>
  <c r="AJ86" i="22"/>
  <c r="X86" i="22"/>
  <c r="AD86" i="22"/>
  <c r="AC86" i="22"/>
  <c r="AB86" i="22"/>
  <c r="AA86" i="22"/>
  <c r="Z86" i="22"/>
  <c r="AM86" i="22"/>
  <c r="AL86" i="22"/>
  <c r="AI86" i="22"/>
  <c r="W86" i="22"/>
  <c r="AN86" i="22"/>
  <c r="AE85" i="22"/>
  <c r="S85" i="22"/>
  <c r="S61" i="22" s="1"/>
  <c r="AD85" i="22"/>
  <c r="AC85" i="22"/>
  <c r="AN85" i="22"/>
  <c r="AB85" i="22"/>
  <c r="AH85" i="22"/>
  <c r="V85" i="22"/>
  <c r="AG85" i="22"/>
  <c r="U85" i="22"/>
  <c r="AA85" i="22"/>
  <c r="Z85" i="22"/>
  <c r="X85" i="22"/>
  <c r="Y85" i="22"/>
  <c r="W85" i="22"/>
  <c r="AJ85" i="22"/>
  <c r="AI85" i="22"/>
  <c r="AF85" i="22"/>
  <c r="T85" i="22"/>
  <c r="AM85" i="22"/>
  <c r="AL85" i="22"/>
  <c r="AK85" i="22"/>
  <c r="U65" i="23"/>
  <c r="U66" i="23" s="1"/>
  <c r="M8" i="45"/>
  <c r="AM473" i="19"/>
  <c r="AJ473" i="19"/>
  <c r="AG473" i="19"/>
  <c r="AD473" i="19"/>
  <c r="AA473" i="19"/>
  <c r="X473" i="19"/>
  <c r="Y474" i="19"/>
  <c r="AE474" i="19"/>
  <c r="AB474" i="19"/>
  <c r="AN474" i="19"/>
  <c r="AK474" i="19"/>
  <c r="AH474" i="19"/>
  <c r="P13" i="19"/>
  <c r="Q16" i="19"/>
  <c r="R218" i="19"/>
  <c r="AG321" i="19"/>
  <c r="AD321" i="19"/>
  <c r="AA321" i="19"/>
  <c r="X321" i="19"/>
  <c r="U321" i="19"/>
  <c r="AM321" i="19"/>
  <c r="AJ321" i="19"/>
  <c r="Q220" i="19"/>
  <c r="Q221" i="19" s="1"/>
  <c r="AE281" i="19"/>
  <c r="S281" i="19"/>
  <c r="AC281" i="19"/>
  <c r="AN281" i="19"/>
  <c r="AB281" i="19"/>
  <c r="AD281" i="19"/>
  <c r="AA281" i="19"/>
  <c r="V281" i="19"/>
  <c r="Z281" i="19"/>
  <c r="Y281" i="19"/>
  <c r="AM281" i="19"/>
  <c r="X281" i="19"/>
  <c r="AL281" i="19"/>
  <c r="W281" i="19"/>
  <c r="AK281" i="19"/>
  <c r="AH281" i="19"/>
  <c r="AG281" i="19"/>
  <c r="AF281" i="19"/>
  <c r="U281" i="19"/>
  <c r="T281" i="19"/>
  <c r="AJ281" i="19"/>
  <c r="AI281" i="19"/>
  <c r="AC240" i="19"/>
  <c r="AN240" i="19"/>
  <c r="AB240" i="19"/>
  <c r="AM240" i="19"/>
  <c r="Y240" i="19"/>
  <c r="AL240" i="19"/>
  <c r="X240" i="19"/>
  <c r="AA240" i="19"/>
  <c r="W240" i="19"/>
  <c r="V240" i="19"/>
  <c r="AK240" i="19"/>
  <c r="U240" i="19"/>
  <c r="Z240" i="19"/>
  <c r="AE240" i="19"/>
  <c r="AD240" i="19"/>
  <c r="AH240" i="19"/>
  <c r="T240" i="19"/>
  <c r="S240" i="19"/>
  <c r="AJ240" i="19"/>
  <c r="AI240" i="19"/>
  <c r="AG240" i="19"/>
  <c r="AF240" i="19"/>
  <c r="T369" i="19"/>
  <c r="T370" i="19" s="1"/>
  <c r="AC170" i="19"/>
  <c r="Z170" i="19"/>
  <c r="W170" i="19"/>
  <c r="AL170" i="19"/>
  <c r="AF170" i="19"/>
  <c r="AI170" i="19"/>
  <c r="U63" i="19"/>
  <c r="AM171" i="19"/>
  <c r="AJ171" i="19"/>
  <c r="AD171" i="19"/>
  <c r="X171" i="19"/>
  <c r="AA171" i="19"/>
  <c r="AG171" i="19"/>
  <c r="AM474" i="20"/>
  <c r="AJ474" i="20"/>
  <c r="AG474" i="20"/>
  <c r="AD474" i="20"/>
  <c r="AA474" i="20"/>
  <c r="X474" i="20"/>
  <c r="AK433" i="20"/>
  <c r="Y433" i="20"/>
  <c r="AJ433" i="20"/>
  <c r="X433" i="20"/>
  <c r="AH433" i="20"/>
  <c r="V433" i="20"/>
  <c r="AF433" i="20"/>
  <c r="AG433" i="20"/>
  <c r="U433" i="20"/>
  <c r="W433" i="20"/>
  <c r="AN433" i="20"/>
  <c r="AE433" i="20"/>
  <c r="AD433" i="20"/>
  <c r="AC433" i="20"/>
  <c r="AB433" i="20"/>
  <c r="AA433" i="20"/>
  <c r="Z433" i="20"/>
  <c r="AM433" i="20"/>
  <c r="AI433" i="20"/>
  <c r="AL433" i="20"/>
  <c r="AL392" i="20"/>
  <c r="Z392" i="20"/>
  <c r="AK392" i="20"/>
  <c r="Y392" i="20"/>
  <c r="AJ392" i="20"/>
  <c r="X392" i="20"/>
  <c r="AG392" i="20"/>
  <c r="AF392" i="20"/>
  <c r="AE392" i="20"/>
  <c r="AD392" i="20"/>
  <c r="W392" i="20"/>
  <c r="AI392" i="20"/>
  <c r="V392" i="20"/>
  <c r="U392" i="20"/>
  <c r="AN392" i="20"/>
  <c r="AM392" i="20"/>
  <c r="AH392" i="20"/>
  <c r="AC392" i="20"/>
  <c r="AB392" i="20"/>
  <c r="AA392" i="20"/>
  <c r="AN269" i="20"/>
  <c r="AM268" i="20"/>
  <c r="S218" i="20"/>
  <c r="AN322" i="20"/>
  <c r="AH322" i="20"/>
  <c r="AK322" i="20"/>
  <c r="V322" i="20"/>
  <c r="AE322" i="20"/>
  <c r="AB322" i="20"/>
  <c r="Y322" i="20"/>
  <c r="Q18" i="20"/>
  <c r="Q25" i="20" s="1"/>
  <c r="AH282" i="20"/>
  <c r="V282" i="20"/>
  <c r="AG282" i="20"/>
  <c r="U282" i="20"/>
  <c r="AF282" i="20"/>
  <c r="AE282" i="20"/>
  <c r="AD282" i="20"/>
  <c r="AJ282" i="20"/>
  <c r="AI282" i="20"/>
  <c r="AC282" i="20"/>
  <c r="AB282" i="20"/>
  <c r="AA282" i="20"/>
  <c r="Z282" i="20"/>
  <c r="X282" i="20"/>
  <c r="W282" i="20"/>
  <c r="AN282" i="20"/>
  <c r="AM282" i="20"/>
  <c r="AL282" i="20"/>
  <c r="AK282" i="20"/>
  <c r="Y282" i="20"/>
  <c r="T282" i="20"/>
  <c r="AH241" i="20"/>
  <c r="V241" i="20"/>
  <c r="AG241" i="20"/>
  <c r="U241" i="20"/>
  <c r="AD241" i="20"/>
  <c r="AN241" i="20"/>
  <c r="Y241" i="20"/>
  <c r="AM241" i="20"/>
  <c r="X241" i="20"/>
  <c r="AL241" i="20"/>
  <c r="W241" i="20"/>
  <c r="AK241" i="20"/>
  <c r="T241" i="20"/>
  <c r="AJ241" i="20"/>
  <c r="Z241" i="20"/>
  <c r="AB241" i="20"/>
  <c r="AA241" i="20"/>
  <c r="AI241" i="20"/>
  <c r="AF241" i="20"/>
  <c r="AE241" i="20"/>
  <c r="AC241" i="20"/>
  <c r="AM268" i="42"/>
  <c r="AN269" i="42"/>
  <c r="AN228" i="42"/>
  <c r="AM227" i="42"/>
  <c r="P18" i="42"/>
  <c r="P25" i="42" s="1"/>
  <c r="T366" i="42"/>
  <c r="AM474" i="42"/>
  <c r="AJ474" i="42"/>
  <c r="AG474" i="42"/>
  <c r="AD474" i="42"/>
  <c r="AA474" i="42"/>
  <c r="X474" i="42"/>
  <c r="AL433" i="42"/>
  <c r="Z433" i="42"/>
  <c r="AK433" i="42"/>
  <c r="Y433" i="42"/>
  <c r="AJ433" i="42"/>
  <c r="X433" i="42"/>
  <c r="AI433" i="42"/>
  <c r="W433" i="42"/>
  <c r="AE433" i="42"/>
  <c r="AD433" i="42"/>
  <c r="AC433" i="42"/>
  <c r="AB433" i="42"/>
  <c r="AA433" i="42"/>
  <c r="V433" i="42"/>
  <c r="U433" i="42"/>
  <c r="AN433" i="42"/>
  <c r="AG433" i="42"/>
  <c r="AF433" i="42"/>
  <c r="AM433" i="42"/>
  <c r="AH433" i="42"/>
  <c r="AL392" i="42"/>
  <c r="Z392" i="42"/>
  <c r="AK392" i="42"/>
  <c r="Y392" i="42"/>
  <c r="AJ392" i="42"/>
  <c r="X392" i="42"/>
  <c r="AI392" i="42"/>
  <c r="W392" i="42"/>
  <c r="AD392" i="42"/>
  <c r="AC392" i="42"/>
  <c r="AB392" i="42"/>
  <c r="AA392" i="42"/>
  <c r="V392" i="42"/>
  <c r="U392" i="42"/>
  <c r="AN392" i="42"/>
  <c r="AG392" i="42"/>
  <c r="AF392" i="42"/>
  <c r="AE392" i="42"/>
  <c r="AM392" i="42"/>
  <c r="AH392" i="42"/>
  <c r="R218" i="42"/>
  <c r="AG321" i="42"/>
  <c r="AD321" i="42"/>
  <c r="AA321" i="42"/>
  <c r="X321" i="42"/>
  <c r="U321" i="42"/>
  <c r="AJ321" i="42"/>
  <c r="AM321" i="42"/>
  <c r="AE281" i="42"/>
  <c r="S281" i="42"/>
  <c r="AC281" i="42"/>
  <c r="AN281" i="42"/>
  <c r="AB281" i="42"/>
  <c r="AD281" i="42"/>
  <c r="Z281" i="42"/>
  <c r="Y281" i="42"/>
  <c r="AM281" i="42"/>
  <c r="X281" i="42"/>
  <c r="AL281" i="42"/>
  <c r="W281" i="42"/>
  <c r="AH281" i="42"/>
  <c r="AG281" i="42"/>
  <c r="AF281" i="42"/>
  <c r="AA281" i="42"/>
  <c r="AK281" i="42"/>
  <c r="AJ281" i="42"/>
  <c r="AI281" i="42"/>
  <c r="V281" i="42"/>
  <c r="U281" i="42"/>
  <c r="T281" i="42"/>
  <c r="AE240" i="42"/>
  <c r="S240" i="42"/>
  <c r="AD240" i="42"/>
  <c r="AC240" i="42"/>
  <c r="AN240" i="42"/>
  <c r="AB240" i="42"/>
  <c r="AI240" i="42"/>
  <c r="AH240" i="42"/>
  <c r="AL240" i="42"/>
  <c r="T240" i="42"/>
  <c r="AJ240" i="42"/>
  <c r="AG240" i="42"/>
  <c r="Z240" i="42"/>
  <c r="AK240" i="42"/>
  <c r="AF240" i="42"/>
  <c r="AA240" i="42"/>
  <c r="AM240" i="42"/>
  <c r="W240" i="42"/>
  <c r="V240" i="42"/>
  <c r="U240" i="42"/>
  <c r="Y240" i="42"/>
  <c r="X240" i="42"/>
  <c r="Z170" i="42"/>
  <c r="W170" i="42"/>
  <c r="AC170" i="42"/>
  <c r="AL170" i="42"/>
  <c r="AI170" i="42"/>
  <c r="AF170" i="42"/>
  <c r="AL128" i="42"/>
  <c r="Z128" i="42"/>
  <c r="AH128" i="42"/>
  <c r="V128" i="42"/>
  <c r="AK128" i="42"/>
  <c r="Y128" i="42"/>
  <c r="AJ128" i="42"/>
  <c r="X128" i="42"/>
  <c r="AI128" i="42"/>
  <c r="W128" i="42"/>
  <c r="AG128" i="42"/>
  <c r="U128" i="42"/>
  <c r="AF128" i="42"/>
  <c r="AC128" i="42"/>
  <c r="AB128" i="42"/>
  <c r="AA128" i="42"/>
  <c r="AD128" i="42"/>
  <c r="AN128" i="42"/>
  <c r="AE128" i="42"/>
  <c r="AM128" i="42"/>
  <c r="T61" i="42"/>
  <c r="AL87" i="42"/>
  <c r="Z87" i="42"/>
  <c r="AK87" i="42"/>
  <c r="Y87" i="42"/>
  <c r="AJ87" i="42"/>
  <c r="X87" i="42"/>
  <c r="AI87" i="42"/>
  <c r="AH87" i="42"/>
  <c r="AG87" i="42"/>
  <c r="AF87" i="42"/>
  <c r="AC87" i="42"/>
  <c r="AN87" i="42"/>
  <c r="AM87" i="42"/>
  <c r="AE87" i="42"/>
  <c r="AD87" i="42"/>
  <c r="AB87" i="42"/>
  <c r="AA87" i="42"/>
  <c r="W87" i="42"/>
  <c r="V87" i="42"/>
  <c r="U87" i="42"/>
  <c r="S65" i="42"/>
  <c r="S66" i="42" s="1"/>
  <c r="K10" i="45"/>
  <c r="AC473" i="41"/>
  <c r="Z473" i="41"/>
  <c r="W473" i="41"/>
  <c r="AL473" i="41"/>
  <c r="AI473" i="41"/>
  <c r="AF473" i="41"/>
  <c r="AN472" i="41"/>
  <c r="AK472" i="41"/>
  <c r="AH472" i="41"/>
  <c r="AE472" i="41"/>
  <c r="AB472" i="41"/>
  <c r="Y472" i="41"/>
  <c r="V472" i="41"/>
  <c r="AE431" i="41"/>
  <c r="S431" i="41"/>
  <c r="AC431" i="41"/>
  <c r="AN431" i="41"/>
  <c r="AB431" i="41"/>
  <c r="AA431" i="41"/>
  <c r="Z431" i="41"/>
  <c r="AM431" i="41"/>
  <c r="X431" i="41"/>
  <c r="AL431" i="41"/>
  <c r="W431" i="41"/>
  <c r="T431" i="41"/>
  <c r="AK431" i="41"/>
  <c r="AJ431" i="41"/>
  <c r="AI431" i="41"/>
  <c r="AH431" i="41"/>
  <c r="AD431" i="41"/>
  <c r="Y431" i="41"/>
  <c r="AG431" i="41"/>
  <c r="AF431" i="41"/>
  <c r="V431" i="41"/>
  <c r="U431" i="41"/>
  <c r="AE390" i="41"/>
  <c r="S390" i="41"/>
  <c r="AC390" i="41"/>
  <c r="AN390" i="41"/>
  <c r="AB390" i="41"/>
  <c r="AD390" i="41"/>
  <c r="AA390" i="41"/>
  <c r="AH390" i="41"/>
  <c r="AG390" i="41"/>
  <c r="AF390" i="41"/>
  <c r="Z390" i="41"/>
  <c r="Y390" i="41"/>
  <c r="W390" i="41"/>
  <c r="V390" i="41"/>
  <c r="U390" i="41"/>
  <c r="T390" i="41"/>
  <c r="AJ390" i="41"/>
  <c r="AI390" i="41"/>
  <c r="X390" i="41"/>
  <c r="AM390" i="41"/>
  <c r="AL390" i="41"/>
  <c r="AK390" i="41"/>
  <c r="AM268" i="41"/>
  <c r="AN269" i="41"/>
  <c r="R218" i="41"/>
  <c r="AG321" i="41"/>
  <c r="AD321" i="41"/>
  <c r="AA321" i="41"/>
  <c r="X321" i="41"/>
  <c r="AM321" i="41"/>
  <c r="U321" i="41"/>
  <c r="AJ321" i="41"/>
  <c r="AE281" i="41"/>
  <c r="S281" i="41"/>
  <c r="AD281" i="41"/>
  <c r="AM281" i="41"/>
  <c r="AA281" i="41"/>
  <c r="AC281" i="41"/>
  <c r="AB281" i="41"/>
  <c r="Z281" i="41"/>
  <c r="Y281" i="41"/>
  <c r="X281" i="41"/>
  <c r="W281" i="41"/>
  <c r="V281" i="41"/>
  <c r="U281" i="41"/>
  <c r="AJ281" i="41"/>
  <c r="AI281" i="41"/>
  <c r="AN281" i="41"/>
  <c r="T281" i="41"/>
  <c r="AL281" i="41"/>
  <c r="AK281" i="41"/>
  <c r="AF281" i="41"/>
  <c r="AH281" i="41"/>
  <c r="AG281" i="41"/>
  <c r="AD240" i="41"/>
  <c r="AC240" i="41"/>
  <c r="AM240" i="41"/>
  <c r="AA240" i="41"/>
  <c r="Y240" i="41"/>
  <c r="AN240" i="41"/>
  <c r="X240" i="41"/>
  <c r="AJ240" i="41"/>
  <c r="U240" i="41"/>
  <c r="AI240" i="41"/>
  <c r="T240" i="41"/>
  <c r="AH240" i="41"/>
  <c r="S240" i="41"/>
  <c r="AG240" i="41"/>
  <c r="AF240" i="41"/>
  <c r="AL240" i="41"/>
  <c r="AK240" i="41"/>
  <c r="AE240" i="41"/>
  <c r="AB240" i="41"/>
  <c r="Z240" i="41"/>
  <c r="V240" i="41"/>
  <c r="W240" i="41"/>
  <c r="T40" i="16"/>
  <c r="S42" i="16"/>
  <c r="T217" i="22"/>
  <c r="V200" i="41"/>
  <c r="V202" i="41" s="1"/>
  <c r="J6" i="45"/>
  <c r="AN225" i="19"/>
  <c r="K6" i="45"/>
  <c r="R65" i="19"/>
  <c r="R66" i="19" s="1"/>
  <c r="AF45" i="16"/>
  <c r="K5" i="45"/>
  <c r="S370" i="20"/>
  <c r="S371" i="20" s="1"/>
  <c r="R216" i="42"/>
  <c r="Q220" i="42"/>
  <c r="Q221" i="42" s="1"/>
  <c r="T62" i="42"/>
  <c r="T367" i="42"/>
  <c r="V49" i="42"/>
  <c r="V50" i="42" s="1"/>
  <c r="T63" i="42"/>
  <c r="V365" i="42"/>
  <c r="V475" i="42" s="1"/>
  <c r="V364" i="42"/>
  <c r="V363" i="42"/>
  <c r="S370" i="42"/>
  <c r="S371" i="42" s="1"/>
  <c r="U356" i="42"/>
  <c r="U434" i="42"/>
  <c r="U393" i="42"/>
  <c r="U369" i="42"/>
  <c r="U368" i="42"/>
  <c r="U59" i="42"/>
  <c r="U60" i="42"/>
  <c r="U58" i="42"/>
  <c r="U52" i="42"/>
  <c r="W47" i="42"/>
  <c r="W364" i="42"/>
  <c r="W365" i="42"/>
  <c r="W476" i="42" s="1"/>
  <c r="W363" i="42"/>
  <c r="X45" i="42"/>
  <c r="X350" i="42"/>
  <c r="X352" i="42" s="1"/>
  <c r="T356" i="41"/>
  <c r="T433" i="41"/>
  <c r="U354" i="41"/>
  <c r="U355" i="41" s="1"/>
  <c r="S127" i="41"/>
  <c r="S51" i="41"/>
  <c r="S86" i="41"/>
  <c r="S64" i="41"/>
  <c r="U47" i="41"/>
  <c r="S169" i="41"/>
  <c r="V350" i="41"/>
  <c r="V352" i="41" s="1"/>
  <c r="V45" i="41"/>
  <c r="R126" i="41"/>
  <c r="R51" i="41"/>
  <c r="R168" i="41"/>
  <c r="S368" i="41"/>
  <c r="T60" i="41"/>
  <c r="T58" i="41"/>
  <c r="T59" i="41"/>
  <c r="T368" i="41"/>
  <c r="S391" i="41"/>
  <c r="S369" i="41"/>
  <c r="R85" i="41"/>
  <c r="R64" i="41"/>
  <c r="T369" i="41"/>
  <c r="T392" i="41"/>
  <c r="S432" i="41"/>
  <c r="S356" i="41"/>
  <c r="Y20" i="41"/>
  <c r="W15" i="41"/>
  <c r="V61" i="23"/>
  <c r="V62" i="23"/>
  <c r="V63" i="23"/>
  <c r="X368" i="23"/>
  <c r="U365" i="22"/>
  <c r="U474" i="22" s="1"/>
  <c r="U364" i="22"/>
  <c r="U363" i="22"/>
  <c r="R23" i="22"/>
  <c r="U49" i="22"/>
  <c r="U50" i="22" s="1"/>
  <c r="R63" i="22"/>
  <c r="T433" i="22"/>
  <c r="T356" i="22"/>
  <c r="S23" i="22"/>
  <c r="T51" i="22"/>
  <c r="T128" i="22"/>
  <c r="T368" i="22"/>
  <c r="T87" i="22"/>
  <c r="T64" i="22"/>
  <c r="Q18" i="22"/>
  <c r="Q25" i="22" s="1"/>
  <c r="Q13" i="22"/>
  <c r="W350" i="22"/>
  <c r="W352" i="22" s="1"/>
  <c r="W354" i="22" s="1"/>
  <c r="W355" i="22" s="1"/>
  <c r="W45" i="22"/>
  <c r="W200" i="22"/>
  <c r="W202" i="22" s="1"/>
  <c r="W204" i="22" s="1"/>
  <c r="W205" i="22" s="1"/>
  <c r="V354" i="22"/>
  <c r="V355" i="22" s="1"/>
  <c r="R61" i="22"/>
  <c r="V47" i="22"/>
  <c r="P18" i="22"/>
  <c r="P25" i="22" s="1"/>
  <c r="P13" i="22"/>
  <c r="T369" i="22"/>
  <c r="T392" i="22"/>
  <c r="T170" i="22"/>
  <c r="R217" i="19"/>
  <c r="S65" i="19"/>
  <c r="S66" i="19" s="1"/>
  <c r="V368" i="19"/>
  <c r="V393" i="19"/>
  <c r="V355" i="19"/>
  <c r="V434" i="19"/>
  <c r="V367" i="19"/>
  <c r="V49" i="19"/>
  <c r="V50" i="19" s="1"/>
  <c r="U433" i="19"/>
  <c r="U355" i="19"/>
  <c r="W364" i="19"/>
  <c r="W475" i="19" s="1"/>
  <c r="W363" i="19"/>
  <c r="W362" i="19"/>
  <c r="U367" i="19"/>
  <c r="X45" i="19"/>
  <c r="X349" i="19"/>
  <c r="X351" i="19" s="1"/>
  <c r="X353" i="19" s="1"/>
  <c r="X354" i="19" s="1"/>
  <c r="U368" i="19"/>
  <c r="U392" i="19"/>
  <c r="W47" i="19"/>
  <c r="U64" i="19"/>
  <c r="U88" i="19"/>
  <c r="T128" i="19"/>
  <c r="T51" i="19"/>
  <c r="T64" i="19"/>
  <c r="T87" i="19"/>
  <c r="U129" i="19"/>
  <c r="U51" i="19"/>
  <c r="T63" i="19"/>
  <c r="R216" i="19"/>
  <c r="R12" i="19" s="1"/>
  <c r="R220" i="20"/>
  <c r="R221" i="20" s="1"/>
  <c r="S65" i="20"/>
  <c r="S66" i="20" s="1"/>
  <c r="AN74" i="20"/>
  <c r="AL72" i="20"/>
  <c r="AM73" i="20"/>
  <c r="AL170" i="20"/>
  <c r="AF170" i="20"/>
  <c r="Z170" i="20"/>
  <c r="W170" i="20"/>
  <c r="AI170" i="20"/>
  <c r="AC170" i="20"/>
  <c r="T63" i="20"/>
  <c r="U368" i="20"/>
  <c r="T87" i="20"/>
  <c r="T61" i="20" s="1"/>
  <c r="T64" i="20"/>
  <c r="V60" i="20"/>
  <c r="V172" i="20" s="1"/>
  <c r="V58" i="20"/>
  <c r="V59" i="20"/>
  <c r="V365" i="20"/>
  <c r="V475" i="20" s="1"/>
  <c r="V364" i="20"/>
  <c r="V363" i="20"/>
  <c r="T128" i="20"/>
  <c r="T51" i="20"/>
  <c r="T366" i="20"/>
  <c r="U434" i="20"/>
  <c r="U356" i="20"/>
  <c r="W47" i="20"/>
  <c r="U88" i="20"/>
  <c r="U64" i="20"/>
  <c r="U369" i="20"/>
  <c r="U393" i="20"/>
  <c r="W363" i="20"/>
  <c r="W364" i="20"/>
  <c r="W365" i="20"/>
  <c r="W476" i="20" s="1"/>
  <c r="AA171" i="20"/>
  <c r="X171" i="20"/>
  <c r="AG171" i="20"/>
  <c r="AD171" i="20"/>
  <c r="AM171" i="20"/>
  <c r="AJ171" i="20"/>
  <c r="U63" i="20"/>
  <c r="T367" i="20"/>
  <c r="X45" i="20"/>
  <c r="X350" i="20"/>
  <c r="X352" i="20" s="1"/>
  <c r="U129" i="20"/>
  <c r="U51" i="20"/>
  <c r="S217" i="20"/>
  <c r="T213" i="42"/>
  <c r="T9" i="42" s="1"/>
  <c r="T21" i="42" s="1"/>
  <c r="T215" i="42"/>
  <c r="T214" i="42"/>
  <c r="T207" i="42"/>
  <c r="S219" i="42"/>
  <c r="S241" i="42"/>
  <c r="S322" i="42"/>
  <c r="S218" i="42" s="1"/>
  <c r="AN227" i="42"/>
  <c r="AN268" i="42"/>
  <c r="S206" i="42"/>
  <c r="S282" i="42"/>
  <c r="W200" i="42"/>
  <c r="V202" i="42"/>
  <c r="R217" i="42"/>
  <c r="U204" i="42"/>
  <c r="U205" i="42" s="1"/>
  <c r="T213" i="41"/>
  <c r="T214" i="41"/>
  <c r="T215" i="41"/>
  <c r="T207" i="41"/>
  <c r="AN111" i="41"/>
  <c r="U204" i="41"/>
  <c r="U205" i="41" s="1"/>
  <c r="AN268" i="41"/>
  <c r="S282" i="41"/>
  <c r="S206" i="41"/>
  <c r="S322" i="41"/>
  <c r="S241" i="41"/>
  <c r="S219" i="41"/>
  <c r="X202" i="23"/>
  <c r="V214" i="23"/>
  <c r="V213" i="23"/>
  <c r="V9" i="23" s="1"/>
  <c r="V21" i="23" s="1"/>
  <c r="V215" i="23"/>
  <c r="V207" i="23"/>
  <c r="Y200" i="23"/>
  <c r="U219" i="23"/>
  <c r="U243" i="23"/>
  <c r="U284" i="23"/>
  <c r="U206" i="23"/>
  <c r="U324" i="23"/>
  <c r="AN227" i="23"/>
  <c r="W204" i="23"/>
  <c r="W205" i="23" s="1"/>
  <c r="AN111" i="23"/>
  <c r="V213" i="22"/>
  <c r="V215" i="22"/>
  <c r="V214" i="22"/>
  <c r="V207" i="22"/>
  <c r="U284" i="22"/>
  <c r="U206" i="22"/>
  <c r="T216" i="22"/>
  <c r="U219" i="22"/>
  <c r="U243" i="22"/>
  <c r="T218" i="22"/>
  <c r="U324" i="22"/>
  <c r="T213" i="19"/>
  <c r="T215" i="19"/>
  <c r="T214" i="19"/>
  <c r="T207" i="19"/>
  <c r="V202" i="19"/>
  <c r="AM268" i="19"/>
  <c r="S241" i="19"/>
  <c r="S219" i="19"/>
  <c r="W200" i="19"/>
  <c r="S322" i="19"/>
  <c r="U204" i="19"/>
  <c r="U205" i="19" s="1"/>
  <c r="S282" i="19"/>
  <c r="S206" i="19"/>
  <c r="V204" i="20"/>
  <c r="V205" i="20" s="1"/>
  <c r="AN268" i="20"/>
  <c r="T323" i="20"/>
  <c r="X200" i="20"/>
  <c r="U214" i="20"/>
  <c r="U213" i="20"/>
  <c r="U9" i="20" s="1"/>
  <c r="U21" i="20" s="1"/>
  <c r="U215" i="20"/>
  <c r="U207" i="20"/>
  <c r="T219" i="20"/>
  <c r="T242" i="20"/>
  <c r="S216" i="20"/>
  <c r="S12" i="20" s="1"/>
  <c r="W202" i="20"/>
  <c r="T283" i="20"/>
  <c r="T206" i="20"/>
  <c r="G2" i="73"/>
  <c r="H22" i="73"/>
  <c r="G14" i="73"/>
  <c r="J10" i="73"/>
  <c r="X58" i="23" l="1"/>
  <c r="AB209" i="42"/>
  <c r="AC209" i="42" s="1"/>
  <c r="X369" i="23"/>
  <c r="X437" i="23"/>
  <c r="AK437" i="23" s="1"/>
  <c r="X52" i="23"/>
  <c r="T10" i="19"/>
  <c r="T23" i="19" s="1"/>
  <c r="T10" i="42"/>
  <c r="T23" i="42" s="1"/>
  <c r="X60" i="23"/>
  <c r="X51" i="23" s="1"/>
  <c r="T10" i="41"/>
  <c r="T9" i="41"/>
  <c r="T21" i="41" s="1"/>
  <c r="T9" i="19"/>
  <c r="T21" i="19" s="1"/>
  <c r="Y59" i="23"/>
  <c r="Y133" i="23" s="1"/>
  <c r="O45" i="63"/>
  <c r="O51" i="63" s="1"/>
  <c r="U10" i="20"/>
  <c r="U23" i="20" s="1"/>
  <c r="Y60" i="23"/>
  <c r="Y175" i="23" s="1"/>
  <c r="Y58" i="23"/>
  <c r="Y92" i="23" s="1"/>
  <c r="Q38" i="63"/>
  <c r="Z59" i="52"/>
  <c r="Z59" i="32" s="1"/>
  <c r="M29" i="57"/>
  <c r="R11" i="22"/>
  <c r="S7" i="57"/>
  <c r="R25" i="20"/>
  <c r="O23" i="61"/>
  <c r="Q7" i="61"/>
  <c r="M44" i="62"/>
  <c r="M50" i="62" s="1"/>
  <c r="M28" i="62"/>
  <c r="Q25" i="19"/>
  <c r="R11" i="19"/>
  <c r="R18" i="19" s="1"/>
  <c r="Q16" i="63"/>
  <c r="Q23" i="63" s="1"/>
  <c r="Q29" i="63" s="1"/>
  <c r="L32" i="62"/>
  <c r="L21" i="62"/>
  <c r="V10" i="23"/>
  <c r="V23" i="23" s="1"/>
  <c r="W64" i="23"/>
  <c r="W90" i="23"/>
  <c r="W61" i="23" s="1"/>
  <c r="Z173" i="23"/>
  <c r="W51" i="23"/>
  <c r="W131" i="23"/>
  <c r="AC173" i="23"/>
  <c r="AF173" i="23"/>
  <c r="AI173" i="23"/>
  <c r="Y364" i="23"/>
  <c r="Y363" i="23"/>
  <c r="Y365" i="23"/>
  <c r="Y478" i="23" s="1"/>
  <c r="AL173" i="23"/>
  <c r="Z45" i="23"/>
  <c r="Z47" i="23" s="1"/>
  <c r="Z49" i="23" s="1"/>
  <c r="Z50" i="23" s="1"/>
  <c r="Z350" i="23"/>
  <c r="Z352" i="23" s="1"/>
  <c r="Z354" i="23" s="1"/>
  <c r="Z355" i="23" s="1"/>
  <c r="AN395" i="23"/>
  <c r="AI395" i="23"/>
  <c r="AG395" i="23"/>
  <c r="AM395" i="23"/>
  <c r="AH395" i="23"/>
  <c r="AD395" i="23"/>
  <c r="Z395" i="23"/>
  <c r="AC395" i="23"/>
  <c r="AB395" i="23"/>
  <c r="AL395" i="23"/>
  <c r="AK395" i="23"/>
  <c r="AJ395" i="23"/>
  <c r="AF395" i="23"/>
  <c r="AE395" i="23"/>
  <c r="Y395" i="23"/>
  <c r="X395" i="23"/>
  <c r="AA395" i="23"/>
  <c r="AN436" i="23"/>
  <c r="AK436" i="23"/>
  <c r="AI436" i="23"/>
  <c r="AB436" i="23"/>
  <c r="Y436" i="23"/>
  <c r="AJ436" i="23"/>
  <c r="AC436" i="23"/>
  <c r="AM436" i="23"/>
  <c r="X436" i="23"/>
  <c r="AL436" i="23"/>
  <c r="AF436" i="23"/>
  <c r="AD436" i="23"/>
  <c r="AH436" i="23"/>
  <c r="AE436" i="23"/>
  <c r="AG436" i="23"/>
  <c r="AA436" i="23"/>
  <c r="Z436" i="23"/>
  <c r="Y394" i="23"/>
  <c r="AC394" i="23"/>
  <c r="AD394" i="23"/>
  <c r="AL394" i="23"/>
  <c r="AJ394" i="23"/>
  <c r="AB394" i="23"/>
  <c r="Z394" i="23"/>
  <c r="AE394" i="23"/>
  <c r="AM394" i="23"/>
  <c r="X394" i="23"/>
  <c r="AA394" i="23"/>
  <c r="AG394" i="23"/>
  <c r="AF394" i="23"/>
  <c r="W394" i="23"/>
  <c r="W366" i="23" s="1"/>
  <c r="AN394" i="23"/>
  <c r="V366" i="23"/>
  <c r="AI394" i="23"/>
  <c r="AK394" i="23"/>
  <c r="AH394" i="23"/>
  <c r="AK435" i="23"/>
  <c r="AJ435" i="23"/>
  <c r="AC435" i="23"/>
  <c r="AA435" i="23"/>
  <c r="AD435" i="23"/>
  <c r="Y435" i="23"/>
  <c r="AG435" i="23"/>
  <c r="AE435" i="23"/>
  <c r="AB435" i="23"/>
  <c r="AI435" i="23"/>
  <c r="AF435" i="23"/>
  <c r="W435" i="23"/>
  <c r="W367" i="23" s="1"/>
  <c r="X435" i="23"/>
  <c r="AH435" i="23"/>
  <c r="AM435" i="23"/>
  <c r="AN435" i="23"/>
  <c r="Z435" i="23"/>
  <c r="AL435" i="23"/>
  <c r="V367" i="23"/>
  <c r="S45" i="63"/>
  <c r="S51" i="63" s="1"/>
  <c r="S29" i="63"/>
  <c r="M24" i="65"/>
  <c r="M30" i="65" s="1"/>
  <c r="S11" i="22"/>
  <c r="M73" i="63"/>
  <c r="M79" i="63" s="1"/>
  <c r="R11" i="42"/>
  <c r="R13" i="42" s="1"/>
  <c r="N23" i="57"/>
  <c r="N29" i="57" s="1"/>
  <c r="R12" i="22"/>
  <c r="R16" i="22" s="1"/>
  <c r="S12" i="22"/>
  <c r="S16" i="22" s="1"/>
  <c r="S11" i="20"/>
  <c r="S18" i="20" s="1"/>
  <c r="T220" i="23"/>
  <c r="T221" i="23" s="1"/>
  <c r="T11" i="23"/>
  <c r="T18" i="23" s="1"/>
  <c r="L83" i="61"/>
  <c r="L99" i="61"/>
  <c r="L100" i="61" s="1"/>
  <c r="N51" i="63"/>
  <c r="N73" i="63"/>
  <c r="N79" i="63" s="1"/>
  <c r="T38" i="63"/>
  <c r="T16" i="63"/>
  <c r="T23" i="63" s="1"/>
  <c r="L100" i="63"/>
  <c r="L101" i="63" s="1"/>
  <c r="L83" i="63"/>
  <c r="M28" i="65"/>
  <c r="M23" i="65"/>
  <c r="Q8" i="65"/>
  <c r="N17" i="65"/>
  <c r="N22" i="65" s="1"/>
  <c r="N13" i="65"/>
  <c r="M73" i="57"/>
  <c r="M79" i="57" s="1"/>
  <c r="M51" i="57"/>
  <c r="L33" i="57"/>
  <c r="L49" i="57"/>
  <c r="L22" i="57"/>
  <c r="L51" i="57"/>
  <c r="L73" i="57"/>
  <c r="L79" i="57" s="1"/>
  <c r="S7" i="61"/>
  <c r="N45" i="61"/>
  <c r="L50" i="62"/>
  <c r="L71" i="62"/>
  <c r="L77" i="62" s="1"/>
  <c r="N22" i="62"/>
  <c r="L75" i="62"/>
  <c r="L54" i="62"/>
  <c r="Q13" i="19"/>
  <c r="AA59" i="51"/>
  <c r="Z71" i="51"/>
  <c r="N23" i="60"/>
  <c r="M29" i="60"/>
  <c r="M45" i="60"/>
  <c r="L51" i="60"/>
  <c r="L73" i="60"/>
  <c r="L79" i="60" s="1"/>
  <c r="J11" i="45"/>
  <c r="AN396" i="23"/>
  <c r="AB396" i="23"/>
  <c r="AM396" i="23"/>
  <c r="AA396" i="23"/>
  <c r="AD396" i="23"/>
  <c r="Z396" i="23"/>
  <c r="Y396" i="23"/>
  <c r="AC396" i="23"/>
  <c r="AE396" i="23"/>
  <c r="AL396" i="23"/>
  <c r="AK396" i="23"/>
  <c r="AJ396" i="23"/>
  <c r="AI396" i="23"/>
  <c r="AH396" i="23"/>
  <c r="AG396" i="23"/>
  <c r="AF396" i="23"/>
  <c r="T16" i="23"/>
  <c r="U218" i="23"/>
  <c r="AM324" i="23"/>
  <c r="AJ324" i="23"/>
  <c r="AG324" i="23"/>
  <c r="AD324" i="23"/>
  <c r="X324" i="23"/>
  <c r="AA324" i="23"/>
  <c r="AE284" i="23"/>
  <c r="AD284" i="23"/>
  <c r="AC284" i="23"/>
  <c r="AN284" i="23"/>
  <c r="AB284" i="23"/>
  <c r="AA284" i="23"/>
  <c r="Z284" i="23"/>
  <c r="Y284" i="23"/>
  <c r="AM284" i="23"/>
  <c r="AL284" i="23"/>
  <c r="AK284" i="23"/>
  <c r="AJ284" i="23"/>
  <c r="AI284" i="23"/>
  <c r="AH284" i="23"/>
  <c r="AG284" i="23"/>
  <c r="AF284" i="23"/>
  <c r="X284" i="23"/>
  <c r="W284" i="23"/>
  <c r="V284" i="23"/>
  <c r="AE243" i="23"/>
  <c r="AD243" i="23"/>
  <c r="AC243" i="23"/>
  <c r="AN243" i="23"/>
  <c r="AB243" i="23"/>
  <c r="X243" i="23"/>
  <c r="V243" i="23"/>
  <c r="AK243" i="23"/>
  <c r="AM243" i="23"/>
  <c r="W243" i="23"/>
  <c r="AL243" i="23"/>
  <c r="AJ243" i="23"/>
  <c r="AA243" i="23"/>
  <c r="Z243" i="23"/>
  <c r="Y243" i="23"/>
  <c r="AF243" i="23"/>
  <c r="AI243" i="23"/>
  <c r="AH243" i="23"/>
  <c r="AG243" i="23"/>
  <c r="U217" i="23"/>
  <c r="S13" i="23"/>
  <c r="S18" i="23"/>
  <c r="AM474" i="22"/>
  <c r="AJ474" i="22"/>
  <c r="AG474" i="22"/>
  <c r="AD474" i="22"/>
  <c r="AA474" i="22"/>
  <c r="X474" i="22"/>
  <c r="AL433" i="22"/>
  <c r="Z433" i="22"/>
  <c r="AK433" i="22"/>
  <c r="Y433" i="22"/>
  <c r="AJ433" i="22"/>
  <c r="X433" i="22"/>
  <c r="AI433" i="22"/>
  <c r="W433" i="22"/>
  <c r="AD433" i="22"/>
  <c r="AC433" i="22"/>
  <c r="AB433" i="22"/>
  <c r="AA433" i="22"/>
  <c r="V433" i="22"/>
  <c r="U433" i="22"/>
  <c r="AN433" i="22"/>
  <c r="AM433" i="22"/>
  <c r="AH433" i="22"/>
  <c r="AG433" i="22"/>
  <c r="AF433" i="22"/>
  <c r="AE433" i="22"/>
  <c r="AL392" i="22"/>
  <c r="Z392" i="22"/>
  <c r="AJ392" i="22"/>
  <c r="X392" i="22"/>
  <c r="AI392" i="22"/>
  <c r="W392" i="22"/>
  <c r="AK392" i="22"/>
  <c r="AG392" i="22"/>
  <c r="AH392" i="22"/>
  <c r="AF392" i="22"/>
  <c r="AE392" i="22"/>
  <c r="AA392" i="22"/>
  <c r="V392" i="22"/>
  <c r="AM392" i="22"/>
  <c r="AD392" i="22"/>
  <c r="Y392" i="22"/>
  <c r="U392" i="22"/>
  <c r="AN392" i="22"/>
  <c r="AC392" i="22"/>
  <c r="AB392" i="22"/>
  <c r="AM324" i="22"/>
  <c r="AJ324" i="22"/>
  <c r="AG324" i="22"/>
  <c r="AD324" i="22"/>
  <c r="AA324" i="22"/>
  <c r="X324" i="22"/>
  <c r="AE284" i="22"/>
  <c r="AC284" i="22"/>
  <c r="AD284" i="22"/>
  <c r="AI284" i="22"/>
  <c r="AF284" i="22"/>
  <c r="AB284" i="22"/>
  <c r="AA284" i="22"/>
  <c r="AH284" i="22"/>
  <c r="AG284" i="22"/>
  <c r="AM284" i="22"/>
  <c r="AL284" i="22"/>
  <c r="AK284" i="22"/>
  <c r="AJ284" i="22"/>
  <c r="Z284" i="22"/>
  <c r="Y284" i="22"/>
  <c r="X284" i="22"/>
  <c r="W284" i="22"/>
  <c r="V284" i="22"/>
  <c r="AN284" i="22"/>
  <c r="AD243" i="22"/>
  <c r="AN243" i="22"/>
  <c r="AB243" i="22"/>
  <c r="AM243" i="22"/>
  <c r="AA243" i="22"/>
  <c r="AH243" i="22"/>
  <c r="AG243" i="22"/>
  <c r="AF243" i="22"/>
  <c r="AE243" i="22"/>
  <c r="AC243" i="22"/>
  <c r="Z243" i="22"/>
  <c r="Y243" i="22"/>
  <c r="AK243" i="22"/>
  <c r="V243" i="22"/>
  <c r="AL243" i="22"/>
  <c r="W243" i="22"/>
  <c r="AJ243" i="22"/>
  <c r="AI243" i="22"/>
  <c r="X243" i="22"/>
  <c r="AN268" i="22"/>
  <c r="AC170" i="22"/>
  <c r="W170" i="22"/>
  <c r="Z170" i="22"/>
  <c r="AL170" i="22"/>
  <c r="AI170" i="22"/>
  <c r="AF170" i="22"/>
  <c r="AL128" i="22"/>
  <c r="Z128" i="22"/>
  <c r="AJ128" i="22"/>
  <c r="X128" i="22"/>
  <c r="AK128" i="22"/>
  <c r="Y128" i="22"/>
  <c r="AI128" i="22"/>
  <c r="AH128" i="22"/>
  <c r="AG128" i="22"/>
  <c r="AC128" i="22"/>
  <c r="AB128" i="22"/>
  <c r="AA128" i="22"/>
  <c r="W128" i="22"/>
  <c r="V128" i="22"/>
  <c r="U128" i="22"/>
  <c r="AM128" i="22"/>
  <c r="AF128" i="22"/>
  <c r="AE128" i="22"/>
  <c r="AD128" i="22"/>
  <c r="AN128" i="22"/>
  <c r="AL87" i="22"/>
  <c r="Z87" i="22"/>
  <c r="AK87" i="22"/>
  <c r="Y87" i="22"/>
  <c r="AJ87" i="22"/>
  <c r="X87" i="22"/>
  <c r="AI87" i="22"/>
  <c r="W87" i="22"/>
  <c r="AC87" i="22"/>
  <c r="AN87" i="22"/>
  <c r="AB87" i="22"/>
  <c r="AH87" i="22"/>
  <c r="AG87" i="22"/>
  <c r="AE87" i="22"/>
  <c r="AF87" i="22"/>
  <c r="AD87" i="22"/>
  <c r="AM87" i="22"/>
  <c r="AA87" i="22"/>
  <c r="V87" i="22"/>
  <c r="U87" i="22"/>
  <c r="AL475" i="19"/>
  <c r="AI475" i="19"/>
  <c r="AF475" i="19"/>
  <c r="AC475" i="19"/>
  <c r="Z475" i="19"/>
  <c r="AE433" i="19"/>
  <c r="AC433" i="19"/>
  <c r="AD433" i="19"/>
  <c r="AH433" i="19"/>
  <c r="AG433" i="19"/>
  <c r="AF433" i="19"/>
  <c r="AB433" i="19"/>
  <c r="Y433" i="19"/>
  <c r="X433" i="19"/>
  <c r="W433" i="19"/>
  <c r="V433" i="19"/>
  <c r="V366" i="19" s="1"/>
  <c r="AN433" i="19"/>
  <c r="AM433" i="19"/>
  <c r="AL433" i="19"/>
  <c r="AK433" i="19"/>
  <c r="AJ433" i="19"/>
  <c r="AI433" i="19"/>
  <c r="AA433" i="19"/>
  <c r="Z433" i="19"/>
  <c r="AK434" i="19"/>
  <c r="Y434" i="19"/>
  <c r="AI434" i="19"/>
  <c r="W434" i="19"/>
  <c r="AJ434" i="19"/>
  <c r="X434" i="19"/>
  <c r="AE434" i="19"/>
  <c r="AD434" i="19"/>
  <c r="AC434" i="19"/>
  <c r="AB434" i="19"/>
  <c r="AG434" i="19"/>
  <c r="AF434" i="19"/>
  <c r="AA434" i="19"/>
  <c r="Z434" i="19"/>
  <c r="AN434" i="19"/>
  <c r="AM434" i="19"/>
  <c r="AL434" i="19"/>
  <c r="AH434" i="19"/>
  <c r="AK393" i="19"/>
  <c r="Y393" i="19"/>
  <c r="AJ393" i="19"/>
  <c r="X393" i="19"/>
  <c r="AI393" i="19"/>
  <c r="W393" i="19"/>
  <c r="AH393" i="19"/>
  <c r="AG393" i="19"/>
  <c r="AF393" i="19"/>
  <c r="AE393" i="19"/>
  <c r="AN393" i="19"/>
  <c r="AM393" i="19"/>
  <c r="AL393" i="19"/>
  <c r="AD393" i="19"/>
  <c r="AC393" i="19"/>
  <c r="AB393" i="19"/>
  <c r="AA393" i="19"/>
  <c r="Z393" i="19"/>
  <c r="AE392" i="19"/>
  <c r="AD392" i="19"/>
  <c r="AC392" i="19"/>
  <c r="AN392" i="19"/>
  <c r="AB392" i="19"/>
  <c r="AM392" i="19"/>
  <c r="AA392" i="19"/>
  <c r="AL392" i="19"/>
  <c r="Z392" i="19"/>
  <c r="AK392" i="19"/>
  <c r="Y392" i="19"/>
  <c r="AH392" i="19"/>
  <c r="AG392" i="19"/>
  <c r="X392" i="19"/>
  <c r="AF392" i="19"/>
  <c r="W392" i="19"/>
  <c r="V392" i="19"/>
  <c r="V365" i="19" s="1"/>
  <c r="AJ392" i="19"/>
  <c r="AI392" i="19"/>
  <c r="S218" i="19"/>
  <c r="AN322" i="19"/>
  <c r="AH322" i="19"/>
  <c r="AE322" i="19"/>
  <c r="AB322" i="19"/>
  <c r="Y322" i="19"/>
  <c r="AK322" i="19"/>
  <c r="V322" i="19"/>
  <c r="AH282" i="19"/>
  <c r="V282" i="19"/>
  <c r="AF282" i="19"/>
  <c r="T282" i="19"/>
  <c r="AE282" i="19"/>
  <c r="AN282" i="19"/>
  <c r="Y282" i="19"/>
  <c r="AM282" i="19"/>
  <c r="X282" i="19"/>
  <c r="AL282" i="19"/>
  <c r="W282" i="19"/>
  <c r="AK282" i="19"/>
  <c r="U282" i="19"/>
  <c r="AJ282" i="19"/>
  <c r="AI282" i="19"/>
  <c r="AG282" i="19"/>
  <c r="AD282" i="19"/>
  <c r="AC282" i="19"/>
  <c r="AB282" i="19"/>
  <c r="AA282" i="19"/>
  <c r="Z282" i="19"/>
  <c r="AF241" i="19"/>
  <c r="T241" i="19"/>
  <c r="AE241" i="19"/>
  <c r="AH241" i="19"/>
  <c r="AG241" i="19"/>
  <c r="AN241" i="19"/>
  <c r="X241" i="19"/>
  <c r="AL241" i="19"/>
  <c r="V241" i="19"/>
  <c r="AK241" i="19"/>
  <c r="U241" i="19"/>
  <c r="AJ241" i="19"/>
  <c r="AM241" i="19"/>
  <c r="W241" i="19"/>
  <c r="AI241" i="19"/>
  <c r="AD241" i="19"/>
  <c r="AC241" i="19"/>
  <c r="AB241" i="19"/>
  <c r="AA241" i="19"/>
  <c r="Z241" i="19"/>
  <c r="Y241" i="19"/>
  <c r="AD129" i="19"/>
  <c r="AC129" i="19"/>
  <c r="AN129" i="19"/>
  <c r="AB129" i="19"/>
  <c r="AM129" i="19"/>
  <c r="AA129" i="19"/>
  <c r="AE129" i="19"/>
  <c r="Z129" i="19"/>
  <c r="Y129" i="19"/>
  <c r="W129" i="19"/>
  <c r="X129" i="19"/>
  <c r="V129" i="19"/>
  <c r="AL129" i="19"/>
  <c r="AK129" i="19"/>
  <c r="AJ129" i="19"/>
  <c r="AI129" i="19"/>
  <c r="AH129" i="19"/>
  <c r="AG129" i="19"/>
  <c r="AF129" i="19"/>
  <c r="T62" i="19"/>
  <c r="AK128" i="19"/>
  <c r="Y128" i="19"/>
  <c r="AJ128" i="19"/>
  <c r="X128" i="19"/>
  <c r="AI128" i="19"/>
  <c r="W128" i="19"/>
  <c r="AH128" i="19"/>
  <c r="V128" i="19"/>
  <c r="AD128" i="19"/>
  <c r="AC128" i="19"/>
  <c r="AB128" i="19"/>
  <c r="Z128" i="19"/>
  <c r="AN128" i="19"/>
  <c r="AM128" i="19"/>
  <c r="AG128" i="19"/>
  <c r="AF128" i="19"/>
  <c r="AE128" i="19"/>
  <c r="AA128" i="19"/>
  <c r="AL128" i="19"/>
  <c r="U128" i="19"/>
  <c r="U62" i="19" s="1"/>
  <c r="AD88" i="19"/>
  <c r="AB88" i="19"/>
  <c r="AC88" i="19"/>
  <c r="AN88" i="19"/>
  <c r="Z88" i="19"/>
  <c r="AM88" i="19"/>
  <c r="X88" i="19"/>
  <c r="AL88" i="19"/>
  <c r="Y88" i="19"/>
  <c r="AK88" i="19"/>
  <c r="V88" i="19"/>
  <c r="AI88" i="19"/>
  <c r="AH88" i="19"/>
  <c r="AA88" i="19"/>
  <c r="W88" i="19"/>
  <c r="AG88" i="19"/>
  <c r="AF88" i="19"/>
  <c r="AE88" i="19"/>
  <c r="AJ88" i="19"/>
  <c r="T61" i="19"/>
  <c r="AK87" i="19"/>
  <c r="Y87" i="19"/>
  <c r="W87" i="19"/>
  <c r="AJ87" i="19"/>
  <c r="X87" i="19"/>
  <c r="AI87" i="19"/>
  <c r="AD87" i="19"/>
  <c r="AB87" i="19"/>
  <c r="AC87" i="19"/>
  <c r="Z87" i="19"/>
  <c r="AF87" i="19"/>
  <c r="AE87" i="19"/>
  <c r="AN87" i="19"/>
  <c r="AM87" i="19"/>
  <c r="AL87" i="19"/>
  <c r="AH87" i="19"/>
  <c r="AA87" i="19"/>
  <c r="V87" i="19"/>
  <c r="U87" i="19"/>
  <c r="U61" i="19" s="1"/>
  <c r="AG87" i="19"/>
  <c r="W368" i="20"/>
  <c r="AL476" i="20"/>
  <c r="AI476" i="20"/>
  <c r="AF476" i="20"/>
  <c r="AC476" i="20"/>
  <c r="Z476" i="20"/>
  <c r="Y475" i="20"/>
  <c r="AN475" i="20"/>
  <c r="AB475" i="20"/>
  <c r="AK475" i="20"/>
  <c r="AH475" i="20"/>
  <c r="AE475" i="20"/>
  <c r="AD434" i="20"/>
  <c r="AC434" i="20"/>
  <c r="AM434" i="20"/>
  <c r="AA434" i="20"/>
  <c r="AK434" i="20"/>
  <c r="AL434" i="20"/>
  <c r="Z434" i="20"/>
  <c r="Y434" i="20"/>
  <c r="W434" i="20"/>
  <c r="V434" i="20"/>
  <c r="AN434" i="20"/>
  <c r="AJ434" i="20"/>
  <c r="AI434" i="20"/>
  <c r="AH434" i="20"/>
  <c r="AG434" i="20"/>
  <c r="AF434" i="20"/>
  <c r="AE434" i="20"/>
  <c r="AB434" i="20"/>
  <c r="X434" i="20"/>
  <c r="AE393" i="20"/>
  <c r="AD393" i="20"/>
  <c r="AC393" i="20"/>
  <c r="AF393" i="20"/>
  <c r="AB393" i="20"/>
  <c r="AA393" i="20"/>
  <c r="Z393" i="20"/>
  <c r="AG393" i="20"/>
  <c r="X393" i="20"/>
  <c r="W393" i="20"/>
  <c r="AN393" i="20"/>
  <c r="Y393" i="20"/>
  <c r="V393" i="20"/>
  <c r="AM393" i="20"/>
  <c r="AL393" i="20"/>
  <c r="AK393" i="20"/>
  <c r="AJ393" i="20"/>
  <c r="AI393" i="20"/>
  <c r="AH393" i="20"/>
  <c r="T218" i="20"/>
  <c r="AC323" i="20"/>
  <c r="Z323" i="20"/>
  <c r="W323" i="20"/>
  <c r="AL323" i="20"/>
  <c r="AI323" i="20"/>
  <c r="AF323" i="20"/>
  <c r="AL283" i="20"/>
  <c r="Z283" i="20"/>
  <c r="AK283" i="20"/>
  <c r="Y283" i="20"/>
  <c r="AB283" i="20"/>
  <c r="AA283" i="20"/>
  <c r="AN283" i="20"/>
  <c r="X283" i="20"/>
  <c r="AG283" i="20"/>
  <c r="AF283" i="20"/>
  <c r="AE283" i="20"/>
  <c r="AD283" i="20"/>
  <c r="AC283" i="20"/>
  <c r="V283" i="20"/>
  <c r="AM283" i="20"/>
  <c r="U283" i="20"/>
  <c r="AJ283" i="20"/>
  <c r="AI283" i="20"/>
  <c r="AH283" i="20"/>
  <c r="W283" i="20"/>
  <c r="AL242" i="20"/>
  <c r="Z242" i="20"/>
  <c r="AK242" i="20"/>
  <c r="Y242" i="20"/>
  <c r="AH242" i="20"/>
  <c r="V242" i="20"/>
  <c r="AJ242" i="20"/>
  <c r="AI242" i="20"/>
  <c r="AG242" i="20"/>
  <c r="AF242" i="20"/>
  <c r="AE242" i="20"/>
  <c r="AC242" i="20"/>
  <c r="AB242" i="20"/>
  <c r="AN242" i="20"/>
  <c r="AD242" i="20"/>
  <c r="AA242" i="20"/>
  <c r="X242" i="20"/>
  <c r="W242" i="20"/>
  <c r="U242" i="20"/>
  <c r="AM242" i="20"/>
  <c r="U367" i="42"/>
  <c r="T370" i="42"/>
  <c r="T371" i="42" s="1"/>
  <c r="AE475" i="42"/>
  <c r="AB475" i="42"/>
  <c r="Y475" i="42"/>
  <c r="AN475" i="42"/>
  <c r="AK475" i="42"/>
  <c r="AH475" i="42"/>
  <c r="W368" i="42"/>
  <c r="AL476" i="42"/>
  <c r="Z476" i="42"/>
  <c r="AI476" i="42"/>
  <c r="AF476" i="42"/>
  <c r="AC476" i="42"/>
  <c r="AE434" i="42"/>
  <c r="AD434" i="42"/>
  <c r="AC434" i="42"/>
  <c r="AN434" i="42"/>
  <c r="AB434" i="42"/>
  <c r="AF434" i="42"/>
  <c r="AA434" i="42"/>
  <c r="Z434" i="42"/>
  <c r="Y434" i="42"/>
  <c r="X434" i="42"/>
  <c r="AM434" i="42"/>
  <c r="W434" i="42"/>
  <c r="AL434" i="42"/>
  <c r="V434" i="42"/>
  <c r="AI434" i="42"/>
  <c r="AG434" i="42"/>
  <c r="AH434" i="42"/>
  <c r="AK434" i="42"/>
  <c r="AJ434" i="42"/>
  <c r="AE393" i="42"/>
  <c r="AD393" i="42"/>
  <c r="AC393" i="42"/>
  <c r="AN393" i="42"/>
  <c r="AB393" i="42"/>
  <c r="AA393" i="42"/>
  <c r="Z393" i="42"/>
  <c r="Y393" i="42"/>
  <c r="X393" i="42"/>
  <c r="AM393" i="42"/>
  <c r="W393" i="42"/>
  <c r="AL393" i="42"/>
  <c r="V393" i="42"/>
  <c r="AK393" i="42"/>
  <c r="AI393" i="42"/>
  <c r="AG393" i="42"/>
  <c r="AH393" i="42"/>
  <c r="AF393" i="42"/>
  <c r="AJ393" i="42"/>
  <c r="AN322" i="42"/>
  <c r="AK322" i="42"/>
  <c r="AH322" i="42"/>
  <c r="AE322" i="42"/>
  <c r="AB322" i="42"/>
  <c r="Y322" i="42"/>
  <c r="V322" i="42"/>
  <c r="Q18" i="42"/>
  <c r="Q25" i="42" s="1"/>
  <c r="AH282" i="42"/>
  <c r="V282" i="42"/>
  <c r="AF282" i="42"/>
  <c r="T282" i="42"/>
  <c r="AE282" i="42"/>
  <c r="AN282" i="42"/>
  <c r="Y282" i="42"/>
  <c r="AL282" i="42"/>
  <c r="W282" i="42"/>
  <c r="AK282" i="42"/>
  <c r="U282" i="42"/>
  <c r="AJ282" i="42"/>
  <c r="AI282" i="42"/>
  <c r="AG282" i="42"/>
  <c r="AD282" i="42"/>
  <c r="AM282" i="42"/>
  <c r="X282" i="42"/>
  <c r="AC282" i="42"/>
  <c r="AB282" i="42"/>
  <c r="AA282" i="42"/>
  <c r="Z282" i="42"/>
  <c r="AH241" i="42"/>
  <c r="V241" i="42"/>
  <c r="AG241" i="42"/>
  <c r="U241" i="42"/>
  <c r="AF241" i="42"/>
  <c r="T241" i="42"/>
  <c r="AE241" i="42"/>
  <c r="AD241" i="42"/>
  <c r="AC241" i="42"/>
  <c r="AM241" i="42"/>
  <c r="AK241" i="42"/>
  <c r="AJ241" i="42"/>
  <c r="AA241" i="42"/>
  <c r="AL241" i="42"/>
  <c r="AI241" i="42"/>
  <c r="AB241" i="42"/>
  <c r="Z241" i="42"/>
  <c r="Y241" i="42"/>
  <c r="W241" i="42"/>
  <c r="X241" i="42"/>
  <c r="AN241" i="42"/>
  <c r="R16" i="42"/>
  <c r="S216" i="42"/>
  <c r="S217" i="42"/>
  <c r="S11" i="42" s="1"/>
  <c r="S13" i="42" s="1"/>
  <c r="T65" i="42"/>
  <c r="T66" i="42" s="1"/>
  <c r="L10" i="45"/>
  <c r="AL433" i="41"/>
  <c r="Z433" i="41"/>
  <c r="AJ433" i="41"/>
  <c r="X433" i="41"/>
  <c r="AI433" i="41"/>
  <c r="W433" i="41"/>
  <c r="AH433" i="41"/>
  <c r="AG433" i="41"/>
  <c r="AE433" i="41"/>
  <c r="AD433" i="41"/>
  <c r="AA433" i="41"/>
  <c r="V433" i="41"/>
  <c r="Y433" i="41"/>
  <c r="U433" i="41"/>
  <c r="AM433" i="41"/>
  <c r="AC433" i="41"/>
  <c r="AB433" i="41"/>
  <c r="AN433" i="41"/>
  <c r="AK433" i="41"/>
  <c r="AF433" i="41"/>
  <c r="AH432" i="41"/>
  <c r="V432" i="41"/>
  <c r="AF432" i="41"/>
  <c r="T432" i="41"/>
  <c r="AE432" i="41"/>
  <c r="AM432" i="41"/>
  <c r="X432" i="41"/>
  <c r="AL432" i="41"/>
  <c r="W432" i="41"/>
  <c r="AJ432" i="41"/>
  <c r="AI432" i="41"/>
  <c r="Y432" i="41"/>
  <c r="U432" i="41"/>
  <c r="AN432" i="41"/>
  <c r="AK432" i="41"/>
  <c r="AG432" i="41"/>
  <c r="AD432" i="41"/>
  <c r="AC432" i="41"/>
  <c r="AB432" i="41"/>
  <c r="AA432" i="41"/>
  <c r="Z432" i="41"/>
  <c r="AH391" i="41"/>
  <c r="V391" i="41"/>
  <c r="AF391" i="41"/>
  <c r="T391" i="41"/>
  <c r="AE391" i="41"/>
  <c r="AN391" i="41"/>
  <c r="Y391" i="41"/>
  <c r="AM391" i="41"/>
  <c r="X391" i="41"/>
  <c r="AD391" i="41"/>
  <c r="AC391" i="41"/>
  <c r="AB391" i="41"/>
  <c r="AA391" i="41"/>
  <c r="Z391" i="41"/>
  <c r="AK391" i="41"/>
  <c r="AJ391" i="41"/>
  <c r="AI391" i="41"/>
  <c r="AG391" i="41"/>
  <c r="AL391" i="41"/>
  <c r="W391" i="41"/>
  <c r="U391" i="41"/>
  <c r="AL392" i="41"/>
  <c r="Z392" i="41"/>
  <c r="AJ392" i="41"/>
  <c r="X392" i="41"/>
  <c r="AI392" i="41"/>
  <c r="W392" i="41"/>
  <c r="AK392" i="41"/>
  <c r="AH392" i="41"/>
  <c r="AD392" i="41"/>
  <c r="AC392" i="41"/>
  <c r="AB392" i="41"/>
  <c r="AA392" i="41"/>
  <c r="Y392" i="41"/>
  <c r="AM392" i="41"/>
  <c r="AG392" i="41"/>
  <c r="AF392" i="41"/>
  <c r="AE392" i="41"/>
  <c r="V392" i="41"/>
  <c r="U392" i="41"/>
  <c r="AN392" i="41"/>
  <c r="S218" i="41"/>
  <c r="AN322" i="41"/>
  <c r="Y322" i="41"/>
  <c r="V322" i="41"/>
  <c r="AK322" i="41"/>
  <c r="AH322" i="41"/>
  <c r="AE322" i="41"/>
  <c r="AB322" i="41"/>
  <c r="AH282" i="41"/>
  <c r="V282" i="41"/>
  <c r="AG282" i="41"/>
  <c r="U282" i="41"/>
  <c r="AD282" i="41"/>
  <c r="AN282" i="41"/>
  <c r="Y282" i="41"/>
  <c r="AM282" i="41"/>
  <c r="X282" i="41"/>
  <c r="AL282" i="41"/>
  <c r="W282" i="41"/>
  <c r="AK282" i="41"/>
  <c r="T282" i="41"/>
  <c r="AC282" i="41"/>
  <c r="AB282" i="41"/>
  <c r="AA282" i="41"/>
  <c r="Z282" i="41"/>
  <c r="AJ282" i="41"/>
  <c r="AI282" i="41"/>
  <c r="AF282" i="41"/>
  <c r="AE282" i="41"/>
  <c r="AG241" i="41"/>
  <c r="U241" i="41"/>
  <c r="AF241" i="41"/>
  <c r="T241" i="41"/>
  <c r="AD241" i="41"/>
  <c r="AK241" i="41"/>
  <c r="V241" i="41"/>
  <c r="AJ241" i="41"/>
  <c r="AE241" i="41"/>
  <c r="AC241" i="41"/>
  <c r="AA241" i="41"/>
  <c r="Z241" i="41"/>
  <c r="AB241" i="41"/>
  <c r="AN241" i="41"/>
  <c r="W241" i="41"/>
  <c r="AM241" i="41"/>
  <c r="AL241" i="41"/>
  <c r="AI241" i="41"/>
  <c r="AH241" i="41"/>
  <c r="Y241" i="41"/>
  <c r="X241" i="41"/>
  <c r="AG168" i="41"/>
  <c r="AD168" i="41"/>
  <c r="AA168" i="41"/>
  <c r="X168" i="41"/>
  <c r="U168" i="41"/>
  <c r="AJ168" i="41"/>
  <c r="AM168" i="41"/>
  <c r="AE169" i="41"/>
  <c r="AN169" i="41"/>
  <c r="AK169" i="41"/>
  <c r="AH169" i="41"/>
  <c r="AB169" i="41"/>
  <c r="Y169" i="41"/>
  <c r="V169" i="41"/>
  <c r="AH127" i="41"/>
  <c r="V127" i="41"/>
  <c r="AF127" i="41"/>
  <c r="T127" i="41"/>
  <c r="AE127" i="41"/>
  <c r="AN127" i="41"/>
  <c r="Y127" i="41"/>
  <c r="AL127" i="41"/>
  <c r="W127" i="41"/>
  <c r="AM127" i="41"/>
  <c r="X127" i="41"/>
  <c r="AG127" i="41"/>
  <c r="AD127" i="41"/>
  <c r="AC127" i="41"/>
  <c r="AB127" i="41"/>
  <c r="AK127" i="41"/>
  <c r="AJ127" i="41"/>
  <c r="AI127" i="41"/>
  <c r="AA127" i="41"/>
  <c r="Z127" i="41"/>
  <c r="U127" i="41"/>
  <c r="AE126" i="41"/>
  <c r="S126" i="41"/>
  <c r="AC126" i="41"/>
  <c r="AN126" i="41"/>
  <c r="AB126" i="41"/>
  <c r="AD126" i="41"/>
  <c r="AA126" i="41"/>
  <c r="Z126" i="41"/>
  <c r="AL126" i="41"/>
  <c r="T126" i="41"/>
  <c r="AI126" i="41"/>
  <c r="AH126" i="41"/>
  <c r="AG126" i="41"/>
  <c r="AF126" i="41"/>
  <c r="Y126" i="41"/>
  <c r="AK126" i="41"/>
  <c r="AJ126" i="41"/>
  <c r="AM126" i="41"/>
  <c r="X126" i="41"/>
  <c r="W126" i="41"/>
  <c r="V126" i="41"/>
  <c r="U126" i="41"/>
  <c r="AH86" i="41"/>
  <c r="V86" i="41"/>
  <c r="AG86" i="41"/>
  <c r="U86" i="41"/>
  <c r="AF86" i="41"/>
  <c r="T86" i="41"/>
  <c r="AE86" i="41"/>
  <c r="AD86" i="41"/>
  <c r="AB86" i="41"/>
  <c r="AC86" i="41"/>
  <c r="AN86" i="41"/>
  <c r="AL86" i="41"/>
  <c r="AK86" i="41"/>
  <c r="AJ86" i="41"/>
  <c r="AI86" i="41"/>
  <c r="AA86" i="41"/>
  <c r="AM86" i="41"/>
  <c r="Z86" i="41"/>
  <c r="Y86" i="41"/>
  <c r="X86" i="41"/>
  <c r="W86" i="41"/>
  <c r="AE85" i="41"/>
  <c r="S85" i="41"/>
  <c r="AD85" i="41"/>
  <c r="AC85" i="41"/>
  <c r="AN85" i="41"/>
  <c r="AB85" i="41"/>
  <c r="AI85" i="41"/>
  <c r="AG85" i="41"/>
  <c r="AH85" i="41"/>
  <c r="AL85" i="41"/>
  <c r="AJ85" i="41"/>
  <c r="AF85" i="41"/>
  <c r="AA85" i="41"/>
  <c r="Z85" i="41"/>
  <c r="Y85" i="41"/>
  <c r="AK85" i="41"/>
  <c r="V85" i="41"/>
  <c r="AM85" i="41"/>
  <c r="X85" i="41"/>
  <c r="W85" i="41"/>
  <c r="U85" i="41"/>
  <c r="T85" i="41"/>
  <c r="U40" i="16"/>
  <c r="T42" i="16"/>
  <c r="K7" i="45"/>
  <c r="J7" i="45"/>
  <c r="R16" i="19"/>
  <c r="R220" i="19"/>
  <c r="R221" i="19" s="1"/>
  <c r="AG45" i="16"/>
  <c r="S16" i="20"/>
  <c r="R13" i="20"/>
  <c r="W436" i="42"/>
  <c r="W356" i="42"/>
  <c r="V435" i="42"/>
  <c r="V356" i="42"/>
  <c r="X47" i="42"/>
  <c r="X49" i="42" s="1"/>
  <c r="X50" i="42" s="1"/>
  <c r="X52" i="42" s="1"/>
  <c r="Y350" i="42"/>
  <c r="Y352" i="42" s="1"/>
  <c r="Y45" i="42"/>
  <c r="W369" i="42"/>
  <c r="W395" i="42"/>
  <c r="V369" i="42"/>
  <c r="V394" i="42"/>
  <c r="W49" i="42"/>
  <c r="W50" i="42" s="1"/>
  <c r="V368" i="42"/>
  <c r="V60" i="42"/>
  <c r="V59" i="42"/>
  <c r="V58" i="42"/>
  <c r="V52" i="42"/>
  <c r="U88" i="42"/>
  <c r="U64" i="42"/>
  <c r="U366" i="42"/>
  <c r="U171" i="42"/>
  <c r="X354" i="42"/>
  <c r="X355" i="42" s="1"/>
  <c r="U129" i="42"/>
  <c r="U51" i="42"/>
  <c r="R23" i="41"/>
  <c r="R63" i="41"/>
  <c r="S23" i="41"/>
  <c r="V47" i="41"/>
  <c r="T87" i="41"/>
  <c r="T64" i="41"/>
  <c r="V354" i="41"/>
  <c r="V355" i="41" s="1"/>
  <c r="U365" i="41"/>
  <c r="U474" i="41" s="1"/>
  <c r="U363" i="41"/>
  <c r="U364" i="41"/>
  <c r="S63" i="41"/>
  <c r="T128" i="41"/>
  <c r="T51" i="41"/>
  <c r="W350" i="41"/>
  <c r="W352" i="41" s="1"/>
  <c r="W45" i="41"/>
  <c r="T170" i="41"/>
  <c r="W200" i="41"/>
  <c r="W202" i="41" s="1"/>
  <c r="U49" i="41"/>
  <c r="U50" i="41" s="1"/>
  <c r="X15" i="41"/>
  <c r="Z20" i="41"/>
  <c r="U216" i="23"/>
  <c r="U12" i="23" s="1"/>
  <c r="V65" i="23"/>
  <c r="V66" i="23" s="1"/>
  <c r="X91" i="23"/>
  <c r="X132" i="23"/>
  <c r="T61" i="22"/>
  <c r="U58" i="22"/>
  <c r="U9" i="22" s="1"/>
  <c r="U21" i="22" s="1"/>
  <c r="U60" i="22"/>
  <c r="U59" i="22"/>
  <c r="U52" i="22"/>
  <c r="X350" i="22"/>
  <c r="X352" i="22" s="1"/>
  <c r="X354" i="22" s="1"/>
  <c r="X355" i="22" s="1"/>
  <c r="X45" i="22"/>
  <c r="X200" i="22"/>
  <c r="X202" i="22" s="1"/>
  <c r="X204" i="22" s="1"/>
  <c r="X205" i="22" s="1"/>
  <c r="R65" i="22"/>
  <c r="R66" i="22" s="1"/>
  <c r="W47" i="22"/>
  <c r="U217" i="22"/>
  <c r="W365" i="22"/>
  <c r="W476" i="22" s="1"/>
  <c r="W364" i="22"/>
  <c r="W363" i="22"/>
  <c r="U393" i="22"/>
  <c r="U369" i="22"/>
  <c r="T367" i="22"/>
  <c r="U434" i="22"/>
  <c r="U356" i="22"/>
  <c r="V365" i="22"/>
  <c r="V475" i="22" s="1"/>
  <c r="V364" i="22"/>
  <c r="V363" i="22"/>
  <c r="V49" i="22"/>
  <c r="V50" i="22" s="1"/>
  <c r="S65" i="22"/>
  <c r="S66" i="22" s="1"/>
  <c r="U368" i="22"/>
  <c r="T63" i="22"/>
  <c r="T62" i="22"/>
  <c r="T366" i="22"/>
  <c r="T23" i="22"/>
  <c r="V58" i="19"/>
  <c r="V60" i="19"/>
  <c r="V172" i="19" s="1"/>
  <c r="V59" i="19"/>
  <c r="V52" i="19"/>
  <c r="U365" i="19"/>
  <c r="X362" i="19"/>
  <c r="X364" i="19"/>
  <c r="X476" i="19" s="1"/>
  <c r="X363" i="19"/>
  <c r="W394" i="19"/>
  <c r="W368" i="19"/>
  <c r="X47" i="19"/>
  <c r="X49" i="19" s="1"/>
  <c r="X50" i="19" s="1"/>
  <c r="X52" i="19" s="1"/>
  <c r="W435" i="19"/>
  <c r="W355" i="19"/>
  <c r="Y45" i="19"/>
  <c r="Y349" i="19"/>
  <c r="Y351" i="19" s="1"/>
  <c r="Y353" i="19" s="1"/>
  <c r="Y354" i="19" s="1"/>
  <c r="W367" i="19"/>
  <c r="W49" i="19"/>
  <c r="W50" i="19" s="1"/>
  <c r="U366" i="19"/>
  <c r="S217" i="19"/>
  <c r="AN73" i="20"/>
  <c r="AM72" i="20"/>
  <c r="U366" i="20"/>
  <c r="X354" i="20"/>
  <c r="X355" i="20" s="1"/>
  <c r="V369" i="20"/>
  <c r="V394" i="20"/>
  <c r="V130" i="20"/>
  <c r="V51" i="20"/>
  <c r="X47" i="20"/>
  <c r="V435" i="20"/>
  <c r="V356" i="20"/>
  <c r="V89" i="20"/>
  <c r="V64" i="20"/>
  <c r="W49" i="20"/>
  <c r="W50" i="20" s="1"/>
  <c r="AA128" i="20"/>
  <c r="AK128" i="20"/>
  <c r="Z128" i="20"/>
  <c r="Y128" i="20"/>
  <c r="AM128" i="20"/>
  <c r="AI128" i="20"/>
  <c r="W128" i="20"/>
  <c r="U128" i="20"/>
  <c r="U62" i="20" s="1"/>
  <c r="AF128" i="20"/>
  <c r="AH128" i="20"/>
  <c r="V128" i="20"/>
  <c r="AG128" i="20"/>
  <c r="AN128" i="20"/>
  <c r="AD128" i="20"/>
  <c r="AC128" i="20"/>
  <c r="AB128" i="20"/>
  <c r="AL128" i="20"/>
  <c r="AE128" i="20"/>
  <c r="X128" i="20"/>
  <c r="AJ128" i="20"/>
  <c r="T62" i="20"/>
  <c r="W436" i="20"/>
  <c r="W356" i="20"/>
  <c r="W369" i="20"/>
  <c r="W395" i="20"/>
  <c r="Y350" i="20"/>
  <c r="Y352" i="20" s="1"/>
  <c r="Y45" i="20"/>
  <c r="V368" i="20"/>
  <c r="AN172" i="20"/>
  <c r="AH172" i="20"/>
  <c r="AK172" i="20"/>
  <c r="Y172" i="20"/>
  <c r="AE172" i="20"/>
  <c r="AB172" i="20"/>
  <c r="V63" i="20"/>
  <c r="T370" i="20"/>
  <c r="T371" i="20" s="1"/>
  <c r="AJ88" i="20"/>
  <c r="V88" i="20"/>
  <c r="AH88" i="20"/>
  <c r="AL88" i="20"/>
  <c r="X88" i="20"/>
  <c r="Z88" i="20"/>
  <c r="AK88" i="20"/>
  <c r="AN88" i="20"/>
  <c r="AA88" i="20"/>
  <c r="Y88" i="20"/>
  <c r="AI88" i="20"/>
  <c r="W88" i="20"/>
  <c r="AG88" i="20"/>
  <c r="AF88" i="20"/>
  <c r="AB88" i="20"/>
  <c r="AD88" i="20"/>
  <c r="AC88" i="20"/>
  <c r="AM88" i="20"/>
  <c r="AE88" i="20"/>
  <c r="U367" i="20"/>
  <c r="AF129" i="20"/>
  <c r="AH129" i="20"/>
  <c r="AL129" i="20"/>
  <c r="AN129" i="20"/>
  <c r="AM129" i="20"/>
  <c r="AB129" i="20"/>
  <c r="AJ129" i="20"/>
  <c r="AC129" i="20"/>
  <c r="AK129" i="20"/>
  <c r="AA129" i="20"/>
  <c r="Z129" i="20"/>
  <c r="Y129" i="20"/>
  <c r="X129" i="20"/>
  <c r="W129" i="20"/>
  <c r="AI129" i="20"/>
  <c r="AG129" i="20"/>
  <c r="V129" i="20"/>
  <c r="AE129" i="20"/>
  <c r="AD129" i="20"/>
  <c r="AA87" i="20"/>
  <c r="AI87" i="20"/>
  <c r="AN87" i="20"/>
  <c r="AH87" i="20"/>
  <c r="Z87" i="20"/>
  <c r="AC87" i="20"/>
  <c r="AL87" i="20"/>
  <c r="AG87" i="20"/>
  <c r="X87" i="20"/>
  <c r="AB87" i="20"/>
  <c r="V87" i="20"/>
  <c r="W87" i="20"/>
  <c r="AJ87" i="20"/>
  <c r="AF87" i="20"/>
  <c r="AD87" i="20"/>
  <c r="AK87" i="20"/>
  <c r="Y87" i="20"/>
  <c r="U87" i="20"/>
  <c r="U61" i="20" s="1"/>
  <c r="AE87" i="20"/>
  <c r="AM87" i="20"/>
  <c r="T217" i="20"/>
  <c r="T216" i="20"/>
  <c r="T12" i="20" s="1"/>
  <c r="U213" i="42"/>
  <c r="U215" i="42"/>
  <c r="U214" i="42"/>
  <c r="U207" i="42"/>
  <c r="T283" i="42"/>
  <c r="T206" i="42"/>
  <c r="V204" i="42"/>
  <c r="V205" i="42" s="1"/>
  <c r="T323" i="42"/>
  <c r="W202" i="42"/>
  <c r="T219" i="42"/>
  <c r="T242" i="42"/>
  <c r="X200" i="42"/>
  <c r="R220" i="42"/>
  <c r="R221" i="42" s="1"/>
  <c r="U213" i="41"/>
  <c r="U215" i="41"/>
  <c r="U214" i="41"/>
  <c r="U207" i="41"/>
  <c r="V204" i="41"/>
  <c r="V205" i="41" s="1"/>
  <c r="T323" i="41"/>
  <c r="T283" i="41"/>
  <c r="T206" i="41"/>
  <c r="T242" i="41"/>
  <c r="T219" i="41"/>
  <c r="Z200" i="23"/>
  <c r="V219" i="23"/>
  <c r="V244" i="23"/>
  <c r="V285" i="23"/>
  <c r="V206" i="23"/>
  <c r="Y202" i="23"/>
  <c r="X204" i="23"/>
  <c r="X205" i="23" s="1"/>
  <c r="W214" i="23"/>
  <c r="W213" i="23"/>
  <c r="W9" i="23" s="1"/>
  <c r="W21" i="23" s="1"/>
  <c r="W215" i="23"/>
  <c r="W207" i="23"/>
  <c r="V325" i="23"/>
  <c r="V218" i="23" s="1"/>
  <c r="W215" i="22"/>
  <c r="W214" i="22"/>
  <c r="W213" i="22"/>
  <c r="W207" i="22"/>
  <c r="T220" i="22"/>
  <c r="T221" i="22" s="1"/>
  <c r="V325" i="22"/>
  <c r="V244" i="22"/>
  <c r="V219" i="22"/>
  <c r="U216" i="22"/>
  <c r="V206" i="22"/>
  <c r="V285" i="22"/>
  <c r="U218" i="22"/>
  <c r="U213" i="19"/>
  <c r="U215" i="19"/>
  <c r="U214" i="19"/>
  <c r="U207" i="19"/>
  <c r="X200" i="19"/>
  <c r="V204" i="19"/>
  <c r="V205" i="19" s="1"/>
  <c r="T283" i="19"/>
  <c r="T206" i="19"/>
  <c r="W202" i="19"/>
  <c r="AN268" i="19"/>
  <c r="S216" i="19"/>
  <c r="S12" i="19" s="1"/>
  <c r="T323" i="19"/>
  <c r="T242" i="19"/>
  <c r="T219" i="19"/>
  <c r="V213" i="20"/>
  <c r="V9" i="20" s="1"/>
  <c r="V21" i="20" s="1"/>
  <c r="V215" i="20"/>
  <c r="V214" i="20"/>
  <c r="V207" i="20"/>
  <c r="W204" i="20"/>
  <c r="W205" i="20" s="1"/>
  <c r="U284" i="20"/>
  <c r="U206" i="20"/>
  <c r="U324" i="20"/>
  <c r="X202" i="20"/>
  <c r="Y200" i="20"/>
  <c r="U243" i="20"/>
  <c r="U219" i="20"/>
  <c r="S220" i="20"/>
  <c r="S221" i="20" s="1"/>
  <c r="I18" i="73"/>
  <c r="I22" i="73"/>
  <c r="H18" i="73"/>
  <c r="H2" i="73"/>
  <c r="H14" i="73"/>
  <c r="O22" i="62" l="1"/>
  <c r="S16" i="61"/>
  <c r="Q7" i="60"/>
  <c r="AJ437" i="23"/>
  <c r="AD437" i="23"/>
  <c r="AC437" i="23"/>
  <c r="AB210" i="42"/>
  <c r="AI437" i="23"/>
  <c r="Z437" i="23"/>
  <c r="AB437" i="23"/>
  <c r="AF437" i="23"/>
  <c r="AN437" i="23"/>
  <c r="AM437" i="23"/>
  <c r="AL437" i="23"/>
  <c r="AA437" i="23"/>
  <c r="AE437" i="23"/>
  <c r="Y437" i="23"/>
  <c r="AG437" i="23"/>
  <c r="AH437" i="23"/>
  <c r="X64" i="23"/>
  <c r="X174" i="23"/>
  <c r="AM174" i="23" s="1"/>
  <c r="Y51" i="23"/>
  <c r="O73" i="63"/>
  <c r="O79" i="63" s="1"/>
  <c r="U10" i="22"/>
  <c r="AD209" i="42"/>
  <c r="AC210" i="42"/>
  <c r="U9" i="19"/>
  <c r="U21" i="19" s="1"/>
  <c r="M71" i="62"/>
  <c r="M77" i="62" s="1"/>
  <c r="Y64" i="23"/>
  <c r="U10" i="42"/>
  <c r="U23" i="42" s="1"/>
  <c r="V10" i="20"/>
  <c r="V23" i="20" s="1"/>
  <c r="W10" i="23"/>
  <c r="W23" i="23" s="1"/>
  <c r="S38" i="57"/>
  <c r="AA59" i="52"/>
  <c r="AA59" i="32" s="1"/>
  <c r="S16" i="57"/>
  <c r="S23" i="57" s="1"/>
  <c r="S29" i="57" s="1"/>
  <c r="Q38" i="61"/>
  <c r="Q60" i="61"/>
  <c r="S25" i="20"/>
  <c r="O29" i="61"/>
  <c r="O45" i="61"/>
  <c r="O51" i="61" s="1"/>
  <c r="Q16" i="61"/>
  <c r="Q23" i="61" s="1"/>
  <c r="Q29" i="61" s="1"/>
  <c r="R25" i="19"/>
  <c r="X367" i="23"/>
  <c r="Q45" i="63"/>
  <c r="Q51" i="63" s="1"/>
  <c r="T25" i="23"/>
  <c r="V7" i="63" s="1"/>
  <c r="U9" i="42"/>
  <c r="U21" i="42" s="1"/>
  <c r="U10" i="19"/>
  <c r="U23" i="19" s="1"/>
  <c r="T7" i="61"/>
  <c r="Q59" i="62"/>
  <c r="Q6" i="62"/>
  <c r="S25" i="23"/>
  <c r="U7" i="63" s="1"/>
  <c r="X366" i="23"/>
  <c r="AE131" i="23"/>
  <c r="AA131" i="23"/>
  <c r="AK131" i="23"/>
  <c r="AH131" i="23"/>
  <c r="AM131" i="23"/>
  <c r="AL131" i="23"/>
  <c r="Z131" i="23"/>
  <c r="Y131" i="23"/>
  <c r="X131" i="23"/>
  <c r="X62" i="23" s="1"/>
  <c r="AF131" i="23"/>
  <c r="AD131" i="23"/>
  <c r="AJ131" i="23"/>
  <c r="AC131" i="23"/>
  <c r="AI131" i="23"/>
  <c r="AN131" i="23"/>
  <c r="AB131" i="23"/>
  <c r="AG131" i="23"/>
  <c r="Y438" i="23"/>
  <c r="Y356" i="23"/>
  <c r="AA90" i="23"/>
  <c r="AJ90" i="23"/>
  <c r="AH90" i="23"/>
  <c r="AG90" i="23"/>
  <c r="Y90" i="23"/>
  <c r="Z90" i="23"/>
  <c r="AD90" i="23"/>
  <c r="AC90" i="23"/>
  <c r="AL90" i="23"/>
  <c r="AK90" i="23"/>
  <c r="AI90" i="23"/>
  <c r="AF90" i="23"/>
  <c r="X90" i="23"/>
  <c r="X61" i="23" s="1"/>
  <c r="AE90" i="23"/>
  <c r="AM90" i="23"/>
  <c r="AN90" i="23"/>
  <c r="AB90" i="23"/>
  <c r="S73" i="63"/>
  <c r="S79" i="63" s="1"/>
  <c r="V370" i="23"/>
  <c r="V371" i="23" s="1"/>
  <c r="Y397" i="23"/>
  <c r="Y366" i="23" s="1"/>
  <c r="Y369" i="23"/>
  <c r="W62" i="23"/>
  <c r="W65" i="23" s="1"/>
  <c r="W66" i="23" s="1"/>
  <c r="AA350" i="23"/>
  <c r="AA352" i="23" s="1"/>
  <c r="AA354" i="23" s="1"/>
  <c r="AA355" i="23" s="1"/>
  <c r="AA363" i="23" s="1"/>
  <c r="AA45" i="23"/>
  <c r="AA47" i="23" s="1"/>
  <c r="AA49" i="23" s="1"/>
  <c r="AA50" i="23" s="1"/>
  <c r="AB478" i="23"/>
  <c r="Y368" i="23"/>
  <c r="AN478" i="23"/>
  <c r="AK478" i="23"/>
  <c r="AH478" i="23"/>
  <c r="AE478" i="23"/>
  <c r="W370" i="23"/>
  <c r="W371" i="23" s="1"/>
  <c r="Z364" i="23"/>
  <c r="Z365" i="23"/>
  <c r="Z479" i="23" s="1"/>
  <c r="Z363" i="23"/>
  <c r="M46" i="65"/>
  <c r="M74" i="65" s="1"/>
  <c r="M80" i="65" s="1"/>
  <c r="R18" i="42"/>
  <c r="R25" i="42" s="1"/>
  <c r="N45" i="57"/>
  <c r="N73" i="57" s="1"/>
  <c r="N79" i="57" s="1"/>
  <c r="U11" i="23"/>
  <c r="U18" i="23" s="1"/>
  <c r="S11" i="19"/>
  <c r="S18" i="19" s="1"/>
  <c r="T12" i="22"/>
  <c r="T16" i="22" s="1"/>
  <c r="T11" i="22"/>
  <c r="T18" i="22" s="1"/>
  <c r="T11" i="20"/>
  <c r="T18" i="20" s="1"/>
  <c r="N24" i="65"/>
  <c r="N46" i="65" s="1"/>
  <c r="L81" i="62"/>
  <c r="L97" i="62"/>
  <c r="L98" i="62" s="1"/>
  <c r="T45" i="63"/>
  <c r="T29" i="63"/>
  <c r="O17" i="65"/>
  <c r="O24" i="65" s="1"/>
  <c r="O13" i="65"/>
  <c r="Q13" i="65" s="1"/>
  <c r="S37" i="32"/>
  <c r="L17" i="68"/>
  <c r="N28" i="65"/>
  <c r="N23" i="65"/>
  <c r="M34" i="65"/>
  <c r="Q7" i="57"/>
  <c r="L77" i="57"/>
  <c r="L55" i="57"/>
  <c r="N51" i="61"/>
  <c r="N73" i="61"/>
  <c r="N79" i="61" s="1"/>
  <c r="S23" i="61"/>
  <c r="S38" i="61"/>
  <c r="S6" i="62"/>
  <c r="S60" i="52"/>
  <c r="O28" i="62"/>
  <c r="N28" i="62"/>
  <c r="N44" i="62"/>
  <c r="M71" i="52"/>
  <c r="Q15" i="62"/>
  <c r="S7" i="60"/>
  <c r="S1" i="60" s="1"/>
  <c r="U370" i="42"/>
  <c r="U371" i="42" s="1"/>
  <c r="AB59" i="51"/>
  <c r="N29" i="60"/>
  <c r="N45" i="60"/>
  <c r="Q38" i="60"/>
  <c r="O23" i="60"/>
  <c r="M51" i="60"/>
  <c r="M73" i="60"/>
  <c r="M79" i="60" s="1"/>
  <c r="V216" i="23"/>
  <c r="T13" i="23"/>
  <c r="AE325" i="23"/>
  <c r="AB325" i="23"/>
  <c r="Y325" i="23"/>
  <c r="AH325" i="23"/>
  <c r="AN325" i="23"/>
  <c r="AK325" i="23"/>
  <c r="AK285" i="23"/>
  <c r="Y285" i="23"/>
  <c r="AJ285" i="23"/>
  <c r="X285" i="23"/>
  <c r="AI285" i="23"/>
  <c r="W285" i="23"/>
  <c r="AH285" i="23"/>
  <c r="AC285" i="23"/>
  <c r="AB285" i="23"/>
  <c r="AA285" i="23"/>
  <c r="Z285" i="23"/>
  <c r="AD285" i="23"/>
  <c r="AN285" i="23"/>
  <c r="AM285" i="23"/>
  <c r="AL285" i="23"/>
  <c r="AE285" i="23"/>
  <c r="AG285" i="23"/>
  <c r="AF285" i="23"/>
  <c r="AK244" i="23"/>
  <c r="Y244" i="23"/>
  <c r="AJ244" i="23"/>
  <c r="X244" i="23"/>
  <c r="AI244" i="23"/>
  <c r="W244" i="23"/>
  <c r="AH244" i="23"/>
  <c r="Z244" i="23"/>
  <c r="AN244" i="23"/>
  <c r="AL244" i="23"/>
  <c r="AM244" i="23"/>
  <c r="AG244" i="23"/>
  <c r="AF244" i="23"/>
  <c r="AE244" i="23"/>
  <c r="AD244" i="23"/>
  <c r="AC244" i="23"/>
  <c r="AB244" i="23"/>
  <c r="AA244" i="23"/>
  <c r="U16" i="23"/>
  <c r="U220" i="23"/>
  <c r="U221" i="23" s="1"/>
  <c r="Y63" i="23"/>
  <c r="AN175" i="23"/>
  <c r="AK175" i="23"/>
  <c r="AH175" i="23"/>
  <c r="AB175" i="23"/>
  <c r="AE175" i="23"/>
  <c r="AK133" i="23"/>
  <c r="AI133" i="23"/>
  <c r="AH133" i="23"/>
  <c r="AG133" i="23"/>
  <c r="AJ133" i="23"/>
  <c r="AF133" i="23"/>
  <c r="AE133" i="23"/>
  <c r="AD133" i="23"/>
  <c r="AC133" i="23"/>
  <c r="AL133" i="23"/>
  <c r="AB133" i="23"/>
  <c r="AA133" i="23"/>
  <c r="Z133" i="23"/>
  <c r="AN133" i="23"/>
  <c r="AM133" i="23"/>
  <c r="AN132" i="23"/>
  <c r="AB132" i="23"/>
  <c r="AL132" i="23"/>
  <c r="Z132" i="23"/>
  <c r="AK132" i="23"/>
  <c r="Y132" i="23"/>
  <c r="AJ132" i="23"/>
  <c r="AF132" i="23"/>
  <c r="AE132" i="23"/>
  <c r="AD132" i="23"/>
  <c r="AC132" i="23"/>
  <c r="AA132" i="23"/>
  <c r="AG132" i="23"/>
  <c r="AM132" i="23"/>
  <c r="AI132" i="23"/>
  <c r="AH132" i="23"/>
  <c r="AN91" i="23"/>
  <c r="AB91" i="23"/>
  <c r="AM91" i="23"/>
  <c r="AA91" i="23"/>
  <c r="AJ91" i="23"/>
  <c r="AE91" i="23"/>
  <c r="AD91" i="23"/>
  <c r="AC91" i="23"/>
  <c r="Z91" i="23"/>
  <c r="AI91" i="23"/>
  <c r="AH91" i="23"/>
  <c r="AG91" i="23"/>
  <c r="AF91" i="23"/>
  <c r="Y91" i="23"/>
  <c r="AL91" i="23"/>
  <c r="AK91" i="23"/>
  <c r="AK92" i="23"/>
  <c r="AJ92" i="23"/>
  <c r="AG92" i="23"/>
  <c r="AE92" i="23"/>
  <c r="AD92" i="23"/>
  <c r="AC92" i="23"/>
  <c r="AB92" i="23"/>
  <c r="AH92" i="23"/>
  <c r="AF92" i="23"/>
  <c r="AA92" i="23"/>
  <c r="Z92" i="23"/>
  <c r="AN92" i="23"/>
  <c r="AM92" i="23"/>
  <c r="AL92" i="23"/>
  <c r="AI92" i="23"/>
  <c r="W368" i="22"/>
  <c r="AL476" i="22"/>
  <c r="AI476" i="22"/>
  <c r="AF476" i="22"/>
  <c r="AC476" i="22"/>
  <c r="Z476" i="22"/>
  <c r="AE475" i="22"/>
  <c r="AB475" i="22"/>
  <c r="Y475" i="22"/>
  <c r="AN475" i="22"/>
  <c r="AK475" i="22"/>
  <c r="AH475" i="22"/>
  <c r="AE434" i="22"/>
  <c r="AD434" i="22"/>
  <c r="AC434" i="22"/>
  <c r="AN434" i="22"/>
  <c r="AB434" i="22"/>
  <c r="AA434" i="22"/>
  <c r="Z434" i="22"/>
  <c r="Y434" i="22"/>
  <c r="X434" i="22"/>
  <c r="AM434" i="22"/>
  <c r="W434" i="22"/>
  <c r="AL434" i="22"/>
  <c r="V434" i="22"/>
  <c r="AK434" i="22"/>
  <c r="AH434" i="22"/>
  <c r="AG434" i="22"/>
  <c r="AF434" i="22"/>
  <c r="AJ434" i="22"/>
  <c r="AI434" i="22"/>
  <c r="AE393" i="22"/>
  <c r="AC393" i="22"/>
  <c r="AN393" i="22"/>
  <c r="AB393" i="22"/>
  <c r="AH393" i="22"/>
  <c r="AG393" i="22"/>
  <c r="AF393" i="22"/>
  <c r="AD393" i="22"/>
  <c r="AA393" i="22"/>
  <c r="AJ393" i="22"/>
  <c r="Z393" i="22"/>
  <c r="AM393" i="22"/>
  <c r="AI393" i="22"/>
  <c r="Y393" i="22"/>
  <c r="X393" i="22"/>
  <c r="W393" i="22"/>
  <c r="V393" i="22"/>
  <c r="AL393" i="22"/>
  <c r="AK393" i="22"/>
  <c r="V218" i="22"/>
  <c r="AE325" i="22"/>
  <c r="AB325" i="22"/>
  <c r="Y325" i="22"/>
  <c r="AN325" i="22"/>
  <c r="AK325" i="22"/>
  <c r="AH325" i="22"/>
  <c r="AK285" i="22"/>
  <c r="Y285" i="22"/>
  <c r="AI285" i="22"/>
  <c r="W285" i="22"/>
  <c r="AJ285" i="22"/>
  <c r="X285" i="22"/>
  <c r="AF285" i="22"/>
  <c r="AD285" i="22"/>
  <c r="AC285" i="22"/>
  <c r="AB285" i="22"/>
  <c r="AA285" i="22"/>
  <c r="AE285" i="22"/>
  <c r="AG285" i="22"/>
  <c r="AN285" i="22"/>
  <c r="AM285" i="22"/>
  <c r="AL285" i="22"/>
  <c r="AH285" i="22"/>
  <c r="Z285" i="22"/>
  <c r="AJ244" i="22"/>
  <c r="X244" i="22"/>
  <c r="AH244" i="22"/>
  <c r="AG244" i="22"/>
  <c r="AE244" i="22"/>
  <c r="AD244" i="22"/>
  <c r="AC244" i="22"/>
  <c r="AB244" i="22"/>
  <c r="AA244" i="22"/>
  <c r="Z244" i="22"/>
  <c r="AN244" i="22"/>
  <c r="Y244" i="22"/>
  <c r="AK244" i="22"/>
  <c r="AM244" i="22"/>
  <c r="AL244" i="22"/>
  <c r="AI244" i="22"/>
  <c r="AF244" i="22"/>
  <c r="W244" i="22"/>
  <c r="X367" i="19"/>
  <c r="AD476" i="19"/>
  <c r="AA476" i="19"/>
  <c r="AM476" i="19"/>
  <c r="AJ476" i="19"/>
  <c r="AG476" i="19"/>
  <c r="AF435" i="19"/>
  <c r="AD435" i="19"/>
  <c r="AE435" i="19"/>
  <c r="AC435" i="19"/>
  <c r="AB435" i="19"/>
  <c r="AA435" i="19"/>
  <c r="Z435" i="19"/>
  <c r="AL435" i="19"/>
  <c r="AK435" i="19"/>
  <c r="AJ435" i="19"/>
  <c r="AI435" i="19"/>
  <c r="AH435" i="19"/>
  <c r="AG435" i="19"/>
  <c r="Y435" i="19"/>
  <c r="X435" i="19"/>
  <c r="AN435" i="19"/>
  <c r="AM435" i="19"/>
  <c r="AF394" i="19"/>
  <c r="AE394" i="19"/>
  <c r="AD394" i="19"/>
  <c r="AC394" i="19"/>
  <c r="AN394" i="19"/>
  <c r="AB394" i="19"/>
  <c r="AM394" i="19"/>
  <c r="AA394" i="19"/>
  <c r="AL394" i="19"/>
  <c r="Z394" i="19"/>
  <c r="Y394" i="19"/>
  <c r="X394" i="19"/>
  <c r="AK394" i="19"/>
  <c r="AJ394" i="19"/>
  <c r="AI394" i="19"/>
  <c r="AH394" i="19"/>
  <c r="AG394" i="19"/>
  <c r="T218" i="19"/>
  <c r="AC323" i="19"/>
  <c r="Z323" i="19"/>
  <c r="W323" i="19"/>
  <c r="AL323" i="19"/>
  <c r="AI323" i="19"/>
  <c r="AF323" i="19"/>
  <c r="AL283" i="19"/>
  <c r="Z283" i="19"/>
  <c r="AJ283" i="19"/>
  <c r="X283" i="19"/>
  <c r="AI283" i="19"/>
  <c r="W283" i="19"/>
  <c r="AK283" i="19"/>
  <c r="AH283" i="19"/>
  <c r="AG283" i="19"/>
  <c r="AF283" i="19"/>
  <c r="AE283" i="19"/>
  <c r="AD283" i="19"/>
  <c r="AC283" i="19"/>
  <c r="AB283" i="19"/>
  <c r="AA283" i="19"/>
  <c r="Y283" i="19"/>
  <c r="V283" i="19"/>
  <c r="U283" i="19"/>
  <c r="AN283" i="19"/>
  <c r="AM283" i="19"/>
  <c r="AJ242" i="19"/>
  <c r="X242" i="19"/>
  <c r="AI242" i="19"/>
  <c r="W242" i="19"/>
  <c r="AB242" i="19"/>
  <c r="AA242" i="19"/>
  <c r="AL242" i="19"/>
  <c r="AH242" i="19"/>
  <c r="AG242" i="19"/>
  <c r="AF242" i="19"/>
  <c r="AK242" i="19"/>
  <c r="AN242" i="19"/>
  <c r="AM242" i="19"/>
  <c r="AE242" i="19"/>
  <c r="AD242" i="19"/>
  <c r="AC242" i="19"/>
  <c r="Z242" i="19"/>
  <c r="Y242" i="19"/>
  <c r="V242" i="19"/>
  <c r="U242" i="19"/>
  <c r="AE172" i="19"/>
  <c r="AB172" i="19"/>
  <c r="Y172" i="19"/>
  <c r="AH172" i="19"/>
  <c r="AN172" i="19"/>
  <c r="AK172" i="19"/>
  <c r="T65" i="19"/>
  <c r="T66" i="19" s="1"/>
  <c r="L6" i="45"/>
  <c r="AJ435" i="20"/>
  <c r="X435" i="20"/>
  <c r="AI435" i="20"/>
  <c r="W435" i="20"/>
  <c r="W367" i="20" s="1"/>
  <c r="AG435" i="20"/>
  <c r="AF435" i="20"/>
  <c r="AE435" i="20"/>
  <c r="AA435" i="20"/>
  <c r="Z435" i="20"/>
  <c r="Y435" i="20"/>
  <c r="AN435" i="20"/>
  <c r="AM435" i="20"/>
  <c r="AL435" i="20"/>
  <c r="AK435" i="20"/>
  <c r="AH435" i="20"/>
  <c r="AD435" i="20"/>
  <c r="AB435" i="20"/>
  <c r="AC435" i="20"/>
  <c r="AE436" i="20"/>
  <c r="AD436" i="20"/>
  <c r="AN436" i="20"/>
  <c r="AB436" i="20"/>
  <c r="Z436" i="20"/>
  <c r="AM436" i="20"/>
  <c r="AA436" i="20"/>
  <c r="AL436" i="20"/>
  <c r="AF436" i="20"/>
  <c r="AC436" i="20"/>
  <c r="Y436" i="20"/>
  <c r="AI436" i="20"/>
  <c r="AH436" i="20"/>
  <c r="AG436" i="20"/>
  <c r="X436" i="20"/>
  <c r="AJ436" i="20"/>
  <c r="AK436" i="20"/>
  <c r="S13" i="20"/>
  <c r="AF395" i="20"/>
  <c r="AE395" i="20"/>
  <c r="AD395" i="20"/>
  <c r="AA395" i="20"/>
  <c r="Z395" i="20"/>
  <c r="AN395" i="20"/>
  <c r="Y395" i="20"/>
  <c r="AM395" i="20"/>
  <c r="X395" i="20"/>
  <c r="AK395" i="20"/>
  <c r="AJ395" i="20"/>
  <c r="AL395" i="20"/>
  <c r="AI395" i="20"/>
  <c r="AH395" i="20"/>
  <c r="AG395" i="20"/>
  <c r="AC395" i="20"/>
  <c r="AB395" i="20"/>
  <c r="AK394" i="20"/>
  <c r="Y394" i="20"/>
  <c r="AJ394" i="20"/>
  <c r="X394" i="20"/>
  <c r="AI394" i="20"/>
  <c r="W394" i="20"/>
  <c r="W366" i="20" s="1"/>
  <c r="AC394" i="20"/>
  <c r="AB394" i="20"/>
  <c r="AA394" i="20"/>
  <c r="Z394" i="20"/>
  <c r="AH394" i="20"/>
  <c r="AD394" i="20"/>
  <c r="AG394" i="20"/>
  <c r="AF394" i="20"/>
  <c r="AE394" i="20"/>
  <c r="AN394" i="20"/>
  <c r="AM394" i="20"/>
  <c r="AL394" i="20"/>
  <c r="U218" i="20"/>
  <c r="AM324" i="20"/>
  <c r="AG324" i="20"/>
  <c r="AJ324" i="20"/>
  <c r="AA324" i="20"/>
  <c r="X324" i="20"/>
  <c r="AD324" i="20"/>
  <c r="AE284" i="20"/>
  <c r="AD284" i="20"/>
  <c r="AK284" i="20"/>
  <c r="W284" i="20"/>
  <c r="AJ284" i="20"/>
  <c r="V284" i="20"/>
  <c r="AI284" i="20"/>
  <c r="AG284" i="20"/>
  <c r="AF284" i="20"/>
  <c r="AC284" i="20"/>
  <c r="AB284" i="20"/>
  <c r="AA284" i="20"/>
  <c r="AN284" i="20"/>
  <c r="AM284" i="20"/>
  <c r="AL284" i="20"/>
  <c r="AH284" i="20"/>
  <c r="Z284" i="20"/>
  <c r="Y284" i="20"/>
  <c r="X284" i="20"/>
  <c r="AE243" i="20"/>
  <c r="AD243" i="20"/>
  <c r="AM243" i="20"/>
  <c r="AA243" i="20"/>
  <c r="AH243" i="20"/>
  <c r="AG243" i="20"/>
  <c r="AF243" i="20"/>
  <c r="AC243" i="20"/>
  <c r="AB243" i="20"/>
  <c r="AL243" i="20"/>
  <c r="AK243" i="20"/>
  <c r="W243" i="20"/>
  <c r="AJ243" i="20"/>
  <c r="X243" i="20"/>
  <c r="V243" i="20"/>
  <c r="AI243" i="20"/>
  <c r="Z243" i="20"/>
  <c r="Y243" i="20"/>
  <c r="AN243" i="20"/>
  <c r="AK435" i="42"/>
  <c r="Y435" i="42"/>
  <c r="AJ435" i="42"/>
  <c r="X435" i="42"/>
  <c r="AI435" i="42"/>
  <c r="W435" i="42"/>
  <c r="W367" i="42" s="1"/>
  <c r="AH435" i="42"/>
  <c r="AD435" i="42"/>
  <c r="AC435" i="42"/>
  <c r="AB435" i="42"/>
  <c r="AA435" i="42"/>
  <c r="Z435" i="42"/>
  <c r="AN435" i="42"/>
  <c r="AL435" i="42"/>
  <c r="AG435" i="42"/>
  <c r="AM435" i="42"/>
  <c r="AF435" i="42"/>
  <c r="AE435" i="42"/>
  <c r="AF436" i="42"/>
  <c r="AE436" i="42"/>
  <c r="AD436" i="42"/>
  <c r="AC436" i="42"/>
  <c r="AG436" i="42"/>
  <c r="AB436" i="42"/>
  <c r="AA436" i="42"/>
  <c r="Z436" i="42"/>
  <c r="Y436" i="42"/>
  <c r="AN436" i="42"/>
  <c r="X436" i="42"/>
  <c r="AM436" i="42"/>
  <c r="AL436" i="42"/>
  <c r="AJ436" i="42"/>
  <c r="AI436" i="42"/>
  <c r="AK436" i="42"/>
  <c r="AH436" i="42"/>
  <c r="AK394" i="42"/>
  <c r="Y394" i="42"/>
  <c r="AJ394" i="42"/>
  <c r="X394" i="42"/>
  <c r="AI394" i="42"/>
  <c r="W394" i="42"/>
  <c r="W366" i="42" s="1"/>
  <c r="AH394" i="42"/>
  <c r="AC394" i="42"/>
  <c r="AB394" i="42"/>
  <c r="AA394" i="42"/>
  <c r="Z394" i="42"/>
  <c r="AN394" i="42"/>
  <c r="AM394" i="42"/>
  <c r="AL394" i="42"/>
  <c r="AF394" i="42"/>
  <c r="AE394" i="42"/>
  <c r="AG394" i="42"/>
  <c r="AD394" i="42"/>
  <c r="AF395" i="42"/>
  <c r="AE395" i="42"/>
  <c r="AD395" i="42"/>
  <c r="AC395" i="42"/>
  <c r="AB395" i="42"/>
  <c r="AA395" i="42"/>
  <c r="Z395" i="42"/>
  <c r="Y395" i="42"/>
  <c r="AN395" i="42"/>
  <c r="X395" i="42"/>
  <c r="AM395" i="42"/>
  <c r="AL395" i="42"/>
  <c r="AJ395" i="42"/>
  <c r="AK395" i="42"/>
  <c r="AI395" i="42"/>
  <c r="AH395" i="42"/>
  <c r="AG395" i="42"/>
  <c r="AC323" i="42"/>
  <c r="Z323" i="42"/>
  <c r="W323" i="42"/>
  <c r="AL323" i="42"/>
  <c r="AI323" i="42"/>
  <c r="AF323" i="42"/>
  <c r="AL283" i="42"/>
  <c r="Z283" i="42"/>
  <c r="AJ283" i="42"/>
  <c r="X283" i="42"/>
  <c r="AI283" i="42"/>
  <c r="W283" i="42"/>
  <c r="AK283" i="42"/>
  <c r="AG283" i="42"/>
  <c r="AF283" i="42"/>
  <c r="AE283" i="42"/>
  <c r="AD283" i="42"/>
  <c r="U283" i="42"/>
  <c r="AN283" i="42"/>
  <c r="AM283" i="42"/>
  <c r="AH283" i="42"/>
  <c r="AC283" i="42"/>
  <c r="AB283" i="42"/>
  <c r="AA283" i="42"/>
  <c r="Y283" i="42"/>
  <c r="V283" i="42"/>
  <c r="S220" i="42"/>
  <c r="S221" i="42" s="1"/>
  <c r="AL242" i="42"/>
  <c r="Z242" i="42"/>
  <c r="AK242" i="42"/>
  <c r="Y242" i="42"/>
  <c r="AJ242" i="42"/>
  <c r="X242" i="42"/>
  <c r="AI242" i="42"/>
  <c r="W242" i="42"/>
  <c r="AD242" i="42"/>
  <c r="AC242" i="42"/>
  <c r="AM242" i="42"/>
  <c r="AH242" i="42"/>
  <c r="AE242" i="42"/>
  <c r="AN242" i="42"/>
  <c r="AG242" i="42"/>
  <c r="AF242" i="42"/>
  <c r="AB242" i="42"/>
  <c r="AA242" i="42"/>
  <c r="V242" i="42"/>
  <c r="U242" i="42"/>
  <c r="S16" i="42"/>
  <c r="AM171" i="42"/>
  <c r="AJ171" i="42"/>
  <c r="AG171" i="42"/>
  <c r="AD171" i="42"/>
  <c r="AA171" i="42"/>
  <c r="X171" i="42"/>
  <c r="AE129" i="42"/>
  <c r="AM129" i="42"/>
  <c r="AA129" i="42"/>
  <c r="AD129" i="42"/>
  <c r="AC129" i="42"/>
  <c r="AN129" i="42"/>
  <c r="AB129" i="42"/>
  <c r="AL129" i="42"/>
  <c r="Z129" i="42"/>
  <c r="AK129" i="42"/>
  <c r="Y129" i="42"/>
  <c r="AJ129" i="42"/>
  <c r="AG129" i="42"/>
  <c r="AI129" i="42"/>
  <c r="AH129" i="42"/>
  <c r="AF129" i="42"/>
  <c r="X129" i="42"/>
  <c r="W129" i="42"/>
  <c r="V129" i="42"/>
  <c r="AE88" i="42"/>
  <c r="AD88" i="42"/>
  <c r="AC88" i="42"/>
  <c r="AH88" i="42"/>
  <c r="AG88" i="42"/>
  <c r="AF88" i="42"/>
  <c r="AB88" i="42"/>
  <c r="W88" i="42"/>
  <c r="V88" i="42"/>
  <c r="AK88" i="42"/>
  <c r="AI88" i="42"/>
  <c r="AN88" i="42"/>
  <c r="AM88" i="42"/>
  <c r="AL88" i="42"/>
  <c r="AJ88" i="42"/>
  <c r="X88" i="42"/>
  <c r="AA88" i="42"/>
  <c r="Z88" i="42"/>
  <c r="Y88" i="42"/>
  <c r="U61" i="42"/>
  <c r="AM474" i="41"/>
  <c r="AJ474" i="41"/>
  <c r="AG474" i="41"/>
  <c r="AD474" i="41"/>
  <c r="AA474" i="41"/>
  <c r="X474" i="41"/>
  <c r="T218" i="41"/>
  <c r="AC323" i="41"/>
  <c r="Z323" i="41"/>
  <c r="W323" i="41"/>
  <c r="AI323" i="41"/>
  <c r="AL323" i="41"/>
  <c r="AF323" i="41"/>
  <c r="AL283" i="41"/>
  <c r="Z283" i="41"/>
  <c r="AK283" i="41"/>
  <c r="Y283" i="41"/>
  <c r="AH283" i="41"/>
  <c r="V283" i="41"/>
  <c r="AJ283" i="41"/>
  <c r="AI283" i="41"/>
  <c r="AG283" i="41"/>
  <c r="AF283" i="41"/>
  <c r="AE283" i="41"/>
  <c r="AD283" i="41"/>
  <c r="AC283" i="41"/>
  <c r="AB283" i="41"/>
  <c r="U283" i="41"/>
  <c r="AA283" i="41"/>
  <c r="W283" i="41"/>
  <c r="X283" i="41"/>
  <c r="AN283" i="41"/>
  <c r="AM283" i="41"/>
  <c r="AK242" i="41"/>
  <c r="Y242" i="41"/>
  <c r="AJ242" i="41"/>
  <c r="X242" i="41"/>
  <c r="AH242" i="41"/>
  <c r="V242" i="41"/>
  <c r="AF242" i="41"/>
  <c r="AE242" i="41"/>
  <c r="AB242" i="41"/>
  <c r="AA242" i="41"/>
  <c r="AN242" i="41"/>
  <c r="AM242" i="41"/>
  <c r="Z242" i="41"/>
  <c r="W242" i="41"/>
  <c r="U242" i="41"/>
  <c r="AI242" i="41"/>
  <c r="AG242" i="41"/>
  <c r="AD242" i="41"/>
  <c r="AC242" i="41"/>
  <c r="AL242" i="41"/>
  <c r="AC170" i="41"/>
  <c r="Z170" i="41"/>
  <c r="W170" i="41"/>
  <c r="AI170" i="41"/>
  <c r="AF170" i="41"/>
  <c r="AL170" i="41"/>
  <c r="AL128" i="41"/>
  <c r="Z128" i="41"/>
  <c r="AJ128" i="41"/>
  <c r="X128" i="41"/>
  <c r="AI128" i="41"/>
  <c r="W128" i="41"/>
  <c r="AK128" i="41"/>
  <c r="AG128" i="41"/>
  <c r="AH128" i="41"/>
  <c r="U128" i="41"/>
  <c r="AM128" i="41"/>
  <c r="AF128" i="41"/>
  <c r="AE128" i="41"/>
  <c r="AD128" i="41"/>
  <c r="AN128" i="41"/>
  <c r="AC128" i="41"/>
  <c r="AB128" i="41"/>
  <c r="AA128" i="41"/>
  <c r="Y128" i="41"/>
  <c r="V128" i="41"/>
  <c r="AL87" i="41"/>
  <c r="Z87" i="41"/>
  <c r="AK87" i="41"/>
  <c r="Y87" i="41"/>
  <c r="AJ87" i="41"/>
  <c r="X87" i="41"/>
  <c r="AI87" i="41"/>
  <c r="W87" i="41"/>
  <c r="AD87" i="41"/>
  <c r="AB87" i="41"/>
  <c r="AC87" i="41"/>
  <c r="AN87" i="41"/>
  <c r="AM87" i="41"/>
  <c r="AH87" i="41"/>
  <c r="AG87" i="41"/>
  <c r="AF87" i="41"/>
  <c r="AE87" i="41"/>
  <c r="AA87" i="41"/>
  <c r="V87" i="41"/>
  <c r="U87" i="41"/>
  <c r="V40" i="16"/>
  <c r="U42" i="16"/>
  <c r="V216" i="22"/>
  <c r="T65" i="22"/>
  <c r="T66" i="22" s="1"/>
  <c r="L7" i="45"/>
  <c r="X200" i="41"/>
  <c r="X202" i="41" s="1"/>
  <c r="R13" i="19"/>
  <c r="M6" i="45"/>
  <c r="S16" i="19"/>
  <c r="AH45" i="16"/>
  <c r="M5" i="45"/>
  <c r="T65" i="20"/>
  <c r="T66" i="20" s="1"/>
  <c r="L5" i="45"/>
  <c r="T16" i="20"/>
  <c r="U216" i="20"/>
  <c r="W60" i="42"/>
  <c r="W58" i="42"/>
  <c r="W59" i="42"/>
  <c r="W52" i="42"/>
  <c r="T217" i="42"/>
  <c r="U62" i="42"/>
  <c r="Z350" i="42"/>
  <c r="Z352" i="42" s="1"/>
  <c r="Z45" i="42"/>
  <c r="V89" i="42"/>
  <c r="V64" i="42"/>
  <c r="V366" i="42"/>
  <c r="X60" i="42"/>
  <c r="X58" i="42"/>
  <c r="X59" i="42"/>
  <c r="V172" i="42"/>
  <c r="V367" i="42"/>
  <c r="X364" i="42"/>
  <c r="X365" i="42"/>
  <c r="X477" i="42" s="1"/>
  <c r="X363" i="42"/>
  <c r="T216" i="42"/>
  <c r="U63" i="42"/>
  <c r="Y47" i="42"/>
  <c r="Y49" i="42" s="1"/>
  <c r="Y50" i="42" s="1"/>
  <c r="Y52" i="42" s="1"/>
  <c r="V130" i="42"/>
  <c r="V51" i="42"/>
  <c r="Y354" i="42"/>
  <c r="Y355" i="42" s="1"/>
  <c r="U59" i="41"/>
  <c r="U60" i="41"/>
  <c r="U58" i="41"/>
  <c r="U9" i="41" s="1"/>
  <c r="U21" i="41" s="1"/>
  <c r="U52" i="41"/>
  <c r="T23" i="41"/>
  <c r="T63" i="41"/>
  <c r="W47" i="41"/>
  <c r="U356" i="41"/>
  <c r="U434" i="41"/>
  <c r="W354" i="41"/>
  <c r="W355" i="41" s="1"/>
  <c r="U369" i="41"/>
  <c r="U393" i="41"/>
  <c r="U368" i="41"/>
  <c r="V363" i="41"/>
  <c r="V365" i="41"/>
  <c r="V475" i="41" s="1"/>
  <c r="V364" i="41"/>
  <c r="V49" i="41"/>
  <c r="V50" i="41" s="1"/>
  <c r="X45" i="41"/>
  <c r="X350" i="41"/>
  <c r="X352" i="41" s="1"/>
  <c r="Y15" i="41"/>
  <c r="AA20" i="41"/>
  <c r="Z60" i="23"/>
  <c r="Z58" i="23"/>
  <c r="Z59" i="23"/>
  <c r="Z52" i="23"/>
  <c r="V217" i="23"/>
  <c r="V58" i="22"/>
  <c r="V9" i="22" s="1"/>
  <c r="V21" i="22" s="1"/>
  <c r="V59" i="22"/>
  <c r="V60" i="22"/>
  <c r="V52" i="22"/>
  <c r="V368" i="22"/>
  <c r="T370" i="22"/>
  <c r="T371" i="22" s="1"/>
  <c r="U367" i="22"/>
  <c r="V394" i="22"/>
  <c r="V369" i="22"/>
  <c r="V435" i="22"/>
  <c r="V356" i="22"/>
  <c r="U366" i="22"/>
  <c r="X47" i="22"/>
  <c r="X363" i="22"/>
  <c r="X364" i="22"/>
  <c r="X365" i="22"/>
  <c r="X477" i="22" s="1"/>
  <c r="U129" i="22"/>
  <c r="U51" i="22"/>
  <c r="W369" i="22"/>
  <c r="W395" i="22"/>
  <c r="W49" i="22"/>
  <c r="W50" i="22" s="1"/>
  <c r="Y45" i="22"/>
  <c r="Y350" i="22"/>
  <c r="Y352" i="22" s="1"/>
  <c r="Y200" i="22"/>
  <c r="Y202" i="22" s="1"/>
  <c r="Y204" i="22" s="1"/>
  <c r="Y205" i="22" s="1"/>
  <c r="U171" i="22"/>
  <c r="V217" i="22"/>
  <c r="W436" i="22"/>
  <c r="W356" i="22"/>
  <c r="R18" i="22"/>
  <c r="R13" i="22"/>
  <c r="U64" i="22"/>
  <c r="U88" i="22"/>
  <c r="S18" i="22"/>
  <c r="S13" i="22"/>
  <c r="V369" i="19"/>
  <c r="V370" i="19" s="1"/>
  <c r="U65" i="19"/>
  <c r="U66" i="19" s="1"/>
  <c r="T217" i="19"/>
  <c r="W365" i="19"/>
  <c r="U369" i="19"/>
  <c r="U370" i="19" s="1"/>
  <c r="W59" i="19"/>
  <c r="W60" i="19"/>
  <c r="W173" i="19" s="1"/>
  <c r="W58" i="19"/>
  <c r="W52" i="19"/>
  <c r="W366" i="19"/>
  <c r="Y47" i="19"/>
  <c r="V130" i="19"/>
  <c r="V51" i="19"/>
  <c r="Z45" i="19"/>
  <c r="Z349" i="19"/>
  <c r="Z351" i="19" s="1"/>
  <c r="Y364" i="19"/>
  <c r="Y477" i="19" s="1"/>
  <c r="Y363" i="19"/>
  <c r="Y362" i="19"/>
  <c r="X60" i="19"/>
  <c r="X174" i="19" s="1"/>
  <c r="X58" i="19"/>
  <c r="X59" i="19"/>
  <c r="X355" i="19"/>
  <c r="X436" i="19"/>
  <c r="X368" i="19"/>
  <c r="X395" i="19"/>
  <c r="V63" i="19"/>
  <c r="V89" i="19"/>
  <c r="V64" i="19"/>
  <c r="T216" i="19"/>
  <c r="T12" i="19" s="1"/>
  <c r="U217" i="20"/>
  <c r="U370" i="20"/>
  <c r="U371" i="20" s="1"/>
  <c r="AN72" i="20"/>
  <c r="V367" i="20"/>
  <c r="U65" i="20"/>
  <c r="U66" i="20" s="1"/>
  <c r="X363" i="20"/>
  <c r="X365" i="20"/>
  <c r="X477" i="20" s="1"/>
  <c r="X364" i="20"/>
  <c r="AN89" i="20"/>
  <c r="AK89" i="20"/>
  <c r="AF89" i="20"/>
  <c r="AB89" i="20"/>
  <c r="W89" i="20"/>
  <c r="AJ89" i="20"/>
  <c r="AA89" i="20"/>
  <c r="AG89" i="20"/>
  <c r="X89" i="20"/>
  <c r="Y89" i="20"/>
  <c r="Z89" i="20"/>
  <c r="AD89" i="20"/>
  <c r="AE89" i="20"/>
  <c r="AC89" i="20"/>
  <c r="AM89" i="20"/>
  <c r="AL89" i="20"/>
  <c r="AI89" i="20"/>
  <c r="AH89" i="20"/>
  <c r="V61" i="20"/>
  <c r="V366" i="20"/>
  <c r="Y47" i="20"/>
  <c r="Z350" i="20"/>
  <c r="Z352" i="20" s="1"/>
  <c r="Z354" i="20" s="1"/>
  <c r="Z355" i="20" s="1"/>
  <c r="Z45" i="20"/>
  <c r="Y354" i="20"/>
  <c r="Y355" i="20" s="1"/>
  <c r="AN130" i="20"/>
  <c r="AE130" i="20"/>
  <c r="AK130" i="20"/>
  <c r="Z130" i="20"/>
  <c r="AI130" i="20"/>
  <c r="AM130" i="20"/>
  <c r="X130" i="20"/>
  <c r="AD130" i="20"/>
  <c r="AC130" i="20"/>
  <c r="AB130" i="20"/>
  <c r="Y130" i="20"/>
  <c r="AA130" i="20"/>
  <c r="AL130" i="20"/>
  <c r="W130" i="20"/>
  <c r="AF130" i="20"/>
  <c r="AG130" i="20"/>
  <c r="AJ130" i="20"/>
  <c r="AH130" i="20"/>
  <c r="V62" i="20"/>
  <c r="W58" i="20"/>
  <c r="W59" i="20"/>
  <c r="W60" i="20"/>
  <c r="W173" i="20" s="1"/>
  <c r="W52" i="20"/>
  <c r="X49" i="20"/>
  <c r="X50" i="20" s="1"/>
  <c r="T220" i="20"/>
  <c r="T221" i="20" s="1"/>
  <c r="V215" i="42"/>
  <c r="V214" i="42"/>
  <c r="V213" i="42"/>
  <c r="V9" i="42" s="1"/>
  <c r="V21" i="42" s="1"/>
  <c r="V207" i="42"/>
  <c r="U324" i="42"/>
  <c r="U218" i="42" s="1"/>
  <c r="U219" i="42"/>
  <c r="U243" i="42"/>
  <c r="U284" i="42"/>
  <c r="U206" i="42"/>
  <c r="W204" i="42"/>
  <c r="W205" i="42" s="1"/>
  <c r="T218" i="42"/>
  <c r="Y200" i="42"/>
  <c r="X202" i="42"/>
  <c r="V214" i="41"/>
  <c r="V213" i="41"/>
  <c r="V215" i="41"/>
  <c r="V207" i="41"/>
  <c r="W204" i="41"/>
  <c r="W205" i="41" s="1"/>
  <c r="U206" i="41"/>
  <c r="U284" i="41"/>
  <c r="U324" i="41"/>
  <c r="U243" i="41"/>
  <c r="U219" i="41"/>
  <c r="X214" i="23"/>
  <c r="X213" i="23"/>
  <c r="X9" i="23" s="1"/>
  <c r="X21" i="23" s="1"/>
  <c r="X215" i="23"/>
  <c r="X207" i="23"/>
  <c r="Y204" i="23"/>
  <c r="Y205" i="23" s="1"/>
  <c r="W326" i="23"/>
  <c r="AA200" i="23"/>
  <c r="W286" i="23"/>
  <c r="W206" i="23"/>
  <c r="W245" i="23"/>
  <c r="W219" i="23"/>
  <c r="Z202" i="23"/>
  <c r="U220" i="22"/>
  <c r="U221" i="22" s="1"/>
  <c r="W245" i="22"/>
  <c r="W219" i="22"/>
  <c r="X215" i="22"/>
  <c r="X214" i="22"/>
  <c r="X213" i="22"/>
  <c r="X207" i="22"/>
  <c r="W286" i="22"/>
  <c r="W206" i="22"/>
  <c r="W326" i="22"/>
  <c r="V213" i="19"/>
  <c r="V215" i="19"/>
  <c r="V214" i="19"/>
  <c r="V207" i="19"/>
  <c r="X202" i="19"/>
  <c r="W204" i="19"/>
  <c r="W205" i="19" s="1"/>
  <c r="U324" i="19"/>
  <c r="S220" i="19"/>
  <c r="S221" i="19" s="1"/>
  <c r="Y200" i="19"/>
  <c r="U206" i="19"/>
  <c r="U284" i="19"/>
  <c r="U243" i="19"/>
  <c r="U219" i="19"/>
  <c r="W213" i="20"/>
  <c r="W215" i="20"/>
  <c r="W214" i="20"/>
  <c r="W207" i="20"/>
  <c r="V206" i="20"/>
  <c r="V285" i="20"/>
  <c r="V325" i="20"/>
  <c r="X204" i="20"/>
  <c r="X205" i="20" s="1"/>
  <c r="Z200" i="20"/>
  <c r="Y202" i="20"/>
  <c r="V244" i="20"/>
  <c r="V219" i="20"/>
  <c r="J22" i="73"/>
  <c r="K10" i="73"/>
  <c r="I14" i="73"/>
  <c r="I2" i="73"/>
  <c r="L10" i="73"/>
  <c r="S37" i="62" l="1"/>
  <c r="T16" i="61"/>
  <c r="T23" i="61" s="1"/>
  <c r="T29" i="61" s="1"/>
  <c r="AJ174" i="23"/>
  <c r="X63" i="23"/>
  <c r="X65" i="23" s="1"/>
  <c r="X66" i="23" s="1"/>
  <c r="AA174" i="23"/>
  <c r="AD174" i="23"/>
  <c r="AG174" i="23"/>
  <c r="AD210" i="42"/>
  <c r="AE209" i="42"/>
  <c r="B6" i="70"/>
  <c r="U10" i="41"/>
  <c r="AB59" i="52"/>
  <c r="AB59" i="32" s="1"/>
  <c r="S45" i="57"/>
  <c r="S73" i="57" s="1"/>
  <c r="S79" i="57" s="1"/>
  <c r="V9" i="19"/>
  <c r="V21" i="19" s="1"/>
  <c r="AA365" i="23"/>
  <c r="AA480" i="23" s="1"/>
  <c r="AD480" i="23" s="1"/>
  <c r="V10" i="42"/>
  <c r="V23" i="42" s="1"/>
  <c r="X10" i="23"/>
  <c r="X23" i="23" s="1"/>
  <c r="AA364" i="23"/>
  <c r="V10" i="22"/>
  <c r="V23" i="22" s="1"/>
  <c r="R25" i="22"/>
  <c r="T7" i="57" s="1"/>
  <c r="T25" i="22"/>
  <c r="V7" i="57" s="1"/>
  <c r="S25" i="22"/>
  <c r="U7" i="57" s="1"/>
  <c r="N51" i="57"/>
  <c r="O73" i="61"/>
  <c r="O79" i="61" s="1"/>
  <c r="Q45" i="61"/>
  <c r="Q51" i="61" s="1"/>
  <c r="W10" i="20"/>
  <c r="W23" i="20" s="1"/>
  <c r="W9" i="20"/>
  <c r="W21" i="20" s="1"/>
  <c r="T38" i="61"/>
  <c r="T25" i="20"/>
  <c r="S25" i="19"/>
  <c r="X370" i="23"/>
  <c r="X371" i="23" s="1"/>
  <c r="Q73" i="63"/>
  <c r="Q79" i="63" s="1"/>
  <c r="AU58" i="62"/>
  <c r="V10" i="19"/>
  <c r="V23" i="19" s="1"/>
  <c r="Q22" i="62"/>
  <c r="Q28" i="62" s="1"/>
  <c r="Q60" i="52"/>
  <c r="T11" i="42"/>
  <c r="T13" i="42" s="1"/>
  <c r="Q37" i="62"/>
  <c r="O44" i="62"/>
  <c r="O71" i="62" s="1"/>
  <c r="O77" i="62" s="1"/>
  <c r="M52" i="65"/>
  <c r="U16" i="63"/>
  <c r="U38" i="63"/>
  <c r="U25" i="23"/>
  <c r="W7" i="63" s="1"/>
  <c r="AB438" i="23"/>
  <c r="AK438" i="23"/>
  <c r="AE438" i="23"/>
  <c r="AA438" i="23"/>
  <c r="AM438" i="23"/>
  <c r="AH438" i="23"/>
  <c r="AC438" i="23"/>
  <c r="Z438" i="23"/>
  <c r="AL438" i="23"/>
  <c r="AJ438" i="23"/>
  <c r="AF438" i="23"/>
  <c r="AD438" i="23"/>
  <c r="AN438" i="23"/>
  <c r="AI438" i="23"/>
  <c r="AG438" i="23"/>
  <c r="Y61" i="23"/>
  <c r="Y62" i="23"/>
  <c r="AI479" i="23"/>
  <c r="Z368" i="23"/>
  <c r="AL479" i="23"/>
  <c r="AF479" i="23"/>
  <c r="AC479" i="23"/>
  <c r="AB350" i="23"/>
  <c r="AB352" i="23" s="1"/>
  <c r="AB354" i="23" s="1"/>
  <c r="AB355" i="23" s="1"/>
  <c r="AB364" i="23" s="1"/>
  <c r="AB45" i="23"/>
  <c r="AB47" i="23" s="1"/>
  <c r="AB49" i="23" s="1"/>
  <c r="AB50" i="23" s="1"/>
  <c r="Z439" i="23"/>
  <c r="Z356" i="23"/>
  <c r="AN397" i="23"/>
  <c r="AC397" i="23"/>
  <c r="AM397" i="23"/>
  <c r="AK397" i="23"/>
  <c r="AL397" i="23"/>
  <c r="AJ397" i="23"/>
  <c r="AI397" i="23"/>
  <c r="AE397" i="23"/>
  <c r="AB397" i="23"/>
  <c r="AA397" i="23"/>
  <c r="Z397" i="23"/>
  <c r="AH397" i="23"/>
  <c r="AG397" i="23"/>
  <c r="AF397" i="23"/>
  <c r="AD397" i="23"/>
  <c r="Y367" i="23"/>
  <c r="Y370" i="23" s="1"/>
  <c r="Y371" i="23" s="1"/>
  <c r="Z398" i="23"/>
  <c r="Z369" i="23"/>
  <c r="N30" i="65"/>
  <c r="O23" i="57"/>
  <c r="O45" i="57" s="1"/>
  <c r="T11" i="19"/>
  <c r="S7" i="52"/>
  <c r="S15" i="62"/>
  <c r="U11" i="20"/>
  <c r="U18" i="20" s="1"/>
  <c r="U12" i="20"/>
  <c r="U16" i="20" s="1"/>
  <c r="V220" i="23"/>
  <c r="V221" i="23" s="1"/>
  <c r="V11" i="23"/>
  <c r="V18" i="23" s="1"/>
  <c r="V12" i="23"/>
  <c r="V16" i="23" s="1"/>
  <c r="L83" i="57"/>
  <c r="L99" i="57"/>
  <c r="L100" i="57" s="1"/>
  <c r="T73" i="63"/>
  <c r="T79" i="63" s="1"/>
  <c r="T51" i="63"/>
  <c r="V38" i="63"/>
  <c r="V16" i="63"/>
  <c r="V23" i="63" s="1"/>
  <c r="O30" i="65"/>
  <c r="O46" i="65"/>
  <c r="N34" i="65"/>
  <c r="S24" i="65"/>
  <c r="S30" i="65" s="1"/>
  <c r="N52" i="65"/>
  <c r="N74" i="65"/>
  <c r="N80" i="65" s="1"/>
  <c r="Q39" i="65"/>
  <c r="M17" i="68"/>
  <c r="Q99" i="65"/>
  <c r="O22" i="65"/>
  <c r="Q17" i="65"/>
  <c r="Q16" i="57"/>
  <c r="Q23" i="57" s="1"/>
  <c r="Q38" i="57"/>
  <c r="S29" i="61"/>
  <c r="S45" i="61"/>
  <c r="U7" i="61"/>
  <c r="Q16" i="52"/>
  <c r="N50" i="62"/>
  <c r="N71" i="62"/>
  <c r="N77" i="62" s="1"/>
  <c r="N71" i="52"/>
  <c r="T6" i="62"/>
  <c r="S71" i="52"/>
  <c r="T7" i="60"/>
  <c r="T1" i="60" s="1"/>
  <c r="S16" i="60"/>
  <c r="S23" i="60" s="1"/>
  <c r="S38" i="60"/>
  <c r="AC59" i="51"/>
  <c r="O45" i="60"/>
  <c r="O29" i="60"/>
  <c r="N73" i="60"/>
  <c r="N79" i="60" s="1"/>
  <c r="N51" i="60"/>
  <c r="Q16" i="60"/>
  <c r="Q23" i="60" s="1"/>
  <c r="K11" i="45"/>
  <c r="W218" i="23"/>
  <c r="AL326" i="23"/>
  <c r="AI326" i="23"/>
  <c r="AF326" i="23"/>
  <c r="AC326" i="23"/>
  <c r="Z326" i="23"/>
  <c r="AF286" i="23"/>
  <c r="AE286" i="23"/>
  <c r="AD286" i="23"/>
  <c r="AC286" i="23"/>
  <c r="AB286" i="23"/>
  <c r="AA286" i="23"/>
  <c r="Z286" i="23"/>
  <c r="Y286" i="23"/>
  <c r="AK286" i="23"/>
  <c r="AJ286" i="23"/>
  <c r="AI286" i="23"/>
  <c r="AH286" i="23"/>
  <c r="AG286" i="23"/>
  <c r="X286" i="23"/>
  <c r="AN286" i="23"/>
  <c r="AM286" i="23"/>
  <c r="AL286" i="23"/>
  <c r="AF245" i="23"/>
  <c r="AE245" i="23"/>
  <c r="AD245" i="23"/>
  <c r="AC245" i="23"/>
  <c r="Y245" i="23"/>
  <c r="AK245" i="23"/>
  <c r="AN245" i="23"/>
  <c r="X245" i="23"/>
  <c r="AM245" i="23"/>
  <c r="AL245" i="23"/>
  <c r="Z245" i="23"/>
  <c r="AJ245" i="23"/>
  <c r="AA245" i="23"/>
  <c r="AI245" i="23"/>
  <c r="AH245" i="23"/>
  <c r="AG245" i="23"/>
  <c r="AB245" i="23"/>
  <c r="U13" i="23"/>
  <c r="AJ477" i="22"/>
  <c r="AG477" i="22"/>
  <c r="AD477" i="22"/>
  <c r="AA477" i="22"/>
  <c r="AM477" i="22"/>
  <c r="AK435" i="22"/>
  <c r="Y435" i="22"/>
  <c r="AJ435" i="22"/>
  <c r="X435" i="22"/>
  <c r="AI435" i="22"/>
  <c r="W435" i="22"/>
  <c r="W367" i="22" s="1"/>
  <c r="AH435" i="22"/>
  <c r="AC435" i="22"/>
  <c r="AB435" i="22"/>
  <c r="AA435" i="22"/>
  <c r="Z435" i="22"/>
  <c r="AN435" i="22"/>
  <c r="AM435" i="22"/>
  <c r="AL435" i="22"/>
  <c r="AG435" i="22"/>
  <c r="AF435" i="22"/>
  <c r="AE435" i="22"/>
  <c r="AD435" i="22"/>
  <c r="AF436" i="22"/>
  <c r="AE436" i="22"/>
  <c r="AD436" i="22"/>
  <c r="AC436" i="22"/>
  <c r="AB436" i="22"/>
  <c r="X436" i="22"/>
  <c r="AA436" i="22"/>
  <c r="Z436" i="22"/>
  <c r="Y436" i="22"/>
  <c r="AN436" i="22"/>
  <c r="AM436" i="22"/>
  <c r="AL436" i="22"/>
  <c r="AK436" i="22"/>
  <c r="AJ436" i="22"/>
  <c r="AH436" i="22"/>
  <c r="AI436" i="22"/>
  <c r="AG436" i="22"/>
  <c r="AF395" i="22"/>
  <c r="AD395" i="22"/>
  <c r="AC395" i="22"/>
  <c r="AE395" i="22"/>
  <c r="AA395" i="22"/>
  <c r="AB395" i="22"/>
  <c r="Z395" i="22"/>
  <c r="AN395" i="22"/>
  <c r="Y395" i="22"/>
  <c r="X395" i="22"/>
  <c r="AJ395" i="22"/>
  <c r="AI395" i="22"/>
  <c r="AM395" i="22"/>
  <c r="AL395" i="22"/>
  <c r="AK395" i="22"/>
  <c r="AH395" i="22"/>
  <c r="AG395" i="22"/>
  <c r="AK394" i="22"/>
  <c r="Y394" i="22"/>
  <c r="AI394" i="22"/>
  <c r="W394" i="22"/>
  <c r="W366" i="22" s="1"/>
  <c r="AH394" i="22"/>
  <c r="AE394" i="22"/>
  <c r="AC394" i="22"/>
  <c r="AD394" i="22"/>
  <c r="AB394" i="22"/>
  <c r="AA394" i="22"/>
  <c r="AM394" i="22"/>
  <c r="X394" i="22"/>
  <c r="AN394" i="22"/>
  <c r="AL394" i="22"/>
  <c r="AJ394" i="22"/>
  <c r="AG394" i="22"/>
  <c r="AF394" i="22"/>
  <c r="Z394" i="22"/>
  <c r="W218" i="22"/>
  <c r="AL326" i="22"/>
  <c r="AI326" i="22"/>
  <c r="AF326" i="22"/>
  <c r="AC326" i="22"/>
  <c r="Z326" i="22"/>
  <c r="AF286" i="22"/>
  <c r="AD286" i="22"/>
  <c r="AE286" i="22"/>
  <c r="AG286" i="22"/>
  <c r="AB286" i="22"/>
  <c r="AA286" i="22"/>
  <c r="Z286" i="22"/>
  <c r="AN286" i="22"/>
  <c r="Y286" i="22"/>
  <c r="AC286" i="22"/>
  <c r="AK286" i="22"/>
  <c r="AJ286" i="22"/>
  <c r="AI286" i="22"/>
  <c r="AH286" i="22"/>
  <c r="X286" i="22"/>
  <c r="AM286" i="22"/>
  <c r="AL286" i="22"/>
  <c r="AE245" i="22"/>
  <c r="AC245" i="22"/>
  <c r="AN245" i="22"/>
  <c r="AB245" i="22"/>
  <c r="AF245" i="22"/>
  <c r="AD245" i="22"/>
  <c r="AA245" i="22"/>
  <c r="Z245" i="22"/>
  <c r="Y245" i="22"/>
  <c r="AM245" i="22"/>
  <c r="X245" i="22"/>
  <c r="AL245" i="22"/>
  <c r="AI245" i="22"/>
  <c r="AJ245" i="22"/>
  <c r="AH245" i="22"/>
  <c r="AG245" i="22"/>
  <c r="AK245" i="22"/>
  <c r="V220" i="22"/>
  <c r="V221" i="22" s="1"/>
  <c r="W216" i="22"/>
  <c r="AM171" i="22"/>
  <c r="AJ171" i="22"/>
  <c r="AG171" i="22"/>
  <c r="AD171" i="22"/>
  <c r="AA171" i="22"/>
  <c r="X171" i="22"/>
  <c r="AE129" i="22"/>
  <c r="AC129" i="22"/>
  <c r="AD129" i="22"/>
  <c r="AH129" i="22"/>
  <c r="AG129" i="22"/>
  <c r="AF129" i="22"/>
  <c r="AB129" i="22"/>
  <c r="AA129" i="22"/>
  <c r="Z129" i="22"/>
  <c r="Y129" i="22"/>
  <c r="X129" i="22"/>
  <c r="W129" i="22"/>
  <c r="V129" i="22"/>
  <c r="AN129" i="22"/>
  <c r="AM129" i="22"/>
  <c r="AL129" i="22"/>
  <c r="AK129" i="22"/>
  <c r="AJ129" i="22"/>
  <c r="AI129" i="22"/>
  <c r="T13" i="22"/>
  <c r="AE88" i="22"/>
  <c r="AD88" i="22"/>
  <c r="AC88" i="22"/>
  <c r="AN88" i="22"/>
  <c r="AB88" i="22"/>
  <c r="AH88" i="22"/>
  <c r="V88" i="22"/>
  <c r="AG88" i="22"/>
  <c r="AM88" i="22"/>
  <c r="AL88" i="22"/>
  <c r="AK88" i="22"/>
  <c r="AJ88" i="22"/>
  <c r="AI88" i="22"/>
  <c r="X88" i="22"/>
  <c r="W88" i="22"/>
  <c r="AF88" i="22"/>
  <c r="AA88" i="22"/>
  <c r="Z88" i="22"/>
  <c r="Y88" i="22"/>
  <c r="AN477" i="19"/>
  <c r="AK477" i="19"/>
  <c r="AH477" i="19"/>
  <c r="AB477" i="19"/>
  <c r="AE477" i="19"/>
  <c r="AN436" i="19"/>
  <c r="AB436" i="19"/>
  <c r="AL436" i="19"/>
  <c r="Z436" i="19"/>
  <c r="AM436" i="19"/>
  <c r="AA436" i="19"/>
  <c r="AE436" i="19"/>
  <c r="AD436" i="19"/>
  <c r="AC436" i="19"/>
  <c r="Y436" i="19"/>
  <c r="AK436" i="19"/>
  <c r="AJ436" i="19"/>
  <c r="AI436" i="19"/>
  <c r="AH436" i="19"/>
  <c r="AG436" i="19"/>
  <c r="AF436" i="19"/>
  <c r="AN395" i="19"/>
  <c r="AB395" i="19"/>
  <c r="AM395" i="19"/>
  <c r="AA395" i="19"/>
  <c r="AL395" i="19"/>
  <c r="Z395" i="19"/>
  <c r="AK395" i="19"/>
  <c r="Y395" i="19"/>
  <c r="AJ395" i="19"/>
  <c r="AI395" i="19"/>
  <c r="AH395" i="19"/>
  <c r="AG395" i="19"/>
  <c r="AF395" i="19"/>
  <c r="AE395" i="19"/>
  <c r="AD395" i="19"/>
  <c r="AC395" i="19"/>
  <c r="U218" i="19"/>
  <c r="AM324" i="19"/>
  <c r="AG324" i="19"/>
  <c r="AD324" i="19"/>
  <c r="AA324" i="19"/>
  <c r="X324" i="19"/>
  <c r="AJ324" i="19"/>
  <c r="AE284" i="19"/>
  <c r="AC284" i="19"/>
  <c r="AN284" i="19"/>
  <c r="AB284" i="19"/>
  <c r="AH284" i="19"/>
  <c r="AG284" i="19"/>
  <c r="AF284" i="19"/>
  <c r="AD284" i="19"/>
  <c r="AA284" i="19"/>
  <c r="Z284" i="19"/>
  <c r="Y284" i="19"/>
  <c r="AM284" i="19"/>
  <c r="AL284" i="19"/>
  <c r="AK284" i="19"/>
  <c r="AJ284" i="19"/>
  <c r="V284" i="19"/>
  <c r="AI284" i="19"/>
  <c r="W284" i="19"/>
  <c r="X284" i="19"/>
  <c r="AC243" i="19"/>
  <c r="AN243" i="19"/>
  <c r="AB243" i="19"/>
  <c r="AK243" i="19"/>
  <c r="W243" i="19"/>
  <c r="AJ243" i="19"/>
  <c r="V243" i="19"/>
  <c r="AI243" i="19"/>
  <c r="AG243" i="19"/>
  <c r="AF243" i="19"/>
  <c r="AE243" i="19"/>
  <c r="AH243" i="19"/>
  <c r="Z243" i="19"/>
  <c r="Y243" i="19"/>
  <c r="AM243" i="19"/>
  <c r="X243" i="19"/>
  <c r="AL243" i="19"/>
  <c r="AD243" i="19"/>
  <c r="AA243" i="19"/>
  <c r="AJ174" i="19"/>
  <c r="AG174" i="19"/>
  <c r="AD174" i="19"/>
  <c r="AA174" i="19"/>
  <c r="AM174" i="19"/>
  <c r="AL173" i="19"/>
  <c r="AF173" i="19"/>
  <c r="AC173" i="19"/>
  <c r="Z173" i="19"/>
  <c r="AI173" i="19"/>
  <c r="V62" i="19"/>
  <c r="AJ130" i="19"/>
  <c r="X130" i="19"/>
  <c r="AI130" i="19"/>
  <c r="W130" i="19"/>
  <c r="AH130" i="19"/>
  <c r="AG130" i="19"/>
  <c r="AC130" i="19"/>
  <c r="AB130" i="19"/>
  <c r="AA130" i="19"/>
  <c r="Y130" i="19"/>
  <c r="AK130" i="19"/>
  <c r="AF130" i="19"/>
  <c r="AE130" i="19"/>
  <c r="AD130" i="19"/>
  <c r="Z130" i="19"/>
  <c r="AN130" i="19"/>
  <c r="AM130" i="19"/>
  <c r="AL130" i="19"/>
  <c r="AJ89" i="19"/>
  <c r="X89" i="19"/>
  <c r="AH89" i="19"/>
  <c r="AI89" i="19"/>
  <c r="W89" i="19"/>
  <c r="Z89" i="19"/>
  <c r="AM89" i="19"/>
  <c r="AL89" i="19"/>
  <c r="AN89" i="19"/>
  <c r="Y89" i="19"/>
  <c r="AK89" i="19"/>
  <c r="AF89" i="19"/>
  <c r="AE89" i="19"/>
  <c r="AD89" i="19"/>
  <c r="AC89" i="19"/>
  <c r="AB89" i="19"/>
  <c r="AA89" i="19"/>
  <c r="AG89" i="19"/>
  <c r="AD477" i="20"/>
  <c r="AA477" i="20"/>
  <c r="AM477" i="20"/>
  <c r="AJ477" i="20"/>
  <c r="AG477" i="20"/>
  <c r="V218" i="20"/>
  <c r="AE325" i="20"/>
  <c r="AB325" i="20"/>
  <c r="Y325" i="20"/>
  <c r="AN325" i="20"/>
  <c r="AK325" i="20"/>
  <c r="AH325" i="20"/>
  <c r="AK285" i="20"/>
  <c r="Y285" i="20"/>
  <c r="AJ285" i="20"/>
  <c r="X285" i="20"/>
  <c r="AG285" i="20"/>
  <c r="AF285" i="20"/>
  <c r="AE285" i="20"/>
  <c r="AI285" i="20"/>
  <c r="AH285" i="20"/>
  <c r="AD285" i="20"/>
  <c r="AC285" i="20"/>
  <c r="AB285" i="20"/>
  <c r="AN285" i="20"/>
  <c r="AA285" i="20"/>
  <c r="AM285" i="20"/>
  <c r="AL285" i="20"/>
  <c r="W285" i="20"/>
  <c r="Z285" i="20"/>
  <c r="T13" i="20"/>
  <c r="AK244" i="20"/>
  <c r="Y244" i="20"/>
  <c r="AJ244" i="20"/>
  <c r="X244" i="20"/>
  <c r="AG244" i="20"/>
  <c r="AE244" i="20"/>
  <c r="AD244" i="20"/>
  <c r="AC244" i="20"/>
  <c r="AB244" i="20"/>
  <c r="AA244" i="20"/>
  <c r="AI244" i="20"/>
  <c r="AF244" i="20"/>
  <c r="W244" i="20"/>
  <c r="AN244" i="20"/>
  <c r="AM244" i="20"/>
  <c r="AL244" i="20"/>
  <c r="AH244" i="20"/>
  <c r="Z244" i="20"/>
  <c r="AJ477" i="42"/>
  <c r="AG477" i="42"/>
  <c r="AD477" i="42"/>
  <c r="AA477" i="42"/>
  <c r="AM477" i="42"/>
  <c r="W370" i="42"/>
  <c r="W371" i="42" s="1"/>
  <c r="AM324" i="42"/>
  <c r="AJ324" i="42"/>
  <c r="AG324" i="42"/>
  <c r="AD324" i="42"/>
  <c r="AA324" i="42"/>
  <c r="X324" i="42"/>
  <c r="AE284" i="42"/>
  <c r="AC284" i="42"/>
  <c r="AN284" i="42"/>
  <c r="AB284" i="42"/>
  <c r="AH284" i="42"/>
  <c r="AF284" i="42"/>
  <c r="AD284" i="42"/>
  <c r="AA284" i="42"/>
  <c r="Z284" i="42"/>
  <c r="Y284" i="42"/>
  <c r="X284" i="42"/>
  <c r="W284" i="42"/>
  <c r="V284" i="42"/>
  <c r="AM284" i="42"/>
  <c r="AL284" i="42"/>
  <c r="AK284" i="42"/>
  <c r="AJ284" i="42"/>
  <c r="AI284" i="42"/>
  <c r="AG284" i="42"/>
  <c r="AE243" i="42"/>
  <c r="AD243" i="42"/>
  <c r="AC243" i="42"/>
  <c r="AN243" i="42"/>
  <c r="AB243" i="42"/>
  <c r="AA243" i="42"/>
  <c r="Z243" i="42"/>
  <c r="V243" i="42"/>
  <c r="AL243" i="42"/>
  <c r="AK243" i="42"/>
  <c r="AH243" i="42"/>
  <c r="AM243" i="42"/>
  <c r="AJ243" i="42"/>
  <c r="AI243" i="42"/>
  <c r="AG243" i="42"/>
  <c r="W243" i="42"/>
  <c r="X243" i="42"/>
  <c r="AF243" i="42"/>
  <c r="Y243" i="42"/>
  <c r="T16" i="42"/>
  <c r="S18" i="42"/>
  <c r="S25" i="42" s="1"/>
  <c r="AB172" i="42"/>
  <c r="Y172" i="42"/>
  <c r="AN172" i="42"/>
  <c r="AK172" i="42"/>
  <c r="AH172" i="42"/>
  <c r="AE172" i="42"/>
  <c r="AK130" i="42"/>
  <c r="Y130" i="42"/>
  <c r="AG130" i="42"/>
  <c r="AJ130" i="42"/>
  <c r="X130" i="42"/>
  <c r="AI130" i="42"/>
  <c r="W130" i="42"/>
  <c r="AH130" i="42"/>
  <c r="AF130" i="42"/>
  <c r="AE130" i="42"/>
  <c r="AM130" i="42"/>
  <c r="Z130" i="42"/>
  <c r="AN130" i="42"/>
  <c r="AL130" i="42"/>
  <c r="AD130" i="42"/>
  <c r="AA130" i="42"/>
  <c r="AC130" i="42"/>
  <c r="AB130" i="42"/>
  <c r="U65" i="42"/>
  <c r="U66" i="42" s="1"/>
  <c r="M10" i="45"/>
  <c r="AK89" i="42"/>
  <c r="Y89" i="42"/>
  <c r="AJ89" i="42"/>
  <c r="X89" i="42"/>
  <c r="AI89" i="42"/>
  <c r="W89" i="42"/>
  <c r="AE89" i="42"/>
  <c r="AD89" i="42"/>
  <c r="AC89" i="42"/>
  <c r="AB89" i="42"/>
  <c r="AA89" i="42"/>
  <c r="AN89" i="42"/>
  <c r="Z89" i="42"/>
  <c r="AM89" i="42"/>
  <c r="AL89" i="42"/>
  <c r="AG89" i="42"/>
  <c r="AF89" i="42"/>
  <c r="AH89" i="42"/>
  <c r="AE475" i="41"/>
  <c r="AB475" i="41"/>
  <c r="Y475" i="41"/>
  <c r="AH475" i="41"/>
  <c r="AN475" i="41"/>
  <c r="AK475" i="41"/>
  <c r="AE434" i="41"/>
  <c r="AC434" i="41"/>
  <c r="AN434" i="41"/>
  <c r="AB434" i="41"/>
  <c r="AG434" i="41"/>
  <c r="AF434" i="41"/>
  <c r="AA434" i="41"/>
  <c r="Z434" i="41"/>
  <c r="AH434" i="41"/>
  <c r="Y434" i="41"/>
  <c r="AD434" i="41"/>
  <c r="X434" i="41"/>
  <c r="W434" i="41"/>
  <c r="V434" i="41"/>
  <c r="AM434" i="41"/>
  <c r="AL434" i="41"/>
  <c r="AK434" i="41"/>
  <c r="AJ434" i="41"/>
  <c r="AI434" i="41"/>
  <c r="AE393" i="41"/>
  <c r="AC393" i="41"/>
  <c r="AN393" i="41"/>
  <c r="AB393" i="41"/>
  <c r="AH393" i="41"/>
  <c r="AG393" i="41"/>
  <c r="AD393" i="41"/>
  <c r="AA393" i="41"/>
  <c r="Z393" i="41"/>
  <c r="Y393" i="41"/>
  <c r="X393" i="41"/>
  <c r="AI393" i="41"/>
  <c r="AF393" i="41"/>
  <c r="W393" i="41"/>
  <c r="V393" i="41"/>
  <c r="AM393" i="41"/>
  <c r="AL393" i="41"/>
  <c r="AK393" i="41"/>
  <c r="AJ393" i="41"/>
  <c r="U218" i="41"/>
  <c r="AM324" i="41"/>
  <c r="X324" i="41"/>
  <c r="AJ324" i="41"/>
  <c r="AD324" i="41"/>
  <c r="AA324" i="41"/>
  <c r="AG324" i="41"/>
  <c r="AE284" i="41"/>
  <c r="AD284" i="41"/>
  <c r="AM284" i="41"/>
  <c r="AA284" i="41"/>
  <c r="AH284" i="41"/>
  <c r="AG284" i="41"/>
  <c r="AF284" i="41"/>
  <c r="AC284" i="41"/>
  <c r="AL284" i="41"/>
  <c r="AK284" i="41"/>
  <c r="AJ284" i="41"/>
  <c r="AI284" i="41"/>
  <c r="X284" i="41"/>
  <c r="W284" i="41"/>
  <c r="AB284" i="41"/>
  <c r="Z284" i="41"/>
  <c r="Y284" i="41"/>
  <c r="AN284" i="41"/>
  <c r="V284" i="41"/>
  <c r="AD243" i="41"/>
  <c r="AC243" i="41"/>
  <c r="AM243" i="41"/>
  <c r="AA243" i="41"/>
  <c r="AE243" i="41"/>
  <c r="AB243" i="41"/>
  <c r="AN243" i="41"/>
  <c r="X243" i="41"/>
  <c r="AL243" i="41"/>
  <c r="W243" i="41"/>
  <c r="AK243" i="41"/>
  <c r="V243" i="41"/>
  <c r="AJ243" i="41"/>
  <c r="AI243" i="41"/>
  <c r="AH243" i="41"/>
  <c r="Y243" i="41"/>
  <c r="AG243" i="41"/>
  <c r="AF243" i="41"/>
  <c r="Z243" i="41"/>
  <c r="W40" i="16"/>
  <c r="V42" i="16"/>
  <c r="S13" i="19"/>
  <c r="U216" i="19"/>
  <c r="T16" i="19"/>
  <c r="AI45" i="16"/>
  <c r="U220" i="20"/>
  <c r="U221" i="20" s="1"/>
  <c r="V370" i="20"/>
  <c r="V371" i="20" s="1"/>
  <c r="V370" i="42"/>
  <c r="V371" i="42" s="1"/>
  <c r="U217" i="42"/>
  <c r="U11" i="42" s="1"/>
  <c r="T220" i="42"/>
  <c r="T221" i="42" s="1"/>
  <c r="V62" i="42"/>
  <c r="V61" i="42"/>
  <c r="X396" i="42"/>
  <c r="X369" i="42"/>
  <c r="AA350" i="42"/>
  <c r="AA352" i="42" s="1"/>
  <c r="AA45" i="42"/>
  <c r="X368" i="42"/>
  <c r="U216" i="42"/>
  <c r="X132" i="42"/>
  <c r="X51" i="42"/>
  <c r="X91" i="42"/>
  <c r="X64" i="42"/>
  <c r="Z47" i="42"/>
  <c r="Z49" i="42" s="1"/>
  <c r="Z50" i="42" s="1"/>
  <c r="Z52" i="42" s="1"/>
  <c r="X174" i="42"/>
  <c r="Z354" i="42"/>
  <c r="Z355" i="42" s="1"/>
  <c r="Y364" i="42"/>
  <c r="Y363" i="42"/>
  <c r="Y365" i="42"/>
  <c r="Y478" i="42" s="1"/>
  <c r="X356" i="42"/>
  <c r="X437" i="42"/>
  <c r="Y58" i="42"/>
  <c r="Y59" i="42"/>
  <c r="Y60" i="42"/>
  <c r="W131" i="42"/>
  <c r="W51" i="42"/>
  <c r="W64" i="42"/>
  <c r="W90" i="42"/>
  <c r="V63" i="42"/>
  <c r="W173" i="42"/>
  <c r="V59" i="41"/>
  <c r="V58" i="41"/>
  <c r="V9" i="41" s="1"/>
  <c r="V21" i="41" s="1"/>
  <c r="V60" i="41"/>
  <c r="V52" i="41"/>
  <c r="W363" i="41"/>
  <c r="W365" i="41"/>
  <c r="W476" i="41" s="1"/>
  <c r="W364" i="41"/>
  <c r="Y45" i="41"/>
  <c r="Y350" i="41"/>
  <c r="Y352" i="41" s="1"/>
  <c r="Y354" i="41" s="1"/>
  <c r="Y355" i="41" s="1"/>
  <c r="U129" i="41"/>
  <c r="U51" i="41"/>
  <c r="Y200" i="41"/>
  <c r="Y202" i="41" s="1"/>
  <c r="W49" i="41"/>
  <c r="W50" i="41" s="1"/>
  <c r="V356" i="41"/>
  <c r="V435" i="41"/>
  <c r="U64" i="41"/>
  <c r="U88" i="41"/>
  <c r="V394" i="41"/>
  <c r="V369" i="41"/>
  <c r="X47" i="41"/>
  <c r="X354" i="41"/>
  <c r="X355" i="41" s="1"/>
  <c r="V368" i="41"/>
  <c r="U171" i="41"/>
  <c r="AB20" i="41"/>
  <c r="Z15" i="41"/>
  <c r="W216" i="23"/>
  <c r="W12" i="23" s="1"/>
  <c r="AA59" i="23"/>
  <c r="AA60" i="23"/>
  <c r="AA58" i="23"/>
  <c r="AA52" i="23"/>
  <c r="Z51" i="23"/>
  <c r="Z134" i="23"/>
  <c r="Z93" i="23"/>
  <c r="Z64" i="23"/>
  <c r="Z176" i="23"/>
  <c r="AA399" i="23"/>
  <c r="V367" i="22"/>
  <c r="U370" i="22"/>
  <c r="U371" i="22" s="1"/>
  <c r="W217" i="22"/>
  <c r="U61" i="22"/>
  <c r="Y47" i="22"/>
  <c r="Y49" i="22" s="1"/>
  <c r="Y50" i="22" s="1"/>
  <c r="Y52" i="22" s="1"/>
  <c r="X396" i="22"/>
  <c r="X369" i="22"/>
  <c r="V172" i="22"/>
  <c r="Z45" i="22"/>
  <c r="Z47" i="22" s="1"/>
  <c r="Z350" i="22"/>
  <c r="Z352" i="22" s="1"/>
  <c r="Z200" i="22"/>
  <c r="Z202" i="22" s="1"/>
  <c r="Z204" i="22" s="1"/>
  <c r="Z205" i="22" s="1"/>
  <c r="V51" i="22"/>
  <c r="V130" i="22"/>
  <c r="U62" i="22"/>
  <c r="Y354" i="22"/>
  <c r="Y355" i="22" s="1"/>
  <c r="X437" i="22"/>
  <c r="X356" i="22"/>
  <c r="U23" i="22"/>
  <c r="W58" i="22"/>
  <c r="W9" i="22" s="1"/>
  <c r="W21" i="22" s="1"/>
  <c r="W59" i="22"/>
  <c r="W60" i="22"/>
  <c r="W52" i="22"/>
  <c r="X368" i="22"/>
  <c r="X49" i="22"/>
  <c r="X50" i="22" s="1"/>
  <c r="V366" i="22"/>
  <c r="U63" i="22"/>
  <c r="V89" i="22"/>
  <c r="V64" i="22"/>
  <c r="W369" i="19"/>
  <c r="W370" i="19" s="1"/>
  <c r="X365" i="19"/>
  <c r="X91" i="19"/>
  <c r="X64" i="19"/>
  <c r="W90" i="19"/>
  <c r="W64" i="19"/>
  <c r="Y396" i="19"/>
  <c r="Y368" i="19"/>
  <c r="Y355" i="19"/>
  <c r="Y437" i="19"/>
  <c r="Y367" i="19"/>
  <c r="X366" i="19"/>
  <c r="Z353" i="19"/>
  <c r="Z354" i="19" s="1"/>
  <c r="T220" i="19"/>
  <c r="T221" i="19" s="1"/>
  <c r="AA349" i="19"/>
  <c r="AA351" i="19" s="1"/>
  <c r="AA353" i="19" s="1"/>
  <c r="AA354" i="19" s="1"/>
  <c r="AA45" i="19"/>
  <c r="Z47" i="19"/>
  <c r="X132" i="19"/>
  <c r="X51" i="19"/>
  <c r="V61" i="19"/>
  <c r="X63" i="19"/>
  <c r="W63" i="19"/>
  <c r="Y49" i="19"/>
  <c r="Y50" i="19" s="1"/>
  <c r="W131" i="19"/>
  <c r="W51" i="19"/>
  <c r="U217" i="19"/>
  <c r="V217" i="20"/>
  <c r="Z47" i="20"/>
  <c r="X60" i="20"/>
  <c r="X174" i="20" s="1"/>
  <c r="X58" i="20"/>
  <c r="X59" i="20"/>
  <c r="X52" i="20"/>
  <c r="X368" i="20"/>
  <c r="Z363" i="20"/>
  <c r="Z365" i="20"/>
  <c r="Z479" i="20" s="1"/>
  <c r="Z364" i="20"/>
  <c r="X369" i="20"/>
  <c r="X396" i="20"/>
  <c r="V65" i="20"/>
  <c r="V66" i="20" s="1"/>
  <c r="Y365" i="20"/>
  <c r="Y478" i="20" s="1"/>
  <c r="Y363" i="20"/>
  <c r="Y364" i="20"/>
  <c r="X437" i="20"/>
  <c r="X356" i="20"/>
  <c r="AA350" i="20"/>
  <c r="AA352" i="20" s="1"/>
  <c r="AA45" i="20"/>
  <c r="Z173" i="20"/>
  <c r="AL173" i="20"/>
  <c r="AF173" i="20"/>
  <c r="AI173" i="20"/>
  <c r="AC173" i="20"/>
  <c r="W63" i="20"/>
  <c r="Y49" i="20"/>
  <c r="Y50" i="20" s="1"/>
  <c r="W370" i="20"/>
  <c r="W371" i="20" s="1"/>
  <c r="W51" i="20"/>
  <c r="W131" i="20"/>
  <c r="W64" i="20"/>
  <c r="W90" i="20"/>
  <c r="X204" i="42"/>
  <c r="X205" i="42" s="1"/>
  <c r="Z200" i="42"/>
  <c r="Y202" i="42"/>
  <c r="V219" i="42"/>
  <c r="V244" i="42"/>
  <c r="V206" i="42"/>
  <c r="V285" i="42"/>
  <c r="V325" i="42"/>
  <c r="W213" i="42"/>
  <c r="W9" i="42" s="1"/>
  <c r="W21" i="42" s="1"/>
  <c r="W215" i="42"/>
  <c r="W214" i="42"/>
  <c r="W207" i="42"/>
  <c r="X204" i="41"/>
  <c r="X205" i="41" s="1"/>
  <c r="W213" i="41"/>
  <c r="W214" i="41"/>
  <c r="W215" i="41"/>
  <c r="W207" i="41"/>
  <c r="V244" i="41"/>
  <c r="V219" i="41"/>
  <c r="V325" i="41"/>
  <c r="V285" i="41"/>
  <c r="V206" i="41"/>
  <c r="X206" i="23"/>
  <c r="X287" i="23"/>
  <c r="Z204" i="23"/>
  <c r="Z205" i="23" s="1"/>
  <c r="X219" i="23"/>
  <c r="X246" i="23"/>
  <c r="AB200" i="23"/>
  <c r="Y215" i="23"/>
  <c r="Y213" i="23"/>
  <c r="Y9" i="23" s="1"/>
  <c r="Y21" i="23" s="1"/>
  <c r="Y214" i="23"/>
  <c r="Y207" i="23"/>
  <c r="X327" i="23"/>
  <c r="W217" i="23"/>
  <c r="AA202" i="23"/>
  <c r="Y215" i="22"/>
  <c r="Y214" i="22"/>
  <c r="Y213" i="22"/>
  <c r="Y207" i="22"/>
  <c r="X246" i="22"/>
  <c r="X219" i="22"/>
  <c r="X206" i="22"/>
  <c r="X287" i="22"/>
  <c r="X327" i="22"/>
  <c r="W213" i="19"/>
  <c r="W9" i="19" s="1"/>
  <c r="W214" i="19"/>
  <c r="W215" i="19"/>
  <c r="W207" i="19"/>
  <c r="Z200" i="19"/>
  <c r="X204" i="19"/>
  <c r="X205" i="19" s="1"/>
  <c r="Y202" i="19"/>
  <c r="V285" i="19"/>
  <c r="V206" i="19"/>
  <c r="V325" i="19"/>
  <c r="V244" i="19"/>
  <c r="V219" i="19"/>
  <c r="X215" i="20"/>
  <c r="X214" i="20"/>
  <c r="X213" i="20"/>
  <c r="X207" i="20"/>
  <c r="W286" i="20"/>
  <c r="W206" i="20"/>
  <c r="Z202" i="20"/>
  <c r="V216" i="20"/>
  <c r="V12" i="20" s="1"/>
  <c r="Y204" i="20"/>
  <c r="Y205" i="20" s="1"/>
  <c r="W326" i="20"/>
  <c r="AA200" i="20"/>
  <c r="W245" i="20"/>
  <c r="W219" i="20"/>
  <c r="F13" i="16"/>
  <c r="F8" i="16" s="1"/>
  <c r="G13" i="16"/>
  <c r="G8" i="16" s="1"/>
  <c r="H13" i="16"/>
  <c r="H8" i="16" s="1"/>
  <c r="I13" i="16"/>
  <c r="I8" i="16" s="1"/>
  <c r="E13" i="16"/>
  <c r="E8" i="16" s="1"/>
  <c r="E18" i="16"/>
  <c r="F18" i="16"/>
  <c r="G18" i="16"/>
  <c r="H18" i="16"/>
  <c r="I18" i="16"/>
  <c r="E16" i="16"/>
  <c r="F16" i="16"/>
  <c r="G16" i="16"/>
  <c r="H16" i="16"/>
  <c r="I16" i="16"/>
  <c r="R17" i="16"/>
  <c r="S17" i="16" s="1"/>
  <c r="T17" i="16" s="1"/>
  <c r="U17" i="16" s="1"/>
  <c r="V17" i="16" s="1"/>
  <c r="W17" i="16" s="1"/>
  <c r="X17" i="16" s="1"/>
  <c r="Y17" i="16" s="1"/>
  <c r="Z17" i="16" s="1"/>
  <c r="AA17" i="16" s="1"/>
  <c r="AB17" i="16" s="1"/>
  <c r="AC17" i="16" s="1"/>
  <c r="AD17" i="16" s="1"/>
  <c r="AE17" i="16" s="1"/>
  <c r="AF17" i="16" s="1"/>
  <c r="E21" i="16"/>
  <c r="F21" i="16"/>
  <c r="G21" i="16"/>
  <c r="H21" i="16"/>
  <c r="I21" i="16"/>
  <c r="E23" i="16"/>
  <c r="F23" i="16"/>
  <c r="G23" i="16"/>
  <c r="H23" i="16"/>
  <c r="I23" i="16"/>
  <c r="J2" i="73"/>
  <c r="J18" i="73"/>
  <c r="J14" i="73"/>
  <c r="M10" i="73"/>
  <c r="K22" i="73"/>
  <c r="L18" i="73"/>
  <c r="K18" i="73"/>
  <c r="Q24" i="65" l="1"/>
  <c r="H25" i="16"/>
  <c r="AE210" i="42"/>
  <c r="AF209" i="42"/>
  <c r="AG209" i="42" s="1"/>
  <c r="AG210" i="42" s="1"/>
  <c r="F25" i="16"/>
  <c r="E25" i="16"/>
  <c r="I25" i="16"/>
  <c r="G25" i="16"/>
  <c r="AA356" i="23"/>
  <c r="AA440" i="23"/>
  <c r="AE440" i="23" s="1"/>
  <c r="AJ480" i="23"/>
  <c r="AM480" i="23"/>
  <c r="AG480" i="23"/>
  <c r="AA368" i="23"/>
  <c r="AA369" i="23"/>
  <c r="S38" i="52"/>
  <c r="S16" i="52"/>
  <c r="N17" i="68"/>
  <c r="T37" i="32"/>
  <c r="V10" i="41"/>
  <c r="S51" i="57"/>
  <c r="W10" i="19"/>
  <c r="W23" i="19" s="1"/>
  <c r="Y10" i="23"/>
  <c r="Y23" i="23" s="1"/>
  <c r="AB363" i="23"/>
  <c r="AB400" i="23" s="1"/>
  <c r="W10" i="42"/>
  <c r="W23" i="42" s="1"/>
  <c r="T18" i="42"/>
  <c r="T25" i="42" s="1"/>
  <c r="AB365" i="23"/>
  <c r="AB481" i="23" s="1"/>
  <c r="AN487" i="23" s="1"/>
  <c r="W10" i="22"/>
  <c r="AC59" i="52"/>
  <c r="AC59" i="32" s="1"/>
  <c r="U16" i="57"/>
  <c r="U38" i="57"/>
  <c r="T38" i="57"/>
  <c r="T16" i="57"/>
  <c r="T23" i="57" s="1"/>
  <c r="T29" i="57" s="1"/>
  <c r="Q73" i="61"/>
  <c r="Q79" i="61" s="1"/>
  <c r="U25" i="20"/>
  <c r="X10" i="20"/>
  <c r="X23" i="20" s="1"/>
  <c r="X9" i="20"/>
  <c r="X21" i="20" s="1"/>
  <c r="Z367" i="23"/>
  <c r="V25" i="23"/>
  <c r="X7" i="63" s="1"/>
  <c r="U23" i="63"/>
  <c r="U29" i="63" s="1"/>
  <c r="U11" i="22"/>
  <c r="O29" i="57"/>
  <c r="U11" i="19"/>
  <c r="U18" i="19" s="1"/>
  <c r="Q44" i="62"/>
  <c r="Q50" i="62" s="1"/>
  <c r="O71" i="52"/>
  <c r="Q71" i="52" s="1"/>
  <c r="W21" i="19"/>
  <c r="O50" i="62"/>
  <c r="Z366" i="23"/>
  <c r="Y65" i="23"/>
  <c r="Y66" i="23" s="1"/>
  <c r="AA439" i="23"/>
  <c r="AE439" i="23"/>
  <c r="AN439" i="23"/>
  <c r="AI439" i="23"/>
  <c r="AK439" i="23"/>
  <c r="AG439" i="23"/>
  <c r="AJ439" i="23"/>
  <c r="AF439" i="23"/>
  <c r="AH439" i="23"/>
  <c r="AD439" i="23"/>
  <c r="AC439" i="23"/>
  <c r="AB439" i="23"/>
  <c r="AM439" i="23"/>
  <c r="AL439" i="23"/>
  <c r="AC350" i="23"/>
  <c r="AC352" i="23" s="1"/>
  <c r="AC354" i="23" s="1"/>
  <c r="AC355" i="23" s="1"/>
  <c r="AC45" i="23"/>
  <c r="AC47" i="23" s="1"/>
  <c r="AC49" i="23" s="1"/>
  <c r="AC50" i="23" s="1"/>
  <c r="AC52" i="23" s="1"/>
  <c r="AB398" i="23"/>
  <c r="AM398" i="23"/>
  <c r="AL398" i="23"/>
  <c r="AG398" i="23"/>
  <c r="AF398" i="23"/>
  <c r="AI398" i="23"/>
  <c r="AE398" i="23"/>
  <c r="AH398" i="23"/>
  <c r="AD398" i="23"/>
  <c r="AC398" i="23"/>
  <c r="AN398" i="23"/>
  <c r="AK398" i="23"/>
  <c r="AJ398" i="23"/>
  <c r="AA398" i="23"/>
  <c r="AA366" i="23" s="1"/>
  <c r="S22" i="62"/>
  <c r="S44" i="62" s="1"/>
  <c r="W11" i="23"/>
  <c r="W18" i="23" s="1"/>
  <c r="U12" i="19"/>
  <c r="V13" i="23"/>
  <c r="U13" i="20"/>
  <c r="U12" i="22"/>
  <c r="U16" i="22" s="1"/>
  <c r="V11" i="20"/>
  <c r="V18" i="20" s="1"/>
  <c r="T24" i="65"/>
  <c r="T30" i="65" s="1"/>
  <c r="V29" i="63"/>
  <c r="V45" i="63"/>
  <c r="W38" i="63"/>
  <c r="W16" i="63"/>
  <c r="S46" i="65"/>
  <c r="Q30" i="65"/>
  <c r="Q46" i="65"/>
  <c r="O23" i="65"/>
  <c r="Q22" i="65"/>
  <c r="O52" i="65"/>
  <c r="O74" i="65"/>
  <c r="O80" i="65" s="1"/>
  <c r="O28" i="65"/>
  <c r="Q29" i="57"/>
  <c r="Q45" i="57"/>
  <c r="V16" i="57"/>
  <c r="V38" i="57"/>
  <c r="O51" i="57"/>
  <c r="O73" i="57"/>
  <c r="O79" i="57" s="1"/>
  <c r="T45" i="61"/>
  <c r="U16" i="61"/>
  <c r="U23" i="61" s="1"/>
  <c r="U38" i="61"/>
  <c r="V7" i="61"/>
  <c r="S51" i="61"/>
  <c r="S73" i="61"/>
  <c r="S79" i="61" s="1"/>
  <c r="U6" i="62"/>
  <c r="T15" i="62"/>
  <c r="T37" i="62"/>
  <c r="T7" i="52"/>
  <c r="U7" i="60"/>
  <c r="U1" i="60" s="1"/>
  <c r="S45" i="60"/>
  <c r="S29" i="60"/>
  <c r="AD59" i="51"/>
  <c r="T16" i="60"/>
  <c r="T23" i="60" s="1"/>
  <c r="T38" i="60"/>
  <c r="Q29" i="60"/>
  <c r="Q45" i="60"/>
  <c r="O51" i="60"/>
  <c r="O73" i="60"/>
  <c r="O79" i="60" s="1"/>
  <c r="L11" i="45"/>
  <c r="M11" i="45"/>
  <c r="AH399" i="23"/>
  <c r="AG399" i="23"/>
  <c r="AD399" i="23"/>
  <c r="AB399" i="23"/>
  <c r="AC399" i="23"/>
  <c r="AN399" i="23"/>
  <c r="AM399" i="23"/>
  <c r="AL399" i="23"/>
  <c r="AK399" i="23"/>
  <c r="AJ399" i="23"/>
  <c r="AI399" i="23"/>
  <c r="AF399" i="23"/>
  <c r="AE399" i="23"/>
  <c r="AJ327" i="23"/>
  <c r="AG327" i="23"/>
  <c r="AD327" i="23"/>
  <c r="AA327" i="23"/>
  <c r="AM327" i="23"/>
  <c r="AN287" i="23"/>
  <c r="AB287" i="23"/>
  <c r="AM287" i="23"/>
  <c r="AA287" i="23"/>
  <c r="AL287" i="23"/>
  <c r="Z287" i="23"/>
  <c r="AK287" i="23"/>
  <c r="Y287" i="23"/>
  <c r="AF287" i="23"/>
  <c r="AE287" i="23"/>
  <c r="AD287" i="23"/>
  <c r="AC287" i="23"/>
  <c r="AJ287" i="23"/>
  <c r="AI287" i="23"/>
  <c r="AH287" i="23"/>
  <c r="AG287" i="23"/>
  <c r="AN246" i="23"/>
  <c r="AB246" i="23"/>
  <c r="AA246" i="23"/>
  <c r="AM246" i="23"/>
  <c r="AL246" i="23"/>
  <c r="Z246" i="23"/>
  <c r="AK246" i="23"/>
  <c r="Y246" i="23"/>
  <c r="AC246" i="23"/>
  <c r="AI246" i="23"/>
  <c r="AF246" i="23"/>
  <c r="AH246" i="23"/>
  <c r="AG246" i="23"/>
  <c r="AE246" i="23"/>
  <c r="AD246" i="23"/>
  <c r="AJ246" i="23"/>
  <c r="W16" i="23"/>
  <c r="AL176" i="23"/>
  <c r="AI176" i="23"/>
  <c r="AF176" i="23"/>
  <c r="AC176" i="23"/>
  <c r="AI134" i="23"/>
  <c r="AG134" i="23"/>
  <c r="AF134" i="23"/>
  <c r="AE134" i="23"/>
  <c r="AM134" i="23"/>
  <c r="AL134" i="23"/>
  <c r="AK134" i="23"/>
  <c r="AJ134" i="23"/>
  <c r="AH134" i="23"/>
  <c r="AC134" i="23"/>
  <c r="AB134" i="23"/>
  <c r="AA134" i="23"/>
  <c r="AN134" i="23"/>
  <c r="AD134" i="23"/>
  <c r="AI93" i="23"/>
  <c r="AH93" i="23"/>
  <c r="AE93" i="23"/>
  <c r="AG93" i="23"/>
  <c r="AF93" i="23"/>
  <c r="AD93" i="23"/>
  <c r="AC93" i="23"/>
  <c r="AN93" i="23"/>
  <c r="AM93" i="23"/>
  <c r="AL93" i="23"/>
  <c r="AA93" i="23"/>
  <c r="AK93" i="23"/>
  <c r="AJ93" i="23"/>
  <c r="AB93" i="23"/>
  <c r="AN437" i="22"/>
  <c r="AB437" i="22"/>
  <c r="AM437" i="22"/>
  <c r="AA437" i="22"/>
  <c r="AL437" i="22"/>
  <c r="Z437" i="22"/>
  <c r="AK437" i="22"/>
  <c r="Y437" i="22"/>
  <c r="AF437" i="22"/>
  <c r="AE437" i="22"/>
  <c r="AD437" i="22"/>
  <c r="AC437" i="22"/>
  <c r="AH437" i="22"/>
  <c r="AJ437" i="22"/>
  <c r="AI437" i="22"/>
  <c r="AG437" i="22"/>
  <c r="AN396" i="22"/>
  <c r="AB396" i="22"/>
  <c r="AL396" i="22"/>
  <c r="Z396" i="22"/>
  <c r="AK396" i="22"/>
  <c r="Y396" i="22"/>
  <c r="AE396" i="22"/>
  <c r="AC396" i="22"/>
  <c r="AD396" i="22"/>
  <c r="AA396" i="22"/>
  <c r="AJ396" i="22"/>
  <c r="AH396" i="22"/>
  <c r="AI396" i="22"/>
  <c r="AG396" i="22"/>
  <c r="AF396" i="22"/>
  <c r="AM396" i="22"/>
  <c r="AJ327" i="22"/>
  <c r="AG327" i="22"/>
  <c r="AD327" i="22"/>
  <c r="AA327" i="22"/>
  <c r="AM327" i="22"/>
  <c r="AN287" i="22"/>
  <c r="AB287" i="22"/>
  <c r="AL287" i="22"/>
  <c r="Z287" i="22"/>
  <c r="AM287" i="22"/>
  <c r="AA287" i="22"/>
  <c r="AF287" i="22"/>
  <c r="AD287" i="22"/>
  <c r="AC287" i="22"/>
  <c r="Y287" i="22"/>
  <c r="AE287" i="22"/>
  <c r="AG287" i="22"/>
  <c r="AK287" i="22"/>
  <c r="AJ287" i="22"/>
  <c r="AI287" i="22"/>
  <c r="AH287" i="22"/>
  <c r="AM246" i="22"/>
  <c r="AA246" i="22"/>
  <c r="AK246" i="22"/>
  <c r="Y246" i="22"/>
  <c r="AJ246" i="22"/>
  <c r="AE246" i="22"/>
  <c r="AD246" i="22"/>
  <c r="AC246" i="22"/>
  <c r="AB246" i="22"/>
  <c r="Z246" i="22"/>
  <c r="AN246" i="22"/>
  <c r="AH246" i="22"/>
  <c r="AL246" i="22"/>
  <c r="AF246" i="22"/>
  <c r="AG246" i="22"/>
  <c r="AI246" i="22"/>
  <c r="W220" i="22"/>
  <c r="W221" i="22" s="1"/>
  <c r="AE172" i="22"/>
  <c r="AB172" i="22"/>
  <c r="Y172" i="22"/>
  <c r="AN172" i="22"/>
  <c r="AK172" i="22"/>
  <c r="AH172" i="22"/>
  <c r="AK130" i="22"/>
  <c r="Y130" i="22"/>
  <c r="AI130" i="22"/>
  <c r="W130" i="22"/>
  <c r="AJ130" i="22"/>
  <c r="X130" i="22"/>
  <c r="AE130" i="22"/>
  <c r="AD130" i="22"/>
  <c r="AC130" i="22"/>
  <c r="AH130" i="22"/>
  <c r="AG130" i="22"/>
  <c r="AF130" i="22"/>
  <c r="AB130" i="22"/>
  <c r="AA130" i="22"/>
  <c r="Z130" i="22"/>
  <c r="AN130" i="22"/>
  <c r="AM130" i="22"/>
  <c r="AL130" i="22"/>
  <c r="AK89" i="22"/>
  <c r="Y89" i="22"/>
  <c r="AJ89" i="22"/>
  <c r="X89" i="22"/>
  <c r="AI89" i="22"/>
  <c r="W89" i="22"/>
  <c r="AH89" i="22"/>
  <c r="AN89" i="22"/>
  <c r="AB89" i="22"/>
  <c r="AM89" i="22"/>
  <c r="AA89" i="22"/>
  <c r="AD89" i="22"/>
  <c r="AC89" i="22"/>
  <c r="Z89" i="22"/>
  <c r="AL89" i="22"/>
  <c r="AG89" i="22"/>
  <c r="AF89" i="22"/>
  <c r="AE89" i="22"/>
  <c r="AK437" i="19"/>
  <c r="AI437" i="19"/>
  <c r="AJ437" i="19"/>
  <c r="AE437" i="19"/>
  <c r="AD437" i="19"/>
  <c r="AC437" i="19"/>
  <c r="AB437" i="19"/>
  <c r="AG437" i="19"/>
  <c r="AF437" i="19"/>
  <c r="AA437" i="19"/>
  <c r="Z437" i="19"/>
  <c r="AN437" i="19"/>
  <c r="AM437" i="19"/>
  <c r="AL437" i="19"/>
  <c r="AH437" i="19"/>
  <c r="AK396" i="19"/>
  <c r="AJ396" i="19"/>
  <c r="AI396" i="19"/>
  <c r="AH396" i="19"/>
  <c r="AG396" i="19"/>
  <c r="AF396" i="19"/>
  <c r="AE396" i="19"/>
  <c r="AA396" i="19"/>
  <c r="Z396" i="19"/>
  <c r="AL396" i="19"/>
  <c r="AB396" i="19"/>
  <c r="AN396" i="19"/>
  <c r="AM396" i="19"/>
  <c r="AD396" i="19"/>
  <c r="AC396" i="19"/>
  <c r="V218" i="19"/>
  <c r="AE325" i="19"/>
  <c r="AB325" i="19"/>
  <c r="Y325" i="19"/>
  <c r="AK325" i="19"/>
  <c r="AH325" i="19"/>
  <c r="AN325" i="19"/>
  <c r="AK285" i="19"/>
  <c r="Y285" i="19"/>
  <c r="AI285" i="19"/>
  <c r="W285" i="19"/>
  <c r="AH285" i="19"/>
  <c r="AE285" i="19"/>
  <c r="AD285" i="19"/>
  <c r="X285" i="19"/>
  <c r="AC285" i="19"/>
  <c r="AB285" i="19"/>
  <c r="AA285" i="19"/>
  <c r="Z285" i="19"/>
  <c r="AN285" i="19"/>
  <c r="AG285" i="19"/>
  <c r="AF285" i="19"/>
  <c r="AL285" i="19"/>
  <c r="AM285" i="19"/>
  <c r="AJ285" i="19"/>
  <c r="AI244" i="19"/>
  <c r="W244" i="19"/>
  <c r="AH244" i="19"/>
  <c r="AG244" i="19"/>
  <c r="AF244" i="19"/>
  <c r="AK244" i="19"/>
  <c r="AE244" i="19"/>
  <c r="AD244" i="19"/>
  <c r="AC244" i="19"/>
  <c r="AJ244" i="19"/>
  <c r="AN244" i="19"/>
  <c r="AM244" i="19"/>
  <c r="AL244" i="19"/>
  <c r="AB244" i="19"/>
  <c r="AA244" i="19"/>
  <c r="Z244" i="19"/>
  <c r="Y244" i="19"/>
  <c r="X244" i="19"/>
  <c r="U220" i="19"/>
  <c r="U221" i="19" s="1"/>
  <c r="AE131" i="19"/>
  <c r="AD131" i="19"/>
  <c r="AC131" i="19"/>
  <c r="AN131" i="19"/>
  <c r="AB131" i="19"/>
  <c r="AF131" i="19"/>
  <c r="Z131" i="19"/>
  <c r="AA131" i="19"/>
  <c r="Y131" i="19"/>
  <c r="X131" i="19"/>
  <c r="X62" i="19" s="1"/>
  <c r="AM131" i="19"/>
  <c r="AL131" i="19"/>
  <c r="AJ131" i="19"/>
  <c r="AI131" i="19"/>
  <c r="AH131" i="19"/>
  <c r="AG131" i="19"/>
  <c r="AK131" i="19"/>
  <c r="AM132" i="19"/>
  <c r="AA132" i="19"/>
  <c r="AL132" i="19"/>
  <c r="Z132" i="19"/>
  <c r="AK132" i="19"/>
  <c r="Y132" i="19"/>
  <c r="AJ132" i="19"/>
  <c r="AF132" i="19"/>
  <c r="AE132" i="19"/>
  <c r="AD132" i="19"/>
  <c r="AC132" i="19"/>
  <c r="AB132" i="19"/>
  <c r="AH132" i="19"/>
  <c r="AG132" i="19"/>
  <c r="AI132" i="19"/>
  <c r="AN132" i="19"/>
  <c r="AM91" i="19"/>
  <c r="AA91" i="19"/>
  <c r="AK91" i="19"/>
  <c r="Y91" i="19"/>
  <c r="AL91" i="19"/>
  <c r="Z91" i="19"/>
  <c r="AJ91" i="19"/>
  <c r="AI91" i="19"/>
  <c r="AN91" i="19"/>
  <c r="AH91" i="19"/>
  <c r="AD91" i="19"/>
  <c r="AC91" i="19"/>
  <c r="AB91" i="19"/>
  <c r="AG91" i="19"/>
  <c r="AF91" i="19"/>
  <c r="AE91" i="19"/>
  <c r="AE90" i="19"/>
  <c r="AD90" i="19"/>
  <c r="AC90" i="19"/>
  <c r="AM90" i="19"/>
  <c r="X90" i="19"/>
  <c r="X61" i="19" s="1"/>
  <c r="AK90" i="19"/>
  <c r="AJ90" i="19"/>
  <c r="AL90" i="19"/>
  <c r="AI90" i="19"/>
  <c r="AB90" i="19"/>
  <c r="AA90" i="19"/>
  <c r="AH90" i="19"/>
  <c r="AG90" i="19"/>
  <c r="Z90" i="19"/>
  <c r="AN90" i="19"/>
  <c r="Y90" i="19"/>
  <c r="AF90" i="19"/>
  <c r="AN478" i="20"/>
  <c r="AK478" i="20"/>
  <c r="AH478" i="20"/>
  <c r="AE478" i="20"/>
  <c r="AB478" i="20"/>
  <c r="AL479" i="20"/>
  <c r="AI479" i="20"/>
  <c r="AF479" i="20"/>
  <c r="AC479" i="20"/>
  <c r="AM437" i="20"/>
  <c r="AA437" i="20"/>
  <c r="AL437" i="20"/>
  <c r="Z437" i="20"/>
  <c r="AJ437" i="20"/>
  <c r="AH437" i="20"/>
  <c r="AI437" i="20"/>
  <c r="AG437" i="20"/>
  <c r="AF437" i="20"/>
  <c r="AE437" i="20"/>
  <c r="AN437" i="20"/>
  <c r="AK437" i="20"/>
  <c r="AD437" i="20"/>
  <c r="AC437" i="20"/>
  <c r="AB437" i="20"/>
  <c r="Y437" i="20"/>
  <c r="AN396" i="20"/>
  <c r="AB396" i="20"/>
  <c r="AM396" i="20"/>
  <c r="AA396" i="20"/>
  <c r="AL396" i="20"/>
  <c r="Z396" i="20"/>
  <c r="AC396" i="20"/>
  <c r="Y396" i="20"/>
  <c r="AD396" i="20"/>
  <c r="AK396" i="20"/>
  <c r="AJ396" i="20"/>
  <c r="AI396" i="20"/>
  <c r="AH396" i="20"/>
  <c r="AG396" i="20"/>
  <c r="AF396" i="20"/>
  <c r="AE396" i="20"/>
  <c r="W218" i="20"/>
  <c r="AI326" i="20"/>
  <c r="AL326" i="20"/>
  <c r="Z326" i="20"/>
  <c r="AF326" i="20"/>
  <c r="AC326" i="20"/>
  <c r="AF286" i="20"/>
  <c r="AE286" i="20"/>
  <c r="AD286" i="20"/>
  <c r="AC286" i="20"/>
  <c r="AB286" i="20"/>
  <c r="AK286" i="20"/>
  <c r="AJ286" i="20"/>
  <c r="AI286" i="20"/>
  <c r="AH286" i="20"/>
  <c r="AG286" i="20"/>
  <c r="AM286" i="20"/>
  <c r="AL286" i="20"/>
  <c r="AA286" i="20"/>
  <c r="Z286" i="20"/>
  <c r="Y286" i="20"/>
  <c r="X286" i="20"/>
  <c r="AN286" i="20"/>
  <c r="AF245" i="20"/>
  <c r="AE245" i="20"/>
  <c r="AN245" i="20"/>
  <c r="AB245" i="20"/>
  <c r="AD245" i="20"/>
  <c r="AC245" i="20"/>
  <c r="AA245" i="20"/>
  <c r="Z245" i="20"/>
  <c r="Y245" i="20"/>
  <c r="AH245" i="20"/>
  <c r="AG245" i="20"/>
  <c r="AM245" i="20"/>
  <c r="AK245" i="20"/>
  <c r="AI245" i="20"/>
  <c r="X245" i="20"/>
  <c r="AL245" i="20"/>
  <c r="AJ245" i="20"/>
  <c r="AN478" i="42"/>
  <c r="AK478" i="42"/>
  <c r="AH478" i="42"/>
  <c r="AE478" i="42"/>
  <c r="AB478" i="42"/>
  <c r="AN437" i="42"/>
  <c r="AB437" i="42"/>
  <c r="AM437" i="42"/>
  <c r="AA437" i="42"/>
  <c r="AL437" i="42"/>
  <c r="Z437" i="42"/>
  <c r="AK437" i="42"/>
  <c r="Y437" i="42"/>
  <c r="AG437" i="42"/>
  <c r="AF437" i="42"/>
  <c r="AE437" i="42"/>
  <c r="AD437" i="42"/>
  <c r="AC437" i="42"/>
  <c r="AH437" i="42"/>
  <c r="AJ437" i="42"/>
  <c r="AI437" i="42"/>
  <c r="AN396" i="42"/>
  <c r="AB396" i="42"/>
  <c r="AM396" i="42"/>
  <c r="AA396" i="42"/>
  <c r="AL396" i="42"/>
  <c r="Z396" i="42"/>
  <c r="AK396" i="42"/>
  <c r="Y396" i="42"/>
  <c r="AF396" i="42"/>
  <c r="AE396" i="42"/>
  <c r="AD396" i="42"/>
  <c r="AC396" i="42"/>
  <c r="AG396" i="42"/>
  <c r="AJ396" i="42"/>
  <c r="AI396" i="42"/>
  <c r="AH396" i="42"/>
  <c r="V218" i="42"/>
  <c r="AE325" i="42"/>
  <c r="AB325" i="42"/>
  <c r="Y325" i="42"/>
  <c r="AN325" i="42"/>
  <c r="AK325" i="42"/>
  <c r="AH325" i="42"/>
  <c r="U16" i="42"/>
  <c r="AK285" i="42"/>
  <c r="Y285" i="42"/>
  <c r="AI285" i="42"/>
  <c r="W285" i="42"/>
  <c r="AH285" i="42"/>
  <c r="AE285" i="42"/>
  <c r="AC285" i="42"/>
  <c r="AB285" i="42"/>
  <c r="AA285" i="42"/>
  <c r="Z285" i="42"/>
  <c r="AL285" i="42"/>
  <c r="AG285" i="42"/>
  <c r="AF285" i="42"/>
  <c r="AJ285" i="42"/>
  <c r="AN285" i="42"/>
  <c r="AM285" i="42"/>
  <c r="AD285" i="42"/>
  <c r="X285" i="42"/>
  <c r="AK244" i="42"/>
  <c r="Y244" i="42"/>
  <c r="AJ244" i="42"/>
  <c r="X244" i="42"/>
  <c r="AI244" i="42"/>
  <c r="W244" i="42"/>
  <c r="AH244" i="42"/>
  <c r="AC244" i="42"/>
  <c r="AB244" i="42"/>
  <c r="Z244" i="42"/>
  <c r="AL244" i="42"/>
  <c r="AN244" i="42"/>
  <c r="AM244" i="42"/>
  <c r="AG244" i="42"/>
  <c r="AF244" i="42"/>
  <c r="AD244" i="42"/>
  <c r="AA244" i="42"/>
  <c r="AE244" i="42"/>
  <c r="AL173" i="42"/>
  <c r="AI173" i="42"/>
  <c r="AC173" i="42"/>
  <c r="AF173" i="42"/>
  <c r="Z173" i="42"/>
  <c r="W61" i="42"/>
  <c r="X63" i="42"/>
  <c r="AG174" i="42"/>
  <c r="AD174" i="42"/>
  <c r="AA174" i="42"/>
  <c r="AM174" i="42"/>
  <c r="AJ174" i="42"/>
  <c r="AF131" i="42"/>
  <c r="AN131" i="42"/>
  <c r="AB131" i="42"/>
  <c r="AE131" i="42"/>
  <c r="AD131" i="42"/>
  <c r="AC131" i="42"/>
  <c r="AM131" i="42"/>
  <c r="AA131" i="42"/>
  <c r="AL131" i="42"/>
  <c r="Z131" i="42"/>
  <c r="AH131" i="42"/>
  <c r="X131" i="42"/>
  <c r="X62" i="42" s="1"/>
  <c r="AG131" i="42"/>
  <c r="Y131" i="42"/>
  <c r="AI131" i="42"/>
  <c r="AK131" i="42"/>
  <c r="AJ131" i="42"/>
  <c r="AN132" i="42"/>
  <c r="AB132" i="42"/>
  <c r="AJ132" i="42"/>
  <c r="AM132" i="42"/>
  <c r="AA132" i="42"/>
  <c r="AL132" i="42"/>
  <c r="Z132" i="42"/>
  <c r="AK132" i="42"/>
  <c r="Y132" i="42"/>
  <c r="AI132" i="42"/>
  <c r="AH132" i="42"/>
  <c r="AF132" i="42"/>
  <c r="AG132" i="42"/>
  <c r="AE132" i="42"/>
  <c r="AD132" i="42"/>
  <c r="AC132" i="42"/>
  <c r="AN91" i="42"/>
  <c r="AB91" i="42"/>
  <c r="AM91" i="42"/>
  <c r="AA91" i="42"/>
  <c r="AL91" i="42"/>
  <c r="Z91" i="42"/>
  <c r="AE91" i="42"/>
  <c r="AD91" i="42"/>
  <c r="AC91" i="42"/>
  <c r="Y91" i="42"/>
  <c r="AJ91" i="42"/>
  <c r="AH91" i="42"/>
  <c r="AK91" i="42"/>
  <c r="AI91" i="42"/>
  <c r="AG91" i="42"/>
  <c r="AF91" i="42"/>
  <c r="AF90" i="42"/>
  <c r="AE90" i="42"/>
  <c r="AD90" i="42"/>
  <c r="AC90" i="42"/>
  <c r="AB90" i="42"/>
  <c r="AA90" i="42"/>
  <c r="Z90" i="42"/>
  <c r="AN90" i="42"/>
  <c r="Y90" i="42"/>
  <c r="AK90" i="42"/>
  <c r="AJ90" i="42"/>
  <c r="AI90" i="42"/>
  <c r="AH90" i="42"/>
  <c r="AG90" i="42"/>
  <c r="X90" i="42"/>
  <c r="X61" i="42" s="1"/>
  <c r="AL90" i="42"/>
  <c r="AM90" i="42"/>
  <c r="AL476" i="41"/>
  <c r="AI476" i="41"/>
  <c r="AF476" i="41"/>
  <c r="AC476" i="41"/>
  <c r="Z476" i="41"/>
  <c r="AK435" i="41"/>
  <c r="Y435" i="41"/>
  <c r="AI435" i="41"/>
  <c r="W435" i="41"/>
  <c r="AH435" i="41"/>
  <c r="AD435" i="41"/>
  <c r="AC435" i="41"/>
  <c r="AA435" i="41"/>
  <c r="Z435" i="41"/>
  <c r="AL435" i="41"/>
  <c r="AG435" i="41"/>
  <c r="AJ435" i="41"/>
  <c r="AF435" i="41"/>
  <c r="AE435" i="41"/>
  <c r="AB435" i="41"/>
  <c r="X435" i="41"/>
  <c r="AN435" i="41"/>
  <c r="AM435" i="41"/>
  <c r="AK394" i="41"/>
  <c r="Y394" i="41"/>
  <c r="AI394" i="41"/>
  <c r="W394" i="41"/>
  <c r="AH394" i="41"/>
  <c r="AE394" i="41"/>
  <c r="AD394" i="41"/>
  <c r="AF394" i="41"/>
  <c r="AC394" i="41"/>
  <c r="AB394" i="41"/>
  <c r="AA394" i="41"/>
  <c r="Z394" i="41"/>
  <c r="AN394" i="41"/>
  <c r="AM394" i="41"/>
  <c r="AL394" i="41"/>
  <c r="AJ394" i="41"/>
  <c r="AG394" i="41"/>
  <c r="X394" i="41"/>
  <c r="AE325" i="41"/>
  <c r="AB325" i="41"/>
  <c r="Y325" i="41"/>
  <c r="AN325" i="41"/>
  <c r="AK325" i="41"/>
  <c r="AH325" i="41"/>
  <c r="AK285" i="41"/>
  <c r="Y285" i="41"/>
  <c r="X285" i="41"/>
  <c r="AJ285" i="41"/>
  <c r="AG285" i="41"/>
  <c r="AE285" i="41"/>
  <c r="AD285" i="41"/>
  <c r="AC285" i="41"/>
  <c r="AB285" i="41"/>
  <c r="AN285" i="41"/>
  <c r="AM285" i="41"/>
  <c r="AF285" i="41"/>
  <c r="AA285" i="41"/>
  <c r="AL285" i="41"/>
  <c r="AH285" i="41"/>
  <c r="AI285" i="41"/>
  <c r="W285" i="41"/>
  <c r="Z285" i="41"/>
  <c r="AK244" i="41"/>
  <c r="Y244" i="41"/>
  <c r="AJ244" i="41"/>
  <c r="X244" i="41"/>
  <c r="AI244" i="41"/>
  <c r="W244" i="41"/>
  <c r="AG244" i="41"/>
  <c r="AC244" i="41"/>
  <c r="AB244" i="41"/>
  <c r="AN244" i="41"/>
  <c r="AL244" i="41"/>
  <c r="AH244" i="41"/>
  <c r="AM244" i="41"/>
  <c r="AF244" i="41"/>
  <c r="AE244" i="41"/>
  <c r="AD244" i="41"/>
  <c r="AA244" i="41"/>
  <c r="Z244" i="41"/>
  <c r="AM171" i="41"/>
  <c r="AJ171" i="41"/>
  <c r="AG171" i="41"/>
  <c r="AD171" i="41"/>
  <c r="AA171" i="41"/>
  <c r="X171" i="41"/>
  <c r="AE129" i="41"/>
  <c r="AC129" i="41"/>
  <c r="AN129" i="41"/>
  <c r="AB129" i="41"/>
  <c r="AH129" i="41"/>
  <c r="AF129" i="41"/>
  <c r="AG129" i="41"/>
  <c r="W129" i="41"/>
  <c r="AL129" i="41"/>
  <c r="AK129" i="41"/>
  <c r="AJ129" i="41"/>
  <c r="AI129" i="41"/>
  <c r="AD129" i="41"/>
  <c r="V129" i="41"/>
  <c r="AM129" i="41"/>
  <c r="AA129" i="41"/>
  <c r="Z129" i="41"/>
  <c r="Y129" i="41"/>
  <c r="X129" i="41"/>
  <c r="AE88" i="41"/>
  <c r="AD88" i="41"/>
  <c r="AC88" i="41"/>
  <c r="AN88" i="41"/>
  <c r="AB88" i="41"/>
  <c r="AA88" i="41"/>
  <c r="Y88" i="41"/>
  <c r="Z88" i="41"/>
  <c r="X88" i="41"/>
  <c r="V88" i="41"/>
  <c r="AM88" i="41"/>
  <c r="AL88" i="41"/>
  <c r="AK88" i="41"/>
  <c r="W88" i="41"/>
  <c r="AJ88" i="41"/>
  <c r="AI88" i="41"/>
  <c r="AH88" i="41"/>
  <c r="AG88" i="41"/>
  <c r="AF88" i="41"/>
  <c r="X40" i="16"/>
  <c r="W42" i="16"/>
  <c r="V370" i="22"/>
  <c r="V371" i="22" s="1"/>
  <c r="M7" i="45"/>
  <c r="T13" i="19"/>
  <c r="T18" i="19"/>
  <c r="T25" i="19" s="1"/>
  <c r="V65" i="19"/>
  <c r="V66" i="19" s="1"/>
  <c r="AJ45" i="16"/>
  <c r="V16" i="20"/>
  <c r="W63" i="42"/>
  <c r="Y368" i="42"/>
  <c r="AB350" i="42"/>
  <c r="AB352" i="42" s="1"/>
  <c r="AB354" i="42" s="1"/>
  <c r="AB355" i="42" s="1"/>
  <c r="AB45" i="42"/>
  <c r="Y397" i="42"/>
  <c r="Y369" i="42"/>
  <c r="Y438" i="42"/>
  <c r="Y356" i="42"/>
  <c r="W62" i="42"/>
  <c r="Z364" i="42"/>
  <c r="Z365" i="42"/>
  <c r="Z479" i="42" s="1"/>
  <c r="Z363" i="42"/>
  <c r="U18" i="42"/>
  <c r="V65" i="42"/>
  <c r="V66" i="42" s="1"/>
  <c r="U220" i="42"/>
  <c r="U221" i="42" s="1"/>
  <c r="Y175" i="42"/>
  <c r="Y133" i="42"/>
  <c r="Y51" i="42"/>
  <c r="Y64" i="42"/>
  <c r="Y92" i="42"/>
  <c r="X367" i="42"/>
  <c r="Z60" i="42"/>
  <c r="Z58" i="42"/>
  <c r="Z59" i="42"/>
  <c r="AA47" i="42"/>
  <c r="AA49" i="42" s="1"/>
  <c r="AA50" i="42" s="1"/>
  <c r="AA52" i="42" s="1"/>
  <c r="V216" i="42"/>
  <c r="V16" i="42" s="1"/>
  <c r="AA354" i="42"/>
  <c r="AA355" i="42" s="1"/>
  <c r="X366" i="42"/>
  <c r="Z45" i="41"/>
  <c r="Z350" i="41"/>
  <c r="Z352" i="41" s="1"/>
  <c r="Y47" i="41"/>
  <c r="W356" i="41"/>
  <c r="W436" i="41"/>
  <c r="W395" i="41"/>
  <c r="W369" i="41"/>
  <c r="X363" i="41"/>
  <c r="X365" i="41"/>
  <c r="X477" i="41" s="1"/>
  <c r="X364" i="41"/>
  <c r="X49" i="41"/>
  <c r="X50" i="41" s="1"/>
  <c r="V172" i="41"/>
  <c r="V64" i="41"/>
  <c r="V89" i="41"/>
  <c r="V130" i="41"/>
  <c r="V51" i="41"/>
  <c r="Z200" i="41"/>
  <c r="Z202" i="41" s="1"/>
  <c r="U23" i="41"/>
  <c r="W368" i="41"/>
  <c r="U63" i="41"/>
  <c r="Y365" i="41"/>
  <c r="Y478" i="41" s="1"/>
  <c r="Y364" i="41"/>
  <c r="Y363" i="41"/>
  <c r="W59" i="41"/>
  <c r="W58" i="41"/>
  <c r="W9" i="41" s="1"/>
  <c r="W21" i="41" s="1"/>
  <c r="W60" i="41"/>
  <c r="W52" i="41"/>
  <c r="AA15" i="41"/>
  <c r="AC20" i="41"/>
  <c r="X217" i="23"/>
  <c r="AB58" i="23"/>
  <c r="AB60" i="23"/>
  <c r="AB59" i="23"/>
  <c r="AB52" i="23"/>
  <c r="AA94" i="23"/>
  <c r="AA64" i="23"/>
  <c r="Z63" i="23"/>
  <c r="AA177" i="23"/>
  <c r="X216" i="23"/>
  <c r="X12" i="23" s="1"/>
  <c r="AA51" i="23"/>
  <c r="AA135" i="23"/>
  <c r="AB441" i="23"/>
  <c r="Z62" i="23"/>
  <c r="Z61" i="23"/>
  <c r="AD59" i="52"/>
  <c r="AA350" i="22"/>
  <c r="AA352" i="22" s="1"/>
  <c r="AA45" i="22"/>
  <c r="AA200" i="22"/>
  <c r="AA202" i="22" s="1"/>
  <c r="AA204" i="22" s="1"/>
  <c r="X216" i="22"/>
  <c r="X217" i="22"/>
  <c r="X367" i="22"/>
  <c r="V62" i="22"/>
  <c r="X366" i="22"/>
  <c r="W90" i="22"/>
  <c r="W64" i="22"/>
  <c r="W370" i="22"/>
  <c r="W371" i="22" s="1"/>
  <c r="X58" i="22"/>
  <c r="X9" i="22" s="1"/>
  <c r="X21" i="22" s="1"/>
  <c r="X59" i="22"/>
  <c r="X60" i="22"/>
  <c r="X52" i="22"/>
  <c r="Y365" i="22"/>
  <c r="Y478" i="22" s="1"/>
  <c r="Y363" i="22"/>
  <c r="Y364" i="22"/>
  <c r="Y58" i="22"/>
  <c r="Y59" i="22"/>
  <c r="Y60" i="22"/>
  <c r="U65" i="22"/>
  <c r="U66" i="22" s="1"/>
  <c r="V61" i="22"/>
  <c r="Z354" i="22"/>
  <c r="Z355" i="22" s="1"/>
  <c r="W131" i="22"/>
  <c r="W51" i="22"/>
  <c r="V63" i="22"/>
  <c r="W173" i="22"/>
  <c r="Z49" i="22"/>
  <c r="Z50" i="22" s="1"/>
  <c r="V217" i="19"/>
  <c r="Y60" i="19"/>
  <c r="Y175" i="19" s="1"/>
  <c r="Y59" i="19"/>
  <c r="Y58" i="19"/>
  <c r="Y52" i="19"/>
  <c r="X369" i="19"/>
  <c r="X370" i="19" s="1"/>
  <c r="AB349" i="19"/>
  <c r="AB351" i="19" s="1"/>
  <c r="AB353" i="19" s="1"/>
  <c r="AB354" i="19" s="1"/>
  <c r="AB45" i="19"/>
  <c r="Z363" i="19"/>
  <c r="Z364" i="19"/>
  <c r="Z478" i="19" s="1"/>
  <c r="Z362" i="19"/>
  <c r="Z49" i="19"/>
  <c r="Z50" i="19" s="1"/>
  <c r="W62" i="19"/>
  <c r="Y366" i="19"/>
  <c r="W61" i="19"/>
  <c r="AA47" i="19"/>
  <c r="Y365" i="19"/>
  <c r="AA363" i="19"/>
  <c r="AA364" i="19"/>
  <c r="AA479" i="19" s="1"/>
  <c r="AA362" i="19"/>
  <c r="W216" i="20"/>
  <c r="Z49" i="20"/>
  <c r="Z50" i="20" s="1"/>
  <c r="AJ90" i="20"/>
  <c r="AC90" i="20"/>
  <c r="AN90" i="20"/>
  <c r="AM90" i="20"/>
  <c r="Y90" i="20"/>
  <c r="Z90" i="20"/>
  <c r="X90" i="20"/>
  <c r="AH90" i="20"/>
  <c r="AB90" i="20"/>
  <c r="AA90" i="20"/>
  <c r="AG90" i="20"/>
  <c r="AD90" i="20"/>
  <c r="AF90" i="20"/>
  <c r="AE90" i="20"/>
  <c r="AL90" i="20"/>
  <c r="AK90" i="20"/>
  <c r="AI90" i="20"/>
  <c r="W61" i="20"/>
  <c r="Y438" i="20"/>
  <c r="Y356" i="20"/>
  <c r="AB45" i="20"/>
  <c r="AB350" i="20"/>
  <c r="AB352" i="20" s="1"/>
  <c r="Y397" i="20"/>
  <c r="Y369" i="20"/>
  <c r="X367" i="20"/>
  <c r="Y59" i="20"/>
  <c r="Y60" i="20"/>
  <c r="Y175" i="20" s="1"/>
  <c r="Y58" i="20"/>
  <c r="Y52" i="20"/>
  <c r="AA354" i="20"/>
  <c r="AA355" i="20" s="1"/>
  <c r="Z369" i="20"/>
  <c r="Z398" i="20"/>
  <c r="Y368" i="20"/>
  <c r="AJ131" i="20"/>
  <c r="X131" i="20"/>
  <c r="AC131" i="20"/>
  <c r="Y131" i="20"/>
  <c r="AN131" i="20"/>
  <c r="AL131" i="20"/>
  <c r="Z131" i="20"/>
  <c r="AD131" i="20"/>
  <c r="AK131" i="20"/>
  <c r="AG131" i="20"/>
  <c r="AF131" i="20"/>
  <c r="AB131" i="20"/>
  <c r="AM131" i="20"/>
  <c r="AA131" i="20"/>
  <c r="AI131" i="20"/>
  <c r="AH131" i="20"/>
  <c r="AE131" i="20"/>
  <c r="W62" i="20"/>
  <c r="X366" i="20"/>
  <c r="X51" i="20"/>
  <c r="X132" i="20"/>
  <c r="X91" i="20"/>
  <c r="X64" i="20"/>
  <c r="Z439" i="20"/>
  <c r="Z356" i="20"/>
  <c r="AJ174" i="20"/>
  <c r="AM174" i="20"/>
  <c r="AA174" i="20"/>
  <c r="AG174" i="20"/>
  <c r="AD174" i="20"/>
  <c r="X63" i="20"/>
  <c r="W217" i="20"/>
  <c r="AA47" i="20"/>
  <c r="AA49" i="20" s="1"/>
  <c r="AA50" i="20" s="1"/>
  <c r="AA52" i="20" s="1"/>
  <c r="Z368" i="20"/>
  <c r="X215" i="42"/>
  <c r="X213" i="42"/>
  <c r="X9" i="42" s="1"/>
  <c r="X21" i="42" s="1"/>
  <c r="X214" i="42"/>
  <c r="X207" i="42"/>
  <c r="Y204" i="42"/>
  <c r="Y205" i="42" s="1"/>
  <c r="W326" i="42"/>
  <c r="W245" i="42"/>
  <c r="W219" i="42"/>
  <c r="V217" i="42"/>
  <c r="AA200" i="42"/>
  <c r="Z202" i="42"/>
  <c r="W206" i="42"/>
  <c r="W286" i="42"/>
  <c r="X214" i="41"/>
  <c r="X215" i="41"/>
  <c r="X213" i="41"/>
  <c r="X207" i="41"/>
  <c r="V218" i="41"/>
  <c r="W326" i="41"/>
  <c r="AA200" i="41"/>
  <c r="W245" i="41"/>
  <c r="W219" i="41"/>
  <c r="W206" i="41"/>
  <c r="W286" i="41"/>
  <c r="Y204" i="41"/>
  <c r="Y205" i="41" s="1"/>
  <c r="Z215" i="23"/>
  <c r="Z213" i="23"/>
  <c r="Z9" i="23" s="1"/>
  <c r="Z21" i="23" s="1"/>
  <c r="Z214" i="23"/>
  <c r="Z207" i="23"/>
  <c r="Y288" i="23"/>
  <c r="Y206" i="23"/>
  <c r="AA204" i="23"/>
  <c r="AA205" i="23" s="1"/>
  <c r="Y219" i="23"/>
  <c r="Y247" i="23"/>
  <c r="Y328" i="23"/>
  <c r="AC200" i="23"/>
  <c r="X218" i="23"/>
  <c r="AB202" i="23"/>
  <c r="W220" i="23"/>
  <c r="W221" i="23" s="1"/>
  <c r="Y247" i="22"/>
  <c r="Y219" i="22"/>
  <c r="Z214" i="22"/>
  <c r="Z213" i="22"/>
  <c r="Z215" i="22"/>
  <c r="Z207" i="22"/>
  <c r="Y206" i="22"/>
  <c r="Y288" i="22"/>
  <c r="X218" i="22"/>
  <c r="Y328" i="22"/>
  <c r="X214" i="19"/>
  <c r="X215" i="19"/>
  <c r="X213" i="19"/>
  <c r="X9" i="19" s="1"/>
  <c r="X207" i="19"/>
  <c r="AA200" i="19"/>
  <c r="Y204" i="19"/>
  <c r="Y205" i="19" s="1"/>
  <c r="W326" i="19"/>
  <c r="W206" i="19"/>
  <c r="W286" i="19"/>
  <c r="V216" i="19"/>
  <c r="V12" i="19" s="1"/>
  <c r="Z202" i="19"/>
  <c r="W219" i="19"/>
  <c r="W245" i="19"/>
  <c r="Y213" i="20"/>
  <c r="Y214" i="20"/>
  <c r="Y215" i="20"/>
  <c r="Y207" i="20"/>
  <c r="Z204" i="20"/>
  <c r="Z205" i="20" s="1"/>
  <c r="V220" i="20"/>
  <c r="V221" i="20" s="1"/>
  <c r="AB200" i="20"/>
  <c r="X246" i="20"/>
  <c r="X219" i="20"/>
  <c r="X287" i="20"/>
  <c r="X206" i="20"/>
  <c r="AA202" i="20"/>
  <c r="X327" i="20"/>
  <c r="N10" i="73"/>
  <c r="L22" i="73"/>
  <c r="K14" i="73"/>
  <c r="K2" i="73"/>
  <c r="X38" i="63" l="1"/>
  <c r="AK440" i="23"/>
  <c r="AF440" i="23"/>
  <c r="AN440" i="23"/>
  <c r="AC440" i="23"/>
  <c r="AB440" i="23"/>
  <c r="AB367" i="23" s="1"/>
  <c r="AD440" i="23"/>
  <c r="AG440" i="23"/>
  <c r="AI440" i="23"/>
  <c r="AL440" i="23"/>
  <c r="AH440" i="23"/>
  <c r="AM440" i="23"/>
  <c r="AA367" i="23"/>
  <c r="AA370" i="23" s="1"/>
  <c r="AA371" i="23" s="1"/>
  <c r="AJ440" i="23"/>
  <c r="Q71" i="62"/>
  <c r="Q77" i="62" s="1"/>
  <c r="AF210" i="42"/>
  <c r="AH209" i="42"/>
  <c r="X10" i="42"/>
  <c r="X23" i="42" s="1"/>
  <c r="T38" i="52"/>
  <c r="T16" i="52"/>
  <c r="W10" i="41"/>
  <c r="Y9" i="22"/>
  <c r="Y21" i="22" s="1"/>
  <c r="AK481" i="23"/>
  <c r="AB369" i="23"/>
  <c r="AI482" i="23"/>
  <c r="AJ483" i="23"/>
  <c r="AE481" i="23"/>
  <c r="AH481" i="23"/>
  <c r="AK484" i="23"/>
  <c r="AL485" i="23"/>
  <c r="AN481" i="23"/>
  <c r="AB356" i="23"/>
  <c r="AM486" i="23"/>
  <c r="AB368" i="23"/>
  <c r="U23" i="57"/>
  <c r="U45" i="57" s="1"/>
  <c r="Y10" i="22"/>
  <c r="AF59" i="57"/>
  <c r="X10" i="22"/>
  <c r="T45" i="57"/>
  <c r="T73" i="57" s="1"/>
  <c r="T79" i="57" s="1"/>
  <c r="V11" i="22"/>
  <c r="V25" i="20"/>
  <c r="Y9" i="20"/>
  <c r="Y21" i="20" s="1"/>
  <c r="Y10" i="20"/>
  <c r="Y23" i="20" s="1"/>
  <c r="Z370" i="23"/>
  <c r="Z371" i="23" s="1"/>
  <c r="U45" i="63"/>
  <c r="U51" i="63" s="1"/>
  <c r="V23" i="57"/>
  <c r="V29" i="57" s="1"/>
  <c r="X10" i="19"/>
  <c r="X23" i="19" s="1"/>
  <c r="X21" i="19"/>
  <c r="W12" i="20"/>
  <c r="W16" i="20" s="1"/>
  <c r="S28" i="62"/>
  <c r="V11" i="19"/>
  <c r="V18" i="19" s="1"/>
  <c r="W25" i="23"/>
  <c r="Y7" i="63" s="1"/>
  <c r="AD350" i="23"/>
  <c r="AD352" i="23" s="1"/>
  <c r="AD354" i="23" s="1"/>
  <c r="AD355" i="23" s="1"/>
  <c r="AD363" i="23" s="1"/>
  <c r="AD45" i="23"/>
  <c r="AC363" i="23"/>
  <c r="AC364" i="23"/>
  <c r="AC365" i="23"/>
  <c r="AC59" i="23"/>
  <c r="AC137" i="23" s="1"/>
  <c r="Z10" i="23"/>
  <c r="Z23" i="23" s="1"/>
  <c r="AC58" i="23"/>
  <c r="AC96" i="23" s="1"/>
  <c r="AC60" i="23"/>
  <c r="AC179" i="23" s="1"/>
  <c r="U25" i="42"/>
  <c r="V11" i="42"/>
  <c r="W23" i="63"/>
  <c r="W29" i="63" s="1"/>
  <c r="T46" i="65"/>
  <c r="T74" i="65" s="1"/>
  <c r="T80" i="65" s="1"/>
  <c r="W7" i="61"/>
  <c r="X16" i="63"/>
  <c r="V12" i="22"/>
  <c r="V16" i="22" s="1"/>
  <c r="W11" i="20"/>
  <c r="X11" i="23"/>
  <c r="X18" i="23" s="1"/>
  <c r="V73" i="63"/>
  <c r="V79" i="63" s="1"/>
  <c r="V51" i="63"/>
  <c r="Q52" i="65"/>
  <c r="Q74" i="65"/>
  <c r="U37" i="32"/>
  <c r="Q23" i="65"/>
  <c r="Q28" i="65"/>
  <c r="O34" i="65"/>
  <c r="S52" i="65"/>
  <c r="S74" i="65"/>
  <c r="S80" i="65" s="1"/>
  <c r="Q73" i="57"/>
  <c r="Q79" i="57" s="1"/>
  <c r="Q51" i="57"/>
  <c r="T73" i="61"/>
  <c r="T79" i="61" s="1"/>
  <c r="T51" i="61"/>
  <c r="U29" i="61"/>
  <c r="U45" i="61"/>
  <c r="V16" i="61"/>
  <c r="V38" i="61"/>
  <c r="V6" i="62"/>
  <c r="U7" i="52"/>
  <c r="U15" i="62"/>
  <c r="U37" i="62"/>
  <c r="T60" i="52"/>
  <c r="T22" i="62"/>
  <c r="T28" i="62" s="1"/>
  <c r="S71" i="62"/>
  <c r="S77" i="62" s="1"/>
  <c r="S50" i="62"/>
  <c r="V7" i="60"/>
  <c r="V1" i="60" s="1"/>
  <c r="T29" i="60"/>
  <c r="T45" i="60"/>
  <c r="AD59" i="32"/>
  <c r="AF59" i="51"/>
  <c r="U16" i="60"/>
  <c r="U23" i="60" s="1"/>
  <c r="U38" i="60"/>
  <c r="AH59" i="51"/>
  <c r="S51" i="60"/>
  <c r="S73" i="60"/>
  <c r="S79" i="60" s="1"/>
  <c r="Q51" i="60"/>
  <c r="Q73" i="60"/>
  <c r="Q79" i="60" s="1"/>
  <c r="AH441" i="23"/>
  <c r="AF441" i="23"/>
  <c r="AE441" i="23"/>
  <c r="AN441" i="23"/>
  <c r="AL441" i="23"/>
  <c r="AK441" i="23"/>
  <c r="AJ441" i="23"/>
  <c r="AI441" i="23"/>
  <c r="AG441" i="23"/>
  <c r="AM441" i="23"/>
  <c r="AD441" i="23"/>
  <c r="AC441" i="23"/>
  <c r="AH400" i="23"/>
  <c r="AG400" i="23"/>
  <c r="AF400" i="23"/>
  <c r="AD400" i="23"/>
  <c r="AC400" i="23"/>
  <c r="AE400" i="23"/>
  <c r="AL400" i="23"/>
  <c r="AK400" i="23"/>
  <c r="AJ400" i="23"/>
  <c r="AI400" i="23"/>
  <c r="AN400" i="23"/>
  <c r="AM400" i="23"/>
  <c r="Y218" i="23"/>
  <c r="AN328" i="23"/>
  <c r="AE328" i="23"/>
  <c r="AB328" i="23"/>
  <c r="AK328" i="23"/>
  <c r="AH328" i="23"/>
  <c r="AK288" i="23"/>
  <c r="AJ288" i="23"/>
  <c r="AI288" i="23"/>
  <c r="AH288" i="23"/>
  <c r="AG288" i="23"/>
  <c r="AF288" i="23"/>
  <c r="AE288" i="23"/>
  <c r="AD288" i="23"/>
  <c r="AL288" i="23"/>
  <c r="AC288" i="23"/>
  <c r="AA288" i="23"/>
  <c r="AB288" i="23"/>
  <c r="Z288" i="23"/>
  <c r="AM288" i="23"/>
  <c r="AN288" i="23"/>
  <c r="W13" i="23"/>
  <c r="AK247" i="23"/>
  <c r="AJ247" i="23"/>
  <c r="AI247" i="23"/>
  <c r="AH247" i="23"/>
  <c r="AD247" i="23"/>
  <c r="AB247" i="23"/>
  <c r="AA247" i="23"/>
  <c r="AC247" i="23"/>
  <c r="Z247" i="23"/>
  <c r="AN247" i="23"/>
  <c r="AM247" i="23"/>
  <c r="AL247" i="23"/>
  <c r="AG247" i="23"/>
  <c r="AF247" i="23"/>
  <c r="AE247" i="23"/>
  <c r="X16" i="23"/>
  <c r="AG177" i="23"/>
  <c r="AD177" i="23"/>
  <c r="AM177" i="23"/>
  <c r="AJ177" i="23"/>
  <c r="AH135" i="23"/>
  <c r="AF135" i="23"/>
  <c r="AE135" i="23"/>
  <c r="AD135" i="23"/>
  <c r="AN135" i="23"/>
  <c r="AM135" i="23"/>
  <c r="AL135" i="23"/>
  <c r="AI135" i="23"/>
  <c r="AB135" i="23"/>
  <c r="AK135" i="23"/>
  <c r="AJ135" i="23"/>
  <c r="AG135" i="23"/>
  <c r="AC135" i="23"/>
  <c r="AH94" i="23"/>
  <c r="AG94" i="23"/>
  <c r="AD94" i="23"/>
  <c r="AK94" i="23"/>
  <c r="AJ94" i="23"/>
  <c r="AI94" i="23"/>
  <c r="AF94" i="23"/>
  <c r="AE94" i="23"/>
  <c r="AB94" i="23"/>
  <c r="AN94" i="23"/>
  <c r="AM94" i="23"/>
  <c r="AL94" i="23"/>
  <c r="AC94" i="23"/>
  <c r="AN478" i="22"/>
  <c r="AK478" i="22"/>
  <c r="AH478" i="22"/>
  <c r="AE478" i="22"/>
  <c r="AB478" i="22"/>
  <c r="Y218" i="22"/>
  <c r="AN328" i="22"/>
  <c r="AK328" i="22"/>
  <c r="AH328" i="22"/>
  <c r="AE328" i="22"/>
  <c r="AB328" i="22"/>
  <c r="AK288" i="22"/>
  <c r="AI288" i="22"/>
  <c r="AJ288" i="22"/>
  <c r="AF288" i="22"/>
  <c r="AD288" i="22"/>
  <c r="AC288" i="22"/>
  <c r="AB288" i="22"/>
  <c r="AA288" i="22"/>
  <c r="AE288" i="22"/>
  <c r="AM288" i="22"/>
  <c r="AL288" i="22"/>
  <c r="AH288" i="22"/>
  <c r="AG288" i="22"/>
  <c r="Z288" i="22"/>
  <c r="AN288" i="22"/>
  <c r="AJ247" i="22"/>
  <c r="AH247" i="22"/>
  <c r="AG247" i="22"/>
  <c r="AE247" i="22"/>
  <c r="AD247" i="22"/>
  <c r="AC247" i="22"/>
  <c r="AB247" i="22"/>
  <c r="AA247" i="22"/>
  <c r="Z247" i="22"/>
  <c r="AN247" i="22"/>
  <c r="AK247" i="22"/>
  <c r="AM247" i="22"/>
  <c r="AL247" i="22"/>
  <c r="AI247" i="22"/>
  <c r="AF247" i="22"/>
  <c r="AA205" i="22"/>
  <c r="AA214" i="22" s="1"/>
  <c r="AL173" i="22"/>
  <c r="AI173" i="22"/>
  <c r="AF173" i="22"/>
  <c r="Z173" i="22"/>
  <c r="AC173" i="22"/>
  <c r="AF131" i="22"/>
  <c r="AD131" i="22"/>
  <c r="AE131" i="22"/>
  <c r="AC131" i="22"/>
  <c r="AB131" i="22"/>
  <c r="AA131" i="22"/>
  <c r="AL131" i="22"/>
  <c r="AK131" i="22"/>
  <c r="AJ131" i="22"/>
  <c r="AI131" i="22"/>
  <c r="AH131" i="22"/>
  <c r="AG131" i="22"/>
  <c r="Z131" i="22"/>
  <c r="X131" i="22"/>
  <c r="AN131" i="22"/>
  <c r="AM131" i="22"/>
  <c r="Y131" i="22"/>
  <c r="AF90" i="22"/>
  <c r="AE90" i="22"/>
  <c r="AD90" i="22"/>
  <c r="AC90" i="22"/>
  <c r="AI90" i="22"/>
  <c r="AH90" i="22"/>
  <c r="AB90" i="22"/>
  <c r="AA90" i="22"/>
  <c r="Z90" i="22"/>
  <c r="Y90" i="22"/>
  <c r="X90" i="22"/>
  <c r="AK90" i="22"/>
  <c r="AJ90" i="22"/>
  <c r="AG90" i="22"/>
  <c r="AN90" i="22"/>
  <c r="AM90" i="22"/>
  <c r="AL90" i="22"/>
  <c r="AG479" i="19"/>
  <c r="AM479" i="19"/>
  <c r="AD479" i="19"/>
  <c r="AJ479" i="19"/>
  <c r="AL478" i="19"/>
  <c r="AI478" i="19"/>
  <c r="AF478" i="19"/>
  <c r="AC478" i="19"/>
  <c r="W218" i="19"/>
  <c r="AI326" i="19"/>
  <c r="AF326" i="19"/>
  <c r="AC326" i="19"/>
  <c r="Z326" i="19"/>
  <c r="AL326" i="19"/>
  <c r="AF286" i="19"/>
  <c r="AD286" i="19"/>
  <c r="AC286" i="19"/>
  <c r="AE286" i="19"/>
  <c r="AB286" i="19"/>
  <c r="AA286" i="19"/>
  <c r="Z286" i="19"/>
  <c r="AN286" i="19"/>
  <c r="Y286" i="19"/>
  <c r="AM286" i="19"/>
  <c r="X286" i="19"/>
  <c r="AL286" i="19"/>
  <c r="AJ286" i="19"/>
  <c r="AI286" i="19"/>
  <c r="AK286" i="19"/>
  <c r="AG286" i="19"/>
  <c r="AH286" i="19"/>
  <c r="AD245" i="19"/>
  <c r="AC245" i="19"/>
  <c r="AF245" i="19"/>
  <c r="AE245" i="19"/>
  <c r="AJ245" i="19"/>
  <c r="AH245" i="19"/>
  <c r="AG245" i="19"/>
  <c r="AB245" i="19"/>
  <c r="AI245" i="19"/>
  <c r="Z245" i="19"/>
  <c r="AN245" i="19"/>
  <c r="AM245" i="19"/>
  <c r="AL245" i="19"/>
  <c r="AK245" i="19"/>
  <c r="AA245" i="19"/>
  <c r="Y245" i="19"/>
  <c r="X245" i="19"/>
  <c r="AN175" i="19"/>
  <c r="AH175" i="19"/>
  <c r="AK175" i="19"/>
  <c r="AE175" i="19"/>
  <c r="AB175" i="19"/>
  <c r="AJ438" i="20"/>
  <c r="AI438" i="20"/>
  <c r="AG438" i="20"/>
  <c r="AF438" i="20"/>
  <c r="AE438" i="20"/>
  <c r="AN438" i="20"/>
  <c r="AM438" i="20"/>
  <c r="AL438" i="20"/>
  <c r="AC438" i="20"/>
  <c r="AB438" i="20"/>
  <c r="AA438" i="20"/>
  <c r="Z438" i="20"/>
  <c r="Z367" i="20" s="1"/>
  <c r="AK438" i="20"/>
  <c r="AH438" i="20"/>
  <c r="AD438" i="20"/>
  <c r="AH439" i="20"/>
  <c r="AG439" i="20"/>
  <c r="AE439" i="20"/>
  <c r="AC439" i="20"/>
  <c r="AD439" i="20"/>
  <c r="AN439" i="20"/>
  <c r="AM439" i="20"/>
  <c r="AL439" i="20"/>
  <c r="AK439" i="20"/>
  <c r="AJ439" i="20"/>
  <c r="AI439" i="20"/>
  <c r="AF439" i="20"/>
  <c r="AB439" i="20"/>
  <c r="AA439" i="20"/>
  <c r="AK397" i="20"/>
  <c r="AJ397" i="20"/>
  <c r="AI397" i="20"/>
  <c r="AC397" i="20"/>
  <c r="AB397" i="20"/>
  <c r="AA397" i="20"/>
  <c r="Z397" i="20"/>
  <c r="Z366" i="20" s="1"/>
  <c r="AH397" i="20"/>
  <c r="AF397" i="20"/>
  <c r="AE397" i="20"/>
  <c r="AD397" i="20"/>
  <c r="AG397" i="20"/>
  <c r="AN397" i="20"/>
  <c r="AM397" i="20"/>
  <c r="AL397" i="20"/>
  <c r="AI398" i="20"/>
  <c r="AH398" i="20"/>
  <c r="AG398" i="20"/>
  <c r="AD398" i="20"/>
  <c r="AC398" i="20"/>
  <c r="AB398" i="20"/>
  <c r="AA398" i="20"/>
  <c r="AN398" i="20"/>
  <c r="AM398" i="20"/>
  <c r="AL398" i="20"/>
  <c r="AK398" i="20"/>
  <c r="AJ398" i="20"/>
  <c r="AF398" i="20"/>
  <c r="AE398" i="20"/>
  <c r="X218" i="20"/>
  <c r="AJ327" i="20"/>
  <c r="AG327" i="20"/>
  <c r="AD327" i="20"/>
  <c r="AA327" i="20"/>
  <c r="AM327" i="20"/>
  <c r="AN287" i="20"/>
  <c r="AB287" i="20"/>
  <c r="AM287" i="20"/>
  <c r="AA287" i="20"/>
  <c r="AD287" i="20"/>
  <c r="AC287" i="20"/>
  <c r="Z287" i="20"/>
  <c r="AL287" i="20"/>
  <c r="AK287" i="20"/>
  <c r="AJ287" i="20"/>
  <c r="AI287" i="20"/>
  <c r="AH287" i="20"/>
  <c r="AG287" i="20"/>
  <c r="AF287" i="20"/>
  <c r="AE287" i="20"/>
  <c r="Y287" i="20"/>
  <c r="AN246" i="20"/>
  <c r="AB246" i="20"/>
  <c r="AM246" i="20"/>
  <c r="AA246" i="20"/>
  <c r="AJ246" i="20"/>
  <c r="AE246" i="20"/>
  <c r="AD246" i="20"/>
  <c r="AC246" i="20"/>
  <c r="Z246" i="20"/>
  <c r="Y246" i="20"/>
  <c r="AL246" i="20"/>
  <c r="AF246" i="20"/>
  <c r="AK246" i="20"/>
  <c r="AI246" i="20"/>
  <c r="AH246" i="20"/>
  <c r="AG246" i="20"/>
  <c r="V13" i="20"/>
  <c r="AF479" i="42"/>
  <c r="AL479" i="42"/>
  <c r="AC479" i="42"/>
  <c r="AI479" i="42"/>
  <c r="AK438" i="42"/>
  <c r="AJ438" i="42"/>
  <c r="AI438" i="42"/>
  <c r="AH438" i="42"/>
  <c r="AL438" i="42"/>
  <c r="AG438" i="42"/>
  <c r="AF438" i="42"/>
  <c r="AE438" i="42"/>
  <c r="AD438" i="42"/>
  <c r="AC438" i="42"/>
  <c r="AB438" i="42"/>
  <c r="AA438" i="42"/>
  <c r="Z438" i="42"/>
  <c r="AM438" i="42"/>
  <c r="AN438" i="42"/>
  <c r="U13" i="42"/>
  <c r="AK397" i="42"/>
  <c r="AJ397" i="42"/>
  <c r="AI397" i="42"/>
  <c r="AH397" i="42"/>
  <c r="AG397" i="42"/>
  <c r="AF397" i="42"/>
  <c r="AE397" i="42"/>
  <c r="AD397" i="42"/>
  <c r="AC397" i="42"/>
  <c r="AB397" i="42"/>
  <c r="AA397" i="42"/>
  <c r="AL397" i="42"/>
  <c r="Z397" i="42"/>
  <c r="AN397" i="42"/>
  <c r="AM397" i="42"/>
  <c r="AL326" i="42"/>
  <c r="AI326" i="42"/>
  <c r="AF326" i="42"/>
  <c r="AC326" i="42"/>
  <c r="Z326" i="42"/>
  <c r="AF286" i="42"/>
  <c r="AD286" i="42"/>
  <c r="AC286" i="42"/>
  <c r="AE286" i="42"/>
  <c r="AA286" i="42"/>
  <c r="Z286" i="42"/>
  <c r="AN286" i="42"/>
  <c r="Y286" i="42"/>
  <c r="AM286" i="42"/>
  <c r="X286" i="42"/>
  <c r="AL286" i="42"/>
  <c r="AG286" i="42"/>
  <c r="AB286" i="42"/>
  <c r="AK286" i="42"/>
  <c r="AJ286" i="42"/>
  <c r="AI286" i="42"/>
  <c r="AH286" i="42"/>
  <c r="AF245" i="42"/>
  <c r="AE245" i="42"/>
  <c r="AD245" i="42"/>
  <c r="AC245" i="42"/>
  <c r="AB245" i="42"/>
  <c r="AA245" i="42"/>
  <c r="AG245" i="42"/>
  <c r="Y245" i="42"/>
  <c r="X245" i="42"/>
  <c r="AM245" i="42"/>
  <c r="Z245" i="42"/>
  <c r="AN245" i="42"/>
  <c r="AL245" i="42"/>
  <c r="AI245" i="42"/>
  <c r="AH245" i="42"/>
  <c r="AK245" i="42"/>
  <c r="AJ245" i="42"/>
  <c r="W65" i="42"/>
  <c r="W66" i="42" s="1"/>
  <c r="Y63" i="42"/>
  <c r="AN175" i="42"/>
  <c r="AK175" i="42"/>
  <c r="AH175" i="42"/>
  <c r="AE175" i="42"/>
  <c r="AB175" i="42"/>
  <c r="AK133" i="42"/>
  <c r="AG133" i="42"/>
  <c r="AJ133" i="42"/>
  <c r="AI133" i="42"/>
  <c r="AH133" i="42"/>
  <c r="AF133" i="42"/>
  <c r="AE133" i="42"/>
  <c r="AC133" i="42"/>
  <c r="Z133" i="42"/>
  <c r="AB133" i="42"/>
  <c r="AA133" i="42"/>
  <c r="AD133" i="42"/>
  <c r="AL133" i="42"/>
  <c r="AM133" i="42"/>
  <c r="AN133" i="42"/>
  <c r="AK92" i="42"/>
  <c r="AJ92" i="42"/>
  <c r="AI92" i="42"/>
  <c r="AE92" i="42"/>
  <c r="AD92" i="42"/>
  <c r="AC92" i="42"/>
  <c r="AB92" i="42"/>
  <c r="AA92" i="42"/>
  <c r="AH92" i="42"/>
  <c r="AG92" i="42"/>
  <c r="AF92" i="42"/>
  <c r="Z92" i="42"/>
  <c r="AL92" i="42"/>
  <c r="AN92" i="42"/>
  <c r="AM92" i="42"/>
  <c r="AJ477" i="41"/>
  <c r="AG477" i="41"/>
  <c r="AD477" i="41"/>
  <c r="AA477" i="41"/>
  <c r="AM477" i="41"/>
  <c r="Y368" i="41"/>
  <c r="AN478" i="41"/>
  <c r="AK478" i="41"/>
  <c r="AH478" i="41"/>
  <c r="AE478" i="41"/>
  <c r="AB478" i="41"/>
  <c r="AF436" i="41"/>
  <c r="AD436" i="41"/>
  <c r="AC436" i="41"/>
  <c r="AB436" i="41"/>
  <c r="AA436" i="41"/>
  <c r="AN436" i="41"/>
  <c r="Y436" i="41"/>
  <c r="AM436" i="41"/>
  <c r="X436" i="41"/>
  <c r="AL436" i="41"/>
  <c r="AK436" i="41"/>
  <c r="AJ436" i="41"/>
  <c r="AI436" i="41"/>
  <c r="AH436" i="41"/>
  <c r="AG436" i="41"/>
  <c r="Z436" i="41"/>
  <c r="AE436" i="41"/>
  <c r="AF395" i="41"/>
  <c r="AD395" i="41"/>
  <c r="AC395" i="41"/>
  <c r="AE395" i="41"/>
  <c r="AB395" i="41"/>
  <c r="AI395" i="41"/>
  <c r="AH395" i="41"/>
  <c r="AG395" i="41"/>
  <c r="AA395" i="41"/>
  <c r="Z395" i="41"/>
  <c r="Y395" i="41"/>
  <c r="X395" i="41"/>
  <c r="AM395" i="41"/>
  <c r="AL395" i="41"/>
  <c r="AK395" i="41"/>
  <c r="AJ395" i="41"/>
  <c r="AN395" i="41"/>
  <c r="W218" i="41"/>
  <c r="Z326" i="41"/>
  <c r="AL326" i="41"/>
  <c r="AI326" i="41"/>
  <c r="AF326" i="41"/>
  <c r="AC326" i="41"/>
  <c r="AF286" i="41"/>
  <c r="AE286" i="41"/>
  <c r="AN286" i="41"/>
  <c r="AB286" i="41"/>
  <c r="AD286" i="41"/>
  <c r="AC286" i="41"/>
  <c r="AA286" i="41"/>
  <c r="Z286" i="41"/>
  <c r="Y286" i="41"/>
  <c r="X286" i="41"/>
  <c r="AK286" i="41"/>
  <c r="AJ286" i="41"/>
  <c r="AL286" i="41"/>
  <c r="AM286" i="41"/>
  <c r="AG286" i="41"/>
  <c r="AI286" i="41"/>
  <c r="AH286" i="41"/>
  <c r="AF245" i="41"/>
  <c r="AE245" i="41"/>
  <c r="AD245" i="41"/>
  <c r="AN245" i="41"/>
  <c r="AB245" i="41"/>
  <c r="AC245" i="41"/>
  <c r="AA245" i="41"/>
  <c r="X245" i="41"/>
  <c r="AM245" i="41"/>
  <c r="AL245" i="41"/>
  <c r="AK245" i="41"/>
  <c r="AJ245" i="41"/>
  <c r="Y245" i="41"/>
  <c r="AG245" i="41"/>
  <c r="AH245" i="41"/>
  <c r="AI245" i="41"/>
  <c r="Z245" i="41"/>
  <c r="AE172" i="41"/>
  <c r="AB172" i="41"/>
  <c r="Y172" i="41"/>
  <c r="AN172" i="41"/>
  <c r="AK172" i="41"/>
  <c r="AH172" i="41"/>
  <c r="AK130" i="41"/>
  <c r="Y130" i="41"/>
  <c r="AI130" i="41"/>
  <c r="W130" i="41"/>
  <c r="AH130" i="41"/>
  <c r="AE130" i="41"/>
  <c r="AD130" i="41"/>
  <c r="AC130" i="41"/>
  <c r="Z130" i="41"/>
  <c r="AN130" i="41"/>
  <c r="AM130" i="41"/>
  <c r="AL130" i="41"/>
  <c r="AJ130" i="41"/>
  <c r="X130" i="41"/>
  <c r="AA130" i="41"/>
  <c r="AF130" i="41"/>
  <c r="AG130" i="41"/>
  <c r="AB130" i="41"/>
  <c r="AK89" i="41"/>
  <c r="Y89" i="41"/>
  <c r="AJ89" i="41"/>
  <c r="X89" i="41"/>
  <c r="AI89" i="41"/>
  <c r="W89" i="41"/>
  <c r="AH89" i="41"/>
  <c r="AC89" i="41"/>
  <c r="AA89" i="41"/>
  <c r="AB89" i="41"/>
  <c r="AF89" i="41"/>
  <c r="AD89" i="41"/>
  <c r="Z89" i="41"/>
  <c r="AE89" i="41"/>
  <c r="AL89" i="41"/>
  <c r="AG89" i="41"/>
  <c r="AN89" i="41"/>
  <c r="AM89" i="41"/>
  <c r="Y40" i="16"/>
  <c r="Y42" i="16" s="1"/>
  <c r="X42" i="16"/>
  <c r="Y216" i="22"/>
  <c r="U16" i="19"/>
  <c r="U25" i="19" s="1"/>
  <c r="U13" i="19"/>
  <c r="V16" i="19"/>
  <c r="X65" i="19"/>
  <c r="X66" i="19" s="1"/>
  <c r="W65" i="19"/>
  <c r="W66" i="19" s="1"/>
  <c r="AK45" i="16"/>
  <c r="AA364" i="42"/>
  <c r="AA363" i="42"/>
  <c r="AA365" i="42"/>
  <c r="AA480" i="42" s="1"/>
  <c r="X370" i="42"/>
  <c r="X371" i="42" s="1"/>
  <c r="Z439" i="42"/>
  <c r="Z356" i="42"/>
  <c r="Y367" i="42"/>
  <c r="Z176" i="42"/>
  <c r="X65" i="42"/>
  <c r="X66" i="42" s="1"/>
  <c r="Z398" i="42"/>
  <c r="Z369" i="42"/>
  <c r="Z368" i="42"/>
  <c r="Y62" i="42"/>
  <c r="Y366" i="42"/>
  <c r="W216" i="42"/>
  <c r="AA60" i="42"/>
  <c r="AA58" i="42"/>
  <c r="AA59" i="42"/>
  <c r="AC350" i="42"/>
  <c r="AC352" i="42" s="1"/>
  <c r="AC45" i="42"/>
  <c r="Z134" i="42"/>
  <c r="Z51" i="42"/>
  <c r="AB47" i="42"/>
  <c r="AB49" i="42" s="1"/>
  <c r="AB50" i="42" s="1"/>
  <c r="AB52" i="42" s="1"/>
  <c r="Z93" i="42"/>
  <c r="Z64" i="42"/>
  <c r="Y61" i="42"/>
  <c r="AB364" i="42"/>
  <c r="AB363" i="42"/>
  <c r="AB365" i="42"/>
  <c r="AB481" i="42" s="1"/>
  <c r="X396" i="41"/>
  <c r="X369" i="41"/>
  <c r="Y438" i="41"/>
  <c r="Y356" i="41"/>
  <c r="Y49" i="41"/>
  <c r="Y50" i="41" s="1"/>
  <c r="W173" i="41"/>
  <c r="Z354" i="41"/>
  <c r="Z355" i="41" s="1"/>
  <c r="V63" i="41"/>
  <c r="V23" i="41"/>
  <c r="X60" i="41"/>
  <c r="X59" i="41"/>
  <c r="X58" i="41"/>
  <c r="X9" i="41" s="1"/>
  <c r="X21" i="41" s="1"/>
  <c r="X52" i="41"/>
  <c r="W64" i="41"/>
  <c r="W90" i="41"/>
  <c r="X437" i="41"/>
  <c r="X356" i="41"/>
  <c r="AB200" i="41"/>
  <c r="AA45" i="41"/>
  <c r="AA350" i="41"/>
  <c r="AA352" i="41" s="1"/>
  <c r="Y397" i="41"/>
  <c r="Y369" i="41"/>
  <c r="W51" i="41"/>
  <c r="W131" i="41"/>
  <c r="X368" i="41"/>
  <c r="Z47" i="41"/>
  <c r="AD20" i="41"/>
  <c r="AB15" i="41"/>
  <c r="Y217" i="23"/>
  <c r="AA63" i="23"/>
  <c r="Y216" i="23"/>
  <c r="Y12" i="23" s="1"/>
  <c r="AA61" i="23"/>
  <c r="Z65" i="23"/>
  <c r="Z66" i="23" s="1"/>
  <c r="AA62" i="23"/>
  <c r="AB136" i="23"/>
  <c r="AB51" i="23"/>
  <c r="AB366" i="23"/>
  <c r="AB178" i="23"/>
  <c r="X220" i="23"/>
  <c r="X221" i="23" s="1"/>
  <c r="AB95" i="23"/>
  <c r="AB64" i="23"/>
  <c r="X370" i="22"/>
  <c r="X371" i="22" s="1"/>
  <c r="Z365" i="22"/>
  <c r="Z479" i="22" s="1"/>
  <c r="Z364" i="22"/>
  <c r="Z363" i="22"/>
  <c r="Y368" i="22"/>
  <c r="W61" i="22"/>
  <c r="Y51" i="22"/>
  <c r="Y133" i="22"/>
  <c r="Y92" i="22"/>
  <c r="Y64" i="22"/>
  <c r="V65" i="22"/>
  <c r="V66" i="22" s="1"/>
  <c r="Y438" i="22"/>
  <c r="Y356" i="22"/>
  <c r="Y397" i="22"/>
  <c r="Y369" i="22"/>
  <c r="Z52" i="22"/>
  <c r="Z58" i="22"/>
  <c r="Z59" i="22"/>
  <c r="Z60" i="22"/>
  <c r="X174" i="22"/>
  <c r="W23" i="22"/>
  <c r="W62" i="22"/>
  <c r="X132" i="22"/>
  <c r="X51" i="22"/>
  <c r="U18" i="22"/>
  <c r="U13" i="22"/>
  <c r="X91" i="22"/>
  <c r="X64" i="22"/>
  <c r="AA47" i="22"/>
  <c r="AA49" i="22" s="1"/>
  <c r="AA50" i="22" s="1"/>
  <c r="AA52" i="22" s="1"/>
  <c r="W63" i="22"/>
  <c r="AA354" i="22"/>
  <c r="AA355" i="22" s="1"/>
  <c r="Y217" i="22"/>
  <c r="Y175" i="22"/>
  <c r="AB350" i="22"/>
  <c r="AB352" i="22" s="1"/>
  <c r="AB45" i="22"/>
  <c r="AB200" i="22"/>
  <c r="AB202" i="22" s="1"/>
  <c r="AB204" i="22" s="1"/>
  <c r="Z59" i="19"/>
  <c r="Z60" i="19"/>
  <c r="Z176" i="19" s="1"/>
  <c r="Z58" i="19"/>
  <c r="Z52" i="19"/>
  <c r="Y64" i="19"/>
  <c r="Y92" i="19"/>
  <c r="AA49" i="19"/>
  <c r="AA50" i="19" s="1"/>
  <c r="AA398" i="19"/>
  <c r="AA368" i="19"/>
  <c r="AB47" i="19"/>
  <c r="AA367" i="19"/>
  <c r="Z368" i="19"/>
  <c r="Z397" i="19"/>
  <c r="AC349" i="19"/>
  <c r="AC351" i="19" s="1"/>
  <c r="AC353" i="19" s="1"/>
  <c r="AC354" i="19" s="1"/>
  <c r="AC45" i="19"/>
  <c r="AA439" i="19"/>
  <c r="AA355" i="19"/>
  <c r="Z367" i="19"/>
  <c r="AB364" i="19"/>
  <c r="AB480" i="19" s="1"/>
  <c r="AB362" i="19"/>
  <c r="AB363" i="19"/>
  <c r="Z438" i="19"/>
  <c r="Z355" i="19"/>
  <c r="Y369" i="19"/>
  <c r="Y370" i="19" s="1"/>
  <c r="Y133" i="19"/>
  <c r="Y51" i="19"/>
  <c r="Y63" i="19"/>
  <c r="W216" i="19"/>
  <c r="W12" i="19" s="1"/>
  <c r="W220" i="20"/>
  <c r="W221" i="20" s="1"/>
  <c r="X216" i="20"/>
  <c r="AA363" i="20"/>
  <c r="AA365" i="20"/>
  <c r="AA480" i="20" s="1"/>
  <c r="AA364" i="20"/>
  <c r="Y366" i="20"/>
  <c r="AH91" i="20"/>
  <c r="AE91" i="20"/>
  <c r="AD91" i="20"/>
  <c r="AL91" i="20"/>
  <c r="AJ91" i="20"/>
  <c r="AN91" i="20"/>
  <c r="AK91" i="20"/>
  <c r="AC91" i="20"/>
  <c r="AM91" i="20"/>
  <c r="Y91" i="20"/>
  <c r="AG91" i="20"/>
  <c r="AI91" i="20"/>
  <c r="AF91" i="20"/>
  <c r="AB91" i="20"/>
  <c r="AA91" i="20"/>
  <c r="Z91" i="20"/>
  <c r="X61" i="20"/>
  <c r="AB354" i="20"/>
  <c r="AB355" i="20" s="1"/>
  <c r="AA60" i="20"/>
  <c r="AA177" i="20" s="1"/>
  <c r="AA58" i="20"/>
  <c r="AA59" i="20"/>
  <c r="AC45" i="20"/>
  <c r="AC350" i="20"/>
  <c r="AC352" i="20" s="1"/>
  <c r="Y133" i="20"/>
  <c r="Y51" i="20"/>
  <c r="AB47" i="20"/>
  <c r="AB49" i="20" s="1"/>
  <c r="AB50" i="20" s="1"/>
  <c r="AB52" i="20" s="1"/>
  <c r="X217" i="20"/>
  <c r="AJ132" i="20"/>
  <c r="AD132" i="20"/>
  <c r="Z132" i="20"/>
  <c r="AI132" i="20"/>
  <c r="AH132" i="20"/>
  <c r="AM132" i="20"/>
  <c r="Y132" i="20"/>
  <c r="AN132" i="20"/>
  <c r="AG132" i="20"/>
  <c r="AF132" i="20"/>
  <c r="AE132" i="20"/>
  <c r="AC132" i="20"/>
  <c r="AB132" i="20"/>
  <c r="AA132" i="20"/>
  <c r="AL132" i="20"/>
  <c r="AK132" i="20"/>
  <c r="X62" i="20"/>
  <c r="X370" i="20"/>
  <c r="X371" i="20" s="1"/>
  <c r="Y92" i="20"/>
  <c r="Y64" i="20"/>
  <c r="Y367" i="20"/>
  <c r="Z58" i="20"/>
  <c r="Z60" i="20"/>
  <c r="Z176" i="20" s="1"/>
  <c r="Z59" i="20"/>
  <c r="Z52" i="20"/>
  <c r="AH175" i="20"/>
  <c r="AK175" i="20"/>
  <c r="AB175" i="20"/>
  <c r="AE175" i="20"/>
  <c r="AN175" i="20"/>
  <c r="Y63" i="20"/>
  <c r="W65" i="20"/>
  <c r="W66" i="20" s="1"/>
  <c r="Y215" i="42"/>
  <c r="Y213" i="42"/>
  <c r="Y9" i="42" s="1"/>
  <c r="Y21" i="42" s="1"/>
  <c r="Y214" i="42"/>
  <c r="Y207" i="42"/>
  <c r="X206" i="42"/>
  <c r="X287" i="42"/>
  <c r="Z204" i="42"/>
  <c r="Z205" i="42" s="1"/>
  <c r="X219" i="42"/>
  <c r="X246" i="42"/>
  <c r="X327" i="42"/>
  <c r="AB200" i="42"/>
  <c r="W217" i="42"/>
  <c r="AA202" i="42"/>
  <c r="W218" i="42"/>
  <c r="V220" i="42"/>
  <c r="V221" i="42" s="1"/>
  <c r="Y215" i="41"/>
  <c r="Y214" i="41"/>
  <c r="Y213" i="41"/>
  <c r="Y207" i="41"/>
  <c r="Z204" i="41"/>
  <c r="Z205" i="41" s="1"/>
  <c r="AA202" i="41"/>
  <c r="X219" i="41"/>
  <c r="X246" i="41"/>
  <c r="X327" i="41"/>
  <c r="X206" i="41"/>
  <c r="X287" i="41"/>
  <c r="AA213" i="23"/>
  <c r="AA9" i="23" s="1"/>
  <c r="AA21" i="23" s="1"/>
  <c r="AA214" i="23"/>
  <c r="AA215" i="23"/>
  <c r="AA207" i="23"/>
  <c r="Z289" i="23"/>
  <c r="Z206" i="23"/>
  <c r="Z329" i="23"/>
  <c r="AB204" i="23"/>
  <c r="AB205" i="23" s="1"/>
  <c r="AD200" i="23"/>
  <c r="AC202" i="23"/>
  <c r="Z248" i="23"/>
  <c r="Z219" i="23"/>
  <c r="Z329" i="22"/>
  <c r="X220" i="22"/>
  <c r="X221" i="22" s="1"/>
  <c r="Z219" i="22"/>
  <c r="Z248" i="22"/>
  <c r="Z289" i="22"/>
  <c r="Z206" i="22"/>
  <c r="Y215" i="19"/>
  <c r="Y213" i="19"/>
  <c r="Y9" i="19" s="1"/>
  <c r="Y214" i="19"/>
  <c r="Y207" i="19"/>
  <c r="AB200" i="19"/>
  <c r="AA202" i="19"/>
  <c r="Z204" i="19"/>
  <c r="Z205" i="19" s="1"/>
  <c r="X219" i="19"/>
  <c r="X246" i="19"/>
  <c r="X327" i="19"/>
  <c r="W217" i="19"/>
  <c r="V220" i="19"/>
  <c r="V221" i="19" s="1"/>
  <c r="X287" i="19"/>
  <c r="X206" i="19"/>
  <c r="Z214" i="20"/>
  <c r="Z215" i="20"/>
  <c r="Z213" i="20"/>
  <c r="Z207" i="20"/>
  <c r="AB202" i="20"/>
  <c r="AA204" i="20"/>
  <c r="AA205" i="20" s="1"/>
  <c r="Y328" i="20"/>
  <c r="Y288" i="20"/>
  <c r="Y206" i="20"/>
  <c r="AC200" i="20"/>
  <c r="Y219" i="20"/>
  <c r="Y247" i="20"/>
  <c r="M22" i="73"/>
  <c r="L14" i="73"/>
  <c r="O10" i="73"/>
  <c r="L2" i="73"/>
  <c r="E58" i="75" l="1"/>
  <c r="Q80" i="65"/>
  <c r="G58" i="75"/>
  <c r="U29" i="57"/>
  <c r="AH210" i="42"/>
  <c r="AI209" i="42"/>
  <c r="Y10" i="42"/>
  <c r="Y23" i="42" s="1"/>
  <c r="U16" i="52"/>
  <c r="U38" i="52"/>
  <c r="AC51" i="23"/>
  <c r="X10" i="41"/>
  <c r="Y10" i="19"/>
  <c r="Y23" i="19" s="1"/>
  <c r="V25" i="19"/>
  <c r="Z10" i="20"/>
  <c r="Z23" i="20" s="1"/>
  <c r="Z9" i="20"/>
  <c r="Z21" i="20" s="1"/>
  <c r="AD364" i="23"/>
  <c r="AD443" i="23" s="1"/>
  <c r="AK443" i="23" s="1"/>
  <c r="AC64" i="23"/>
  <c r="U73" i="63"/>
  <c r="U79" i="63" s="1"/>
  <c r="T51" i="57"/>
  <c r="Z9" i="22"/>
  <c r="Z21" i="22" s="1"/>
  <c r="Z10" i="22"/>
  <c r="AH59" i="52"/>
  <c r="AH59" i="32" s="1"/>
  <c r="V45" i="57"/>
  <c r="V73" i="57" s="1"/>
  <c r="V79" i="57" s="1"/>
  <c r="U25" i="22"/>
  <c r="W7" i="57" s="1"/>
  <c r="W11" i="22"/>
  <c r="W11" i="19"/>
  <c r="W18" i="19" s="1"/>
  <c r="Y21" i="19"/>
  <c r="X25" i="23"/>
  <c r="Z7" i="63" s="1"/>
  <c r="AC482" i="23"/>
  <c r="AC368" i="23"/>
  <c r="AC369" i="23"/>
  <c r="AC401" i="23"/>
  <c r="AE350" i="23"/>
  <c r="AE352" i="23" s="1"/>
  <c r="AE354" i="23" s="1"/>
  <c r="AE355" i="23" s="1"/>
  <c r="AE45" i="23"/>
  <c r="AD47" i="23"/>
  <c r="AD49" i="23" s="1"/>
  <c r="AD50" i="23" s="1"/>
  <c r="AD52" i="23" s="1"/>
  <c r="AA10" i="23"/>
  <c r="AA23" i="23" s="1"/>
  <c r="AC442" i="23"/>
  <c r="AC356" i="23"/>
  <c r="AD365" i="23"/>
  <c r="W45" i="63"/>
  <c r="W73" i="63" s="1"/>
  <c r="W79" i="63" s="1"/>
  <c r="T52" i="65"/>
  <c r="W16" i="61"/>
  <c r="W38" i="61"/>
  <c r="Y11" i="23"/>
  <c r="Y18" i="23" s="1"/>
  <c r="W11" i="42"/>
  <c r="W18" i="42" s="1"/>
  <c r="X23" i="63"/>
  <c r="W12" i="22"/>
  <c r="W16" i="22" s="1"/>
  <c r="X11" i="20"/>
  <c r="X12" i="20"/>
  <c r="X16" i="20" s="1"/>
  <c r="V23" i="61"/>
  <c r="V29" i="61" s="1"/>
  <c r="Y16" i="63"/>
  <c r="Y23" i="63" s="1"/>
  <c r="Y38" i="63"/>
  <c r="U24" i="65"/>
  <c r="Q34" i="65"/>
  <c r="U73" i="57"/>
  <c r="U79" i="57" s="1"/>
  <c r="U51" i="57"/>
  <c r="U73" i="61"/>
  <c r="U79" i="61" s="1"/>
  <c r="U51" i="61"/>
  <c r="X7" i="61"/>
  <c r="W6" i="62"/>
  <c r="U60" i="52"/>
  <c r="U22" i="62"/>
  <c r="V7" i="52"/>
  <c r="V37" i="62"/>
  <c r="V15" i="62"/>
  <c r="T44" i="62"/>
  <c r="T50" i="62" s="1"/>
  <c r="T71" i="52"/>
  <c r="W7" i="60"/>
  <c r="W1" i="60" s="1"/>
  <c r="V18" i="42"/>
  <c r="V25" i="42" s="1"/>
  <c r="V13" i="42"/>
  <c r="U45" i="60"/>
  <c r="U29" i="60"/>
  <c r="V16" i="60"/>
  <c r="V23" i="60" s="1"/>
  <c r="V38" i="60"/>
  <c r="T51" i="60"/>
  <c r="T73" i="60"/>
  <c r="T79" i="60" s="1"/>
  <c r="AI59" i="51"/>
  <c r="X13" i="23"/>
  <c r="AL329" i="23"/>
  <c r="AI329" i="23"/>
  <c r="AF329" i="23"/>
  <c r="AC329" i="23"/>
  <c r="AI289" i="23"/>
  <c r="AH289" i="23"/>
  <c r="AG289" i="23"/>
  <c r="AF289" i="23"/>
  <c r="AM289" i="23"/>
  <c r="AL289" i="23"/>
  <c r="AK289" i="23"/>
  <c r="AJ289" i="23"/>
  <c r="AN289" i="23"/>
  <c r="AE289" i="23"/>
  <c r="AD289" i="23"/>
  <c r="AC289" i="23"/>
  <c r="AB289" i="23"/>
  <c r="AA289" i="23"/>
  <c r="AI248" i="23"/>
  <c r="AH248" i="23"/>
  <c r="AG248" i="23"/>
  <c r="AF248" i="23"/>
  <c r="AJ248" i="23"/>
  <c r="AB248" i="23"/>
  <c r="AE248" i="23"/>
  <c r="AD248" i="23"/>
  <c r="AC248" i="23"/>
  <c r="AK248" i="23"/>
  <c r="AL248" i="23" s="1"/>
  <c r="AM248" i="23" s="1"/>
  <c r="AN248" i="23" s="1"/>
  <c r="AA248" i="23"/>
  <c r="Y16" i="23"/>
  <c r="Z216" i="23"/>
  <c r="Z12" i="23" s="1"/>
  <c r="AC63" i="23"/>
  <c r="AL179" i="23"/>
  <c r="AI179" i="23"/>
  <c r="AF179" i="23"/>
  <c r="AN178" i="23"/>
  <c r="AK178" i="23"/>
  <c r="AH178" i="23"/>
  <c r="AE178" i="23"/>
  <c r="AI137" i="23"/>
  <c r="AG137" i="23"/>
  <c r="AF137" i="23"/>
  <c r="AE137" i="23"/>
  <c r="AM137" i="23"/>
  <c r="AL137" i="23"/>
  <c r="AK137" i="23"/>
  <c r="AJ137" i="23"/>
  <c r="AH137" i="23"/>
  <c r="AN137" i="23"/>
  <c r="AD137" i="23"/>
  <c r="AH136" i="23"/>
  <c r="AF136" i="23"/>
  <c r="AE136" i="23"/>
  <c r="AD136" i="23"/>
  <c r="AG136" i="23"/>
  <c r="AC136" i="23"/>
  <c r="AC62" i="23" s="1"/>
  <c r="AL136" i="23"/>
  <c r="AK136" i="23"/>
  <c r="AJ136" i="23"/>
  <c r="AI136" i="23"/>
  <c r="AN136" i="23"/>
  <c r="AM136" i="23"/>
  <c r="AH95" i="23"/>
  <c r="AG95" i="23"/>
  <c r="AD95" i="23"/>
  <c r="AN95" i="23"/>
  <c r="AM95" i="23"/>
  <c r="AL95" i="23"/>
  <c r="AK95" i="23"/>
  <c r="AJ95" i="23"/>
  <c r="AC95" i="23"/>
  <c r="AC61" i="23" s="1"/>
  <c r="AE95" i="23"/>
  <c r="AI95" i="23"/>
  <c r="AF95" i="23"/>
  <c r="AI96" i="23"/>
  <c r="AH96" i="23"/>
  <c r="AE96" i="23"/>
  <c r="AN96" i="23"/>
  <c r="AJ96" i="23"/>
  <c r="AG96" i="23"/>
  <c r="AF96" i="23"/>
  <c r="AD96" i="23"/>
  <c r="AM96" i="23"/>
  <c r="AL96" i="23"/>
  <c r="AK96" i="23"/>
  <c r="AA215" i="22"/>
  <c r="AA206" i="22" s="1"/>
  <c r="AA213" i="22"/>
  <c r="AA249" i="22" s="1"/>
  <c r="AA207" i="22"/>
  <c r="AL479" i="22"/>
  <c r="AI479" i="22"/>
  <c r="AF479" i="22"/>
  <c r="AC479" i="22"/>
  <c r="AK438" i="22"/>
  <c r="AJ438" i="22"/>
  <c r="AI438" i="22"/>
  <c r="AH438" i="22"/>
  <c r="AG438" i="22"/>
  <c r="AF438" i="22"/>
  <c r="AE438" i="22"/>
  <c r="AD438" i="22"/>
  <c r="AC438" i="22"/>
  <c r="AB438" i="22"/>
  <c r="AA438" i="22"/>
  <c r="Z438" i="22"/>
  <c r="AN438" i="22"/>
  <c r="AM438" i="22"/>
  <c r="AL438" i="22"/>
  <c r="AK397" i="22"/>
  <c r="AI397" i="22"/>
  <c r="AH397" i="22"/>
  <c r="AE397" i="22"/>
  <c r="AC397" i="22"/>
  <c r="AD397" i="22"/>
  <c r="AB397" i="22"/>
  <c r="AA397" i="22"/>
  <c r="AG397" i="22"/>
  <c r="AF397" i="22"/>
  <c r="AN397" i="22"/>
  <c r="AM397" i="22"/>
  <c r="AL397" i="22"/>
  <c r="AJ397" i="22"/>
  <c r="Z397" i="22"/>
  <c r="Z218" i="22"/>
  <c r="AL329" i="22"/>
  <c r="AI329" i="22"/>
  <c r="AF329" i="22"/>
  <c r="AC329" i="22"/>
  <c r="AI289" i="22"/>
  <c r="AG289" i="22"/>
  <c r="AH289" i="22"/>
  <c r="AJ289" i="22"/>
  <c r="AE289" i="22"/>
  <c r="AD289" i="22"/>
  <c r="AC289" i="22"/>
  <c r="AB289" i="22"/>
  <c r="AF289" i="22"/>
  <c r="AK289" i="22"/>
  <c r="AN289" i="22"/>
  <c r="AM289" i="22"/>
  <c r="AL289" i="22"/>
  <c r="AA289" i="22"/>
  <c r="AH248" i="22"/>
  <c r="AF248" i="22"/>
  <c r="AE248" i="22"/>
  <c r="AI248" i="22"/>
  <c r="AG248" i="22"/>
  <c r="AD248" i="22"/>
  <c r="AC248" i="22"/>
  <c r="AB248" i="22"/>
  <c r="AA248" i="22"/>
  <c r="AK248" i="22"/>
  <c r="AL248" i="22" s="1"/>
  <c r="AM248" i="22" s="1"/>
  <c r="AN248" i="22" s="1"/>
  <c r="AJ248" i="22"/>
  <c r="Y220" i="22"/>
  <c r="Y221" i="22" s="1"/>
  <c r="AJ174" i="22"/>
  <c r="AD174" i="22"/>
  <c r="AA174" i="22"/>
  <c r="AG174" i="22"/>
  <c r="AM174" i="22"/>
  <c r="AN175" i="22"/>
  <c r="AK175" i="22"/>
  <c r="AH175" i="22"/>
  <c r="AE175" i="22"/>
  <c r="AB175" i="22"/>
  <c r="AN132" i="22"/>
  <c r="AB132" i="22"/>
  <c r="AL132" i="22"/>
  <c r="Z132" i="22"/>
  <c r="AM132" i="22"/>
  <c r="AA132" i="22"/>
  <c r="AE132" i="22"/>
  <c r="AD132" i="22"/>
  <c r="AC132" i="22"/>
  <c r="AK132" i="22"/>
  <c r="AJ132" i="22"/>
  <c r="AI132" i="22"/>
  <c r="AH132" i="22"/>
  <c r="AG132" i="22"/>
  <c r="AF132" i="22"/>
  <c r="Y132" i="22"/>
  <c r="Y62" i="22" s="1"/>
  <c r="AK133" i="22"/>
  <c r="AI133" i="22"/>
  <c r="AJ133" i="22"/>
  <c r="AE133" i="22"/>
  <c r="AD133" i="22"/>
  <c r="AC133" i="22"/>
  <c r="AB133" i="22"/>
  <c r="AA133" i="22"/>
  <c r="Z133" i="22"/>
  <c r="AN133" i="22"/>
  <c r="AL133" i="22"/>
  <c r="AH133" i="22"/>
  <c r="AG133" i="22"/>
  <c r="AF133" i="22"/>
  <c r="AM133" i="22"/>
  <c r="AN91" i="22"/>
  <c r="AB91" i="22"/>
  <c r="AM91" i="22"/>
  <c r="AA91" i="22"/>
  <c r="AL91" i="22"/>
  <c r="Z91" i="22"/>
  <c r="AK91" i="22"/>
  <c r="Y91" i="22"/>
  <c r="Y61" i="22" s="1"/>
  <c r="AE91" i="22"/>
  <c r="AD91" i="22"/>
  <c r="AJ91" i="22"/>
  <c r="AI91" i="22"/>
  <c r="AG91" i="22"/>
  <c r="AH91" i="22"/>
  <c r="AF91" i="22"/>
  <c r="AC91" i="22"/>
  <c r="AK92" i="22"/>
  <c r="AJ92" i="22"/>
  <c r="AI92" i="22"/>
  <c r="AH92" i="22"/>
  <c r="AN92" i="22"/>
  <c r="AB92" i="22"/>
  <c r="AM92" i="22"/>
  <c r="AA92" i="22"/>
  <c r="AL92" i="22"/>
  <c r="AD92" i="22"/>
  <c r="AC92" i="22"/>
  <c r="Z92" i="22"/>
  <c r="AG92" i="22"/>
  <c r="AF92" i="22"/>
  <c r="AE92" i="22"/>
  <c r="AN486" i="19"/>
  <c r="AI481" i="19"/>
  <c r="AM485" i="19"/>
  <c r="AN480" i="19"/>
  <c r="AL484" i="19"/>
  <c r="AK480" i="19"/>
  <c r="AK483" i="19"/>
  <c r="AJ482" i="19"/>
  <c r="AH480" i="19"/>
  <c r="AE480" i="19"/>
  <c r="AI438" i="19"/>
  <c r="AG438" i="19"/>
  <c r="AH438" i="19"/>
  <c r="AF438" i="19"/>
  <c r="AE438" i="19"/>
  <c r="AD438" i="19"/>
  <c r="AC438" i="19"/>
  <c r="AN438" i="19"/>
  <c r="AM438" i="19"/>
  <c r="AL438" i="19"/>
  <c r="AK438" i="19"/>
  <c r="AJ438" i="19"/>
  <c r="AB438" i="19"/>
  <c r="AA438" i="19"/>
  <c r="AA366" i="19" s="1"/>
  <c r="AH439" i="19"/>
  <c r="AF439" i="19"/>
  <c r="AG439" i="19"/>
  <c r="AK439" i="19"/>
  <c r="AJ439" i="19"/>
  <c r="AI439" i="19"/>
  <c r="AE439" i="19"/>
  <c r="AD439" i="19"/>
  <c r="AB439" i="19"/>
  <c r="AN439" i="19"/>
  <c r="AM439" i="19"/>
  <c r="AL439" i="19"/>
  <c r="AC439" i="19"/>
  <c r="AI397" i="19"/>
  <c r="AH397" i="19"/>
  <c r="AG397" i="19"/>
  <c r="AF397" i="19"/>
  <c r="AE397" i="19"/>
  <c r="AD397" i="19"/>
  <c r="AC397" i="19"/>
  <c r="AM397" i="19"/>
  <c r="AL397" i="19"/>
  <c r="AK397" i="19"/>
  <c r="AJ397" i="19"/>
  <c r="AB397" i="19"/>
  <c r="AN397" i="19"/>
  <c r="AA397" i="19"/>
  <c r="AA365" i="19" s="1"/>
  <c r="AH398" i="19"/>
  <c r="AG398" i="19"/>
  <c r="AF398" i="19"/>
  <c r="AE398" i="19"/>
  <c r="AD398" i="19"/>
  <c r="AC398" i="19"/>
  <c r="AN398" i="19"/>
  <c r="AB398" i="19"/>
  <c r="AK398" i="19"/>
  <c r="AL398" i="19"/>
  <c r="AM398" i="19"/>
  <c r="AJ398" i="19"/>
  <c r="AI398" i="19"/>
  <c r="X218" i="19"/>
  <c r="AJ327" i="19"/>
  <c r="AG327" i="19"/>
  <c r="AD327" i="19"/>
  <c r="AA327" i="19"/>
  <c r="AM327" i="19"/>
  <c r="AN287" i="19"/>
  <c r="AB287" i="19"/>
  <c r="AL287" i="19"/>
  <c r="Z287" i="19"/>
  <c r="AK287" i="19"/>
  <c r="Y287" i="19"/>
  <c r="AE287" i="19"/>
  <c r="AD287" i="19"/>
  <c r="AC287" i="19"/>
  <c r="AA287" i="19"/>
  <c r="AM287" i="19"/>
  <c r="AI287" i="19"/>
  <c r="AH287" i="19"/>
  <c r="AG287" i="19"/>
  <c r="AF287" i="19"/>
  <c r="AJ287" i="19"/>
  <c r="AL246" i="19"/>
  <c r="Z246" i="19"/>
  <c r="AK246" i="19"/>
  <c r="Y246" i="19"/>
  <c r="AD246" i="19"/>
  <c r="AC246" i="19"/>
  <c r="AJ246" i="19"/>
  <c r="AH246" i="19"/>
  <c r="AG246" i="19"/>
  <c r="AF246" i="19"/>
  <c r="AI246" i="19"/>
  <c r="AM246" i="19"/>
  <c r="AE246" i="19"/>
  <c r="AB246" i="19"/>
  <c r="AA246" i="19"/>
  <c r="AN246" i="19"/>
  <c r="AL176" i="19"/>
  <c r="AI176" i="19"/>
  <c r="AC176" i="19"/>
  <c r="AF176" i="19"/>
  <c r="AJ133" i="19"/>
  <c r="AI133" i="19"/>
  <c r="AH133" i="19"/>
  <c r="AG133" i="19"/>
  <c r="AK133" i="19"/>
  <c r="AF133" i="19"/>
  <c r="AE133" i="19"/>
  <c r="AD133" i="19"/>
  <c r="AC133" i="19"/>
  <c r="AM133" i="19"/>
  <c r="AL133" i="19"/>
  <c r="AB133" i="19"/>
  <c r="AA133" i="19"/>
  <c r="Z133" i="19"/>
  <c r="AN133" i="19"/>
  <c r="AJ92" i="19"/>
  <c r="AH92" i="19"/>
  <c r="AI92" i="19"/>
  <c r="Z92" i="19"/>
  <c r="AM92" i="19"/>
  <c r="AL92" i="19"/>
  <c r="AN92" i="19"/>
  <c r="AK92" i="19"/>
  <c r="AB92" i="19"/>
  <c r="AA92" i="19"/>
  <c r="AG92" i="19"/>
  <c r="AF92" i="19"/>
  <c r="AE92" i="19"/>
  <c r="AC92" i="19"/>
  <c r="AD92" i="19"/>
  <c r="AM480" i="20"/>
  <c r="AJ480" i="20"/>
  <c r="AG480" i="20"/>
  <c r="AD480" i="20"/>
  <c r="Y218" i="20"/>
  <c r="AK328" i="20"/>
  <c r="AH328" i="20"/>
  <c r="AE328" i="20"/>
  <c r="AB328" i="20"/>
  <c r="AN328" i="20"/>
  <c r="AK288" i="20"/>
  <c r="AJ288" i="20"/>
  <c r="AC288" i="20"/>
  <c r="AB288" i="20"/>
  <c r="AA288" i="20"/>
  <c r="AN288" i="20"/>
  <c r="AM288" i="20"/>
  <c r="AL288" i="20"/>
  <c r="AI288" i="20"/>
  <c r="AH288" i="20"/>
  <c r="AG288" i="20"/>
  <c r="AE288" i="20"/>
  <c r="AF288" i="20"/>
  <c r="AD288" i="20"/>
  <c r="Z288" i="20"/>
  <c r="AK247" i="20"/>
  <c r="AJ247" i="20"/>
  <c r="AG247" i="20"/>
  <c r="AE247" i="20"/>
  <c r="AD247" i="20"/>
  <c r="AC247" i="20"/>
  <c r="AB247" i="20"/>
  <c r="AA247" i="20"/>
  <c r="Z247" i="20"/>
  <c r="AN247" i="20"/>
  <c r="AL247" i="20"/>
  <c r="AH247" i="20"/>
  <c r="AM247" i="20"/>
  <c r="AI247" i="20"/>
  <c r="AF247" i="20"/>
  <c r="W13" i="20"/>
  <c r="AG480" i="42"/>
  <c r="AD480" i="42"/>
  <c r="AM480" i="42"/>
  <c r="AJ480" i="42"/>
  <c r="AJ483" i="42"/>
  <c r="AI482" i="42"/>
  <c r="AH481" i="42"/>
  <c r="AN487" i="42"/>
  <c r="AM486" i="42"/>
  <c r="AN481" i="42"/>
  <c r="AL485" i="42"/>
  <c r="AK481" i="42"/>
  <c r="AE481" i="42"/>
  <c r="AK484" i="42"/>
  <c r="AI439" i="42"/>
  <c r="AH439" i="42"/>
  <c r="AG439" i="42"/>
  <c r="AF439" i="42"/>
  <c r="AN439" i="42"/>
  <c r="AM439" i="42"/>
  <c r="AL439" i="42"/>
  <c r="AK439" i="42"/>
  <c r="AJ439" i="42"/>
  <c r="AE439" i="42"/>
  <c r="AD439" i="42"/>
  <c r="AC439" i="42"/>
  <c r="AB439" i="42"/>
  <c r="AA439" i="42"/>
  <c r="AI398" i="42"/>
  <c r="AH398" i="42"/>
  <c r="AG398" i="42"/>
  <c r="AF398" i="42"/>
  <c r="AM398" i="42"/>
  <c r="AL398" i="42"/>
  <c r="AK398" i="42"/>
  <c r="AJ398" i="42"/>
  <c r="AE398" i="42"/>
  <c r="AD398" i="42"/>
  <c r="AC398" i="42"/>
  <c r="AN398" i="42"/>
  <c r="AB398" i="42"/>
  <c r="AA398" i="42"/>
  <c r="X218" i="42"/>
  <c r="AJ327" i="42"/>
  <c r="AG327" i="42"/>
  <c r="AD327" i="42"/>
  <c r="AA327" i="42"/>
  <c r="AM327" i="42"/>
  <c r="AN287" i="42"/>
  <c r="AB287" i="42"/>
  <c r="AL287" i="42"/>
  <c r="Z287" i="42"/>
  <c r="AK287" i="42"/>
  <c r="Y287" i="42"/>
  <c r="AE287" i="42"/>
  <c r="AC287" i="42"/>
  <c r="AA287" i="42"/>
  <c r="AG287" i="42"/>
  <c r="AF287" i="42"/>
  <c r="AD287" i="42"/>
  <c r="AM287" i="42"/>
  <c r="AJ287" i="42"/>
  <c r="AI287" i="42"/>
  <c r="AH287" i="42"/>
  <c r="AN246" i="42"/>
  <c r="AB246" i="42"/>
  <c r="AM246" i="42"/>
  <c r="AA246" i="42"/>
  <c r="AL246" i="42"/>
  <c r="Z246" i="42"/>
  <c r="AK246" i="42"/>
  <c r="Y246" i="42"/>
  <c r="AF246" i="42"/>
  <c r="AE246" i="42"/>
  <c r="AI246" i="42"/>
  <c r="AG246" i="42"/>
  <c r="AD246" i="42"/>
  <c r="AH246" i="42"/>
  <c r="AC246" i="42"/>
  <c r="AJ246" i="42"/>
  <c r="AB368" i="42"/>
  <c r="W16" i="42"/>
  <c r="W220" i="42"/>
  <c r="W221" i="42" s="1"/>
  <c r="AL176" i="42"/>
  <c r="AI176" i="42"/>
  <c r="AF176" i="42"/>
  <c r="AC176" i="42"/>
  <c r="AI134" i="42"/>
  <c r="AE134" i="42"/>
  <c r="AH134" i="42"/>
  <c r="AG134" i="42"/>
  <c r="AF134" i="42"/>
  <c r="AD134" i="42"/>
  <c r="AC134" i="42"/>
  <c r="AN134" i="42"/>
  <c r="AK134" i="42"/>
  <c r="AM134" i="42"/>
  <c r="AJ134" i="42"/>
  <c r="AL134" i="42"/>
  <c r="AB134" i="42"/>
  <c r="AA134" i="42"/>
  <c r="AI93" i="42"/>
  <c r="AH93" i="42"/>
  <c r="AG93" i="42"/>
  <c r="AF93" i="42"/>
  <c r="AE93" i="42"/>
  <c r="AD93" i="42"/>
  <c r="AC93" i="42"/>
  <c r="AB93" i="42"/>
  <c r="AK93" i="42"/>
  <c r="AM93" i="42"/>
  <c r="AL93" i="42"/>
  <c r="AN93" i="42"/>
  <c r="AJ93" i="42"/>
  <c r="AA93" i="42"/>
  <c r="AK438" i="41"/>
  <c r="AI438" i="41"/>
  <c r="AH438" i="41"/>
  <c r="AD438" i="41"/>
  <c r="AC438" i="41"/>
  <c r="AA438" i="41"/>
  <c r="Z438" i="41"/>
  <c r="AL438" i="41"/>
  <c r="AG438" i="41"/>
  <c r="AJ438" i="41"/>
  <c r="AF438" i="41"/>
  <c r="AE438" i="41"/>
  <c r="AB438" i="41"/>
  <c r="AN438" i="41"/>
  <c r="AM438" i="41"/>
  <c r="AN437" i="41"/>
  <c r="AB437" i="41"/>
  <c r="AL437" i="41"/>
  <c r="Z437" i="41"/>
  <c r="AK437" i="41"/>
  <c r="Y437" i="41"/>
  <c r="AD437" i="41"/>
  <c r="AC437" i="41"/>
  <c r="AE437" i="41"/>
  <c r="AA437" i="41"/>
  <c r="AM437" i="41"/>
  <c r="AJ437" i="41"/>
  <c r="AI437" i="41"/>
  <c r="AH437" i="41"/>
  <c r="AG437" i="41"/>
  <c r="AF437" i="41"/>
  <c r="AK397" i="41"/>
  <c r="AI397" i="41"/>
  <c r="AH397" i="41"/>
  <c r="AE397" i="41"/>
  <c r="AD397" i="41"/>
  <c r="AN397" i="41"/>
  <c r="AM397" i="41"/>
  <c r="AL397" i="41"/>
  <c r="AJ397" i="41"/>
  <c r="AC397" i="41"/>
  <c r="AB397" i="41"/>
  <c r="AA397" i="41"/>
  <c r="Z397" i="41"/>
  <c r="AG397" i="41"/>
  <c r="AF397" i="41"/>
  <c r="AN396" i="41"/>
  <c r="AB396" i="41"/>
  <c r="AL396" i="41"/>
  <c r="Z396" i="41"/>
  <c r="AK396" i="41"/>
  <c r="Y396" i="41"/>
  <c r="AE396" i="41"/>
  <c r="AD396" i="41"/>
  <c r="AJ396" i="41"/>
  <c r="AI396" i="41"/>
  <c r="AH396" i="41"/>
  <c r="AG396" i="41"/>
  <c r="AF396" i="41"/>
  <c r="AM396" i="41"/>
  <c r="AC396" i="41"/>
  <c r="AA396" i="41"/>
  <c r="X218" i="41"/>
  <c r="AJ327" i="41"/>
  <c r="AG327" i="41"/>
  <c r="AD327" i="41"/>
  <c r="AA327" i="41"/>
  <c r="AM327" i="41"/>
  <c r="AN287" i="41"/>
  <c r="AB287" i="41"/>
  <c r="AM287" i="41"/>
  <c r="AA287" i="41"/>
  <c r="AJ287" i="41"/>
  <c r="AE287" i="41"/>
  <c r="AD287" i="41"/>
  <c r="AC287" i="41"/>
  <c r="Z287" i="41"/>
  <c r="AI287" i="41"/>
  <c r="AH287" i="41"/>
  <c r="AG287" i="41"/>
  <c r="AF287" i="41"/>
  <c r="Y287" i="41"/>
  <c r="AK287" i="41"/>
  <c r="AL287" i="41"/>
  <c r="AN246" i="41"/>
  <c r="AB246" i="41"/>
  <c r="AM246" i="41"/>
  <c r="AA246" i="41"/>
  <c r="AL246" i="41"/>
  <c r="Z246" i="41"/>
  <c r="AJ246" i="41"/>
  <c r="AF246" i="41"/>
  <c r="AE246" i="41"/>
  <c r="Y246" i="41"/>
  <c r="AK246" i="41"/>
  <c r="AI246" i="41"/>
  <c r="AH246" i="41"/>
  <c r="AG246" i="41"/>
  <c r="AD246" i="41"/>
  <c r="AC246" i="41"/>
  <c r="AL173" i="41"/>
  <c r="AI173" i="41"/>
  <c r="AF173" i="41"/>
  <c r="AC173" i="41"/>
  <c r="Z173" i="41"/>
  <c r="AF131" i="41"/>
  <c r="AD131" i="41"/>
  <c r="AC131" i="41"/>
  <c r="AE131" i="41"/>
  <c r="AA131" i="41"/>
  <c r="AB131" i="41"/>
  <c r="AG131" i="41"/>
  <c r="AM131" i="41"/>
  <c r="AL131" i="41"/>
  <c r="Z131" i="41"/>
  <c r="Y131" i="41"/>
  <c r="X131" i="41"/>
  <c r="AN131" i="41"/>
  <c r="AK131" i="41"/>
  <c r="AI131" i="41"/>
  <c r="AH131" i="41"/>
  <c r="AJ131" i="41"/>
  <c r="AF90" i="41"/>
  <c r="AE90" i="41"/>
  <c r="AD90" i="41"/>
  <c r="AC90" i="41"/>
  <c r="AB90" i="41"/>
  <c r="Z90" i="41"/>
  <c r="AA90" i="41"/>
  <c r="AL90" i="41"/>
  <c r="AJ90" i="41"/>
  <c r="AI90" i="41"/>
  <c r="AH90" i="41"/>
  <c r="AG90" i="41"/>
  <c r="AK90" i="41"/>
  <c r="AM90" i="41"/>
  <c r="Y90" i="41"/>
  <c r="X90" i="41"/>
  <c r="AN90" i="41"/>
  <c r="Z40" i="16"/>
  <c r="AB205" i="22"/>
  <c r="AB214" i="22" s="1"/>
  <c r="V13" i="19"/>
  <c r="W16" i="19"/>
  <c r="AL45" i="16"/>
  <c r="X217" i="42"/>
  <c r="AA64" i="42"/>
  <c r="AA94" i="42"/>
  <c r="AA177" i="42"/>
  <c r="Z367" i="42"/>
  <c r="AB59" i="42"/>
  <c r="AB58" i="42"/>
  <c r="AB60" i="42"/>
  <c r="AA135" i="42"/>
  <c r="AA51" i="42"/>
  <c r="Z62" i="42"/>
  <c r="Y370" i="42"/>
  <c r="Y371" i="42" s="1"/>
  <c r="Z366" i="42"/>
  <c r="Y65" i="42"/>
  <c r="Y66" i="42" s="1"/>
  <c r="AB441" i="42"/>
  <c r="AB356" i="42"/>
  <c r="Z63" i="42"/>
  <c r="AA368" i="42"/>
  <c r="X216" i="42"/>
  <c r="AD350" i="42"/>
  <c r="AD352" i="42" s="1"/>
  <c r="AD45" i="42"/>
  <c r="AA369" i="42"/>
  <c r="AA399" i="42"/>
  <c r="AA440" i="42"/>
  <c r="AA356" i="42"/>
  <c r="AC354" i="42"/>
  <c r="AC355" i="42" s="1"/>
  <c r="AC47" i="42"/>
  <c r="AC49" i="42" s="1"/>
  <c r="AC50" i="42" s="1"/>
  <c r="AC52" i="42" s="1"/>
  <c r="AB369" i="42"/>
  <c r="AB400" i="42"/>
  <c r="Z61" i="42"/>
  <c r="X91" i="41"/>
  <c r="X64" i="41"/>
  <c r="W63" i="41"/>
  <c r="X132" i="41"/>
  <c r="X51" i="41"/>
  <c r="W23" i="41"/>
  <c r="X174" i="41"/>
  <c r="Z49" i="41"/>
  <c r="Z50" i="41" s="1"/>
  <c r="AA47" i="41"/>
  <c r="AB350" i="41"/>
  <c r="AB352" i="41" s="1"/>
  <c r="AB45" i="41"/>
  <c r="Y60" i="41"/>
  <c r="Y58" i="41"/>
  <c r="Y9" i="41" s="1"/>
  <c r="Y21" i="41" s="1"/>
  <c r="Y59" i="41"/>
  <c r="Y52" i="41"/>
  <c r="Z363" i="41"/>
  <c r="Z364" i="41"/>
  <c r="Z365" i="41"/>
  <c r="Z479" i="41" s="1"/>
  <c r="AA354" i="41"/>
  <c r="AA355" i="41" s="1"/>
  <c r="AC15" i="41"/>
  <c r="AE20" i="41"/>
  <c r="Y220" i="23"/>
  <c r="Y221" i="23" s="1"/>
  <c r="AB61" i="23"/>
  <c r="AA65" i="23"/>
  <c r="AA66" i="23" s="1"/>
  <c r="AB63" i="23"/>
  <c r="AB62" i="23"/>
  <c r="AB370" i="23"/>
  <c r="AB371" i="23" s="1"/>
  <c r="AD402" i="23"/>
  <c r="Z217" i="23"/>
  <c r="Z217" i="22"/>
  <c r="AA364" i="22"/>
  <c r="AA363" i="22"/>
  <c r="AA365" i="22"/>
  <c r="AA480" i="22" s="1"/>
  <c r="X61" i="22"/>
  <c r="X23" i="22"/>
  <c r="W65" i="22"/>
  <c r="W66" i="22" s="1"/>
  <c r="Y23" i="22"/>
  <c r="Z216" i="22"/>
  <c r="Z368" i="22"/>
  <c r="AB47" i="22"/>
  <c r="AB49" i="22" s="1"/>
  <c r="AB50" i="22" s="1"/>
  <c r="AB52" i="22" s="1"/>
  <c r="Z134" i="22"/>
  <c r="Z51" i="22"/>
  <c r="AB354" i="22"/>
  <c r="AB355" i="22" s="1"/>
  <c r="Z64" i="22"/>
  <c r="Z93" i="22"/>
  <c r="AA59" i="22"/>
  <c r="AA60" i="22"/>
  <c r="AA58" i="22"/>
  <c r="Y366" i="22"/>
  <c r="Y367" i="22"/>
  <c r="Y63" i="22"/>
  <c r="V13" i="22"/>
  <c r="V18" i="22"/>
  <c r="Z398" i="22"/>
  <c r="Z369" i="22"/>
  <c r="X63" i="22"/>
  <c r="Z356" i="22"/>
  <c r="Z439" i="22"/>
  <c r="AC350" i="22"/>
  <c r="AC352" i="22" s="1"/>
  <c r="AC45" i="22"/>
  <c r="AC200" i="22"/>
  <c r="AC202" i="22" s="1"/>
  <c r="AC204" i="22" s="1"/>
  <c r="X62" i="22"/>
  <c r="Z176" i="22"/>
  <c r="X217" i="19"/>
  <c r="AB49" i="19"/>
  <c r="AB50" i="19" s="1"/>
  <c r="Z366" i="19"/>
  <c r="AB355" i="19"/>
  <c r="AB440" i="19"/>
  <c r="AA60" i="19"/>
  <c r="AA177" i="19" s="1"/>
  <c r="AA58" i="19"/>
  <c r="AA59" i="19"/>
  <c r="AA52" i="19"/>
  <c r="Z365" i="19"/>
  <c r="X216" i="19"/>
  <c r="X12" i="19" s="1"/>
  <c r="AB367" i="19"/>
  <c r="Y61" i="19"/>
  <c r="Z93" i="19"/>
  <c r="Z64" i="19"/>
  <c r="Y62" i="19"/>
  <c r="Z63" i="19"/>
  <c r="AC47" i="19"/>
  <c r="AD349" i="19"/>
  <c r="AD351" i="19" s="1"/>
  <c r="AD353" i="19" s="1"/>
  <c r="AD354" i="19" s="1"/>
  <c r="AD45" i="19"/>
  <c r="AC364" i="19"/>
  <c r="AC481" i="19" s="1"/>
  <c r="AC363" i="19"/>
  <c r="AC362" i="19"/>
  <c r="AB399" i="19"/>
  <c r="AB368" i="19"/>
  <c r="Z51" i="19"/>
  <c r="Z134" i="19"/>
  <c r="W220" i="19"/>
  <c r="W221" i="19" s="1"/>
  <c r="X220" i="20"/>
  <c r="X221" i="20" s="1"/>
  <c r="W18" i="20"/>
  <c r="W25" i="20" s="1"/>
  <c r="Y216" i="20"/>
  <c r="Z370" i="20"/>
  <c r="Z371" i="20" s="1"/>
  <c r="X65" i="20"/>
  <c r="X66" i="20" s="1"/>
  <c r="AM133" i="20"/>
  <c r="AL133" i="20"/>
  <c r="AE133" i="20"/>
  <c r="AN133" i="20"/>
  <c r="AD133" i="20"/>
  <c r="AA133" i="20"/>
  <c r="AG133" i="20"/>
  <c r="Z133" i="20"/>
  <c r="AJ133" i="20"/>
  <c r="AI133" i="20"/>
  <c r="AH133" i="20"/>
  <c r="AB133" i="20"/>
  <c r="AF133" i="20"/>
  <c r="AC133" i="20"/>
  <c r="AK133" i="20"/>
  <c r="Y62" i="20"/>
  <c r="AL176" i="20"/>
  <c r="AI176" i="20"/>
  <c r="AF176" i="20"/>
  <c r="AC176" i="20"/>
  <c r="Z63" i="20"/>
  <c r="Z64" i="20"/>
  <c r="Z93" i="20"/>
  <c r="AC354" i="20"/>
  <c r="AC355" i="20" s="1"/>
  <c r="AD45" i="20"/>
  <c r="AD350" i="20"/>
  <c r="AD352" i="20" s="1"/>
  <c r="AD354" i="20" s="1"/>
  <c r="AD355" i="20" s="1"/>
  <c r="AC47" i="20"/>
  <c r="AC49" i="20" s="1"/>
  <c r="AC50" i="20" s="1"/>
  <c r="AC52" i="20" s="1"/>
  <c r="AA135" i="20"/>
  <c r="AA51" i="20"/>
  <c r="Y370" i="20"/>
  <c r="Y371" i="20" s="1"/>
  <c r="Z134" i="20"/>
  <c r="Z51" i="20"/>
  <c r="AA64" i="20"/>
  <c r="AA94" i="20"/>
  <c r="AD177" i="20"/>
  <c r="AM177" i="20"/>
  <c r="AG177" i="20"/>
  <c r="AJ177" i="20"/>
  <c r="AA63" i="20"/>
  <c r="AM92" i="20"/>
  <c r="AD92" i="20"/>
  <c r="AA92" i="20"/>
  <c r="AC92" i="20"/>
  <c r="AK92" i="20"/>
  <c r="AB92" i="20"/>
  <c r="AL92" i="20"/>
  <c r="AJ92" i="20"/>
  <c r="AG92" i="20"/>
  <c r="AF92" i="20"/>
  <c r="AI92" i="20"/>
  <c r="AH92" i="20"/>
  <c r="AN92" i="20"/>
  <c r="Z92" i="20"/>
  <c r="AE92" i="20"/>
  <c r="Y61" i="20"/>
  <c r="AB60" i="20"/>
  <c r="AB178" i="20" s="1"/>
  <c r="AB59" i="20"/>
  <c r="AB58" i="20"/>
  <c r="AB363" i="20"/>
  <c r="AB364" i="20"/>
  <c r="AB365" i="20"/>
  <c r="AB481" i="20" s="1"/>
  <c r="AA440" i="20"/>
  <c r="AA356" i="20"/>
  <c r="AA368" i="20"/>
  <c r="AA399" i="20"/>
  <c r="AA369" i="20"/>
  <c r="Y217" i="20"/>
  <c r="Z213" i="42"/>
  <c r="Z9" i="42" s="1"/>
  <c r="Z214" i="42"/>
  <c r="Z215" i="42"/>
  <c r="Z207" i="42"/>
  <c r="AB202" i="42"/>
  <c r="AC200" i="42"/>
  <c r="Y206" i="42"/>
  <c r="Y288" i="42"/>
  <c r="AA204" i="42"/>
  <c r="AA205" i="42" s="1"/>
  <c r="Y247" i="42"/>
  <c r="Y219" i="42"/>
  <c r="Y328" i="42"/>
  <c r="Z214" i="41"/>
  <c r="Z215" i="41"/>
  <c r="Z213" i="41"/>
  <c r="Z207" i="41"/>
  <c r="Y219" i="41"/>
  <c r="Y247" i="41"/>
  <c r="AB202" i="41"/>
  <c r="Y206" i="41"/>
  <c r="Y288" i="41"/>
  <c r="AA204" i="41"/>
  <c r="AA205" i="41" s="1"/>
  <c r="Y328" i="41"/>
  <c r="AB215" i="23"/>
  <c r="AB214" i="23"/>
  <c r="AB213" i="23"/>
  <c r="AB9" i="23" s="1"/>
  <c r="AB21" i="23" s="1"/>
  <c r="AB207" i="23"/>
  <c r="AE200" i="23"/>
  <c r="Z218" i="23"/>
  <c r="AA330" i="23"/>
  <c r="AA290" i="23"/>
  <c r="AA206" i="23"/>
  <c r="AA249" i="23"/>
  <c r="AA219" i="23"/>
  <c r="AC204" i="23"/>
  <c r="AC205" i="23" s="1"/>
  <c r="AD202" i="23"/>
  <c r="AA290" i="22"/>
  <c r="AB202" i="19"/>
  <c r="Z215" i="19"/>
  <c r="Z214" i="19"/>
  <c r="Z213" i="19"/>
  <c r="Z207" i="19"/>
  <c r="Y288" i="19"/>
  <c r="Y206" i="19"/>
  <c r="Y219" i="19"/>
  <c r="Y247" i="19"/>
  <c r="AC200" i="19"/>
  <c r="AA204" i="19"/>
  <c r="AA205" i="19" s="1"/>
  <c r="Y328" i="19"/>
  <c r="AA214" i="20"/>
  <c r="AA215" i="20"/>
  <c r="AA213" i="20"/>
  <c r="AA207" i="20"/>
  <c r="AB204" i="20"/>
  <c r="AB205" i="20" s="1"/>
  <c r="AD200" i="20"/>
  <c r="Z248" i="20"/>
  <c r="Z219" i="20"/>
  <c r="Z329" i="20"/>
  <c r="AC202" i="20"/>
  <c r="Z206" i="20"/>
  <c r="Z289" i="20"/>
  <c r="N22" i="16"/>
  <c r="AU97" i="32"/>
  <c r="AU96" i="32"/>
  <c r="AU95" i="32"/>
  <c r="AU94" i="32"/>
  <c r="AU93" i="32"/>
  <c r="AU92" i="32"/>
  <c r="AU90" i="32"/>
  <c r="AU89" i="32"/>
  <c r="AU69" i="32"/>
  <c r="AU67" i="32"/>
  <c r="AU65" i="32"/>
  <c r="AU64" i="32"/>
  <c r="AU63" i="32"/>
  <c r="AU62" i="32"/>
  <c r="AU61" i="32"/>
  <c r="AU41" i="32"/>
  <c r="AS26" i="32"/>
  <c r="AR26" i="32"/>
  <c r="AR48" i="32" s="1"/>
  <c r="AQ26" i="32"/>
  <c r="AQ48" i="32" s="1"/>
  <c r="AQ54" i="32" s="1"/>
  <c r="AP26" i="32"/>
  <c r="AP48" i="32" s="1"/>
  <c r="AO26" i="32"/>
  <c r="AO48" i="32" s="1"/>
  <c r="AN26" i="32"/>
  <c r="AN48" i="32" s="1"/>
  <c r="AM26" i="32"/>
  <c r="AL26" i="32"/>
  <c r="AL48" i="32" s="1"/>
  <c r="AL76" i="32" s="1"/>
  <c r="AL82" i="32" s="1"/>
  <c r="AK26" i="32"/>
  <c r="AK48" i="32" s="1"/>
  <c r="AK76" i="32" s="1"/>
  <c r="AK82" i="32" s="1"/>
  <c r="AJ26" i="32"/>
  <c r="AI26" i="32"/>
  <c r="AI48" i="32" s="1"/>
  <c r="AI76" i="32" s="1"/>
  <c r="AI82" i="32" s="1"/>
  <c r="AH26" i="32"/>
  <c r="AH48" i="32" s="1"/>
  <c r="AU19" i="32"/>
  <c r="AU10" i="32"/>
  <c r="AI4" i="32"/>
  <c r="AJ4" i="32" s="1"/>
  <c r="AK4" i="32" s="1"/>
  <c r="AL4" i="32" s="1"/>
  <c r="AM4" i="32" s="1"/>
  <c r="AN4" i="32" s="1"/>
  <c r="AO4" i="32" s="1"/>
  <c r="AP4" i="32" s="1"/>
  <c r="AQ4" i="32" s="1"/>
  <c r="AR4" i="32" s="1"/>
  <c r="AS4" i="32" s="1"/>
  <c r="W99" i="32"/>
  <c r="X99" i="32"/>
  <c r="Y99" i="32"/>
  <c r="Z99" i="32"/>
  <c r="AD99" i="32"/>
  <c r="AC99" i="32"/>
  <c r="AB99" i="32"/>
  <c r="AF96" i="32"/>
  <c r="AF95" i="32"/>
  <c r="AA99" i="32"/>
  <c r="AF94" i="32"/>
  <c r="AF93" i="32"/>
  <c r="AF92" i="32"/>
  <c r="AF91" i="32"/>
  <c r="S99" i="32"/>
  <c r="V99" i="32"/>
  <c r="U99" i="32"/>
  <c r="T99" i="32"/>
  <c r="AF89" i="32"/>
  <c r="AF69" i="32"/>
  <c r="AF67" i="32"/>
  <c r="AF65" i="32"/>
  <c r="AF64" i="32"/>
  <c r="AD26" i="32"/>
  <c r="AD32" i="32" s="1"/>
  <c r="AB26" i="32"/>
  <c r="AA26" i="32"/>
  <c r="W26" i="32"/>
  <c r="S26" i="32"/>
  <c r="S32" i="32" s="1"/>
  <c r="X26" i="32"/>
  <c r="T26" i="32"/>
  <c r="Z26" i="32"/>
  <c r="Z32" i="32" s="1"/>
  <c r="Y26" i="32"/>
  <c r="Y48" i="32" s="1"/>
  <c r="V26" i="32"/>
  <c r="V48" i="32" s="1"/>
  <c r="U26" i="32"/>
  <c r="U48" i="32" s="1"/>
  <c r="U54" i="32" s="1"/>
  <c r="T4" i="32"/>
  <c r="U4" i="32" s="1"/>
  <c r="V4" i="32" s="1"/>
  <c r="W4" i="32" s="1"/>
  <c r="X4" i="32" s="1"/>
  <c r="Y4" i="32" s="1"/>
  <c r="Z4" i="32" s="1"/>
  <c r="AA4" i="32" s="1"/>
  <c r="AB4" i="32" s="1"/>
  <c r="AC4" i="32" s="1"/>
  <c r="AD4" i="32" s="1"/>
  <c r="AU40" i="37"/>
  <c r="AU39" i="37"/>
  <c r="AU38" i="37"/>
  <c r="AU37" i="37"/>
  <c r="AU36" i="37"/>
  <c r="AU35" i="37"/>
  <c r="AU34" i="37"/>
  <c r="AU33" i="37"/>
  <c r="AU32" i="37"/>
  <c r="AG59" i="75" s="1"/>
  <c r="AI59" i="75" s="1"/>
  <c r="AU31" i="37"/>
  <c r="AF34" i="37"/>
  <c r="AF35" i="37"/>
  <c r="AF36" i="37"/>
  <c r="AF37" i="37"/>
  <c r="AF38" i="37"/>
  <c r="AF39" i="37"/>
  <c r="AF40" i="37"/>
  <c r="AF31" i="37"/>
  <c r="AF32" i="37"/>
  <c r="N59" i="75" s="1"/>
  <c r="P59" i="75" s="1"/>
  <c r="Q34" i="37"/>
  <c r="Q35" i="37"/>
  <c r="Q36" i="37"/>
  <c r="Q37" i="37"/>
  <c r="Q38" i="37"/>
  <c r="Q39" i="37"/>
  <c r="Q40" i="37"/>
  <c r="Q31" i="37"/>
  <c r="Q33" i="37"/>
  <c r="Q32" i="37"/>
  <c r="AU59" i="37"/>
  <c r="AU58" i="37"/>
  <c r="AU57" i="37"/>
  <c r="AU56" i="37"/>
  <c r="AU55" i="37"/>
  <c r="AU54" i="37"/>
  <c r="AU48" i="37"/>
  <c r="AS42" i="37"/>
  <c r="AR42" i="37"/>
  <c r="AQ42" i="37"/>
  <c r="AP42" i="37"/>
  <c r="AO42" i="37"/>
  <c r="AN42" i="37"/>
  <c r="AM42" i="37"/>
  <c r="AL42" i="37"/>
  <c r="AK42" i="37"/>
  <c r="AJ42" i="37"/>
  <c r="AI42" i="37"/>
  <c r="AH42" i="37"/>
  <c r="AH24" i="37"/>
  <c r="AH26" i="37" s="1"/>
  <c r="AU19" i="37"/>
  <c r="AS12" i="37"/>
  <c r="AR12" i="37"/>
  <c r="AQ12" i="37"/>
  <c r="AP12" i="37"/>
  <c r="AO12" i="37"/>
  <c r="AN12" i="37"/>
  <c r="AM12" i="37"/>
  <c r="AL12" i="37"/>
  <c r="AK12" i="37"/>
  <c r="AJ12" i="37"/>
  <c r="AI12" i="37"/>
  <c r="AH12" i="37"/>
  <c r="AS7" i="37"/>
  <c r="AR7" i="37"/>
  <c r="AQ7" i="37"/>
  <c r="AP7" i="37"/>
  <c r="AO7" i="37"/>
  <c r="AN7" i="37"/>
  <c r="AM7" i="37"/>
  <c r="AL7" i="37"/>
  <c r="AK7" i="37"/>
  <c r="AJ7" i="37"/>
  <c r="AI7" i="37"/>
  <c r="AH7" i="37"/>
  <c r="AH15" i="37" s="1"/>
  <c r="AI3" i="37"/>
  <c r="AJ3" i="37" s="1"/>
  <c r="AK3" i="37" s="1"/>
  <c r="AL3" i="37" s="1"/>
  <c r="AM3" i="37" s="1"/>
  <c r="AN3" i="37" s="1"/>
  <c r="AO3" i="37" s="1"/>
  <c r="AP3" i="37" s="1"/>
  <c r="AQ3" i="37" s="1"/>
  <c r="AR3" i="37" s="1"/>
  <c r="AS3" i="37" s="1"/>
  <c r="AF48" i="37"/>
  <c r="AD42" i="37"/>
  <c r="AC42" i="37"/>
  <c r="AB42" i="37"/>
  <c r="AA42" i="37"/>
  <c r="Z42" i="37"/>
  <c r="Y42" i="37"/>
  <c r="X42" i="37"/>
  <c r="W42" i="37"/>
  <c r="V42" i="37"/>
  <c r="U42" i="37"/>
  <c r="T42" i="37"/>
  <c r="S42" i="37"/>
  <c r="AF33" i="37"/>
  <c r="S24" i="37"/>
  <c r="AD24" i="37"/>
  <c r="AC24" i="37"/>
  <c r="AB24" i="37"/>
  <c r="AA24" i="37"/>
  <c r="Z24" i="37"/>
  <c r="Y24" i="37"/>
  <c r="X24" i="37"/>
  <c r="AF19" i="37"/>
  <c r="Y12" i="37"/>
  <c r="X12" i="37"/>
  <c r="U12" i="37"/>
  <c r="T12" i="37"/>
  <c r="W12" i="37"/>
  <c r="V12" i="37"/>
  <c r="S12" i="37"/>
  <c r="AD7" i="37"/>
  <c r="AC7" i="37"/>
  <c r="AB7" i="37"/>
  <c r="AA7" i="37"/>
  <c r="Z7" i="37"/>
  <c r="Y7" i="37"/>
  <c r="X7" i="37"/>
  <c r="W7" i="37"/>
  <c r="V7" i="37"/>
  <c r="U7" i="37"/>
  <c r="T7" i="37"/>
  <c r="S7" i="37"/>
  <c r="T3" i="37"/>
  <c r="U3" i="37" s="1"/>
  <c r="V3" i="37" s="1"/>
  <c r="W3" i="37" s="1"/>
  <c r="X3" i="37" s="1"/>
  <c r="Y3" i="37" s="1"/>
  <c r="Z3" i="37" s="1"/>
  <c r="AA3" i="37" s="1"/>
  <c r="AB3" i="37" s="1"/>
  <c r="AC3" i="37" s="1"/>
  <c r="AD3" i="37" s="1"/>
  <c r="Q58" i="37"/>
  <c r="Q57" i="37"/>
  <c r="Q56" i="37"/>
  <c r="M62" i="37"/>
  <c r="Q48" i="37"/>
  <c r="O42" i="37"/>
  <c r="N42" i="37"/>
  <c r="M42" i="37"/>
  <c r="O7" i="37"/>
  <c r="N7" i="37"/>
  <c r="M7" i="37"/>
  <c r="E3" i="37"/>
  <c r="F3" i="37" s="1"/>
  <c r="G3" i="37" s="1"/>
  <c r="H3" i="37" s="1"/>
  <c r="D100" i="35"/>
  <c r="C100" i="35"/>
  <c r="N80" i="35"/>
  <c r="N82" i="35" s="1"/>
  <c r="N71" i="35" s="1"/>
  <c r="M80" i="35"/>
  <c r="M82" i="35" s="1"/>
  <c r="M71" i="35" s="1"/>
  <c r="L80" i="35"/>
  <c r="L82" i="35" s="1"/>
  <c r="L71" i="35" s="1"/>
  <c r="K80" i="35"/>
  <c r="K82" i="35" s="1"/>
  <c r="K71" i="35" s="1"/>
  <c r="J80" i="35"/>
  <c r="J82" i="35" s="1"/>
  <c r="J71" i="35" s="1"/>
  <c r="I80" i="35"/>
  <c r="I82" i="35" s="1"/>
  <c r="I71" i="35" s="1"/>
  <c r="H80" i="35"/>
  <c r="H82" i="35" s="1"/>
  <c r="H71" i="35" s="1"/>
  <c r="G80" i="35"/>
  <c r="G82" i="35" s="1"/>
  <c r="G71" i="35" s="1"/>
  <c r="F80" i="35"/>
  <c r="F82" i="35" s="1"/>
  <c r="F71" i="35" s="1"/>
  <c r="E80" i="35"/>
  <c r="E82" i="35" s="1"/>
  <c r="E71" i="35" s="1"/>
  <c r="N70" i="35"/>
  <c r="M70" i="35"/>
  <c r="L70" i="35"/>
  <c r="L75" i="35" s="1"/>
  <c r="K70" i="35"/>
  <c r="J70" i="35"/>
  <c r="J75" i="35" s="1"/>
  <c r="I70" i="35"/>
  <c r="I75" i="35" s="1"/>
  <c r="H70" i="35"/>
  <c r="H75" i="35" s="1"/>
  <c r="G70" i="35"/>
  <c r="G75" i="35" s="1"/>
  <c r="F70" i="35"/>
  <c r="E70" i="35"/>
  <c r="E75" i="35" s="1"/>
  <c r="N46" i="35"/>
  <c r="M46" i="35"/>
  <c r="L46" i="35"/>
  <c r="K46" i="35"/>
  <c r="J46" i="35"/>
  <c r="I46" i="35"/>
  <c r="H46" i="35"/>
  <c r="G46" i="35"/>
  <c r="F46" i="35"/>
  <c r="E46" i="35"/>
  <c r="D40" i="35"/>
  <c r="C40" i="35"/>
  <c r="J38" i="35"/>
  <c r="I38" i="35"/>
  <c r="F38" i="35"/>
  <c r="E38" i="35"/>
  <c r="D38" i="35"/>
  <c r="C38" i="35"/>
  <c r="N58" i="35"/>
  <c r="M58" i="35"/>
  <c r="L58" i="35"/>
  <c r="K58" i="35"/>
  <c r="J37" i="35"/>
  <c r="J58" i="35" s="1"/>
  <c r="I37" i="35"/>
  <c r="I58" i="35" s="1"/>
  <c r="H58" i="35"/>
  <c r="G58" i="35"/>
  <c r="F37" i="35"/>
  <c r="F58" i="35" s="1"/>
  <c r="E37" i="35"/>
  <c r="E58" i="35" s="1"/>
  <c r="D37" i="35"/>
  <c r="C37" i="35"/>
  <c r="J36" i="35"/>
  <c r="I36" i="35"/>
  <c r="F36" i="35"/>
  <c r="E36" i="35"/>
  <c r="D36" i="35"/>
  <c r="C36" i="35"/>
  <c r="J35" i="35"/>
  <c r="I35" i="35"/>
  <c r="F35" i="35"/>
  <c r="E35" i="35"/>
  <c r="D35" i="35"/>
  <c r="C35" i="35"/>
  <c r="J34" i="35"/>
  <c r="I34" i="35"/>
  <c r="F34" i="35"/>
  <c r="E34" i="35"/>
  <c r="D34" i="35"/>
  <c r="C34" i="35"/>
  <c r="J33" i="35"/>
  <c r="I33" i="35"/>
  <c r="F33" i="35"/>
  <c r="E33" i="35"/>
  <c r="D33" i="35"/>
  <c r="C33" i="35"/>
  <c r="J32" i="35"/>
  <c r="I32" i="35"/>
  <c r="F32" i="35"/>
  <c r="E32" i="35"/>
  <c r="D32" i="35"/>
  <c r="C32" i="35"/>
  <c r="J31" i="35"/>
  <c r="I31" i="35"/>
  <c r="F31" i="35"/>
  <c r="E31" i="35"/>
  <c r="D31" i="35"/>
  <c r="C31" i="35"/>
  <c r="J30" i="35"/>
  <c r="I30" i="35"/>
  <c r="F30" i="35"/>
  <c r="E30" i="35"/>
  <c r="D30" i="35"/>
  <c r="C30" i="35"/>
  <c r="N57" i="35"/>
  <c r="M57" i="35"/>
  <c r="L57" i="35"/>
  <c r="K57" i="35"/>
  <c r="J29" i="35"/>
  <c r="J57" i="35" s="1"/>
  <c r="I29" i="35"/>
  <c r="I57" i="35" s="1"/>
  <c r="H57" i="35"/>
  <c r="G57" i="35"/>
  <c r="F29" i="35"/>
  <c r="F57" i="35" s="1"/>
  <c r="E29" i="35"/>
  <c r="E57" i="35" s="1"/>
  <c r="D29" i="35"/>
  <c r="C29" i="35"/>
  <c r="N56" i="35"/>
  <c r="M56" i="35"/>
  <c r="L56" i="35"/>
  <c r="K56" i="35"/>
  <c r="J28" i="35"/>
  <c r="J56" i="35" s="1"/>
  <c r="I28" i="35"/>
  <c r="I56" i="35" s="1"/>
  <c r="H56" i="35"/>
  <c r="G56" i="35"/>
  <c r="F28" i="35"/>
  <c r="F56" i="35" s="1"/>
  <c r="E28" i="35"/>
  <c r="E56" i="35" s="1"/>
  <c r="D28" i="35"/>
  <c r="C28" i="35"/>
  <c r="N55" i="35"/>
  <c r="M55" i="35"/>
  <c r="L55" i="35"/>
  <c r="K55" i="35"/>
  <c r="J27" i="35"/>
  <c r="J55" i="35" s="1"/>
  <c r="I27" i="35"/>
  <c r="I55" i="35" s="1"/>
  <c r="H55" i="35"/>
  <c r="G55" i="35"/>
  <c r="F27" i="35"/>
  <c r="F55" i="35" s="1"/>
  <c r="E27" i="35"/>
  <c r="E55" i="35" s="1"/>
  <c r="D27" i="35"/>
  <c r="C27" i="35"/>
  <c r="N54" i="35"/>
  <c r="M54" i="35"/>
  <c r="L54" i="35"/>
  <c r="K54" i="35"/>
  <c r="J26" i="35"/>
  <c r="J54" i="35" s="1"/>
  <c r="I26" i="35"/>
  <c r="I54" i="35" s="1"/>
  <c r="H54" i="35"/>
  <c r="G54" i="35"/>
  <c r="F26" i="35"/>
  <c r="F54" i="35" s="1"/>
  <c r="E26" i="35"/>
  <c r="E54" i="35" s="1"/>
  <c r="D26" i="35"/>
  <c r="C26" i="35"/>
  <c r="N53" i="35"/>
  <c r="J25" i="35"/>
  <c r="H40" i="35"/>
  <c r="G40" i="35"/>
  <c r="F25" i="35"/>
  <c r="F53" i="35" s="1"/>
  <c r="E25" i="35"/>
  <c r="N22" i="35"/>
  <c r="M22" i="35"/>
  <c r="L22" i="35"/>
  <c r="K22" i="35"/>
  <c r="J22" i="35"/>
  <c r="I22" i="35"/>
  <c r="H22" i="35"/>
  <c r="G22" i="35"/>
  <c r="F22" i="35"/>
  <c r="E22" i="35"/>
  <c r="D22" i="35"/>
  <c r="C22" i="35"/>
  <c r="H48" i="73"/>
  <c r="M18" i="73"/>
  <c r="F88" i="73"/>
  <c r="F48" i="73"/>
  <c r="H40" i="73"/>
  <c r="M14" i="73"/>
  <c r="G48" i="73"/>
  <c r="H88" i="73"/>
  <c r="P10" i="73"/>
  <c r="M2" i="73"/>
  <c r="F40" i="73"/>
  <c r="G40" i="73"/>
  <c r="G88" i="73"/>
  <c r="N22" i="73"/>
  <c r="AW89" i="32" l="1"/>
  <c r="Q42" i="37"/>
  <c r="Q68" i="60"/>
  <c r="Q75" i="60" s="1"/>
  <c r="Q81" i="60" s="1"/>
  <c r="M75" i="60"/>
  <c r="M81" i="60" s="1"/>
  <c r="M71" i="60"/>
  <c r="N75" i="60"/>
  <c r="N81" i="60" s="1"/>
  <c r="N71" i="60"/>
  <c r="O75" i="60"/>
  <c r="O81" i="60" s="1"/>
  <c r="O71" i="60"/>
  <c r="Q67" i="59"/>
  <c r="Q74" i="59" s="1"/>
  <c r="Q80" i="59" s="1"/>
  <c r="M70" i="59"/>
  <c r="M74" i="59"/>
  <c r="M80" i="59" s="1"/>
  <c r="N74" i="59"/>
  <c r="N80" i="59" s="1"/>
  <c r="N70" i="59"/>
  <c r="O70" i="59"/>
  <c r="O74" i="59"/>
  <c r="O80" i="59" s="1"/>
  <c r="AF99" i="32"/>
  <c r="N75" i="51"/>
  <c r="N81" i="51" s="1"/>
  <c r="AI210" i="42"/>
  <c r="AJ209" i="42"/>
  <c r="AJ210" i="42" s="1"/>
  <c r="M75" i="51"/>
  <c r="M81" i="51" s="1"/>
  <c r="I28" i="43"/>
  <c r="O75" i="51"/>
  <c r="O81" i="51" s="1"/>
  <c r="Q69" i="65"/>
  <c r="M72" i="65"/>
  <c r="M76" i="65"/>
  <c r="M82" i="65" s="1"/>
  <c r="N72" i="65"/>
  <c r="N76" i="65"/>
  <c r="N82" i="65" s="1"/>
  <c r="O72" i="65"/>
  <c r="O76" i="65"/>
  <c r="O82" i="65" s="1"/>
  <c r="I73" i="35"/>
  <c r="I90" i="35" s="1"/>
  <c r="AG443" i="23"/>
  <c r="AL443" i="23"/>
  <c r="AM443" i="23"/>
  <c r="AN443" i="23"/>
  <c r="AE443" i="23"/>
  <c r="AJ443" i="23"/>
  <c r="AD369" i="23"/>
  <c r="AH443" i="23"/>
  <c r="V16" i="52"/>
  <c r="V38" i="52"/>
  <c r="AF443" i="23"/>
  <c r="AI443" i="23"/>
  <c r="V37" i="32"/>
  <c r="W37" i="32"/>
  <c r="Y10" i="41"/>
  <c r="Z9" i="19"/>
  <c r="Z21" i="19" s="1"/>
  <c r="AD368" i="23"/>
  <c r="AB10" i="23"/>
  <c r="AB23" i="23" s="1"/>
  <c r="AD483" i="23"/>
  <c r="AG483" i="23" s="1"/>
  <c r="AD356" i="23"/>
  <c r="Z10" i="42"/>
  <c r="AA10" i="20"/>
  <c r="AA23" i="20" s="1"/>
  <c r="AA330" i="22"/>
  <c r="AG330" i="22" s="1"/>
  <c r="AA9" i="22"/>
  <c r="AA21" i="22" s="1"/>
  <c r="AA219" i="22"/>
  <c r="AI59" i="52"/>
  <c r="AI59" i="32" s="1"/>
  <c r="AA10" i="22"/>
  <c r="V51" i="57"/>
  <c r="Y11" i="22"/>
  <c r="W38" i="57"/>
  <c r="W16" i="57"/>
  <c r="W23" i="57" s="1"/>
  <c r="W29" i="57" s="1"/>
  <c r="V25" i="22"/>
  <c r="X7" i="57" s="1"/>
  <c r="AA9" i="20"/>
  <c r="AA21" i="20" s="1"/>
  <c r="W25" i="19"/>
  <c r="I3" i="37"/>
  <c r="J3" i="37" s="1"/>
  <c r="K3" i="37" s="1"/>
  <c r="L3" i="37" s="1"/>
  <c r="M3" i="37" s="1"/>
  <c r="N3" i="37" s="1"/>
  <c r="O3" i="37" s="1"/>
  <c r="Z10" i="19"/>
  <c r="Z23" i="19" s="1"/>
  <c r="Y25" i="23"/>
  <c r="AA7" i="63" s="1"/>
  <c r="AF350" i="23"/>
  <c r="AF352" i="23" s="1"/>
  <c r="AF354" i="23" s="1"/>
  <c r="AF355" i="23" s="1"/>
  <c r="AF364" i="23" s="1"/>
  <c r="AF45" i="23"/>
  <c r="AF47" i="23" s="1"/>
  <c r="AF49" i="23" s="1"/>
  <c r="AF50" i="23" s="1"/>
  <c r="AD58" i="23"/>
  <c r="AD60" i="23"/>
  <c r="AD180" i="23" s="1"/>
  <c r="AM180" i="23" s="1"/>
  <c r="AD59" i="23"/>
  <c r="AE47" i="23"/>
  <c r="AE49" i="23" s="1"/>
  <c r="AE50" i="23" s="1"/>
  <c r="AE52" i="23" s="1"/>
  <c r="AE365" i="23"/>
  <c r="AE364" i="23"/>
  <c r="AE363" i="23"/>
  <c r="AE401" i="23"/>
  <c r="AD401" i="23"/>
  <c r="AD366" i="23" s="1"/>
  <c r="AI401" i="23"/>
  <c r="AH401" i="23"/>
  <c r="AK401" i="23"/>
  <c r="AG401" i="23"/>
  <c r="AF401" i="23"/>
  <c r="AJ401" i="23"/>
  <c r="AN401" i="23"/>
  <c r="AM401" i="23"/>
  <c r="AL401" i="23"/>
  <c r="AJ442" i="23"/>
  <c r="AE442" i="23"/>
  <c r="AF442" i="23"/>
  <c r="AM442" i="23"/>
  <c r="AD442" i="23"/>
  <c r="AD367" i="23" s="1"/>
  <c r="AI442" i="23"/>
  <c r="AG442" i="23"/>
  <c r="AN442" i="23"/>
  <c r="AL442" i="23"/>
  <c r="AH442" i="23"/>
  <c r="AK442" i="23"/>
  <c r="AC366" i="23"/>
  <c r="AC367" i="23"/>
  <c r="AL482" i="23"/>
  <c r="AF482" i="23"/>
  <c r="W51" i="63"/>
  <c r="W23" i="61"/>
  <c r="W29" i="61" s="1"/>
  <c r="Z11" i="23"/>
  <c r="X11" i="19"/>
  <c r="X18" i="19" s="1"/>
  <c r="X45" i="63"/>
  <c r="X29" i="63"/>
  <c r="W25" i="42"/>
  <c r="X11" i="42"/>
  <c r="X18" i="42" s="1"/>
  <c r="Y12" i="20"/>
  <c r="Y16" i="20" s="1"/>
  <c r="V45" i="61"/>
  <c r="V73" i="61" s="1"/>
  <c r="V79" i="61" s="1"/>
  <c r="Y12" i="22"/>
  <c r="Y16" i="22" s="1"/>
  <c r="X12" i="22"/>
  <c r="X16" i="22" s="1"/>
  <c r="X11" i="22"/>
  <c r="Y11" i="20"/>
  <c r="V24" i="65"/>
  <c r="V30" i="65" s="1"/>
  <c r="AU26" i="32"/>
  <c r="AU48" i="32" s="1"/>
  <c r="Y45" i="63"/>
  <c r="Y29" i="63"/>
  <c r="Z16" i="63"/>
  <c r="Z38" i="63"/>
  <c r="W24" i="65"/>
  <c r="U30" i="65"/>
  <c r="U46" i="65"/>
  <c r="Y7" i="61"/>
  <c r="X38" i="61"/>
  <c r="X16" i="61"/>
  <c r="U71" i="52"/>
  <c r="T71" i="62"/>
  <c r="T77" i="62" s="1"/>
  <c r="X6" i="62"/>
  <c r="V22" i="62"/>
  <c r="W15" i="62"/>
  <c r="W22" i="62" s="1"/>
  <c r="W7" i="52"/>
  <c r="W37" i="62"/>
  <c r="V60" i="52"/>
  <c r="U44" i="62"/>
  <c r="U28" i="62"/>
  <c r="X7" i="60"/>
  <c r="X1" i="60" s="1"/>
  <c r="W38" i="60"/>
  <c r="W16" i="60"/>
  <c r="W23" i="60" s="1"/>
  <c r="U51" i="60"/>
  <c r="U73" i="60"/>
  <c r="U79" i="60" s="1"/>
  <c r="V45" i="60"/>
  <c r="V29" i="60"/>
  <c r="AJ59" i="51"/>
  <c r="AK402" i="23"/>
  <c r="AJ402" i="23"/>
  <c r="AM402" i="23"/>
  <c r="AL402" i="23"/>
  <c r="AN402" i="23"/>
  <c r="AI402" i="23"/>
  <c r="AH402" i="23"/>
  <c r="AG402" i="23"/>
  <c r="AF402" i="23"/>
  <c r="AE402" i="23"/>
  <c r="Y13" i="23"/>
  <c r="AG330" i="23"/>
  <c r="AD330" i="23"/>
  <c r="AM330" i="23"/>
  <c r="AJ330" i="23"/>
  <c r="AH290" i="23"/>
  <c r="AG290" i="23"/>
  <c r="AF290" i="23"/>
  <c r="AE290" i="23"/>
  <c r="AN290" i="23"/>
  <c r="AM290" i="23"/>
  <c r="AI290" i="23"/>
  <c r="AD290" i="23"/>
  <c r="AC290" i="23"/>
  <c r="AB290" i="23"/>
  <c r="AL290" i="23"/>
  <c r="AK290" i="23"/>
  <c r="AJ290" i="23"/>
  <c r="AH249" i="23"/>
  <c r="AG249" i="23"/>
  <c r="AF249" i="23"/>
  <c r="AE249" i="23"/>
  <c r="AC249" i="23"/>
  <c r="AK249" i="23"/>
  <c r="AL249" i="23" s="1"/>
  <c r="AM249" i="23" s="1"/>
  <c r="AN249" i="23" s="1"/>
  <c r="AB249" i="23"/>
  <c r="AJ249" i="23"/>
  <c r="AI249" i="23"/>
  <c r="AD249" i="23"/>
  <c r="AA217" i="23"/>
  <c r="Z16" i="23"/>
  <c r="AG480" i="22"/>
  <c r="AD480" i="22"/>
  <c r="AM480" i="22"/>
  <c r="AJ480" i="22"/>
  <c r="AI439" i="22"/>
  <c r="AH439" i="22"/>
  <c r="AG439" i="22"/>
  <c r="AF439" i="22"/>
  <c r="AM439" i="22"/>
  <c r="AL439" i="22"/>
  <c r="AK439" i="22"/>
  <c r="AJ439" i="22"/>
  <c r="AE439" i="22"/>
  <c r="AD439" i="22"/>
  <c r="AC439" i="22"/>
  <c r="AN439" i="22"/>
  <c r="AA439" i="22"/>
  <c r="AB439" i="22"/>
  <c r="AI398" i="22"/>
  <c r="AG398" i="22"/>
  <c r="AF398" i="22"/>
  <c r="AH398" i="22"/>
  <c r="AD398" i="22"/>
  <c r="AE398" i="22"/>
  <c r="AC398" i="22"/>
  <c r="AB398" i="22"/>
  <c r="AL398" i="22"/>
  <c r="AJ398" i="22"/>
  <c r="AK398" i="22"/>
  <c r="AA398" i="22"/>
  <c r="AM398" i="22"/>
  <c r="AN398" i="22"/>
  <c r="AB213" i="22"/>
  <c r="AB207" i="22"/>
  <c r="AB215" i="22"/>
  <c r="AB206" i="22" s="1"/>
  <c r="AH290" i="22"/>
  <c r="AF290" i="22"/>
  <c r="AG290" i="22"/>
  <c r="AL290" i="22"/>
  <c r="AJ290" i="22"/>
  <c r="AI290" i="22"/>
  <c r="AE290" i="22"/>
  <c r="AD290" i="22"/>
  <c r="AK290" i="22"/>
  <c r="AM290" i="22"/>
  <c r="AC290" i="22"/>
  <c r="AB290" i="22"/>
  <c r="AN290" i="22"/>
  <c r="Z220" i="22"/>
  <c r="Z221" i="22" s="1"/>
  <c r="AG249" i="22"/>
  <c r="AE249" i="22"/>
  <c r="AD249" i="22"/>
  <c r="AK249" i="22"/>
  <c r="AL249" i="22" s="1"/>
  <c r="AM249" i="22" s="1"/>
  <c r="AN249" i="22" s="1"/>
  <c r="AJ249" i="22"/>
  <c r="AI249" i="22"/>
  <c r="AH249" i="22"/>
  <c r="AF249" i="22"/>
  <c r="AC249" i="22"/>
  <c r="AB249" i="22"/>
  <c r="Y370" i="22"/>
  <c r="Y371" i="22" s="1"/>
  <c r="AL176" i="22"/>
  <c r="AI176" i="22"/>
  <c r="AF176" i="22"/>
  <c r="AC176" i="22"/>
  <c r="AI134" i="22"/>
  <c r="AG134" i="22"/>
  <c r="AH134" i="22"/>
  <c r="AF134" i="22"/>
  <c r="AE134" i="22"/>
  <c r="AD134" i="22"/>
  <c r="AL134" i="22"/>
  <c r="AK134" i="22"/>
  <c r="AJ134" i="22"/>
  <c r="AC134" i="22"/>
  <c r="AB134" i="22"/>
  <c r="AA134" i="22"/>
  <c r="AN134" i="22"/>
  <c r="AM134" i="22"/>
  <c r="AI93" i="22"/>
  <c r="AH93" i="22"/>
  <c r="AG93" i="22"/>
  <c r="AF93" i="22"/>
  <c r="AL93" i="22"/>
  <c r="AK93" i="22"/>
  <c r="AE93" i="22"/>
  <c r="AD93" i="22"/>
  <c r="AC93" i="22"/>
  <c r="AB93" i="22"/>
  <c r="AA93" i="22"/>
  <c r="AN93" i="22"/>
  <c r="AM93" i="22"/>
  <c r="AJ93" i="22"/>
  <c r="AL481" i="19"/>
  <c r="AF481" i="19"/>
  <c r="AH440" i="19"/>
  <c r="AF440" i="19"/>
  <c r="AG440" i="19"/>
  <c r="AN440" i="19"/>
  <c r="AM440" i="19"/>
  <c r="AL440" i="19"/>
  <c r="AK440" i="19"/>
  <c r="AJ440" i="19"/>
  <c r="AI440" i="19"/>
  <c r="AE440" i="19"/>
  <c r="AD440" i="19"/>
  <c r="AC440" i="19"/>
  <c r="AH399" i="19"/>
  <c r="AG399" i="19"/>
  <c r="AF399" i="19"/>
  <c r="AE399" i="19"/>
  <c r="AD399" i="19"/>
  <c r="AC399" i="19"/>
  <c r="AN399" i="19"/>
  <c r="AM399" i="19"/>
  <c r="AL399" i="19"/>
  <c r="AK399" i="19"/>
  <c r="AJ399" i="19"/>
  <c r="AI399" i="19"/>
  <c r="Y218" i="19"/>
  <c r="AN328" i="19"/>
  <c r="AK328" i="19"/>
  <c r="AH328" i="19"/>
  <c r="AE328" i="19"/>
  <c r="AB328" i="19"/>
  <c r="AK288" i="19"/>
  <c r="AI288" i="19"/>
  <c r="AH288" i="19"/>
  <c r="AE288" i="19"/>
  <c r="AD288" i="19"/>
  <c r="AC288" i="19"/>
  <c r="AB288" i="19"/>
  <c r="AA288" i="19"/>
  <c r="Z288" i="19"/>
  <c r="AN288" i="19"/>
  <c r="AM288" i="19"/>
  <c r="AJ288" i="19"/>
  <c r="AG288" i="19"/>
  <c r="AF288" i="19"/>
  <c r="AL288" i="19"/>
  <c r="AI247" i="19"/>
  <c r="AH247" i="19"/>
  <c r="AC247" i="19"/>
  <c r="AB247" i="19"/>
  <c r="AM247" i="19"/>
  <c r="AK247" i="19"/>
  <c r="AJ247" i="19"/>
  <c r="AG247" i="19"/>
  <c r="AL247" i="19"/>
  <c r="AN247" i="19"/>
  <c r="AF247" i="19"/>
  <c r="AE247" i="19"/>
  <c r="AD247" i="19"/>
  <c r="AA247" i="19"/>
  <c r="Z247" i="19"/>
  <c r="AG177" i="19"/>
  <c r="AD177" i="19"/>
  <c r="AM177" i="19"/>
  <c r="AJ177" i="19"/>
  <c r="AH134" i="19"/>
  <c r="AG134" i="19"/>
  <c r="AF134" i="19"/>
  <c r="AE134" i="19"/>
  <c r="AM134" i="19"/>
  <c r="AL134" i="19"/>
  <c r="AK134" i="19"/>
  <c r="AJ134" i="19"/>
  <c r="AI134" i="19"/>
  <c r="AD134" i="19"/>
  <c r="AC134" i="19"/>
  <c r="AB134" i="19"/>
  <c r="AA134" i="19"/>
  <c r="AN134" i="19"/>
  <c r="AH93" i="19"/>
  <c r="AG93" i="19"/>
  <c r="AF93" i="19"/>
  <c r="AA93" i="19"/>
  <c r="AN93" i="19"/>
  <c r="AM93" i="19"/>
  <c r="AL93" i="19"/>
  <c r="AK93" i="19"/>
  <c r="AJ93" i="19"/>
  <c r="AC93" i="19"/>
  <c r="AB93" i="19"/>
  <c r="AI93" i="19"/>
  <c r="AE93" i="19"/>
  <c r="AD93" i="19"/>
  <c r="AN487" i="20"/>
  <c r="AI482" i="20"/>
  <c r="AM486" i="20"/>
  <c r="AN481" i="20"/>
  <c r="AL485" i="20"/>
  <c r="AK481" i="20"/>
  <c r="AK484" i="20"/>
  <c r="AJ483" i="20"/>
  <c r="AH481" i="20"/>
  <c r="AE481" i="20"/>
  <c r="AG440" i="20"/>
  <c r="AF440" i="20"/>
  <c r="AD440" i="20"/>
  <c r="AN440" i="20"/>
  <c r="AC440" i="20"/>
  <c r="AB440" i="20"/>
  <c r="AI440" i="20"/>
  <c r="AH440" i="20"/>
  <c r="AE440" i="20"/>
  <c r="AM440" i="20"/>
  <c r="AL440" i="20"/>
  <c r="AK440" i="20"/>
  <c r="AJ440" i="20"/>
  <c r="AH399" i="20"/>
  <c r="AG399" i="20"/>
  <c r="AF399" i="20"/>
  <c r="AI399" i="20"/>
  <c r="AE399" i="20"/>
  <c r="AD399" i="20"/>
  <c r="AC399" i="20"/>
  <c r="AJ399" i="20"/>
  <c r="AB399" i="20"/>
  <c r="AN399" i="20"/>
  <c r="AM399" i="20"/>
  <c r="AL399" i="20"/>
  <c r="AK399" i="20"/>
  <c r="Y220" i="20"/>
  <c r="Y221" i="20" s="1"/>
  <c r="Z218" i="20"/>
  <c r="AL329" i="20"/>
  <c r="AI329" i="20"/>
  <c r="AC329" i="20"/>
  <c r="AF329" i="20"/>
  <c r="AI289" i="20"/>
  <c r="AH289" i="20"/>
  <c r="AC289" i="20"/>
  <c r="AB289" i="20"/>
  <c r="AA289" i="20"/>
  <c r="AE289" i="20"/>
  <c r="AD289" i="20"/>
  <c r="AM289" i="20"/>
  <c r="AJ289" i="20"/>
  <c r="AN289" i="20"/>
  <c r="AL289" i="20"/>
  <c r="AK289" i="20"/>
  <c r="AG289" i="20"/>
  <c r="AF289" i="20"/>
  <c r="AI248" i="20"/>
  <c r="AH248" i="20"/>
  <c r="AE248" i="20"/>
  <c r="AG248" i="20"/>
  <c r="AF248" i="20"/>
  <c r="AD248" i="20"/>
  <c r="AC248" i="20"/>
  <c r="AB248" i="20"/>
  <c r="AK248" i="20"/>
  <c r="AL248" i="20" s="1"/>
  <c r="AM248" i="20" s="1"/>
  <c r="AN248" i="20" s="1"/>
  <c r="AJ248" i="20"/>
  <c r="AA248" i="20"/>
  <c r="AH440" i="42"/>
  <c r="AG440" i="42"/>
  <c r="AF440" i="42"/>
  <c r="AE440" i="42"/>
  <c r="AN440" i="42"/>
  <c r="AM440" i="42"/>
  <c r="AL440" i="42"/>
  <c r="AK440" i="42"/>
  <c r="AC440" i="42"/>
  <c r="AB440" i="42"/>
  <c r="AB367" i="42" s="1"/>
  <c r="AJ440" i="42"/>
  <c r="AI440" i="42"/>
  <c r="AD440" i="42"/>
  <c r="AH441" i="42"/>
  <c r="AG441" i="42"/>
  <c r="AF441" i="42"/>
  <c r="AE441" i="42"/>
  <c r="AI441" i="42"/>
  <c r="AD441" i="42"/>
  <c r="AC441" i="42"/>
  <c r="AM441" i="42"/>
  <c r="AK441" i="42"/>
  <c r="AN441" i="42"/>
  <c r="AL441" i="42"/>
  <c r="AJ441" i="42"/>
  <c r="AH399" i="42"/>
  <c r="AG399" i="42"/>
  <c r="AF399" i="42"/>
  <c r="AE399" i="42"/>
  <c r="AN399" i="42"/>
  <c r="AM399" i="42"/>
  <c r="AL399" i="42"/>
  <c r="AK399" i="42"/>
  <c r="AJ399" i="42"/>
  <c r="AC399" i="42"/>
  <c r="AB399" i="42"/>
  <c r="AB366" i="42" s="1"/>
  <c r="AI399" i="42"/>
  <c r="AD399" i="42"/>
  <c r="Z370" i="42"/>
  <c r="Z371" i="42" s="1"/>
  <c r="AH400" i="42"/>
  <c r="AG400" i="42"/>
  <c r="AF400" i="42"/>
  <c r="AE400" i="42"/>
  <c r="AD400" i="42"/>
  <c r="AC400" i="42"/>
  <c r="AN400" i="42"/>
  <c r="AJ400" i="42"/>
  <c r="AL400" i="42"/>
  <c r="AM400" i="42"/>
  <c r="AK400" i="42"/>
  <c r="AI400" i="42"/>
  <c r="Y218" i="42"/>
  <c r="AN328" i="42"/>
  <c r="AK328" i="42"/>
  <c r="AH328" i="42"/>
  <c r="AE328" i="42"/>
  <c r="AB328" i="42"/>
  <c r="AK288" i="42"/>
  <c r="AI288" i="42"/>
  <c r="AH288" i="42"/>
  <c r="AE288" i="42"/>
  <c r="AC288" i="42"/>
  <c r="AB288" i="42"/>
  <c r="AA288" i="42"/>
  <c r="Z288" i="42"/>
  <c r="AM288" i="42"/>
  <c r="AL288" i="42"/>
  <c r="AN288" i="42"/>
  <c r="AJ288" i="42"/>
  <c r="AG288" i="42"/>
  <c r="AF288" i="42"/>
  <c r="AD288" i="42"/>
  <c r="AK247" i="42"/>
  <c r="AJ247" i="42"/>
  <c r="AI247" i="42"/>
  <c r="AH247" i="42"/>
  <c r="AG247" i="42"/>
  <c r="AF247" i="42"/>
  <c r="AE247" i="42"/>
  <c r="AN247" i="42"/>
  <c r="AD247" i="42"/>
  <c r="AM247" i="42"/>
  <c r="AL247" i="42"/>
  <c r="AC247" i="42"/>
  <c r="AB247" i="42"/>
  <c r="AA247" i="42"/>
  <c r="Z247" i="42"/>
  <c r="W13" i="42"/>
  <c r="X16" i="42"/>
  <c r="AD177" i="42"/>
  <c r="AJ177" i="42"/>
  <c r="AG177" i="42"/>
  <c r="AM177" i="42"/>
  <c r="AH135" i="42"/>
  <c r="AD135" i="42"/>
  <c r="AG135" i="42"/>
  <c r="AF135" i="42"/>
  <c r="AE135" i="42"/>
  <c r="AC135" i="42"/>
  <c r="AN135" i="42"/>
  <c r="AB135" i="42"/>
  <c r="AI135" i="42"/>
  <c r="AJ135" i="42"/>
  <c r="AL135" i="42"/>
  <c r="AM135" i="42"/>
  <c r="AK135" i="42"/>
  <c r="AH94" i="42"/>
  <c r="AG94" i="42"/>
  <c r="AF94" i="42"/>
  <c r="AK94" i="42"/>
  <c r="AJ94" i="42"/>
  <c r="AI94" i="42"/>
  <c r="AE94" i="42"/>
  <c r="AD94" i="42"/>
  <c r="AL94" i="42"/>
  <c r="AC94" i="42"/>
  <c r="AB94" i="42"/>
  <c r="AN94" i="42"/>
  <c r="AM94" i="42"/>
  <c r="AL479" i="41"/>
  <c r="AI479" i="41"/>
  <c r="AF479" i="41"/>
  <c r="AC479" i="41"/>
  <c r="Y218" i="41"/>
  <c r="AK328" i="41"/>
  <c r="AE328" i="41"/>
  <c r="AN328" i="41"/>
  <c r="AH328" i="41"/>
  <c r="AB328" i="41"/>
  <c r="AK288" i="41"/>
  <c r="AJ288" i="41"/>
  <c r="AG288" i="41"/>
  <c r="AE288" i="41"/>
  <c r="AD288" i="41"/>
  <c r="AC288" i="41"/>
  <c r="AB288" i="41"/>
  <c r="AN288" i="41"/>
  <c r="AM288" i="41"/>
  <c r="AF288" i="41"/>
  <c r="AA288" i="41"/>
  <c r="Z288" i="41"/>
  <c r="AL288" i="41"/>
  <c r="AI288" i="41"/>
  <c r="AH288" i="41"/>
  <c r="AK247" i="41"/>
  <c r="AJ247" i="41"/>
  <c r="AI247" i="41"/>
  <c r="AG247" i="41"/>
  <c r="AH247" i="41"/>
  <c r="AF247" i="41"/>
  <c r="AC247" i="41"/>
  <c r="AB247" i="41"/>
  <c r="Z247" i="41"/>
  <c r="AA247" i="41"/>
  <c r="AL247" i="41"/>
  <c r="AE247" i="41"/>
  <c r="AD247" i="41"/>
  <c r="AM247" i="41"/>
  <c r="AN247" i="41"/>
  <c r="AJ174" i="41"/>
  <c r="AG174" i="41"/>
  <c r="AD174" i="41"/>
  <c r="AA174" i="41"/>
  <c r="AM174" i="41"/>
  <c r="AN132" i="41"/>
  <c r="AB132" i="41"/>
  <c r="AL132" i="41"/>
  <c r="Z132" i="41"/>
  <c r="AK132" i="41"/>
  <c r="Y132" i="41"/>
  <c r="AE132" i="41"/>
  <c r="AC132" i="41"/>
  <c r="AA132" i="41"/>
  <c r="AD132" i="41"/>
  <c r="AJ132" i="41"/>
  <c r="AG132" i="41"/>
  <c r="AF132" i="41"/>
  <c r="AI132" i="41"/>
  <c r="AH132" i="41"/>
  <c r="AM132" i="41"/>
  <c r="AN91" i="41"/>
  <c r="AB91" i="41"/>
  <c r="AM91" i="41"/>
  <c r="AA91" i="41"/>
  <c r="AL91" i="41"/>
  <c r="Z91" i="41"/>
  <c r="AK91" i="41"/>
  <c r="Y91" i="41"/>
  <c r="AF91" i="41"/>
  <c r="AD91" i="41"/>
  <c r="AE91" i="41"/>
  <c r="AJ91" i="41"/>
  <c r="AI91" i="41"/>
  <c r="AH91" i="41"/>
  <c r="AG91" i="41"/>
  <c r="AC91" i="41"/>
  <c r="AA40" i="16"/>
  <c r="Z42" i="16"/>
  <c r="N47" i="52"/>
  <c r="M47" i="52"/>
  <c r="O47" i="52"/>
  <c r="K73" i="35"/>
  <c r="K86" i="35" s="1"/>
  <c r="I40" i="35"/>
  <c r="O25" i="35"/>
  <c r="O34" i="35"/>
  <c r="E53" i="35"/>
  <c r="K75" i="35"/>
  <c r="O33" i="35"/>
  <c r="J40" i="35"/>
  <c r="O32" i="35"/>
  <c r="O31" i="35"/>
  <c r="N40" i="35"/>
  <c r="F73" i="35"/>
  <c r="F90" i="35" s="1"/>
  <c r="J73" i="35"/>
  <c r="J97" i="35" s="1"/>
  <c r="O27" i="35"/>
  <c r="O28" i="35"/>
  <c r="O29" i="35"/>
  <c r="O30" i="35"/>
  <c r="F75" i="35"/>
  <c r="O58" i="35"/>
  <c r="AC205" i="22"/>
  <c r="AC207" i="22" s="1"/>
  <c r="W13" i="19"/>
  <c r="X16" i="19"/>
  <c r="AN45" i="16"/>
  <c r="AM45" i="16"/>
  <c r="AU42" i="37"/>
  <c r="AG69" i="75" s="1"/>
  <c r="AI69" i="75" s="1"/>
  <c r="AM24" i="37"/>
  <c r="AM26" i="37" s="1"/>
  <c r="AM27" i="37" s="1"/>
  <c r="AN24" i="37"/>
  <c r="AN26" i="37" s="1"/>
  <c r="AN27" i="37" s="1"/>
  <c r="AO24" i="37"/>
  <c r="AO26" i="37" s="1"/>
  <c r="X26" i="37"/>
  <c r="X27" i="37" s="1"/>
  <c r="AU7" i="37"/>
  <c r="Y26" i="37"/>
  <c r="Y27" i="37" s="1"/>
  <c r="AL24" i="37"/>
  <c r="AL26" i="37" s="1"/>
  <c r="AL44" i="37" s="1"/>
  <c r="Y217" i="42"/>
  <c r="AC365" i="42"/>
  <c r="AC364" i="42"/>
  <c r="AC363" i="42"/>
  <c r="AC60" i="42"/>
  <c r="AC58" i="42"/>
  <c r="AC59" i="42"/>
  <c r="AA63" i="42"/>
  <c r="AA62" i="42"/>
  <c r="AA367" i="42"/>
  <c r="AD354" i="42"/>
  <c r="AD355" i="42" s="1"/>
  <c r="Y216" i="42"/>
  <c r="AA366" i="42"/>
  <c r="AB178" i="42"/>
  <c r="AA61" i="42"/>
  <c r="X220" i="42"/>
  <c r="X221" i="42" s="1"/>
  <c r="Z65" i="42"/>
  <c r="Z66" i="42" s="1"/>
  <c r="AB64" i="42"/>
  <c r="AB95" i="42"/>
  <c r="AB51" i="42"/>
  <c r="AB136" i="42"/>
  <c r="AE350" i="42"/>
  <c r="AE352" i="42" s="1"/>
  <c r="AE354" i="42" s="1"/>
  <c r="AE355" i="42" s="1"/>
  <c r="AE45" i="42"/>
  <c r="AD47" i="42"/>
  <c r="AD49" i="42" s="1"/>
  <c r="AD50" i="42" s="1"/>
  <c r="AD52" i="42" s="1"/>
  <c r="AA365" i="41"/>
  <c r="AA480" i="41" s="1"/>
  <c r="AA363" i="41"/>
  <c r="AA364" i="41"/>
  <c r="Z59" i="41"/>
  <c r="Z60" i="41"/>
  <c r="Z58" i="41"/>
  <c r="Z9" i="41" s="1"/>
  <c r="Z21" i="41" s="1"/>
  <c r="Z52" i="41"/>
  <c r="Z368" i="41"/>
  <c r="Y133" i="41"/>
  <c r="Y51" i="41"/>
  <c r="X23" i="41"/>
  <c r="Y92" i="41"/>
  <c r="Y64" i="41"/>
  <c r="AC350" i="41"/>
  <c r="AC352" i="41" s="1"/>
  <c r="AC354" i="41" s="1"/>
  <c r="AC355" i="41" s="1"/>
  <c r="AC45" i="41"/>
  <c r="Y175" i="41"/>
  <c r="AB47" i="41"/>
  <c r="AB354" i="41"/>
  <c r="AB355" i="41" s="1"/>
  <c r="X63" i="41"/>
  <c r="Z439" i="41"/>
  <c r="Z356" i="41"/>
  <c r="AC200" i="41"/>
  <c r="AC202" i="41" s="1"/>
  <c r="Z398" i="41"/>
  <c r="Z369" i="41"/>
  <c r="AA49" i="41"/>
  <c r="AA50" i="41" s="1"/>
  <c r="AF20" i="41"/>
  <c r="AD15" i="41"/>
  <c r="AC65" i="23"/>
  <c r="AC66" i="23" s="1"/>
  <c r="AB65" i="23"/>
  <c r="AB66" i="23" s="1"/>
  <c r="AA216" i="23"/>
  <c r="AA12" i="23" s="1"/>
  <c r="AA216" i="22"/>
  <c r="AA217" i="22"/>
  <c r="AD350" i="22"/>
  <c r="AD352" i="22" s="1"/>
  <c r="AD45" i="22"/>
  <c r="AD200" i="22"/>
  <c r="AD202" i="22" s="1"/>
  <c r="AD204" i="22" s="1"/>
  <c r="AD205" i="22" s="1"/>
  <c r="Z366" i="22"/>
  <c r="W18" i="22"/>
  <c r="W25" i="22" s="1"/>
  <c r="W13" i="22"/>
  <c r="Z61" i="22"/>
  <c r="AC47" i="22"/>
  <c r="AC49" i="22" s="1"/>
  <c r="AC50" i="22" s="1"/>
  <c r="AC52" i="22" s="1"/>
  <c r="Z23" i="22"/>
  <c r="Y65" i="22"/>
  <c r="Y66" i="22" s="1"/>
  <c r="AB59" i="22"/>
  <c r="AB60" i="22"/>
  <c r="AB58" i="22"/>
  <c r="AC354" i="22"/>
  <c r="AC355" i="22" s="1"/>
  <c r="AA94" i="22"/>
  <c r="AA64" i="22"/>
  <c r="AB364" i="22"/>
  <c r="AB363" i="22"/>
  <c r="AB365" i="22"/>
  <c r="AB481" i="22" s="1"/>
  <c r="Z367" i="22"/>
  <c r="AA177" i="22"/>
  <c r="Z63" i="22"/>
  <c r="AA135" i="22"/>
  <c r="AA51" i="22"/>
  <c r="AA368" i="22"/>
  <c r="Z62" i="22"/>
  <c r="AA399" i="22"/>
  <c r="AA369" i="22"/>
  <c r="X65" i="22"/>
  <c r="X66" i="22" s="1"/>
  <c r="AA356" i="22"/>
  <c r="AA440" i="22"/>
  <c r="AA369" i="19"/>
  <c r="AA370" i="19" s="1"/>
  <c r="Y217" i="19"/>
  <c r="Y216" i="19"/>
  <c r="Y12" i="19" s="1"/>
  <c r="Z62" i="19"/>
  <c r="AC441" i="19"/>
  <c r="AC355" i="19"/>
  <c r="AC367" i="19"/>
  <c r="AD363" i="19"/>
  <c r="AD364" i="19"/>
  <c r="AD362" i="19"/>
  <c r="AA51" i="19"/>
  <c r="AA135" i="19"/>
  <c r="AA94" i="19"/>
  <c r="AA64" i="19"/>
  <c r="AC49" i="19"/>
  <c r="AC50" i="19" s="1"/>
  <c r="AA63" i="19"/>
  <c r="Y65" i="19"/>
  <c r="Y66" i="19" s="1"/>
  <c r="AB366" i="19"/>
  <c r="Z61" i="19"/>
  <c r="AB365" i="19"/>
  <c r="AC368" i="19"/>
  <c r="AC400" i="19"/>
  <c r="Z369" i="19"/>
  <c r="Z370" i="19" s="1"/>
  <c r="X220" i="19"/>
  <c r="X221" i="19" s="1"/>
  <c r="AE349" i="19"/>
  <c r="AE351" i="19" s="1"/>
  <c r="AE45" i="19"/>
  <c r="AB58" i="19"/>
  <c r="AB60" i="19"/>
  <c r="AB178" i="19" s="1"/>
  <c r="AB59" i="19"/>
  <c r="AB52" i="19"/>
  <c r="AD47" i="19"/>
  <c r="AB93" i="20"/>
  <c r="AJ93" i="20"/>
  <c r="AE93" i="20"/>
  <c r="AL93" i="20"/>
  <c r="AK93" i="20"/>
  <c r="AH93" i="20"/>
  <c r="AD93" i="20"/>
  <c r="AI93" i="20"/>
  <c r="AG93" i="20"/>
  <c r="AC93" i="20"/>
  <c r="AA93" i="20"/>
  <c r="AA61" i="20" s="1"/>
  <c r="AN93" i="20"/>
  <c r="AM93" i="20"/>
  <c r="AF93" i="20"/>
  <c r="Z61" i="20"/>
  <c r="AE178" i="20"/>
  <c r="AN178" i="20"/>
  <c r="AK178" i="20"/>
  <c r="AH178" i="20"/>
  <c r="Y65" i="20"/>
  <c r="Y66" i="20" s="1"/>
  <c r="AI94" i="20"/>
  <c r="AE94" i="20"/>
  <c r="AH94" i="20"/>
  <c r="AF94" i="20"/>
  <c r="AB94" i="20"/>
  <c r="AN94" i="20"/>
  <c r="AK94" i="20"/>
  <c r="AJ94" i="20"/>
  <c r="AM94" i="20"/>
  <c r="AD94" i="20"/>
  <c r="AG94" i="20"/>
  <c r="AC94" i="20"/>
  <c r="AL94" i="20"/>
  <c r="AE135" i="20"/>
  <c r="AI135" i="20"/>
  <c r="AC135" i="20"/>
  <c r="AH135" i="20"/>
  <c r="AG135" i="20"/>
  <c r="AL135" i="20"/>
  <c r="AK135" i="20"/>
  <c r="AF135" i="20"/>
  <c r="AD135" i="20"/>
  <c r="AN135" i="20"/>
  <c r="AM135" i="20"/>
  <c r="AJ135" i="20"/>
  <c r="AB135" i="20"/>
  <c r="AC58" i="20"/>
  <c r="AC59" i="20"/>
  <c r="AC60" i="20"/>
  <c r="AC179" i="20" s="1"/>
  <c r="X18" i="20"/>
  <c r="X25" i="20" s="1"/>
  <c r="X13" i="20"/>
  <c r="AD363" i="20"/>
  <c r="AD364" i="20"/>
  <c r="AD365" i="20"/>
  <c r="AD483" i="20" s="1"/>
  <c r="AB51" i="20"/>
  <c r="AB136" i="20"/>
  <c r="AD47" i="20"/>
  <c r="AA367" i="20"/>
  <c r="AB63" i="20"/>
  <c r="AE45" i="20"/>
  <c r="AE350" i="20"/>
  <c r="AE352" i="20" s="1"/>
  <c r="AB368" i="20"/>
  <c r="AM134" i="20"/>
  <c r="AL134" i="20"/>
  <c r="AJ134" i="20"/>
  <c r="AI134" i="20"/>
  <c r="AK134" i="20"/>
  <c r="AN134" i="20"/>
  <c r="AB134" i="20"/>
  <c r="AA134" i="20"/>
  <c r="AA62" i="20" s="1"/>
  <c r="AF134" i="20"/>
  <c r="AE134" i="20"/>
  <c r="AD134" i="20"/>
  <c r="AC134" i="20"/>
  <c r="AG134" i="20"/>
  <c r="AH134" i="20"/>
  <c r="Z62" i="20"/>
  <c r="AC364" i="20"/>
  <c r="AC363" i="20"/>
  <c r="AC365" i="20"/>
  <c r="AB369" i="20"/>
  <c r="AB400" i="20"/>
  <c r="AA366" i="20"/>
  <c r="AB95" i="20"/>
  <c r="AB64" i="20"/>
  <c r="AB356" i="20"/>
  <c r="AB441" i="20"/>
  <c r="Z216" i="20"/>
  <c r="AA215" i="42"/>
  <c r="AA213" i="42"/>
  <c r="AA9" i="42" s="1"/>
  <c r="AA21" i="42" s="1"/>
  <c r="AA214" i="42"/>
  <c r="AA207" i="42"/>
  <c r="Z206" i="42"/>
  <c r="Z289" i="42"/>
  <c r="Z248" i="42"/>
  <c r="Z219" i="42"/>
  <c r="AC202" i="42"/>
  <c r="AD200" i="42"/>
  <c r="AB204" i="42"/>
  <c r="AB205" i="42" s="1"/>
  <c r="Z329" i="42"/>
  <c r="AB204" i="41"/>
  <c r="AB205" i="41" s="1"/>
  <c r="Z219" i="41"/>
  <c r="Z248" i="41"/>
  <c r="Z329" i="41"/>
  <c r="AA215" i="41"/>
  <c r="AA213" i="41"/>
  <c r="AA214" i="41"/>
  <c r="AA207" i="41"/>
  <c r="Z289" i="41"/>
  <c r="Z206" i="41"/>
  <c r="AC214" i="23"/>
  <c r="AC215" i="23"/>
  <c r="AC213" i="23"/>
  <c r="AC9" i="23" s="1"/>
  <c r="AC21" i="23" s="1"/>
  <c r="AC207" i="23"/>
  <c r="AF200" i="23"/>
  <c r="AB291" i="23"/>
  <c r="AB206" i="23"/>
  <c r="AD204" i="23"/>
  <c r="AD205" i="23" s="1"/>
  <c r="AB219" i="23"/>
  <c r="AB250" i="23"/>
  <c r="AB331" i="23"/>
  <c r="AE202" i="23"/>
  <c r="Z220" i="23"/>
  <c r="Z221" i="23" s="1"/>
  <c r="AA218" i="23"/>
  <c r="AB291" i="22"/>
  <c r="AC202" i="19"/>
  <c r="Z219" i="19"/>
  <c r="Z248" i="19"/>
  <c r="Z289" i="19"/>
  <c r="Z206" i="19"/>
  <c r="AD200" i="19"/>
  <c r="Z329" i="19"/>
  <c r="AB204" i="19"/>
  <c r="AB205" i="19" s="1"/>
  <c r="AA213" i="19"/>
  <c r="AA9" i="19" s="1"/>
  <c r="AA215" i="19"/>
  <c r="AA214" i="19"/>
  <c r="AA207" i="19"/>
  <c r="AB214" i="20"/>
  <c r="AB215" i="20"/>
  <c r="AB213" i="20"/>
  <c r="AB9" i="20" s="1"/>
  <c r="AB21" i="20" s="1"/>
  <c r="AB207" i="20"/>
  <c r="AE200" i="20"/>
  <c r="AD202" i="20"/>
  <c r="AA249" i="20"/>
  <c r="AA219" i="20"/>
  <c r="Z217" i="20"/>
  <c r="AA330" i="20"/>
  <c r="AC204" i="20"/>
  <c r="AC205" i="20" s="1"/>
  <c r="AA290" i="20"/>
  <c r="AA206" i="20"/>
  <c r="AK24" i="37"/>
  <c r="AK26" i="37" s="1"/>
  <c r="AK44" i="37" s="1"/>
  <c r="O22" i="16"/>
  <c r="AO32" i="32"/>
  <c r="AP32" i="32"/>
  <c r="AQ32" i="32"/>
  <c r="AO76" i="32"/>
  <c r="AO82" i="32" s="1"/>
  <c r="AO54" i="32"/>
  <c r="AR54" i="32"/>
  <c r="AR76" i="32"/>
  <c r="AR82" i="32" s="1"/>
  <c r="AH32" i="32"/>
  <c r="AR32" i="32"/>
  <c r="AF85" i="32"/>
  <c r="AH54" i="32"/>
  <c r="AH76" i="32"/>
  <c r="AH82" i="32" s="1"/>
  <c r="AN76" i="32"/>
  <c r="AN82" i="32" s="1"/>
  <c r="AN54" i="32"/>
  <c r="AK54" i="32"/>
  <c r="AL54" i="32"/>
  <c r="AM48" i="32"/>
  <c r="AM32" i="32"/>
  <c r="AU85" i="32"/>
  <c r="AQ76" i="32"/>
  <c r="AQ82" i="32" s="1"/>
  <c r="AP76" i="32"/>
  <c r="AP82" i="32" s="1"/>
  <c r="AP54" i="32"/>
  <c r="AI54" i="32"/>
  <c r="AJ48" i="32"/>
  <c r="AJ32" i="32"/>
  <c r="AI32" i="32"/>
  <c r="AN32" i="32"/>
  <c r="AS48" i="32"/>
  <c r="AS32" i="32"/>
  <c r="AK32" i="32"/>
  <c r="AL32" i="32"/>
  <c r="V32" i="32"/>
  <c r="Y32" i="32"/>
  <c r="Y76" i="32"/>
  <c r="Y82" i="32" s="1"/>
  <c r="Y54" i="32"/>
  <c r="X48" i="32"/>
  <c r="X32" i="32"/>
  <c r="V54" i="32"/>
  <c r="V76" i="32"/>
  <c r="V82" i="32" s="1"/>
  <c r="AF41" i="32"/>
  <c r="U76" i="32"/>
  <c r="U82" i="32" s="1"/>
  <c r="AF90" i="32"/>
  <c r="AA48" i="32"/>
  <c r="AA32" i="32"/>
  <c r="S48" i="32"/>
  <c r="AF19" i="32"/>
  <c r="Z48" i="32"/>
  <c r="T48" i="32"/>
  <c r="AD48" i="32"/>
  <c r="AC26" i="32"/>
  <c r="T32" i="32"/>
  <c r="W48" i="32"/>
  <c r="W32" i="32"/>
  <c r="U32" i="32"/>
  <c r="AB48" i="32"/>
  <c r="AB32" i="32"/>
  <c r="AF10" i="32"/>
  <c r="AU12" i="37"/>
  <c r="AP24" i="37"/>
  <c r="AP26" i="37" s="1"/>
  <c r="AH44" i="37"/>
  <c r="AH27" i="37"/>
  <c r="AQ24" i="37"/>
  <c r="AQ26" i="37" s="1"/>
  <c r="AR24" i="37"/>
  <c r="AR26" i="37" s="1"/>
  <c r="AS24" i="37"/>
  <c r="AS26" i="37" s="1"/>
  <c r="AI24" i="37"/>
  <c r="AI26" i="37" s="1"/>
  <c r="AJ24" i="37"/>
  <c r="AJ26" i="37" s="1"/>
  <c r="AF42" i="37"/>
  <c r="N69" i="75" s="1"/>
  <c r="P69" i="75" s="1"/>
  <c r="W15" i="37"/>
  <c r="U15" i="37"/>
  <c r="AC12" i="37"/>
  <c r="AC26" i="37" s="1"/>
  <c r="S26" i="37"/>
  <c r="S15" i="37"/>
  <c r="T24" i="37"/>
  <c r="U24" i="37"/>
  <c r="U26" i="37" s="1"/>
  <c r="V24" i="37"/>
  <c r="W24" i="37"/>
  <c r="W26" i="37" s="1"/>
  <c r="AA12" i="37"/>
  <c r="AA26" i="37" s="1"/>
  <c r="AB12" i="37"/>
  <c r="AB26" i="37" s="1"/>
  <c r="Z12" i="37"/>
  <c r="Z26" i="37" s="1"/>
  <c r="AD12" i="37"/>
  <c r="AD26" i="37" s="1"/>
  <c r="O62" i="37"/>
  <c r="M12" i="37"/>
  <c r="M14" i="37" s="1"/>
  <c r="M26" i="37" s="1"/>
  <c r="O12" i="37"/>
  <c r="O14" i="37" s="1"/>
  <c r="O26" i="37" s="1"/>
  <c r="N12" i="37"/>
  <c r="N14" i="37" s="1"/>
  <c r="N26" i="37" s="1"/>
  <c r="Q19" i="37"/>
  <c r="Q60" i="37"/>
  <c r="Q59" i="37"/>
  <c r="N62" i="37"/>
  <c r="G73" i="35"/>
  <c r="O57" i="35"/>
  <c r="L73" i="35"/>
  <c r="G53" i="35"/>
  <c r="O55" i="35"/>
  <c r="K40" i="35"/>
  <c r="O35" i="35"/>
  <c r="O36" i="35"/>
  <c r="O38" i="35"/>
  <c r="H53" i="35"/>
  <c r="L40" i="35"/>
  <c r="L53" i="35"/>
  <c r="L60" i="35" s="1"/>
  <c r="I53" i="35"/>
  <c r="F40" i="35"/>
  <c r="J53" i="35"/>
  <c r="N60" i="35"/>
  <c r="K53" i="35"/>
  <c r="K60" i="35" s="1"/>
  <c r="O26" i="35"/>
  <c r="H73" i="35"/>
  <c r="E73" i="35"/>
  <c r="E40" i="35"/>
  <c r="O54" i="35"/>
  <c r="O56" i="35"/>
  <c r="O37" i="35"/>
  <c r="M73" i="35"/>
  <c r="M75" i="35"/>
  <c r="M40" i="35"/>
  <c r="M53" i="35"/>
  <c r="M60" i="35" s="1"/>
  <c r="N73" i="35"/>
  <c r="N75" i="35"/>
  <c r="N14" i="73"/>
  <c r="O22" i="73"/>
  <c r="N18" i="73"/>
  <c r="F80" i="73"/>
  <c r="Q10" i="73"/>
  <c r="N2" i="73"/>
  <c r="AV10" i="32" l="1"/>
  <c r="Q24" i="37"/>
  <c r="Q76" i="65"/>
  <c r="Q82" i="65"/>
  <c r="F28" i="43"/>
  <c r="Q71" i="60"/>
  <c r="Q70" i="59"/>
  <c r="I97" i="35"/>
  <c r="I91" i="35"/>
  <c r="I87" i="35"/>
  <c r="N71" i="51"/>
  <c r="I86" i="35"/>
  <c r="I96" i="35"/>
  <c r="I85" i="35"/>
  <c r="I92" i="35"/>
  <c r="F94" i="35"/>
  <c r="I76" i="35"/>
  <c r="F98" i="35"/>
  <c r="F87" i="35"/>
  <c r="I88" i="35"/>
  <c r="J87" i="35"/>
  <c r="I95" i="35"/>
  <c r="F96" i="35"/>
  <c r="J90" i="35"/>
  <c r="I94" i="35"/>
  <c r="F86" i="35"/>
  <c r="I98" i="35"/>
  <c r="I93" i="35"/>
  <c r="F95" i="35"/>
  <c r="F97" i="35"/>
  <c r="J91" i="35"/>
  <c r="F85" i="35"/>
  <c r="F89" i="35"/>
  <c r="AD330" i="22"/>
  <c r="F93" i="35"/>
  <c r="J93" i="35"/>
  <c r="F92" i="35"/>
  <c r="J85" i="35"/>
  <c r="J95" i="35"/>
  <c r="F76" i="35"/>
  <c r="J94" i="35"/>
  <c r="F91" i="35"/>
  <c r="F88" i="35"/>
  <c r="J76" i="35"/>
  <c r="J96" i="35"/>
  <c r="I89" i="35"/>
  <c r="X25" i="19"/>
  <c r="AM330" i="22"/>
  <c r="AA10" i="19"/>
  <c r="AA23" i="19" s="1"/>
  <c r="O71" i="51"/>
  <c r="K91" i="35"/>
  <c r="K92" i="35"/>
  <c r="AK209" i="42"/>
  <c r="K94" i="35"/>
  <c r="K87" i="35"/>
  <c r="Q68" i="51"/>
  <c r="K89" i="35"/>
  <c r="K98" i="35"/>
  <c r="AA10" i="42"/>
  <c r="AA23" i="42" s="1"/>
  <c r="K76" i="35"/>
  <c r="K90" i="35"/>
  <c r="K93" i="35"/>
  <c r="M71" i="51"/>
  <c r="K97" i="35"/>
  <c r="K88" i="35"/>
  <c r="K95" i="35"/>
  <c r="J60" i="35"/>
  <c r="I60" i="35"/>
  <c r="H60" i="35"/>
  <c r="G60" i="35"/>
  <c r="K96" i="35"/>
  <c r="K85" i="35"/>
  <c r="Q72" i="65"/>
  <c r="W16" i="52"/>
  <c r="W38" i="52"/>
  <c r="AM483" i="23"/>
  <c r="AU32" i="32"/>
  <c r="X37" i="32"/>
  <c r="Z10" i="41"/>
  <c r="AA218" i="22"/>
  <c r="AA220" i="22" s="1"/>
  <c r="AA221" i="22" s="1"/>
  <c r="AJ330" i="22"/>
  <c r="AF365" i="23"/>
  <c r="AF363" i="23"/>
  <c r="AF404" i="23" s="1"/>
  <c r="AB10" i="20"/>
  <c r="AB23" i="20" s="1"/>
  <c r="AJ59" i="52"/>
  <c r="AJ59" i="32" s="1"/>
  <c r="AB10" i="22"/>
  <c r="AC213" i="22"/>
  <c r="AC251" i="22" s="1"/>
  <c r="AB9" i="22"/>
  <c r="AB21" i="22" s="1"/>
  <c r="AB219" i="22"/>
  <c r="W45" i="57"/>
  <c r="W73" i="57" s="1"/>
  <c r="W79" i="57" s="1"/>
  <c r="X16" i="57"/>
  <c r="X38" i="57"/>
  <c r="Y7" i="57"/>
  <c r="W45" i="61"/>
  <c r="W51" i="61" s="1"/>
  <c r="AD63" i="23"/>
  <c r="AA21" i="19"/>
  <c r="Y11" i="42"/>
  <c r="AG180" i="23"/>
  <c r="AJ180" i="23"/>
  <c r="AD370" i="23"/>
  <c r="AD371" i="23" s="1"/>
  <c r="AE59" i="23"/>
  <c r="AE58" i="23"/>
  <c r="AE60" i="23"/>
  <c r="AE181" i="23" s="1"/>
  <c r="AE63" i="23" s="1"/>
  <c r="AC10" i="23"/>
  <c r="AC23" i="23" s="1"/>
  <c r="AD97" i="23"/>
  <c r="AD64" i="23"/>
  <c r="AE403" i="23"/>
  <c r="AE369" i="23"/>
  <c r="AE444" i="23"/>
  <c r="AE356" i="23"/>
  <c r="AE484" i="23"/>
  <c r="AE368" i="23"/>
  <c r="AD138" i="23"/>
  <c r="AD51" i="23"/>
  <c r="AC370" i="23"/>
  <c r="AC371" i="23" s="1"/>
  <c r="AG45" i="23"/>
  <c r="AG47" i="23" s="1"/>
  <c r="AG49" i="23" s="1"/>
  <c r="AG50" i="23" s="1"/>
  <c r="AG52" i="23" s="1"/>
  <c r="AG350" i="23"/>
  <c r="AG352" i="23" s="1"/>
  <c r="AG354" i="23" s="1"/>
  <c r="AG355" i="23" s="1"/>
  <c r="AG364" i="23" s="1"/>
  <c r="Y11" i="19"/>
  <c r="Y18" i="19" s="1"/>
  <c r="Z23" i="63"/>
  <c r="Z45" i="63" s="1"/>
  <c r="X25" i="42"/>
  <c r="AA11" i="23"/>
  <c r="Z12" i="20"/>
  <c r="Z16" i="20" s="1"/>
  <c r="V51" i="61"/>
  <c r="X51" i="63"/>
  <c r="X73" i="63"/>
  <c r="X79" i="63" s="1"/>
  <c r="Z11" i="22"/>
  <c r="Z12" i="22"/>
  <c r="Z16" i="22" s="1"/>
  <c r="Z11" i="20"/>
  <c r="Z18" i="20" s="1"/>
  <c r="V46" i="65"/>
  <c r="V52" i="65" s="1"/>
  <c r="X24" i="65"/>
  <c r="X30" i="65" s="1"/>
  <c r="AA16" i="63"/>
  <c r="AA38" i="63"/>
  <c r="Y73" i="63"/>
  <c r="Y79" i="63" s="1"/>
  <c r="Y51" i="63"/>
  <c r="U52" i="65"/>
  <c r="U74" i="65"/>
  <c r="U80" i="65" s="1"/>
  <c r="W30" i="65"/>
  <c r="W46" i="65"/>
  <c r="Z7" i="61"/>
  <c r="Y38" i="61"/>
  <c r="Y16" i="61"/>
  <c r="X23" i="61"/>
  <c r="V44" i="62"/>
  <c r="V28" i="62"/>
  <c r="W28" i="62"/>
  <c r="W44" i="62"/>
  <c r="W60" i="52"/>
  <c r="X15" i="62"/>
  <c r="X7" i="52"/>
  <c r="X37" i="62"/>
  <c r="Y6" i="62"/>
  <c r="U50" i="62"/>
  <c r="U71" i="62"/>
  <c r="U77" i="62" s="1"/>
  <c r="V71" i="52"/>
  <c r="Y7" i="60"/>
  <c r="Y1" i="60" s="1"/>
  <c r="Y16" i="42"/>
  <c r="AK59" i="51"/>
  <c r="V51" i="60"/>
  <c r="V73" i="60"/>
  <c r="V79" i="60" s="1"/>
  <c r="W45" i="60"/>
  <c r="W29" i="60"/>
  <c r="X38" i="60"/>
  <c r="X16" i="60"/>
  <c r="X23" i="60" s="1"/>
  <c r="AB218" i="23"/>
  <c r="AI332" i="23"/>
  <c r="AJ333" i="23"/>
  <c r="AN337" i="23"/>
  <c r="AM336" i="23"/>
  <c r="AN331" i="23"/>
  <c r="AL335" i="23"/>
  <c r="AK334" i="23"/>
  <c r="AH331" i="23"/>
  <c r="AE331" i="23"/>
  <c r="AK331" i="23"/>
  <c r="AH291" i="23"/>
  <c r="AG291" i="23"/>
  <c r="AF291" i="23"/>
  <c r="AE291" i="23"/>
  <c r="AD291" i="23"/>
  <c r="AC291" i="23"/>
  <c r="AN291" i="23"/>
  <c r="AL291" i="23"/>
  <c r="AM291" i="23"/>
  <c r="AK291" i="23"/>
  <c r="AJ291" i="23"/>
  <c r="AI291" i="23"/>
  <c r="AH250" i="23"/>
  <c r="AG250" i="23"/>
  <c r="AF250" i="23"/>
  <c r="AE250" i="23"/>
  <c r="AC250" i="23"/>
  <c r="AL250" i="23"/>
  <c r="AN250" i="23"/>
  <c r="AM250" i="23"/>
  <c r="AK250" i="23"/>
  <c r="AJ250" i="23"/>
  <c r="AI250" i="23"/>
  <c r="AD250" i="23"/>
  <c r="AA16" i="23"/>
  <c r="Z18" i="23"/>
  <c r="Z13" i="23"/>
  <c r="AC214" i="22"/>
  <c r="AC292" i="22" s="1"/>
  <c r="AB250" i="22"/>
  <c r="AI250" i="22" s="1"/>
  <c r="AB331" i="22"/>
  <c r="AK334" i="22" s="1"/>
  <c r="AJ483" i="22"/>
  <c r="AN487" i="22"/>
  <c r="AI482" i="22"/>
  <c r="AM486" i="22"/>
  <c r="AN481" i="22"/>
  <c r="AL485" i="22"/>
  <c r="AK481" i="22"/>
  <c r="AK484" i="22"/>
  <c r="AH481" i="22"/>
  <c r="AE481" i="22"/>
  <c r="AH440" i="22"/>
  <c r="AG440" i="22"/>
  <c r="AF440" i="22"/>
  <c r="AE440" i="22"/>
  <c r="AN440" i="22"/>
  <c r="AM440" i="22"/>
  <c r="AL440" i="22"/>
  <c r="AK440" i="22"/>
  <c r="AJ440" i="22"/>
  <c r="AB440" i="22"/>
  <c r="AD440" i="22"/>
  <c r="AI440" i="22"/>
  <c r="AC440" i="22"/>
  <c r="AH399" i="22"/>
  <c r="AF399" i="22"/>
  <c r="AE399" i="22"/>
  <c r="AK399" i="22"/>
  <c r="AI399" i="22"/>
  <c r="AJ399" i="22"/>
  <c r="AG399" i="22"/>
  <c r="AD399" i="22"/>
  <c r="AC399" i="22"/>
  <c r="AM399" i="22"/>
  <c r="AB399" i="22"/>
  <c r="AN399" i="22"/>
  <c r="AL399" i="22"/>
  <c r="AC215" i="22"/>
  <c r="AH291" i="22"/>
  <c r="AF291" i="22"/>
  <c r="AG291" i="22"/>
  <c r="AM291" i="22"/>
  <c r="AL291" i="22"/>
  <c r="AK291" i="22"/>
  <c r="AJ291" i="22"/>
  <c r="AN291" i="22"/>
  <c r="AD291" i="22"/>
  <c r="AC291" i="22"/>
  <c r="AI291" i="22"/>
  <c r="AE291" i="22"/>
  <c r="AG177" i="22"/>
  <c r="AD177" i="22"/>
  <c r="AM177" i="22"/>
  <c r="AJ177" i="22"/>
  <c r="AH135" i="22"/>
  <c r="AF135" i="22"/>
  <c r="AG135" i="22"/>
  <c r="AK135" i="22"/>
  <c r="AJ135" i="22"/>
  <c r="AI135" i="22"/>
  <c r="AN135" i="22"/>
  <c r="AM135" i="22"/>
  <c r="AL135" i="22"/>
  <c r="AD135" i="22"/>
  <c r="AC135" i="22"/>
  <c r="AE135" i="22"/>
  <c r="AB135" i="22"/>
  <c r="AH94" i="22"/>
  <c r="AG94" i="22"/>
  <c r="AF94" i="22"/>
  <c r="AE94" i="22"/>
  <c r="AK94" i="22"/>
  <c r="AJ94" i="22"/>
  <c r="AN94" i="22"/>
  <c r="AM94" i="22"/>
  <c r="AL94" i="22"/>
  <c r="AI94" i="22"/>
  <c r="AD94" i="22"/>
  <c r="AC94" i="22"/>
  <c r="AB94" i="22"/>
  <c r="AI441" i="19"/>
  <c r="AG441" i="19"/>
  <c r="AH441" i="19"/>
  <c r="AN441" i="19"/>
  <c r="AJ441" i="19"/>
  <c r="AF441" i="19"/>
  <c r="AE441" i="19"/>
  <c r="AD441" i="19"/>
  <c r="AM441" i="19"/>
  <c r="AL441" i="19"/>
  <c r="AK441" i="19"/>
  <c r="AI400" i="19"/>
  <c r="AH400" i="19"/>
  <c r="AG400" i="19"/>
  <c r="AF400" i="19"/>
  <c r="AE400" i="19"/>
  <c r="AD400" i="19"/>
  <c r="AJ400" i="19"/>
  <c r="AK400" i="19"/>
  <c r="AN400" i="19"/>
  <c r="AM400" i="19"/>
  <c r="AL400" i="19"/>
  <c r="AL329" i="19"/>
  <c r="AI329" i="19"/>
  <c r="AC329" i="19"/>
  <c r="AF329" i="19"/>
  <c r="AI289" i="19"/>
  <c r="AG289" i="19"/>
  <c r="AF289" i="19"/>
  <c r="AH289" i="19"/>
  <c r="AE289" i="19"/>
  <c r="AD289" i="19"/>
  <c r="AC289" i="19"/>
  <c r="AB289" i="19"/>
  <c r="AA289" i="19"/>
  <c r="AN289" i="19"/>
  <c r="AM289" i="19"/>
  <c r="AL289" i="19"/>
  <c r="AK289" i="19"/>
  <c r="AJ289" i="19"/>
  <c r="AG248" i="19"/>
  <c r="AF248" i="19"/>
  <c r="AC248" i="19"/>
  <c r="AB248" i="19"/>
  <c r="AK248" i="19"/>
  <c r="AL248" i="19" s="1"/>
  <c r="AM248" i="19" s="1"/>
  <c r="AN248" i="19" s="1"/>
  <c r="AI248" i="19"/>
  <c r="AH248" i="19"/>
  <c r="AE248" i="19"/>
  <c r="AD248" i="19"/>
  <c r="AA248" i="19"/>
  <c r="AJ248" i="19"/>
  <c r="AN178" i="19"/>
  <c r="AH178" i="19"/>
  <c r="AK178" i="19"/>
  <c r="AE178" i="19"/>
  <c r="AG135" i="19"/>
  <c r="AF135" i="19"/>
  <c r="AE135" i="19"/>
  <c r="AD135" i="19"/>
  <c r="AN135" i="19"/>
  <c r="AM135" i="19"/>
  <c r="AL135" i="19"/>
  <c r="AK135" i="19"/>
  <c r="AJ135" i="19"/>
  <c r="AI135" i="19"/>
  <c r="AH135" i="19"/>
  <c r="AC135" i="19"/>
  <c r="AB135" i="19"/>
  <c r="AG94" i="19"/>
  <c r="AE94" i="19"/>
  <c r="AF94" i="19"/>
  <c r="AC94" i="19"/>
  <c r="AB94" i="19"/>
  <c r="AN94" i="19"/>
  <c r="AL94" i="19"/>
  <c r="AJ94" i="19"/>
  <c r="AI94" i="19"/>
  <c r="AM94" i="19"/>
  <c r="AK94" i="19"/>
  <c r="AH94" i="19"/>
  <c r="AD94" i="19"/>
  <c r="AG483" i="20"/>
  <c r="AM483" i="20"/>
  <c r="AG441" i="20"/>
  <c r="AF441" i="20"/>
  <c r="AD441" i="20"/>
  <c r="AC441" i="20"/>
  <c r="AN441" i="20"/>
  <c r="AM441" i="20"/>
  <c r="AL441" i="20"/>
  <c r="AK441" i="20"/>
  <c r="AJ441" i="20"/>
  <c r="AI441" i="20"/>
  <c r="AH441" i="20"/>
  <c r="AE441" i="20"/>
  <c r="AH400" i="20"/>
  <c r="AG400" i="20"/>
  <c r="AF400" i="20"/>
  <c r="AL400" i="20"/>
  <c r="AK400" i="20"/>
  <c r="AJ400" i="20"/>
  <c r="AI400" i="20"/>
  <c r="AE400" i="20"/>
  <c r="AN400" i="20"/>
  <c r="AM400" i="20"/>
  <c r="AD400" i="20"/>
  <c r="AC400" i="20"/>
  <c r="AA218" i="20"/>
  <c r="AG330" i="20"/>
  <c r="AD330" i="20"/>
  <c r="AJ330" i="20"/>
  <c r="AM330" i="20"/>
  <c r="AH290" i="20"/>
  <c r="AG290" i="20"/>
  <c r="AD290" i="20"/>
  <c r="AC290" i="20"/>
  <c r="AB290" i="20"/>
  <c r="AK290" i="20"/>
  <c r="AJ290" i="20"/>
  <c r="AI290" i="20"/>
  <c r="AF290" i="20"/>
  <c r="AE290" i="20"/>
  <c r="AL290" i="20"/>
  <c r="AN290" i="20"/>
  <c r="AM290" i="20"/>
  <c r="AH249" i="20"/>
  <c r="AG249" i="20"/>
  <c r="AD249" i="20"/>
  <c r="AK249" i="20"/>
  <c r="AL249" i="20" s="1"/>
  <c r="AM249" i="20" s="1"/>
  <c r="AN249" i="20" s="1"/>
  <c r="AJ249" i="20"/>
  <c r="AI249" i="20"/>
  <c r="AF249" i="20"/>
  <c r="AE249" i="20"/>
  <c r="AB249" i="20"/>
  <c r="AC249" i="20"/>
  <c r="Y220" i="42"/>
  <c r="Y221" i="42" s="1"/>
  <c r="AL329" i="42"/>
  <c r="AI329" i="42"/>
  <c r="AF329" i="42"/>
  <c r="AC329" i="42"/>
  <c r="AI289" i="42"/>
  <c r="AG289" i="42"/>
  <c r="AF289" i="42"/>
  <c r="AH289" i="42"/>
  <c r="AD289" i="42"/>
  <c r="AC289" i="42"/>
  <c r="AB289" i="42"/>
  <c r="AA289" i="42"/>
  <c r="AE289" i="42"/>
  <c r="AN289" i="42"/>
  <c r="AM289" i="42"/>
  <c r="AK289" i="42"/>
  <c r="AL289" i="42"/>
  <c r="AJ289" i="42"/>
  <c r="X13" i="42"/>
  <c r="AI248" i="42"/>
  <c r="AH248" i="42"/>
  <c r="AG248" i="42"/>
  <c r="AF248" i="42"/>
  <c r="AK248" i="42"/>
  <c r="AL248" i="42" s="1"/>
  <c r="AM248" i="42" s="1"/>
  <c r="AN248" i="42" s="1"/>
  <c r="AC248" i="42"/>
  <c r="AA248" i="42"/>
  <c r="AB248" i="42"/>
  <c r="AJ248" i="42"/>
  <c r="AE248" i="42"/>
  <c r="AD248" i="42"/>
  <c r="Z216" i="42"/>
  <c r="AN178" i="42"/>
  <c r="AK178" i="42"/>
  <c r="AH178" i="42"/>
  <c r="AE178" i="42"/>
  <c r="AH136" i="42"/>
  <c r="AD136" i="42"/>
  <c r="AG136" i="42"/>
  <c r="AF136" i="42"/>
  <c r="AE136" i="42"/>
  <c r="AC136" i="42"/>
  <c r="AN136" i="42"/>
  <c r="AM136" i="42"/>
  <c r="AJ136" i="42"/>
  <c r="AL136" i="42"/>
  <c r="AK136" i="42"/>
  <c r="AI136" i="42"/>
  <c r="AH95" i="42"/>
  <c r="AG95" i="42"/>
  <c r="AF95" i="42"/>
  <c r="AN95" i="42"/>
  <c r="AM95" i="42"/>
  <c r="AL95" i="42"/>
  <c r="AK95" i="42"/>
  <c r="AJ95" i="42"/>
  <c r="AE95" i="42"/>
  <c r="AD95" i="42"/>
  <c r="AI95" i="42"/>
  <c r="AC95" i="42"/>
  <c r="AG480" i="41"/>
  <c r="AD480" i="41"/>
  <c r="AM480" i="41"/>
  <c r="AJ480" i="41"/>
  <c r="AI439" i="41"/>
  <c r="AG439" i="41"/>
  <c r="AF439" i="41"/>
  <c r="AE439" i="41"/>
  <c r="AD439" i="41"/>
  <c r="AB439" i="41"/>
  <c r="AA439" i="41"/>
  <c r="AN439" i="41"/>
  <c r="AM439" i="41"/>
  <c r="AL439" i="41"/>
  <c r="AJ439" i="41"/>
  <c r="AK439" i="41"/>
  <c r="AH439" i="41"/>
  <c r="AC439" i="41"/>
  <c r="AI398" i="41"/>
  <c r="AG398" i="41"/>
  <c r="AF398" i="41"/>
  <c r="AH398" i="41"/>
  <c r="AE398" i="41"/>
  <c r="AA398" i="41"/>
  <c r="AN398" i="41"/>
  <c r="AM398" i="41"/>
  <c r="AL398" i="41"/>
  <c r="AK398" i="41"/>
  <c r="AJ398" i="41"/>
  <c r="AD398" i="41"/>
  <c r="AC398" i="41"/>
  <c r="AB398" i="41"/>
  <c r="Z218" i="41"/>
  <c r="AL329" i="41"/>
  <c r="AI329" i="41"/>
  <c r="AF329" i="41"/>
  <c r="AC329" i="41"/>
  <c r="AI289" i="41"/>
  <c r="AH289" i="41"/>
  <c r="AE289" i="41"/>
  <c r="AG289" i="41"/>
  <c r="AF289" i="41"/>
  <c r="AD289" i="41"/>
  <c r="AC289" i="41"/>
  <c r="AB289" i="41"/>
  <c r="AA289" i="41"/>
  <c r="AN289" i="41"/>
  <c r="AM289" i="41"/>
  <c r="AL289" i="41"/>
  <c r="AK289" i="41"/>
  <c r="AJ289" i="41"/>
  <c r="AI248" i="41"/>
  <c r="AH248" i="41"/>
  <c r="AG248" i="41"/>
  <c r="AE248" i="41"/>
  <c r="AF248" i="41"/>
  <c r="AD248" i="41"/>
  <c r="AA248" i="41"/>
  <c r="AC248" i="41"/>
  <c r="AB248" i="41"/>
  <c r="AJ248" i="41"/>
  <c r="AK248" i="41"/>
  <c r="AL248" i="41" s="1"/>
  <c r="AM248" i="41" s="1"/>
  <c r="AN248" i="41" s="1"/>
  <c r="AN175" i="41"/>
  <c r="AK175" i="41"/>
  <c r="AH175" i="41"/>
  <c r="AE175" i="41"/>
  <c r="AB175" i="41"/>
  <c r="AK133" i="41"/>
  <c r="AI133" i="41"/>
  <c r="AH133" i="41"/>
  <c r="AE133" i="41"/>
  <c r="AC133" i="41"/>
  <c r="AB133" i="41"/>
  <c r="AD133" i="41"/>
  <c r="AM133" i="41"/>
  <c r="AL133" i="41"/>
  <c r="AJ133" i="41"/>
  <c r="AG133" i="41"/>
  <c r="AN133" i="41"/>
  <c r="AF133" i="41"/>
  <c r="AA133" i="41"/>
  <c r="Z133" i="41"/>
  <c r="AK92" i="41"/>
  <c r="AJ92" i="41"/>
  <c r="AI92" i="41"/>
  <c r="AH92" i="41"/>
  <c r="AG92" i="41"/>
  <c r="AE92" i="41"/>
  <c r="AD92" i="41"/>
  <c r="AF92" i="41"/>
  <c r="AL92" i="41"/>
  <c r="AB92" i="41"/>
  <c r="AA92" i="41"/>
  <c r="AC92" i="41"/>
  <c r="Z92" i="41"/>
  <c r="AM92" i="41"/>
  <c r="AN92" i="41"/>
  <c r="AF59" i="32"/>
  <c r="AB40" i="16"/>
  <c r="AA42" i="16"/>
  <c r="AF59" i="52"/>
  <c r="AL27" i="37"/>
  <c r="Q40" i="52"/>
  <c r="O75" i="52"/>
  <c r="O81" i="52" s="1"/>
  <c r="O53" i="52"/>
  <c r="M53" i="52"/>
  <c r="M75" i="52"/>
  <c r="M81" i="52" s="1"/>
  <c r="N53" i="52"/>
  <c r="N75" i="52"/>
  <c r="N81" i="52" s="1"/>
  <c r="J98" i="35"/>
  <c r="J92" i="35"/>
  <c r="J86" i="35"/>
  <c r="J89" i="35"/>
  <c r="J88" i="35"/>
  <c r="Z370" i="22"/>
  <c r="Z371" i="22" s="1"/>
  <c r="Z217" i="19"/>
  <c r="AB369" i="19"/>
  <c r="AB370" i="19" s="1"/>
  <c r="X13" i="19"/>
  <c r="Y16" i="19"/>
  <c r="Z65" i="19"/>
  <c r="Z66" i="19" s="1"/>
  <c r="Y13" i="20"/>
  <c r="AD368" i="20"/>
  <c r="V25" i="32"/>
  <c r="W25" i="32"/>
  <c r="W31" i="32" s="1"/>
  <c r="U25" i="32"/>
  <c r="AM44" i="37"/>
  <c r="AN44" i="37"/>
  <c r="X44" i="37"/>
  <c r="Y44" i="37"/>
  <c r="Y46" i="37" s="1"/>
  <c r="AU14" i="37"/>
  <c r="AU15" i="37" s="1"/>
  <c r="AO27" i="37"/>
  <c r="AO44" i="37"/>
  <c r="AF12" i="37"/>
  <c r="AK27" i="37"/>
  <c r="AA370" i="42"/>
  <c r="AA371" i="42" s="1"/>
  <c r="AB62" i="42"/>
  <c r="AB63" i="42"/>
  <c r="AC51" i="42"/>
  <c r="AC137" i="42"/>
  <c r="AD365" i="42"/>
  <c r="AD363" i="42"/>
  <c r="AD364" i="42"/>
  <c r="AE364" i="42"/>
  <c r="AE363" i="42"/>
  <c r="AE365" i="42"/>
  <c r="Z217" i="42"/>
  <c r="AB61" i="42"/>
  <c r="AC96" i="42"/>
  <c r="AC64" i="42"/>
  <c r="AE47" i="42"/>
  <c r="AE49" i="42" s="1"/>
  <c r="AE50" i="42" s="1"/>
  <c r="AE52" i="42" s="1"/>
  <c r="AA65" i="42"/>
  <c r="AA66" i="42" s="1"/>
  <c r="AC179" i="42"/>
  <c r="AD60" i="42"/>
  <c r="AD59" i="42"/>
  <c r="AD58" i="42"/>
  <c r="AB370" i="42"/>
  <c r="AB371" i="42" s="1"/>
  <c r="AC401" i="42"/>
  <c r="AC369" i="42"/>
  <c r="AC442" i="42"/>
  <c r="AC356" i="42"/>
  <c r="AF45" i="42"/>
  <c r="AF350" i="42"/>
  <c r="AF352" i="42" s="1"/>
  <c r="AC482" i="42"/>
  <c r="AC368" i="42"/>
  <c r="AB365" i="41"/>
  <c r="AB481" i="41" s="1"/>
  <c r="AB364" i="41"/>
  <c r="AB363" i="41"/>
  <c r="AA59" i="41"/>
  <c r="AA58" i="41"/>
  <c r="AA9" i="41" s="1"/>
  <c r="AA21" i="41" s="1"/>
  <c r="AA60" i="41"/>
  <c r="AA52" i="41"/>
  <c r="AD350" i="41"/>
  <c r="AD352" i="41" s="1"/>
  <c r="AD354" i="41" s="1"/>
  <c r="AD355" i="41" s="1"/>
  <c r="AD45" i="41"/>
  <c r="AD200" i="41"/>
  <c r="AD202" i="41" s="1"/>
  <c r="AC47" i="41"/>
  <c r="AC49" i="41" s="1"/>
  <c r="AC50" i="41" s="1"/>
  <c r="AC52" i="41" s="1"/>
  <c r="AC363" i="41"/>
  <c r="AC365" i="41"/>
  <c r="AC482" i="41" s="1"/>
  <c r="AC364" i="41"/>
  <c r="Y23" i="41"/>
  <c r="Z176" i="41"/>
  <c r="Z134" i="41"/>
  <c r="Z51" i="41"/>
  <c r="AB49" i="41"/>
  <c r="AB50" i="41" s="1"/>
  <c r="AA440" i="41"/>
  <c r="AA356" i="41"/>
  <c r="Y63" i="41"/>
  <c r="AA369" i="41"/>
  <c r="AA399" i="41"/>
  <c r="Z93" i="41"/>
  <c r="Z64" i="41"/>
  <c r="AA368" i="41"/>
  <c r="AE15" i="41"/>
  <c r="AG20" i="41"/>
  <c r="AB217" i="23"/>
  <c r="AB216" i="23"/>
  <c r="AB12" i="23" s="1"/>
  <c r="AA220" i="23"/>
  <c r="AA221" i="23" s="1"/>
  <c r="AF59" i="23"/>
  <c r="AF60" i="23"/>
  <c r="AF58" i="23"/>
  <c r="AF52" i="23"/>
  <c r="AF445" i="23"/>
  <c r="AB217" i="22"/>
  <c r="AC363" i="22"/>
  <c r="AC364" i="22"/>
  <c r="AC365" i="22"/>
  <c r="AA23" i="22"/>
  <c r="AA367" i="22"/>
  <c r="AA63" i="22"/>
  <c r="AB51" i="22"/>
  <c r="AB136" i="22"/>
  <c r="AB368" i="22"/>
  <c r="Y18" i="22"/>
  <c r="Y13" i="22"/>
  <c r="AA366" i="22"/>
  <c r="AB369" i="22"/>
  <c r="AB400" i="22"/>
  <c r="AB441" i="22"/>
  <c r="AB356" i="22"/>
  <c r="AA61" i="22"/>
  <c r="AC58" i="22"/>
  <c r="AC59" i="22"/>
  <c r="AC60" i="22"/>
  <c r="AD47" i="22"/>
  <c r="AD49" i="22" s="1"/>
  <c r="AD50" i="22" s="1"/>
  <c r="AD52" i="22" s="1"/>
  <c r="X18" i="22"/>
  <c r="X13" i="22"/>
  <c r="AB95" i="22"/>
  <c r="AB64" i="22"/>
  <c r="AE45" i="22"/>
  <c r="AE350" i="22"/>
  <c r="AE352" i="22" s="1"/>
  <c r="AE354" i="22" s="1"/>
  <c r="AE355" i="22" s="1"/>
  <c r="AE200" i="22"/>
  <c r="AE202" i="22" s="1"/>
  <c r="AB178" i="22"/>
  <c r="Z65" i="22"/>
  <c r="Z66" i="22" s="1"/>
  <c r="AD354" i="22"/>
  <c r="AD355" i="22" s="1"/>
  <c r="AA62" i="22"/>
  <c r="Y220" i="19"/>
  <c r="Y221" i="19" s="1"/>
  <c r="AC365" i="19"/>
  <c r="AD355" i="19"/>
  <c r="AD442" i="19"/>
  <c r="AC60" i="19"/>
  <c r="AC179" i="19" s="1"/>
  <c r="AC59" i="19"/>
  <c r="AC58" i="19"/>
  <c r="AC52" i="19"/>
  <c r="AF349" i="19"/>
  <c r="AF351" i="19" s="1"/>
  <c r="AF353" i="19" s="1"/>
  <c r="AF354" i="19" s="1"/>
  <c r="AF45" i="19"/>
  <c r="AC366" i="19"/>
  <c r="AE353" i="19"/>
  <c r="AE354" i="19" s="1"/>
  <c r="AD49" i="19"/>
  <c r="AD50" i="19" s="1"/>
  <c r="AD401" i="19"/>
  <c r="AD368" i="19"/>
  <c r="AD482" i="19"/>
  <c r="AD367" i="19"/>
  <c r="AB51" i="19"/>
  <c r="AB136" i="19"/>
  <c r="AB63" i="19"/>
  <c r="AB64" i="19"/>
  <c r="AB95" i="19"/>
  <c r="AE47" i="19"/>
  <c r="AE49" i="19" s="1"/>
  <c r="AE50" i="19" s="1"/>
  <c r="AE52" i="19" s="1"/>
  <c r="AA61" i="19"/>
  <c r="AA62" i="19"/>
  <c r="Z216" i="19"/>
  <c r="Z12" i="19" s="1"/>
  <c r="Y18" i="20"/>
  <c r="Y25" i="20" s="1"/>
  <c r="AA65" i="20"/>
  <c r="AA66" i="20" s="1"/>
  <c r="AA217" i="20"/>
  <c r="AC401" i="20"/>
  <c r="AC369" i="20"/>
  <c r="AC136" i="20"/>
  <c r="AM136" i="20"/>
  <c r="AL136" i="20"/>
  <c r="AK136" i="20"/>
  <c r="AJ136" i="20"/>
  <c r="AE136" i="20"/>
  <c r="AG136" i="20"/>
  <c r="AF136" i="20"/>
  <c r="AN136" i="20"/>
  <c r="AI136" i="20"/>
  <c r="AH136" i="20"/>
  <c r="AD136" i="20"/>
  <c r="AB62" i="20"/>
  <c r="AC442" i="20"/>
  <c r="AC356" i="20"/>
  <c r="Z220" i="20"/>
  <c r="Z221" i="20" s="1"/>
  <c r="AA216" i="20"/>
  <c r="AA12" i="20" s="1"/>
  <c r="AE354" i="20"/>
  <c r="AE355" i="20" s="1"/>
  <c r="AD443" i="20"/>
  <c r="AD356" i="20"/>
  <c r="AH95" i="20"/>
  <c r="AF95" i="20"/>
  <c r="AD95" i="20"/>
  <c r="AE95" i="20"/>
  <c r="AM95" i="20"/>
  <c r="AJ95" i="20"/>
  <c r="AL95" i="20"/>
  <c r="AK95" i="20"/>
  <c r="AC95" i="20"/>
  <c r="AI95" i="20"/>
  <c r="AG95" i="20"/>
  <c r="AN95" i="20"/>
  <c r="AB61" i="20"/>
  <c r="AE47" i="20"/>
  <c r="AE49" i="20" s="1"/>
  <c r="AE50" i="20" s="1"/>
  <c r="AE52" i="20" s="1"/>
  <c r="AD369" i="20"/>
  <c r="AD402" i="20"/>
  <c r="AF45" i="20"/>
  <c r="AF350" i="20"/>
  <c r="AF352" i="20" s="1"/>
  <c r="AF354" i="20" s="1"/>
  <c r="AF355" i="20" s="1"/>
  <c r="AB367" i="20"/>
  <c r="AA370" i="20"/>
  <c r="AA371" i="20" s="1"/>
  <c r="AB366" i="20"/>
  <c r="AC51" i="20"/>
  <c r="AC137" i="20"/>
  <c r="Z65" i="20"/>
  <c r="Z66" i="20" s="1"/>
  <c r="AF179" i="20"/>
  <c r="AL179" i="20"/>
  <c r="AI179" i="20"/>
  <c r="AC63" i="20"/>
  <c r="AC64" i="20"/>
  <c r="AC96" i="20"/>
  <c r="AC482" i="20"/>
  <c r="AC368" i="20"/>
  <c r="AD49" i="20"/>
  <c r="AD50" i="20" s="1"/>
  <c r="AB215" i="42"/>
  <c r="AB213" i="42"/>
  <c r="AB9" i="42" s="1"/>
  <c r="AB21" i="42" s="1"/>
  <c r="AB214" i="42"/>
  <c r="AB207" i="42"/>
  <c r="AD202" i="42"/>
  <c r="AE200" i="42"/>
  <c r="Z218" i="42"/>
  <c r="AC204" i="42"/>
  <c r="AC205" i="42" s="1"/>
  <c r="AA290" i="42"/>
  <c r="AA206" i="42"/>
  <c r="AA249" i="42"/>
  <c r="AA219" i="42"/>
  <c r="AA330" i="42"/>
  <c r="AB215" i="41"/>
  <c r="AB214" i="41"/>
  <c r="AB213" i="41"/>
  <c r="AB207" i="41"/>
  <c r="AA206" i="41"/>
  <c r="AA290" i="41"/>
  <c r="AC204" i="41"/>
  <c r="AC205" i="41" s="1"/>
  <c r="AA219" i="41"/>
  <c r="AA249" i="41"/>
  <c r="AA330" i="41"/>
  <c r="AD215" i="23"/>
  <c r="AD214" i="23"/>
  <c r="AD213" i="23"/>
  <c r="AD9" i="23" s="1"/>
  <c r="AD21" i="23" s="1"/>
  <c r="AD207" i="23"/>
  <c r="AE204" i="23"/>
  <c r="AE205" i="23" s="1"/>
  <c r="AC251" i="23"/>
  <c r="AC219" i="23"/>
  <c r="AG200" i="23"/>
  <c r="AF202" i="23"/>
  <c r="AC332" i="23"/>
  <c r="AC292" i="23"/>
  <c r="AC206" i="23"/>
  <c r="AD215" i="22"/>
  <c r="AD214" i="22"/>
  <c r="AD213" i="22"/>
  <c r="AD207" i="22"/>
  <c r="AD202" i="19"/>
  <c r="AC204" i="19"/>
  <c r="AC205" i="19" s="1"/>
  <c r="AB215" i="19"/>
  <c r="AB213" i="19"/>
  <c r="AB214" i="19"/>
  <c r="AB207" i="19"/>
  <c r="AA290" i="19"/>
  <c r="AA206" i="19"/>
  <c r="AA330" i="19"/>
  <c r="AE200" i="19"/>
  <c r="AA219" i="19"/>
  <c r="AA249" i="19"/>
  <c r="Z218" i="19"/>
  <c r="AC215" i="20"/>
  <c r="AC214" i="20"/>
  <c r="AC213" i="20"/>
  <c r="AC9" i="20" s="1"/>
  <c r="AC21" i="20" s="1"/>
  <c r="AC207" i="20"/>
  <c r="AD204" i="20"/>
  <c r="AD205" i="20" s="1"/>
  <c r="AF200" i="20"/>
  <c r="AE202" i="20"/>
  <c r="AB219" i="20"/>
  <c r="AB250" i="20"/>
  <c r="AB331" i="20"/>
  <c r="AB206" i="20"/>
  <c r="AB291" i="20"/>
  <c r="AU24" i="37"/>
  <c r="P22" i="16"/>
  <c r="AJ76" i="32"/>
  <c r="AJ82" i="32" s="1"/>
  <c r="AJ54" i="32"/>
  <c r="AM76" i="32"/>
  <c r="AM82" i="32" s="1"/>
  <c r="AM54" i="32"/>
  <c r="AS54" i="32"/>
  <c r="AS76" i="32"/>
  <c r="AS82" i="32" s="1"/>
  <c r="AU54" i="32"/>
  <c r="AU76" i="32"/>
  <c r="AU82" i="32" s="1"/>
  <c r="F27" i="43"/>
  <c r="AF26" i="32"/>
  <c r="AF48" i="32" s="1"/>
  <c r="AA76" i="32"/>
  <c r="AA82" i="32" s="1"/>
  <c r="AA54" i="32"/>
  <c r="AC48" i="32"/>
  <c r="AC32" i="32"/>
  <c r="AD76" i="32"/>
  <c r="AD82" i="32" s="1"/>
  <c r="AD54" i="32"/>
  <c r="AB76" i="32"/>
  <c r="AB82" i="32" s="1"/>
  <c r="AB54" i="32"/>
  <c r="T54" i="32"/>
  <c r="T76" i="32"/>
  <c r="T82" i="32" s="1"/>
  <c r="S54" i="32"/>
  <c r="S76" i="32"/>
  <c r="S82" i="32" s="1"/>
  <c r="Z76" i="32"/>
  <c r="Z82" i="32" s="1"/>
  <c r="Z54" i="32"/>
  <c r="X54" i="32"/>
  <c r="X76" i="32"/>
  <c r="X82" i="32" s="1"/>
  <c r="W54" i="32"/>
  <c r="W76" i="32"/>
  <c r="W82" i="32" s="1"/>
  <c r="AS27" i="37"/>
  <c r="AS44" i="37"/>
  <c r="AK46" i="37"/>
  <c r="AJ44" i="37"/>
  <c r="AJ27" i="37"/>
  <c r="AQ44" i="37"/>
  <c r="AQ27" i="37"/>
  <c r="AI44" i="37"/>
  <c r="AI27" i="37"/>
  <c r="AR27" i="37"/>
  <c r="AR44" i="37"/>
  <c r="AL46" i="37"/>
  <c r="AH46" i="37"/>
  <c r="AP44" i="37"/>
  <c r="AP27" i="37"/>
  <c r="Z44" i="37"/>
  <c r="Z27" i="37"/>
  <c r="W44" i="37"/>
  <c r="W27" i="37"/>
  <c r="U27" i="37"/>
  <c r="U44" i="37"/>
  <c r="AF7" i="37"/>
  <c r="V26" i="37"/>
  <c r="V15" i="37"/>
  <c r="AA44" i="37"/>
  <c r="AA27" i="37"/>
  <c r="S44" i="37"/>
  <c r="S27" i="37"/>
  <c r="T26" i="37"/>
  <c r="T15" i="37"/>
  <c r="AC27" i="37"/>
  <c r="AC44" i="37"/>
  <c r="AD27" i="37"/>
  <c r="AD44" i="37"/>
  <c r="AB44" i="37"/>
  <c r="AB27" i="37"/>
  <c r="AF24" i="37"/>
  <c r="Q55" i="37"/>
  <c r="N27" i="37"/>
  <c r="N44" i="37"/>
  <c r="M27" i="37"/>
  <c r="M44" i="37"/>
  <c r="Q7" i="37"/>
  <c r="O27" i="37"/>
  <c r="O44" i="37"/>
  <c r="Q54" i="37"/>
  <c r="E89" i="35"/>
  <c r="E90" i="35"/>
  <c r="E91" i="35"/>
  <c r="E76" i="35"/>
  <c r="E88" i="35"/>
  <c r="E85" i="35"/>
  <c r="E98" i="35"/>
  <c r="E95" i="35"/>
  <c r="E92" i="35"/>
  <c r="E96" i="35"/>
  <c r="E94" i="35"/>
  <c r="E93" i="35"/>
  <c r="E87" i="35"/>
  <c r="E97" i="35"/>
  <c r="E86" i="35"/>
  <c r="M97" i="35"/>
  <c r="M85" i="35"/>
  <c r="M98" i="35"/>
  <c r="M86" i="35"/>
  <c r="M87" i="35"/>
  <c r="M96" i="35"/>
  <c r="M93" i="35"/>
  <c r="M90" i="35"/>
  <c r="M91" i="35"/>
  <c r="M89" i="35"/>
  <c r="M95" i="35"/>
  <c r="M88" i="35"/>
  <c r="M94" i="35"/>
  <c r="M92" i="35"/>
  <c r="M76" i="35"/>
  <c r="H92" i="35"/>
  <c r="H93" i="35"/>
  <c r="H94" i="35"/>
  <c r="H89" i="35"/>
  <c r="H86" i="35"/>
  <c r="H76" i="35"/>
  <c r="H96" i="35"/>
  <c r="H98" i="35"/>
  <c r="H87" i="35"/>
  <c r="H85" i="35"/>
  <c r="H97" i="35"/>
  <c r="H95" i="35"/>
  <c r="H91" i="35"/>
  <c r="H90" i="35"/>
  <c r="H88" i="35"/>
  <c r="L96" i="35"/>
  <c r="L97" i="35"/>
  <c r="L85" i="35"/>
  <c r="L98" i="35"/>
  <c r="L86" i="35"/>
  <c r="L93" i="35"/>
  <c r="L90" i="35"/>
  <c r="L87" i="35"/>
  <c r="L76" i="35"/>
  <c r="L91" i="35"/>
  <c r="L89" i="35"/>
  <c r="L95" i="35"/>
  <c r="L88" i="35"/>
  <c r="L94" i="35"/>
  <c r="L92" i="35"/>
  <c r="O53" i="35"/>
  <c r="G91" i="35"/>
  <c r="G76" i="35"/>
  <c r="G92" i="35"/>
  <c r="G93" i="35"/>
  <c r="G89" i="35"/>
  <c r="G86" i="35"/>
  <c r="G96" i="35"/>
  <c r="G90" i="35"/>
  <c r="G88" i="35"/>
  <c r="G98" i="35"/>
  <c r="G87" i="35"/>
  <c r="G85" i="35"/>
  <c r="G97" i="35"/>
  <c r="G95" i="35"/>
  <c r="G94" i="35"/>
  <c r="N98" i="35"/>
  <c r="N86" i="35"/>
  <c r="N87" i="35"/>
  <c r="N88" i="35"/>
  <c r="N97" i="35"/>
  <c r="N94" i="35"/>
  <c r="N91" i="35"/>
  <c r="N89" i="35"/>
  <c r="N85" i="35"/>
  <c r="N95" i="35"/>
  <c r="N93" i="35"/>
  <c r="N92" i="35"/>
  <c r="N90" i="35"/>
  <c r="N76" i="35"/>
  <c r="N96" i="35"/>
  <c r="O40" i="35"/>
  <c r="O2" i="73"/>
  <c r="P22" i="73"/>
  <c r="H80" i="73"/>
  <c r="O18" i="73"/>
  <c r="G80" i="73"/>
  <c r="O14" i="73"/>
  <c r="H58" i="75" l="1"/>
  <c r="Q75" i="51"/>
  <c r="Q81" i="51"/>
  <c r="Q47" i="52"/>
  <c r="Q53" i="52" s="1"/>
  <c r="N75" i="66"/>
  <c r="N81" i="66" s="1"/>
  <c r="O75" i="66"/>
  <c r="O81" i="66" s="1"/>
  <c r="J58" i="75"/>
  <c r="Q58" i="75"/>
  <c r="S58" i="75" s="1"/>
  <c r="O60" i="35"/>
  <c r="F100" i="35"/>
  <c r="F101" i="35" s="1"/>
  <c r="AG60" i="23"/>
  <c r="AG183" i="23" s="1"/>
  <c r="I100" i="35"/>
  <c r="I101" i="35" s="1"/>
  <c r="K100" i="35"/>
  <c r="K101" i="35" s="1"/>
  <c r="Y25" i="19"/>
  <c r="Q71" i="51"/>
  <c r="AG58" i="23"/>
  <c r="AB10" i="42"/>
  <c r="AB23" i="42" s="1"/>
  <c r="AK210" i="42"/>
  <c r="AC10" i="20"/>
  <c r="AC23" i="20" s="1"/>
  <c r="AB10" i="19"/>
  <c r="AB23" i="19" s="1"/>
  <c r="AL209" i="42"/>
  <c r="AL210" i="42" s="1"/>
  <c r="AC206" i="22"/>
  <c r="AF369" i="23"/>
  <c r="Q68" i="66"/>
  <c r="M75" i="66"/>
  <c r="M81" i="66" s="1"/>
  <c r="AG59" i="23"/>
  <c r="AG141" i="23" s="1"/>
  <c r="AF485" i="23"/>
  <c r="AI485" i="23" s="1"/>
  <c r="X16" i="52"/>
  <c r="X38" i="52"/>
  <c r="AF356" i="23"/>
  <c r="AF368" i="23"/>
  <c r="AA10" i="41"/>
  <c r="AB9" i="19"/>
  <c r="AB21" i="19" s="1"/>
  <c r="AN181" i="23"/>
  <c r="AD10" i="23"/>
  <c r="AD23" i="23" s="1"/>
  <c r="AC219" i="22"/>
  <c r="AK59" i="52"/>
  <c r="AK59" i="32" s="1"/>
  <c r="W51" i="57"/>
  <c r="AC10" i="22"/>
  <c r="AC9" i="22"/>
  <c r="AC21" i="22" s="1"/>
  <c r="AC332" i="22"/>
  <c r="AL332" i="22" s="1"/>
  <c r="X23" i="57"/>
  <c r="X29" i="57" s="1"/>
  <c r="AJ333" i="22"/>
  <c r="Y38" i="57"/>
  <c r="Y16" i="57"/>
  <c r="Y25" i="22"/>
  <c r="AA7" i="57" s="1"/>
  <c r="X25" i="22"/>
  <c r="Z7" i="57" s="1"/>
  <c r="W73" i="61"/>
  <c r="W79" i="61" s="1"/>
  <c r="Z25" i="20"/>
  <c r="AB218" i="22"/>
  <c r="Z11" i="19"/>
  <c r="Z18" i="19" s="1"/>
  <c r="Z25" i="23"/>
  <c r="AB7" i="63" s="1"/>
  <c r="AH181" i="23"/>
  <c r="AK181" i="23"/>
  <c r="AJ444" i="23"/>
  <c r="AI444" i="23"/>
  <c r="AH444" i="23"/>
  <c r="AE367" i="23"/>
  <c r="AK444" i="23"/>
  <c r="AM444" i="23"/>
  <c r="AG444" i="23"/>
  <c r="AF444" i="23"/>
  <c r="AF367" i="23" s="1"/>
  <c r="AN444" i="23"/>
  <c r="AL444" i="23"/>
  <c r="AH403" i="23"/>
  <c r="AG403" i="23"/>
  <c r="AL403" i="23"/>
  <c r="AK403" i="23"/>
  <c r="AJ403" i="23"/>
  <c r="AN403" i="23"/>
  <c r="AM403" i="23"/>
  <c r="AF403" i="23"/>
  <c r="AF366" i="23" s="1"/>
  <c r="AI403" i="23"/>
  <c r="AE366" i="23"/>
  <c r="AG363" i="23"/>
  <c r="AG365" i="23"/>
  <c r="AG486" i="23" s="1"/>
  <c r="AJ486" i="23" s="1"/>
  <c r="AH97" i="23"/>
  <c r="AF97" i="23"/>
  <c r="AD61" i="23"/>
  <c r="AE97" i="23"/>
  <c r="AK97" i="23"/>
  <c r="AJ97" i="23"/>
  <c r="AG97" i="23"/>
  <c r="AN97" i="23"/>
  <c r="AL97" i="23"/>
  <c r="AM97" i="23"/>
  <c r="AI97" i="23"/>
  <c r="AH138" i="23"/>
  <c r="AG138" i="23"/>
  <c r="AL138" i="23"/>
  <c r="AM138" i="23"/>
  <c r="AK138" i="23"/>
  <c r="AI138" i="23"/>
  <c r="AD62" i="23"/>
  <c r="AJ138" i="23"/>
  <c r="AF138" i="23"/>
  <c r="AN138" i="23"/>
  <c r="AE138" i="23"/>
  <c r="AB11" i="23"/>
  <c r="AB18" i="23" s="1"/>
  <c r="AE98" i="23"/>
  <c r="AE64" i="23"/>
  <c r="AH45" i="23"/>
  <c r="AH47" i="23" s="1"/>
  <c r="AH49" i="23" s="1"/>
  <c r="AH50" i="23" s="1"/>
  <c r="AH52" i="23" s="1"/>
  <c r="AH350" i="23"/>
  <c r="AH352" i="23" s="1"/>
  <c r="AH354" i="23" s="1"/>
  <c r="AH355" i="23" s="1"/>
  <c r="Z29" i="63"/>
  <c r="AH484" i="23"/>
  <c r="AN484" i="23"/>
  <c r="AE139" i="23"/>
  <c r="AE51" i="23"/>
  <c r="AJ250" i="22"/>
  <c r="AK250" i="22"/>
  <c r="AB216" i="22"/>
  <c r="AL250" i="22"/>
  <c r="AI332" i="22"/>
  <c r="AN337" i="22"/>
  <c r="AA11" i="20"/>
  <c r="AA18" i="20" s="1"/>
  <c r="AA23" i="63"/>
  <c r="AA29" i="63" s="1"/>
  <c r="AN250" i="22"/>
  <c r="AD250" i="22"/>
  <c r="AE250" i="22"/>
  <c r="AM250" i="22"/>
  <c r="AG250" i="22"/>
  <c r="Z11" i="42"/>
  <c r="X46" i="65"/>
  <c r="X74" i="65" s="1"/>
  <c r="X80" i="65" s="1"/>
  <c r="V74" i="65"/>
  <c r="V80" i="65" s="1"/>
  <c r="AA12" i="22"/>
  <c r="AA16" i="22" s="1"/>
  <c r="AF250" i="22"/>
  <c r="AE331" i="22"/>
  <c r="AC250" i="22"/>
  <c r="AC216" i="22" s="1"/>
  <c r="AH331" i="22"/>
  <c r="AH250" i="22"/>
  <c r="AL335" i="22"/>
  <c r="AM336" i="22"/>
  <c r="AA11" i="22"/>
  <c r="Z51" i="63"/>
  <c r="Z73" i="63"/>
  <c r="Z79" i="63" s="1"/>
  <c r="W52" i="65"/>
  <c r="W74" i="65"/>
  <c r="W80" i="65" s="1"/>
  <c r="Y37" i="32"/>
  <c r="Z37" i="32"/>
  <c r="X29" i="61"/>
  <c r="X45" i="61"/>
  <c r="Y23" i="61"/>
  <c r="AA7" i="61"/>
  <c r="Z16" i="61"/>
  <c r="Z23" i="61" s="1"/>
  <c r="Z38" i="61"/>
  <c r="V71" i="62"/>
  <c r="V77" i="62" s="1"/>
  <c r="V50" i="62"/>
  <c r="Y15" i="62"/>
  <c r="Y22" i="62" s="1"/>
  <c r="Y37" i="62"/>
  <c r="Y7" i="52"/>
  <c r="W71" i="52"/>
  <c r="Z6" i="62"/>
  <c r="X60" i="52"/>
  <c r="W71" i="62"/>
  <c r="W77" i="62" s="1"/>
  <c r="W50" i="62"/>
  <c r="X22" i="62"/>
  <c r="Z7" i="60"/>
  <c r="Z1" i="60" s="1"/>
  <c r="Y18" i="42"/>
  <c r="Y25" i="42" s="1"/>
  <c r="Y13" i="42"/>
  <c r="AL59" i="51"/>
  <c r="W51" i="60"/>
  <c r="W73" i="60"/>
  <c r="W79" i="60" s="1"/>
  <c r="Y16" i="60"/>
  <c r="Y23" i="60" s="1"/>
  <c r="Y38" i="60"/>
  <c r="X45" i="60"/>
  <c r="X29" i="60"/>
  <c r="AI445" i="23"/>
  <c r="AG445" i="23"/>
  <c r="AH445" i="23"/>
  <c r="AN445" i="23"/>
  <c r="AM445" i="23"/>
  <c r="AL445" i="23"/>
  <c r="AK445" i="23"/>
  <c r="AJ445" i="23"/>
  <c r="AL404" i="23"/>
  <c r="AJ404" i="23"/>
  <c r="AI404" i="23"/>
  <c r="AK404" i="23"/>
  <c r="AM404" i="23"/>
  <c r="AH404" i="23"/>
  <c r="AG404" i="23"/>
  <c r="AN404" i="23"/>
  <c r="AA13" i="23"/>
  <c r="AA18" i="23"/>
  <c r="AC216" i="23"/>
  <c r="AL332" i="23"/>
  <c r="AF332" i="23"/>
  <c r="AI292" i="23"/>
  <c r="AH292" i="23"/>
  <c r="AG292" i="23"/>
  <c r="AF292" i="23"/>
  <c r="AM292" i="23"/>
  <c r="AL292" i="23"/>
  <c r="AK292" i="23"/>
  <c r="AJ292" i="23"/>
  <c r="AN292" i="23"/>
  <c r="AE292" i="23"/>
  <c r="AD292" i="23"/>
  <c r="AI251" i="23"/>
  <c r="AH251" i="23"/>
  <c r="AG251" i="23"/>
  <c r="AF251" i="23"/>
  <c r="AD251" i="23"/>
  <c r="AK251" i="23"/>
  <c r="AL251" i="23" s="1"/>
  <c r="AM251" i="23" s="1"/>
  <c r="AN251" i="23" s="1"/>
  <c r="AJ251" i="23"/>
  <c r="AE251" i="23"/>
  <c r="AB16" i="23"/>
  <c r="AB220" i="23"/>
  <c r="AB221" i="23" s="1"/>
  <c r="AK331" i="22"/>
  <c r="AN331" i="22"/>
  <c r="AH441" i="22"/>
  <c r="AG441" i="22"/>
  <c r="AF441" i="22"/>
  <c r="AE441" i="22"/>
  <c r="AD441" i="22"/>
  <c r="AC441" i="22"/>
  <c r="AN441" i="22"/>
  <c r="AM441" i="22"/>
  <c r="AJ441" i="22"/>
  <c r="AL441" i="22"/>
  <c r="AK441" i="22"/>
  <c r="AI441" i="22"/>
  <c r="AH400" i="22"/>
  <c r="AF400" i="22"/>
  <c r="AE400" i="22"/>
  <c r="AN400" i="22"/>
  <c r="AL400" i="22"/>
  <c r="AM400" i="22"/>
  <c r="AK400" i="22"/>
  <c r="AJ400" i="22"/>
  <c r="AI400" i="22"/>
  <c r="AG400" i="22"/>
  <c r="AD400" i="22"/>
  <c r="AC400" i="22"/>
  <c r="AI292" i="22"/>
  <c r="AG292" i="22"/>
  <c r="AH292" i="22"/>
  <c r="AD292" i="22"/>
  <c r="AN292" i="22"/>
  <c r="AE292" i="22"/>
  <c r="AM292" i="22"/>
  <c r="AL292" i="22"/>
  <c r="AK292" i="22"/>
  <c r="AJ292" i="22"/>
  <c r="AF292" i="22"/>
  <c r="AH251" i="22"/>
  <c r="AF251" i="22"/>
  <c r="AE251" i="22"/>
  <c r="AI251" i="22"/>
  <c r="AK251" i="22"/>
  <c r="AL251" i="22" s="1"/>
  <c r="AM251" i="22" s="1"/>
  <c r="AN251" i="22" s="1"/>
  <c r="AJ251" i="22"/>
  <c r="AG251" i="22"/>
  <c r="AD251" i="22"/>
  <c r="AH178" i="22"/>
  <c r="AE178" i="22"/>
  <c r="AN178" i="22"/>
  <c r="AK178" i="22"/>
  <c r="AH136" i="22"/>
  <c r="AF136" i="22"/>
  <c r="AG136" i="22"/>
  <c r="AN136" i="22"/>
  <c r="AM136" i="22"/>
  <c r="AL136" i="22"/>
  <c r="AE136" i="22"/>
  <c r="AD136" i="22"/>
  <c r="AC136" i="22"/>
  <c r="AJ136" i="22"/>
  <c r="AI136" i="22"/>
  <c r="AK136" i="22"/>
  <c r="AH95" i="22"/>
  <c r="AG95" i="22"/>
  <c r="AF95" i="22"/>
  <c r="AE95" i="22"/>
  <c r="AK95" i="22"/>
  <c r="AJ95" i="22"/>
  <c r="AD95" i="22"/>
  <c r="AC95" i="22"/>
  <c r="AM95" i="22"/>
  <c r="AL95" i="22"/>
  <c r="AI95" i="22"/>
  <c r="AN95" i="22"/>
  <c r="AG482" i="19"/>
  <c r="AM482" i="19"/>
  <c r="AK442" i="19"/>
  <c r="AI442" i="19"/>
  <c r="AJ442" i="19"/>
  <c r="AH442" i="19"/>
  <c r="AG442" i="19"/>
  <c r="AF442" i="19"/>
  <c r="AE442" i="19"/>
  <c r="AN442" i="19"/>
  <c r="AM442" i="19"/>
  <c r="AL442" i="19"/>
  <c r="AK401" i="19"/>
  <c r="AJ401" i="19"/>
  <c r="AI401" i="19"/>
  <c r="AH401" i="19"/>
  <c r="AG401" i="19"/>
  <c r="AF401" i="19"/>
  <c r="AE401" i="19"/>
  <c r="AN401" i="19"/>
  <c r="AM401" i="19"/>
  <c r="AL401" i="19"/>
  <c r="AA218" i="19"/>
  <c r="AG330" i="19"/>
  <c r="AD330" i="19"/>
  <c r="AM330" i="19"/>
  <c r="AJ330" i="19"/>
  <c r="AH290" i="19"/>
  <c r="AF290" i="19"/>
  <c r="AE290" i="19"/>
  <c r="AK290" i="19"/>
  <c r="AJ290" i="19"/>
  <c r="AB290" i="19"/>
  <c r="AI290" i="19"/>
  <c r="AG290" i="19"/>
  <c r="AD290" i="19"/>
  <c r="AC290" i="19"/>
  <c r="AL290" i="19"/>
  <c r="AN290" i="19"/>
  <c r="AM290" i="19"/>
  <c r="AF249" i="19"/>
  <c r="AE249" i="19"/>
  <c r="AD249" i="19"/>
  <c r="AC249" i="19"/>
  <c r="AB249" i="19"/>
  <c r="AH249" i="19"/>
  <c r="AK249" i="19"/>
  <c r="AL249" i="19" s="1"/>
  <c r="AM249" i="19" s="1"/>
  <c r="AN249" i="19" s="1"/>
  <c r="AJ249" i="19"/>
  <c r="AI249" i="19"/>
  <c r="AG249" i="19"/>
  <c r="AL179" i="19"/>
  <c r="AF179" i="19"/>
  <c r="AI179" i="19"/>
  <c r="AG136" i="19"/>
  <c r="AF136" i="19"/>
  <c r="AE136" i="19"/>
  <c r="AD136" i="19"/>
  <c r="AH136" i="19"/>
  <c r="AC136" i="19"/>
  <c r="AM136" i="19"/>
  <c r="AL136" i="19"/>
  <c r="AK136" i="19"/>
  <c r="AJ136" i="19"/>
  <c r="AI136" i="19"/>
  <c r="AN136" i="19"/>
  <c r="AG95" i="19"/>
  <c r="AE95" i="19"/>
  <c r="AF95" i="19"/>
  <c r="AI95" i="19"/>
  <c r="AD95" i="19"/>
  <c r="AC95" i="19"/>
  <c r="AH95" i="19"/>
  <c r="AN95" i="19"/>
  <c r="AM95" i="19"/>
  <c r="AJ95" i="19"/>
  <c r="AL95" i="19"/>
  <c r="AK95" i="19"/>
  <c r="AL482" i="20"/>
  <c r="AF482" i="20"/>
  <c r="AJ443" i="20"/>
  <c r="AI443" i="20"/>
  <c r="AG443" i="20"/>
  <c r="AE443" i="20"/>
  <c r="AF443" i="20"/>
  <c r="AN443" i="20"/>
  <c r="AM443" i="20"/>
  <c r="AL443" i="20"/>
  <c r="AK443" i="20"/>
  <c r="AH443" i="20"/>
  <c r="AH442" i="20"/>
  <c r="AG442" i="20"/>
  <c r="AE442" i="20"/>
  <c r="AD442" i="20"/>
  <c r="AD367" i="20" s="1"/>
  <c r="AF442" i="20"/>
  <c r="AK442" i="20"/>
  <c r="AJ442" i="20"/>
  <c r="AI442" i="20"/>
  <c r="AN442" i="20"/>
  <c r="AM442" i="20"/>
  <c r="AL442" i="20"/>
  <c r="AI401" i="20"/>
  <c r="AH401" i="20"/>
  <c r="AG401" i="20"/>
  <c r="AN401" i="20"/>
  <c r="AM401" i="20"/>
  <c r="AL401" i="20"/>
  <c r="AJ401" i="20"/>
  <c r="AE401" i="20"/>
  <c r="AD401" i="20"/>
  <c r="AD366" i="20" s="1"/>
  <c r="AF401" i="20"/>
  <c r="AK401" i="20"/>
  <c r="AK402" i="20"/>
  <c r="AJ402" i="20"/>
  <c r="AI402" i="20"/>
  <c r="AF402" i="20"/>
  <c r="AE402" i="20"/>
  <c r="AN402" i="20"/>
  <c r="AM402" i="20"/>
  <c r="AL402" i="20"/>
  <c r="AH402" i="20"/>
  <c r="AG402" i="20"/>
  <c r="AB218" i="20"/>
  <c r="AJ333" i="20"/>
  <c r="AN337" i="20"/>
  <c r="AI332" i="20"/>
  <c r="AM336" i="20"/>
  <c r="AL335" i="20"/>
  <c r="AK334" i="20"/>
  <c r="AN331" i="20"/>
  <c r="AK331" i="20"/>
  <c r="AH331" i="20"/>
  <c r="AE331" i="20"/>
  <c r="AH291" i="20"/>
  <c r="AG291" i="20"/>
  <c r="AF291" i="20"/>
  <c r="AE291" i="20"/>
  <c r="AD291" i="20"/>
  <c r="AN291" i="20"/>
  <c r="AM291" i="20"/>
  <c r="AL291" i="20"/>
  <c r="AI291" i="20"/>
  <c r="AC291" i="20"/>
  <c r="AK291" i="20"/>
  <c r="AJ291" i="20"/>
  <c r="AH250" i="20"/>
  <c r="AG250" i="20"/>
  <c r="AD250" i="20"/>
  <c r="AN250" i="20"/>
  <c r="AM250" i="20"/>
  <c r="AL250" i="20"/>
  <c r="AK250" i="20"/>
  <c r="AJ250" i="20"/>
  <c r="AC250" i="20"/>
  <c r="AE250" i="20"/>
  <c r="AI250" i="20"/>
  <c r="AF250" i="20"/>
  <c r="AB216" i="20"/>
  <c r="AA216" i="42"/>
  <c r="AF482" i="42"/>
  <c r="AL482" i="42"/>
  <c r="AI442" i="42"/>
  <c r="AH442" i="42"/>
  <c r="AG442" i="42"/>
  <c r="AF442" i="42"/>
  <c r="AN442" i="42"/>
  <c r="AM442" i="42"/>
  <c r="AL442" i="42"/>
  <c r="AK442" i="42"/>
  <c r="AJ442" i="42"/>
  <c r="AE442" i="42"/>
  <c r="AD442" i="42"/>
  <c r="AI401" i="42"/>
  <c r="AH401" i="42"/>
  <c r="AG401" i="42"/>
  <c r="AF401" i="42"/>
  <c r="AM401" i="42"/>
  <c r="AL401" i="42"/>
  <c r="AK401" i="42"/>
  <c r="AJ401" i="42"/>
  <c r="AE401" i="42"/>
  <c r="AD401" i="42"/>
  <c r="AN401" i="42"/>
  <c r="AA218" i="42"/>
  <c r="AG330" i="42"/>
  <c r="AD330" i="42"/>
  <c r="AM330" i="42"/>
  <c r="AJ330" i="42"/>
  <c r="AH290" i="42"/>
  <c r="AF290" i="42"/>
  <c r="AE290" i="42"/>
  <c r="AK290" i="42"/>
  <c r="AI290" i="42"/>
  <c r="AG290" i="42"/>
  <c r="AD290" i="42"/>
  <c r="AC290" i="42"/>
  <c r="AB290" i="42"/>
  <c r="AN290" i="42"/>
  <c r="AM290" i="42"/>
  <c r="AL290" i="42"/>
  <c r="AJ290" i="42"/>
  <c r="AH249" i="42"/>
  <c r="AG249" i="42"/>
  <c r="AF249" i="42"/>
  <c r="AE249" i="42"/>
  <c r="AK249" i="42"/>
  <c r="AL249" i="42" s="1"/>
  <c r="AM249" i="42" s="1"/>
  <c r="AN249" i="42" s="1"/>
  <c r="AJ249" i="42"/>
  <c r="AC249" i="42"/>
  <c r="AI249" i="42"/>
  <c r="AD249" i="42"/>
  <c r="AB249" i="42"/>
  <c r="AA217" i="42"/>
  <c r="AL179" i="42"/>
  <c r="AI179" i="42"/>
  <c r="AF179" i="42"/>
  <c r="AI137" i="42"/>
  <c r="AE137" i="42"/>
  <c r="AH137" i="42"/>
  <c r="AG137" i="42"/>
  <c r="AF137" i="42"/>
  <c r="AD137" i="42"/>
  <c r="AL137" i="42"/>
  <c r="AK137" i="42"/>
  <c r="AJ137" i="42"/>
  <c r="AM137" i="42"/>
  <c r="AN137" i="42"/>
  <c r="AI96" i="42"/>
  <c r="AH96" i="42"/>
  <c r="AG96" i="42"/>
  <c r="AL96" i="42"/>
  <c r="AK96" i="42"/>
  <c r="AE96" i="42"/>
  <c r="AD96" i="42"/>
  <c r="AJ96" i="42"/>
  <c r="AF96" i="42"/>
  <c r="AN96" i="42"/>
  <c r="AM96" i="42"/>
  <c r="AJ483" i="41"/>
  <c r="AN487" i="41"/>
  <c r="AI482" i="41"/>
  <c r="AM486" i="41"/>
  <c r="AN481" i="41"/>
  <c r="AL485" i="41"/>
  <c r="AK484" i="41"/>
  <c r="AK481" i="41"/>
  <c r="AH481" i="41"/>
  <c r="AE481" i="41"/>
  <c r="AL482" i="41"/>
  <c r="AF482" i="41"/>
  <c r="AH440" i="41"/>
  <c r="AF440" i="41"/>
  <c r="AE440" i="41"/>
  <c r="AJ440" i="41"/>
  <c r="AI440" i="41"/>
  <c r="AD440" i="41"/>
  <c r="AC440" i="41"/>
  <c r="AK440" i="41"/>
  <c r="AB440" i="41"/>
  <c r="AG440" i="41"/>
  <c r="AL440" i="41"/>
  <c r="AN440" i="41"/>
  <c r="AM440" i="41"/>
  <c r="AH399" i="41"/>
  <c r="AF399" i="41"/>
  <c r="AE399" i="41"/>
  <c r="AK399" i="41"/>
  <c r="AJ399" i="41"/>
  <c r="AG399" i="41"/>
  <c r="AD399" i="41"/>
  <c r="AC399" i="41"/>
  <c r="AB399" i="41"/>
  <c r="AM399" i="41"/>
  <c r="AL399" i="41"/>
  <c r="AI399" i="41"/>
  <c r="AN399" i="41"/>
  <c r="AG330" i="41"/>
  <c r="AM330" i="41"/>
  <c r="AD330" i="41"/>
  <c r="AJ330" i="41"/>
  <c r="AH290" i="41"/>
  <c r="AG290" i="41"/>
  <c r="AD290" i="41"/>
  <c r="AK290" i="41"/>
  <c r="AJ290" i="41"/>
  <c r="AI290" i="41"/>
  <c r="AF290" i="41"/>
  <c r="AN290" i="41"/>
  <c r="AM290" i="41"/>
  <c r="AL290" i="41"/>
  <c r="AE290" i="41"/>
  <c r="AB290" i="41"/>
  <c r="AC290" i="41"/>
  <c r="AH249" i="41"/>
  <c r="AG249" i="41"/>
  <c r="AF249" i="41"/>
  <c r="AD249" i="41"/>
  <c r="AK249" i="41"/>
  <c r="AL249" i="41" s="1"/>
  <c r="AM249" i="41" s="1"/>
  <c r="AN249" i="41" s="1"/>
  <c r="AI249" i="41"/>
  <c r="AJ249" i="41"/>
  <c r="AE249" i="41"/>
  <c r="AB249" i="41"/>
  <c r="AC249" i="41"/>
  <c r="AF176" i="41"/>
  <c r="AL176" i="41"/>
  <c r="AC176" i="41"/>
  <c r="AI176" i="41"/>
  <c r="AI134" i="41"/>
  <c r="AG134" i="41"/>
  <c r="AF134" i="41"/>
  <c r="AH134" i="41"/>
  <c r="AD134" i="41"/>
  <c r="AC134" i="41"/>
  <c r="AE134" i="41"/>
  <c r="AJ134" i="41"/>
  <c r="AB134" i="41"/>
  <c r="AA134" i="41"/>
  <c r="AK134" i="41"/>
  <c r="AN134" i="41"/>
  <c r="AM134" i="41"/>
  <c r="AL134" i="41"/>
  <c r="AI93" i="41"/>
  <c r="AH93" i="41"/>
  <c r="AG93" i="41"/>
  <c r="AF93" i="41"/>
  <c r="AM93" i="41"/>
  <c r="AK93" i="41"/>
  <c r="AJ93" i="41"/>
  <c r="AL93" i="41"/>
  <c r="AN93" i="41"/>
  <c r="AE93" i="41"/>
  <c r="AD93" i="41"/>
  <c r="AC93" i="41"/>
  <c r="AB93" i="41"/>
  <c r="AA93" i="41"/>
  <c r="AB42" i="16"/>
  <c r="AC40" i="16"/>
  <c r="AM46" i="37"/>
  <c r="S47" i="52"/>
  <c r="J100" i="35"/>
  <c r="J101" i="35" s="1"/>
  <c r="W47" i="52"/>
  <c r="U47" i="52"/>
  <c r="V47" i="52"/>
  <c r="AE200" i="41"/>
  <c r="AE202" i="41" s="1"/>
  <c r="AC368" i="41"/>
  <c r="Z16" i="19"/>
  <c r="Y13" i="19"/>
  <c r="AG350" i="20"/>
  <c r="AG352" i="20" s="1"/>
  <c r="AG354" i="20" s="1"/>
  <c r="AG355" i="20" s="1"/>
  <c r="AG45" i="20"/>
  <c r="Z13" i="20"/>
  <c r="AA16" i="20"/>
  <c r="AF32" i="32"/>
  <c r="AD25" i="32"/>
  <c r="AD31" i="32" s="1"/>
  <c r="AB25" i="32"/>
  <c r="AB31" i="32" s="1"/>
  <c r="X46" i="37"/>
  <c r="AA25" i="32"/>
  <c r="AA31" i="32" s="1"/>
  <c r="Y25" i="32"/>
  <c r="AC25" i="32"/>
  <c r="Z25" i="32"/>
  <c r="X25" i="32"/>
  <c r="AF14" i="37"/>
  <c r="AF26" i="37" s="1"/>
  <c r="AU26" i="37"/>
  <c r="AU44" i="37" s="1"/>
  <c r="AN46" i="37"/>
  <c r="AO46" i="37"/>
  <c r="AD483" i="42"/>
  <c r="AD368" i="42"/>
  <c r="AC366" i="42"/>
  <c r="AC61" i="42"/>
  <c r="Z220" i="42"/>
  <c r="Z221" i="42" s="1"/>
  <c r="AC62" i="42"/>
  <c r="AD97" i="42"/>
  <c r="AD64" i="42"/>
  <c r="AB65" i="42"/>
  <c r="AB66" i="42" s="1"/>
  <c r="AG45" i="42"/>
  <c r="AG350" i="42"/>
  <c r="AG352" i="42" s="1"/>
  <c r="AG354" i="42" s="1"/>
  <c r="AG355" i="42" s="1"/>
  <c r="AD180" i="42"/>
  <c r="AE484" i="42"/>
  <c r="AE368" i="42"/>
  <c r="AF47" i="42"/>
  <c r="AC63" i="42"/>
  <c r="AE369" i="42"/>
  <c r="AE403" i="42"/>
  <c r="AE58" i="42"/>
  <c r="AE60" i="42"/>
  <c r="AE59" i="42"/>
  <c r="AF354" i="42"/>
  <c r="AF355" i="42" s="1"/>
  <c r="AD51" i="42"/>
  <c r="AD138" i="42"/>
  <c r="AE444" i="42"/>
  <c r="AE356" i="42"/>
  <c r="AD356" i="42"/>
  <c r="AD443" i="42"/>
  <c r="AC367" i="42"/>
  <c r="AD402" i="42"/>
  <c r="AD369" i="42"/>
  <c r="AB58" i="41"/>
  <c r="AB9" i="41" s="1"/>
  <c r="AB21" i="41" s="1"/>
  <c r="AB59" i="41"/>
  <c r="AB60" i="41"/>
  <c r="AB52" i="41"/>
  <c r="AC58" i="41"/>
  <c r="AC59" i="41"/>
  <c r="AC60" i="41"/>
  <c r="AA135" i="41"/>
  <c r="AA51" i="41"/>
  <c r="Z23" i="41"/>
  <c r="AA94" i="41"/>
  <c r="AA64" i="41"/>
  <c r="AC356" i="41"/>
  <c r="AC442" i="41"/>
  <c r="AD47" i="41"/>
  <c r="AD49" i="41" s="1"/>
  <c r="AD50" i="41" s="1"/>
  <c r="AD52" i="41" s="1"/>
  <c r="AD364" i="41"/>
  <c r="AD365" i="41"/>
  <c r="AD483" i="41" s="1"/>
  <c r="AD363" i="41"/>
  <c r="AB369" i="41"/>
  <c r="AB400" i="41"/>
  <c r="AC369" i="41"/>
  <c r="AC401" i="41"/>
  <c r="AB356" i="41"/>
  <c r="AB441" i="41"/>
  <c r="AA177" i="41"/>
  <c r="AE350" i="41"/>
  <c r="AE352" i="41" s="1"/>
  <c r="AE45" i="41"/>
  <c r="Z63" i="41"/>
  <c r="AB368" i="41"/>
  <c r="AH20" i="41"/>
  <c r="AF15" i="41"/>
  <c r="AF182" i="23"/>
  <c r="AF140" i="23"/>
  <c r="AF51" i="23"/>
  <c r="AF64" i="23"/>
  <c r="AF99" i="23"/>
  <c r="AG100" i="23"/>
  <c r="AG446" i="23"/>
  <c r="AA370" i="22"/>
  <c r="AA371" i="22" s="1"/>
  <c r="AD59" i="22"/>
  <c r="AD60" i="22"/>
  <c r="AD58" i="22"/>
  <c r="AC179" i="22"/>
  <c r="AE364" i="22"/>
  <c r="AE365" i="22"/>
  <c r="AE484" i="22" s="1"/>
  <c r="AE363" i="22"/>
  <c r="AC137" i="22"/>
  <c r="AC51" i="22"/>
  <c r="AA65" i="22"/>
  <c r="AA66" i="22" s="1"/>
  <c r="AC482" i="22"/>
  <c r="AC368" i="22"/>
  <c r="AB63" i="22"/>
  <c r="Z18" i="22"/>
  <c r="Z13" i="22"/>
  <c r="AB367" i="22"/>
  <c r="AB366" i="22"/>
  <c r="AF45" i="22"/>
  <c r="AF350" i="22"/>
  <c r="AF352" i="22" s="1"/>
  <c r="AF200" i="22"/>
  <c r="AF202" i="22" s="1"/>
  <c r="AC64" i="22"/>
  <c r="AC96" i="22"/>
  <c r="AB62" i="22"/>
  <c r="AE47" i="22"/>
  <c r="AE49" i="22" s="1"/>
  <c r="AE50" i="22" s="1"/>
  <c r="AE52" i="22" s="1"/>
  <c r="AE204" i="22"/>
  <c r="AE205" i="22" s="1"/>
  <c r="AD365" i="22"/>
  <c r="AD364" i="22"/>
  <c r="AD363" i="22"/>
  <c r="AB61" i="22"/>
  <c r="AC442" i="22"/>
  <c r="AC356" i="22"/>
  <c r="AB23" i="22"/>
  <c r="AC401" i="22"/>
  <c r="AC369" i="22"/>
  <c r="AC369" i="19"/>
  <c r="AC370" i="19" s="1"/>
  <c r="AA216" i="19"/>
  <c r="AA12" i="19" s="1"/>
  <c r="AE364" i="19"/>
  <c r="AE362" i="19"/>
  <c r="AE363" i="19"/>
  <c r="AD59" i="19"/>
  <c r="AD58" i="19"/>
  <c r="AD60" i="19"/>
  <c r="AD180" i="19" s="1"/>
  <c r="AD52" i="19"/>
  <c r="AA65" i="19"/>
  <c r="AA66" i="19" s="1"/>
  <c r="AB62" i="19"/>
  <c r="AG45" i="19"/>
  <c r="AG349" i="19"/>
  <c r="AG351" i="19" s="1"/>
  <c r="AF47" i="19"/>
  <c r="AF49" i="19" s="1"/>
  <c r="AF50" i="19" s="1"/>
  <c r="AF52" i="19" s="1"/>
  <c r="AE58" i="19"/>
  <c r="AE59" i="19"/>
  <c r="AE60" i="19"/>
  <c r="AE181" i="19" s="1"/>
  <c r="AB61" i="19"/>
  <c r="AC64" i="19"/>
  <c r="AC96" i="19"/>
  <c r="AC51" i="19"/>
  <c r="AC137" i="19"/>
  <c r="AF363" i="19"/>
  <c r="AF364" i="19"/>
  <c r="AF362" i="19"/>
  <c r="AA217" i="19"/>
  <c r="AD365" i="19"/>
  <c r="AC63" i="19"/>
  <c r="AD366" i="19"/>
  <c r="AB217" i="20"/>
  <c r="AB65" i="20"/>
  <c r="AB66" i="20" s="1"/>
  <c r="AB370" i="20"/>
  <c r="AB371" i="20" s="1"/>
  <c r="AD59" i="20"/>
  <c r="AD58" i="20"/>
  <c r="AD60" i="20"/>
  <c r="AD180" i="20" s="1"/>
  <c r="AD52" i="20"/>
  <c r="AF364" i="20"/>
  <c r="AF363" i="20"/>
  <c r="AF365" i="20"/>
  <c r="AF47" i="20"/>
  <c r="AA220" i="20"/>
  <c r="AA221" i="20" s="1"/>
  <c r="AE363" i="20"/>
  <c r="AE364" i="20"/>
  <c r="AE365" i="20"/>
  <c r="AE96" i="20"/>
  <c r="AN96" i="20"/>
  <c r="AM96" i="20"/>
  <c r="AF96" i="20"/>
  <c r="AD96" i="20"/>
  <c r="AK96" i="20"/>
  <c r="AJ96" i="20"/>
  <c r="AI96" i="20"/>
  <c r="AG96" i="20"/>
  <c r="AL96" i="20"/>
  <c r="AH96" i="20"/>
  <c r="AC61" i="20"/>
  <c r="AE59" i="20"/>
  <c r="AE58" i="20"/>
  <c r="AE60" i="20"/>
  <c r="AE181" i="20" s="1"/>
  <c r="AC367" i="20"/>
  <c r="AJ137" i="20"/>
  <c r="AI137" i="20"/>
  <c r="AH137" i="20"/>
  <c r="AM137" i="20"/>
  <c r="AL137" i="20"/>
  <c r="AF137" i="20"/>
  <c r="AD137" i="20"/>
  <c r="AE137" i="20"/>
  <c r="AK137" i="20"/>
  <c r="AG137" i="20"/>
  <c r="AN137" i="20"/>
  <c r="AC62" i="20"/>
  <c r="AC366" i="20"/>
  <c r="AC214" i="42"/>
  <c r="AC215" i="42"/>
  <c r="AC213" i="42"/>
  <c r="AC207" i="42"/>
  <c r="AD204" i="42"/>
  <c r="AD205" i="42" s="1"/>
  <c r="AF200" i="42"/>
  <c r="AE202" i="42"/>
  <c r="AB206" i="42"/>
  <c r="AB291" i="42"/>
  <c r="AB250" i="42"/>
  <c r="AB219" i="42"/>
  <c r="AB331" i="42"/>
  <c r="AC215" i="41"/>
  <c r="AC213" i="41"/>
  <c r="AC214" i="41"/>
  <c r="AC207" i="41"/>
  <c r="AA218" i="41"/>
  <c r="AB219" i="41"/>
  <c r="AB250" i="41"/>
  <c r="AD204" i="41"/>
  <c r="AD205" i="41" s="1"/>
  <c r="AB291" i="41"/>
  <c r="AB206" i="41"/>
  <c r="AB331" i="41"/>
  <c r="AG202" i="23"/>
  <c r="AD333" i="23"/>
  <c r="AC218" i="23"/>
  <c r="AE213" i="23"/>
  <c r="AE9" i="23" s="1"/>
  <c r="AE21" i="23" s="1"/>
  <c r="AE215" i="23"/>
  <c r="AE214" i="23"/>
  <c r="AE207" i="23"/>
  <c r="AD219" i="23"/>
  <c r="AD252" i="23"/>
  <c r="AD293" i="23"/>
  <c r="AD206" i="23"/>
  <c r="AF204" i="23"/>
  <c r="AF205" i="23" s="1"/>
  <c r="AH200" i="23"/>
  <c r="AC217" i="23"/>
  <c r="AD293" i="22"/>
  <c r="AD206" i="22"/>
  <c r="AD333" i="22"/>
  <c r="AC217" i="22"/>
  <c r="AD219" i="22"/>
  <c r="AD252" i="22"/>
  <c r="AC215" i="19"/>
  <c r="AC214" i="19"/>
  <c r="AC213" i="19"/>
  <c r="AC9" i="19" s="1"/>
  <c r="AC207" i="19"/>
  <c r="AD204" i="19"/>
  <c r="AD205" i="19" s="1"/>
  <c r="AB291" i="19"/>
  <c r="AB206" i="19"/>
  <c r="AB331" i="19"/>
  <c r="AB219" i="19"/>
  <c r="AB250" i="19"/>
  <c r="AE202" i="19"/>
  <c r="AF200" i="19"/>
  <c r="Z220" i="19"/>
  <c r="Z221" i="19" s="1"/>
  <c r="AG200" i="20"/>
  <c r="AF202" i="20"/>
  <c r="AE204" i="20"/>
  <c r="AE205" i="20" s="1"/>
  <c r="AD215" i="20"/>
  <c r="AD214" i="20"/>
  <c r="AD213" i="20"/>
  <c r="AD207" i="20"/>
  <c r="AC219" i="20"/>
  <c r="AC251" i="20"/>
  <c r="AC292" i="20"/>
  <c r="AC206" i="20"/>
  <c r="AC332" i="20"/>
  <c r="V47" i="32"/>
  <c r="W47" i="32"/>
  <c r="U47" i="32"/>
  <c r="U31" i="32"/>
  <c r="AJ25" i="32"/>
  <c r="AK25" i="32"/>
  <c r="AL25" i="32"/>
  <c r="V31" i="32"/>
  <c r="Q22" i="16"/>
  <c r="AF76" i="32"/>
  <c r="AF82" i="32" s="1"/>
  <c r="AF54" i="32"/>
  <c r="AC76" i="32"/>
  <c r="AC82" i="32" s="1"/>
  <c r="AC54" i="32"/>
  <c r="AI46" i="37"/>
  <c r="AQ46" i="37"/>
  <c r="AS46" i="37"/>
  <c r="AR46" i="37"/>
  <c r="AJ46" i="37"/>
  <c r="AP46" i="37"/>
  <c r="S46" i="37"/>
  <c r="AA46" i="37"/>
  <c r="U46" i="37"/>
  <c r="AD46" i="37"/>
  <c r="Z46" i="37"/>
  <c r="V27" i="37"/>
  <c r="V44" i="37"/>
  <c r="AC46" i="37"/>
  <c r="W46" i="37"/>
  <c r="AB46" i="37"/>
  <c r="T44" i="37"/>
  <c r="T27" i="37"/>
  <c r="Q14" i="37"/>
  <c r="Q62" i="37"/>
  <c r="N46" i="37"/>
  <c r="N64" i="37"/>
  <c r="O46" i="37"/>
  <c r="O64" i="37"/>
  <c r="M64" i="37"/>
  <c r="M46" i="37"/>
  <c r="O94" i="35"/>
  <c r="N100" i="35"/>
  <c r="N101" i="35" s="1"/>
  <c r="O96" i="35"/>
  <c r="O92" i="35"/>
  <c r="G100" i="35"/>
  <c r="G101" i="35" s="1"/>
  <c r="O95" i="35"/>
  <c r="H100" i="35"/>
  <c r="H101" i="35" s="1"/>
  <c r="O98" i="35"/>
  <c r="M100" i="35"/>
  <c r="M101" i="35" s="1"/>
  <c r="E100" i="35"/>
  <c r="E101" i="35" s="1"/>
  <c r="O85" i="35"/>
  <c r="L100" i="35"/>
  <c r="L101" i="35" s="1"/>
  <c r="O88" i="35"/>
  <c r="O86" i="35"/>
  <c r="O97" i="35"/>
  <c r="O91" i="35"/>
  <c r="O87" i="35"/>
  <c r="O90" i="35"/>
  <c r="O93" i="35"/>
  <c r="O89" i="35"/>
  <c r="R10" i="73"/>
  <c r="Q18" i="73"/>
  <c r="P14" i="73"/>
  <c r="P2" i="73"/>
  <c r="P18" i="73"/>
  <c r="Q22" i="73"/>
  <c r="Q75" i="52" l="1"/>
  <c r="Q75" i="66"/>
  <c r="Q81" i="66" s="1"/>
  <c r="Q81" i="52"/>
  <c r="AG64" i="23"/>
  <c r="AG51" i="23"/>
  <c r="AM209" i="42"/>
  <c r="AG369" i="23"/>
  <c r="Y16" i="52"/>
  <c r="Y38" i="52"/>
  <c r="AG405" i="23"/>
  <c r="AG366" i="23" s="1"/>
  <c r="AB10" i="41"/>
  <c r="AB23" i="41" s="1"/>
  <c r="AC10" i="41"/>
  <c r="AC9" i="41"/>
  <c r="AC21" i="41" s="1"/>
  <c r="AC218" i="22"/>
  <c r="AC220" i="22" s="1"/>
  <c r="AC221" i="22" s="1"/>
  <c r="AH60" i="23"/>
  <c r="AH184" i="23" s="1"/>
  <c r="AC10" i="42"/>
  <c r="AC23" i="42" s="1"/>
  <c r="AD10" i="20"/>
  <c r="AD23" i="20" s="1"/>
  <c r="AE10" i="23"/>
  <c r="AE23" i="23" s="1"/>
  <c r="AD9" i="22"/>
  <c r="AD21" i="22" s="1"/>
  <c r="AD10" i="22"/>
  <c r="AF332" i="22"/>
  <c r="X45" i="57"/>
  <c r="X51" i="57" s="1"/>
  <c r="AL59" i="52"/>
  <c r="AL59" i="32" s="1"/>
  <c r="Y23" i="57"/>
  <c r="Y29" i="57" s="1"/>
  <c r="AB12" i="22"/>
  <c r="AB16" i="22" s="1"/>
  <c r="AB220" i="22"/>
  <c r="AB221" i="22" s="1"/>
  <c r="AA16" i="57"/>
  <c r="AA38" i="57"/>
  <c r="Z16" i="57"/>
  <c r="Z38" i="57"/>
  <c r="Z25" i="22"/>
  <c r="AB7" i="57" s="1"/>
  <c r="AD9" i="20"/>
  <c r="AD21" i="20" s="1"/>
  <c r="AA25" i="20"/>
  <c r="Z25" i="19"/>
  <c r="AC11" i="23"/>
  <c r="AC18" i="23" s="1"/>
  <c r="AE370" i="23"/>
  <c r="AE371" i="23" s="1"/>
  <c r="AB25" i="23"/>
  <c r="AD7" i="63" s="1"/>
  <c r="AC9" i="42"/>
  <c r="AC21" i="42" s="1"/>
  <c r="AC10" i="19"/>
  <c r="AC23" i="19" s="1"/>
  <c r="AC21" i="19"/>
  <c r="AB38" i="63"/>
  <c r="AB16" i="63"/>
  <c r="AA25" i="23"/>
  <c r="AC7" i="63" s="1"/>
  <c r="AE62" i="23"/>
  <c r="AE61" i="23"/>
  <c r="AG356" i="23"/>
  <c r="AI45" i="23"/>
  <c r="AI47" i="23" s="1"/>
  <c r="AI49" i="23" s="1"/>
  <c r="AI350" i="23"/>
  <c r="AI352" i="23" s="1"/>
  <c r="AI354" i="23" s="1"/>
  <c r="AI355" i="23" s="1"/>
  <c r="AH364" i="23"/>
  <c r="AH363" i="23"/>
  <c r="AH365" i="23"/>
  <c r="AG368" i="23"/>
  <c r="AA45" i="63"/>
  <c r="AA51" i="63" s="1"/>
  <c r="AL139" i="23"/>
  <c r="AF139" i="23"/>
  <c r="AF62" i="23" s="1"/>
  <c r="AK139" i="23"/>
  <c r="AJ139" i="23"/>
  <c r="AM139" i="23"/>
  <c r="AN139" i="23" s="1"/>
  <c r="AI139" i="23"/>
  <c r="AH139" i="23"/>
  <c r="AG139" i="23"/>
  <c r="AH59" i="23"/>
  <c r="AK98" i="23"/>
  <c r="AI98" i="23"/>
  <c r="AH98" i="23"/>
  <c r="AG98" i="23"/>
  <c r="AF98" i="23"/>
  <c r="AF61" i="23" s="1"/>
  <c r="AN98" i="23"/>
  <c r="AM98" i="23"/>
  <c r="AJ98" i="23"/>
  <c r="AL98" i="23"/>
  <c r="AD65" i="23"/>
  <c r="AD66" i="23" s="1"/>
  <c r="AH58" i="23"/>
  <c r="AA11" i="19"/>
  <c r="AA18" i="19" s="1"/>
  <c r="X52" i="65"/>
  <c r="AA11" i="42"/>
  <c r="AA18" i="42" s="1"/>
  <c r="AB11" i="20"/>
  <c r="AB11" i="22"/>
  <c r="AB12" i="20"/>
  <c r="AB16" i="20" s="1"/>
  <c r="AC12" i="23"/>
  <c r="Y24" i="65"/>
  <c r="Y30" i="65" s="1"/>
  <c r="Z24" i="65"/>
  <c r="Z30" i="65" s="1"/>
  <c r="Z45" i="61"/>
  <c r="Z29" i="61"/>
  <c r="AB7" i="61"/>
  <c r="AA16" i="61"/>
  <c r="AA38" i="61"/>
  <c r="Y45" i="61"/>
  <c r="Y29" i="61"/>
  <c r="X51" i="61"/>
  <c r="X73" i="61"/>
  <c r="X79" i="61" s="1"/>
  <c r="Y44" i="62"/>
  <c r="Y28" i="62"/>
  <c r="AA6" i="62"/>
  <c r="X28" i="62"/>
  <c r="X44" i="62"/>
  <c r="Y60" i="52"/>
  <c r="X71" i="52"/>
  <c r="Z37" i="62"/>
  <c r="Z15" i="62"/>
  <c r="Z22" i="62" s="1"/>
  <c r="Z7" i="52"/>
  <c r="AA7" i="60"/>
  <c r="AA1" i="60" s="1"/>
  <c r="AA16" i="42"/>
  <c r="AM59" i="51"/>
  <c r="AA220" i="42"/>
  <c r="AA221" i="42" s="1"/>
  <c r="AC370" i="42"/>
  <c r="AC371" i="42" s="1"/>
  <c r="Y45" i="60"/>
  <c r="Y29" i="60"/>
  <c r="X51" i="60"/>
  <c r="X73" i="60"/>
  <c r="X79" i="60" s="1"/>
  <c r="Z16" i="60"/>
  <c r="Z23" i="60" s="1"/>
  <c r="Z38" i="60"/>
  <c r="AK446" i="23"/>
  <c r="AI446" i="23"/>
  <c r="AH446" i="23"/>
  <c r="AN446" i="23"/>
  <c r="AM446" i="23"/>
  <c r="AL446" i="23"/>
  <c r="AJ446" i="23"/>
  <c r="AD218" i="23"/>
  <c r="AM333" i="23"/>
  <c r="AG333" i="23"/>
  <c r="AK293" i="23"/>
  <c r="AJ293" i="23"/>
  <c r="AI293" i="23"/>
  <c r="AH293" i="23"/>
  <c r="AM293" i="23"/>
  <c r="AN293" i="23"/>
  <c r="AL293" i="23"/>
  <c r="AE293" i="23"/>
  <c r="AG293" i="23"/>
  <c r="AF293" i="23"/>
  <c r="AB13" i="23"/>
  <c r="AK252" i="23"/>
  <c r="AJ252" i="23"/>
  <c r="AI252" i="23"/>
  <c r="AH252" i="23"/>
  <c r="AF252" i="23"/>
  <c r="AE252" i="23"/>
  <c r="AN252" i="23"/>
  <c r="AM252" i="23"/>
  <c r="AL252" i="23"/>
  <c r="AG252" i="23"/>
  <c r="AL182" i="23"/>
  <c r="AI182" i="23"/>
  <c r="AM183" i="23"/>
  <c r="AJ183" i="23"/>
  <c r="AK141" i="23"/>
  <c r="AI141" i="23"/>
  <c r="AH141" i="23"/>
  <c r="AN141" i="23"/>
  <c r="AM141" i="23"/>
  <c r="AL141" i="23"/>
  <c r="AJ141" i="23"/>
  <c r="AH140" i="23"/>
  <c r="AM140" i="23"/>
  <c r="AN140" i="23" s="1"/>
  <c r="AL140" i="23"/>
  <c r="AK140" i="23"/>
  <c r="AG140" i="23"/>
  <c r="AJ140" i="23"/>
  <c r="AI140" i="23"/>
  <c r="AK100" i="23"/>
  <c r="AJ100" i="23"/>
  <c r="AN100" i="23"/>
  <c r="AM100" i="23"/>
  <c r="AL100" i="23"/>
  <c r="AI100" i="23"/>
  <c r="AH100" i="23"/>
  <c r="AN99" i="23"/>
  <c r="AI99" i="23"/>
  <c r="AH99" i="23"/>
  <c r="AG99" i="23"/>
  <c r="AK99" i="23"/>
  <c r="AJ99" i="23"/>
  <c r="AM99" i="23"/>
  <c r="AL99" i="23"/>
  <c r="AL482" i="22"/>
  <c r="AF482" i="22"/>
  <c r="AN484" i="22"/>
  <c r="AH484" i="22"/>
  <c r="AI442" i="22"/>
  <c r="AH442" i="22"/>
  <c r="AG442" i="22"/>
  <c r="AF442" i="22"/>
  <c r="AM442" i="22"/>
  <c r="AL442" i="22"/>
  <c r="AK442" i="22"/>
  <c r="AJ442" i="22"/>
  <c r="AE442" i="22"/>
  <c r="AD442" i="22"/>
  <c r="AN442" i="22"/>
  <c r="AI401" i="22"/>
  <c r="AG401" i="22"/>
  <c r="AF401" i="22"/>
  <c r="AN401" i="22"/>
  <c r="AH401" i="22"/>
  <c r="AD401" i="22"/>
  <c r="AL401" i="22"/>
  <c r="AE401" i="22"/>
  <c r="AM401" i="22"/>
  <c r="AK401" i="22"/>
  <c r="AJ401" i="22"/>
  <c r="AM333" i="22"/>
  <c r="AG333" i="22"/>
  <c r="AK293" i="22"/>
  <c r="AI293" i="22"/>
  <c r="AJ293" i="22"/>
  <c r="AL293" i="22"/>
  <c r="AG293" i="22"/>
  <c r="AF293" i="22"/>
  <c r="AE293" i="22"/>
  <c r="AH293" i="22"/>
  <c r="AN293" i="22"/>
  <c r="AM293" i="22"/>
  <c r="AJ252" i="22"/>
  <c r="AH252" i="22"/>
  <c r="AG252" i="22"/>
  <c r="AK252" i="22"/>
  <c r="AI252" i="22"/>
  <c r="AF252" i="22"/>
  <c r="AE252" i="22"/>
  <c r="AN252" i="22"/>
  <c r="AM252" i="22"/>
  <c r="AL252" i="22"/>
  <c r="AL179" i="22"/>
  <c r="AI179" i="22"/>
  <c r="AF179" i="22"/>
  <c r="AI137" i="22"/>
  <c r="AG137" i="22"/>
  <c r="AH137" i="22"/>
  <c r="AN137" i="22"/>
  <c r="AM137" i="22"/>
  <c r="AL137" i="22"/>
  <c r="AK137" i="22"/>
  <c r="AJ137" i="22"/>
  <c r="AF137" i="22"/>
  <c r="AE137" i="22"/>
  <c r="AD137" i="22"/>
  <c r="AI96" i="22"/>
  <c r="AH96" i="22"/>
  <c r="AG96" i="22"/>
  <c r="AF96" i="22"/>
  <c r="AL96" i="22"/>
  <c r="AK96" i="22"/>
  <c r="AJ96" i="22"/>
  <c r="AE96" i="22"/>
  <c r="AN96" i="22"/>
  <c r="AM96" i="22"/>
  <c r="AD96" i="22"/>
  <c r="AB218" i="19"/>
  <c r="AJ333" i="19"/>
  <c r="AN337" i="19"/>
  <c r="AM336" i="19"/>
  <c r="AL335" i="19"/>
  <c r="AH331" i="19"/>
  <c r="AI332" i="19"/>
  <c r="AN331" i="19"/>
  <c r="AK331" i="19"/>
  <c r="AK334" i="19"/>
  <c r="AE331" i="19"/>
  <c r="AH291" i="19"/>
  <c r="AF291" i="19"/>
  <c r="AE291" i="19"/>
  <c r="AN291" i="19"/>
  <c r="AM291" i="19"/>
  <c r="AL291" i="19"/>
  <c r="AK291" i="19"/>
  <c r="AJ291" i="19"/>
  <c r="AI291" i="19"/>
  <c r="AG291" i="19"/>
  <c r="AD291" i="19"/>
  <c r="AC291" i="19"/>
  <c r="AF250" i="19"/>
  <c r="AE250" i="19"/>
  <c r="AH250" i="19"/>
  <c r="AG250" i="19"/>
  <c r="AJ250" i="19"/>
  <c r="AD250" i="19"/>
  <c r="AC250" i="19"/>
  <c r="AI250" i="19"/>
  <c r="AN250" i="19"/>
  <c r="AM250" i="19"/>
  <c r="AL250" i="19"/>
  <c r="AK250" i="19"/>
  <c r="AN181" i="19"/>
  <c r="AH181" i="19"/>
  <c r="AK181" i="19"/>
  <c r="AM180" i="19"/>
  <c r="AJ180" i="19"/>
  <c r="AG180" i="19"/>
  <c r="AH137" i="19"/>
  <c r="AG137" i="19"/>
  <c r="AF137" i="19"/>
  <c r="AE137" i="19"/>
  <c r="AM137" i="19"/>
  <c r="AL137" i="19"/>
  <c r="AK137" i="19"/>
  <c r="AJ137" i="19"/>
  <c r="AI137" i="19"/>
  <c r="AN137" i="19"/>
  <c r="AD137" i="19"/>
  <c r="AH96" i="19"/>
  <c r="AF96" i="19"/>
  <c r="AG96" i="19"/>
  <c r="AE96" i="19"/>
  <c r="AN96" i="19"/>
  <c r="AL96" i="19"/>
  <c r="AK96" i="19"/>
  <c r="AM96" i="19"/>
  <c r="AJ96" i="19"/>
  <c r="AI96" i="19"/>
  <c r="AD96" i="19"/>
  <c r="AB220" i="20"/>
  <c r="AB221" i="20" s="1"/>
  <c r="AC218" i="20"/>
  <c r="AL332" i="20"/>
  <c r="AF332" i="20"/>
  <c r="AI292" i="20"/>
  <c r="AH292" i="20"/>
  <c r="AK292" i="20"/>
  <c r="AJ292" i="20"/>
  <c r="AG292" i="20"/>
  <c r="AE292" i="20"/>
  <c r="AD292" i="20"/>
  <c r="AN292" i="20"/>
  <c r="AM292" i="20"/>
  <c r="AL292" i="20"/>
  <c r="AF292" i="20"/>
  <c r="AI251" i="20"/>
  <c r="AH251" i="20"/>
  <c r="AE251" i="20"/>
  <c r="AG251" i="20"/>
  <c r="AF251" i="20"/>
  <c r="AD251" i="20"/>
  <c r="AK251" i="20"/>
  <c r="AL251" i="20" s="1"/>
  <c r="AM251" i="20" s="1"/>
  <c r="AN251" i="20" s="1"/>
  <c r="AJ251" i="20"/>
  <c r="AN484" i="42"/>
  <c r="AH484" i="42"/>
  <c r="AM483" i="42"/>
  <c r="AG483" i="42"/>
  <c r="AK443" i="42"/>
  <c r="AJ443" i="42"/>
  <c r="AI443" i="42"/>
  <c r="AH443" i="42"/>
  <c r="AN443" i="42"/>
  <c r="AL443" i="42"/>
  <c r="AE443" i="42"/>
  <c r="AE367" i="42" s="1"/>
  <c r="AG443" i="42"/>
  <c r="AF443" i="42"/>
  <c r="AM443" i="42"/>
  <c r="AN444" i="42"/>
  <c r="AM444" i="42"/>
  <c r="AL444" i="42"/>
  <c r="AK444" i="42"/>
  <c r="AJ444" i="42"/>
  <c r="AF444" i="42"/>
  <c r="AI444" i="42"/>
  <c r="AH444" i="42"/>
  <c r="AG444" i="42"/>
  <c r="AN403" i="42"/>
  <c r="AM403" i="42"/>
  <c r="AL403" i="42"/>
  <c r="AK403" i="42"/>
  <c r="AJ403" i="42"/>
  <c r="AI403" i="42"/>
  <c r="AH403" i="42"/>
  <c r="AG403" i="42"/>
  <c r="AF403" i="42"/>
  <c r="AK402" i="42"/>
  <c r="AJ402" i="42"/>
  <c r="AI402" i="42"/>
  <c r="AH402" i="42"/>
  <c r="AN402" i="42"/>
  <c r="AL402" i="42"/>
  <c r="AG402" i="42"/>
  <c r="AF402" i="42"/>
  <c r="AE402" i="42"/>
  <c r="AE366" i="42" s="1"/>
  <c r="AM402" i="42"/>
  <c r="AB218" i="42"/>
  <c r="AJ333" i="42"/>
  <c r="AI332" i="42"/>
  <c r="AN337" i="42"/>
  <c r="AM336" i="42"/>
  <c r="AN331" i="42"/>
  <c r="AL335" i="42"/>
  <c r="AK331" i="42"/>
  <c r="AK334" i="42"/>
  <c r="AH331" i="42"/>
  <c r="AE331" i="42"/>
  <c r="AH291" i="42"/>
  <c r="AF291" i="42"/>
  <c r="AE291" i="42"/>
  <c r="AN291" i="42"/>
  <c r="AL291" i="42"/>
  <c r="AK291" i="42"/>
  <c r="AJ291" i="42"/>
  <c r="AI291" i="42"/>
  <c r="AG291" i="42"/>
  <c r="AM291" i="42"/>
  <c r="AC291" i="42"/>
  <c r="AD291" i="42"/>
  <c r="AH250" i="42"/>
  <c r="AG250" i="42"/>
  <c r="AF250" i="42"/>
  <c r="AE250" i="42"/>
  <c r="AD250" i="42"/>
  <c r="AC250" i="42"/>
  <c r="AN250" i="42"/>
  <c r="AM250" i="42"/>
  <c r="AL250" i="42"/>
  <c r="AK250" i="42"/>
  <c r="AJ250" i="42"/>
  <c r="AI250" i="42"/>
  <c r="AB216" i="42"/>
  <c r="AJ180" i="42"/>
  <c r="AG180" i="42"/>
  <c r="AM180" i="42"/>
  <c r="AK138" i="42"/>
  <c r="AG138" i="42"/>
  <c r="AJ138" i="42"/>
  <c r="AI138" i="42"/>
  <c r="AH138" i="42"/>
  <c r="AF138" i="42"/>
  <c r="AE138" i="42"/>
  <c r="AN138" i="42"/>
  <c r="AM138" i="42"/>
  <c r="AL138" i="42"/>
  <c r="AK97" i="42"/>
  <c r="AJ97" i="42"/>
  <c r="AI97" i="42"/>
  <c r="AH97" i="42"/>
  <c r="AG97" i="42"/>
  <c r="AF97" i="42"/>
  <c r="AE97" i="42"/>
  <c r="AN97" i="42"/>
  <c r="AM97" i="42"/>
  <c r="AL97" i="42"/>
  <c r="AM483" i="41"/>
  <c r="AG483" i="41"/>
  <c r="AH441" i="41"/>
  <c r="AF441" i="41"/>
  <c r="AE441" i="41"/>
  <c r="AM441" i="41"/>
  <c r="AL441" i="41"/>
  <c r="AJ441" i="41"/>
  <c r="AI441" i="41"/>
  <c r="AN441" i="41"/>
  <c r="AK441" i="41"/>
  <c r="AG441" i="41"/>
  <c r="AD441" i="41"/>
  <c r="AC441" i="41"/>
  <c r="AI442" i="41"/>
  <c r="AG442" i="41"/>
  <c r="AF442" i="41"/>
  <c r="AN442" i="41"/>
  <c r="AM442" i="41"/>
  <c r="AJ442" i="41"/>
  <c r="AH442" i="41"/>
  <c r="AE442" i="41"/>
  <c r="AD442" i="41"/>
  <c r="AL442" i="41"/>
  <c r="AK442" i="41"/>
  <c r="AI401" i="41"/>
  <c r="AG401" i="41"/>
  <c r="AF401" i="41"/>
  <c r="AD401" i="41"/>
  <c r="AN401" i="41"/>
  <c r="AM401" i="41"/>
  <c r="AL401" i="41"/>
  <c r="AK401" i="41"/>
  <c r="AJ401" i="41"/>
  <c r="AH401" i="41"/>
  <c r="AE401" i="41"/>
  <c r="AH400" i="41"/>
  <c r="AF400" i="41"/>
  <c r="AE400" i="41"/>
  <c r="AN400" i="41"/>
  <c r="AM400" i="41"/>
  <c r="AL400" i="41"/>
  <c r="AK400" i="41"/>
  <c r="AJ400" i="41"/>
  <c r="AI400" i="41"/>
  <c r="AC400" i="41"/>
  <c r="AG400" i="41"/>
  <c r="AD400" i="41"/>
  <c r="AJ333" i="41"/>
  <c r="AN337" i="41"/>
  <c r="AE331" i="41"/>
  <c r="AK334" i="41"/>
  <c r="AI332" i="41"/>
  <c r="AN331" i="41"/>
  <c r="AK331" i="41"/>
  <c r="AH331" i="41"/>
  <c r="AM336" i="41"/>
  <c r="AL335" i="41"/>
  <c r="AH291" i="41"/>
  <c r="AG291" i="41"/>
  <c r="AD291" i="41"/>
  <c r="AN291" i="41"/>
  <c r="AM291" i="41"/>
  <c r="AL291" i="41"/>
  <c r="AK291" i="41"/>
  <c r="AC291" i="41"/>
  <c r="AI291" i="41"/>
  <c r="AJ291" i="41"/>
  <c r="AF291" i="41"/>
  <c r="AE291" i="41"/>
  <c r="AH250" i="41"/>
  <c r="AG250" i="41"/>
  <c r="AF250" i="41"/>
  <c r="AD250" i="41"/>
  <c r="AE250" i="41"/>
  <c r="AC250" i="41"/>
  <c r="AL250" i="41"/>
  <c r="AN250" i="41"/>
  <c r="AM250" i="41"/>
  <c r="AK250" i="41"/>
  <c r="AJ250" i="41"/>
  <c r="AI250" i="41"/>
  <c r="AG177" i="41"/>
  <c r="AD177" i="41"/>
  <c r="AM177" i="41"/>
  <c r="AJ177" i="41"/>
  <c r="AH135" i="41"/>
  <c r="AF135" i="41"/>
  <c r="AE135" i="41"/>
  <c r="AK135" i="41"/>
  <c r="AI135" i="41"/>
  <c r="AG135" i="41"/>
  <c r="AJ135" i="41"/>
  <c r="AL135" i="41"/>
  <c r="AD135" i="41"/>
  <c r="AC135" i="41"/>
  <c r="AB135" i="41"/>
  <c r="AN135" i="41"/>
  <c r="AM135" i="41"/>
  <c r="AH94" i="41"/>
  <c r="AG94" i="41"/>
  <c r="AF94" i="41"/>
  <c r="AE94" i="41"/>
  <c r="AN94" i="41"/>
  <c r="AM94" i="41"/>
  <c r="AI94" i="41"/>
  <c r="AC94" i="41"/>
  <c r="AB94" i="41"/>
  <c r="AD94" i="41"/>
  <c r="AL94" i="41"/>
  <c r="AK94" i="41"/>
  <c r="AJ94" i="41"/>
  <c r="AD40" i="16"/>
  <c r="AE40" i="16" s="1"/>
  <c r="AF40" i="16" s="1"/>
  <c r="AG40" i="16" s="1"/>
  <c r="AH40" i="16" s="1"/>
  <c r="AI40" i="16" s="1"/>
  <c r="AJ40" i="16" s="1"/>
  <c r="AK40" i="16" s="1"/>
  <c r="AL40" i="16" s="1"/>
  <c r="AM40" i="16" s="1"/>
  <c r="AN40" i="16" s="1"/>
  <c r="AC42" i="16"/>
  <c r="AH47" i="52"/>
  <c r="S53" i="52"/>
  <c r="S75" i="52"/>
  <c r="S81" i="52" s="1"/>
  <c r="AJ47" i="52"/>
  <c r="T47" i="52"/>
  <c r="V53" i="52"/>
  <c r="V75" i="52"/>
  <c r="V81" i="52" s="1"/>
  <c r="O100" i="35"/>
  <c r="O101" i="35" s="1"/>
  <c r="U75" i="52"/>
  <c r="U81" i="52" s="1"/>
  <c r="U53" i="52"/>
  <c r="W75" i="52"/>
  <c r="W81" i="52" s="1"/>
  <c r="W53" i="52"/>
  <c r="AL47" i="52"/>
  <c r="AK47" i="52"/>
  <c r="AC47" i="52"/>
  <c r="AD47" i="52"/>
  <c r="Y47" i="52"/>
  <c r="AA47" i="52"/>
  <c r="AB47" i="52"/>
  <c r="Z47" i="52"/>
  <c r="X47" i="52"/>
  <c r="AF47" i="52"/>
  <c r="AF200" i="41"/>
  <c r="AF202" i="41" s="1"/>
  <c r="Z13" i="19"/>
  <c r="AA220" i="19"/>
  <c r="AA221" i="19" s="1"/>
  <c r="AA16" i="19"/>
  <c r="AG47" i="20"/>
  <c r="AG49" i="20" s="1"/>
  <c r="AG50" i="20" s="1"/>
  <c r="AG52" i="20" s="1"/>
  <c r="AG364" i="20"/>
  <c r="AG363" i="20"/>
  <c r="AG365" i="20"/>
  <c r="AA13" i="20"/>
  <c r="AH350" i="20"/>
  <c r="AH352" i="20" s="1"/>
  <c r="AH45" i="20"/>
  <c r="AF15" i="37"/>
  <c r="AU27" i="37"/>
  <c r="AD47" i="32"/>
  <c r="AS25" i="32"/>
  <c r="AS31" i="32" s="1"/>
  <c r="AQ25" i="32"/>
  <c r="AB47" i="32"/>
  <c r="AB53" i="32" s="1"/>
  <c r="AP25" i="32"/>
  <c r="AA47" i="32"/>
  <c r="X31" i="32"/>
  <c r="X47" i="32"/>
  <c r="Z31" i="32"/>
  <c r="Z47" i="32"/>
  <c r="AC47" i="32"/>
  <c r="AC31" i="32"/>
  <c r="AM25" i="32"/>
  <c r="AR25" i="32"/>
  <c r="AO25" i="32"/>
  <c r="Y31" i="32"/>
  <c r="AN25" i="32"/>
  <c r="W53" i="32"/>
  <c r="AF364" i="42"/>
  <c r="AF365" i="42"/>
  <c r="AF363" i="42"/>
  <c r="AF49" i="42"/>
  <c r="AF50" i="42" s="1"/>
  <c r="AD61" i="42"/>
  <c r="AE51" i="42"/>
  <c r="AE139" i="42"/>
  <c r="AG364" i="42"/>
  <c r="AG365" i="42"/>
  <c r="AG363" i="42"/>
  <c r="AD366" i="42"/>
  <c r="AE181" i="42"/>
  <c r="AD63" i="42"/>
  <c r="AD367" i="42"/>
  <c r="AE64" i="42"/>
  <c r="AE98" i="42"/>
  <c r="AC65" i="42"/>
  <c r="AC66" i="42" s="1"/>
  <c r="AH350" i="42"/>
  <c r="AH352" i="42" s="1"/>
  <c r="AH45" i="42"/>
  <c r="AD62" i="42"/>
  <c r="AG47" i="42"/>
  <c r="AG49" i="42" s="1"/>
  <c r="AG50" i="42" s="1"/>
  <c r="AC64" i="41"/>
  <c r="AC96" i="41"/>
  <c r="AB178" i="41"/>
  <c r="AA23" i="41"/>
  <c r="AC179" i="41"/>
  <c r="AE47" i="41"/>
  <c r="AE49" i="41" s="1"/>
  <c r="AE50" i="41" s="1"/>
  <c r="AE52" i="41" s="1"/>
  <c r="AF350" i="41"/>
  <c r="AF352" i="41" s="1"/>
  <c r="AF45" i="41"/>
  <c r="AD58" i="41"/>
  <c r="AD59" i="41"/>
  <c r="AD60" i="41"/>
  <c r="AE354" i="41"/>
  <c r="AE355" i="41" s="1"/>
  <c r="AA63" i="41"/>
  <c r="AD369" i="41"/>
  <c r="AD402" i="41"/>
  <c r="AD443" i="41"/>
  <c r="AD356" i="41"/>
  <c r="AD368" i="41"/>
  <c r="AB51" i="41"/>
  <c r="AB136" i="41"/>
  <c r="AC51" i="41"/>
  <c r="AC137" i="41"/>
  <c r="AB64" i="41"/>
  <c r="AB95" i="41"/>
  <c r="AG15" i="41"/>
  <c r="AI20" i="41"/>
  <c r="AG63" i="23"/>
  <c r="AF63" i="23"/>
  <c r="AF370" i="23"/>
  <c r="AF371" i="23" s="1"/>
  <c r="AG367" i="23"/>
  <c r="AD216" i="23"/>
  <c r="AD12" i="23" s="1"/>
  <c r="AD217" i="23"/>
  <c r="AB370" i="22"/>
  <c r="AB371" i="22" s="1"/>
  <c r="AD217" i="22"/>
  <c r="AD216" i="22"/>
  <c r="AF204" i="22"/>
  <c r="AF205" i="22" s="1"/>
  <c r="AE213" i="22"/>
  <c r="AE253" i="22" s="1"/>
  <c r="AE215" i="22"/>
  <c r="AE334" i="22" s="1"/>
  <c r="AE214" i="22"/>
  <c r="AE207" i="22"/>
  <c r="AD443" i="22"/>
  <c r="AD356" i="22"/>
  <c r="AF47" i="22"/>
  <c r="AF49" i="22" s="1"/>
  <c r="AF50" i="22" s="1"/>
  <c r="AF52" i="22" s="1"/>
  <c r="AC63" i="22"/>
  <c r="AD483" i="22"/>
  <c r="AD368" i="22"/>
  <c r="AD180" i="22"/>
  <c r="AC367" i="22"/>
  <c r="AC23" i="22"/>
  <c r="AE369" i="22"/>
  <c r="AE403" i="22"/>
  <c r="AB65" i="22"/>
  <c r="AB66" i="22" s="1"/>
  <c r="AF354" i="22"/>
  <c r="AF355" i="22" s="1"/>
  <c r="AE444" i="22"/>
  <c r="AE356" i="22"/>
  <c r="AD402" i="22"/>
  <c r="AD369" i="22"/>
  <c r="AG45" i="22"/>
  <c r="AG350" i="22"/>
  <c r="AG352" i="22" s="1"/>
  <c r="AG200" i="22"/>
  <c r="AG202" i="22" s="1"/>
  <c r="AG204" i="22" s="1"/>
  <c r="AG205" i="22" s="1"/>
  <c r="AA18" i="22"/>
  <c r="AA13" i="22"/>
  <c r="AC366" i="22"/>
  <c r="AD97" i="22"/>
  <c r="AD64" i="22"/>
  <c r="AE60" i="22"/>
  <c r="AE58" i="22"/>
  <c r="AE59" i="22"/>
  <c r="AE368" i="22"/>
  <c r="AD138" i="22"/>
  <c r="AD51" i="22"/>
  <c r="AC61" i="22"/>
  <c r="AC62" i="22"/>
  <c r="AB217" i="19"/>
  <c r="AH45" i="19"/>
  <c r="AH349" i="19"/>
  <c r="AH351" i="19" s="1"/>
  <c r="AB65" i="19"/>
  <c r="AB66" i="19" s="1"/>
  <c r="AD369" i="19"/>
  <c r="AD370" i="19" s="1"/>
  <c r="AF403" i="19"/>
  <c r="AF368" i="19"/>
  <c r="AE63" i="19"/>
  <c r="AD97" i="19"/>
  <c r="AD64" i="19"/>
  <c r="AF484" i="19"/>
  <c r="AI484" i="19" s="1"/>
  <c r="AF367" i="19"/>
  <c r="AE139" i="19"/>
  <c r="AE51" i="19"/>
  <c r="AD51" i="19"/>
  <c r="AD138" i="19"/>
  <c r="AF444" i="19"/>
  <c r="AF355" i="19"/>
  <c r="AE98" i="19"/>
  <c r="AE64" i="19"/>
  <c r="AE443" i="19"/>
  <c r="AE355" i="19"/>
  <c r="AG353" i="19"/>
  <c r="AG354" i="19" s="1"/>
  <c r="AC61" i="19"/>
  <c r="AG47" i="19"/>
  <c r="AB216" i="19"/>
  <c r="AD63" i="19"/>
  <c r="AC62" i="19"/>
  <c r="AE402" i="19"/>
  <c r="AE368" i="19"/>
  <c r="AF58" i="19"/>
  <c r="AF59" i="19"/>
  <c r="AF60" i="19"/>
  <c r="AF182" i="19" s="1"/>
  <c r="AE483" i="19"/>
  <c r="AE367" i="19"/>
  <c r="AD370" i="20"/>
  <c r="AD371" i="20" s="1"/>
  <c r="AF49" i="20"/>
  <c r="AF50" i="20" s="1"/>
  <c r="AN181" i="20"/>
  <c r="AK181" i="20"/>
  <c r="AH181" i="20"/>
  <c r="AE63" i="20"/>
  <c r="AF485" i="20"/>
  <c r="AI485" i="20" s="1"/>
  <c r="AF368" i="20"/>
  <c r="AC370" i="20"/>
  <c r="AC371" i="20" s="1"/>
  <c r="AE98" i="20"/>
  <c r="AE64" i="20"/>
  <c r="AF404" i="20"/>
  <c r="AF369" i="20"/>
  <c r="AE51" i="20"/>
  <c r="AE139" i="20"/>
  <c r="AF445" i="20"/>
  <c r="AF356" i="20"/>
  <c r="AE369" i="20"/>
  <c r="AE403" i="20"/>
  <c r="AD64" i="20"/>
  <c r="AD97" i="20"/>
  <c r="AC65" i="20"/>
  <c r="AC66" i="20" s="1"/>
  <c r="AE484" i="20"/>
  <c r="AE368" i="20"/>
  <c r="AE356" i="20"/>
  <c r="AE444" i="20"/>
  <c r="AG180" i="20"/>
  <c r="AM180" i="20"/>
  <c r="AJ180" i="20"/>
  <c r="AD63" i="20"/>
  <c r="AD138" i="20"/>
  <c r="AD51" i="20"/>
  <c r="AC216" i="20"/>
  <c r="AC12" i="20" s="1"/>
  <c r="AC217" i="20"/>
  <c r="AC251" i="42"/>
  <c r="AC219" i="42"/>
  <c r="AC332" i="42"/>
  <c r="AF202" i="42"/>
  <c r="AE204" i="42"/>
  <c r="AE205" i="42" s="1"/>
  <c r="AC206" i="42"/>
  <c r="AC292" i="42"/>
  <c r="AD214" i="42"/>
  <c r="AD213" i="42"/>
  <c r="AD9" i="42" s="1"/>
  <c r="AD21" i="42" s="1"/>
  <c r="AD215" i="42"/>
  <c r="AD207" i="42"/>
  <c r="AB217" i="42"/>
  <c r="AG200" i="42"/>
  <c r="AE204" i="41"/>
  <c r="AE205" i="41" s="1"/>
  <c r="AB218" i="41"/>
  <c r="AC292" i="41"/>
  <c r="AC206" i="41"/>
  <c r="AD215" i="41"/>
  <c r="AD213" i="41"/>
  <c r="AD214" i="41"/>
  <c r="AD207" i="41"/>
  <c r="AC251" i="41"/>
  <c r="AC219" i="41"/>
  <c r="AC332" i="41"/>
  <c r="AF213" i="23"/>
  <c r="AF9" i="23" s="1"/>
  <c r="AF21" i="23" s="1"/>
  <c r="AF215" i="23"/>
  <c r="AF214" i="23"/>
  <c r="AF207" i="23"/>
  <c r="AI200" i="23"/>
  <c r="AE294" i="23"/>
  <c r="AE206" i="23"/>
  <c r="AE219" i="23"/>
  <c r="AE253" i="23"/>
  <c r="AH202" i="23"/>
  <c r="AE334" i="23"/>
  <c r="AG204" i="23"/>
  <c r="AG205" i="23" s="1"/>
  <c r="AC220" i="23"/>
  <c r="AC221" i="23" s="1"/>
  <c r="AD218" i="22"/>
  <c r="AF202" i="19"/>
  <c r="AC251" i="19"/>
  <c r="AC219" i="19"/>
  <c r="AC292" i="19"/>
  <c r="AC206" i="19"/>
  <c r="AC332" i="19"/>
  <c r="AD214" i="19"/>
  <c r="AD213" i="19"/>
  <c r="AD9" i="19" s="1"/>
  <c r="AD215" i="19"/>
  <c r="AD207" i="19"/>
  <c r="AE204" i="19"/>
  <c r="AE205" i="19" s="1"/>
  <c r="AG200" i="19"/>
  <c r="AF204" i="20"/>
  <c r="AF205" i="20" s="1"/>
  <c r="AE215" i="20"/>
  <c r="AE214" i="20"/>
  <c r="AE213" i="20"/>
  <c r="AE207" i="20"/>
  <c r="AG202" i="20"/>
  <c r="AD252" i="20"/>
  <c r="AD219" i="20"/>
  <c r="AD293" i="20"/>
  <c r="AD206" i="20"/>
  <c r="AD333" i="20"/>
  <c r="AH200" i="20"/>
  <c r="AK47" i="32"/>
  <c r="AK31" i="32"/>
  <c r="AJ47" i="32"/>
  <c r="AJ31" i="32"/>
  <c r="Q15" i="37"/>
  <c r="AI25" i="32"/>
  <c r="U75" i="32"/>
  <c r="U81" i="32" s="1"/>
  <c r="U53" i="32"/>
  <c r="AL47" i="32"/>
  <c r="AL31" i="32"/>
  <c r="V75" i="32"/>
  <c r="V81" i="32" s="1"/>
  <c r="V53" i="32"/>
  <c r="AU9" i="32"/>
  <c r="R22" i="16"/>
  <c r="S22" i="16" s="1"/>
  <c r="AU46" i="37"/>
  <c r="AF27" i="37"/>
  <c r="AF44" i="37"/>
  <c r="V46" i="37"/>
  <c r="T46" i="37"/>
  <c r="Q27" i="37"/>
  <c r="M65" i="37"/>
  <c r="O65" i="37"/>
  <c r="N65" i="37"/>
  <c r="I4" i="32"/>
  <c r="J4" i="32" s="1"/>
  <c r="K4" i="32" s="1"/>
  <c r="L4" i="32" s="1"/>
  <c r="M4" i="32" s="1"/>
  <c r="N4" i="32" s="1"/>
  <c r="O4" i="32" s="1"/>
  <c r="S10" i="73"/>
  <c r="R22" i="73"/>
  <c r="Q2" i="73"/>
  <c r="R18" i="73"/>
  <c r="T10" i="73"/>
  <c r="Q14" i="73"/>
  <c r="AH405" i="23" l="1"/>
  <c r="AI405" i="23"/>
  <c r="AM405" i="23"/>
  <c r="AN405" i="23"/>
  <c r="AJ405" i="23"/>
  <c r="AL405" i="23"/>
  <c r="AD9" i="41"/>
  <c r="AD21" i="41" s="1"/>
  <c r="AM210" i="42"/>
  <c r="AN209" i="42"/>
  <c r="AN210" i="42" s="1"/>
  <c r="AK405" i="23"/>
  <c r="Z16" i="52"/>
  <c r="Z38" i="52"/>
  <c r="AD10" i="41"/>
  <c r="AI50" i="23"/>
  <c r="AI60" i="23" s="1"/>
  <c r="AC13" i="23"/>
  <c r="AD10" i="42"/>
  <c r="AD23" i="42" s="1"/>
  <c r="AE10" i="20"/>
  <c r="AE23" i="20" s="1"/>
  <c r="AF10" i="23"/>
  <c r="AF23" i="23" s="1"/>
  <c r="AE9" i="22"/>
  <c r="AE21" i="22" s="1"/>
  <c r="X73" i="57"/>
  <c r="X79" i="57" s="1"/>
  <c r="Y45" i="57"/>
  <c r="Y51" i="57" s="1"/>
  <c r="AE10" i="22"/>
  <c r="AM59" i="52"/>
  <c r="AM59" i="32" s="1"/>
  <c r="AA23" i="57"/>
  <c r="AA45" i="57" s="1"/>
  <c r="Z23" i="57"/>
  <c r="Z29" i="57" s="1"/>
  <c r="AB38" i="57"/>
  <c r="AB16" i="57"/>
  <c r="AA25" i="22"/>
  <c r="AC7" i="57" s="1"/>
  <c r="AE9" i="20"/>
  <c r="AE21" i="20" s="1"/>
  <c r="AA25" i="19"/>
  <c r="AG62" i="23"/>
  <c r="AA13" i="42"/>
  <c r="AD10" i="19"/>
  <c r="AD23" i="19" s="1"/>
  <c r="AD21" i="19"/>
  <c r="AB11" i="42"/>
  <c r="AB23" i="63"/>
  <c r="AB45" i="63" s="1"/>
  <c r="AC16" i="63"/>
  <c r="AC38" i="63"/>
  <c r="AG61" i="23"/>
  <c r="AE65" i="23"/>
  <c r="AE66" i="23" s="1"/>
  <c r="AH51" i="23"/>
  <c r="AH487" i="23"/>
  <c r="AK487" i="23" s="1"/>
  <c r="AH368" i="23"/>
  <c r="AH142" i="23"/>
  <c r="AM142" i="23" s="1"/>
  <c r="AH369" i="23"/>
  <c r="AH406" i="23"/>
  <c r="AA73" i="63"/>
  <c r="AA79" i="63" s="1"/>
  <c r="AH447" i="23"/>
  <c r="AH356" i="23"/>
  <c r="AI364" i="23"/>
  <c r="AI365" i="23"/>
  <c r="AI363" i="23"/>
  <c r="AJ45" i="23"/>
  <c r="AJ350" i="23"/>
  <c r="AJ352" i="23" s="1"/>
  <c r="AJ354" i="23" s="1"/>
  <c r="AJ355" i="23" s="1"/>
  <c r="AH64" i="23"/>
  <c r="AH101" i="23"/>
  <c r="AN101" i="23" s="1"/>
  <c r="AA25" i="42"/>
  <c r="AB11" i="19"/>
  <c r="AB18" i="19" s="1"/>
  <c r="AD11" i="23"/>
  <c r="AD18" i="23" s="1"/>
  <c r="AC16" i="23"/>
  <c r="AB12" i="19"/>
  <c r="AB16" i="19" s="1"/>
  <c r="AB13" i="20"/>
  <c r="AC11" i="22"/>
  <c r="AC12" i="22"/>
  <c r="AC16" i="22" s="1"/>
  <c r="AC11" i="20"/>
  <c r="AC18" i="20" s="1"/>
  <c r="Y46" i="65"/>
  <c r="Y52" i="65" s="1"/>
  <c r="AD16" i="63"/>
  <c r="AD23" i="63" s="1"/>
  <c r="AD38" i="63"/>
  <c r="AF7" i="63"/>
  <c r="Z46" i="65"/>
  <c r="AA37" i="32"/>
  <c r="AC7" i="61"/>
  <c r="AA23" i="61"/>
  <c r="AB38" i="61"/>
  <c r="AB16" i="61"/>
  <c r="Y51" i="61"/>
  <c r="Y73" i="61"/>
  <c r="Y79" i="61" s="1"/>
  <c r="Z51" i="61"/>
  <c r="Z73" i="61"/>
  <c r="Z79" i="61" s="1"/>
  <c r="AB6" i="62"/>
  <c r="X71" i="62"/>
  <c r="X77" i="62" s="1"/>
  <c r="X50" i="62"/>
  <c r="Y71" i="52"/>
  <c r="Z60" i="52"/>
  <c r="Z44" i="62"/>
  <c r="Z28" i="62"/>
  <c r="Y71" i="62"/>
  <c r="Y77" i="62" s="1"/>
  <c r="Y50" i="62"/>
  <c r="AA15" i="62"/>
  <c r="AA22" i="62" s="1"/>
  <c r="AA7" i="52"/>
  <c r="AA37" i="62"/>
  <c r="AN59" i="51"/>
  <c r="Z29" i="60"/>
  <c r="Z45" i="60"/>
  <c r="AA38" i="60"/>
  <c r="AA16" i="60"/>
  <c r="AA23" i="60" s="1"/>
  <c r="Y73" i="60"/>
  <c r="Y79" i="60" s="1"/>
  <c r="Y51" i="60"/>
  <c r="AE218" i="23"/>
  <c r="AN334" i="23"/>
  <c r="AH334" i="23"/>
  <c r="AN294" i="23"/>
  <c r="AM294" i="23"/>
  <c r="AL294" i="23"/>
  <c r="AK294" i="23"/>
  <c r="AJ294" i="23"/>
  <c r="AI294" i="23"/>
  <c r="AH294" i="23"/>
  <c r="AG294" i="23"/>
  <c r="AF294" i="23"/>
  <c r="AD220" i="23"/>
  <c r="AD221" i="23" s="1"/>
  <c r="AN253" i="23"/>
  <c r="AM253" i="23"/>
  <c r="AL253" i="23"/>
  <c r="AK253" i="23"/>
  <c r="AI253" i="23"/>
  <c r="AH253" i="23"/>
  <c r="AG253" i="23"/>
  <c r="AJ253" i="23"/>
  <c r="AF253" i="23"/>
  <c r="AD16" i="23"/>
  <c r="AG370" i="23"/>
  <c r="AG371" i="23" s="1"/>
  <c r="AN184" i="23"/>
  <c r="AK184" i="23"/>
  <c r="AM483" i="22"/>
  <c r="AG483" i="22"/>
  <c r="AN444" i="22"/>
  <c r="AM444" i="22"/>
  <c r="AL444" i="22"/>
  <c r="AK444" i="22"/>
  <c r="AJ444" i="22"/>
  <c r="AI444" i="22"/>
  <c r="AG444" i="22"/>
  <c r="AH444" i="22"/>
  <c r="AF444" i="22"/>
  <c r="AK443" i="22"/>
  <c r="AJ443" i="22"/>
  <c r="AI443" i="22"/>
  <c r="AH443" i="22"/>
  <c r="AN443" i="22"/>
  <c r="AM443" i="22"/>
  <c r="AG443" i="22"/>
  <c r="AF443" i="22"/>
  <c r="AE443" i="22"/>
  <c r="AE367" i="22" s="1"/>
  <c r="AL443" i="22"/>
  <c r="AN403" i="22"/>
  <c r="AL403" i="22"/>
  <c r="AK403" i="22"/>
  <c r="AM403" i="22"/>
  <c r="AJ403" i="22"/>
  <c r="AI403" i="22"/>
  <c r="AH403" i="22"/>
  <c r="AG403" i="22"/>
  <c r="AF403" i="22"/>
  <c r="AK402" i="22"/>
  <c r="AI402" i="22"/>
  <c r="AH402" i="22"/>
  <c r="AJ402" i="22"/>
  <c r="AF402" i="22"/>
  <c r="AG402" i="22"/>
  <c r="AE402" i="22"/>
  <c r="AE366" i="22" s="1"/>
  <c r="AN402" i="22"/>
  <c r="AM402" i="22"/>
  <c r="AL402" i="22"/>
  <c r="AE218" i="22"/>
  <c r="AN334" i="22"/>
  <c r="AH334" i="22"/>
  <c r="AM253" i="22"/>
  <c r="AK253" i="22"/>
  <c r="AJ253" i="22"/>
  <c r="AN253" i="22"/>
  <c r="AL253" i="22"/>
  <c r="AI253" i="22"/>
  <c r="AH253" i="22"/>
  <c r="AF253" i="22"/>
  <c r="AG253" i="22"/>
  <c r="AM180" i="22"/>
  <c r="AG180" i="22"/>
  <c r="AJ180" i="22"/>
  <c r="AK138" i="22"/>
  <c r="AI138" i="22"/>
  <c r="AJ138" i="22"/>
  <c r="AH138" i="22"/>
  <c r="AG138" i="22"/>
  <c r="AF138" i="22"/>
  <c r="AE138" i="22"/>
  <c r="AL138" i="22"/>
  <c r="AN138" i="22"/>
  <c r="AM138" i="22"/>
  <c r="AK97" i="22"/>
  <c r="AJ97" i="22"/>
  <c r="AI97" i="22"/>
  <c r="AH97" i="22"/>
  <c r="AN97" i="22"/>
  <c r="AM97" i="22"/>
  <c r="AG97" i="22"/>
  <c r="AF97" i="22"/>
  <c r="AE97" i="22"/>
  <c r="AL97" i="22"/>
  <c r="AN483" i="19"/>
  <c r="AH483" i="19"/>
  <c r="AI444" i="19"/>
  <c r="AH444" i="19"/>
  <c r="AG444" i="19"/>
  <c r="AK444" i="19"/>
  <c r="AJ444" i="19"/>
  <c r="AN444" i="19"/>
  <c r="AM444" i="19"/>
  <c r="AL444" i="19"/>
  <c r="AN443" i="19"/>
  <c r="AL443" i="19"/>
  <c r="AM443" i="19"/>
  <c r="AK443" i="19"/>
  <c r="AJ443" i="19"/>
  <c r="AI443" i="19"/>
  <c r="AH443" i="19"/>
  <c r="AG443" i="19"/>
  <c r="AF443" i="19"/>
  <c r="AF366" i="19" s="1"/>
  <c r="AN402" i="19"/>
  <c r="AM402" i="19"/>
  <c r="AL402" i="19"/>
  <c r="AK402" i="19"/>
  <c r="AJ402" i="19"/>
  <c r="AI402" i="19"/>
  <c r="AH402" i="19"/>
  <c r="AG402" i="19"/>
  <c r="AF402" i="19"/>
  <c r="AF365" i="19" s="1"/>
  <c r="AN403" i="19"/>
  <c r="AM403" i="19"/>
  <c r="AL403" i="19"/>
  <c r="AI403" i="19"/>
  <c r="AH403" i="19"/>
  <c r="AG403" i="19"/>
  <c r="AK403" i="19"/>
  <c r="AJ403" i="19"/>
  <c r="AC218" i="19"/>
  <c r="AL332" i="19"/>
  <c r="AF332" i="19"/>
  <c r="AI292" i="19"/>
  <c r="AG292" i="19"/>
  <c r="AF292" i="19"/>
  <c r="AN292" i="19"/>
  <c r="AM292" i="19"/>
  <c r="AL292" i="19"/>
  <c r="AK292" i="19"/>
  <c r="AH292" i="19"/>
  <c r="AJ292" i="19"/>
  <c r="AE292" i="19"/>
  <c r="AD292" i="19"/>
  <c r="AG251" i="19"/>
  <c r="AF251" i="19"/>
  <c r="AK251" i="19"/>
  <c r="AL251" i="19" s="1"/>
  <c r="AM251" i="19" s="1"/>
  <c r="AN251" i="19" s="1"/>
  <c r="AJ251" i="19"/>
  <c r="AI251" i="19"/>
  <c r="AH251" i="19"/>
  <c r="AE251" i="19"/>
  <c r="AD251" i="19"/>
  <c r="AL182" i="19"/>
  <c r="AI182" i="19"/>
  <c r="AJ138" i="19"/>
  <c r="AI138" i="19"/>
  <c r="AH138" i="19"/>
  <c r="AG138" i="19"/>
  <c r="AN138" i="19"/>
  <c r="AL138" i="19"/>
  <c r="AK138" i="19"/>
  <c r="AE138" i="19"/>
  <c r="AE62" i="19" s="1"/>
  <c r="AM138" i="19"/>
  <c r="AF138" i="19"/>
  <c r="AM139" i="19"/>
  <c r="AN139" i="19" s="1"/>
  <c r="AL139" i="19"/>
  <c r="AK139" i="19"/>
  <c r="AJ139" i="19"/>
  <c r="AI139" i="19"/>
  <c r="AH139" i="19"/>
  <c r="AG139" i="19"/>
  <c r="AF139" i="19"/>
  <c r="AM98" i="19"/>
  <c r="AK98" i="19"/>
  <c r="AL98" i="19"/>
  <c r="AJ98" i="19"/>
  <c r="AI98" i="19"/>
  <c r="AH98" i="19"/>
  <c r="AN98" i="19"/>
  <c r="AG98" i="19"/>
  <c r="AF98" i="19"/>
  <c r="AJ97" i="19"/>
  <c r="AH97" i="19"/>
  <c r="AI97" i="19"/>
  <c r="AG97" i="19"/>
  <c r="AK97" i="19"/>
  <c r="AN97" i="19"/>
  <c r="AM97" i="19"/>
  <c r="AL97" i="19"/>
  <c r="AF97" i="19"/>
  <c r="AE97" i="19"/>
  <c r="AE61" i="19" s="1"/>
  <c r="AN484" i="20"/>
  <c r="AH484" i="20"/>
  <c r="AN445" i="20"/>
  <c r="AL445" i="20"/>
  <c r="AM445" i="20"/>
  <c r="AI445" i="20"/>
  <c r="AH445" i="20"/>
  <c r="AG445" i="20"/>
  <c r="AJ445" i="20"/>
  <c r="AK445" i="20"/>
  <c r="AM444" i="20"/>
  <c r="AL444" i="20"/>
  <c r="AJ444" i="20"/>
  <c r="AI444" i="20"/>
  <c r="AH444" i="20"/>
  <c r="AF444" i="20"/>
  <c r="AF367" i="20" s="1"/>
  <c r="AK444" i="20"/>
  <c r="AN444" i="20"/>
  <c r="AG444" i="20"/>
  <c r="AG404" i="20"/>
  <c r="AJ404" i="20"/>
  <c r="AI404" i="20"/>
  <c r="AH404" i="20"/>
  <c r="AN404" i="20"/>
  <c r="AM404" i="20"/>
  <c r="AL404" i="20"/>
  <c r="AK404" i="20"/>
  <c r="AN403" i="20"/>
  <c r="AM403" i="20"/>
  <c r="AL403" i="20"/>
  <c r="AK403" i="20"/>
  <c r="AJ403" i="20"/>
  <c r="AI403" i="20"/>
  <c r="AF403" i="20"/>
  <c r="AF366" i="20" s="1"/>
  <c r="AH403" i="20"/>
  <c r="AG403" i="20"/>
  <c r="AD218" i="20"/>
  <c r="AM333" i="20"/>
  <c r="AG333" i="20"/>
  <c r="AB18" i="20"/>
  <c r="AB25" i="20" s="1"/>
  <c r="AK293" i="20"/>
  <c r="AJ293" i="20"/>
  <c r="AN293" i="20"/>
  <c r="AM293" i="20"/>
  <c r="AL293" i="20"/>
  <c r="AI293" i="20"/>
  <c r="AH293" i="20"/>
  <c r="AF293" i="20"/>
  <c r="AE293" i="20"/>
  <c r="AG293" i="20"/>
  <c r="AK252" i="20"/>
  <c r="AJ252" i="20"/>
  <c r="AG252" i="20"/>
  <c r="AI252" i="20"/>
  <c r="AH252" i="20"/>
  <c r="AF252" i="20"/>
  <c r="AE252" i="20"/>
  <c r="AN252" i="20"/>
  <c r="AM252" i="20"/>
  <c r="AL252" i="20"/>
  <c r="AC16" i="20"/>
  <c r="AC217" i="42"/>
  <c r="AC218" i="42"/>
  <c r="AL332" i="42"/>
  <c r="AF332" i="42"/>
  <c r="AB220" i="42"/>
  <c r="AB221" i="42" s="1"/>
  <c r="AI292" i="42"/>
  <c r="AG292" i="42"/>
  <c r="AF292" i="42"/>
  <c r="AN292" i="42"/>
  <c r="AM292" i="42"/>
  <c r="AL292" i="42"/>
  <c r="AJ292" i="42"/>
  <c r="AH292" i="42"/>
  <c r="AE292" i="42"/>
  <c r="AD292" i="42"/>
  <c r="AK292" i="42"/>
  <c r="AI251" i="42"/>
  <c r="AH251" i="42"/>
  <c r="AG251" i="42"/>
  <c r="AF251" i="42"/>
  <c r="AK251" i="42"/>
  <c r="AL251" i="42" s="1"/>
  <c r="AM251" i="42" s="1"/>
  <c r="AN251" i="42" s="1"/>
  <c r="AJ251" i="42"/>
  <c r="AE251" i="42"/>
  <c r="AD251" i="42"/>
  <c r="AB16" i="42"/>
  <c r="AN181" i="42"/>
  <c r="AK181" i="42"/>
  <c r="AH181" i="42"/>
  <c r="AM139" i="42"/>
  <c r="AN139" i="42" s="1"/>
  <c r="AL139" i="42"/>
  <c r="AK139" i="42"/>
  <c r="AI139" i="42"/>
  <c r="AH139" i="42"/>
  <c r="AF139" i="42"/>
  <c r="AG139" i="42"/>
  <c r="AJ139" i="42"/>
  <c r="AN98" i="42"/>
  <c r="AM98" i="42"/>
  <c r="AL98" i="42"/>
  <c r="AK98" i="42"/>
  <c r="AJ98" i="42"/>
  <c r="AH98" i="42"/>
  <c r="AG98" i="42"/>
  <c r="AI98" i="42"/>
  <c r="AF98" i="42"/>
  <c r="AK443" i="41"/>
  <c r="AI443" i="41"/>
  <c r="AH443" i="41"/>
  <c r="AG443" i="41"/>
  <c r="AF443" i="41"/>
  <c r="AN443" i="41"/>
  <c r="AJ443" i="41"/>
  <c r="AE443" i="41"/>
  <c r="AM443" i="41"/>
  <c r="AL443" i="41"/>
  <c r="AK402" i="41"/>
  <c r="AI402" i="41"/>
  <c r="AH402" i="41"/>
  <c r="AJ402" i="41"/>
  <c r="AG402" i="41"/>
  <c r="AN402" i="41"/>
  <c r="AM402" i="41"/>
  <c r="AL402" i="41"/>
  <c r="AF402" i="41"/>
  <c r="AE402" i="41"/>
  <c r="AC218" i="41"/>
  <c r="AL332" i="41"/>
  <c r="AF332" i="41"/>
  <c r="AI292" i="41"/>
  <c r="AH292" i="41"/>
  <c r="AE292" i="41"/>
  <c r="AN292" i="41"/>
  <c r="AM292" i="41"/>
  <c r="AL292" i="41"/>
  <c r="AK292" i="41"/>
  <c r="AD292" i="41"/>
  <c r="AJ292" i="41"/>
  <c r="AF292" i="41"/>
  <c r="AG292" i="41"/>
  <c r="AI251" i="41"/>
  <c r="AH251" i="41"/>
  <c r="AG251" i="41"/>
  <c r="AE251" i="41"/>
  <c r="AK251" i="41"/>
  <c r="AL251" i="41" s="1"/>
  <c r="AM251" i="41" s="1"/>
  <c r="AN251" i="41" s="1"/>
  <c r="AF251" i="41"/>
  <c r="AD251" i="41"/>
  <c r="AJ251" i="41"/>
  <c r="AN178" i="41"/>
  <c r="AK178" i="41"/>
  <c r="AH178" i="41"/>
  <c r="AE178" i="41"/>
  <c r="AF179" i="41"/>
  <c r="AI179" i="41"/>
  <c r="AL179" i="41"/>
  <c r="AI137" i="41"/>
  <c r="AG137" i="41"/>
  <c r="AF137" i="41"/>
  <c r="AK137" i="41"/>
  <c r="AJ137" i="41"/>
  <c r="AH137" i="41"/>
  <c r="AE137" i="41"/>
  <c r="AD137" i="41"/>
  <c r="AN137" i="41"/>
  <c r="AM137" i="41"/>
  <c r="AL137" i="41"/>
  <c r="AH136" i="41"/>
  <c r="AF136" i="41"/>
  <c r="AE136" i="41"/>
  <c r="AN136" i="41"/>
  <c r="AL136" i="41"/>
  <c r="AK136" i="41"/>
  <c r="AM136" i="41"/>
  <c r="AD136" i="41"/>
  <c r="AC136" i="41"/>
  <c r="AJ136" i="41"/>
  <c r="AI136" i="41"/>
  <c r="AG136" i="41"/>
  <c r="AH95" i="41"/>
  <c r="AG95" i="41"/>
  <c r="AF95" i="41"/>
  <c r="AE95" i="41"/>
  <c r="AD95" i="41"/>
  <c r="AC95" i="41"/>
  <c r="AN95" i="41"/>
  <c r="AM95" i="41"/>
  <c r="AL95" i="41"/>
  <c r="AK95" i="41"/>
  <c r="AJ95" i="41"/>
  <c r="AI95" i="41"/>
  <c r="AI96" i="41"/>
  <c r="AH96" i="41"/>
  <c r="AG96" i="41"/>
  <c r="AF96" i="41"/>
  <c r="AM96" i="41"/>
  <c r="AK96" i="41"/>
  <c r="AJ96" i="41"/>
  <c r="AL96" i="41"/>
  <c r="AN96" i="41"/>
  <c r="AD96" i="41"/>
  <c r="AE96" i="41"/>
  <c r="AD42" i="16"/>
  <c r="AH75" i="52"/>
  <c r="AH81" i="52" s="1"/>
  <c r="AH53" i="52"/>
  <c r="AK53" i="52"/>
  <c r="AK75" i="52"/>
  <c r="AK81" i="52" s="1"/>
  <c r="AI47" i="52"/>
  <c r="AJ53" i="52"/>
  <c r="AJ75" i="52"/>
  <c r="AJ81" i="52" s="1"/>
  <c r="AL53" i="52"/>
  <c r="AL75" i="52"/>
  <c r="AL81" i="52" s="1"/>
  <c r="T75" i="52"/>
  <c r="T81" i="52" s="1"/>
  <c r="T53" i="52"/>
  <c r="AF75" i="52"/>
  <c r="AF81" i="52" s="1"/>
  <c r="AF53" i="52"/>
  <c r="AS47" i="52"/>
  <c r="X75" i="52"/>
  <c r="X81" i="52" s="1"/>
  <c r="X53" i="52"/>
  <c r="Y75" i="52"/>
  <c r="Y81" i="52" s="1"/>
  <c r="Y53" i="52"/>
  <c r="AP47" i="52"/>
  <c r="Z75" i="52"/>
  <c r="Z81" i="52" s="1"/>
  <c r="Z53" i="52"/>
  <c r="AB53" i="52"/>
  <c r="AB75" i="52"/>
  <c r="AB81" i="52" s="1"/>
  <c r="AD53" i="52"/>
  <c r="AD75" i="52"/>
  <c r="AD81" i="52" s="1"/>
  <c r="AO47" i="52"/>
  <c r="AN47" i="52"/>
  <c r="AR47" i="52"/>
  <c r="AA75" i="52"/>
  <c r="AA81" i="52" s="1"/>
  <c r="AA53" i="52"/>
  <c r="AM47" i="52"/>
  <c r="AU40" i="52"/>
  <c r="AQ47" i="52"/>
  <c r="AC53" i="52"/>
  <c r="AC75" i="52"/>
  <c r="AC81" i="52" s="1"/>
  <c r="AE206" i="22"/>
  <c r="AE294" i="22"/>
  <c r="AE219" i="22"/>
  <c r="AC216" i="19"/>
  <c r="AA13" i="19"/>
  <c r="AH47" i="20"/>
  <c r="AH49" i="20" s="1"/>
  <c r="AH50" i="20" s="1"/>
  <c r="AH52" i="20" s="1"/>
  <c r="AI45" i="20"/>
  <c r="AI350" i="20"/>
  <c r="AI352" i="20" s="1"/>
  <c r="AI354" i="20" s="1"/>
  <c r="AI355" i="20" s="1"/>
  <c r="AG486" i="20"/>
  <c r="AJ486" i="20" s="1"/>
  <c r="AG368" i="20"/>
  <c r="AG405" i="20"/>
  <c r="AG369" i="20"/>
  <c r="AG356" i="20"/>
  <c r="AG446" i="20"/>
  <c r="AH354" i="20"/>
  <c r="AH355" i="20" s="1"/>
  <c r="AG59" i="20"/>
  <c r="AG60" i="20"/>
  <c r="AG183" i="20" s="1"/>
  <c r="AG63" i="20" s="1"/>
  <c r="AG58" i="20"/>
  <c r="AD53" i="32"/>
  <c r="AS47" i="32"/>
  <c r="AS53" i="32" s="1"/>
  <c r="AQ47" i="32"/>
  <c r="AQ53" i="32" s="1"/>
  <c r="AP47" i="32"/>
  <c r="AQ31" i="32"/>
  <c r="AP31" i="32"/>
  <c r="AA53" i="32"/>
  <c r="AM31" i="32"/>
  <c r="AN31" i="32"/>
  <c r="AN47" i="32"/>
  <c r="Y47" i="32"/>
  <c r="AC53" i="32"/>
  <c r="Z75" i="32"/>
  <c r="Z81" i="32" s="1"/>
  <c r="Z53" i="32"/>
  <c r="X53" i="32"/>
  <c r="X75" i="32"/>
  <c r="X81" i="32" s="1"/>
  <c r="AR47" i="32"/>
  <c r="AR31" i="32"/>
  <c r="AO47" i="32"/>
  <c r="AO31" i="32"/>
  <c r="AM47" i="32"/>
  <c r="AE370" i="42"/>
  <c r="AE371" i="42" s="1"/>
  <c r="AC216" i="42"/>
  <c r="AE62" i="42"/>
  <c r="AE61" i="42"/>
  <c r="AG446" i="42"/>
  <c r="AG356" i="42"/>
  <c r="AG59" i="42"/>
  <c r="AG58" i="42"/>
  <c r="AG60" i="42"/>
  <c r="AD65" i="42"/>
  <c r="AD66" i="42" s="1"/>
  <c r="AF59" i="42"/>
  <c r="AF58" i="42"/>
  <c r="AF60" i="42"/>
  <c r="AF52" i="42"/>
  <c r="AF404" i="42"/>
  <c r="AF369" i="42"/>
  <c r="AH47" i="42"/>
  <c r="AH354" i="42"/>
  <c r="AH355" i="42" s="1"/>
  <c r="AG405" i="42"/>
  <c r="AG369" i="42"/>
  <c r="AF485" i="42"/>
  <c r="AI485" i="42" s="1"/>
  <c r="AF368" i="42"/>
  <c r="AI350" i="42"/>
  <c r="AI352" i="42" s="1"/>
  <c r="AI45" i="42"/>
  <c r="AE63" i="42"/>
  <c r="AF356" i="42"/>
  <c r="AF445" i="42"/>
  <c r="AG52" i="42"/>
  <c r="AD370" i="42"/>
  <c r="AD371" i="42" s="1"/>
  <c r="AG486" i="42"/>
  <c r="AJ486" i="42" s="1"/>
  <c r="AG368" i="42"/>
  <c r="AE364" i="41"/>
  <c r="AE363" i="41"/>
  <c r="AE365" i="41"/>
  <c r="AB63" i="41"/>
  <c r="AD138" i="41"/>
  <c r="AD51" i="41"/>
  <c r="AF47" i="41"/>
  <c r="AF49" i="41" s="1"/>
  <c r="AF50" i="41" s="1"/>
  <c r="AF52" i="41" s="1"/>
  <c r="AG45" i="41"/>
  <c r="AG350" i="41"/>
  <c r="AG352" i="41" s="1"/>
  <c r="AF354" i="41"/>
  <c r="AF355" i="41" s="1"/>
  <c r="AE60" i="41"/>
  <c r="AE59" i="41"/>
  <c r="AE58" i="41"/>
  <c r="AC63" i="41"/>
  <c r="AD180" i="41"/>
  <c r="AG200" i="41"/>
  <c r="AG202" i="41" s="1"/>
  <c r="AD97" i="41"/>
  <c r="AD64" i="41"/>
  <c r="AC23" i="41"/>
  <c r="AH15" i="41"/>
  <c r="AJ20" i="41"/>
  <c r="AE217" i="23"/>
  <c r="AF65" i="23"/>
  <c r="AF66" i="23" s="1"/>
  <c r="AH63" i="23"/>
  <c r="AE216" i="23"/>
  <c r="AE12" i="23" s="1"/>
  <c r="AD220" i="22"/>
  <c r="AD221" i="22" s="1"/>
  <c r="AF213" i="22"/>
  <c r="AF214" i="22"/>
  <c r="AF215" i="22"/>
  <c r="AF335" i="22" s="1"/>
  <c r="AI335" i="22" s="1"/>
  <c r="AF207" i="22"/>
  <c r="AF364" i="22"/>
  <c r="AF363" i="22"/>
  <c r="AF365" i="22"/>
  <c r="AD63" i="22"/>
  <c r="AD61" i="22"/>
  <c r="AD367" i="22"/>
  <c r="AH45" i="22"/>
  <c r="AH350" i="22"/>
  <c r="AH352" i="22" s="1"/>
  <c r="AH354" i="22" s="1"/>
  <c r="AH355" i="22" s="1"/>
  <c r="AH200" i="22"/>
  <c r="AH202" i="22" s="1"/>
  <c r="AH204" i="22" s="1"/>
  <c r="AH205" i="22" s="1"/>
  <c r="AG47" i="22"/>
  <c r="AG49" i="22" s="1"/>
  <c r="AG50" i="22" s="1"/>
  <c r="AG52" i="22" s="1"/>
  <c r="AE139" i="22"/>
  <c r="AE51" i="22"/>
  <c r="AE64" i="22"/>
  <c r="AE98" i="22"/>
  <c r="AD366" i="22"/>
  <c r="AE181" i="22"/>
  <c r="AF60" i="22"/>
  <c r="AF58" i="22"/>
  <c r="AF59" i="22"/>
  <c r="AD23" i="22"/>
  <c r="AC370" i="22"/>
  <c r="AC371" i="22" s="1"/>
  <c r="AB18" i="22"/>
  <c r="AB25" i="22" s="1"/>
  <c r="AB13" i="22"/>
  <c r="AE216" i="22"/>
  <c r="AC65" i="22"/>
  <c r="AC66" i="22" s="1"/>
  <c r="AD62" i="22"/>
  <c r="AG354" i="22"/>
  <c r="AG355" i="22" s="1"/>
  <c r="AC65" i="19"/>
  <c r="AC66" i="19" s="1"/>
  <c r="AB220" i="19"/>
  <c r="AB221" i="19" s="1"/>
  <c r="AG363" i="19"/>
  <c r="AG364" i="19"/>
  <c r="AG362" i="19"/>
  <c r="AE365" i="19"/>
  <c r="AH353" i="19"/>
  <c r="AH354" i="19" s="1"/>
  <c r="AG49" i="19"/>
  <c r="AG50" i="19" s="1"/>
  <c r="AF63" i="19"/>
  <c r="AF51" i="19"/>
  <c r="AF140" i="19"/>
  <c r="AF64" i="19"/>
  <c r="AF99" i="19"/>
  <c r="AC217" i="19"/>
  <c r="AE366" i="19"/>
  <c r="AI45" i="19"/>
  <c r="AI349" i="19"/>
  <c r="AI351" i="19" s="1"/>
  <c r="AI353" i="19" s="1"/>
  <c r="AI354" i="19" s="1"/>
  <c r="AD62" i="19"/>
  <c r="AD61" i="19"/>
  <c r="AH47" i="19"/>
  <c r="AC220" i="20"/>
  <c r="AC221" i="20" s="1"/>
  <c r="AD216" i="20"/>
  <c r="AE366" i="20"/>
  <c r="AE367" i="20"/>
  <c r="AM139" i="20"/>
  <c r="AN139" i="20" s="1"/>
  <c r="AK139" i="20"/>
  <c r="AH139" i="20"/>
  <c r="AG139" i="20"/>
  <c r="AL139" i="20"/>
  <c r="AF139" i="20"/>
  <c r="AJ139" i="20"/>
  <c r="AI139" i="20"/>
  <c r="AF59" i="20"/>
  <c r="AF58" i="20"/>
  <c r="AF60" i="20"/>
  <c r="AF182" i="20" s="1"/>
  <c r="AF52" i="20"/>
  <c r="AG97" i="20"/>
  <c r="AI97" i="20"/>
  <c r="AL97" i="20"/>
  <c r="AN97" i="20"/>
  <c r="AK97" i="20"/>
  <c r="AJ97" i="20"/>
  <c r="AM97" i="20"/>
  <c r="AE97" i="20"/>
  <c r="AE61" i="20" s="1"/>
  <c r="AH97" i="20"/>
  <c r="AF97" i="20"/>
  <c r="AD61" i="20"/>
  <c r="AL138" i="20"/>
  <c r="AK138" i="20"/>
  <c r="AN138" i="20"/>
  <c r="AI138" i="20"/>
  <c r="AH138" i="20"/>
  <c r="AG138" i="20"/>
  <c r="AF138" i="20"/>
  <c r="AE138" i="20"/>
  <c r="AE62" i="20" s="1"/>
  <c r="AM138" i="20"/>
  <c r="AJ138" i="20"/>
  <c r="AD62" i="20"/>
  <c r="AJ98" i="20"/>
  <c r="AK98" i="20"/>
  <c r="AH98" i="20"/>
  <c r="AM98" i="20"/>
  <c r="AN98" i="20"/>
  <c r="AF98" i="20"/>
  <c r="AL98" i="20"/>
  <c r="AG98" i="20"/>
  <c r="AI98" i="20"/>
  <c r="AD217" i="20"/>
  <c r="AE214" i="42"/>
  <c r="AE215" i="42"/>
  <c r="AE213" i="42"/>
  <c r="AE9" i="42" s="1"/>
  <c r="AE21" i="42" s="1"/>
  <c r="AE207" i="42"/>
  <c r="AD333" i="42"/>
  <c r="AD219" i="42"/>
  <c r="AD252" i="42"/>
  <c r="AD293" i="42"/>
  <c r="AD206" i="42"/>
  <c r="AH200" i="42"/>
  <c r="AG202" i="42"/>
  <c r="AF204" i="42"/>
  <c r="AF205" i="42" s="1"/>
  <c r="AE214" i="41"/>
  <c r="AE215" i="41"/>
  <c r="AE213" i="41"/>
  <c r="AE207" i="41"/>
  <c r="AF204" i="41"/>
  <c r="AF205" i="41" s="1"/>
  <c r="AD206" i="41"/>
  <c r="AD293" i="41"/>
  <c r="AD252" i="41"/>
  <c r="AD219" i="41"/>
  <c r="AD333" i="41"/>
  <c r="AG215" i="23"/>
  <c r="AG214" i="23"/>
  <c r="AG213" i="23"/>
  <c r="AG9" i="23" s="1"/>
  <c r="AG21" i="23" s="1"/>
  <c r="AG207" i="23"/>
  <c r="AF254" i="23"/>
  <c r="AF219" i="23"/>
  <c r="AI202" i="23"/>
  <c r="AF295" i="23"/>
  <c r="AF206" i="23"/>
  <c r="AH204" i="23"/>
  <c r="AH205" i="23" s="1"/>
  <c r="AJ200" i="23"/>
  <c r="AF335" i="23"/>
  <c r="AI335" i="23" s="1"/>
  <c r="AG214" i="22"/>
  <c r="AG215" i="22"/>
  <c r="AG213" i="22"/>
  <c r="AG207" i="22"/>
  <c r="AE214" i="19"/>
  <c r="AE213" i="19"/>
  <c r="AE215" i="19"/>
  <c r="AE207" i="19"/>
  <c r="AD252" i="19"/>
  <c r="AD219" i="19"/>
  <c r="AD206" i="19"/>
  <c r="AD293" i="19"/>
  <c r="AF204" i="19"/>
  <c r="AF205" i="19" s="1"/>
  <c r="AG202" i="19"/>
  <c r="AD333" i="19"/>
  <c r="AH200" i="19"/>
  <c r="AH202" i="20"/>
  <c r="AF215" i="20"/>
  <c r="AF214" i="20"/>
  <c r="AF213" i="20"/>
  <c r="AF207" i="20"/>
  <c r="AE253" i="20"/>
  <c r="AE219" i="20"/>
  <c r="AI200" i="20"/>
  <c r="AG204" i="20"/>
  <c r="AG205" i="20" s="1"/>
  <c r="AE294" i="20"/>
  <c r="AE206" i="20"/>
  <c r="AE334" i="20"/>
  <c r="AU18" i="32"/>
  <c r="AH25" i="32"/>
  <c r="AH31" i="32" s="1"/>
  <c r="AL53" i="32"/>
  <c r="AI31" i="32"/>
  <c r="AI47" i="32"/>
  <c r="AJ53" i="32"/>
  <c r="AK53" i="32"/>
  <c r="AF46" i="37"/>
  <c r="Q46" i="37"/>
  <c r="Q90" i="32"/>
  <c r="Q41" i="32"/>
  <c r="Q69" i="32"/>
  <c r="Q59" i="32"/>
  <c r="Q62" i="32"/>
  <c r="Q10" i="32"/>
  <c r="AG10" i="32" s="1"/>
  <c r="Q61" i="32"/>
  <c r="Q8" i="32"/>
  <c r="Q63" i="32"/>
  <c r="Q89" i="32"/>
  <c r="R14" i="73"/>
  <c r="S18" i="73"/>
  <c r="S22" i="73"/>
  <c r="Q4" i="30" l="1"/>
  <c r="Q1" i="76"/>
  <c r="AU25" i="32"/>
  <c r="AU31" i="32" s="1"/>
  <c r="AU47" i="52"/>
  <c r="AU53" i="52" s="1"/>
  <c r="AA39" i="75"/>
  <c r="AC39" i="75" s="1"/>
  <c r="AI52" i="23"/>
  <c r="AI59" i="23"/>
  <c r="AI143" i="23" s="1"/>
  <c r="AI58" i="23"/>
  <c r="AI102" i="23" s="1"/>
  <c r="AA16" i="52"/>
  <c r="AA38" i="52"/>
  <c r="AB37" i="32"/>
  <c r="AE9" i="41"/>
  <c r="AE21" i="41" s="1"/>
  <c r="AE10" i="41"/>
  <c r="Y73" i="57"/>
  <c r="Y79" i="57" s="1"/>
  <c r="AE9" i="19"/>
  <c r="AE21" i="19" s="1"/>
  <c r="AG65" i="23"/>
  <c r="AG66" i="23" s="1"/>
  <c r="AE10" i="42"/>
  <c r="AE23" i="42" s="1"/>
  <c r="AC25" i="20"/>
  <c r="AG10" i="23"/>
  <c r="AG23" i="23" s="1"/>
  <c r="AA29" i="57"/>
  <c r="AF9" i="22"/>
  <c r="AF21" i="22" s="1"/>
  <c r="AF10" i="22"/>
  <c r="AN59" i="52"/>
  <c r="AN59" i="32" s="1"/>
  <c r="Z45" i="57"/>
  <c r="Z73" i="57" s="1"/>
  <c r="Z79" i="57" s="1"/>
  <c r="AB23" i="57"/>
  <c r="AB45" i="57" s="1"/>
  <c r="AB73" i="57" s="1"/>
  <c r="AB79" i="57" s="1"/>
  <c r="AC16" i="57"/>
  <c r="AC23" i="57" s="1"/>
  <c r="AC38" i="57"/>
  <c r="AD7" i="57"/>
  <c r="AF10" i="20"/>
  <c r="AF23" i="20" s="1"/>
  <c r="AF9" i="20"/>
  <c r="AF21" i="20" s="1"/>
  <c r="AB25" i="19"/>
  <c r="AD6" i="62" s="1"/>
  <c r="AB29" i="63"/>
  <c r="AH62" i="23"/>
  <c r="AD25" i="23"/>
  <c r="AI7" i="63" s="1"/>
  <c r="AE10" i="19"/>
  <c r="AE23" i="19" s="1"/>
  <c r="AC7" i="60"/>
  <c r="AC1" i="60" s="1"/>
  <c r="AC11" i="19"/>
  <c r="AC18" i="19" s="1"/>
  <c r="AC23" i="63"/>
  <c r="AC29" i="63" s="1"/>
  <c r="AC25" i="23"/>
  <c r="AH7" i="63" s="1"/>
  <c r="AJ142" i="23"/>
  <c r="AI101" i="23"/>
  <c r="AK142" i="23"/>
  <c r="AL142" i="23"/>
  <c r="AI142" i="23"/>
  <c r="AI488" i="23"/>
  <c r="AL488" i="23" s="1"/>
  <c r="AI368" i="23"/>
  <c r="AJ101" i="23"/>
  <c r="AI448" i="23"/>
  <c r="AI356" i="23"/>
  <c r="AK101" i="23"/>
  <c r="AM101" i="23"/>
  <c r="AN447" i="23"/>
  <c r="AK447" i="23"/>
  <c r="AI447" i="23"/>
  <c r="AM447" i="23"/>
  <c r="AJ447" i="23"/>
  <c r="AL447" i="23"/>
  <c r="AH367" i="23"/>
  <c r="AM406" i="23"/>
  <c r="AL406" i="23"/>
  <c r="AK406" i="23"/>
  <c r="AJ406" i="23"/>
  <c r="AN406" i="23"/>
  <c r="AI406" i="23"/>
  <c r="AJ363" i="23"/>
  <c r="AJ364" i="23"/>
  <c r="AJ365" i="23"/>
  <c r="AK45" i="23"/>
  <c r="AK47" i="23" s="1"/>
  <c r="AK49" i="23" s="1"/>
  <c r="AK50" i="23" s="1"/>
  <c r="AK350" i="23"/>
  <c r="AK352" i="23" s="1"/>
  <c r="AN142" i="23"/>
  <c r="AJ47" i="23"/>
  <c r="AJ49" i="23" s="1"/>
  <c r="AJ50" i="23" s="1"/>
  <c r="AJ52" i="23" s="1"/>
  <c r="AL101" i="23"/>
  <c r="AH366" i="23"/>
  <c r="AH61" i="23"/>
  <c r="AI369" i="23"/>
  <c r="AI407" i="23"/>
  <c r="AC12" i="19"/>
  <c r="AC11" i="42"/>
  <c r="AC18" i="42" s="1"/>
  <c r="AD12" i="22"/>
  <c r="AD16" i="22" s="1"/>
  <c r="AD11" i="22"/>
  <c r="AD12" i="20"/>
  <c r="AD16" i="20" s="1"/>
  <c r="AD11" i="20"/>
  <c r="Y74" i="65"/>
  <c r="Y80" i="65" s="1"/>
  <c r="AA24" i="65"/>
  <c r="AA30" i="65" s="1"/>
  <c r="AE11" i="23"/>
  <c r="AE18" i="23" s="1"/>
  <c r="C28" i="43"/>
  <c r="AB51" i="63"/>
  <c r="AB73" i="63"/>
  <c r="AB79" i="63" s="1"/>
  <c r="AD45" i="63"/>
  <c r="AD29" i="63"/>
  <c r="AF38" i="63"/>
  <c r="AF16" i="63"/>
  <c r="AF23" i="63" s="1"/>
  <c r="Z52" i="65"/>
  <c r="Z74" i="65"/>
  <c r="Z80" i="65" s="1"/>
  <c r="AB24" i="65"/>
  <c r="AA73" i="57"/>
  <c r="AA79" i="57" s="1"/>
  <c r="AA51" i="57"/>
  <c r="AA45" i="61"/>
  <c r="AA29" i="61"/>
  <c r="AC16" i="61"/>
  <c r="AC38" i="61"/>
  <c r="AD7" i="61"/>
  <c r="AB23" i="61"/>
  <c r="Z71" i="52"/>
  <c r="AA44" i="62"/>
  <c r="AA28" i="62"/>
  <c r="Z71" i="62"/>
  <c r="Z77" i="62" s="1"/>
  <c r="Z50" i="62"/>
  <c r="AA60" i="52"/>
  <c r="AB7" i="52"/>
  <c r="AB37" i="62"/>
  <c r="AB15" i="62"/>
  <c r="AC6" i="62"/>
  <c r="AC220" i="42"/>
  <c r="AC221" i="42" s="1"/>
  <c r="AO59" i="51"/>
  <c r="Z73" i="60"/>
  <c r="Z79" i="60" s="1"/>
  <c r="Z51" i="60"/>
  <c r="AB38" i="60"/>
  <c r="AB16" i="60"/>
  <c r="AA45" i="60"/>
  <c r="AA29" i="60"/>
  <c r="AF218" i="23"/>
  <c r="AK295" i="23"/>
  <c r="AJ295" i="23"/>
  <c r="AI295" i="23"/>
  <c r="AH295" i="23"/>
  <c r="AG295" i="23"/>
  <c r="AN295" i="23"/>
  <c r="AM295" i="23"/>
  <c r="AL295" i="23"/>
  <c r="AM254" i="23"/>
  <c r="AL254" i="23"/>
  <c r="AI254" i="23"/>
  <c r="AH254" i="23"/>
  <c r="AG254" i="23"/>
  <c r="AN254" i="23"/>
  <c r="AK254" i="23"/>
  <c r="AJ254" i="23"/>
  <c r="AD13" i="23"/>
  <c r="AF217" i="23"/>
  <c r="AE16" i="23"/>
  <c r="AN294" i="22"/>
  <c r="AL294" i="22"/>
  <c r="AM294" i="22"/>
  <c r="AK294" i="22"/>
  <c r="AJ294" i="22"/>
  <c r="AH294" i="22"/>
  <c r="AI294" i="22"/>
  <c r="AG294" i="22"/>
  <c r="AF294" i="22"/>
  <c r="AE217" i="22"/>
  <c r="AE220" i="22" s="1"/>
  <c r="AE221" i="22" s="1"/>
  <c r="AF206" i="22"/>
  <c r="AN181" i="22"/>
  <c r="AK181" i="22"/>
  <c r="AH181" i="22"/>
  <c r="AL139" i="22"/>
  <c r="AM139" i="22"/>
  <c r="AN139" i="22" s="1"/>
  <c r="AK139" i="22"/>
  <c r="AJ139" i="22"/>
  <c r="AI139" i="22"/>
  <c r="AH139" i="22"/>
  <c r="AF139" i="22"/>
  <c r="AG139" i="22"/>
  <c r="AN98" i="22"/>
  <c r="AM98" i="22"/>
  <c r="AL98" i="22"/>
  <c r="AK98" i="22"/>
  <c r="AJ98" i="22"/>
  <c r="AG98" i="22"/>
  <c r="AF98" i="22"/>
  <c r="AI98" i="22"/>
  <c r="AH98" i="22"/>
  <c r="AD218" i="19"/>
  <c r="AM333" i="19"/>
  <c r="AG333" i="19"/>
  <c r="AK293" i="19"/>
  <c r="AI293" i="19"/>
  <c r="AH293" i="19"/>
  <c r="AJ293" i="19"/>
  <c r="AG293" i="19"/>
  <c r="AF293" i="19"/>
  <c r="AE293" i="19"/>
  <c r="AN293" i="19"/>
  <c r="AM293" i="19"/>
  <c r="AL293" i="19"/>
  <c r="AI252" i="19"/>
  <c r="AH252" i="19"/>
  <c r="AN252" i="19"/>
  <c r="AE252" i="19"/>
  <c r="AJ252" i="19"/>
  <c r="AM252" i="19"/>
  <c r="AL252" i="19"/>
  <c r="AK252" i="19"/>
  <c r="AG252" i="19"/>
  <c r="AF252" i="19"/>
  <c r="AI140" i="19"/>
  <c r="AG140" i="19"/>
  <c r="AH140" i="19"/>
  <c r="AM140" i="19"/>
  <c r="AN140" i="19" s="1"/>
  <c r="AL140" i="19"/>
  <c r="AK140" i="19"/>
  <c r="AJ140" i="19"/>
  <c r="AN99" i="19"/>
  <c r="AG99" i="19"/>
  <c r="AJ99" i="19"/>
  <c r="AI99" i="19"/>
  <c r="AM99" i="19"/>
  <c r="AL99" i="19"/>
  <c r="AH99" i="19"/>
  <c r="AK99" i="19"/>
  <c r="AJ446" i="20"/>
  <c r="AI446" i="20"/>
  <c r="AM446" i="20"/>
  <c r="AL446" i="20"/>
  <c r="AK446" i="20"/>
  <c r="AN446" i="20"/>
  <c r="AH446" i="20"/>
  <c r="AK405" i="20"/>
  <c r="AJ405" i="20"/>
  <c r="AI405" i="20"/>
  <c r="AN405" i="20"/>
  <c r="AM405" i="20"/>
  <c r="AL405" i="20"/>
  <c r="AH405" i="20"/>
  <c r="AE218" i="20"/>
  <c r="AN334" i="20"/>
  <c r="AH334" i="20"/>
  <c r="AN294" i="20"/>
  <c r="AM294" i="20"/>
  <c r="AF294" i="20"/>
  <c r="AH294" i="20"/>
  <c r="AG294" i="20"/>
  <c r="AK294" i="20"/>
  <c r="AJ294" i="20"/>
  <c r="AI294" i="20"/>
  <c r="AL294" i="20"/>
  <c r="AN253" i="20"/>
  <c r="AM253" i="20"/>
  <c r="AJ253" i="20"/>
  <c r="AL253" i="20"/>
  <c r="AK253" i="20"/>
  <c r="AI253" i="20"/>
  <c r="AH253" i="20"/>
  <c r="AG253" i="20"/>
  <c r="AF253" i="20"/>
  <c r="AC13" i="20"/>
  <c r="AG445" i="42"/>
  <c r="AG367" i="42" s="1"/>
  <c r="AN445" i="42"/>
  <c r="AL445" i="42"/>
  <c r="AK445" i="42"/>
  <c r="AJ445" i="42"/>
  <c r="AM445" i="42"/>
  <c r="AI445" i="42"/>
  <c r="AH445" i="42"/>
  <c r="AK446" i="42"/>
  <c r="AJ446" i="42"/>
  <c r="AI446" i="42"/>
  <c r="AH446" i="42"/>
  <c r="AN446" i="42"/>
  <c r="AM446" i="42"/>
  <c r="AL446" i="42"/>
  <c r="AK405" i="42"/>
  <c r="AJ405" i="42"/>
  <c r="AI405" i="42"/>
  <c r="AH405" i="42"/>
  <c r="AN405" i="42"/>
  <c r="AM405" i="42"/>
  <c r="AL405" i="42"/>
  <c r="AM404" i="42"/>
  <c r="AN404" i="42"/>
  <c r="AK404" i="42"/>
  <c r="AJ404" i="42"/>
  <c r="AI404" i="42"/>
  <c r="AH404" i="42"/>
  <c r="AL404" i="42"/>
  <c r="AG404" i="42"/>
  <c r="AG366" i="42" s="1"/>
  <c r="AD218" i="42"/>
  <c r="AM333" i="42"/>
  <c r="AG333" i="42"/>
  <c r="AK293" i="42"/>
  <c r="AI293" i="42"/>
  <c r="AH293" i="42"/>
  <c r="AJ293" i="42"/>
  <c r="AF293" i="42"/>
  <c r="AE293" i="42"/>
  <c r="AN293" i="42"/>
  <c r="AM293" i="42"/>
  <c r="AL293" i="42"/>
  <c r="AG293" i="42"/>
  <c r="AK252" i="42"/>
  <c r="AJ252" i="42"/>
  <c r="AI252" i="42"/>
  <c r="AH252" i="42"/>
  <c r="AF252" i="42"/>
  <c r="AE252" i="42"/>
  <c r="AL252" i="42"/>
  <c r="AG252" i="42"/>
  <c r="AN252" i="42"/>
  <c r="AM252" i="42"/>
  <c r="AB18" i="42"/>
  <c r="AB25" i="42" s="1"/>
  <c r="AB13" i="42"/>
  <c r="AC16" i="42"/>
  <c r="AD218" i="41"/>
  <c r="AM333" i="41"/>
  <c r="AG333" i="41"/>
  <c r="AK293" i="41"/>
  <c r="AJ293" i="41"/>
  <c r="AG293" i="41"/>
  <c r="AI293" i="41"/>
  <c r="AH293" i="41"/>
  <c r="AF293" i="41"/>
  <c r="AE293" i="41"/>
  <c r="AN293" i="41"/>
  <c r="AM293" i="41"/>
  <c r="AL293" i="41"/>
  <c r="AK252" i="41"/>
  <c r="AJ252" i="41"/>
  <c r="AI252" i="41"/>
  <c r="AG252" i="41"/>
  <c r="AN252" i="41"/>
  <c r="AL252" i="41"/>
  <c r="AM252" i="41"/>
  <c r="AH252" i="41"/>
  <c r="AE252" i="41"/>
  <c r="AF252" i="41"/>
  <c r="AM180" i="41"/>
  <c r="AJ180" i="41"/>
  <c r="AG180" i="41"/>
  <c r="AK138" i="41"/>
  <c r="AI138" i="41"/>
  <c r="AH138" i="41"/>
  <c r="AJ138" i="41"/>
  <c r="AF138" i="41"/>
  <c r="AE138" i="41"/>
  <c r="AG138" i="41"/>
  <c r="AL138" i="41"/>
  <c r="AN138" i="41"/>
  <c r="AM138" i="41"/>
  <c r="AK97" i="41"/>
  <c r="AJ97" i="41"/>
  <c r="AI97" i="41"/>
  <c r="AH97" i="41"/>
  <c r="AN97" i="41"/>
  <c r="AM97" i="41"/>
  <c r="AL97" i="41"/>
  <c r="AG97" i="41"/>
  <c r="AF97" i="41"/>
  <c r="AE97" i="41"/>
  <c r="AE42" i="16"/>
  <c r="AI75" i="52"/>
  <c r="AI81" i="52" s="1"/>
  <c r="AI53" i="52"/>
  <c r="AR75" i="52"/>
  <c r="AR81" i="52" s="1"/>
  <c r="AR53" i="52"/>
  <c r="AQ53" i="52"/>
  <c r="AQ75" i="52"/>
  <c r="AQ81" i="52" s="1"/>
  <c r="AN53" i="52"/>
  <c r="AN75" i="52"/>
  <c r="AN81" i="52" s="1"/>
  <c r="AO75" i="52"/>
  <c r="AO81" i="52" s="1"/>
  <c r="AO53" i="52"/>
  <c r="AS53" i="52"/>
  <c r="AS75" i="52"/>
  <c r="AS81" i="52" s="1"/>
  <c r="AM53" i="52"/>
  <c r="AM75" i="52"/>
  <c r="AM81" i="52" s="1"/>
  <c r="AP75" i="52"/>
  <c r="AP81" i="52" s="1"/>
  <c r="AP53" i="52"/>
  <c r="AF219" i="22"/>
  <c r="AF254" i="22"/>
  <c r="AF295" i="22"/>
  <c r="AH200" i="41"/>
  <c r="AH202" i="41" s="1"/>
  <c r="AC220" i="19"/>
  <c r="AC221" i="19" s="1"/>
  <c r="AB13" i="19"/>
  <c r="AG51" i="20"/>
  <c r="AG141" i="20"/>
  <c r="AI365" i="20"/>
  <c r="AI364" i="20"/>
  <c r="AI363" i="20"/>
  <c r="AJ350" i="20"/>
  <c r="AJ352" i="20" s="1"/>
  <c r="AJ354" i="20" s="1"/>
  <c r="AJ355" i="20" s="1"/>
  <c r="AJ45" i="20"/>
  <c r="AI47" i="20"/>
  <c r="AI49" i="20" s="1"/>
  <c r="AI50" i="20" s="1"/>
  <c r="AI52" i="20" s="1"/>
  <c r="AG100" i="20"/>
  <c r="AG64" i="20"/>
  <c r="AH363" i="20"/>
  <c r="AH365" i="20"/>
  <c r="AH364" i="20"/>
  <c r="AM183" i="20"/>
  <c r="AJ183" i="20"/>
  <c r="AH59" i="20"/>
  <c r="AH60" i="20"/>
  <c r="AH58" i="20"/>
  <c r="AP53" i="32"/>
  <c r="AM53" i="32"/>
  <c r="AR53" i="32"/>
  <c r="AU40" i="32"/>
  <c r="AN53" i="32"/>
  <c r="AO53" i="32"/>
  <c r="Y75" i="32"/>
  <c r="Y81" i="32" s="1"/>
  <c r="Y53" i="32"/>
  <c r="AD217" i="42"/>
  <c r="AH363" i="42"/>
  <c r="AH365" i="42"/>
  <c r="AH364" i="42"/>
  <c r="AG100" i="42"/>
  <c r="AG64" i="42"/>
  <c r="AF182" i="42"/>
  <c r="AD216" i="42"/>
  <c r="AF140" i="42"/>
  <c r="AF51" i="42"/>
  <c r="AE65" i="42"/>
  <c r="AE66" i="42" s="1"/>
  <c r="AJ350" i="42"/>
  <c r="AJ352" i="42" s="1"/>
  <c r="AJ45" i="42"/>
  <c r="AF367" i="42"/>
  <c r="AI354" i="42"/>
  <c r="AI355" i="42" s="1"/>
  <c r="AF64" i="42"/>
  <c r="AF99" i="42"/>
  <c r="AG183" i="42"/>
  <c r="AH49" i="42"/>
  <c r="AH50" i="42" s="1"/>
  <c r="AG51" i="42"/>
  <c r="AG141" i="42"/>
  <c r="AI47" i="42"/>
  <c r="AF366" i="42"/>
  <c r="AG354" i="41"/>
  <c r="AG355" i="41" s="1"/>
  <c r="AH45" i="41"/>
  <c r="AH350" i="41"/>
  <c r="AH352" i="41" s="1"/>
  <c r="AG47" i="41"/>
  <c r="AG49" i="41" s="1"/>
  <c r="AG50" i="41" s="1"/>
  <c r="AG52" i="41" s="1"/>
  <c r="AE64" i="41"/>
  <c r="AE98" i="41"/>
  <c r="AE403" i="41"/>
  <c r="AE369" i="41"/>
  <c r="AD63" i="41"/>
  <c r="AF364" i="41"/>
  <c r="AF365" i="41"/>
  <c r="AF363" i="41"/>
  <c r="AE484" i="41"/>
  <c r="AE368" i="41"/>
  <c r="AE51" i="41"/>
  <c r="AE139" i="41"/>
  <c r="AF60" i="41"/>
  <c r="AF59" i="41"/>
  <c r="AF58" i="41"/>
  <c r="AE444" i="41"/>
  <c r="AE356" i="41"/>
  <c r="AD23" i="41"/>
  <c r="AE181" i="41"/>
  <c r="AI15" i="41"/>
  <c r="AK20" i="41"/>
  <c r="AF216" i="23"/>
  <c r="AF12" i="23" s="1"/>
  <c r="AE220" i="23"/>
  <c r="AE221" i="23" s="1"/>
  <c r="AI185" i="23"/>
  <c r="AL185" i="23" s="1"/>
  <c r="AE370" i="22"/>
  <c r="AE371" i="22" s="1"/>
  <c r="AD370" i="22"/>
  <c r="AD371" i="22" s="1"/>
  <c r="AF218" i="22"/>
  <c r="AG364" i="22"/>
  <c r="AG363" i="22"/>
  <c r="AG365" i="22"/>
  <c r="AG60" i="22"/>
  <c r="AG59" i="22"/>
  <c r="AG58" i="22"/>
  <c r="AF51" i="22"/>
  <c r="AF140" i="22"/>
  <c r="AE23" i="22"/>
  <c r="AE62" i="22"/>
  <c r="AC18" i="22"/>
  <c r="AC25" i="22" s="1"/>
  <c r="AC13" i="22"/>
  <c r="AF64" i="22"/>
  <c r="AF99" i="22"/>
  <c r="AH365" i="22"/>
  <c r="AH364" i="22"/>
  <c r="AH363" i="22"/>
  <c r="AF182" i="22"/>
  <c r="AI350" i="22"/>
  <c r="AI352" i="22" s="1"/>
  <c r="AI354" i="22" s="1"/>
  <c r="AI355" i="22" s="1"/>
  <c r="AI45" i="22"/>
  <c r="AI200" i="22"/>
  <c r="AI202" i="22" s="1"/>
  <c r="AI204" i="22" s="1"/>
  <c r="AI205" i="22" s="1"/>
  <c r="AE63" i="22"/>
  <c r="AH47" i="22"/>
  <c r="AH49" i="22" s="1"/>
  <c r="AH50" i="22" s="1"/>
  <c r="AH52" i="22" s="1"/>
  <c r="AF485" i="22"/>
  <c r="AI485" i="22" s="1"/>
  <c r="AF368" i="22"/>
  <c r="AE61" i="22"/>
  <c r="AD65" i="22"/>
  <c r="AD66" i="22" s="1"/>
  <c r="AF369" i="22"/>
  <c r="AF404" i="22"/>
  <c r="AF356" i="22"/>
  <c r="AF445" i="22"/>
  <c r="AG59" i="19"/>
  <c r="AG58" i="19"/>
  <c r="AG60" i="19"/>
  <c r="AG183" i="19" s="1"/>
  <c r="AG52" i="19"/>
  <c r="AH364" i="19"/>
  <c r="AH363" i="19"/>
  <c r="AH362" i="19"/>
  <c r="AG404" i="19"/>
  <c r="AG368" i="19"/>
  <c r="AI47" i="19"/>
  <c r="AI49" i="19" s="1"/>
  <c r="AI50" i="19" s="1"/>
  <c r="AI52" i="19" s="1"/>
  <c r="AJ45" i="19"/>
  <c r="AJ349" i="19"/>
  <c r="AJ351" i="19" s="1"/>
  <c r="AE65" i="19"/>
  <c r="AE66" i="19" s="1"/>
  <c r="AH49" i="19"/>
  <c r="AH50" i="19" s="1"/>
  <c r="AD65" i="19"/>
  <c r="AD66" i="19" s="1"/>
  <c r="AG485" i="19"/>
  <c r="AJ485" i="19" s="1"/>
  <c r="AG367" i="19"/>
  <c r="AF369" i="19"/>
  <c r="AF370" i="19" s="1"/>
  <c r="AI364" i="19"/>
  <c r="AI363" i="19"/>
  <c r="AI362" i="19"/>
  <c r="AF61" i="19"/>
  <c r="AF62" i="19"/>
  <c r="AE369" i="19"/>
  <c r="AE370" i="19" s="1"/>
  <c r="AG355" i="19"/>
  <c r="AG445" i="19"/>
  <c r="AD216" i="19"/>
  <c r="AD12" i="19" s="1"/>
  <c r="AD217" i="19"/>
  <c r="AE370" i="20"/>
  <c r="AE371" i="20" s="1"/>
  <c r="AD220" i="20"/>
  <c r="AD221" i="20" s="1"/>
  <c r="AD65" i="20"/>
  <c r="AD66" i="20" s="1"/>
  <c r="AF370" i="20"/>
  <c r="AF371" i="20" s="1"/>
  <c r="AG367" i="20"/>
  <c r="AE65" i="20"/>
  <c r="AE66" i="20" s="1"/>
  <c r="AG366" i="20"/>
  <c r="AL182" i="20"/>
  <c r="AI182" i="20"/>
  <c r="AF63" i="20"/>
  <c r="AF99" i="20"/>
  <c r="AF64" i="20"/>
  <c r="AF140" i="20"/>
  <c r="AF51" i="20"/>
  <c r="AE217" i="20"/>
  <c r="AE216" i="20"/>
  <c r="AE12" i="20" s="1"/>
  <c r="AF215" i="42"/>
  <c r="AF214" i="42"/>
  <c r="AF213" i="42"/>
  <c r="AF9" i="42" s="1"/>
  <c r="AF21" i="42" s="1"/>
  <c r="AF207" i="42"/>
  <c r="AI200" i="42"/>
  <c r="AG204" i="42"/>
  <c r="AG205" i="42" s="1"/>
  <c r="AE219" i="42"/>
  <c r="AE253" i="42"/>
  <c r="AH202" i="42"/>
  <c r="AE334" i="42"/>
  <c r="AE206" i="42"/>
  <c r="AE294" i="42"/>
  <c r="AE253" i="41"/>
  <c r="AE219" i="41"/>
  <c r="AG204" i="41"/>
  <c r="AG205" i="41" s="1"/>
  <c r="AE334" i="41"/>
  <c r="AE294" i="41"/>
  <c r="AE206" i="41"/>
  <c r="AF213" i="41"/>
  <c r="AF214" i="41"/>
  <c r="AF215" i="41"/>
  <c r="AF207" i="41"/>
  <c r="AI200" i="41"/>
  <c r="AH215" i="23"/>
  <c r="AH213" i="23"/>
  <c r="AH9" i="23" s="1"/>
  <c r="AH21" i="23" s="1"/>
  <c r="AH214" i="23"/>
  <c r="AH207" i="23"/>
  <c r="AG255" i="23"/>
  <c r="AG219" i="23"/>
  <c r="AJ202" i="23"/>
  <c r="AG206" i="23"/>
  <c r="AG296" i="23"/>
  <c r="AG336" i="23"/>
  <c r="AJ336" i="23" s="1"/>
  <c r="AI204" i="23"/>
  <c r="AI205" i="23" s="1"/>
  <c r="AK200" i="23"/>
  <c r="AH215" i="22"/>
  <c r="AH213" i="22"/>
  <c r="AH214" i="22"/>
  <c r="AH207" i="22"/>
  <c r="AG255" i="22"/>
  <c r="AG219" i="22"/>
  <c r="AG336" i="22"/>
  <c r="AJ336" i="22" s="1"/>
  <c r="AG206" i="22"/>
  <c r="AG296" i="22"/>
  <c r="AF214" i="19"/>
  <c r="AF213" i="19"/>
  <c r="AF9" i="19" s="1"/>
  <c r="AF215" i="19"/>
  <c r="AF207" i="19"/>
  <c r="AI200" i="19"/>
  <c r="AG204" i="19"/>
  <c r="AG205" i="19" s="1"/>
  <c r="AH202" i="19"/>
  <c r="AE334" i="19"/>
  <c r="AE253" i="19"/>
  <c r="AE219" i="19"/>
  <c r="AE294" i="19"/>
  <c r="AE206" i="19"/>
  <c r="AF295" i="20"/>
  <c r="AF206" i="20"/>
  <c r="AF335" i="20"/>
  <c r="AI335" i="20" s="1"/>
  <c r="AF254" i="20"/>
  <c r="AF219" i="20"/>
  <c r="AJ200" i="20"/>
  <c r="AI202" i="20"/>
  <c r="AH204" i="20"/>
  <c r="AH205" i="20" s="1"/>
  <c r="AG213" i="20"/>
  <c r="AG214" i="20"/>
  <c r="AG215" i="20"/>
  <c r="AG207" i="20"/>
  <c r="AH47" i="32"/>
  <c r="AH53" i="32" s="1"/>
  <c r="AI53" i="32"/>
  <c r="T22" i="16"/>
  <c r="U22" i="16" s="1"/>
  <c r="V22" i="16" s="1"/>
  <c r="W22" i="16" s="1"/>
  <c r="Q65" i="37"/>
  <c r="T14" i="73"/>
  <c r="S2" i="73"/>
  <c r="T18" i="73"/>
  <c r="V10" i="73"/>
  <c r="S14" i="73"/>
  <c r="U10" i="73"/>
  <c r="T22" i="73"/>
  <c r="AD38" i="57" l="1"/>
  <c r="AU47" i="32"/>
  <c r="AU75" i="52"/>
  <c r="AU81" i="52" s="1"/>
  <c r="AI51" i="23"/>
  <c r="AI64" i="23"/>
  <c r="AF9" i="41"/>
  <c r="AF21" i="41" s="1"/>
  <c r="AF10" i="42"/>
  <c r="AF23" i="42" s="1"/>
  <c r="AG10" i="22"/>
  <c r="AC38" i="60"/>
  <c r="AB38" i="52"/>
  <c r="AB16" i="52"/>
  <c r="AF10" i="41"/>
  <c r="AG9" i="22"/>
  <c r="AG21" i="22" s="1"/>
  <c r="AD11" i="42"/>
  <c r="AD18" i="42" s="1"/>
  <c r="AG10" i="20"/>
  <c r="AG23" i="20" s="1"/>
  <c r="AH10" i="23"/>
  <c r="AH23" i="23" s="1"/>
  <c r="AB29" i="57"/>
  <c r="AO59" i="52"/>
  <c r="AO59" i="32" s="1"/>
  <c r="AB51" i="57"/>
  <c r="Z51" i="57"/>
  <c r="AD16" i="57"/>
  <c r="AD23" i="57" s="1"/>
  <c r="AF7" i="57"/>
  <c r="AG7" i="57" s="1"/>
  <c r="AH7" i="57"/>
  <c r="AG9" i="20"/>
  <c r="AG21" i="20" s="1"/>
  <c r="AE25" i="23"/>
  <c r="AJ7" i="63" s="1"/>
  <c r="AH65" i="23"/>
  <c r="AH66" i="23" s="1"/>
  <c r="AC45" i="63"/>
  <c r="AC51" i="63" s="1"/>
  <c r="AD60" i="52"/>
  <c r="AF10" i="19"/>
  <c r="AF23" i="19" s="1"/>
  <c r="AF21" i="19"/>
  <c r="AC16" i="60"/>
  <c r="AC23" i="60" s="1"/>
  <c r="AH12" i="63"/>
  <c r="AD6" i="68" s="1"/>
  <c r="AH16" i="63"/>
  <c r="AH38" i="63"/>
  <c r="AH43" i="63" s="1"/>
  <c r="AI366" i="23"/>
  <c r="AH370" i="23"/>
  <c r="AH371" i="23" s="1"/>
  <c r="AI367" i="23"/>
  <c r="AJ368" i="23"/>
  <c r="AJ489" i="23"/>
  <c r="AM489" i="23" s="1"/>
  <c r="AJ449" i="23"/>
  <c r="AJ356" i="23"/>
  <c r="AJ408" i="23"/>
  <c r="AJ369" i="23"/>
  <c r="AJ60" i="23"/>
  <c r="AJ186" i="23" s="1"/>
  <c r="AM186" i="23" s="1"/>
  <c r="AJ58" i="23"/>
  <c r="AJ59" i="23"/>
  <c r="AK354" i="23"/>
  <c r="AK355" i="23" s="1"/>
  <c r="AL350" i="23"/>
  <c r="AL352" i="23" s="1"/>
  <c r="AL354" i="23" s="1"/>
  <c r="AL355" i="23" s="1"/>
  <c r="AL365" i="23" s="1"/>
  <c r="AL45" i="23"/>
  <c r="AL47" i="23" s="1"/>
  <c r="AL49" i="23" s="1"/>
  <c r="AL448" i="23"/>
  <c r="AJ448" i="23"/>
  <c r="AN448" i="23"/>
  <c r="AM448" i="23"/>
  <c r="AK448" i="23"/>
  <c r="AL407" i="23"/>
  <c r="AK407" i="23"/>
  <c r="AN407" i="23"/>
  <c r="AM407" i="23"/>
  <c r="AJ407" i="23"/>
  <c r="AF11" i="23"/>
  <c r="AC25" i="42"/>
  <c r="AE11" i="20"/>
  <c r="AE18" i="20" s="1"/>
  <c r="AD11" i="19"/>
  <c r="AD18" i="19" s="1"/>
  <c r="AA46" i="65"/>
  <c r="AA74" i="65" s="1"/>
  <c r="AA80" i="65" s="1"/>
  <c r="AE11" i="22"/>
  <c r="AE12" i="22"/>
  <c r="AE16" i="22" s="1"/>
  <c r="AI16" i="63"/>
  <c r="AI23" i="63" s="1"/>
  <c r="AI38" i="63"/>
  <c r="AI12" i="63"/>
  <c r="AF45" i="63"/>
  <c r="AF29" i="63"/>
  <c r="AD51" i="63"/>
  <c r="AD73" i="63"/>
  <c r="AD79" i="63" s="1"/>
  <c r="AB30" i="65"/>
  <c r="AB46" i="65"/>
  <c r="AD24" i="65"/>
  <c r="AD37" i="32"/>
  <c r="AF8" i="65"/>
  <c r="AG8" i="65" s="1"/>
  <c r="AC29" i="57"/>
  <c r="AC45" i="57"/>
  <c r="AF38" i="57"/>
  <c r="AC23" i="61"/>
  <c r="AC29" i="61" s="1"/>
  <c r="AB29" i="61"/>
  <c r="AB45" i="61"/>
  <c r="AH60" i="61"/>
  <c r="AH7" i="61"/>
  <c r="AA51" i="61"/>
  <c r="AA73" i="61"/>
  <c r="AA79" i="61" s="1"/>
  <c r="AD16" i="61"/>
  <c r="AD38" i="61"/>
  <c r="AF7" i="61"/>
  <c r="AG7" i="61" s="1"/>
  <c r="AC15" i="62"/>
  <c r="AC22" i="62" s="1"/>
  <c r="AC37" i="62"/>
  <c r="AC7" i="52"/>
  <c r="AF6" i="62"/>
  <c r="AD15" i="62"/>
  <c r="AD7" i="52"/>
  <c r="AD37" i="62"/>
  <c r="AA71" i="52"/>
  <c r="AB22" i="62"/>
  <c r="AB60" i="52"/>
  <c r="AA50" i="62"/>
  <c r="AA71" i="62"/>
  <c r="AA77" i="62" s="1"/>
  <c r="AD7" i="60"/>
  <c r="AD1" i="60" s="1"/>
  <c r="AF1" i="60" s="1"/>
  <c r="AP59" i="51"/>
  <c r="AA51" i="60"/>
  <c r="AA73" i="60"/>
  <c r="AA79" i="60" s="1"/>
  <c r="AB23" i="60"/>
  <c r="AF220" i="23"/>
  <c r="AF221" i="23" s="1"/>
  <c r="AK296" i="23"/>
  <c r="AJ296" i="23"/>
  <c r="AI296" i="23"/>
  <c r="AH296" i="23"/>
  <c r="AN296" i="23"/>
  <c r="AM296" i="23"/>
  <c r="AL296" i="23"/>
  <c r="AK255" i="23"/>
  <c r="AJ255" i="23"/>
  <c r="AI255" i="23"/>
  <c r="AH255" i="23"/>
  <c r="AN255" i="23"/>
  <c r="AM255" i="23"/>
  <c r="AL255" i="23"/>
  <c r="AF16" i="23"/>
  <c r="AE13" i="23"/>
  <c r="AL143" i="23"/>
  <c r="AJ143" i="23"/>
  <c r="AN143" i="23"/>
  <c r="AM143" i="23"/>
  <c r="AK143" i="23"/>
  <c r="AL102" i="23"/>
  <c r="AK102" i="23"/>
  <c r="AN102" i="23"/>
  <c r="AM102" i="23"/>
  <c r="AJ102" i="23"/>
  <c r="AN445" i="22"/>
  <c r="AM445" i="22"/>
  <c r="AL445" i="22"/>
  <c r="AK445" i="22"/>
  <c r="AJ445" i="22"/>
  <c r="AI445" i="22"/>
  <c r="AH445" i="22"/>
  <c r="AG445" i="22"/>
  <c r="AI404" i="22"/>
  <c r="AG404" i="22"/>
  <c r="AH404" i="22"/>
  <c r="AJ404" i="22"/>
  <c r="AN404" i="22"/>
  <c r="AM404" i="22"/>
  <c r="AL404" i="22"/>
  <c r="AK404" i="22"/>
  <c r="AJ295" i="22"/>
  <c r="AH295" i="22"/>
  <c r="AG295" i="22"/>
  <c r="AG217" i="22" s="1"/>
  <c r="AI295" i="22"/>
  <c r="AK295" i="22"/>
  <c r="AN295" i="22"/>
  <c r="AM295" i="22"/>
  <c r="AL295" i="22"/>
  <c r="AK296" i="22"/>
  <c r="AI296" i="22"/>
  <c r="AJ296" i="22"/>
  <c r="AN296" i="22"/>
  <c r="AM296" i="22"/>
  <c r="AL296" i="22"/>
  <c r="AH296" i="22"/>
  <c r="AF217" i="22"/>
  <c r="AN254" i="22"/>
  <c r="AI254" i="22"/>
  <c r="AH254" i="22"/>
  <c r="AG254" i="22"/>
  <c r="AG216" i="22" s="1"/>
  <c r="AL254" i="22"/>
  <c r="AM254" i="22"/>
  <c r="AJ254" i="22"/>
  <c r="AK254" i="22"/>
  <c r="AF216" i="22"/>
  <c r="AJ255" i="22"/>
  <c r="AH255" i="22"/>
  <c r="AN255" i="22"/>
  <c r="AM255" i="22"/>
  <c r="AL255" i="22"/>
  <c r="AK255" i="22"/>
  <c r="AI255" i="22"/>
  <c r="AL182" i="22"/>
  <c r="AI182" i="22"/>
  <c r="AI140" i="22"/>
  <c r="AH140" i="22"/>
  <c r="AG140" i="22"/>
  <c r="AM140" i="22"/>
  <c r="AN140" i="22" s="1"/>
  <c r="AL140" i="22"/>
  <c r="AK140" i="22"/>
  <c r="AJ140" i="22"/>
  <c r="AI99" i="22"/>
  <c r="AH99" i="22"/>
  <c r="AN99" i="22"/>
  <c r="AM99" i="22"/>
  <c r="AK99" i="22"/>
  <c r="AL99" i="22"/>
  <c r="AJ99" i="22"/>
  <c r="AG99" i="22"/>
  <c r="AK445" i="19"/>
  <c r="AI445" i="19"/>
  <c r="AJ445" i="19"/>
  <c r="AN445" i="19"/>
  <c r="AM445" i="19"/>
  <c r="AL445" i="19"/>
  <c r="AH445" i="19"/>
  <c r="AK404" i="19"/>
  <c r="AJ404" i="19"/>
  <c r="AI404" i="19"/>
  <c r="AH404" i="19"/>
  <c r="AN404" i="19"/>
  <c r="AM404" i="19"/>
  <c r="AL404" i="19"/>
  <c r="AE218" i="19"/>
  <c r="AN334" i="19"/>
  <c r="AH334" i="19"/>
  <c r="AN294" i="19"/>
  <c r="AL294" i="19"/>
  <c r="AK294" i="19"/>
  <c r="AM294" i="19"/>
  <c r="AJ294" i="19"/>
  <c r="AI294" i="19"/>
  <c r="AH294" i="19"/>
  <c r="AG294" i="19"/>
  <c r="AF294" i="19"/>
  <c r="AL253" i="19"/>
  <c r="AK253" i="19"/>
  <c r="AF253" i="19"/>
  <c r="AN253" i="19"/>
  <c r="AJ253" i="19"/>
  <c r="AI253" i="19"/>
  <c r="AH253" i="19"/>
  <c r="AM253" i="19"/>
  <c r="AG253" i="19"/>
  <c r="AM183" i="19"/>
  <c r="AJ183" i="19"/>
  <c r="AL295" i="20"/>
  <c r="AK295" i="20"/>
  <c r="AJ295" i="20"/>
  <c r="AN295" i="20"/>
  <c r="AM295" i="20"/>
  <c r="AI295" i="20"/>
  <c r="AH295" i="20"/>
  <c r="AG295" i="20"/>
  <c r="AN254" i="20"/>
  <c r="AI254" i="20"/>
  <c r="AH254" i="20"/>
  <c r="AG254" i="20"/>
  <c r="AJ254" i="20"/>
  <c r="AL254" i="20"/>
  <c r="AK254" i="20"/>
  <c r="AM254" i="20"/>
  <c r="AD13" i="20"/>
  <c r="AN334" i="42"/>
  <c r="AH334" i="42"/>
  <c r="AN294" i="42"/>
  <c r="AL294" i="42"/>
  <c r="AK294" i="42"/>
  <c r="AM294" i="42"/>
  <c r="AJ294" i="42"/>
  <c r="AI294" i="42"/>
  <c r="AH294" i="42"/>
  <c r="AG294" i="42"/>
  <c r="AF294" i="42"/>
  <c r="AN253" i="42"/>
  <c r="AM253" i="42"/>
  <c r="AL253" i="42"/>
  <c r="AK253" i="42"/>
  <c r="AJ253" i="42"/>
  <c r="AI253" i="42"/>
  <c r="AH253" i="42"/>
  <c r="AG253" i="42"/>
  <c r="AF253" i="42"/>
  <c r="AD16" i="42"/>
  <c r="AC13" i="42"/>
  <c r="AM183" i="42"/>
  <c r="AJ183" i="42"/>
  <c r="AL182" i="42"/>
  <c r="AI182" i="42"/>
  <c r="AK141" i="42"/>
  <c r="AJ141" i="42"/>
  <c r="AI141" i="42"/>
  <c r="AH141" i="42"/>
  <c r="AN141" i="42"/>
  <c r="AM141" i="42"/>
  <c r="AL141" i="42"/>
  <c r="AM140" i="42"/>
  <c r="AN140" i="42" s="1"/>
  <c r="AL140" i="42"/>
  <c r="AJ140" i="42"/>
  <c r="AI140" i="42"/>
  <c r="AH140" i="42"/>
  <c r="AG140" i="42"/>
  <c r="AG62" i="42" s="1"/>
  <c r="AK140" i="42"/>
  <c r="AI99" i="42"/>
  <c r="AH99" i="42"/>
  <c r="AG99" i="42"/>
  <c r="AG61" i="42" s="1"/>
  <c r="AL99" i="42"/>
  <c r="AK99" i="42"/>
  <c r="AJ99" i="42"/>
  <c r="AN99" i="42"/>
  <c r="AM99" i="42"/>
  <c r="AK100" i="42"/>
  <c r="AJ100" i="42"/>
  <c r="AI100" i="42"/>
  <c r="AN100" i="42"/>
  <c r="AM100" i="42"/>
  <c r="AL100" i="42"/>
  <c r="AH100" i="42"/>
  <c r="AN484" i="41"/>
  <c r="AH484" i="41"/>
  <c r="AN444" i="41"/>
  <c r="AL444" i="41"/>
  <c r="AK444" i="41"/>
  <c r="AM444" i="41"/>
  <c r="AJ444" i="41"/>
  <c r="AI444" i="41"/>
  <c r="AH444" i="41"/>
  <c r="AG444" i="41"/>
  <c r="AF444" i="41"/>
  <c r="AN403" i="41"/>
  <c r="AL403" i="41"/>
  <c r="AK403" i="41"/>
  <c r="AF403" i="41"/>
  <c r="AM403" i="41"/>
  <c r="AJ403" i="41"/>
  <c r="AI403" i="41"/>
  <c r="AH403" i="41"/>
  <c r="AG403" i="41"/>
  <c r="AE218" i="41"/>
  <c r="AN334" i="41"/>
  <c r="AH334" i="41"/>
  <c r="AN294" i="41"/>
  <c r="AM294" i="41"/>
  <c r="AJ294" i="41"/>
  <c r="AL294" i="41"/>
  <c r="AK294" i="41"/>
  <c r="AI294" i="41"/>
  <c r="AH294" i="41"/>
  <c r="AG294" i="41"/>
  <c r="AF294" i="41"/>
  <c r="AN253" i="41"/>
  <c r="AM253" i="41"/>
  <c r="AL253" i="41"/>
  <c r="AJ253" i="41"/>
  <c r="AK253" i="41"/>
  <c r="AI253" i="41"/>
  <c r="AH253" i="41"/>
  <c r="AF253" i="41"/>
  <c r="AG253" i="41"/>
  <c r="AN181" i="41"/>
  <c r="AK181" i="41"/>
  <c r="AH181" i="41"/>
  <c r="AL139" i="41"/>
  <c r="AK139" i="41"/>
  <c r="AM139" i="41"/>
  <c r="AN139" i="41" s="1"/>
  <c r="AJ139" i="41"/>
  <c r="AI139" i="41"/>
  <c r="AH139" i="41"/>
  <c r="AG139" i="41"/>
  <c r="AF139" i="41"/>
  <c r="AN98" i="41"/>
  <c r="AM98" i="41"/>
  <c r="AL98" i="41"/>
  <c r="AK98" i="41"/>
  <c r="AJ98" i="41"/>
  <c r="AH98" i="41"/>
  <c r="AG98" i="41"/>
  <c r="AI98" i="41"/>
  <c r="AF98" i="41"/>
  <c r="AF42" i="16"/>
  <c r="AC16" i="19"/>
  <c r="AC25" i="19" s="1"/>
  <c r="AC13" i="19"/>
  <c r="AE216" i="19"/>
  <c r="AE12" i="19" s="1"/>
  <c r="AD16" i="19"/>
  <c r="AF65" i="19"/>
  <c r="AF66" i="19" s="1"/>
  <c r="AI488" i="20"/>
  <c r="AL488" i="20" s="1"/>
  <c r="AI368" i="20"/>
  <c r="AH101" i="20"/>
  <c r="AH64" i="20"/>
  <c r="AH487" i="20"/>
  <c r="AK487" i="20" s="1"/>
  <c r="AH368" i="20"/>
  <c r="AJ363" i="20"/>
  <c r="AJ365" i="20"/>
  <c r="AJ364" i="20"/>
  <c r="AI448" i="20"/>
  <c r="AI356" i="20"/>
  <c r="AH184" i="20"/>
  <c r="AH63" i="20" s="1"/>
  <c r="AH142" i="20"/>
  <c r="AH51" i="20"/>
  <c r="AI59" i="20"/>
  <c r="AI60" i="20"/>
  <c r="AI185" i="20" s="1"/>
  <c r="AL185" i="20" s="1"/>
  <c r="AI58" i="20"/>
  <c r="AD18" i="20"/>
  <c r="AD25" i="20" s="1"/>
  <c r="AE16" i="20"/>
  <c r="AH406" i="20"/>
  <c r="AH369" i="20"/>
  <c r="AK45" i="20"/>
  <c r="AK350" i="20"/>
  <c r="AK352" i="20" s="1"/>
  <c r="AK354" i="20" s="1"/>
  <c r="AK355" i="20" s="1"/>
  <c r="AK141" i="20"/>
  <c r="AI141" i="20"/>
  <c r="AH141" i="20"/>
  <c r="AN141" i="20"/>
  <c r="AM141" i="20"/>
  <c r="AL141" i="20"/>
  <c r="AJ141" i="20"/>
  <c r="AI100" i="20"/>
  <c r="AN100" i="20"/>
  <c r="AH100" i="20"/>
  <c r="AJ100" i="20"/>
  <c r="AK100" i="20"/>
  <c r="AL100" i="20"/>
  <c r="AM100" i="20"/>
  <c r="AH447" i="20"/>
  <c r="AH356" i="20"/>
  <c r="AJ47" i="20"/>
  <c r="AJ49" i="20" s="1"/>
  <c r="AJ50" i="20" s="1"/>
  <c r="AJ52" i="20" s="1"/>
  <c r="AI369" i="20"/>
  <c r="AI407" i="20"/>
  <c r="AD220" i="42"/>
  <c r="AD221" i="42" s="1"/>
  <c r="AE217" i="42"/>
  <c r="AK350" i="42"/>
  <c r="AK352" i="42" s="1"/>
  <c r="AK354" i="42" s="1"/>
  <c r="AK355" i="42" s="1"/>
  <c r="AK45" i="42"/>
  <c r="AI49" i="42"/>
  <c r="AI50" i="42" s="1"/>
  <c r="AF62" i="42"/>
  <c r="AE216" i="42"/>
  <c r="AF370" i="42"/>
  <c r="AF371" i="42" s="1"/>
  <c r="AF63" i="42"/>
  <c r="AG370" i="42"/>
  <c r="AG371" i="42" s="1"/>
  <c r="AJ47" i="42"/>
  <c r="AJ354" i="42"/>
  <c r="AJ355" i="42" s="1"/>
  <c r="AH60" i="42"/>
  <c r="AH59" i="42"/>
  <c r="AH58" i="42"/>
  <c r="AH52" i="42"/>
  <c r="AG63" i="42"/>
  <c r="AH447" i="42"/>
  <c r="AH356" i="42"/>
  <c r="AI363" i="42"/>
  <c r="AI364" i="42"/>
  <c r="AI365" i="42"/>
  <c r="AH487" i="42"/>
  <c r="AK487" i="42" s="1"/>
  <c r="AH368" i="42"/>
  <c r="AF61" i="42"/>
  <c r="AH369" i="42"/>
  <c r="AH406" i="42"/>
  <c r="AG365" i="41"/>
  <c r="AG363" i="41"/>
  <c r="AG364" i="41"/>
  <c r="AE23" i="41"/>
  <c r="AG60" i="41"/>
  <c r="AG59" i="41"/>
  <c r="AG58" i="41"/>
  <c r="AH354" i="41"/>
  <c r="AH355" i="41" s="1"/>
  <c r="AI350" i="41"/>
  <c r="AI352" i="41" s="1"/>
  <c r="AI45" i="41"/>
  <c r="AF404" i="41"/>
  <c r="AF369" i="41"/>
  <c r="AF485" i="41"/>
  <c r="AI485" i="41" s="1"/>
  <c r="AF368" i="41"/>
  <c r="AF64" i="41"/>
  <c r="AF99" i="41"/>
  <c r="AF140" i="41"/>
  <c r="AF51" i="41"/>
  <c r="AF182" i="41"/>
  <c r="AE63" i="41"/>
  <c r="AH47" i="41"/>
  <c r="AH49" i="41" s="1"/>
  <c r="AH50" i="41" s="1"/>
  <c r="AH52" i="41" s="1"/>
  <c r="AF445" i="41"/>
  <c r="AF356" i="41"/>
  <c r="AL20" i="41"/>
  <c r="AJ15" i="41"/>
  <c r="AG216" i="23"/>
  <c r="AG12" i="23" s="1"/>
  <c r="AK60" i="23"/>
  <c r="AK59" i="23"/>
  <c r="AK58" i="23"/>
  <c r="AK52" i="23"/>
  <c r="AI61" i="23"/>
  <c r="AI62" i="23"/>
  <c r="AI63" i="23"/>
  <c r="AI47" i="22"/>
  <c r="AI49" i="22" s="1"/>
  <c r="AI50" i="22" s="1"/>
  <c r="AI52" i="22" s="1"/>
  <c r="AF63" i="22"/>
  <c r="AE65" i="22"/>
  <c r="AE66" i="22" s="1"/>
  <c r="AH369" i="22"/>
  <c r="AH406" i="22"/>
  <c r="AG100" i="22"/>
  <c r="AG64" i="22"/>
  <c r="AF367" i="22"/>
  <c r="AF366" i="22"/>
  <c r="AI365" i="22"/>
  <c r="AI363" i="22"/>
  <c r="AI364" i="22"/>
  <c r="AJ350" i="22"/>
  <c r="AJ352" i="22" s="1"/>
  <c r="AJ45" i="22"/>
  <c r="AJ200" i="22"/>
  <c r="AJ202" i="22" s="1"/>
  <c r="AJ204" i="22" s="1"/>
  <c r="AJ205" i="22" s="1"/>
  <c r="AF62" i="22"/>
  <c r="AD18" i="22"/>
  <c r="AD13" i="22"/>
  <c r="AH59" i="22"/>
  <c r="AH60" i="22"/>
  <c r="AH58" i="22"/>
  <c r="AH9" i="22" s="1"/>
  <c r="AH21" i="22" s="1"/>
  <c r="AH356" i="22"/>
  <c r="AH447" i="22"/>
  <c r="AG51" i="22"/>
  <c r="AG141" i="22"/>
  <c r="AH487" i="22"/>
  <c r="AK487" i="22" s="1"/>
  <c r="AH368" i="22"/>
  <c r="AG183" i="22"/>
  <c r="AF61" i="22"/>
  <c r="AG486" i="22"/>
  <c r="AJ486" i="22" s="1"/>
  <c r="AG368" i="22"/>
  <c r="AG405" i="22"/>
  <c r="AG369" i="22"/>
  <c r="AF23" i="22"/>
  <c r="AG356" i="22"/>
  <c r="AG446" i="22"/>
  <c r="AG366" i="19"/>
  <c r="AG365" i="19"/>
  <c r="AH368" i="19"/>
  <c r="AH405" i="19"/>
  <c r="AH355" i="19"/>
  <c r="AH446" i="19"/>
  <c r="AI355" i="19"/>
  <c r="AI447" i="19"/>
  <c r="AI60" i="19"/>
  <c r="AI185" i="19" s="1"/>
  <c r="AL185" i="19" s="1"/>
  <c r="AI58" i="19"/>
  <c r="AI59" i="19"/>
  <c r="AD220" i="19"/>
  <c r="AD221" i="19" s="1"/>
  <c r="AH59" i="19"/>
  <c r="AH60" i="19"/>
  <c r="AH184" i="19" s="1"/>
  <c r="AH58" i="19"/>
  <c r="AH52" i="19"/>
  <c r="AH486" i="19"/>
  <c r="AK486" i="19" s="1"/>
  <c r="AH367" i="19"/>
  <c r="AG63" i="19"/>
  <c r="AI368" i="19"/>
  <c r="AI406" i="19"/>
  <c r="AK45" i="19"/>
  <c r="AK349" i="19"/>
  <c r="AK351" i="19" s="1"/>
  <c r="AK353" i="19" s="1"/>
  <c r="AK354" i="19" s="1"/>
  <c r="AI487" i="19"/>
  <c r="AL487" i="19" s="1"/>
  <c r="AI367" i="19"/>
  <c r="AJ353" i="19"/>
  <c r="AJ354" i="19" s="1"/>
  <c r="AG100" i="19"/>
  <c r="AG64" i="19"/>
  <c r="AJ47" i="19"/>
  <c r="AJ49" i="19" s="1"/>
  <c r="AJ50" i="19" s="1"/>
  <c r="AG141" i="19"/>
  <c r="AG51" i="19"/>
  <c r="AE217" i="19"/>
  <c r="AG370" i="20"/>
  <c r="AG371" i="20" s="1"/>
  <c r="AM99" i="20"/>
  <c r="AK99" i="20"/>
  <c r="AJ99" i="20"/>
  <c r="AI99" i="20"/>
  <c r="AL99" i="20"/>
  <c r="AN99" i="20"/>
  <c r="AH99" i="20"/>
  <c r="AG99" i="20"/>
  <c r="AG61" i="20" s="1"/>
  <c r="AF61" i="20"/>
  <c r="AI140" i="20"/>
  <c r="AK140" i="20"/>
  <c r="AJ140" i="20"/>
  <c r="AM140" i="20"/>
  <c r="AL140" i="20"/>
  <c r="AH140" i="20"/>
  <c r="AG140" i="20"/>
  <c r="AG62" i="20" s="1"/>
  <c r="AF62" i="20"/>
  <c r="AF216" i="20"/>
  <c r="AE220" i="20"/>
  <c r="AE221" i="20" s="1"/>
  <c r="AF217" i="20"/>
  <c r="AI202" i="42"/>
  <c r="AF335" i="42"/>
  <c r="AI335" i="42" s="1"/>
  <c r="AJ200" i="42"/>
  <c r="AF219" i="42"/>
  <c r="AF254" i="42"/>
  <c r="AG214" i="42"/>
  <c r="AG213" i="42"/>
  <c r="AG215" i="42"/>
  <c r="AG207" i="42"/>
  <c r="AF295" i="42"/>
  <c r="AF206" i="42"/>
  <c r="AH204" i="42"/>
  <c r="AH205" i="42" s="1"/>
  <c r="AE218" i="42"/>
  <c r="AG215" i="41"/>
  <c r="AG214" i="41"/>
  <c r="AG213" i="41"/>
  <c r="AG207" i="41"/>
  <c r="AF335" i="41"/>
  <c r="AI335" i="41" s="1"/>
  <c r="AH204" i="41"/>
  <c r="AH205" i="41" s="1"/>
  <c r="AJ200" i="41"/>
  <c r="AF295" i="41"/>
  <c r="AF206" i="41"/>
  <c r="AF219" i="41"/>
  <c r="AF254" i="41"/>
  <c r="AI202" i="41"/>
  <c r="AG217" i="23"/>
  <c r="AH297" i="23"/>
  <c r="AH206" i="23"/>
  <c r="AI214" i="23"/>
  <c r="AI213" i="23"/>
  <c r="AI9" i="23" s="1"/>
  <c r="AI21" i="23" s="1"/>
  <c r="AI215" i="23"/>
  <c r="AI207" i="23"/>
  <c r="AK202" i="23"/>
  <c r="AG218" i="23"/>
  <c r="AH256" i="23"/>
  <c r="AH219" i="23"/>
  <c r="AL200" i="23"/>
  <c r="AJ204" i="23"/>
  <c r="AJ205" i="23" s="1"/>
  <c r="AH337" i="23"/>
  <c r="AK337" i="23" s="1"/>
  <c r="AI215" i="22"/>
  <c r="AI213" i="22"/>
  <c r="AI214" i="22"/>
  <c r="AI207" i="22"/>
  <c r="AG218" i="22"/>
  <c r="AH206" i="22"/>
  <c r="AH297" i="22"/>
  <c r="AH219" i="22"/>
  <c r="AH256" i="22"/>
  <c r="AH337" i="22"/>
  <c r="AK337" i="22" s="1"/>
  <c r="AG214" i="19"/>
  <c r="AG215" i="19"/>
  <c r="AG213" i="19"/>
  <c r="AG207" i="19"/>
  <c r="AH204" i="19"/>
  <c r="AH205" i="19" s="1"/>
  <c r="AJ200" i="19"/>
  <c r="AF335" i="19"/>
  <c r="AI335" i="19" s="1"/>
  <c r="AI202" i="19"/>
  <c r="AF254" i="19"/>
  <c r="AF219" i="19"/>
  <c r="AF206" i="19"/>
  <c r="AF295" i="19"/>
  <c r="AH213" i="20"/>
  <c r="AH9" i="20" s="1"/>
  <c r="AH21" i="20" s="1"/>
  <c r="AH215" i="20"/>
  <c r="AH214" i="20"/>
  <c r="AH207" i="20"/>
  <c r="AI204" i="20"/>
  <c r="AI205" i="20" s="1"/>
  <c r="AJ202" i="20"/>
  <c r="AG336" i="20"/>
  <c r="AJ336" i="20" s="1"/>
  <c r="AK200" i="20"/>
  <c r="AG296" i="20"/>
  <c r="AG206" i="20"/>
  <c r="AG255" i="20"/>
  <c r="AG219" i="20"/>
  <c r="AF218" i="20"/>
  <c r="W10" i="73"/>
  <c r="U59" i="73"/>
  <c r="U22" i="73"/>
  <c r="T2" i="73"/>
  <c r="K6" i="75" l="1"/>
  <c r="M6" i="75" s="1"/>
  <c r="AH38" i="57"/>
  <c r="AU53" i="32"/>
  <c r="AC45" i="60"/>
  <c r="AC73" i="60" s="1"/>
  <c r="AC79" i="60" s="1"/>
  <c r="AC38" i="52"/>
  <c r="AC16" i="52"/>
  <c r="AL363" i="23"/>
  <c r="AL410" i="23" s="1"/>
  <c r="AD38" i="52"/>
  <c r="AD16" i="52"/>
  <c r="AL364" i="23"/>
  <c r="AL451" i="23" s="1"/>
  <c r="AC37" i="32"/>
  <c r="AF37" i="32" s="1"/>
  <c r="AG10" i="41"/>
  <c r="AG23" i="41" s="1"/>
  <c r="AG9" i="41"/>
  <c r="AG21" i="41" s="1"/>
  <c r="AG9" i="19"/>
  <c r="AG21" i="19" s="1"/>
  <c r="AG10" i="42"/>
  <c r="AG23" i="42" s="1"/>
  <c r="AH10" i="20"/>
  <c r="AH23" i="20" s="1"/>
  <c r="AI10" i="23"/>
  <c r="AI23" i="23" s="1"/>
  <c r="AH10" i="22"/>
  <c r="AP59" i="52"/>
  <c r="AP59" i="32" s="1"/>
  <c r="AH16" i="57"/>
  <c r="AH23" i="57" s="1"/>
  <c r="AH12" i="57"/>
  <c r="AD9" i="68" s="1"/>
  <c r="AF16" i="57"/>
  <c r="AF23" i="57" s="1"/>
  <c r="AF29" i="57" s="1"/>
  <c r="AD25" i="22"/>
  <c r="AI7" i="57" s="1"/>
  <c r="AE25" i="20"/>
  <c r="AD25" i="19"/>
  <c r="AJ367" i="23"/>
  <c r="AC73" i="63"/>
  <c r="AC79" i="63" s="1"/>
  <c r="AI370" i="23"/>
  <c r="AI371" i="23" s="1"/>
  <c r="AG9" i="42"/>
  <c r="AG21" i="42" s="1"/>
  <c r="AC29" i="60"/>
  <c r="AD25" i="42"/>
  <c r="AG10" i="19"/>
  <c r="AG23" i="19" s="1"/>
  <c r="AH23" i="63"/>
  <c r="AJ366" i="23"/>
  <c r="AK364" i="23"/>
  <c r="AK365" i="23"/>
  <c r="AK363" i="23"/>
  <c r="AJ51" i="23"/>
  <c r="AJ144" i="23"/>
  <c r="AJ103" i="23"/>
  <c r="AJ64" i="23"/>
  <c r="AN408" i="23"/>
  <c r="AM408" i="23"/>
  <c r="AL408" i="23"/>
  <c r="AK408" i="23"/>
  <c r="AK449" i="23"/>
  <c r="AN449" i="23"/>
  <c r="AM449" i="23"/>
  <c r="AL449" i="23"/>
  <c r="AM350" i="23"/>
  <c r="AM352" i="23" s="1"/>
  <c r="AM45" i="23"/>
  <c r="AL50" i="23"/>
  <c r="AL60" i="23" s="1"/>
  <c r="AJ63" i="23"/>
  <c r="AA52" i="65"/>
  <c r="AG11" i="23"/>
  <c r="AG18" i="23" s="1"/>
  <c r="AE11" i="42"/>
  <c r="AE11" i="19"/>
  <c r="AE18" i="19" s="1"/>
  <c r="AF220" i="22"/>
  <c r="AF221" i="22" s="1"/>
  <c r="AF11" i="20"/>
  <c r="AF11" i="22"/>
  <c r="AF12" i="22"/>
  <c r="AF16" i="22" s="1"/>
  <c r="AF12" i="20"/>
  <c r="AF16" i="20" s="1"/>
  <c r="AC24" i="65"/>
  <c r="AC46" i="65" s="1"/>
  <c r="AI45" i="63"/>
  <c r="AI29" i="63"/>
  <c r="AI43" i="63"/>
  <c r="AF73" i="63"/>
  <c r="AF79" i="63" s="1"/>
  <c r="AF51" i="63"/>
  <c r="AJ16" i="63"/>
  <c r="AJ38" i="63"/>
  <c r="AJ43" i="63" s="1"/>
  <c r="AJ12" i="63"/>
  <c r="AE6" i="68"/>
  <c r="AD30" i="65"/>
  <c r="AD46" i="65"/>
  <c r="AF24" i="65"/>
  <c r="AH13" i="65"/>
  <c r="AH37" i="32"/>
  <c r="AB52" i="65"/>
  <c r="AB74" i="65"/>
  <c r="AB80" i="65" s="1"/>
  <c r="AC51" i="57"/>
  <c r="AC73" i="57"/>
  <c r="AC79" i="57" s="1"/>
  <c r="AH43" i="57"/>
  <c r="AD29" i="57"/>
  <c r="AD45" i="57"/>
  <c r="AH16" i="61"/>
  <c r="AH23" i="61" s="1"/>
  <c r="AH38" i="61"/>
  <c r="AH12" i="61"/>
  <c r="AB73" i="61"/>
  <c r="AB79" i="61" s="1"/>
  <c r="AB51" i="61"/>
  <c r="AI60" i="61"/>
  <c r="AI7" i="61"/>
  <c r="AF38" i="61"/>
  <c r="AD23" i="61"/>
  <c r="AD29" i="61" s="1"/>
  <c r="AF16" i="61"/>
  <c r="AF23" i="61" s="1"/>
  <c r="AC45" i="61"/>
  <c r="AB71" i="52"/>
  <c r="AB44" i="62"/>
  <c r="AB28" i="62"/>
  <c r="AC60" i="52"/>
  <c r="AC44" i="62"/>
  <c r="AC28" i="62"/>
  <c r="AF15" i="62"/>
  <c r="AF22" i="62" s="1"/>
  <c r="AD22" i="62"/>
  <c r="AD71" i="52"/>
  <c r="AF37" i="62"/>
  <c r="AH6" i="62"/>
  <c r="AH7" i="60"/>
  <c r="AH1" i="60" s="1"/>
  <c r="AQ59" i="51"/>
  <c r="AB45" i="60"/>
  <c r="AB29" i="60"/>
  <c r="AD16" i="60"/>
  <c r="AD38" i="60"/>
  <c r="AF7" i="60"/>
  <c r="AN297" i="23"/>
  <c r="AI297" i="23"/>
  <c r="AM297" i="23"/>
  <c r="AL297" i="23"/>
  <c r="AK297" i="23"/>
  <c r="AJ297" i="23"/>
  <c r="AH217" i="23"/>
  <c r="AN256" i="23"/>
  <c r="AL256" i="23"/>
  <c r="AK256" i="23"/>
  <c r="AM256" i="23"/>
  <c r="AJ256" i="23"/>
  <c r="AI256" i="23"/>
  <c r="AG16" i="23"/>
  <c r="AF18" i="23"/>
  <c r="AF13" i="23"/>
  <c r="AK446" i="22"/>
  <c r="AJ446" i="22"/>
  <c r="AI446" i="22"/>
  <c r="AH446" i="22"/>
  <c r="AH367" i="22" s="1"/>
  <c r="AL446" i="22"/>
  <c r="AN446" i="22"/>
  <c r="AM446" i="22"/>
  <c r="AN447" i="22"/>
  <c r="AI447" i="22"/>
  <c r="AM447" i="22"/>
  <c r="AJ447" i="22"/>
  <c r="AL447" i="22"/>
  <c r="AK447" i="22"/>
  <c r="AK405" i="22"/>
  <c r="AI405" i="22"/>
  <c r="AH405" i="22"/>
  <c r="AH366" i="22" s="1"/>
  <c r="AN405" i="22"/>
  <c r="AM405" i="22"/>
  <c r="AL405" i="22"/>
  <c r="AJ405" i="22"/>
  <c r="AN406" i="22"/>
  <c r="AK406" i="22"/>
  <c r="AJ406" i="22"/>
  <c r="AI406" i="22"/>
  <c r="AM406" i="22"/>
  <c r="AL406" i="22"/>
  <c r="AL297" i="22"/>
  <c r="AK297" i="22"/>
  <c r="AJ297" i="22"/>
  <c r="AI297" i="22"/>
  <c r="AN297" i="22"/>
  <c r="AM297" i="22"/>
  <c r="AN256" i="22"/>
  <c r="AM256" i="22"/>
  <c r="AK256" i="22"/>
  <c r="AJ256" i="22"/>
  <c r="AI256" i="22"/>
  <c r="AL256" i="22"/>
  <c r="AM183" i="22"/>
  <c r="AJ183" i="22"/>
  <c r="AK141" i="22"/>
  <c r="AI141" i="22"/>
  <c r="AJ141" i="22"/>
  <c r="AN141" i="22"/>
  <c r="AM141" i="22"/>
  <c r="AL141" i="22"/>
  <c r="AH141" i="22"/>
  <c r="AK100" i="22"/>
  <c r="AJ100" i="22"/>
  <c r="AI100" i="22"/>
  <c r="AH100" i="22"/>
  <c r="AN100" i="22"/>
  <c r="AM100" i="22"/>
  <c r="AL100" i="22"/>
  <c r="AK446" i="19"/>
  <c r="AJ446" i="19"/>
  <c r="AI446" i="19"/>
  <c r="AI366" i="19" s="1"/>
  <c r="AN446" i="19"/>
  <c r="AM446" i="19"/>
  <c r="AL446" i="19"/>
  <c r="AL447" i="19"/>
  <c r="AK447" i="19"/>
  <c r="AJ447" i="19"/>
  <c r="AN447" i="19"/>
  <c r="AM447" i="19"/>
  <c r="AN405" i="19"/>
  <c r="AM405" i="19"/>
  <c r="AL405" i="19"/>
  <c r="AK405" i="19"/>
  <c r="AJ405" i="19"/>
  <c r="AI405" i="19"/>
  <c r="AI365" i="19" s="1"/>
  <c r="AL406" i="19"/>
  <c r="AK406" i="19"/>
  <c r="AJ406" i="19"/>
  <c r="AN406" i="19"/>
  <c r="AM406" i="19"/>
  <c r="AI295" i="19"/>
  <c r="AH295" i="19"/>
  <c r="AG295" i="19"/>
  <c r="AM295" i="19"/>
  <c r="AN295" i="19"/>
  <c r="AL295" i="19"/>
  <c r="AK295" i="19"/>
  <c r="AJ295" i="19"/>
  <c r="AL254" i="19"/>
  <c r="AK254" i="19"/>
  <c r="AH254" i="19"/>
  <c r="AG254" i="19"/>
  <c r="AN254" i="19"/>
  <c r="AM254" i="19"/>
  <c r="AJ254" i="19"/>
  <c r="AI254" i="19"/>
  <c r="AG369" i="19"/>
  <c r="AG370" i="19" s="1"/>
  <c r="AN184" i="19"/>
  <c r="AK184" i="19"/>
  <c r="AJ141" i="19"/>
  <c r="AI141" i="19"/>
  <c r="AH141" i="19"/>
  <c r="AN141" i="19"/>
  <c r="AM141" i="19"/>
  <c r="AK141" i="19"/>
  <c r="AL141" i="19"/>
  <c r="AJ100" i="19"/>
  <c r="AH100" i="19"/>
  <c r="AI100" i="19"/>
  <c r="AN100" i="19"/>
  <c r="AL100" i="19"/>
  <c r="AM100" i="19"/>
  <c r="AK100" i="19"/>
  <c r="AH62" i="20"/>
  <c r="AM447" i="20"/>
  <c r="AK447" i="20"/>
  <c r="AL447" i="20"/>
  <c r="AN447" i="20"/>
  <c r="AJ447" i="20"/>
  <c r="AI447" i="20"/>
  <c r="AI367" i="20" s="1"/>
  <c r="AK448" i="20"/>
  <c r="AJ448" i="20"/>
  <c r="AN448" i="20"/>
  <c r="AM448" i="20"/>
  <c r="AL448" i="20"/>
  <c r="AN406" i="20"/>
  <c r="AI406" i="20"/>
  <c r="AI366" i="20" s="1"/>
  <c r="AM406" i="20"/>
  <c r="AL406" i="20"/>
  <c r="AK406" i="20"/>
  <c r="AJ406" i="20"/>
  <c r="AL407" i="20"/>
  <c r="AK407" i="20"/>
  <c r="AJ407" i="20"/>
  <c r="AM407" i="20"/>
  <c r="AN407" i="20"/>
  <c r="AK296" i="20"/>
  <c r="AJ296" i="20"/>
  <c r="AL296" i="20"/>
  <c r="AI296" i="20"/>
  <c r="AH296" i="20"/>
  <c r="AM296" i="20"/>
  <c r="AN296" i="20"/>
  <c r="AK255" i="20"/>
  <c r="AJ255" i="20"/>
  <c r="AN255" i="20"/>
  <c r="AM255" i="20"/>
  <c r="AL255" i="20"/>
  <c r="AI255" i="20"/>
  <c r="AH255" i="20"/>
  <c r="AJ447" i="42"/>
  <c r="AI447" i="42"/>
  <c r="AM447" i="42"/>
  <c r="AL447" i="42"/>
  <c r="AN447" i="42"/>
  <c r="AK447" i="42"/>
  <c r="AN406" i="42"/>
  <c r="AI406" i="42"/>
  <c r="AL406" i="42"/>
  <c r="AK406" i="42"/>
  <c r="AM406" i="42"/>
  <c r="AJ406" i="42"/>
  <c r="AD13" i="42"/>
  <c r="AI295" i="42"/>
  <c r="AG295" i="42"/>
  <c r="AH295" i="42"/>
  <c r="AN295" i="42"/>
  <c r="AM295" i="42"/>
  <c r="AL295" i="42"/>
  <c r="AK295" i="42"/>
  <c r="AJ295" i="42"/>
  <c r="AL254" i="42"/>
  <c r="AI254" i="42"/>
  <c r="AK254" i="42"/>
  <c r="AJ254" i="42"/>
  <c r="AH254" i="42"/>
  <c r="AG254" i="42"/>
  <c r="AN254" i="42"/>
  <c r="AM254" i="42"/>
  <c r="AE16" i="42"/>
  <c r="AH445" i="41"/>
  <c r="AG445" i="41"/>
  <c r="AJ445" i="41"/>
  <c r="AI445" i="41"/>
  <c r="AN445" i="41"/>
  <c r="AM445" i="41"/>
  <c r="AL445" i="41"/>
  <c r="AK445" i="41"/>
  <c r="AI404" i="41"/>
  <c r="AH404" i="41"/>
  <c r="AG404" i="41"/>
  <c r="AN404" i="41"/>
  <c r="AM404" i="41"/>
  <c r="AL404" i="41"/>
  <c r="AK404" i="41"/>
  <c r="AJ404" i="41"/>
  <c r="AN295" i="41"/>
  <c r="AI295" i="41"/>
  <c r="AH295" i="41"/>
  <c r="AG295" i="41"/>
  <c r="AM295" i="41"/>
  <c r="AL295" i="41"/>
  <c r="AK295" i="41"/>
  <c r="AJ295" i="41"/>
  <c r="AN254" i="41"/>
  <c r="AM254" i="41"/>
  <c r="AK254" i="41"/>
  <c r="AJ254" i="41"/>
  <c r="AL254" i="41"/>
  <c r="AI254" i="41"/>
  <c r="AH254" i="41"/>
  <c r="AG254" i="41"/>
  <c r="AL182" i="41"/>
  <c r="AI182" i="41"/>
  <c r="AI140" i="41"/>
  <c r="AG140" i="41"/>
  <c r="AH140" i="41"/>
  <c r="AK140" i="41"/>
  <c r="AM140" i="41"/>
  <c r="AN140" i="41" s="1"/>
  <c r="AL140" i="41"/>
  <c r="AJ140" i="41"/>
  <c r="AK99" i="41"/>
  <c r="AG99" i="41"/>
  <c r="AJ99" i="41"/>
  <c r="AI99" i="41"/>
  <c r="AH99" i="41"/>
  <c r="AN99" i="41"/>
  <c r="AM99" i="41"/>
  <c r="AL99" i="41"/>
  <c r="AG42" i="16"/>
  <c r="AI46" i="52"/>
  <c r="AH46" i="52"/>
  <c r="AG220" i="22"/>
  <c r="AG221" i="22" s="1"/>
  <c r="AD13" i="19"/>
  <c r="AE220" i="19"/>
  <c r="AE221" i="19" s="1"/>
  <c r="AE16" i="19"/>
  <c r="AI63" i="20"/>
  <c r="AE13" i="20"/>
  <c r="AL45" i="20"/>
  <c r="AL350" i="20"/>
  <c r="AL352" i="20" s="1"/>
  <c r="AN142" i="20"/>
  <c r="AM142" i="20"/>
  <c r="AI142" i="20"/>
  <c r="AL142" i="20"/>
  <c r="AK142" i="20"/>
  <c r="AJ142" i="20"/>
  <c r="AJ101" i="20"/>
  <c r="AI101" i="20"/>
  <c r="AN101" i="20"/>
  <c r="AL101" i="20"/>
  <c r="AM101" i="20"/>
  <c r="AK101" i="20"/>
  <c r="AJ59" i="20"/>
  <c r="AJ60" i="20"/>
  <c r="AJ58" i="20"/>
  <c r="AN184" i="20"/>
  <c r="AK184" i="20"/>
  <c r="AH367" i="20"/>
  <c r="AK363" i="20"/>
  <c r="AK364" i="20"/>
  <c r="AK365" i="20"/>
  <c r="AK47" i="20"/>
  <c r="AJ356" i="20"/>
  <c r="AJ449" i="20"/>
  <c r="AI143" i="20"/>
  <c r="AI51" i="20"/>
  <c r="AJ489" i="20"/>
  <c r="AM489" i="20" s="1"/>
  <c r="AJ368" i="20"/>
  <c r="AH61" i="20"/>
  <c r="AI64" i="20"/>
  <c r="AI102" i="20"/>
  <c r="AJ369" i="20"/>
  <c r="AJ408" i="20"/>
  <c r="AH366" i="20"/>
  <c r="AF218" i="42"/>
  <c r="AF216" i="42"/>
  <c r="AF16" i="42" s="1"/>
  <c r="AG65" i="42"/>
  <c r="AG66" i="42" s="1"/>
  <c r="AI60" i="42"/>
  <c r="AI59" i="42"/>
  <c r="AI58" i="42"/>
  <c r="AI52" i="42"/>
  <c r="AJ364" i="42"/>
  <c r="AJ365" i="42"/>
  <c r="AJ363" i="42"/>
  <c r="AH184" i="42"/>
  <c r="AJ49" i="42"/>
  <c r="AJ50" i="42" s="1"/>
  <c r="AH142" i="42"/>
  <c r="AH51" i="42"/>
  <c r="AH366" i="42"/>
  <c r="AI488" i="42"/>
  <c r="AL488" i="42" s="1"/>
  <c r="AI368" i="42"/>
  <c r="AH101" i="42"/>
  <c r="AH64" i="42"/>
  <c r="AF65" i="42"/>
  <c r="AF66" i="42" s="1"/>
  <c r="AI448" i="42"/>
  <c r="AI356" i="42"/>
  <c r="AE220" i="42"/>
  <c r="AE221" i="42" s="1"/>
  <c r="AI407" i="42"/>
  <c r="AI369" i="42"/>
  <c r="AK47" i="42"/>
  <c r="AK363" i="42"/>
  <c r="AK365" i="42"/>
  <c r="AK364" i="42"/>
  <c r="AH367" i="42"/>
  <c r="AL350" i="42"/>
  <c r="AL352" i="42" s="1"/>
  <c r="AL45" i="42"/>
  <c r="AF217" i="42"/>
  <c r="AH60" i="41"/>
  <c r="AH59" i="41"/>
  <c r="AH58" i="41"/>
  <c r="AG100" i="41"/>
  <c r="AG64" i="41"/>
  <c r="AG141" i="41"/>
  <c r="AG51" i="41"/>
  <c r="AH365" i="41"/>
  <c r="AH363" i="41"/>
  <c r="AH364" i="41"/>
  <c r="AG446" i="41"/>
  <c r="AG356" i="41"/>
  <c r="AF23" i="41"/>
  <c r="AI47" i="41"/>
  <c r="AI49" i="41" s="1"/>
  <c r="AI50" i="41" s="1"/>
  <c r="AI52" i="41" s="1"/>
  <c r="AI354" i="41"/>
  <c r="AI355" i="41" s="1"/>
  <c r="AF63" i="41"/>
  <c r="AJ45" i="41"/>
  <c r="AJ350" i="41"/>
  <c r="AJ352" i="41" s="1"/>
  <c r="AJ354" i="41" s="1"/>
  <c r="AJ355" i="41" s="1"/>
  <c r="AG405" i="41"/>
  <c r="AG369" i="41"/>
  <c r="AG183" i="41"/>
  <c r="AG486" i="41"/>
  <c r="AJ486" i="41" s="1"/>
  <c r="AG368" i="41"/>
  <c r="AK15" i="41"/>
  <c r="AM20" i="41"/>
  <c r="AH216" i="23"/>
  <c r="AH12" i="23" s="1"/>
  <c r="AK187" i="23"/>
  <c r="AN187" i="23" s="1"/>
  <c r="AI65" i="23"/>
  <c r="AI66" i="23" s="1"/>
  <c r="AL491" i="23"/>
  <c r="AL368" i="23"/>
  <c r="AK64" i="23"/>
  <c r="AK104" i="23"/>
  <c r="AH218" i="23"/>
  <c r="AK51" i="23"/>
  <c r="AK145" i="23"/>
  <c r="AH218" i="22"/>
  <c r="AF65" i="22"/>
  <c r="AF66" i="22" s="1"/>
  <c r="AE18" i="22"/>
  <c r="AE13" i="22"/>
  <c r="AF370" i="22"/>
  <c r="AF371" i="22" s="1"/>
  <c r="AI488" i="22"/>
  <c r="AL488" i="22" s="1"/>
  <c r="AI368" i="22"/>
  <c r="AG61" i="22"/>
  <c r="AI356" i="22"/>
  <c r="AI448" i="22"/>
  <c r="AI407" i="22"/>
  <c r="AI369" i="22"/>
  <c r="AG63" i="22"/>
  <c r="AH51" i="22"/>
  <c r="AH142" i="22"/>
  <c r="AJ354" i="22"/>
  <c r="AJ355" i="22" s="1"/>
  <c r="AK350" i="22"/>
  <c r="AK352" i="22" s="1"/>
  <c r="AK45" i="22"/>
  <c r="AK200" i="22"/>
  <c r="AK202" i="22" s="1"/>
  <c r="AG23" i="22"/>
  <c r="AG62" i="22"/>
  <c r="AG367" i="22"/>
  <c r="AH101" i="22"/>
  <c r="AH64" i="22"/>
  <c r="AH216" i="22"/>
  <c r="AG366" i="22"/>
  <c r="AH184" i="22"/>
  <c r="AJ47" i="22"/>
  <c r="AJ49" i="22" s="1"/>
  <c r="AJ50" i="22" s="1"/>
  <c r="AJ52" i="22" s="1"/>
  <c r="AI58" i="22"/>
  <c r="AI9" i="22" s="1"/>
  <c r="AI21" i="22" s="1"/>
  <c r="AI59" i="22"/>
  <c r="AI60" i="22"/>
  <c r="AI64" i="19"/>
  <c r="AI102" i="19"/>
  <c r="AI63" i="19"/>
  <c r="AH366" i="19"/>
  <c r="AH365" i="19"/>
  <c r="AH64" i="19"/>
  <c r="AH101" i="19"/>
  <c r="AL45" i="19"/>
  <c r="AL349" i="19"/>
  <c r="AL351" i="19" s="1"/>
  <c r="AL353" i="19" s="1"/>
  <c r="AL354" i="19" s="1"/>
  <c r="AH63" i="19"/>
  <c r="AG62" i="19"/>
  <c r="AK363" i="19"/>
  <c r="AK362" i="19"/>
  <c r="AK364" i="19"/>
  <c r="AH142" i="19"/>
  <c r="AH51" i="19"/>
  <c r="AG61" i="19"/>
  <c r="AK47" i="19"/>
  <c r="AJ59" i="19"/>
  <c r="AJ58" i="19"/>
  <c r="AJ60" i="19"/>
  <c r="AJ186" i="19" s="1"/>
  <c r="AM186" i="19" s="1"/>
  <c r="AJ362" i="19"/>
  <c r="AJ363" i="19"/>
  <c r="AJ364" i="19"/>
  <c r="AF216" i="19"/>
  <c r="AF12" i="19" s="1"/>
  <c r="AJ52" i="19"/>
  <c r="AI143" i="19"/>
  <c r="AI51" i="19"/>
  <c r="AF217" i="19"/>
  <c r="AF220" i="20"/>
  <c r="AF221" i="20" s="1"/>
  <c r="AF65" i="20"/>
  <c r="AF66" i="20" s="1"/>
  <c r="AG65" i="20"/>
  <c r="AG66" i="20" s="1"/>
  <c r="AG216" i="20"/>
  <c r="AG218" i="20"/>
  <c r="AG217" i="20"/>
  <c r="AN140" i="20"/>
  <c r="AJ202" i="42"/>
  <c r="AG296" i="42"/>
  <c r="AG206" i="42"/>
  <c r="AH215" i="42"/>
  <c r="AH214" i="42"/>
  <c r="AH213" i="42"/>
  <c r="AH9" i="42" s="1"/>
  <c r="AH21" i="42" s="1"/>
  <c r="AH207" i="42"/>
  <c r="AI204" i="42"/>
  <c r="AI205" i="42" s="1"/>
  <c r="AG336" i="42"/>
  <c r="AJ336" i="42" s="1"/>
  <c r="AG255" i="42"/>
  <c r="AG219" i="42"/>
  <c r="AK200" i="42"/>
  <c r="AH213" i="41"/>
  <c r="AH214" i="41"/>
  <c r="AH215" i="41"/>
  <c r="AH207" i="41"/>
  <c r="AJ202" i="41"/>
  <c r="AI204" i="41"/>
  <c r="AI205" i="41" s="1"/>
  <c r="AF218" i="41"/>
  <c r="AG255" i="41"/>
  <c r="AG219" i="41"/>
  <c r="AG206" i="41"/>
  <c r="AG296" i="41"/>
  <c r="AG336" i="41"/>
  <c r="AJ336" i="41" s="1"/>
  <c r="AI219" i="23"/>
  <c r="AI257" i="23"/>
  <c r="AI298" i="23"/>
  <c r="AI206" i="23"/>
  <c r="AJ214" i="23"/>
  <c r="AJ215" i="23"/>
  <c r="AJ213" i="23"/>
  <c r="AJ9" i="23" s="1"/>
  <c r="AJ21" i="23" s="1"/>
  <c r="AJ207" i="23"/>
  <c r="AG220" i="23"/>
  <c r="AG221" i="23" s="1"/>
  <c r="AK204" i="23"/>
  <c r="AK205" i="23" s="1"/>
  <c r="AL202" i="23"/>
  <c r="AI338" i="23"/>
  <c r="AL338" i="23" s="1"/>
  <c r="AM200" i="23"/>
  <c r="AJ215" i="22"/>
  <c r="AJ214" i="22"/>
  <c r="AJ213" i="22"/>
  <c r="AJ207" i="22"/>
  <c r="AI298" i="22"/>
  <c r="AI206" i="22"/>
  <c r="AI219" i="22"/>
  <c r="AI257" i="22"/>
  <c r="AH217" i="22"/>
  <c r="AI338" i="22"/>
  <c r="AL338" i="22" s="1"/>
  <c r="AH213" i="19"/>
  <c r="AH214" i="19"/>
  <c r="AH215" i="19"/>
  <c r="AH207" i="19"/>
  <c r="AI204" i="19"/>
  <c r="AI205" i="19" s="1"/>
  <c r="AG219" i="19"/>
  <c r="AG255" i="19"/>
  <c r="AF218" i="19"/>
  <c r="AJ202" i="19"/>
  <c r="AG336" i="19"/>
  <c r="AJ336" i="19" s="1"/>
  <c r="AG206" i="19"/>
  <c r="AG296" i="19"/>
  <c r="AK200" i="19"/>
  <c r="AI213" i="20"/>
  <c r="AI214" i="20"/>
  <c r="AI215" i="20"/>
  <c r="AI207" i="20"/>
  <c r="AJ204" i="20"/>
  <c r="AJ205" i="20" s="1"/>
  <c r="AH206" i="20"/>
  <c r="AH297" i="20"/>
  <c r="AH337" i="20"/>
  <c r="AK337" i="20" s="1"/>
  <c r="AK202" i="20"/>
  <c r="AH219" i="20"/>
  <c r="AH256" i="20"/>
  <c r="AL200" i="20"/>
  <c r="V18" i="73"/>
  <c r="V22" i="73"/>
  <c r="U14" i="73"/>
  <c r="U18" i="73"/>
  <c r="U2" i="73"/>
  <c r="V59" i="73"/>
  <c r="AH17" i="60" l="1"/>
  <c r="AH45" i="57"/>
  <c r="AC51" i="60"/>
  <c r="AL369" i="23"/>
  <c r="AH10" i="41"/>
  <c r="AI10" i="20"/>
  <c r="AI23" i="20" s="1"/>
  <c r="AF16" i="52"/>
  <c r="H15" i="75" s="1"/>
  <c r="J15" i="75" s="1"/>
  <c r="AH10" i="42"/>
  <c r="AH23" i="42" s="1"/>
  <c r="AF38" i="52"/>
  <c r="H37" i="75" s="1"/>
  <c r="J37" i="75" s="1"/>
  <c r="AL356" i="23"/>
  <c r="AH9" i="41"/>
  <c r="AH21" i="41" s="1"/>
  <c r="AH9" i="19"/>
  <c r="AH21" i="19" s="1"/>
  <c r="AL59" i="23"/>
  <c r="AL52" i="23"/>
  <c r="AL58" i="23"/>
  <c r="AL105" i="23" s="1"/>
  <c r="AJ10" i="23"/>
  <c r="AJ23" i="23" s="1"/>
  <c r="AQ59" i="52"/>
  <c r="AQ59" i="32" s="1"/>
  <c r="AI10" i="22"/>
  <c r="AI23" i="22" s="1"/>
  <c r="AH29" i="57"/>
  <c r="AF45" i="57"/>
  <c r="AF51" i="57" s="1"/>
  <c r="AI12" i="57"/>
  <c r="AE9" i="68" s="1"/>
  <c r="AI16" i="57"/>
  <c r="AI23" i="57" s="1"/>
  <c r="AI38" i="57"/>
  <c r="AI43" i="57" s="1"/>
  <c r="AE25" i="22"/>
  <c r="AJ7" i="57" s="1"/>
  <c r="AI9" i="20"/>
  <c r="AI21" i="20" s="1"/>
  <c r="AE25" i="19"/>
  <c r="AJ370" i="23"/>
  <c r="AJ371" i="23" s="1"/>
  <c r="AG13" i="23"/>
  <c r="AG25" i="23"/>
  <c r="AL7" i="63" s="1"/>
  <c r="AH10" i="19"/>
  <c r="AH23" i="19" s="1"/>
  <c r="AH65" i="20"/>
  <c r="AH66" i="20" s="1"/>
  <c r="AH29" i="63"/>
  <c r="AH45" i="63"/>
  <c r="AF25" i="23"/>
  <c r="AK7" i="63" s="1"/>
  <c r="AM47" i="23"/>
  <c r="AM49" i="23" s="1"/>
  <c r="AM50" i="23" s="1"/>
  <c r="AK450" i="23"/>
  <c r="AK356" i="23"/>
  <c r="AM354" i="23"/>
  <c r="AM355" i="23" s="1"/>
  <c r="AN350" i="23"/>
  <c r="AN352" i="23" s="1"/>
  <c r="AN354" i="23" s="1"/>
  <c r="AN355" i="23" s="1"/>
  <c r="AN45" i="23"/>
  <c r="AN47" i="23" s="1"/>
  <c r="AN49" i="23" s="1"/>
  <c r="AN50" i="23" s="1"/>
  <c r="AN52" i="23" s="1"/>
  <c r="AN103" i="23"/>
  <c r="AM103" i="23"/>
  <c r="AL103" i="23"/>
  <c r="AK103" i="23"/>
  <c r="AK61" i="23" s="1"/>
  <c r="AM144" i="23"/>
  <c r="AN144" i="23"/>
  <c r="AJ62" i="23"/>
  <c r="AL144" i="23"/>
  <c r="AK144" i="23"/>
  <c r="AK62" i="23" s="1"/>
  <c r="AJ61" i="23"/>
  <c r="AK409" i="23"/>
  <c r="AK369" i="23"/>
  <c r="AK490" i="23"/>
  <c r="AN490" i="23" s="1"/>
  <c r="AK368" i="23"/>
  <c r="AC30" i="65"/>
  <c r="AF11" i="42"/>
  <c r="AF13" i="42" s="1"/>
  <c r="AH11" i="23"/>
  <c r="AF11" i="19"/>
  <c r="AG12" i="22"/>
  <c r="AG16" i="22" s="1"/>
  <c r="AJ23" i="63"/>
  <c r="AJ45" i="63" s="1"/>
  <c r="AG11" i="22"/>
  <c r="AD45" i="61"/>
  <c r="AD51" i="61" s="1"/>
  <c r="AG12" i="20"/>
  <c r="AG16" i="20" s="1"/>
  <c r="AG11" i="20"/>
  <c r="AG18" i="20" s="1"/>
  <c r="AF6" i="68"/>
  <c r="AI51" i="63"/>
  <c r="AI73" i="63"/>
  <c r="AI79" i="63" s="1"/>
  <c r="AF30" i="65"/>
  <c r="AF46" i="65"/>
  <c r="AD17" i="68"/>
  <c r="AH24" i="65"/>
  <c r="AH30" i="65" s="1"/>
  <c r="AC52" i="65"/>
  <c r="AC74" i="65"/>
  <c r="AC80" i="65" s="1"/>
  <c r="AI13" i="65"/>
  <c r="AD52" i="65"/>
  <c r="AD74" i="65"/>
  <c r="AD80" i="65" s="1"/>
  <c r="AD73" i="57"/>
  <c r="AD79" i="57" s="1"/>
  <c r="AD51" i="57"/>
  <c r="AH73" i="57"/>
  <c r="AH79" i="57" s="1"/>
  <c r="AH51" i="57"/>
  <c r="AJ60" i="61"/>
  <c r="AJ7" i="61"/>
  <c r="AF45" i="61"/>
  <c r="AF29" i="61"/>
  <c r="AH29" i="61"/>
  <c r="AH45" i="61"/>
  <c r="AI12" i="61"/>
  <c r="AI16" i="61"/>
  <c r="AI38" i="61"/>
  <c r="AI43" i="61" s="1"/>
  <c r="AD8" i="68"/>
  <c r="AC51" i="61"/>
  <c r="AC73" i="61"/>
  <c r="AC79" i="61" s="1"/>
  <c r="AH43" i="61"/>
  <c r="AC50" i="62"/>
  <c r="AC71" i="62"/>
  <c r="AC77" i="62" s="1"/>
  <c r="AB50" i="62"/>
  <c r="AB71" i="62"/>
  <c r="AB77" i="62" s="1"/>
  <c r="AD44" i="62"/>
  <c r="AD28" i="62"/>
  <c r="AF28" i="62"/>
  <c r="AF44" i="62"/>
  <c r="AC71" i="52"/>
  <c r="AF71" i="52" s="1"/>
  <c r="AF60" i="52"/>
  <c r="H59" i="75" s="1"/>
  <c r="AI6" i="62"/>
  <c r="AH15" i="62"/>
  <c r="AH22" i="62" s="1"/>
  <c r="AH11" i="62"/>
  <c r="AH37" i="62"/>
  <c r="AH7" i="52"/>
  <c r="AH38" i="60"/>
  <c r="AH12" i="60"/>
  <c r="AD13" i="68" s="1"/>
  <c r="AH16" i="60"/>
  <c r="AH23" i="60" s="1"/>
  <c r="AR59" i="51"/>
  <c r="AI7" i="60"/>
  <c r="AI1" i="60" s="1"/>
  <c r="AI17" i="60" s="1"/>
  <c r="AI24" i="60" s="1"/>
  <c r="AF16" i="60"/>
  <c r="AF23" i="60" s="1"/>
  <c r="AB73" i="60"/>
  <c r="AB79" i="60" s="1"/>
  <c r="AB51" i="60"/>
  <c r="AD23" i="60"/>
  <c r="AF38" i="60"/>
  <c r="AM451" i="23"/>
  <c r="AN451" i="23"/>
  <c r="AN410" i="23"/>
  <c r="AM410" i="23"/>
  <c r="AH220" i="23"/>
  <c r="AH221" i="23" s="1"/>
  <c r="AI217" i="23"/>
  <c r="AL298" i="23"/>
  <c r="AK298" i="23"/>
  <c r="AJ298" i="23"/>
  <c r="AN298" i="23"/>
  <c r="AM298" i="23"/>
  <c r="AL257" i="23"/>
  <c r="AK257" i="23"/>
  <c r="AJ257" i="23"/>
  <c r="AM257" i="23"/>
  <c r="AN257" i="23"/>
  <c r="AH16" i="23"/>
  <c r="AN145" i="23"/>
  <c r="AM145" i="23"/>
  <c r="AL145" i="23"/>
  <c r="AM104" i="23"/>
  <c r="AN104" i="23"/>
  <c r="AL104" i="23"/>
  <c r="AL448" i="22"/>
  <c r="AK448" i="22"/>
  <c r="AJ448" i="22"/>
  <c r="AN448" i="22"/>
  <c r="AM448" i="22"/>
  <c r="AL407" i="22"/>
  <c r="AJ407" i="22"/>
  <c r="AM407" i="22"/>
  <c r="AN407" i="22"/>
  <c r="AK407" i="22"/>
  <c r="AL298" i="22"/>
  <c r="AK298" i="22"/>
  <c r="AJ298" i="22"/>
  <c r="AN298" i="22"/>
  <c r="AM298" i="22"/>
  <c r="AK257" i="22"/>
  <c r="AL257" i="22"/>
  <c r="AN257" i="22"/>
  <c r="AM257" i="22"/>
  <c r="AJ257" i="22"/>
  <c r="AI217" i="22"/>
  <c r="AN184" i="22"/>
  <c r="AK184" i="22"/>
  <c r="AK142" i="22"/>
  <c r="AJ142" i="22"/>
  <c r="AI142" i="22"/>
  <c r="AN142" i="22"/>
  <c r="AL142" i="22"/>
  <c r="AM142" i="22"/>
  <c r="AN101" i="22"/>
  <c r="AJ101" i="22"/>
  <c r="AI101" i="22"/>
  <c r="AM101" i="22"/>
  <c r="AL101" i="22"/>
  <c r="AK101" i="22"/>
  <c r="AK296" i="19"/>
  <c r="AI296" i="19"/>
  <c r="AH296" i="19"/>
  <c r="AL296" i="19"/>
  <c r="AN296" i="19"/>
  <c r="AM296" i="19"/>
  <c r="AJ296" i="19"/>
  <c r="AI255" i="19"/>
  <c r="AH255" i="19"/>
  <c r="AM255" i="19"/>
  <c r="AL255" i="19"/>
  <c r="AK255" i="19"/>
  <c r="AN255" i="19"/>
  <c r="AJ255" i="19"/>
  <c r="AN142" i="19"/>
  <c r="AM142" i="19"/>
  <c r="AI142" i="19"/>
  <c r="AI62" i="19" s="1"/>
  <c r="AK142" i="19"/>
  <c r="AJ142" i="19"/>
  <c r="AL142" i="19"/>
  <c r="AK143" i="19"/>
  <c r="AJ143" i="19"/>
  <c r="AN143" i="19"/>
  <c r="AM143" i="19"/>
  <c r="AL143" i="19"/>
  <c r="AN101" i="19"/>
  <c r="AJ101" i="19"/>
  <c r="AI101" i="19"/>
  <c r="AI61" i="19" s="1"/>
  <c r="AL101" i="19"/>
  <c r="AK101" i="19"/>
  <c r="AM101" i="19"/>
  <c r="AK102" i="19"/>
  <c r="AJ102" i="19"/>
  <c r="AN102" i="19"/>
  <c r="AM102" i="19"/>
  <c r="AL102" i="19"/>
  <c r="AN449" i="20"/>
  <c r="AM449" i="20"/>
  <c r="AL449" i="20"/>
  <c r="AK449" i="20"/>
  <c r="AN408" i="20"/>
  <c r="AM408" i="20"/>
  <c r="AL408" i="20"/>
  <c r="AK408" i="20"/>
  <c r="AH370" i="20"/>
  <c r="AH371" i="20" s="1"/>
  <c r="AM297" i="20"/>
  <c r="AL297" i="20"/>
  <c r="AK297" i="20"/>
  <c r="AN297" i="20"/>
  <c r="AJ297" i="20"/>
  <c r="AI297" i="20"/>
  <c r="AM256" i="20"/>
  <c r="AK256" i="20"/>
  <c r="AJ256" i="20"/>
  <c r="AI256" i="20"/>
  <c r="AL256" i="20"/>
  <c r="AN256" i="20"/>
  <c r="AH370" i="42"/>
  <c r="AH371" i="42" s="1"/>
  <c r="AE13" i="42"/>
  <c r="AL448" i="42"/>
  <c r="AK448" i="42"/>
  <c r="AJ448" i="42"/>
  <c r="AN448" i="42"/>
  <c r="AM448" i="42"/>
  <c r="AE18" i="42"/>
  <c r="AE25" i="42" s="1"/>
  <c r="AL407" i="42"/>
  <c r="AK407" i="42"/>
  <c r="AJ407" i="42"/>
  <c r="AN407" i="42"/>
  <c r="AM407" i="42"/>
  <c r="AK296" i="42"/>
  <c r="AI296" i="42"/>
  <c r="AH296" i="42"/>
  <c r="AN296" i="42"/>
  <c r="AM296" i="42"/>
  <c r="AL296" i="42"/>
  <c r="AJ296" i="42"/>
  <c r="AK255" i="42"/>
  <c r="AJ255" i="42"/>
  <c r="AI255" i="42"/>
  <c r="AH255" i="42"/>
  <c r="AN255" i="42"/>
  <c r="AM255" i="42"/>
  <c r="AL255" i="42"/>
  <c r="AF220" i="42"/>
  <c r="AF221" i="42" s="1"/>
  <c r="AN184" i="42"/>
  <c r="AK184" i="42"/>
  <c r="AM142" i="42"/>
  <c r="AN142" i="42"/>
  <c r="AL142" i="42"/>
  <c r="AK142" i="42"/>
  <c r="AJ142" i="42"/>
  <c r="AI142" i="42"/>
  <c r="AK101" i="42"/>
  <c r="AJ101" i="42"/>
  <c r="AI101" i="42"/>
  <c r="AL101" i="42"/>
  <c r="AN101" i="42"/>
  <c r="AM101" i="42"/>
  <c r="AK446" i="41"/>
  <c r="AI446" i="41"/>
  <c r="AH446" i="41"/>
  <c r="AN446" i="41"/>
  <c r="AM446" i="41"/>
  <c r="AL446" i="41"/>
  <c r="AJ446" i="41"/>
  <c r="AK405" i="41"/>
  <c r="AI405" i="41"/>
  <c r="AH405" i="41"/>
  <c r="AJ405" i="41"/>
  <c r="AN405" i="41"/>
  <c r="AM405" i="41"/>
  <c r="AL405" i="41"/>
  <c r="AK296" i="41"/>
  <c r="AJ296" i="41"/>
  <c r="AN296" i="41"/>
  <c r="AM296" i="41"/>
  <c r="AL296" i="41"/>
  <c r="AI296" i="41"/>
  <c r="AH296" i="41"/>
  <c r="AK255" i="41"/>
  <c r="AJ255" i="41"/>
  <c r="AI255" i="41"/>
  <c r="AN255" i="41"/>
  <c r="AM255" i="41"/>
  <c r="AH255" i="41"/>
  <c r="AL255" i="41"/>
  <c r="AM183" i="41"/>
  <c r="AJ183" i="41"/>
  <c r="AK141" i="41"/>
  <c r="AI141" i="41"/>
  <c r="AH141" i="41"/>
  <c r="AN141" i="41"/>
  <c r="AM141" i="41"/>
  <c r="AL141" i="41"/>
  <c r="AJ141" i="41"/>
  <c r="AK100" i="41"/>
  <c r="AJ100" i="41"/>
  <c r="AI100" i="41"/>
  <c r="AH100" i="41"/>
  <c r="AN100" i="41"/>
  <c r="AM100" i="41"/>
  <c r="AL100" i="41"/>
  <c r="AH42" i="16"/>
  <c r="AK46" i="52"/>
  <c r="AJ46" i="52"/>
  <c r="AH52" i="52"/>
  <c r="AH74" i="52"/>
  <c r="AH80" i="52" s="1"/>
  <c r="AI52" i="52"/>
  <c r="AI74" i="52"/>
  <c r="AI80" i="52" s="1"/>
  <c r="AL46" i="52"/>
  <c r="AK204" i="22"/>
  <c r="AK205" i="22" s="1"/>
  <c r="AG370" i="22"/>
  <c r="AG371" i="22" s="1"/>
  <c r="AI216" i="22"/>
  <c r="AG218" i="41"/>
  <c r="AK200" i="41"/>
  <c r="AK202" i="41" s="1"/>
  <c r="AE13" i="19"/>
  <c r="AG217" i="19"/>
  <c r="AI369" i="19"/>
  <c r="AI370" i="19" s="1"/>
  <c r="AF16" i="19"/>
  <c r="AG65" i="19"/>
  <c r="AG66" i="19" s="1"/>
  <c r="AJ367" i="20"/>
  <c r="AI62" i="20"/>
  <c r="AI61" i="20"/>
  <c r="AJ366" i="20"/>
  <c r="AK409" i="20"/>
  <c r="AK369" i="20"/>
  <c r="AJ103" i="20"/>
  <c r="AJ64" i="20"/>
  <c r="AJ51" i="20"/>
  <c r="AJ144" i="20"/>
  <c r="AU59" i="61"/>
  <c r="AM45" i="20"/>
  <c r="AM350" i="20"/>
  <c r="AM352" i="20" s="1"/>
  <c r="AM354" i="20" s="1"/>
  <c r="AM355" i="20" s="1"/>
  <c r="AM102" i="20"/>
  <c r="AK102" i="20"/>
  <c r="AL102" i="20"/>
  <c r="AJ102" i="20"/>
  <c r="AN102" i="20"/>
  <c r="AL354" i="20"/>
  <c r="AL355" i="20" s="1"/>
  <c r="AK49" i="20"/>
  <c r="AK50" i="20" s="1"/>
  <c r="AJ186" i="20"/>
  <c r="AM186" i="20" s="1"/>
  <c r="AI370" i="20"/>
  <c r="AI371" i="20" s="1"/>
  <c r="AL47" i="20"/>
  <c r="AL49" i="20" s="1"/>
  <c r="AL50" i="20" s="1"/>
  <c r="AL52" i="20" s="1"/>
  <c r="AG220" i="20"/>
  <c r="AG221" i="20" s="1"/>
  <c r="AN143" i="20"/>
  <c r="AK143" i="20"/>
  <c r="AM143" i="20"/>
  <c r="AJ143" i="20"/>
  <c r="AL143" i="20"/>
  <c r="AK490" i="20"/>
  <c r="AN490" i="20" s="1"/>
  <c r="AK368" i="20"/>
  <c r="AK450" i="20"/>
  <c r="AK356" i="20"/>
  <c r="AG216" i="42"/>
  <c r="AI366" i="42"/>
  <c r="AI367" i="42"/>
  <c r="AJ408" i="42"/>
  <c r="AJ369" i="42"/>
  <c r="AH63" i="42"/>
  <c r="AJ489" i="42"/>
  <c r="AM489" i="42" s="1"/>
  <c r="AJ368" i="42"/>
  <c r="AJ60" i="42"/>
  <c r="AJ59" i="42"/>
  <c r="AJ58" i="42"/>
  <c r="AJ52" i="42"/>
  <c r="AJ356" i="42"/>
  <c r="AJ449" i="42"/>
  <c r="AG217" i="42"/>
  <c r="AK356" i="42"/>
  <c r="AK450" i="42"/>
  <c r="AK490" i="42"/>
  <c r="AN490" i="42" s="1"/>
  <c r="AK368" i="42"/>
  <c r="AL47" i="42"/>
  <c r="AK369" i="42"/>
  <c r="AK409" i="42"/>
  <c r="AH62" i="42"/>
  <c r="AM350" i="42"/>
  <c r="AM352" i="42" s="1"/>
  <c r="AM354" i="42" s="1"/>
  <c r="AM355" i="42" s="1"/>
  <c r="AM45" i="42"/>
  <c r="AK49" i="42"/>
  <c r="AK50" i="42" s="1"/>
  <c r="AH61" i="42"/>
  <c r="AI102" i="42"/>
  <c r="AI64" i="42"/>
  <c r="AI143" i="42"/>
  <c r="AI51" i="42"/>
  <c r="AL354" i="42"/>
  <c r="AL355" i="42" s="1"/>
  <c r="AI185" i="42"/>
  <c r="AL185" i="42" s="1"/>
  <c r="AI365" i="41"/>
  <c r="AI364" i="41"/>
  <c r="AI363" i="41"/>
  <c r="AH356" i="41"/>
  <c r="AH447" i="41"/>
  <c r="AH487" i="41"/>
  <c r="AK487" i="41" s="1"/>
  <c r="AH368" i="41"/>
  <c r="AJ363" i="41"/>
  <c r="AJ365" i="41"/>
  <c r="AJ364" i="41"/>
  <c r="AK45" i="41"/>
  <c r="AK350" i="41"/>
  <c r="AK352" i="41" s="1"/>
  <c r="AK354" i="41" s="1"/>
  <c r="AK355" i="41" s="1"/>
  <c r="AH369" i="41"/>
  <c r="AH406" i="41"/>
  <c r="AH101" i="41"/>
  <c r="AH64" i="41"/>
  <c r="AG63" i="41"/>
  <c r="AI59" i="41"/>
  <c r="AI60" i="41"/>
  <c r="AI58" i="41"/>
  <c r="AJ47" i="41"/>
  <c r="AJ49" i="41" s="1"/>
  <c r="AJ50" i="41" s="1"/>
  <c r="AJ52" i="41" s="1"/>
  <c r="AH142" i="41"/>
  <c r="AH51" i="41"/>
  <c r="AH184" i="41"/>
  <c r="AN20" i="41"/>
  <c r="AL15" i="41"/>
  <c r="AI216" i="23"/>
  <c r="AI12" i="23" s="1"/>
  <c r="AL188" i="23"/>
  <c r="AL63" i="23" s="1"/>
  <c r="AK63" i="23"/>
  <c r="AI218" i="22"/>
  <c r="AJ364" i="22"/>
  <c r="AJ363" i="22"/>
  <c r="AJ365" i="22"/>
  <c r="AL350" i="22"/>
  <c r="AL352" i="22" s="1"/>
  <c r="AL354" i="22" s="1"/>
  <c r="AL355" i="22" s="1"/>
  <c r="AL45" i="22"/>
  <c r="AL200" i="22"/>
  <c r="AL202" i="22" s="1"/>
  <c r="AL204" i="22" s="1"/>
  <c r="AL205" i="22" s="1"/>
  <c r="AJ58" i="22"/>
  <c r="AJ59" i="22"/>
  <c r="AJ60" i="22"/>
  <c r="AH63" i="22"/>
  <c r="AH61" i="22"/>
  <c r="AI185" i="22"/>
  <c r="AL185" i="22" s="1"/>
  <c r="AI143" i="22"/>
  <c r="AI51" i="22"/>
  <c r="AG65" i="22"/>
  <c r="AG66" i="22" s="1"/>
  <c r="AH62" i="22"/>
  <c r="AH23" i="22"/>
  <c r="AK47" i="22"/>
  <c r="AK49" i="22" s="1"/>
  <c r="AK50" i="22" s="1"/>
  <c r="AK52" i="22" s="1"/>
  <c r="AI366" i="22"/>
  <c r="AF18" i="22"/>
  <c r="AF25" i="22" s="1"/>
  <c r="AF13" i="22"/>
  <c r="AH370" i="22"/>
  <c r="AH371" i="22" s="1"/>
  <c r="AI102" i="22"/>
  <c r="AI64" i="22"/>
  <c r="AK354" i="22"/>
  <c r="AK355" i="22" s="1"/>
  <c r="AI367" i="22"/>
  <c r="AF220" i="19"/>
  <c r="AF221" i="19" s="1"/>
  <c r="AH62" i="19"/>
  <c r="AK49" i="19"/>
  <c r="AK50" i="19" s="1"/>
  <c r="AK489" i="19"/>
  <c r="AN489" i="19" s="1"/>
  <c r="AK367" i="19"/>
  <c r="AK368" i="19"/>
  <c r="AK408" i="19"/>
  <c r="AK449" i="19"/>
  <c r="AK355" i="19"/>
  <c r="AL364" i="19"/>
  <c r="AL362" i="19"/>
  <c r="AL363" i="19"/>
  <c r="AM349" i="19"/>
  <c r="AM351" i="19" s="1"/>
  <c r="AM353" i="19" s="1"/>
  <c r="AM354" i="19" s="1"/>
  <c r="AM45" i="19"/>
  <c r="AH369" i="19"/>
  <c r="AH370" i="19" s="1"/>
  <c r="AL47" i="19"/>
  <c r="AJ488" i="19"/>
  <c r="AM488" i="19" s="1"/>
  <c r="AJ367" i="19"/>
  <c r="AH61" i="19"/>
  <c r="AJ448" i="19"/>
  <c r="AJ355" i="19"/>
  <c r="AJ64" i="19"/>
  <c r="AJ103" i="19"/>
  <c r="AJ144" i="19"/>
  <c r="AJ51" i="19"/>
  <c r="AJ368" i="19"/>
  <c r="AJ407" i="19"/>
  <c r="AJ63" i="19"/>
  <c r="AG216" i="19"/>
  <c r="AG12" i="19" s="1"/>
  <c r="AH216" i="20"/>
  <c r="AH12" i="20" s="1"/>
  <c r="AF18" i="20"/>
  <c r="AF25" i="20" s="1"/>
  <c r="AF13" i="20"/>
  <c r="AI213" i="42"/>
  <c r="AI9" i="42" s="1"/>
  <c r="AI21" i="42" s="1"/>
  <c r="AI214" i="42"/>
  <c r="AI215" i="42"/>
  <c r="AI207" i="42"/>
  <c r="AJ204" i="42"/>
  <c r="AJ205" i="42" s="1"/>
  <c r="AH337" i="42"/>
  <c r="AK337" i="42" s="1"/>
  <c r="AH219" i="42"/>
  <c r="AH256" i="42"/>
  <c r="AH297" i="42"/>
  <c r="AH206" i="42"/>
  <c r="AG218" i="42"/>
  <c r="AL200" i="42"/>
  <c r="AK202" i="42"/>
  <c r="AI214" i="41"/>
  <c r="AI215" i="41"/>
  <c r="AI213" i="41"/>
  <c r="AI207" i="41"/>
  <c r="AH337" i="41"/>
  <c r="AK337" i="41" s="1"/>
  <c r="AH297" i="41"/>
  <c r="AH206" i="41"/>
  <c r="AJ204" i="41"/>
  <c r="AJ205" i="41" s="1"/>
  <c r="AH256" i="41"/>
  <c r="AH219" i="41"/>
  <c r="AK214" i="23"/>
  <c r="AK213" i="23"/>
  <c r="AK9" i="23" s="1"/>
  <c r="AK21" i="23" s="1"/>
  <c r="AK215" i="23"/>
  <c r="AK207" i="23"/>
  <c r="AI218" i="23"/>
  <c r="AL204" i="23"/>
  <c r="AL205" i="23" s="1"/>
  <c r="AM202" i="23"/>
  <c r="AJ299" i="23"/>
  <c r="AJ206" i="23"/>
  <c r="AJ258" i="23"/>
  <c r="AJ219" i="23"/>
  <c r="AN200" i="23"/>
  <c r="AJ339" i="23"/>
  <c r="AM339" i="23" s="1"/>
  <c r="AJ258" i="22"/>
  <c r="AJ219" i="22"/>
  <c r="AJ299" i="22"/>
  <c r="AJ206" i="22"/>
  <c r="AJ339" i="22"/>
  <c r="AM339" i="22" s="1"/>
  <c r="AH220" i="22"/>
  <c r="AH221" i="22" s="1"/>
  <c r="AI213" i="19"/>
  <c r="AI9" i="19" s="1"/>
  <c r="AI214" i="19"/>
  <c r="AI215" i="19"/>
  <c r="AI207" i="19"/>
  <c r="AH337" i="19"/>
  <c r="AK337" i="19" s="1"/>
  <c r="AG218" i="19"/>
  <c r="AH206" i="19"/>
  <c r="AH297" i="19"/>
  <c r="AL200" i="19"/>
  <c r="AH256" i="19"/>
  <c r="AH219" i="19"/>
  <c r="AK202" i="19"/>
  <c r="AJ204" i="19"/>
  <c r="AJ205" i="19" s="1"/>
  <c r="AJ213" i="20"/>
  <c r="AJ214" i="20"/>
  <c r="AJ215" i="20"/>
  <c r="AJ207" i="20"/>
  <c r="AL202" i="20"/>
  <c r="AI257" i="20"/>
  <c r="AI219" i="20"/>
  <c r="AH218" i="20"/>
  <c r="AK204" i="20"/>
  <c r="AK205" i="20" s="1"/>
  <c r="AH217" i="20"/>
  <c r="AI338" i="20"/>
  <c r="AL338" i="20" s="1"/>
  <c r="AI206" i="20"/>
  <c r="AI298" i="20"/>
  <c r="AM200" i="20"/>
  <c r="Y10" i="73"/>
  <c r="W59" i="73"/>
  <c r="V2" i="73"/>
  <c r="W18" i="73"/>
  <c r="V14" i="73"/>
  <c r="X10" i="73"/>
  <c r="W22" i="73"/>
  <c r="H69" i="75" l="1"/>
  <c r="J69" i="75" s="1"/>
  <c r="AG71" i="52"/>
  <c r="AH24" i="60"/>
  <c r="AI30" i="60"/>
  <c r="AI46" i="60"/>
  <c r="AI52" i="60" s="1"/>
  <c r="J59" i="75"/>
  <c r="AN58" i="23"/>
  <c r="AN59" i="23"/>
  <c r="AN148" i="23" s="1"/>
  <c r="AN60" i="23"/>
  <c r="AN190" i="23" s="1"/>
  <c r="AN63" i="23" s="1"/>
  <c r="AL64" i="23"/>
  <c r="AL51" i="23"/>
  <c r="AL146" i="23"/>
  <c r="AM146" i="23" s="1"/>
  <c r="AH38" i="52"/>
  <c r="AH16" i="52"/>
  <c r="AI37" i="32"/>
  <c r="AI9" i="41"/>
  <c r="AI21" i="41" s="1"/>
  <c r="AI10" i="41"/>
  <c r="AJ9" i="22"/>
  <c r="AJ21" i="22" s="1"/>
  <c r="AI10" i="42"/>
  <c r="AI23" i="42" s="1"/>
  <c r="AJ10" i="20"/>
  <c r="AJ23" i="20" s="1"/>
  <c r="AJ10" i="22"/>
  <c r="AR59" i="52"/>
  <c r="AR59" i="32" s="1"/>
  <c r="AF73" i="57"/>
  <c r="AF79" i="57" s="1"/>
  <c r="AJ38" i="57"/>
  <c r="AJ43" i="57" s="1"/>
  <c r="AJ16" i="57"/>
  <c r="AJ23" i="57" s="1"/>
  <c r="AJ12" i="57"/>
  <c r="AF9" i="68" s="1"/>
  <c r="AK7" i="57"/>
  <c r="AJ9" i="20"/>
  <c r="AJ21" i="20" s="1"/>
  <c r="AG25" i="20"/>
  <c r="AL60" i="61" s="1"/>
  <c r="AI10" i="19"/>
  <c r="AI23" i="19" s="1"/>
  <c r="AI21" i="19"/>
  <c r="AH11" i="20"/>
  <c r="AH18" i="20" s="1"/>
  <c r="AG11" i="19"/>
  <c r="AG18" i="19" s="1"/>
  <c r="AK16" i="63"/>
  <c r="AK23" i="63" s="1"/>
  <c r="AK38" i="63"/>
  <c r="AK43" i="63" s="1"/>
  <c r="AK12" i="63"/>
  <c r="AG6" i="68" s="1"/>
  <c r="AH51" i="63"/>
  <c r="AH73" i="63"/>
  <c r="AH79" i="63" s="1"/>
  <c r="AJ65" i="23"/>
  <c r="AJ66" i="23" s="1"/>
  <c r="AU59" i="63"/>
  <c r="AM363" i="23"/>
  <c r="AM364" i="23"/>
  <c r="AM365" i="23"/>
  <c r="AK10" i="23"/>
  <c r="AK23" i="23" s="1"/>
  <c r="AN450" i="23"/>
  <c r="AL450" i="23"/>
  <c r="AL367" i="23" s="1"/>
  <c r="AM450" i="23"/>
  <c r="AM60" i="23"/>
  <c r="AM189" i="23" s="1"/>
  <c r="AM63" i="23" s="1"/>
  <c r="AM59" i="23"/>
  <c r="AM58" i="23"/>
  <c r="AM52" i="23"/>
  <c r="AN365" i="23"/>
  <c r="AN364" i="23"/>
  <c r="AN363" i="23"/>
  <c r="AM409" i="23"/>
  <c r="AL409" i="23"/>
  <c r="AL366" i="23" s="1"/>
  <c r="AK366" i="23"/>
  <c r="AN409" i="23"/>
  <c r="AK367" i="23"/>
  <c r="AI23" i="61"/>
  <c r="AI45" i="61" s="1"/>
  <c r="AG11" i="42"/>
  <c r="AJ29" i="63"/>
  <c r="AH11" i="22"/>
  <c r="AD73" i="61"/>
  <c r="AD79" i="61" s="1"/>
  <c r="AH12" i="22"/>
  <c r="AH16" i="22" s="1"/>
  <c r="AI11" i="23"/>
  <c r="AL16" i="63"/>
  <c r="AL12" i="63"/>
  <c r="AL38" i="63"/>
  <c r="AL43" i="63" s="1"/>
  <c r="AJ51" i="63"/>
  <c r="AJ73" i="63"/>
  <c r="AJ79" i="63" s="1"/>
  <c r="AJ13" i="65"/>
  <c r="AH46" i="65"/>
  <c r="AI24" i="65"/>
  <c r="AF52" i="65"/>
  <c r="AF74" i="65"/>
  <c r="AF80" i="65" s="1"/>
  <c r="AE17" i="68"/>
  <c r="AI45" i="57"/>
  <c r="AI29" i="57"/>
  <c r="AK60" i="61"/>
  <c r="AK7" i="61"/>
  <c r="AE8" i="68"/>
  <c r="AH73" i="61"/>
  <c r="AH79" i="61" s="1"/>
  <c r="AH51" i="61"/>
  <c r="AF51" i="61"/>
  <c r="AF73" i="61"/>
  <c r="AF79" i="61" s="1"/>
  <c r="AJ12" i="61"/>
  <c r="AJ38" i="61"/>
  <c r="AJ43" i="61" s="1"/>
  <c r="AJ16" i="61"/>
  <c r="AJ23" i="61" s="1"/>
  <c r="AF50" i="62"/>
  <c r="AF71" i="62"/>
  <c r="AF77" i="62" s="1"/>
  <c r="AD71" i="62"/>
  <c r="AD77" i="62" s="1"/>
  <c r="AD50" i="62"/>
  <c r="AJ6" i="62"/>
  <c r="AI11" i="62"/>
  <c r="AI7" i="52"/>
  <c r="AI15" i="62"/>
  <c r="AI22" i="62" s="1"/>
  <c r="AI37" i="62"/>
  <c r="AH44" i="62"/>
  <c r="AH28" i="62"/>
  <c r="AH42" i="62"/>
  <c r="AD7" i="68"/>
  <c r="AH60" i="52"/>
  <c r="AH20" i="62"/>
  <c r="AH26" i="62" s="1"/>
  <c r="AJ7" i="60"/>
  <c r="AJ1" i="60" s="1"/>
  <c r="AJ17" i="60" s="1"/>
  <c r="AJ24" i="60" s="1"/>
  <c r="AH29" i="60"/>
  <c r="AH45" i="60"/>
  <c r="AH21" i="60"/>
  <c r="AS59" i="51"/>
  <c r="AU59" i="60"/>
  <c r="AI16" i="60"/>
  <c r="AI38" i="60"/>
  <c r="AI12" i="60"/>
  <c r="AE13" i="68" s="1"/>
  <c r="AH43" i="60"/>
  <c r="AF29" i="60"/>
  <c r="AF45" i="60"/>
  <c r="AD45" i="60"/>
  <c r="AD29" i="60"/>
  <c r="AJ216" i="23"/>
  <c r="AN299" i="23"/>
  <c r="AM299" i="23"/>
  <c r="AL299" i="23"/>
  <c r="AK299" i="23"/>
  <c r="AN258" i="23"/>
  <c r="AM258" i="23"/>
  <c r="AL258" i="23"/>
  <c r="AK258" i="23"/>
  <c r="AI16" i="23"/>
  <c r="AH18" i="23"/>
  <c r="AH25" i="23" s="1"/>
  <c r="AH13" i="23"/>
  <c r="AN105" i="23"/>
  <c r="AM105" i="23"/>
  <c r="AN299" i="22"/>
  <c r="AM299" i="22"/>
  <c r="AL299" i="22"/>
  <c r="AK299" i="22"/>
  <c r="AN258" i="22"/>
  <c r="AM258" i="22"/>
  <c r="AL258" i="22"/>
  <c r="AK258" i="22"/>
  <c r="AI220" i="22"/>
  <c r="AI221" i="22" s="1"/>
  <c r="AL143" i="22"/>
  <c r="AJ143" i="22"/>
  <c r="AK143" i="22"/>
  <c r="AN143" i="22"/>
  <c r="AM143" i="22"/>
  <c r="AL102" i="22"/>
  <c r="AK102" i="22"/>
  <c r="AJ102" i="22"/>
  <c r="AN102" i="22"/>
  <c r="AM102" i="22"/>
  <c r="AN448" i="19"/>
  <c r="AM448" i="19"/>
  <c r="AL448" i="19"/>
  <c r="AK448" i="19"/>
  <c r="AK366" i="19" s="1"/>
  <c r="AN449" i="19"/>
  <c r="AM449" i="19"/>
  <c r="AL449" i="19"/>
  <c r="AN408" i="19"/>
  <c r="AM408" i="19"/>
  <c r="AL408" i="19"/>
  <c r="AN407" i="19"/>
  <c r="AM407" i="19"/>
  <c r="AL407" i="19"/>
  <c r="AK407" i="19"/>
  <c r="AK365" i="19" s="1"/>
  <c r="AN297" i="19"/>
  <c r="AK297" i="19"/>
  <c r="AJ297" i="19"/>
  <c r="AI297" i="19"/>
  <c r="AM297" i="19"/>
  <c r="AL297" i="19"/>
  <c r="AN256" i="19"/>
  <c r="AM256" i="19"/>
  <c r="AL256" i="19"/>
  <c r="AI256" i="19"/>
  <c r="AK256" i="19"/>
  <c r="AJ256" i="19"/>
  <c r="AN144" i="19"/>
  <c r="AM144" i="19"/>
  <c r="AL144" i="19"/>
  <c r="AK144" i="19"/>
  <c r="AN103" i="19"/>
  <c r="AM103" i="19"/>
  <c r="AL103" i="19"/>
  <c r="AK103" i="19"/>
  <c r="AI65" i="20"/>
  <c r="AI66" i="20" s="1"/>
  <c r="AM450" i="20"/>
  <c r="AL450" i="20"/>
  <c r="AN450" i="20"/>
  <c r="AN409" i="20"/>
  <c r="AM409" i="20"/>
  <c r="AL409" i="20"/>
  <c r="AL298" i="20"/>
  <c r="AK298" i="20"/>
  <c r="AN298" i="20"/>
  <c r="AM298" i="20"/>
  <c r="AJ298" i="20"/>
  <c r="AL257" i="20"/>
  <c r="AK257" i="20"/>
  <c r="AN257" i="20"/>
  <c r="AM257" i="20"/>
  <c r="AJ257" i="20"/>
  <c r="AJ370" i="20"/>
  <c r="AJ371" i="20" s="1"/>
  <c r="AJ62" i="20"/>
  <c r="AJ61" i="20"/>
  <c r="AN449" i="42"/>
  <c r="AM449" i="42"/>
  <c r="AL449" i="42"/>
  <c r="AK449" i="42"/>
  <c r="AK367" i="42" s="1"/>
  <c r="AN450" i="42"/>
  <c r="AM450" i="42"/>
  <c r="AL450" i="42"/>
  <c r="AN409" i="42"/>
  <c r="AM409" i="42"/>
  <c r="AL409" i="42"/>
  <c r="AN408" i="42"/>
  <c r="AM408" i="42"/>
  <c r="AL408" i="42"/>
  <c r="AK408" i="42"/>
  <c r="AK366" i="42" s="1"/>
  <c r="AN297" i="42"/>
  <c r="AK297" i="42"/>
  <c r="AI297" i="42"/>
  <c r="AM297" i="42"/>
  <c r="AL297" i="42"/>
  <c r="AJ297" i="42"/>
  <c r="AN256" i="42"/>
  <c r="AI256" i="42"/>
  <c r="AM256" i="42"/>
  <c r="AL256" i="42"/>
  <c r="AK256" i="42"/>
  <c r="AJ256" i="42"/>
  <c r="AG16" i="42"/>
  <c r="AF18" i="42"/>
  <c r="AF25" i="42" s="1"/>
  <c r="AL143" i="42"/>
  <c r="AK143" i="42"/>
  <c r="AJ143" i="42"/>
  <c r="AN143" i="42"/>
  <c r="AM143" i="42"/>
  <c r="AL102" i="42"/>
  <c r="AK102" i="42"/>
  <c r="AJ102" i="42"/>
  <c r="AN102" i="42"/>
  <c r="AM102" i="42"/>
  <c r="AN447" i="41"/>
  <c r="AJ447" i="41"/>
  <c r="AI447" i="41"/>
  <c r="AM447" i="41"/>
  <c r="AL447" i="41"/>
  <c r="AK447" i="41"/>
  <c r="AN406" i="41"/>
  <c r="AK406" i="41"/>
  <c r="AJ406" i="41"/>
  <c r="AI406" i="41"/>
  <c r="AM406" i="41"/>
  <c r="AL406" i="41"/>
  <c r="AM297" i="41"/>
  <c r="AK297" i="41"/>
  <c r="AJ297" i="41"/>
  <c r="AI297" i="41"/>
  <c r="AN297" i="41"/>
  <c r="AL297" i="41"/>
  <c r="AM256" i="41"/>
  <c r="AI256" i="41"/>
  <c r="AN256" i="41"/>
  <c r="AL256" i="41"/>
  <c r="AK256" i="41"/>
  <c r="AJ256" i="41"/>
  <c r="AN184" i="41"/>
  <c r="AK184" i="41"/>
  <c r="AN142" i="41"/>
  <c r="AK142" i="41"/>
  <c r="AJ142" i="41"/>
  <c r="AI142" i="41"/>
  <c r="AM142" i="41"/>
  <c r="AL142" i="41"/>
  <c r="AN101" i="41"/>
  <c r="AI101" i="41"/>
  <c r="AM101" i="41"/>
  <c r="AL101" i="41"/>
  <c r="AK101" i="41"/>
  <c r="AJ101" i="41"/>
  <c r="AI42" i="16"/>
  <c r="AM46" i="52"/>
  <c r="AL74" i="52"/>
  <c r="AL80" i="52" s="1"/>
  <c r="AL52" i="52"/>
  <c r="AK52" i="52"/>
  <c r="AK74" i="52"/>
  <c r="AK80" i="52" s="1"/>
  <c r="AJ74" i="52"/>
  <c r="AJ80" i="52" s="1"/>
  <c r="AJ52" i="52"/>
  <c r="AK213" i="22"/>
  <c r="AK259" i="22" s="1"/>
  <c r="AK214" i="22"/>
  <c r="AK300" i="22" s="1"/>
  <c r="AK207" i="22"/>
  <c r="AK215" i="22"/>
  <c r="AH218" i="41"/>
  <c r="AH217" i="19"/>
  <c r="AG16" i="19"/>
  <c r="AF13" i="19"/>
  <c r="AF18" i="19"/>
  <c r="AF25" i="19" s="1"/>
  <c r="AH65" i="19"/>
  <c r="AH66" i="19" s="1"/>
  <c r="AK367" i="20"/>
  <c r="AK366" i="20"/>
  <c r="AG13" i="20"/>
  <c r="AL363" i="20"/>
  <c r="AL364" i="20"/>
  <c r="AL365" i="20"/>
  <c r="AH16" i="20"/>
  <c r="AK103" i="20"/>
  <c r="AN103" i="20"/>
  <c r="AM103" i="20"/>
  <c r="AL103" i="20"/>
  <c r="AL60" i="20"/>
  <c r="AL58" i="20"/>
  <c r="AL59" i="20"/>
  <c r="AM47" i="20"/>
  <c r="AM49" i="20" s="1"/>
  <c r="AM50" i="20" s="1"/>
  <c r="AM52" i="20" s="1"/>
  <c r="AJ63" i="20"/>
  <c r="AN45" i="20"/>
  <c r="AN350" i="20"/>
  <c r="AN352" i="20" s="1"/>
  <c r="AN354" i="20" s="1"/>
  <c r="AN355" i="20" s="1"/>
  <c r="AN144" i="20"/>
  <c r="AL144" i="20"/>
  <c r="AK144" i="20"/>
  <c r="AM144" i="20"/>
  <c r="AK60" i="20"/>
  <c r="AK59" i="20"/>
  <c r="AK58" i="20"/>
  <c r="AK52" i="20"/>
  <c r="AM365" i="20"/>
  <c r="AM364" i="20"/>
  <c r="AM363" i="20"/>
  <c r="AU8" i="32"/>
  <c r="AG220" i="42"/>
  <c r="AG221" i="42" s="1"/>
  <c r="AH216" i="42"/>
  <c r="AL363" i="42"/>
  <c r="AL365" i="42"/>
  <c r="AL364" i="42"/>
  <c r="AI370" i="42"/>
  <c r="AI371" i="42" s="1"/>
  <c r="AI63" i="42"/>
  <c r="AK58" i="42"/>
  <c r="AK60" i="42"/>
  <c r="AK59" i="42"/>
  <c r="AK52" i="42"/>
  <c r="AH65" i="42"/>
  <c r="AH66" i="42" s="1"/>
  <c r="AN350" i="42"/>
  <c r="AN352" i="42" s="1"/>
  <c r="AN45" i="42"/>
  <c r="AJ367" i="42"/>
  <c r="AI62" i="42"/>
  <c r="AJ366" i="42"/>
  <c r="AM47" i="42"/>
  <c r="AM49" i="42" s="1"/>
  <c r="AM50" i="42" s="1"/>
  <c r="AM52" i="42" s="1"/>
  <c r="AJ144" i="42"/>
  <c r="AJ51" i="42"/>
  <c r="AJ103" i="42"/>
  <c r="AJ64" i="42"/>
  <c r="AI61" i="42"/>
  <c r="AM364" i="42"/>
  <c r="AM363" i="42"/>
  <c r="AM365" i="42"/>
  <c r="AL49" i="42"/>
  <c r="AL50" i="42" s="1"/>
  <c r="AJ186" i="42"/>
  <c r="AM186" i="42" s="1"/>
  <c r="AJ356" i="41"/>
  <c r="AJ449" i="41"/>
  <c r="AI64" i="41"/>
  <c r="AI102" i="41"/>
  <c r="AI185" i="41"/>
  <c r="AL185" i="41" s="1"/>
  <c r="AL45" i="41"/>
  <c r="AL350" i="41"/>
  <c r="AL352" i="41" s="1"/>
  <c r="AK47" i="41"/>
  <c r="AK49" i="41" s="1"/>
  <c r="AK50" i="41" s="1"/>
  <c r="AK52" i="41" s="1"/>
  <c r="AL200" i="41"/>
  <c r="AL202" i="41" s="1"/>
  <c r="AH63" i="41"/>
  <c r="AI143" i="41"/>
  <c r="AI51" i="41"/>
  <c r="AJ408" i="41"/>
  <c r="AJ369" i="41"/>
  <c r="AH23" i="41"/>
  <c r="AJ59" i="41"/>
  <c r="AJ58" i="41"/>
  <c r="AJ60" i="41"/>
  <c r="AI369" i="41"/>
  <c r="AI407" i="41"/>
  <c r="AI356" i="41"/>
  <c r="AI448" i="41"/>
  <c r="AJ489" i="41"/>
  <c r="AM489" i="41" s="1"/>
  <c r="AJ368" i="41"/>
  <c r="AK363" i="41"/>
  <c r="AK364" i="41"/>
  <c r="AK365" i="41"/>
  <c r="AI488" i="41"/>
  <c r="AL488" i="41" s="1"/>
  <c r="AI368" i="41"/>
  <c r="AM15" i="41"/>
  <c r="AJ218" i="23"/>
  <c r="AN107" i="23"/>
  <c r="AK65" i="23"/>
  <c r="AK66" i="23" s="1"/>
  <c r="AJ217" i="23"/>
  <c r="AL61" i="23"/>
  <c r="AI370" i="22"/>
  <c r="AI371" i="22" s="1"/>
  <c r="AJ217" i="22"/>
  <c r="AJ216" i="22"/>
  <c r="AJ144" i="22"/>
  <c r="AJ51" i="22"/>
  <c r="AJ64" i="22"/>
  <c r="AJ103" i="22"/>
  <c r="AJ218" i="22"/>
  <c r="AK365" i="22"/>
  <c r="AK364" i="22"/>
  <c r="AK363" i="22"/>
  <c r="AI63" i="22"/>
  <c r="AL47" i="22"/>
  <c r="AL49" i="22" s="1"/>
  <c r="AL50" i="22" s="1"/>
  <c r="AL52" i="22" s="1"/>
  <c r="AJ186" i="22"/>
  <c r="AM186" i="22" s="1"/>
  <c r="AG18" i="22"/>
  <c r="AG13" i="22"/>
  <c r="AL364" i="22"/>
  <c r="AL363" i="22"/>
  <c r="AL365" i="22"/>
  <c r="AI61" i="22"/>
  <c r="AK58" i="22"/>
  <c r="AK59" i="22"/>
  <c r="AK60" i="22"/>
  <c r="AS59" i="52"/>
  <c r="AM350" i="22"/>
  <c r="AM352" i="22" s="1"/>
  <c r="AM354" i="22" s="1"/>
  <c r="AM355" i="22" s="1"/>
  <c r="AM45" i="22"/>
  <c r="AM200" i="22"/>
  <c r="AM202" i="22" s="1"/>
  <c r="AM204" i="22" s="1"/>
  <c r="AM205" i="22" s="1"/>
  <c r="AJ489" i="22"/>
  <c r="AM489" i="22" s="1"/>
  <c r="AJ368" i="22"/>
  <c r="AI62" i="22"/>
  <c r="AJ408" i="22"/>
  <c r="AJ369" i="22"/>
  <c r="AH65" i="22"/>
  <c r="AH66" i="22" s="1"/>
  <c r="AJ449" i="22"/>
  <c r="AJ356" i="22"/>
  <c r="AI65" i="19"/>
  <c r="AI66" i="19" s="1"/>
  <c r="AK60" i="19"/>
  <c r="AK187" i="19" s="1"/>
  <c r="AN187" i="19" s="1"/>
  <c r="AK59" i="19"/>
  <c r="AK58" i="19"/>
  <c r="AK52" i="19"/>
  <c r="AL49" i="19"/>
  <c r="AL50" i="19" s="1"/>
  <c r="AJ62" i="19"/>
  <c r="AM47" i="19"/>
  <c r="AM49" i="19" s="1"/>
  <c r="AM50" i="19" s="1"/>
  <c r="AJ61" i="19"/>
  <c r="AM362" i="19"/>
  <c r="AM363" i="19"/>
  <c r="AM364" i="19"/>
  <c r="AJ366" i="19"/>
  <c r="AJ365" i="19"/>
  <c r="AN349" i="19"/>
  <c r="AN351" i="19" s="1"/>
  <c r="AN45" i="19"/>
  <c r="AL355" i="19"/>
  <c r="AL450" i="19"/>
  <c r="AL368" i="19"/>
  <c r="AL409" i="19"/>
  <c r="AL490" i="19"/>
  <c r="AL367" i="19"/>
  <c r="AG220" i="19"/>
  <c r="AG221" i="19" s="1"/>
  <c r="AH216" i="19"/>
  <c r="AH12" i="19" s="1"/>
  <c r="AH220" i="20"/>
  <c r="AH221" i="20" s="1"/>
  <c r="AI216" i="20"/>
  <c r="AI12" i="20" s="1"/>
  <c r="AI218" i="20"/>
  <c r="AI217" i="20"/>
  <c r="AJ213" i="42"/>
  <c r="AJ9" i="42" s="1"/>
  <c r="AJ21" i="42" s="1"/>
  <c r="AJ214" i="42"/>
  <c r="AJ215" i="42"/>
  <c r="AJ207" i="42"/>
  <c r="AH217" i="42"/>
  <c r="AI338" i="42"/>
  <c r="AL338" i="42" s="1"/>
  <c r="AI257" i="42"/>
  <c r="AI219" i="42"/>
  <c r="AK204" i="42"/>
  <c r="AK205" i="42" s="1"/>
  <c r="AH218" i="42"/>
  <c r="AM200" i="42"/>
  <c r="AL202" i="42"/>
  <c r="AI298" i="42"/>
  <c r="AI206" i="42"/>
  <c r="AJ213" i="41"/>
  <c r="AJ215" i="41"/>
  <c r="AJ214" i="41"/>
  <c r="AJ207" i="41"/>
  <c r="AI257" i="41"/>
  <c r="AI219" i="41"/>
  <c r="AK204" i="41"/>
  <c r="AK205" i="41" s="1"/>
  <c r="AI338" i="41"/>
  <c r="AL338" i="41" s="1"/>
  <c r="AI298" i="41"/>
  <c r="AI206" i="41"/>
  <c r="AL215" i="23"/>
  <c r="AL214" i="23"/>
  <c r="AL213" i="23"/>
  <c r="AL9" i="23" s="1"/>
  <c r="AL21" i="23" s="1"/>
  <c r="AL207" i="23"/>
  <c r="AI220" i="23"/>
  <c r="AI221" i="23" s="1"/>
  <c r="AM204" i="23"/>
  <c r="AM205" i="23" s="1"/>
  <c r="AK259" i="23"/>
  <c r="AK219" i="23"/>
  <c r="AN202" i="23"/>
  <c r="AK340" i="23"/>
  <c r="AN340" i="23" s="1"/>
  <c r="AK206" i="23"/>
  <c r="AK300" i="23"/>
  <c r="AL213" i="22"/>
  <c r="AL214" i="22"/>
  <c r="AL215" i="22"/>
  <c r="AL207" i="22"/>
  <c r="AJ213" i="19"/>
  <c r="AJ215" i="19"/>
  <c r="AJ214" i="19"/>
  <c r="AJ207" i="19"/>
  <c r="AI338" i="19"/>
  <c r="AL338" i="19" s="1"/>
  <c r="AK204" i="19"/>
  <c r="AK205" i="19" s="1"/>
  <c r="AI298" i="19"/>
  <c r="AI206" i="19"/>
  <c r="AI257" i="19"/>
  <c r="AI219" i="19"/>
  <c r="AH218" i="19"/>
  <c r="AL202" i="19"/>
  <c r="AM200" i="19"/>
  <c r="AK214" i="20"/>
  <c r="AK213" i="20"/>
  <c r="AK215" i="20"/>
  <c r="AK207" i="20"/>
  <c r="AN200" i="20"/>
  <c r="AM202" i="20"/>
  <c r="AL204" i="20"/>
  <c r="AL205" i="20" s="1"/>
  <c r="AJ339" i="20"/>
  <c r="AM339" i="20" s="1"/>
  <c r="AJ299" i="20"/>
  <c r="AJ206" i="20"/>
  <c r="AJ219" i="20"/>
  <c r="AJ258" i="20"/>
  <c r="X22" i="16"/>
  <c r="Y22" i="16" s="1"/>
  <c r="Z22" i="16" s="1"/>
  <c r="X59" i="73"/>
  <c r="W2" i="73"/>
  <c r="X22" i="73"/>
  <c r="W14" i="73"/>
  <c r="Y59" i="73"/>
  <c r="AJ30" i="60" l="1"/>
  <c r="AJ46" i="60"/>
  <c r="AJ52" i="60" s="1"/>
  <c r="AH30" i="60"/>
  <c r="AH46" i="60"/>
  <c r="AH52" i="60" s="1"/>
  <c r="AK38" i="57"/>
  <c r="AN64" i="23"/>
  <c r="AN51" i="23"/>
  <c r="AL62" i="23"/>
  <c r="AL65" i="23" s="1"/>
  <c r="AL66" i="23" s="1"/>
  <c r="AN146" i="23"/>
  <c r="AI38" i="52"/>
  <c r="AI16" i="52"/>
  <c r="AI21" i="52" s="1"/>
  <c r="AJ37" i="32"/>
  <c r="AJ9" i="41"/>
  <c r="AJ21" i="41" s="1"/>
  <c r="AJ10" i="41"/>
  <c r="AJ9" i="19"/>
  <c r="AJ21" i="19" s="1"/>
  <c r="AJ10" i="42"/>
  <c r="AJ23" i="42" s="1"/>
  <c r="AL370" i="23"/>
  <c r="AL371" i="23" s="1"/>
  <c r="AL10" i="23"/>
  <c r="AL23" i="23" s="1"/>
  <c r="AK9" i="22"/>
  <c r="AK21" i="22" s="1"/>
  <c r="AK206" i="22"/>
  <c r="AU59" i="57"/>
  <c r="AK10" i="22"/>
  <c r="AK12" i="57"/>
  <c r="AG9" i="68" s="1"/>
  <c r="AK16" i="57"/>
  <c r="AG25" i="22"/>
  <c r="AL7" i="57" s="1"/>
  <c r="AK9" i="20"/>
  <c r="AK21" i="20" s="1"/>
  <c r="AK10" i="20"/>
  <c r="AK23" i="20" s="1"/>
  <c r="AH25" i="20"/>
  <c r="AG25" i="19"/>
  <c r="AJ11" i="23"/>
  <c r="AJ18" i="23" s="1"/>
  <c r="AK45" i="63"/>
  <c r="AK51" i="63" s="1"/>
  <c r="AJ10" i="19"/>
  <c r="AJ23" i="19" s="1"/>
  <c r="AI29" i="61"/>
  <c r="AK29" i="63"/>
  <c r="AM7" i="63"/>
  <c r="AK370" i="23"/>
  <c r="AK371" i="23" s="1"/>
  <c r="AM452" i="23"/>
  <c r="AM356" i="23"/>
  <c r="AM411" i="23"/>
  <c r="AM369" i="23"/>
  <c r="AN453" i="23"/>
  <c r="AN356" i="23"/>
  <c r="AN493" i="23"/>
  <c r="AN368" i="23"/>
  <c r="AM492" i="23"/>
  <c r="AM368" i="23"/>
  <c r="AN369" i="23"/>
  <c r="AN412" i="23"/>
  <c r="AM64" i="23"/>
  <c r="AM106" i="23"/>
  <c r="AN106" i="23" s="1"/>
  <c r="AN61" i="23" s="1"/>
  <c r="AM147" i="23"/>
  <c r="AN147" i="23" s="1"/>
  <c r="AM51" i="23"/>
  <c r="AH11" i="42"/>
  <c r="AH18" i="42" s="1"/>
  <c r="AH11" i="19"/>
  <c r="AH18" i="19" s="1"/>
  <c r="AI12" i="22"/>
  <c r="AI16" i="22" s="1"/>
  <c r="AI11" i="22"/>
  <c r="AL7" i="61"/>
  <c r="AI11" i="20"/>
  <c r="AJ24" i="65"/>
  <c r="AJ30" i="65" s="1"/>
  <c r="AJ12" i="23"/>
  <c r="AH6" i="68"/>
  <c r="AL23" i="63"/>
  <c r="AI30" i="65"/>
  <c r="AI46" i="65"/>
  <c r="AK13" i="65"/>
  <c r="AF17" i="68"/>
  <c r="AH52" i="65"/>
  <c r="AH74" i="65"/>
  <c r="AH80" i="65" s="1"/>
  <c r="AI51" i="57"/>
  <c r="AI73" i="57"/>
  <c r="AI79" i="57" s="1"/>
  <c r="AK43" i="57"/>
  <c r="AJ45" i="57"/>
  <c r="AJ29" i="57"/>
  <c r="AI51" i="61"/>
  <c r="AI73" i="61"/>
  <c r="AI79" i="61" s="1"/>
  <c r="AJ45" i="61"/>
  <c r="AJ29" i="61"/>
  <c r="AK38" i="61"/>
  <c r="AK16" i="61"/>
  <c r="AK12" i="61"/>
  <c r="AF8" i="68"/>
  <c r="AJ15" i="62"/>
  <c r="AJ22" i="62" s="1"/>
  <c r="AJ7" i="52"/>
  <c r="AJ11" i="62"/>
  <c r="AJ37" i="62"/>
  <c r="AK6" i="62"/>
  <c r="AI60" i="52"/>
  <c r="AI28" i="62"/>
  <c r="AI44" i="62"/>
  <c r="AI42" i="62"/>
  <c r="AI20" i="62"/>
  <c r="AI21" i="62" s="1"/>
  <c r="AE7" i="68"/>
  <c r="AH71" i="52"/>
  <c r="AH32" i="62"/>
  <c r="AH48" i="62"/>
  <c r="AH21" i="62"/>
  <c r="AH21" i="52"/>
  <c r="AH71" i="62"/>
  <c r="AH77" i="62" s="1"/>
  <c r="AH50" i="62"/>
  <c r="AH73" i="60"/>
  <c r="AH79" i="60" s="1"/>
  <c r="AH51" i="60"/>
  <c r="AI43" i="60"/>
  <c r="AK7" i="60"/>
  <c r="AK1" i="60" s="1"/>
  <c r="AK17" i="60" s="1"/>
  <c r="AK24" i="60" s="1"/>
  <c r="AI23" i="60"/>
  <c r="AI21" i="60"/>
  <c r="AI22" i="60" s="1"/>
  <c r="AS59" i="32"/>
  <c r="AU59" i="32" s="1"/>
  <c r="AU59" i="51"/>
  <c r="AJ16" i="60"/>
  <c r="AJ23" i="60" s="1"/>
  <c r="AJ38" i="60"/>
  <c r="AJ12" i="60"/>
  <c r="AF13" i="68" s="1"/>
  <c r="AH27" i="60"/>
  <c r="AH22" i="60"/>
  <c r="AD73" i="60"/>
  <c r="AD79" i="60" s="1"/>
  <c r="AD51" i="60"/>
  <c r="AF51" i="60"/>
  <c r="AF73" i="60"/>
  <c r="AF79" i="60" s="1"/>
  <c r="AN300" i="23"/>
  <c r="AM300" i="23"/>
  <c r="AL300" i="23"/>
  <c r="AN259" i="23"/>
  <c r="AL259" i="23"/>
  <c r="AM259" i="23"/>
  <c r="AI18" i="23"/>
  <c r="AI13" i="23"/>
  <c r="AN449" i="22"/>
  <c r="AM449" i="22"/>
  <c r="AL449" i="22"/>
  <c r="AK449" i="22"/>
  <c r="AN408" i="22"/>
  <c r="AM408" i="22"/>
  <c r="AL408" i="22"/>
  <c r="AK408" i="22"/>
  <c r="AK219" i="22"/>
  <c r="AN300" i="22"/>
  <c r="AL300" i="22"/>
  <c r="AM300" i="22"/>
  <c r="AN259" i="22"/>
  <c r="AM259" i="22"/>
  <c r="AL259" i="22"/>
  <c r="AK340" i="22"/>
  <c r="AN340" i="22" s="1"/>
  <c r="AN144" i="22"/>
  <c r="AM144" i="22"/>
  <c r="AL144" i="22"/>
  <c r="AK144" i="22"/>
  <c r="AK103" i="22"/>
  <c r="AL103" i="22"/>
  <c r="AN103" i="22"/>
  <c r="AM103" i="22"/>
  <c r="AM450" i="19"/>
  <c r="AN450" i="19"/>
  <c r="AN409" i="19"/>
  <c r="AM409" i="19"/>
  <c r="AL298" i="19"/>
  <c r="AJ298" i="19"/>
  <c r="AN298" i="19"/>
  <c r="AM298" i="19"/>
  <c r="AK298" i="19"/>
  <c r="AJ257" i="19"/>
  <c r="AN257" i="19"/>
  <c r="AM257" i="19"/>
  <c r="AL257" i="19"/>
  <c r="AK257" i="19"/>
  <c r="AK370" i="20"/>
  <c r="AK371" i="20" s="1"/>
  <c r="AH13" i="20"/>
  <c r="AN299" i="20"/>
  <c r="AM299" i="20"/>
  <c r="AL299" i="20"/>
  <c r="AK299" i="20"/>
  <c r="AN258" i="20"/>
  <c r="AM258" i="20"/>
  <c r="AL258" i="20"/>
  <c r="AK258" i="20"/>
  <c r="AJ65" i="20"/>
  <c r="AJ66" i="20" s="1"/>
  <c r="AL298" i="42"/>
  <c r="AJ298" i="42"/>
  <c r="AM298" i="42"/>
  <c r="AK298" i="42"/>
  <c r="AN298" i="42"/>
  <c r="AL257" i="42"/>
  <c r="AK257" i="42"/>
  <c r="AJ257" i="42"/>
  <c r="AN257" i="42"/>
  <c r="AM257" i="42"/>
  <c r="AI217" i="42"/>
  <c r="AI216" i="42"/>
  <c r="AG18" i="42"/>
  <c r="AG25" i="42" s="1"/>
  <c r="AG13" i="42"/>
  <c r="AH16" i="42"/>
  <c r="AN144" i="42"/>
  <c r="AM144" i="42"/>
  <c r="AL144" i="42"/>
  <c r="AK144" i="42"/>
  <c r="AN103" i="42"/>
  <c r="AM103" i="42"/>
  <c r="AL103" i="42"/>
  <c r="AK103" i="42"/>
  <c r="AN449" i="41"/>
  <c r="AM449" i="41"/>
  <c r="AL449" i="41"/>
  <c r="AK449" i="41"/>
  <c r="AL448" i="41"/>
  <c r="AJ448" i="41"/>
  <c r="AM448" i="41"/>
  <c r="AN448" i="41"/>
  <c r="AK448" i="41"/>
  <c r="AL407" i="41"/>
  <c r="AJ407" i="41"/>
  <c r="AN407" i="41"/>
  <c r="AK407" i="41"/>
  <c r="AM407" i="41"/>
  <c r="AN408" i="41"/>
  <c r="AM408" i="41"/>
  <c r="AL408" i="41"/>
  <c r="AK408" i="41"/>
  <c r="AL298" i="41"/>
  <c r="AK298" i="41"/>
  <c r="AN298" i="41"/>
  <c r="AM298" i="41"/>
  <c r="AJ298" i="41"/>
  <c r="AL257" i="41"/>
  <c r="AK257" i="41"/>
  <c r="AJ257" i="41"/>
  <c r="AN257" i="41"/>
  <c r="AM257" i="41"/>
  <c r="AL143" i="41"/>
  <c r="AJ143" i="41"/>
  <c r="AM143" i="41"/>
  <c r="AK143" i="41"/>
  <c r="AN143" i="41"/>
  <c r="AL102" i="41"/>
  <c r="AK102" i="41"/>
  <c r="AJ102" i="41"/>
  <c r="AN102" i="41"/>
  <c r="AM102" i="41"/>
  <c r="AJ42" i="16"/>
  <c r="AU39" i="52"/>
  <c r="AO46" i="52"/>
  <c r="AP46" i="52"/>
  <c r="AQ46" i="52"/>
  <c r="AS46" i="52"/>
  <c r="AN46" i="52"/>
  <c r="AM74" i="52"/>
  <c r="AM80" i="52" s="1"/>
  <c r="AM52" i="52"/>
  <c r="AR46" i="52"/>
  <c r="AG13" i="19"/>
  <c r="AJ220" i="22"/>
  <c r="AJ221" i="22" s="1"/>
  <c r="AM200" i="41"/>
  <c r="AM202" i="41" s="1"/>
  <c r="AH16" i="19"/>
  <c r="AK145" i="20"/>
  <c r="AK62" i="20" s="1"/>
  <c r="AK51" i="20"/>
  <c r="AK187" i="20"/>
  <c r="AN187" i="20" s="1"/>
  <c r="AM60" i="20"/>
  <c r="AM58" i="20"/>
  <c r="AM59" i="20"/>
  <c r="AI16" i="20"/>
  <c r="AM452" i="20"/>
  <c r="AN452" i="20" s="1"/>
  <c r="AM356" i="20"/>
  <c r="AL188" i="20"/>
  <c r="AL63" i="20" s="1"/>
  <c r="AM369" i="20"/>
  <c r="AM411" i="20"/>
  <c r="AN411" i="20" s="1"/>
  <c r="AM492" i="20"/>
  <c r="AM368" i="20"/>
  <c r="AL491" i="20"/>
  <c r="AL368" i="20"/>
  <c r="AN365" i="20"/>
  <c r="AN364" i="20"/>
  <c r="AN363" i="20"/>
  <c r="AL451" i="20"/>
  <c r="AL356" i="20"/>
  <c r="AL51" i="20"/>
  <c r="AL146" i="20"/>
  <c r="AL105" i="20"/>
  <c r="AL64" i="20"/>
  <c r="AK104" i="20"/>
  <c r="AK61" i="20" s="1"/>
  <c r="AK64" i="20"/>
  <c r="AN47" i="20"/>
  <c r="AN49" i="20" s="1"/>
  <c r="AN50" i="20" s="1"/>
  <c r="AL369" i="20"/>
  <c r="AL410" i="20"/>
  <c r="AK370" i="42"/>
  <c r="AK371" i="42" s="1"/>
  <c r="AJ370" i="42"/>
  <c r="AJ371" i="42" s="1"/>
  <c r="AI218" i="42"/>
  <c r="AN354" i="42"/>
  <c r="AN355" i="42" s="1"/>
  <c r="AL491" i="42"/>
  <c r="AL368" i="42"/>
  <c r="AI65" i="42"/>
  <c r="AI66" i="42" s="1"/>
  <c r="AL356" i="42"/>
  <c r="AL451" i="42"/>
  <c r="AM59" i="42"/>
  <c r="AM60" i="42"/>
  <c r="AM58" i="42"/>
  <c r="AL369" i="42"/>
  <c r="AL410" i="42"/>
  <c r="AL60" i="42"/>
  <c r="AL58" i="42"/>
  <c r="AL59" i="42"/>
  <c r="AL52" i="42"/>
  <c r="AK104" i="42"/>
  <c r="AK64" i="42"/>
  <c r="AM492" i="42"/>
  <c r="AM368" i="42"/>
  <c r="AM411" i="42"/>
  <c r="AN411" i="42" s="1"/>
  <c r="AM369" i="42"/>
  <c r="AM452" i="42"/>
  <c r="AN452" i="42" s="1"/>
  <c r="AM356" i="42"/>
  <c r="AJ62" i="42"/>
  <c r="AJ63" i="42"/>
  <c r="AK51" i="42"/>
  <c r="AK145" i="42"/>
  <c r="AJ61" i="42"/>
  <c r="AN47" i="42"/>
  <c r="AK187" i="42"/>
  <c r="AN187" i="42" s="1"/>
  <c r="AI63" i="41"/>
  <c r="AK58" i="41"/>
  <c r="AK59" i="41"/>
  <c r="AK60" i="41"/>
  <c r="AJ64" i="41"/>
  <c r="AJ103" i="41"/>
  <c r="AK490" i="41"/>
  <c r="AN490" i="41" s="1"/>
  <c r="AK368" i="41"/>
  <c r="AK450" i="41"/>
  <c r="AK356" i="41"/>
  <c r="AJ186" i="41"/>
  <c r="AM186" i="41" s="1"/>
  <c r="AL354" i="41"/>
  <c r="AL355" i="41" s="1"/>
  <c r="AK369" i="41"/>
  <c r="AK409" i="41"/>
  <c r="AM350" i="41"/>
  <c r="AM352" i="41" s="1"/>
  <c r="AM45" i="41"/>
  <c r="AJ144" i="41"/>
  <c r="AJ51" i="41"/>
  <c r="AL47" i="41"/>
  <c r="AL49" i="41" s="1"/>
  <c r="AL50" i="41" s="1"/>
  <c r="AL52" i="41" s="1"/>
  <c r="AI23" i="41"/>
  <c r="AN15" i="41"/>
  <c r="AJ220" i="23"/>
  <c r="AJ221" i="23" s="1"/>
  <c r="AK216" i="23"/>
  <c r="AK12" i="23" s="1"/>
  <c r="AK217" i="23"/>
  <c r="AK216" i="22"/>
  <c r="AK217" i="22"/>
  <c r="AJ62" i="22"/>
  <c r="AJ366" i="22"/>
  <c r="AN350" i="22"/>
  <c r="AN352" i="22" s="1"/>
  <c r="AN45" i="22"/>
  <c r="AN200" i="22"/>
  <c r="AN202" i="22" s="1"/>
  <c r="AN204" i="22" s="1"/>
  <c r="AN205" i="22" s="1"/>
  <c r="AL451" i="22"/>
  <c r="AL356" i="22"/>
  <c r="AK490" i="22"/>
  <c r="AN490" i="22" s="1"/>
  <c r="AK368" i="22"/>
  <c r="AK187" i="22"/>
  <c r="AN187" i="22" s="1"/>
  <c r="AJ61" i="22"/>
  <c r="AH18" i="22"/>
  <c r="AH13" i="22"/>
  <c r="AM47" i="22"/>
  <c r="AM49" i="22" s="1"/>
  <c r="AM50" i="22" s="1"/>
  <c r="AM52" i="22" s="1"/>
  <c r="AK369" i="22"/>
  <c r="AK409" i="22"/>
  <c r="AM364" i="22"/>
  <c r="AM365" i="22"/>
  <c r="AM363" i="22"/>
  <c r="AK356" i="22"/>
  <c r="AK450" i="22"/>
  <c r="AK145" i="22"/>
  <c r="AK51" i="22"/>
  <c r="AK104" i="22"/>
  <c r="AK64" i="22"/>
  <c r="AI65" i="22"/>
  <c r="AI66" i="22" s="1"/>
  <c r="AJ23" i="22"/>
  <c r="AJ367" i="22"/>
  <c r="AL60" i="22"/>
  <c r="AL59" i="22"/>
  <c r="AL58" i="22"/>
  <c r="AL9" i="22" s="1"/>
  <c r="AL21" i="22" s="1"/>
  <c r="AL491" i="22"/>
  <c r="AL368" i="22"/>
  <c r="AL369" i="22"/>
  <c r="AL410" i="22"/>
  <c r="AJ63" i="22"/>
  <c r="AI218" i="19"/>
  <c r="AL59" i="19"/>
  <c r="AL58" i="19"/>
  <c r="AL60" i="19"/>
  <c r="AL188" i="19" s="1"/>
  <c r="AL63" i="19" s="1"/>
  <c r="AL52" i="19"/>
  <c r="AL366" i="19"/>
  <c r="AM60" i="19"/>
  <c r="AM189" i="19" s="1"/>
  <c r="AM63" i="19" s="1"/>
  <c r="AM59" i="19"/>
  <c r="AM58" i="19"/>
  <c r="AN47" i="19"/>
  <c r="AN49" i="19" s="1"/>
  <c r="AN50" i="19" s="1"/>
  <c r="AN52" i="19" s="1"/>
  <c r="AM491" i="19"/>
  <c r="AM367" i="19"/>
  <c r="AN353" i="19"/>
  <c r="AN354" i="19" s="1"/>
  <c r="AM451" i="19"/>
  <c r="AN451" i="19" s="1"/>
  <c r="AM355" i="19"/>
  <c r="AM410" i="19"/>
  <c r="AN410" i="19" s="1"/>
  <c r="AM368" i="19"/>
  <c r="AK369" i="19"/>
  <c r="AK370" i="19" s="1"/>
  <c r="AJ65" i="19"/>
  <c r="AJ66" i="19" s="1"/>
  <c r="AI216" i="19"/>
  <c r="AI12" i="19" s="1"/>
  <c r="AK64" i="19"/>
  <c r="AK104" i="19"/>
  <c r="AJ369" i="19"/>
  <c r="AJ370" i="19" s="1"/>
  <c r="AK51" i="19"/>
  <c r="AK145" i="19"/>
  <c r="AL365" i="19"/>
  <c r="AM52" i="19"/>
  <c r="AK63" i="19"/>
  <c r="AI217" i="19"/>
  <c r="AH220" i="19"/>
  <c r="AH221" i="19" s="1"/>
  <c r="AI220" i="20"/>
  <c r="AI221" i="20" s="1"/>
  <c r="AJ216" i="20"/>
  <c r="AJ12" i="20" s="1"/>
  <c r="AJ217" i="20"/>
  <c r="AM202" i="42"/>
  <c r="AH220" i="42"/>
  <c r="AH221" i="42" s="1"/>
  <c r="AK213" i="42"/>
  <c r="AK9" i="42" s="1"/>
  <c r="AK21" i="42" s="1"/>
  <c r="AK214" i="42"/>
  <c r="AK215" i="42"/>
  <c r="AK207" i="42"/>
  <c r="AJ299" i="42"/>
  <c r="AJ206" i="42"/>
  <c r="AL204" i="42"/>
  <c r="AL205" i="42" s="1"/>
  <c r="AN200" i="42"/>
  <c r="AJ339" i="42"/>
  <c r="AM339" i="42" s="1"/>
  <c r="AJ219" i="42"/>
  <c r="AJ258" i="42"/>
  <c r="AJ258" i="41"/>
  <c r="AJ219" i="41"/>
  <c r="AL204" i="41"/>
  <c r="AL205" i="41" s="1"/>
  <c r="AK213" i="41"/>
  <c r="AK215" i="41"/>
  <c r="AK214" i="41"/>
  <c r="AK207" i="41"/>
  <c r="AJ339" i="41"/>
  <c r="AM339" i="41" s="1"/>
  <c r="AI218" i="41"/>
  <c r="AJ299" i="41"/>
  <c r="AJ206" i="41"/>
  <c r="AM215" i="23"/>
  <c r="AM214" i="23"/>
  <c r="AM213" i="23"/>
  <c r="AM9" i="23" s="1"/>
  <c r="AM21" i="23" s="1"/>
  <c r="AM207" i="23"/>
  <c r="AN204" i="23"/>
  <c r="AN205" i="23" s="1"/>
  <c r="AL219" i="23"/>
  <c r="AL260" i="23"/>
  <c r="AL206" i="23"/>
  <c r="AL301" i="23"/>
  <c r="AL341" i="23"/>
  <c r="AL218" i="23" s="1"/>
  <c r="AK218" i="23"/>
  <c r="AM215" i="22"/>
  <c r="AM214" i="22"/>
  <c r="AM213" i="22"/>
  <c r="AM207" i="22"/>
  <c r="AL341" i="22"/>
  <c r="AL218" i="22" s="1"/>
  <c r="AL301" i="22"/>
  <c r="AL206" i="22"/>
  <c r="AL260" i="22"/>
  <c r="AL219" i="22"/>
  <c r="AK214" i="19"/>
  <c r="AK213" i="19"/>
  <c r="AK9" i="19" s="1"/>
  <c r="AK215" i="19"/>
  <c r="AK207" i="19"/>
  <c r="AJ299" i="19"/>
  <c r="AJ206" i="19"/>
  <c r="AL204" i="19"/>
  <c r="AL205" i="19" s="1"/>
  <c r="AM202" i="19"/>
  <c r="AJ339" i="19"/>
  <c r="AM339" i="19" s="1"/>
  <c r="AJ258" i="19"/>
  <c r="AJ219" i="19"/>
  <c r="AN200" i="19"/>
  <c r="AK340" i="20"/>
  <c r="AN340" i="20" s="1"/>
  <c r="AJ218" i="20"/>
  <c r="AM204" i="20"/>
  <c r="AM205" i="20" s="1"/>
  <c r="AK219" i="20"/>
  <c r="AK259" i="20"/>
  <c r="AL213" i="20"/>
  <c r="AL9" i="20" s="1"/>
  <c r="AL21" i="20" s="1"/>
  <c r="AL214" i="20"/>
  <c r="AL215" i="20"/>
  <c r="AL207" i="20"/>
  <c r="AN202" i="20"/>
  <c r="AK300" i="20"/>
  <c r="AK206" i="20"/>
  <c r="X2" i="73"/>
  <c r="X14" i="73"/>
  <c r="X18" i="73"/>
  <c r="Y18" i="73"/>
  <c r="X58" i="75" l="1"/>
  <c r="AK46" i="60"/>
  <c r="AK52" i="60" s="1"/>
  <c r="AK30" i="60"/>
  <c r="AM12" i="63"/>
  <c r="AI6" i="68" s="1"/>
  <c r="AL12" i="61"/>
  <c r="AH8" i="68" s="1"/>
  <c r="AU46" i="52"/>
  <c r="AU74" i="52" s="1"/>
  <c r="AU80" i="52" s="1"/>
  <c r="AA38" i="75"/>
  <c r="Z58" i="75"/>
  <c r="AN62" i="23"/>
  <c r="AL10" i="22"/>
  <c r="AJ16" i="52"/>
  <c r="AJ21" i="52" s="1"/>
  <c r="AJ38" i="52"/>
  <c r="AK37" i="32"/>
  <c r="AK9" i="41"/>
  <c r="AK21" i="41" s="1"/>
  <c r="AK10" i="41"/>
  <c r="AM10" i="23"/>
  <c r="AM23" i="23" s="1"/>
  <c r="AK10" i="42"/>
  <c r="AK23" i="42" s="1"/>
  <c r="AL10" i="20"/>
  <c r="AL23" i="20" s="1"/>
  <c r="AK23" i="57"/>
  <c r="AK45" i="57" s="1"/>
  <c r="AL12" i="57"/>
  <c r="AH9" i="68" s="1"/>
  <c r="AL38" i="57"/>
  <c r="AL43" i="57" s="1"/>
  <c r="AL16" i="57"/>
  <c r="AL23" i="57" s="1"/>
  <c r="AL29" i="57" s="1"/>
  <c r="AH25" i="22"/>
  <c r="AM7" i="57" s="1"/>
  <c r="AH25" i="19"/>
  <c r="AK73" i="63"/>
  <c r="AK79" i="63" s="1"/>
  <c r="AJ13" i="23"/>
  <c r="AM16" i="63"/>
  <c r="AM38" i="63"/>
  <c r="AM43" i="63" s="1"/>
  <c r="AK10" i="19"/>
  <c r="AK23" i="19" s="1"/>
  <c r="AK21" i="19"/>
  <c r="AK24" i="65"/>
  <c r="AK30" i="65" s="1"/>
  <c r="AI25" i="23"/>
  <c r="AN7" i="63" s="1"/>
  <c r="AJ16" i="23"/>
  <c r="AJ25" i="23" s="1"/>
  <c r="AO7" i="63" s="1"/>
  <c r="AM61" i="23"/>
  <c r="AM62" i="23"/>
  <c r="AN411" i="23"/>
  <c r="AN366" i="23" s="1"/>
  <c r="AM366" i="23"/>
  <c r="AN452" i="23"/>
  <c r="AN367" i="23" s="1"/>
  <c r="AM367" i="23"/>
  <c r="AI11" i="42"/>
  <c r="AI18" i="42" s="1"/>
  <c r="AI11" i="19"/>
  <c r="AI18" i="19" s="1"/>
  <c r="AL16" i="61"/>
  <c r="AK23" i="61"/>
  <c r="AK29" i="61" s="1"/>
  <c r="AJ46" i="65"/>
  <c r="AJ74" i="65" s="1"/>
  <c r="AJ80" i="65" s="1"/>
  <c r="AH25" i="42"/>
  <c r="AJ11" i="22"/>
  <c r="AJ12" i="22"/>
  <c r="AJ16" i="22" s="1"/>
  <c r="AJ11" i="20"/>
  <c r="AL38" i="61"/>
  <c r="AL43" i="61" s="1"/>
  <c r="AL216" i="23"/>
  <c r="AL12" i="23" s="1"/>
  <c r="AL16" i="23" s="1"/>
  <c r="AK11" i="23"/>
  <c r="AK18" i="23" s="1"/>
  <c r="AL29" i="63"/>
  <c r="AL45" i="63"/>
  <c r="AG17" i="68"/>
  <c r="AI52" i="65"/>
  <c r="AI74" i="65"/>
  <c r="AI80" i="65" s="1"/>
  <c r="AL24" i="65"/>
  <c r="AL13" i="65"/>
  <c r="AJ73" i="57"/>
  <c r="AJ79" i="57" s="1"/>
  <c r="AJ51" i="57"/>
  <c r="AG8" i="68"/>
  <c r="AK43" i="61"/>
  <c r="AM60" i="61"/>
  <c r="AM7" i="61"/>
  <c r="AJ73" i="61"/>
  <c r="AJ79" i="61" s="1"/>
  <c r="AJ51" i="61"/>
  <c r="AJ60" i="52"/>
  <c r="AJ28" i="62"/>
  <c r="AJ44" i="62"/>
  <c r="AJ42" i="62"/>
  <c r="AL6" i="62"/>
  <c r="AF7" i="68"/>
  <c r="AJ20" i="62"/>
  <c r="AJ21" i="62" s="1"/>
  <c r="AK11" i="62"/>
  <c r="AK15" i="62"/>
  <c r="AK37" i="62"/>
  <c r="AK7" i="52"/>
  <c r="AI26" i="62"/>
  <c r="AI48" i="62" s="1"/>
  <c r="AI71" i="62"/>
  <c r="AI77" i="62" s="1"/>
  <c r="AI50" i="62"/>
  <c r="AI71" i="52"/>
  <c r="AH54" i="62"/>
  <c r="AI27" i="60"/>
  <c r="AI45" i="60"/>
  <c r="AI29" i="60"/>
  <c r="AJ29" i="60"/>
  <c r="AJ45" i="60"/>
  <c r="AK38" i="60"/>
  <c r="AK16" i="60"/>
  <c r="AK23" i="60" s="1"/>
  <c r="AK12" i="60"/>
  <c r="AG13" i="68" s="1"/>
  <c r="AJ43" i="60"/>
  <c r="AJ21" i="60"/>
  <c r="AH33" i="60"/>
  <c r="AH49" i="60"/>
  <c r="AL7" i="60"/>
  <c r="AL1" i="60" s="1"/>
  <c r="AL17" i="60" s="1"/>
  <c r="AL24" i="60" s="1"/>
  <c r="AN301" i="23"/>
  <c r="AM301" i="23"/>
  <c r="AN260" i="23"/>
  <c r="AM260" i="23"/>
  <c r="AK16" i="23"/>
  <c r="AN451" i="22"/>
  <c r="AM451" i="22"/>
  <c r="AN450" i="22"/>
  <c r="AM450" i="22"/>
  <c r="AL450" i="22"/>
  <c r="AL367" i="22" s="1"/>
  <c r="AN409" i="22"/>
  <c r="AL409" i="22"/>
  <c r="AL366" i="22" s="1"/>
  <c r="AM409" i="22"/>
  <c r="AM410" i="22"/>
  <c r="AN410" i="22"/>
  <c r="AM301" i="22"/>
  <c r="AN301" i="22"/>
  <c r="AN260" i="22"/>
  <c r="AM260" i="22"/>
  <c r="AK218" i="22"/>
  <c r="AK220" i="22" s="1"/>
  <c r="AK221" i="22" s="1"/>
  <c r="AN145" i="22"/>
  <c r="AM145" i="22"/>
  <c r="AL145" i="22"/>
  <c r="AN104" i="22"/>
  <c r="AM104" i="22"/>
  <c r="AL104" i="22"/>
  <c r="AK299" i="19"/>
  <c r="AN299" i="19"/>
  <c r="AM299" i="19"/>
  <c r="AL299" i="19"/>
  <c r="AN258" i="19"/>
  <c r="AM258" i="19"/>
  <c r="AL258" i="19"/>
  <c r="AK258" i="19"/>
  <c r="AN145" i="19"/>
  <c r="AM145" i="19"/>
  <c r="AL145" i="19"/>
  <c r="AN104" i="19"/>
  <c r="AM104" i="19"/>
  <c r="AL104" i="19"/>
  <c r="AL367" i="20"/>
  <c r="AN451" i="20"/>
  <c r="AM451" i="20"/>
  <c r="AM367" i="20" s="1"/>
  <c r="AL366" i="20"/>
  <c r="AN410" i="20"/>
  <c r="AM410" i="20"/>
  <c r="AM366" i="20" s="1"/>
  <c r="AN300" i="20"/>
  <c r="AM300" i="20"/>
  <c r="AL300" i="20"/>
  <c r="AM259" i="20"/>
  <c r="AN259" i="20"/>
  <c r="AL259" i="20"/>
  <c r="AJ216" i="42"/>
  <c r="AN451" i="42"/>
  <c r="AM451" i="42"/>
  <c r="AM367" i="42" s="1"/>
  <c r="AN410" i="42"/>
  <c r="AM410" i="42"/>
  <c r="AM366" i="42" s="1"/>
  <c r="AN299" i="42"/>
  <c r="AM299" i="42"/>
  <c r="AL299" i="42"/>
  <c r="AK299" i="42"/>
  <c r="AH13" i="42"/>
  <c r="AI16" i="42"/>
  <c r="AI220" i="42"/>
  <c r="AI221" i="42" s="1"/>
  <c r="AN258" i="42"/>
  <c r="AM258" i="42"/>
  <c r="AK258" i="42"/>
  <c r="AL258" i="42"/>
  <c r="AM145" i="42"/>
  <c r="AN145" i="42"/>
  <c r="AL145" i="42"/>
  <c r="AN104" i="42"/>
  <c r="AM104" i="42"/>
  <c r="AL104" i="42"/>
  <c r="AN450" i="41"/>
  <c r="AM450" i="41"/>
  <c r="AL450" i="41"/>
  <c r="AN409" i="41"/>
  <c r="AM409" i="41"/>
  <c r="AL409" i="41"/>
  <c r="AN299" i="41"/>
  <c r="AM299" i="41"/>
  <c r="AL299" i="41"/>
  <c r="AK299" i="41"/>
  <c r="AN258" i="41"/>
  <c r="AL258" i="41"/>
  <c r="AK258" i="41"/>
  <c r="AM258" i="41"/>
  <c r="AN144" i="41"/>
  <c r="AM144" i="41"/>
  <c r="AL144" i="41"/>
  <c r="AK144" i="41"/>
  <c r="AN103" i="41"/>
  <c r="AM103" i="41"/>
  <c r="AL103" i="41"/>
  <c r="AK103" i="41"/>
  <c r="AK42" i="16"/>
  <c r="AU59" i="52"/>
  <c r="AS74" i="52"/>
  <c r="AS80" i="52" s="1"/>
  <c r="AS52" i="52"/>
  <c r="AO74" i="52"/>
  <c r="AO80" i="52" s="1"/>
  <c r="AO52" i="52"/>
  <c r="AQ74" i="52"/>
  <c r="AQ80" i="52" s="1"/>
  <c r="AQ52" i="52"/>
  <c r="AR74" i="52"/>
  <c r="AR80" i="52" s="1"/>
  <c r="AR52" i="52"/>
  <c r="AN74" i="52"/>
  <c r="AN80" i="52" s="1"/>
  <c r="AN52" i="52"/>
  <c r="AP52" i="52"/>
  <c r="AP74" i="52"/>
  <c r="AP80" i="52" s="1"/>
  <c r="AH13" i="19"/>
  <c r="AL217" i="22"/>
  <c r="AJ370" i="22"/>
  <c r="AJ371" i="22" s="1"/>
  <c r="AL369" i="19"/>
  <c r="AL370" i="19" s="1"/>
  <c r="AI16" i="19"/>
  <c r="AK63" i="20"/>
  <c r="AK65" i="20" s="1"/>
  <c r="AK66" i="20" s="1"/>
  <c r="AN105" i="20"/>
  <c r="AM105" i="20"/>
  <c r="AN146" i="20"/>
  <c r="AM146" i="20"/>
  <c r="AI13" i="20"/>
  <c r="AM51" i="20"/>
  <c r="AM147" i="20"/>
  <c r="AN147" i="20" s="1"/>
  <c r="AN60" i="20"/>
  <c r="AN59" i="20"/>
  <c r="AN58" i="20"/>
  <c r="AM64" i="20"/>
  <c r="AM106" i="20"/>
  <c r="AN106" i="20" s="1"/>
  <c r="AM189" i="20"/>
  <c r="AM63" i="20" s="1"/>
  <c r="AJ16" i="20"/>
  <c r="AN52" i="20"/>
  <c r="AM104" i="20"/>
  <c r="AN104" i="20"/>
  <c r="AL104" i="20"/>
  <c r="AL61" i="20" s="1"/>
  <c r="AN412" i="20"/>
  <c r="AN369" i="20"/>
  <c r="AI18" i="20"/>
  <c r="AI25" i="20" s="1"/>
  <c r="AN356" i="20"/>
  <c r="AN453" i="20"/>
  <c r="AN493" i="20"/>
  <c r="AN368" i="20"/>
  <c r="AN145" i="20"/>
  <c r="AM145" i="20"/>
  <c r="AL145" i="20"/>
  <c r="AL62" i="20" s="1"/>
  <c r="AJ217" i="42"/>
  <c r="AN364" i="42"/>
  <c r="AN363" i="42"/>
  <c r="AN365" i="42"/>
  <c r="AN49" i="42"/>
  <c r="AN50" i="42" s="1"/>
  <c r="AL146" i="42"/>
  <c r="AL51" i="42"/>
  <c r="AL105" i="42"/>
  <c r="AL64" i="42"/>
  <c r="AM51" i="42"/>
  <c r="AM147" i="42"/>
  <c r="AN147" i="42" s="1"/>
  <c r="AL367" i="42"/>
  <c r="AJ65" i="42"/>
  <c r="AJ66" i="42" s="1"/>
  <c r="AK62" i="42"/>
  <c r="AL188" i="42"/>
  <c r="AL63" i="42" s="1"/>
  <c r="AL366" i="42"/>
  <c r="AK63" i="42"/>
  <c r="AM64" i="42"/>
  <c r="AM106" i="42"/>
  <c r="AN106" i="42" s="1"/>
  <c r="AK61" i="42"/>
  <c r="AJ218" i="42"/>
  <c r="AM189" i="42"/>
  <c r="AM63" i="42" s="1"/>
  <c r="AJ23" i="41"/>
  <c r="AK187" i="41"/>
  <c r="AN187" i="41" s="1"/>
  <c r="AM47" i="41"/>
  <c r="AM49" i="41" s="1"/>
  <c r="AM50" i="41" s="1"/>
  <c r="AM52" i="41" s="1"/>
  <c r="AM354" i="41"/>
  <c r="AM355" i="41" s="1"/>
  <c r="AN350" i="41"/>
  <c r="AN352" i="41" s="1"/>
  <c r="AN45" i="41"/>
  <c r="AL60" i="41"/>
  <c r="AL59" i="41"/>
  <c r="AL58" i="41"/>
  <c r="AL363" i="41"/>
  <c r="AL365" i="41"/>
  <c r="AL364" i="41"/>
  <c r="AJ63" i="41"/>
  <c r="AK51" i="41"/>
  <c r="AK145" i="41"/>
  <c r="AK64" i="41"/>
  <c r="AK104" i="41"/>
  <c r="AN200" i="41"/>
  <c r="AN202" i="41" s="1"/>
  <c r="AN65" i="23"/>
  <c r="AN66" i="23" s="1"/>
  <c r="AL217" i="23"/>
  <c r="AL216" i="22"/>
  <c r="AL146" i="22"/>
  <c r="AL51" i="22"/>
  <c r="AL188" i="22"/>
  <c r="AL63" i="22" s="1"/>
  <c r="AM58" i="22"/>
  <c r="AM9" i="22" s="1"/>
  <c r="AM21" i="22" s="1"/>
  <c r="AM59" i="22"/>
  <c r="AM60" i="22"/>
  <c r="AK367" i="22"/>
  <c r="AN354" i="22"/>
  <c r="AN355" i="22" s="1"/>
  <c r="AK23" i="22"/>
  <c r="AK61" i="22"/>
  <c r="AJ65" i="22"/>
  <c r="AJ66" i="22" s="1"/>
  <c r="AN47" i="22"/>
  <c r="AN49" i="22" s="1"/>
  <c r="AN50" i="22" s="1"/>
  <c r="AM411" i="22"/>
  <c r="AN411" i="22" s="1"/>
  <c r="AM369" i="22"/>
  <c r="AI18" i="22"/>
  <c r="AI25" i="22" s="1"/>
  <c r="AI13" i="22"/>
  <c r="AM492" i="22"/>
  <c r="AM368" i="22"/>
  <c r="AK62" i="22"/>
  <c r="AM356" i="22"/>
  <c r="AM452" i="22"/>
  <c r="AN452" i="22" s="1"/>
  <c r="AK63" i="22"/>
  <c r="AL64" i="22"/>
  <c r="AL105" i="22"/>
  <c r="AK366" i="22"/>
  <c r="AN363" i="19"/>
  <c r="AN362" i="19"/>
  <c r="AN364" i="19"/>
  <c r="AM365" i="19"/>
  <c r="AI220" i="19"/>
  <c r="AI221" i="19" s="1"/>
  <c r="AK62" i="19"/>
  <c r="AM51" i="19"/>
  <c r="AM147" i="19"/>
  <c r="AN147" i="19" s="1"/>
  <c r="AM366" i="19"/>
  <c r="AN60" i="19"/>
  <c r="AN190" i="19" s="1"/>
  <c r="AN63" i="19" s="1"/>
  <c r="AN58" i="19"/>
  <c r="AN59" i="19"/>
  <c r="AM64" i="19"/>
  <c r="AM106" i="19"/>
  <c r="AN106" i="19" s="1"/>
  <c r="AJ216" i="19"/>
  <c r="AJ12" i="19" s="1"/>
  <c r="AJ217" i="19"/>
  <c r="AK61" i="19"/>
  <c r="AL64" i="19"/>
  <c r="AL105" i="19"/>
  <c r="AL51" i="19"/>
  <c r="AL146" i="19"/>
  <c r="AK216" i="20"/>
  <c r="AK12" i="20" s="1"/>
  <c r="AK217" i="20"/>
  <c r="AK218" i="20"/>
  <c r="AK219" i="42"/>
  <c r="AK259" i="42"/>
  <c r="AL213" i="42"/>
  <c r="AL9" i="42" s="1"/>
  <c r="AL21" i="42" s="1"/>
  <c r="AL214" i="42"/>
  <c r="AL215" i="42"/>
  <c r="AL207" i="42"/>
  <c r="AK340" i="42"/>
  <c r="AN340" i="42" s="1"/>
  <c r="AK300" i="42"/>
  <c r="AK206" i="42"/>
  <c r="AM204" i="42"/>
  <c r="AM205" i="42" s="1"/>
  <c r="AN202" i="42"/>
  <c r="AL215" i="41"/>
  <c r="AL213" i="41"/>
  <c r="AL214" i="41"/>
  <c r="AL207" i="41"/>
  <c r="AK219" i="41"/>
  <c r="AK259" i="41"/>
  <c r="AJ218" i="41"/>
  <c r="AK340" i="41"/>
  <c r="AN340" i="41" s="1"/>
  <c r="AK300" i="41"/>
  <c r="AK206" i="41"/>
  <c r="AM204" i="41"/>
  <c r="AM205" i="41" s="1"/>
  <c r="AN213" i="23"/>
  <c r="AN9" i="23" s="1"/>
  <c r="AN21" i="23" s="1"/>
  <c r="AN215" i="23"/>
  <c r="AN214" i="23"/>
  <c r="AN207" i="23"/>
  <c r="AK220" i="23"/>
  <c r="AK221" i="23" s="1"/>
  <c r="AM219" i="23"/>
  <c r="AM261" i="23"/>
  <c r="AN261" i="23" s="1"/>
  <c r="AM302" i="23"/>
  <c r="AN302" i="23" s="1"/>
  <c r="AM206" i="23"/>
  <c r="AM342" i="23"/>
  <c r="AM218" i="23" s="1"/>
  <c r="AN214" i="22"/>
  <c r="AN215" i="22"/>
  <c r="AN213" i="22"/>
  <c r="AN207" i="22"/>
  <c r="AM206" i="22"/>
  <c r="AM302" i="22"/>
  <c r="AN302" i="22" s="1"/>
  <c r="AM261" i="22"/>
  <c r="AN261" i="22" s="1"/>
  <c r="AM219" i="22"/>
  <c r="AM342" i="22"/>
  <c r="AM218" i="22" s="1"/>
  <c r="AL215" i="19"/>
  <c r="AL214" i="19"/>
  <c r="AL213" i="19"/>
  <c r="AL207" i="19"/>
  <c r="AN202" i="19"/>
  <c r="AJ218" i="19"/>
  <c r="AM204" i="19"/>
  <c r="AM205" i="19" s="1"/>
  <c r="AK340" i="19"/>
  <c r="AN340" i="19" s="1"/>
  <c r="AK259" i="19"/>
  <c r="AK219" i="19"/>
  <c r="AK300" i="19"/>
  <c r="AK206" i="19"/>
  <c r="AL341" i="20"/>
  <c r="AL218" i="20" s="1"/>
  <c r="AL301" i="20"/>
  <c r="AL206" i="20"/>
  <c r="AM214" i="20"/>
  <c r="AM213" i="20"/>
  <c r="AM215" i="20"/>
  <c r="AM207" i="20"/>
  <c r="AJ220" i="20"/>
  <c r="AJ221" i="20" s="1"/>
  <c r="AL260" i="20"/>
  <c r="AL219" i="20"/>
  <c r="AN204" i="20"/>
  <c r="AN205" i="20" s="1"/>
  <c r="AA22" i="16"/>
  <c r="Q68" i="32"/>
  <c r="Q40" i="32"/>
  <c r="AA10" i="73"/>
  <c r="Z10" i="73"/>
  <c r="Y22" i="73"/>
  <c r="Y2" i="73"/>
  <c r="Z22" i="73"/>
  <c r="Y14" i="73"/>
  <c r="Z18" i="73"/>
  <c r="Z59" i="73"/>
  <c r="AA58" i="75" l="1"/>
  <c r="AC58" i="75" s="1"/>
  <c r="AL46" i="60"/>
  <c r="AL52" i="60" s="1"/>
  <c r="AL30" i="60"/>
  <c r="AU52" i="52"/>
  <c r="AO12" i="63"/>
  <c r="AK6" i="68" s="1"/>
  <c r="AC38" i="75"/>
  <c r="AJ58" i="75"/>
  <c r="AL58" i="75" s="1"/>
  <c r="AK16" i="52"/>
  <c r="AK38" i="52"/>
  <c r="AK46" i="65"/>
  <c r="AK52" i="65" s="1"/>
  <c r="AL37" i="32"/>
  <c r="AL9" i="41"/>
  <c r="AL21" i="41" s="1"/>
  <c r="AL10" i="41"/>
  <c r="AL9" i="19"/>
  <c r="AL21" i="19" s="1"/>
  <c r="AL10" i="42"/>
  <c r="AL23" i="42" s="1"/>
  <c r="AM10" i="20"/>
  <c r="AM23" i="20" s="1"/>
  <c r="AM10" i="22"/>
  <c r="AK29" i="57"/>
  <c r="AL45" i="57"/>
  <c r="AL73" i="57" s="1"/>
  <c r="AL79" i="57" s="1"/>
  <c r="AM16" i="57"/>
  <c r="AM12" i="57"/>
  <c r="AI9" i="68" s="1"/>
  <c r="AM38" i="57"/>
  <c r="AM43" i="57" s="1"/>
  <c r="AN7" i="57"/>
  <c r="AK45" i="61"/>
  <c r="AK73" i="61" s="1"/>
  <c r="AK79" i="61" s="1"/>
  <c r="AM9" i="20"/>
  <c r="AM21" i="20" s="1"/>
  <c r="AL23" i="61"/>
  <c r="AL29" i="61" s="1"/>
  <c r="AI25" i="19"/>
  <c r="AM23" i="63"/>
  <c r="AM45" i="63" s="1"/>
  <c r="AK25" i="23"/>
  <c r="AP7" i="63" s="1"/>
  <c r="AM65" i="23"/>
  <c r="AM66" i="23" s="1"/>
  <c r="AL10" i="19"/>
  <c r="AL23" i="19" s="1"/>
  <c r="AJ11" i="42"/>
  <c r="AJ18" i="42" s="1"/>
  <c r="AN12" i="63"/>
  <c r="AJ6" i="68" s="1"/>
  <c r="AN38" i="63"/>
  <c r="AN43" i="63" s="1"/>
  <c r="AN16" i="63"/>
  <c r="AN23" i="63" s="1"/>
  <c r="AN370" i="23"/>
  <c r="AN371" i="23" s="1"/>
  <c r="AM370" i="23"/>
  <c r="AM371" i="23" s="1"/>
  <c r="AN10" i="23"/>
  <c r="AN23" i="23" s="1"/>
  <c r="AL370" i="20"/>
  <c r="AL371" i="20" s="1"/>
  <c r="AJ52" i="65"/>
  <c r="AJ11" i="19"/>
  <c r="AJ18" i="19" s="1"/>
  <c r="AO16" i="63"/>
  <c r="AO38" i="63"/>
  <c r="AO43" i="63" s="1"/>
  <c r="AI25" i="42"/>
  <c r="AK11" i="22"/>
  <c r="AK12" i="22"/>
  <c r="AK16" i="22" s="1"/>
  <c r="AK11" i="20"/>
  <c r="AK18" i="20" s="1"/>
  <c r="AL220" i="23"/>
  <c r="AL221" i="23" s="1"/>
  <c r="AL11" i="23"/>
  <c r="AL51" i="63"/>
  <c r="AL73" i="63"/>
  <c r="AL79" i="63" s="1"/>
  <c r="AL30" i="65"/>
  <c r="AL46" i="65"/>
  <c r="AH17" i="68"/>
  <c r="AM13" i="65"/>
  <c r="AM37" i="32"/>
  <c r="AK51" i="57"/>
  <c r="AK73" i="57"/>
  <c r="AK79" i="57" s="1"/>
  <c r="AM16" i="61"/>
  <c r="AM38" i="61"/>
  <c r="AM12" i="61"/>
  <c r="AN60" i="61"/>
  <c r="AN7" i="61"/>
  <c r="AI32" i="62"/>
  <c r="AK42" i="62"/>
  <c r="AK20" i="62"/>
  <c r="AK26" i="62" s="1"/>
  <c r="AG7" i="68"/>
  <c r="AJ71" i="62"/>
  <c r="AJ77" i="62" s="1"/>
  <c r="AJ50" i="62"/>
  <c r="AJ71" i="52"/>
  <c r="AK60" i="52"/>
  <c r="AM6" i="62"/>
  <c r="AJ26" i="62"/>
  <c r="AK22" i="62"/>
  <c r="AL11" i="62"/>
  <c r="AL37" i="62"/>
  <c r="AL15" i="62"/>
  <c r="AL22" i="62" s="1"/>
  <c r="AL7" i="52"/>
  <c r="AI54" i="62"/>
  <c r="AI73" i="60"/>
  <c r="AI79" i="60" s="1"/>
  <c r="AI51" i="60"/>
  <c r="AJ16" i="42"/>
  <c r="AL16" i="60"/>
  <c r="AL23" i="60" s="1"/>
  <c r="AL38" i="60"/>
  <c r="AL12" i="60"/>
  <c r="AH13" i="68" s="1"/>
  <c r="AK45" i="60"/>
  <c r="AK29" i="60"/>
  <c r="AJ27" i="60"/>
  <c r="AJ22" i="60"/>
  <c r="AK21" i="60"/>
  <c r="AK22" i="60" s="1"/>
  <c r="AJ73" i="60"/>
  <c r="AJ79" i="60" s="1"/>
  <c r="AJ51" i="60"/>
  <c r="AK43" i="60"/>
  <c r="AI49" i="60"/>
  <c r="AI33" i="60"/>
  <c r="AH55" i="60"/>
  <c r="AM7" i="60"/>
  <c r="AM1" i="60" s="1"/>
  <c r="AM17" i="60" s="1"/>
  <c r="AM24" i="60" s="1"/>
  <c r="AK13" i="23"/>
  <c r="AL220" i="22"/>
  <c r="AL221" i="22" s="1"/>
  <c r="AN146" i="22"/>
  <c r="AM146" i="22"/>
  <c r="AN105" i="22"/>
  <c r="AM105" i="22"/>
  <c r="AN300" i="19"/>
  <c r="AM300" i="19"/>
  <c r="AL300" i="19"/>
  <c r="AN259" i="19"/>
  <c r="AM259" i="19"/>
  <c r="AL259" i="19"/>
  <c r="AN146" i="19"/>
  <c r="AM146" i="19"/>
  <c r="AM62" i="19" s="1"/>
  <c r="AN105" i="19"/>
  <c r="AM105" i="19"/>
  <c r="AM61" i="19" s="1"/>
  <c r="AN301" i="20"/>
  <c r="AM301" i="20"/>
  <c r="AN260" i="20"/>
  <c r="AM260" i="20"/>
  <c r="AK16" i="20"/>
  <c r="AM370" i="42"/>
  <c r="AM371" i="42" s="1"/>
  <c r="AK218" i="42"/>
  <c r="AN300" i="42"/>
  <c r="AL300" i="42"/>
  <c r="AM300" i="42"/>
  <c r="AK217" i="42"/>
  <c r="AI13" i="42"/>
  <c r="AN259" i="42"/>
  <c r="AM259" i="42"/>
  <c r="AL259" i="42"/>
  <c r="AN146" i="42"/>
  <c r="AM146" i="42"/>
  <c r="AM62" i="42" s="1"/>
  <c r="AN105" i="42"/>
  <c r="AM105" i="42"/>
  <c r="AM61" i="42" s="1"/>
  <c r="AM300" i="41"/>
  <c r="AN300" i="41"/>
  <c r="AL300" i="41"/>
  <c r="AM259" i="41"/>
  <c r="AN259" i="41"/>
  <c r="AL259" i="41"/>
  <c r="AN145" i="41"/>
  <c r="AL145" i="41"/>
  <c r="AM145" i="41"/>
  <c r="AN104" i="41"/>
  <c r="AM104" i="41"/>
  <c r="AL104" i="41"/>
  <c r="AL42" i="16"/>
  <c r="AM369" i="19"/>
  <c r="AM370" i="19" s="1"/>
  <c r="AJ16" i="19"/>
  <c r="AI13" i="19"/>
  <c r="AN367" i="20"/>
  <c r="AN366" i="20"/>
  <c r="AM62" i="20"/>
  <c r="AL216" i="20"/>
  <c r="AM61" i="20"/>
  <c r="AN148" i="20"/>
  <c r="AN62" i="20" s="1"/>
  <c r="AN51" i="20"/>
  <c r="AN190" i="20"/>
  <c r="AN63" i="20" s="1"/>
  <c r="AJ13" i="20"/>
  <c r="AM370" i="20"/>
  <c r="AM371" i="20" s="1"/>
  <c r="AN64" i="20"/>
  <c r="AN107" i="20"/>
  <c r="AN61" i="20" s="1"/>
  <c r="AL65" i="20"/>
  <c r="AL66" i="20" s="1"/>
  <c r="AJ18" i="20"/>
  <c r="AJ25" i="20" s="1"/>
  <c r="AJ220" i="42"/>
  <c r="AJ221" i="42" s="1"/>
  <c r="AK216" i="42"/>
  <c r="AK16" i="42" s="1"/>
  <c r="AK65" i="42"/>
  <c r="AK66" i="42" s="1"/>
  <c r="AN60" i="42"/>
  <c r="AN59" i="42"/>
  <c r="AN58" i="42"/>
  <c r="AN52" i="42"/>
  <c r="AL61" i="42"/>
  <c r="AN493" i="42"/>
  <c r="AN368" i="42"/>
  <c r="AN412" i="42"/>
  <c r="AN366" i="42" s="1"/>
  <c r="AN369" i="42"/>
  <c r="AL370" i="42"/>
  <c r="AL371" i="42" s="1"/>
  <c r="AN356" i="42"/>
  <c r="AN453" i="42"/>
  <c r="AN367" i="42" s="1"/>
  <c r="AL62" i="42"/>
  <c r="AL451" i="41"/>
  <c r="AL356" i="41"/>
  <c r="AN47" i="41"/>
  <c r="AN49" i="41" s="1"/>
  <c r="AN50" i="41" s="1"/>
  <c r="AN52" i="41" s="1"/>
  <c r="AL491" i="41"/>
  <c r="AL368" i="41"/>
  <c r="AN354" i="41"/>
  <c r="AN355" i="41" s="1"/>
  <c r="AM58" i="41"/>
  <c r="AM59" i="41"/>
  <c r="AM60" i="41"/>
  <c r="AK63" i="41"/>
  <c r="AL410" i="41"/>
  <c r="AL369" i="41"/>
  <c r="AM365" i="41"/>
  <c r="AM364" i="41"/>
  <c r="AM363" i="41"/>
  <c r="AL105" i="41"/>
  <c r="AL64" i="41"/>
  <c r="AL51" i="41"/>
  <c r="AL146" i="41"/>
  <c r="AL188" i="41"/>
  <c r="AL63" i="41" s="1"/>
  <c r="AK218" i="41"/>
  <c r="AK23" i="41"/>
  <c r="AM216" i="23"/>
  <c r="AM12" i="23" s="1"/>
  <c r="AM217" i="22"/>
  <c r="AM216" i="22"/>
  <c r="AN364" i="22"/>
  <c r="AN365" i="22"/>
  <c r="AN363" i="22"/>
  <c r="AL370" i="22"/>
  <c r="AL371" i="22" s="1"/>
  <c r="AK65" i="22"/>
  <c r="AK66" i="22" s="1"/>
  <c r="AM367" i="22"/>
  <c r="AM147" i="22"/>
  <c r="AN147" i="22" s="1"/>
  <c r="AM51" i="22"/>
  <c r="AM189" i="22"/>
  <c r="AM63" i="22" s="1"/>
  <c r="AM106" i="22"/>
  <c r="AN106" i="22" s="1"/>
  <c r="AM64" i="22"/>
  <c r="AN60" i="22"/>
  <c r="AN58" i="22"/>
  <c r="AN59" i="22"/>
  <c r="AL61" i="22"/>
  <c r="AM366" i="22"/>
  <c r="AL23" i="22"/>
  <c r="AN52" i="22"/>
  <c r="AJ18" i="22"/>
  <c r="AJ25" i="22" s="1"/>
  <c r="AJ13" i="22"/>
  <c r="AL62" i="22"/>
  <c r="AL11" i="22" s="1"/>
  <c r="AK370" i="22"/>
  <c r="AK371" i="22" s="1"/>
  <c r="AL61" i="19"/>
  <c r="AK217" i="19"/>
  <c r="AN51" i="19"/>
  <c r="AN148" i="19"/>
  <c r="AN64" i="19"/>
  <c r="AN107" i="19"/>
  <c r="AK216" i="19"/>
  <c r="AK12" i="19" s="1"/>
  <c r="AK65" i="19"/>
  <c r="AK66" i="19" s="1"/>
  <c r="AN492" i="19"/>
  <c r="AN367" i="19"/>
  <c r="AN368" i="19"/>
  <c r="AN411" i="19"/>
  <c r="AN365" i="19" s="1"/>
  <c r="AL62" i="19"/>
  <c r="AJ220" i="19"/>
  <c r="AJ221" i="19" s="1"/>
  <c r="AN355" i="19"/>
  <c r="AN452" i="19"/>
  <c r="AN366" i="19" s="1"/>
  <c r="AK220" i="20"/>
  <c r="AK221" i="20" s="1"/>
  <c r="AL217" i="20"/>
  <c r="AL11" i="20" s="1"/>
  <c r="AL301" i="42"/>
  <c r="AL206" i="42"/>
  <c r="AL260" i="42"/>
  <c r="AL219" i="42"/>
  <c r="AN204" i="42"/>
  <c r="AN205" i="42" s="1"/>
  <c r="AL341" i="42"/>
  <c r="AL218" i="42" s="1"/>
  <c r="AM213" i="42"/>
  <c r="AM9" i="42" s="1"/>
  <c r="AM21" i="42" s="1"/>
  <c r="AM214" i="42"/>
  <c r="AM215" i="42"/>
  <c r="AM207" i="42"/>
  <c r="AM215" i="41"/>
  <c r="AM213" i="41"/>
  <c r="AM214" i="41"/>
  <c r="AM207" i="41"/>
  <c r="AL301" i="41"/>
  <c r="AL206" i="41"/>
  <c r="AN204" i="41"/>
  <c r="AN205" i="41" s="1"/>
  <c r="AL219" i="41"/>
  <c r="AL260" i="41"/>
  <c r="AL341" i="41"/>
  <c r="AL218" i="41" s="1"/>
  <c r="AM217" i="23"/>
  <c r="AM11" i="23" s="1"/>
  <c r="AN303" i="23"/>
  <c r="AN217" i="23" s="1"/>
  <c r="AN206" i="23"/>
  <c r="AN343" i="23"/>
  <c r="AN218" i="23" s="1"/>
  <c r="AN262" i="23"/>
  <c r="AN216" i="23" s="1"/>
  <c r="AN12" i="23" s="1"/>
  <c r="AN219" i="23"/>
  <c r="AN343" i="22"/>
  <c r="AN218" i="22" s="1"/>
  <c r="AN262" i="22"/>
  <c r="AN216" i="22" s="1"/>
  <c r="AN219" i="22"/>
  <c r="AN206" i="22"/>
  <c r="AN303" i="22"/>
  <c r="AN217" i="22" s="1"/>
  <c r="AN204" i="19"/>
  <c r="AN205" i="19" s="1"/>
  <c r="AL219" i="19"/>
  <c r="AL260" i="19"/>
  <c r="AL301" i="19"/>
  <c r="AL206" i="19"/>
  <c r="AM214" i="19"/>
  <c r="AM215" i="19"/>
  <c r="AM213" i="19"/>
  <c r="AM9" i="19" s="1"/>
  <c r="AM207" i="19"/>
  <c r="AK218" i="19"/>
  <c r="AL341" i="19"/>
  <c r="AL218" i="19" s="1"/>
  <c r="AN214" i="20"/>
  <c r="AN213" i="20"/>
  <c r="AN215" i="20"/>
  <c r="AN207" i="20"/>
  <c r="AM261" i="20"/>
  <c r="AN261" i="20" s="1"/>
  <c r="AM219" i="20"/>
  <c r="AM302" i="20"/>
  <c r="AN302" i="20" s="1"/>
  <c r="AM206" i="20"/>
  <c r="AM342" i="20"/>
  <c r="AM218" i="20" s="1"/>
  <c r="AB22" i="16"/>
  <c r="AA22" i="73"/>
  <c r="Z2" i="73"/>
  <c r="AB10" i="73"/>
  <c r="AA59" i="73"/>
  <c r="Z14" i="73"/>
  <c r="AM46" i="60" l="1"/>
  <c r="AM52" i="60" s="1"/>
  <c r="AM30" i="60"/>
  <c r="AP12" i="63"/>
  <c r="AL6" i="68" s="1"/>
  <c r="AN38" i="57"/>
  <c r="AN43" i="57" s="1"/>
  <c r="AM9" i="41"/>
  <c r="AM21" i="41" s="1"/>
  <c r="AL16" i="52"/>
  <c r="AL21" i="52" s="1"/>
  <c r="AL38" i="52"/>
  <c r="AK74" i="65"/>
  <c r="AK80" i="65" s="1"/>
  <c r="AM10" i="41"/>
  <c r="AN10" i="22"/>
  <c r="AJ25" i="19"/>
  <c r="AM10" i="42"/>
  <c r="AM23" i="42" s="1"/>
  <c r="AN10" i="20"/>
  <c r="AN23" i="20" s="1"/>
  <c r="AK25" i="20"/>
  <c r="AN9" i="22"/>
  <c r="AN21" i="22" s="1"/>
  <c r="AL51" i="57"/>
  <c r="AN12" i="57"/>
  <c r="AJ9" i="68" s="1"/>
  <c r="AN16" i="57"/>
  <c r="AN23" i="57" s="1"/>
  <c r="AN45" i="57" s="1"/>
  <c r="AM23" i="57"/>
  <c r="AM29" i="57" s="1"/>
  <c r="AO7" i="57"/>
  <c r="AK51" i="61"/>
  <c r="AL45" i="61"/>
  <c r="AL51" i="61" s="1"/>
  <c r="AN9" i="20"/>
  <c r="AN21" i="20" s="1"/>
  <c r="AN45" i="63"/>
  <c r="AN73" i="63" s="1"/>
  <c r="AN79" i="63" s="1"/>
  <c r="AM29" i="63"/>
  <c r="AM10" i="19"/>
  <c r="AM23" i="19" s="1"/>
  <c r="AM21" i="19"/>
  <c r="AN29" i="63"/>
  <c r="AK11" i="42"/>
  <c r="AK18" i="42" s="1"/>
  <c r="AK25" i="42" s="1"/>
  <c r="AP16" i="63"/>
  <c r="AP38" i="63"/>
  <c r="AP43" i="63" s="1"/>
  <c r="AK11" i="19"/>
  <c r="AK18" i="19" s="1"/>
  <c r="AJ25" i="42"/>
  <c r="AO7" i="60" s="1"/>
  <c r="AO1" i="60" s="1"/>
  <c r="AO17" i="60" s="1"/>
  <c r="AO24" i="60" s="1"/>
  <c r="AO23" i="63"/>
  <c r="AO29" i="63" s="1"/>
  <c r="AL12" i="22"/>
  <c r="AL16" i="22" s="1"/>
  <c r="AL18" i="20"/>
  <c r="AL12" i="20"/>
  <c r="AN11" i="23"/>
  <c r="AN18" i="23" s="1"/>
  <c r="AL18" i="23"/>
  <c r="AL13" i="23"/>
  <c r="AM73" i="63"/>
  <c r="AM79" i="63" s="1"/>
  <c r="AM51" i="63"/>
  <c r="AN37" i="32"/>
  <c r="AN13" i="65"/>
  <c r="AL52" i="65"/>
  <c r="AL74" i="65"/>
  <c r="AL80" i="65" s="1"/>
  <c r="AI17" i="68"/>
  <c r="AM24" i="65"/>
  <c r="AN16" i="61"/>
  <c r="AN12" i="61"/>
  <c r="AN38" i="61"/>
  <c r="AN43" i="61" s="1"/>
  <c r="AM43" i="61"/>
  <c r="AM23" i="61"/>
  <c r="AO60" i="61"/>
  <c r="AO7" i="61"/>
  <c r="AI8" i="68"/>
  <c r="AJ48" i="62"/>
  <c r="AJ32" i="62"/>
  <c r="AK48" i="62"/>
  <c r="AK32" i="62"/>
  <c r="AK71" i="52"/>
  <c r="AL42" i="62"/>
  <c r="AK21" i="52"/>
  <c r="AL60" i="52"/>
  <c r="AH7" i="68"/>
  <c r="AM37" i="62"/>
  <c r="AM7" i="52"/>
  <c r="AM11" i="62"/>
  <c r="AM15" i="62"/>
  <c r="AL28" i="62"/>
  <c r="AL44" i="62"/>
  <c r="AL20" i="62"/>
  <c r="AL21" i="62" s="1"/>
  <c r="AK28" i="62"/>
  <c r="AK44" i="62"/>
  <c r="AK21" i="62"/>
  <c r="AN6" i="62"/>
  <c r="AK27" i="60"/>
  <c r="AK33" i="60" s="1"/>
  <c r="AJ13" i="42"/>
  <c r="AL216" i="42"/>
  <c r="AL45" i="60"/>
  <c r="AL29" i="60"/>
  <c r="AI55" i="60"/>
  <c r="AL43" i="60"/>
  <c r="AL21" i="60"/>
  <c r="AL22" i="60" s="1"/>
  <c r="AJ33" i="60"/>
  <c r="AJ49" i="60"/>
  <c r="AK51" i="60"/>
  <c r="AK73" i="60"/>
  <c r="AK79" i="60" s="1"/>
  <c r="AM16" i="60"/>
  <c r="AM23" i="60" s="1"/>
  <c r="AM38" i="60"/>
  <c r="AM12" i="60"/>
  <c r="AI13" i="68" s="1"/>
  <c r="AN7" i="60"/>
  <c r="AN1" i="60" s="1"/>
  <c r="AN17" i="60" s="1"/>
  <c r="AN24" i="60" s="1"/>
  <c r="AM16" i="23"/>
  <c r="AN16" i="23"/>
  <c r="AM301" i="19"/>
  <c r="AN301" i="19"/>
  <c r="AM260" i="19"/>
  <c r="AN260" i="19"/>
  <c r="AN370" i="20"/>
  <c r="AN371" i="20" s="1"/>
  <c r="AM65" i="20"/>
  <c r="AM66" i="20" s="1"/>
  <c r="AK13" i="20"/>
  <c r="AM301" i="42"/>
  <c r="AN301" i="42"/>
  <c r="AK220" i="42"/>
  <c r="AK221" i="42" s="1"/>
  <c r="AN260" i="42"/>
  <c r="AM260" i="42"/>
  <c r="AN451" i="41"/>
  <c r="AM451" i="41"/>
  <c r="AM410" i="41"/>
  <c r="AN410" i="41"/>
  <c r="AN301" i="41"/>
  <c r="AM301" i="41"/>
  <c r="AN260" i="41"/>
  <c r="AM260" i="41"/>
  <c r="AM146" i="41"/>
  <c r="AN146" i="41"/>
  <c r="AN105" i="41"/>
  <c r="AM105" i="41"/>
  <c r="AN42" i="16"/>
  <c r="AM42" i="16"/>
  <c r="AM220" i="22"/>
  <c r="AM221" i="22" s="1"/>
  <c r="AM61" i="22"/>
  <c r="AJ13" i="19"/>
  <c r="AK16" i="19"/>
  <c r="AL220" i="20"/>
  <c r="AL221" i="20" s="1"/>
  <c r="AN65" i="20"/>
  <c r="AN66" i="20" s="1"/>
  <c r="AN370" i="42"/>
  <c r="AN371" i="42" s="1"/>
  <c r="AN107" i="42"/>
  <c r="AN61" i="42" s="1"/>
  <c r="AN64" i="42"/>
  <c r="AN148" i="42"/>
  <c r="AN62" i="42" s="1"/>
  <c r="AN51" i="42"/>
  <c r="AN190" i="42"/>
  <c r="AN63" i="42" s="1"/>
  <c r="AL65" i="42"/>
  <c r="AL66" i="42" s="1"/>
  <c r="AM65" i="42"/>
  <c r="AM66" i="42" s="1"/>
  <c r="AM189" i="41"/>
  <c r="AM63" i="41" s="1"/>
  <c r="AN363" i="41"/>
  <c r="AN365" i="41"/>
  <c r="AN364" i="41"/>
  <c r="AM51" i="41"/>
  <c r="AM147" i="41"/>
  <c r="AN147" i="41" s="1"/>
  <c r="AM106" i="41"/>
  <c r="AN106" i="41" s="1"/>
  <c r="AM64" i="41"/>
  <c r="AN60" i="41"/>
  <c r="AN59" i="41"/>
  <c r="AN58" i="41"/>
  <c r="AL23" i="41"/>
  <c r="AM411" i="41"/>
  <c r="AN411" i="41" s="1"/>
  <c r="AM369" i="41"/>
  <c r="AM492" i="41"/>
  <c r="AM368" i="41"/>
  <c r="AM452" i="41"/>
  <c r="AN452" i="41" s="1"/>
  <c r="AM356" i="41"/>
  <c r="AM18" i="23"/>
  <c r="AM13" i="23"/>
  <c r="AL65" i="22"/>
  <c r="AL66" i="22" s="1"/>
  <c r="AM62" i="22"/>
  <c r="AM11" i="22" s="1"/>
  <c r="AN51" i="22"/>
  <c r="AN148" i="22"/>
  <c r="AN107" i="22"/>
  <c r="AN61" i="22" s="1"/>
  <c r="AN64" i="22"/>
  <c r="AN190" i="22"/>
  <c r="AN63" i="22" s="1"/>
  <c r="AK18" i="22"/>
  <c r="AK13" i="22"/>
  <c r="AN369" i="22"/>
  <c r="AN412" i="22"/>
  <c r="AN366" i="22" s="1"/>
  <c r="AM23" i="22"/>
  <c r="AN493" i="22"/>
  <c r="AN368" i="22"/>
  <c r="AM370" i="22"/>
  <c r="AM371" i="22" s="1"/>
  <c r="AN453" i="22"/>
  <c r="AN367" i="22" s="1"/>
  <c r="AN356" i="22"/>
  <c r="AN62" i="19"/>
  <c r="AN369" i="19"/>
  <c r="AN370" i="19" s="1"/>
  <c r="AM65" i="19"/>
  <c r="AM66" i="19" s="1"/>
  <c r="AN61" i="19"/>
  <c r="AL65" i="19"/>
  <c r="AL66" i="19" s="1"/>
  <c r="AL217" i="19"/>
  <c r="AL11" i="19" s="1"/>
  <c r="AM217" i="20"/>
  <c r="AM11" i="20" s="1"/>
  <c r="AM216" i="20"/>
  <c r="AM12" i="20" s="1"/>
  <c r="AN215" i="42"/>
  <c r="AN214" i="42"/>
  <c r="AN213" i="42"/>
  <c r="AN9" i="42" s="1"/>
  <c r="AN21" i="42" s="1"/>
  <c r="AN207" i="42"/>
  <c r="AM261" i="42"/>
  <c r="AN261" i="42" s="1"/>
  <c r="AM219" i="42"/>
  <c r="AL217" i="42"/>
  <c r="AL11" i="42" s="1"/>
  <c r="AM342" i="42"/>
  <c r="AM218" i="42" s="1"/>
  <c r="AM302" i="42"/>
  <c r="AN302" i="42" s="1"/>
  <c r="AM206" i="42"/>
  <c r="AN215" i="41"/>
  <c r="AN214" i="41"/>
  <c r="AN213" i="41"/>
  <c r="AN207" i="41"/>
  <c r="AM261" i="41"/>
  <c r="AN261" i="41" s="1"/>
  <c r="AM219" i="41"/>
  <c r="AM206" i="41"/>
  <c r="AM302" i="41"/>
  <c r="AN302" i="41" s="1"/>
  <c r="AM342" i="41"/>
  <c r="AM218" i="41" s="1"/>
  <c r="AN220" i="23"/>
  <c r="AN221" i="23" s="1"/>
  <c r="AM220" i="23"/>
  <c r="AM221" i="23" s="1"/>
  <c r="AN220" i="22"/>
  <c r="AN221" i="22" s="1"/>
  <c r="AM342" i="19"/>
  <c r="AM218" i="19" s="1"/>
  <c r="AK220" i="19"/>
  <c r="AK221" i="19" s="1"/>
  <c r="AL216" i="19"/>
  <c r="AL12" i="19" s="1"/>
  <c r="AM302" i="19"/>
  <c r="AN302" i="19" s="1"/>
  <c r="AM206" i="19"/>
  <c r="AM261" i="19"/>
  <c r="AN261" i="19" s="1"/>
  <c r="AM219" i="19"/>
  <c r="AN215" i="19"/>
  <c r="AN214" i="19"/>
  <c r="AN213" i="19"/>
  <c r="AN9" i="19" s="1"/>
  <c r="AN207" i="19"/>
  <c r="AN343" i="20"/>
  <c r="AN218" i="20" s="1"/>
  <c r="AN262" i="20"/>
  <c r="AN216" i="20" s="1"/>
  <c r="AN12" i="20" s="1"/>
  <c r="AN219" i="20"/>
  <c r="AN303" i="20"/>
  <c r="AN217" i="20" s="1"/>
  <c r="AN206" i="20"/>
  <c r="AC22" i="16"/>
  <c r="Q67" i="32"/>
  <c r="AB2" i="73"/>
  <c r="AC10" i="73"/>
  <c r="AB22" i="73"/>
  <c r="AB59" i="73"/>
  <c r="AA18" i="73"/>
  <c r="AA14" i="73"/>
  <c r="AA2" i="73"/>
  <c r="AO30" i="60" l="1"/>
  <c r="AO46" i="60"/>
  <c r="AO52" i="60" s="1"/>
  <c r="AN46" i="60"/>
  <c r="AN52" i="60" s="1"/>
  <c r="AN30" i="60"/>
  <c r="AO16" i="57"/>
  <c r="AN10" i="42"/>
  <c r="AN23" i="42" s="1"/>
  <c r="AM16" i="52"/>
  <c r="AM21" i="52" s="1"/>
  <c r="AM38" i="52"/>
  <c r="AN10" i="41"/>
  <c r="AN9" i="41"/>
  <c r="AN21" i="41" s="1"/>
  <c r="AL73" i="61"/>
  <c r="AL79" i="61" s="1"/>
  <c r="AN29" i="57"/>
  <c r="AM45" i="57"/>
  <c r="AM51" i="57" s="1"/>
  <c r="AO12" i="57"/>
  <c r="AO38" i="57"/>
  <c r="AO43" i="57" s="1"/>
  <c r="AK25" i="22"/>
  <c r="AP7" i="57" s="1"/>
  <c r="AN11" i="20"/>
  <c r="AN13" i="20" s="1"/>
  <c r="AK25" i="19"/>
  <c r="AN51" i="63"/>
  <c r="AN25" i="23"/>
  <c r="AS7" i="63" s="1"/>
  <c r="AN10" i="19"/>
  <c r="AN23" i="19" s="1"/>
  <c r="AN21" i="19"/>
  <c r="AL25" i="23"/>
  <c r="AQ7" i="63" s="1"/>
  <c r="AM25" i="23"/>
  <c r="AR7" i="63" s="1"/>
  <c r="AP23" i="63"/>
  <c r="AP45" i="63" s="1"/>
  <c r="AP73" i="63" s="1"/>
  <c r="AP79" i="63" s="1"/>
  <c r="AO45" i="63"/>
  <c r="AO73" i="63" s="1"/>
  <c r="AO79" i="63" s="1"/>
  <c r="AO23" i="57"/>
  <c r="AO29" i="57" s="1"/>
  <c r="AM12" i="22"/>
  <c r="AM16" i="22" s="1"/>
  <c r="AN12" i="22"/>
  <c r="AN16" i="22" s="1"/>
  <c r="AJ17" i="68"/>
  <c r="AN24" i="65"/>
  <c r="AN30" i="65" s="1"/>
  <c r="AM30" i="65"/>
  <c r="AM46" i="65"/>
  <c r="AO13" i="65"/>
  <c r="AN73" i="57"/>
  <c r="AN79" i="57" s="1"/>
  <c r="AN51" i="57"/>
  <c r="AO38" i="61"/>
  <c r="AO12" i="61"/>
  <c r="AO16" i="61"/>
  <c r="AO23" i="61" s="1"/>
  <c r="AP60" i="61"/>
  <c r="AP7" i="61"/>
  <c r="AJ8" i="68"/>
  <c r="AN23" i="61"/>
  <c r="AM29" i="61"/>
  <c r="AM45" i="61"/>
  <c r="AM42" i="62"/>
  <c r="AL26" i="62"/>
  <c r="AK54" i="62"/>
  <c r="AK71" i="62"/>
  <c r="AK77" i="62" s="1"/>
  <c r="AK50" i="62"/>
  <c r="AO6" i="62"/>
  <c r="AL71" i="52"/>
  <c r="AJ54" i="62"/>
  <c r="AM22" i="62"/>
  <c r="AM20" i="62"/>
  <c r="AL50" i="62"/>
  <c r="AL71" i="62"/>
  <c r="AL77" i="62" s="1"/>
  <c r="AN11" i="62"/>
  <c r="AN7" i="52"/>
  <c r="AN37" i="62"/>
  <c r="AN15" i="62"/>
  <c r="AI7" i="68"/>
  <c r="AM60" i="52"/>
  <c r="AK49" i="60"/>
  <c r="AK55" i="60" s="1"/>
  <c r="AL16" i="42"/>
  <c r="AL27" i="60"/>
  <c r="AJ55" i="60"/>
  <c r="AL73" i="60"/>
  <c r="AL79" i="60" s="1"/>
  <c r="AL51" i="60"/>
  <c r="AN16" i="60"/>
  <c r="AN23" i="60" s="1"/>
  <c r="AN38" i="60"/>
  <c r="AN12" i="60"/>
  <c r="AJ13" i="68" s="1"/>
  <c r="AM43" i="60"/>
  <c r="AP7" i="60"/>
  <c r="AP1" i="60" s="1"/>
  <c r="AP17" i="60" s="1"/>
  <c r="AP24" i="60" s="1"/>
  <c r="AM21" i="60"/>
  <c r="AM27" i="60" s="1"/>
  <c r="AO16" i="60"/>
  <c r="AO23" i="60" s="1"/>
  <c r="AO38" i="60"/>
  <c r="AO12" i="60"/>
  <c r="AK13" i="68" s="1"/>
  <c r="AM29" i="60"/>
  <c r="AM45" i="60"/>
  <c r="AN13" i="23"/>
  <c r="AM65" i="22"/>
  <c r="AM66" i="22" s="1"/>
  <c r="AM18" i="22"/>
  <c r="AK13" i="42"/>
  <c r="AK13" i="19"/>
  <c r="AL16" i="19"/>
  <c r="AN65" i="19"/>
  <c r="AN66" i="19" s="1"/>
  <c r="AL16" i="20"/>
  <c r="AL25" i="20" s="1"/>
  <c r="AL13" i="20"/>
  <c r="AM16" i="20"/>
  <c r="AN16" i="20"/>
  <c r="AM217" i="42"/>
  <c r="AM11" i="42" s="1"/>
  <c r="AM216" i="42"/>
  <c r="AN65" i="42"/>
  <c r="AN66" i="42" s="1"/>
  <c r="AL18" i="42"/>
  <c r="AM23" i="41"/>
  <c r="AN453" i="41"/>
  <c r="AN356" i="41"/>
  <c r="AN107" i="41"/>
  <c r="AN64" i="41"/>
  <c r="AN51" i="41"/>
  <c r="AN148" i="41"/>
  <c r="AN493" i="41"/>
  <c r="AN368" i="41"/>
  <c r="AN190" i="41"/>
  <c r="AN63" i="41" s="1"/>
  <c r="AN412" i="41"/>
  <c r="AN369" i="41"/>
  <c r="AN62" i="22"/>
  <c r="AN65" i="22" s="1"/>
  <c r="AN66" i="22" s="1"/>
  <c r="AN23" i="22"/>
  <c r="AN370" i="22"/>
  <c r="AN371" i="22" s="1"/>
  <c r="AL18" i="22"/>
  <c r="AL13" i="22"/>
  <c r="AM216" i="19"/>
  <c r="AM12" i="19" s="1"/>
  <c r="AL18" i="19"/>
  <c r="AM217" i="19"/>
  <c r="AM11" i="19" s="1"/>
  <c r="AM220" i="20"/>
  <c r="AM221" i="20" s="1"/>
  <c r="AL220" i="42"/>
  <c r="AL221" i="42" s="1"/>
  <c r="AN262" i="42"/>
  <c r="AN216" i="42" s="1"/>
  <c r="AN219" i="42"/>
  <c r="AN206" i="42"/>
  <c r="AN303" i="42"/>
  <c r="AN217" i="42" s="1"/>
  <c r="AN343" i="42"/>
  <c r="AN218" i="42" s="1"/>
  <c r="AN219" i="41"/>
  <c r="AN262" i="41"/>
  <c r="AN303" i="41"/>
  <c r="AN206" i="41"/>
  <c r="AN343" i="41"/>
  <c r="AN218" i="41" s="1"/>
  <c r="AN219" i="19"/>
  <c r="AN262" i="19"/>
  <c r="AN216" i="19" s="1"/>
  <c r="AN12" i="19" s="1"/>
  <c r="AN343" i="19"/>
  <c r="AN218" i="19" s="1"/>
  <c r="AN303" i="19"/>
  <c r="AN217" i="19" s="1"/>
  <c r="AN206" i="19"/>
  <c r="AL220" i="19"/>
  <c r="AL221" i="19" s="1"/>
  <c r="AN220" i="20"/>
  <c r="AN221" i="20" s="1"/>
  <c r="AD22" i="16"/>
  <c r="AE22" i="16" s="1"/>
  <c r="Q65" i="32"/>
  <c r="Q64" i="32"/>
  <c r="AC59" i="73"/>
  <c r="AC2" i="73"/>
  <c r="AD10" i="73"/>
  <c r="AB14" i="73"/>
  <c r="AC22" i="73"/>
  <c r="AB18" i="73"/>
  <c r="AC18" i="73"/>
  <c r="AP30" i="60" l="1"/>
  <c r="AP46" i="60"/>
  <c r="AP52" i="60" s="1"/>
  <c r="AR16" i="63"/>
  <c r="AS38" i="63"/>
  <c r="AN16" i="52"/>
  <c r="AN21" i="52" s="1"/>
  <c r="AN38" i="52"/>
  <c r="AO37" i="32"/>
  <c r="AM73" i="57"/>
  <c r="AM79" i="57" s="1"/>
  <c r="AK9" i="68"/>
  <c r="AM25" i="22"/>
  <c r="AR7" i="57" s="1"/>
  <c r="AP38" i="57"/>
  <c r="AP43" i="57" s="1"/>
  <c r="AP12" i="57"/>
  <c r="AL9" i="68" s="1"/>
  <c r="AP16" i="57"/>
  <c r="AL25" i="22"/>
  <c r="AQ7" i="57" s="1"/>
  <c r="AN18" i="20"/>
  <c r="AN25" i="20" s="1"/>
  <c r="AL25" i="19"/>
  <c r="AO45" i="57"/>
  <c r="AO51" i="57" s="1"/>
  <c r="AQ16" i="63"/>
  <c r="AQ38" i="63"/>
  <c r="AQ43" i="63" s="1"/>
  <c r="AQ12" i="63"/>
  <c r="AM6" i="68" s="1"/>
  <c r="AO51" i="63"/>
  <c r="AU7" i="63"/>
  <c r="AP51" i="63"/>
  <c r="AP29" i="63"/>
  <c r="AR38" i="63"/>
  <c r="AR43" i="63" s="1"/>
  <c r="AN11" i="19"/>
  <c r="AN18" i="19" s="1"/>
  <c r="AN11" i="42"/>
  <c r="AN18" i="42" s="1"/>
  <c r="AS16" i="63"/>
  <c r="AS23" i="63" s="1"/>
  <c r="AR12" i="63"/>
  <c r="AN6" i="68" s="1"/>
  <c r="AL25" i="42"/>
  <c r="AN11" i="22"/>
  <c r="AN18" i="22" s="1"/>
  <c r="AN46" i="65"/>
  <c r="AN52" i="65" s="1"/>
  <c r="AS12" i="63"/>
  <c r="AR23" i="63"/>
  <c r="AS43" i="63"/>
  <c r="AO24" i="65"/>
  <c r="AM52" i="65"/>
  <c r="AM74" i="65"/>
  <c r="AM80" i="65" s="1"/>
  <c r="AP13" i="65"/>
  <c r="AK17" i="68"/>
  <c r="AO45" i="61"/>
  <c r="AO29" i="61"/>
  <c r="AO43" i="61"/>
  <c r="AQ60" i="61"/>
  <c r="AQ7" i="61"/>
  <c r="AP38" i="61"/>
  <c r="AP43" i="61" s="1"/>
  <c r="AP12" i="61"/>
  <c r="AP16" i="61"/>
  <c r="AN45" i="61"/>
  <c r="AN29" i="61"/>
  <c r="AM73" i="61"/>
  <c r="AM79" i="61" s="1"/>
  <c r="AM51" i="61"/>
  <c r="AK8" i="68"/>
  <c r="AM26" i="62"/>
  <c r="AM21" i="62"/>
  <c r="AM28" i="62"/>
  <c r="AM44" i="62"/>
  <c r="AN22" i="62"/>
  <c r="AN20" i="62"/>
  <c r="AN21" i="62" s="1"/>
  <c r="AN42" i="62"/>
  <c r="AO11" i="62"/>
  <c r="AO37" i="62"/>
  <c r="AO15" i="62"/>
  <c r="AO22" i="62" s="1"/>
  <c r="AO7" i="52"/>
  <c r="AM71" i="52"/>
  <c r="AL48" i="62"/>
  <c r="AL32" i="62"/>
  <c r="AP6" i="62"/>
  <c r="AL13" i="19"/>
  <c r="AJ7" i="68"/>
  <c r="AN60" i="52"/>
  <c r="AL13" i="42"/>
  <c r="AL33" i="60"/>
  <c r="AL49" i="60"/>
  <c r="AM22" i="60"/>
  <c r="AM51" i="60"/>
  <c r="AM73" i="60"/>
  <c r="AM79" i="60" s="1"/>
  <c r="AN29" i="60"/>
  <c r="AN45" i="60"/>
  <c r="AO43" i="60"/>
  <c r="AN43" i="60"/>
  <c r="AO21" i="60"/>
  <c r="AO22" i="60" s="1"/>
  <c r="AN21" i="60"/>
  <c r="AN22" i="60" s="1"/>
  <c r="AM49" i="60"/>
  <c r="AM33" i="60"/>
  <c r="AO45" i="60"/>
  <c r="AO29" i="60"/>
  <c r="AP16" i="60"/>
  <c r="AP23" i="60" s="1"/>
  <c r="AP38" i="60"/>
  <c r="AP12" i="60"/>
  <c r="AL13" i="68" s="1"/>
  <c r="AM13" i="22"/>
  <c r="AM13" i="20"/>
  <c r="AM18" i="20"/>
  <c r="AM25" i="20" s="1"/>
  <c r="AM18" i="42"/>
  <c r="AM16" i="42"/>
  <c r="AM220" i="42"/>
  <c r="AM221" i="42" s="1"/>
  <c r="AN16" i="42"/>
  <c r="AN16" i="19"/>
  <c r="AM18" i="19"/>
  <c r="AM16" i="19"/>
  <c r="AN23" i="41"/>
  <c r="AM220" i="19"/>
  <c r="AM221" i="19" s="1"/>
  <c r="AN220" i="42"/>
  <c r="AN221" i="42" s="1"/>
  <c r="AN220" i="19"/>
  <c r="AN221" i="19" s="1"/>
  <c r="AF22" i="16"/>
  <c r="Q95" i="32"/>
  <c r="Q93" i="32"/>
  <c r="AE10" i="73"/>
  <c r="AD59" i="73"/>
  <c r="AC14" i="73"/>
  <c r="AD22" i="73"/>
  <c r="AF10" i="73"/>
  <c r="AD18" i="73"/>
  <c r="AS45" i="63" l="1"/>
  <c r="AR38" i="57"/>
  <c r="AR43" i="57" s="1"/>
  <c r="AO16" i="52"/>
  <c r="AO38" i="52"/>
  <c r="AP37" i="32"/>
  <c r="AP23" i="57"/>
  <c r="AP45" i="57" s="1"/>
  <c r="AP73" i="57" s="1"/>
  <c r="AP79" i="57" s="1"/>
  <c r="AQ16" i="57"/>
  <c r="AQ38" i="57"/>
  <c r="AQ43" i="57" s="1"/>
  <c r="AQ12" i="57"/>
  <c r="AM9" i="68" s="1"/>
  <c r="AO73" i="57"/>
  <c r="AO79" i="57" s="1"/>
  <c r="AN25" i="22"/>
  <c r="AS7" i="57" s="1"/>
  <c r="AP23" i="61"/>
  <c r="AP29" i="61" s="1"/>
  <c r="AN25" i="19"/>
  <c r="AM25" i="19"/>
  <c r="AQ23" i="63"/>
  <c r="AQ29" i="63" s="1"/>
  <c r="AS29" i="63"/>
  <c r="AU38" i="63"/>
  <c r="AR45" i="63"/>
  <c r="AR73" i="63" s="1"/>
  <c r="AR79" i="63" s="1"/>
  <c r="AU43" i="63"/>
  <c r="AU16" i="63"/>
  <c r="AU23" i="63" s="1"/>
  <c r="AU29" i="63" s="1"/>
  <c r="AR12" i="57"/>
  <c r="AN9" i="68" s="1"/>
  <c r="AR16" i="57"/>
  <c r="AR23" i="57" s="1"/>
  <c r="AN25" i="42"/>
  <c r="AN13" i="22"/>
  <c r="AU12" i="63"/>
  <c r="AM25" i="42"/>
  <c r="AO6" i="68"/>
  <c r="AN74" i="65"/>
  <c r="AN80" i="65" s="1"/>
  <c r="AR29" i="63"/>
  <c r="AS73" i="63"/>
  <c r="AS79" i="63" s="1"/>
  <c r="AS51" i="63"/>
  <c r="AL17" i="68"/>
  <c r="AP24" i="65"/>
  <c r="AQ13" i="65"/>
  <c r="AO30" i="65"/>
  <c r="AO46" i="65"/>
  <c r="AS60" i="61"/>
  <c r="AS7" i="61"/>
  <c r="AR60" i="61"/>
  <c r="AR7" i="61"/>
  <c r="AN73" i="61"/>
  <c r="AN79" i="61" s="1"/>
  <c r="AN51" i="61"/>
  <c r="AL8" i="68"/>
  <c r="AQ16" i="61"/>
  <c r="AQ38" i="61"/>
  <c r="AQ43" i="61" s="1"/>
  <c r="AQ12" i="61"/>
  <c r="AO73" i="61"/>
  <c r="AO79" i="61" s="1"/>
  <c r="AO51" i="61"/>
  <c r="AN26" i="62"/>
  <c r="AN32" i="62" s="1"/>
  <c r="AO60" i="52"/>
  <c r="AL54" i="62"/>
  <c r="AQ6" i="62"/>
  <c r="AO42" i="62"/>
  <c r="AM50" i="62"/>
  <c r="AM71" i="62"/>
  <c r="AM77" i="62" s="1"/>
  <c r="AO20" i="62"/>
  <c r="AO21" i="62" s="1"/>
  <c r="AK7" i="68"/>
  <c r="AO28" i="62"/>
  <c r="AO44" i="62"/>
  <c r="AP15" i="62"/>
  <c r="AP11" i="62"/>
  <c r="AL7" i="68" s="1"/>
  <c r="AP37" i="62"/>
  <c r="AP7" i="52"/>
  <c r="AN71" i="52"/>
  <c r="AN44" i="62"/>
  <c r="AN28" i="62"/>
  <c r="AM32" i="62"/>
  <c r="AM48" i="62"/>
  <c r="AQ7" i="60"/>
  <c r="AQ1" i="60" s="1"/>
  <c r="AQ17" i="60" s="1"/>
  <c r="AQ24" i="60" s="1"/>
  <c r="AN27" i="60"/>
  <c r="AN49" i="60" s="1"/>
  <c r="AL55" i="60"/>
  <c r="AO27" i="60"/>
  <c r="AO33" i="60" s="1"/>
  <c r="AO73" i="60"/>
  <c r="AO79" i="60" s="1"/>
  <c r="AO51" i="60"/>
  <c r="AN13" i="42"/>
  <c r="AP29" i="60"/>
  <c r="AP45" i="60"/>
  <c r="AP43" i="60"/>
  <c r="AN73" i="60"/>
  <c r="AN79" i="60" s="1"/>
  <c r="AN51" i="60"/>
  <c r="AP21" i="60"/>
  <c r="AP27" i="60" s="1"/>
  <c r="AM55" i="60"/>
  <c r="AM13" i="42"/>
  <c r="AN13" i="19"/>
  <c r="AM13" i="19"/>
  <c r="AG22" i="16"/>
  <c r="AH22" i="16" s="1"/>
  <c r="Q96" i="32"/>
  <c r="AF59" i="73"/>
  <c r="AD2" i="73"/>
  <c r="AD14" i="73"/>
  <c r="AF22" i="73"/>
  <c r="AE18" i="73"/>
  <c r="AF18" i="73"/>
  <c r="AE59" i="73"/>
  <c r="AE22" i="73"/>
  <c r="AQ30" i="60" l="1"/>
  <c r="AQ46" i="60"/>
  <c r="AQ52" i="60" s="1"/>
  <c r="AQ38" i="60"/>
  <c r="AQ43" i="60" s="1"/>
  <c r="AP38" i="52"/>
  <c r="AP16" i="52"/>
  <c r="AP21" i="52" s="1"/>
  <c r="AP6" i="68"/>
  <c r="AQ37" i="32"/>
  <c r="AP51" i="57"/>
  <c r="AP29" i="57"/>
  <c r="AS12" i="57"/>
  <c r="AO9" i="68" s="1"/>
  <c r="AS16" i="57"/>
  <c r="AS23" i="57" s="1"/>
  <c r="AU7" i="57"/>
  <c r="AS38" i="57"/>
  <c r="AS43" i="57" s="1"/>
  <c r="AU43" i="57" s="1"/>
  <c r="AQ23" i="57"/>
  <c r="AQ29" i="57" s="1"/>
  <c r="AP45" i="61"/>
  <c r="AP73" i="61" s="1"/>
  <c r="AP79" i="61" s="1"/>
  <c r="AQ45" i="63"/>
  <c r="AU45" i="63"/>
  <c r="AU51" i="63" s="1"/>
  <c r="AR51" i="63"/>
  <c r="AU44" i="63"/>
  <c r="AU99" i="63"/>
  <c r="AQ24" i="65"/>
  <c r="AQ30" i="65" s="1"/>
  <c r="AM17" i="68"/>
  <c r="AR13" i="65"/>
  <c r="AN17" i="68" s="1"/>
  <c r="AS24" i="65"/>
  <c r="AS37" i="32"/>
  <c r="AS13" i="65"/>
  <c r="AU8" i="65"/>
  <c r="AV8" i="65" s="1"/>
  <c r="AP30" i="65"/>
  <c r="AP46" i="65"/>
  <c r="AO52" i="65"/>
  <c r="AO74" i="65"/>
  <c r="AO80" i="65" s="1"/>
  <c r="AR45" i="57"/>
  <c r="AR29" i="57"/>
  <c r="AM8" i="68"/>
  <c r="AQ23" i="61"/>
  <c r="AS16" i="61"/>
  <c r="AS38" i="61"/>
  <c r="AS12" i="61"/>
  <c r="AU7" i="61"/>
  <c r="AR16" i="61"/>
  <c r="AR38" i="61"/>
  <c r="AR43" i="61" s="1"/>
  <c r="AR12" i="61"/>
  <c r="AU60" i="61"/>
  <c r="AN48" i="62"/>
  <c r="AO26" i="62"/>
  <c r="AO32" i="62" s="1"/>
  <c r="AP22" i="62"/>
  <c r="AP20" i="62"/>
  <c r="AO50" i="62"/>
  <c r="AO71" i="62"/>
  <c r="AO77" i="62" s="1"/>
  <c r="AQ15" i="62"/>
  <c r="AQ11" i="62"/>
  <c r="AQ37" i="62"/>
  <c r="AQ7" i="52"/>
  <c r="AR6" i="62"/>
  <c r="AP60" i="52"/>
  <c r="AP42" i="62"/>
  <c r="AN50" i="62"/>
  <c r="AN71" i="62"/>
  <c r="AN77" i="62" s="1"/>
  <c r="AS6" i="62"/>
  <c r="AO21" i="52"/>
  <c r="AM54" i="62"/>
  <c r="AO71" i="52"/>
  <c r="AQ16" i="60"/>
  <c r="AQ23" i="60" s="1"/>
  <c r="AQ29" i="60" s="1"/>
  <c r="AQ12" i="60"/>
  <c r="AM13" i="68" s="1"/>
  <c r="AO49" i="60"/>
  <c r="AN33" i="60"/>
  <c r="AS7" i="60"/>
  <c r="AS1" i="60" s="1"/>
  <c r="AP33" i="60"/>
  <c r="AP49" i="60"/>
  <c r="AP22" i="60"/>
  <c r="AN55" i="60"/>
  <c r="AR7" i="60"/>
  <c r="AR1" i="60" s="1"/>
  <c r="AR17" i="60" s="1"/>
  <c r="AR24" i="60" s="1"/>
  <c r="AP73" i="60"/>
  <c r="AP79" i="60" s="1"/>
  <c r="AP51" i="60"/>
  <c r="O25" i="32"/>
  <c r="N25" i="32"/>
  <c r="M25" i="32"/>
  <c r="AE2" i="73"/>
  <c r="AF14" i="73"/>
  <c r="AE14" i="73"/>
  <c r="AF2" i="73"/>
  <c r="AR30" i="60" l="1"/>
  <c r="AR46" i="60"/>
  <c r="AR52" i="60" s="1"/>
  <c r="AS17" i="60"/>
  <c r="AU1" i="60"/>
  <c r="AD6" i="75"/>
  <c r="AF6" i="75" s="1"/>
  <c r="AQ38" i="52"/>
  <c r="AQ16" i="52"/>
  <c r="AP9" i="68"/>
  <c r="AR37" i="32"/>
  <c r="AU37" i="32" s="1"/>
  <c r="AU12" i="57"/>
  <c r="AU98" i="57" s="1"/>
  <c r="AU16" i="57"/>
  <c r="AU23" i="57" s="1"/>
  <c r="AU29" i="57" s="1"/>
  <c r="AQ45" i="57"/>
  <c r="AU38" i="57"/>
  <c r="AP51" i="61"/>
  <c r="AQ51" i="63"/>
  <c r="AQ73" i="63"/>
  <c r="AQ79" i="63" s="1"/>
  <c r="AU73" i="63"/>
  <c r="AU79" i="63" s="1"/>
  <c r="AQ46" i="65"/>
  <c r="AQ52" i="65" s="1"/>
  <c r="AR24" i="65"/>
  <c r="AR30" i="65" s="1"/>
  <c r="AQ21" i="60"/>
  <c r="AQ27" i="60" s="1"/>
  <c r="AQ45" i="60"/>
  <c r="AQ73" i="60" s="1"/>
  <c r="AQ79" i="60" s="1"/>
  <c r="AO17" i="68"/>
  <c r="AU13" i="65"/>
  <c r="AU17" i="65"/>
  <c r="AP52" i="65"/>
  <c r="AP74" i="65"/>
  <c r="AP80" i="65" s="1"/>
  <c r="AS30" i="65"/>
  <c r="AS46" i="65"/>
  <c r="AU39" i="65"/>
  <c r="AR51" i="57"/>
  <c r="AR73" i="57"/>
  <c r="AR79" i="57" s="1"/>
  <c r="AS45" i="57"/>
  <c r="AS29" i="57"/>
  <c r="AQ29" i="61"/>
  <c r="AQ45" i="61"/>
  <c r="AS23" i="61"/>
  <c r="AS29" i="61" s="1"/>
  <c r="AU16" i="61"/>
  <c r="AU23" i="61" s="1"/>
  <c r="AO8" i="68"/>
  <c r="AU12" i="61"/>
  <c r="AS43" i="61"/>
  <c r="AU43" i="61" s="1"/>
  <c r="AU38" i="61"/>
  <c r="AN8" i="68"/>
  <c r="AR23" i="61"/>
  <c r="AO48" i="62"/>
  <c r="AN54" i="62"/>
  <c r="AQ42" i="62"/>
  <c r="AM7" i="68"/>
  <c r="AQ20" i="62"/>
  <c r="AQ21" i="62" s="1"/>
  <c r="AQ60" i="52"/>
  <c r="AP71" i="52"/>
  <c r="AS37" i="62"/>
  <c r="AS11" i="62"/>
  <c r="AS7" i="52"/>
  <c r="AS15" i="62"/>
  <c r="AU6" i="62"/>
  <c r="AS60" i="52"/>
  <c r="AR15" i="62"/>
  <c r="AR22" i="62" s="1"/>
  <c r="AR28" i="62" s="1"/>
  <c r="AR37" i="62"/>
  <c r="AR7" i="52"/>
  <c r="AR11" i="62"/>
  <c r="AU59" i="62"/>
  <c r="AP26" i="62"/>
  <c r="AP21" i="62"/>
  <c r="AQ22" i="62"/>
  <c r="AP44" i="62"/>
  <c r="AP28" i="62"/>
  <c r="AO55" i="60"/>
  <c r="AS16" i="60"/>
  <c r="AS38" i="60"/>
  <c r="AS12" i="60"/>
  <c r="AO13" i="68" s="1"/>
  <c r="AR38" i="60"/>
  <c r="AR12" i="60"/>
  <c r="AN13" i="68" s="1"/>
  <c r="AR16" i="60"/>
  <c r="AR23" i="60" s="1"/>
  <c r="AU7" i="60"/>
  <c r="AP55" i="60"/>
  <c r="AI22" i="16"/>
  <c r="N31" i="32"/>
  <c r="N47" i="32"/>
  <c r="O47" i="32"/>
  <c r="O31" i="32"/>
  <c r="M47" i="32"/>
  <c r="M31" i="32"/>
  <c r="Q18" i="32"/>
  <c r="Q25" i="32" l="1"/>
  <c r="AS24" i="60"/>
  <c r="AU17" i="60"/>
  <c r="AU24" i="60" s="1"/>
  <c r="AU24" i="65"/>
  <c r="AU30" i="65" s="1"/>
  <c r="AD15" i="75"/>
  <c r="AF15" i="75" s="1"/>
  <c r="AD37" i="75"/>
  <c r="AF37" i="75" s="1"/>
  <c r="AD11" i="75"/>
  <c r="AF11" i="75" s="1"/>
  <c r="AS38" i="52"/>
  <c r="AS16" i="52"/>
  <c r="AS21" i="52" s="1"/>
  <c r="AR38" i="52"/>
  <c r="AR16" i="52"/>
  <c r="AR21" i="52" s="1"/>
  <c r="AP17" i="68"/>
  <c r="AP13" i="68"/>
  <c r="AU44" i="57"/>
  <c r="AU45" i="57"/>
  <c r="AU73" i="57" s="1"/>
  <c r="AU79" i="57" s="1"/>
  <c r="AQ51" i="57"/>
  <c r="AQ73" i="57"/>
  <c r="AQ79" i="57" s="1"/>
  <c r="AQ74" i="65"/>
  <c r="AQ80" i="65" s="1"/>
  <c r="AS45" i="61"/>
  <c r="AS73" i="61" s="1"/>
  <c r="AS79" i="61" s="1"/>
  <c r="AR46" i="65"/>
  <c r="AR74" i="65" s="1"/>
  <c r="AR80" i="65" s="1"/>
  <c r="AQ51" i="60"/>
  <c r="AQ22" i="60"/>
  <c r="AS52" i="65"/>
  <c r="AS74" i="65"/>
  <c r="AS80" i="65" s="1"/>
  <c r="AU99" i="65"/>
  <c r="AF96" i="75" s="1"/>
  <c r="AS51" i="57"/>
  <c r="AS73" i="57"/>
  <c r="AS79" i="57" s="1"/>
  <c r="AP8" i="68"/>
  <c r="AR29" i="61"/>
  <c r="AR45" i="61"/>
  <c r="AU98" i="61"/>
  <c r="AU45" i="61"/>
  <c r="AU29" i="61"/>
  <c r="AQ73" i="61"/>
  <c r="AQ79" i="61" s="1"/>
  <c r="AQ51" i="61"/>
  <c r="AU44" i="61"/>
  <c r="AO54" i="62"/>
  <c r="AS42" i="62"/>
  <c r="AU37" i="62"/>
  <c r="AQ71" i="52"/>
  <c r="AP32" i="62"/>
  <c r="AP48" i="62"/>
  <c r="AQ21" i="52"/>
  <c r="AQ26" i="62"/>
  <c r="AS22" i="62"/>
  <c r="AS20" i="62"/>
  <c r="AU15" i="62"/>
  <c r="AU22" i="62" s="1"/>
  <c r="AQ28" i="62"/>
  <c r="AQ44" i="62"/>
  <c r="AR60" i="52"/>
  <c r="AP50" i="62"/>
  <c r="AP71" i="62"/>
  <c r="AP77" i="62" s="1"/>
  <c r="AR20" i="62"/>
  <c r="AR21" i="62" s="1"/>
  <c r="AN7" i="68"/>
  <c r="AS71" i="52"/>
  <c r="AR44" i="62"/>
  <c r="AR42" i="62"/>
  <c r="AO7" i="68"/>
  <c r="AU11" i="62"/>
  <c r="AS43" i="60"/>
  <c r="AR45" i="60"/>
  <c r="AR29" i="60"/>
  <c r="AR21" i="60"/>
  <c r="AR27" i="60" s="1"/>
  <c r="AU16" i="60"/>
  <c r="AU23" i="60" s="1"/>
  <c r="AQ33" i="60"/>
  <c r="AQ49" i="60"/>
  <c r="AU12" i="60"/>
  <c r="AS21" i="60"/>
  <c r="AS22" i="60" s="1"/>
  <c r="AR43" i="60"/>
  <c r="AU38" i="60"/>
  <c r="AS23" i="60"/>
  <c r="AJ22" i="16"/>
  <c r="AK22" i="16" s="1"/>
  <c r="AL22" i="16" s="1"/>
  <c r="Q31" i="32"/>
  <c r="Q47" i="32"/>
  <c r="M75" i="32"/>
  <c r="M81" i="32" s="1"/>
  <c r="M53" i="32"/>
  <c r="O75" i="32"/>
  <c r="O81" i="32" s="1"/>
  <c r="O53" i="32"/>
  <c r="N75" i="32"/>
  <c r="N81" i="32" s="1"/>
  <c r="N53" i="32"/>
  <c r="AU46" i="65" l="1"/>
  <c r="AU46" i="60"/>
  <c r="AU52" i="60" s="1"/>
  <c r="AU30" i="60"/>
  <c r="AS46" i="60"/>
  <c r="AS52" i="60" s="1"/>
  <c r="AS30" i="60"/>
  <c r="AR52" i="65"/>
  <c r="AU51" i="57"/>
  <c r="AS51" i="61"/>
  <c r="AU52" i="65"/>
  <c r="AU74" i="65"/>
  <c r="AU80" i="65" s="1"/>
  <c r="AU51" i="61"/>
  <c r="AU73" i="61"/>
  <c r="AU79" i="61" s="1"/>
  <c r="AR73" i="61"/>
  <c r="AR79" i="61" s="1"/>
  <c r="AR51" i="61"/>
  <c r="AR26" i="62"/>
  <c r="AR48" i="62" s="1"/>
  <c r="AU16" i="52"/>
  <c r="AA15" i="75" s="1"/>
  <c r="AC15" i="75" s="1"/>
  <c r="AU44" i="62"/>
  <c r="AU28" i="62"/>
  <c r="AR71" i="62"/>
  <c r="AR77" i="62" s="1"/>
  <c r="AR50" i="62"/>
  <c r="AR71" i="52"/>
  <c r="AU71" i="52" s="1"/>
  <c r="AQ50" i="62"/>
  <c r="AQ71" i="62"/>
  <c r="AQ77" i="62" s="1"/>
  <c r="AP54" i="62"/>
  <c r="AS21" i="62"/>
  <c r="AU20" i="62"/>
  <c r="AU21" i="62" s="1"/>
  <c r="AU21" i="52"/>
  <c r="AS28" i="62"/>
  <c r="AS44" i="62"/>
  <c r="AU96" i="62"/>
  <c r="AS26" i="62"/>
  <c r="AQ32" i="62"/>
  <c r="AQ48" i="62"/>
  <c r="AP7" i="68"/>
  <c r="AU60" i="52"/>
  <c r="AA59" i="75" s="1"/>
  <c r="AU42" i="62"/>
  <c r="AU43" i="62" s="1"/>
  <c r="AU43" i="60"/>
  <c r="AU44" i="60" s="1"/>
  <c r="AU98" i="60"/>
  <c r="AR22" i="60"/>
  <c r="AU21" i="60"/>
  <c r="AU22" i="60" s="1"/>
  <c r="AR49" i="60"/>
  <c r="AR33" i="60"/>
  <c r="AQ55" i="60"/>
  <c r="AU29" i="60"/>
  <c r="AU45" i="60"/>
  <c r="AR51" i="60"/>
  <c r="AR73" i="60"/>
  <c r="AR79" i="60" s="1"/>
  <c r="AS29" i="60"/>
  <c r="AS45" i="60"/>
  <c r="AS27" i="60"/>
  <c r="Q75" i="32"/>
  <c r="Q81" i="32" s="1"/>
  <c r="Q53" i="32"/>
  <c r="AA69" i="75" l="1"/>
  <c r="AC69" i="75" s="1"/>
  <c r="AV71" i="52"/>
  <c r="AA20" i="75"/>
  <c r="AC20" i="75" s="1"/>
  <c r="AC59" i="75"/>
  <c r="AR32" i="62"/>
  <c r="AU26" i="62"/>
  <c r="AU48" i="62" s="1"/>
  <c r="AS32" i="62"/>
  <c r="AS48" i="62"/>
  <c r="AR54" i="62"/>
  <c r="AQ54" i="62"/>
  <c r="AS71" i="62"/>
  <c r="AS77" i="62" s="1"/>
  <c r="AS50" i="62"/>
  <c r="AU71" i="62"/>
  <c r="AU77" i="62" s="1"/>
  <c r="AU50" i="62"/>
  <c r="AU27" i="60"/>
  <c r="AU49" i="60" s="1"/>
  <c r="AU73" i="60"/>
  <c r="AU79" i="60" s="1"/>
  <c r="AU51" i="60"/>
  <c r="AS73" i="60"/>
  <c r="AS79" i="60" s="1"/>
  <c r="AS51" i="60"/>
  <c r="AS49" i="60"/>
  <c r="AS33" i="60"/>
  <c r="AR55" i="60"/>
  <c r="O99" i="32"/>
  <c r="AU32" i="62" l="1"/>
  <c r="AS54" i="62"/>
  <c r="AU54" i="62"/>
  <c r="AU33" i="60"/>
  <c r="AS55" i="60"/>
  <c r="AU55" i="60"/>
  <c r="AM22" i="16"/>
  <c r="Q94" i="32"/>
  <c r="Q92" i="32"/>
  <c r="Q91" i="32"/>
  <c r="Q97" i="32"/>
  <c r="AN22" i="16" l="1"/>
  <c r="Q99" i="32"/>
  <c r="C27" i="43" l="1"/>
  <c r="M26" i="32"/>
  <c r="N26" i="32"/>
  <c r="O26" i="32"/>
  <c r="AF97" i="75" l="1"/>
  <c r="N48" i="32"/>
  <c r="N32" i="32"/>
  <c r="O32" i="32"/>
  <c r="O48" i="32"/>
  <c r="M48" i="32"/>
  <c r="M32" i="32"/>
  <c r="Q26" i="32"/>
  <c r="O76" i="32" l="1"/>
  <c r="O82" i="32" s="1"/>
  <c r="O54" i="32"/>
  <c r="Q32" i="32"/>
  <c r="Q48" i="32"/>
  <c r="N54" i="32"/>
  <c r="N76" i="32"/>
  <c r="N82" i="32" s="1"/>
  <c r="M54" i="32"/>
  <c r="M76" i="32"/>
  <c r="M82" i="32" s="1"/>
  <c r="Q54" i="32" l="1"/>
  <c r="Q76" i="32"/>
  <c r="Q82" i="32" s="1"/>
  <c r="Q37" i="32" l="1"/>
  <c r="Q39" i="32" l="1"/>
  <c r="M24" i="32"/>
  <c r="O24" i="32"/>
  <c r="N24" i="32"/>
  <c r="O30" i="32" l="1"/>
  <c r="O46" i="32"/>
  <c r="Q17" i="32"/>
  <c r="M46" i="32"/>
  <c r="M30" i="32"/>
  <c r="N46" i="32"/>
  <c r="N30" i="32"/>
  <c r="Q24" i="32" l="1"/>
  <c r="Q30" i="32"/>
  <c r="Q46" i="32"/>
  <c r="O52" i="32"/>
  <c r="O74" i="32"/>
  <c r="O80" i="32" s="1"/>
  <c r="M52" i="32"/>
  <c r="M74" i="32"/>
  <c r="M80" i="32" s="1"/>
  <c r="N52" i="32"/>
  <c r="N74" i="32"/>
  <c r="N80" i="32" s="1"/>
  <c r="Q74" i="32" l="1"/>
  <c r="Q80" i="32" s="1"/>
  <c r="Q52" i="32"/>
  <c r="I354" i="16" l="1"/>
  <c r="H354" i="16"/>
  <c r="G354" i="16"/>
  <c r="F354" i="16"/>
  <c r="J416" i="16"/>
  <c r="K416" i="16" s="1"/>
  <c r="L416" i="16" s="1"/>
  <c r="M416" i="16" s="1"/>
  <c r="N416" i="16" s="1"/>
  <c r="O416" i="16" s="1"/>
  <c r="P416" i="16" s="1"/>
  <c r="Q416" i="16" s="1"/>
  <c r="R416" i="16" s="1"/>
  <c r="S416" i="16" s="1"/>
  <c r="T416" i="16" s="1"/>
  <c r="U416" i="16" s="1"/>
  <c r="V416" i="16" s="1"/>
  <c r="W416" i="16" s="1"/>
  <c r="X416" i="16" s="1"/>
  <c r="Y416" i="16" s="1"/>
  <c r="Z416" i="16" s="1"/>
  <c r="AA416" i="16" s="1"/>
  <c r="AB416" i="16" s="1"/>
  <c r="AC416" i="16" s="1"/>
  <c r="AD416" i="16" s="1"/>
  <c r="AE416" i="16" s="1"/>
  <c r="AF416" i="16" s="1"/>
  <c r="AG416" i="16" s="1"/>
  <c r="AH416" i="16" s="1"/>
  <c r="AI416" i="16" s="1"/>
  <c r="AJ416" i="16" s="1"/>
  <c r="AK416" i="16" s="1"/>
  <c r="AL416" i="16" s="1"/>
  <c r="AM416" i="16" s="1"/>
  <c r="AN416" i="16" s="1"/>
  <c r="E354" i="16"/>
  <c r="F154" i="16"/>
  <c r="I154" i="16" s="1"/>
  <c r="L154" i="16" s="1"/>
  <c r="O154" i="16" s="1"/>
  <c r="R154" i="16" s="1"/>
  <c r="U154" i="16" s="1"/>
  <c r="X154" i="16" s="1"/>
  <c r="AA154" i="16" s="1"/>
  <c r="AD154" i="16" s="1"/>
  <c r="AG154" i="16" s="1"/>
  <c r="AJ154" i="16" s="1"/>
  <c r="AM154" i="16" s="1"/>
  <c r="G154" i="16"/>
  <c r="J154" i="16" s="1"/>
  <c r="M154" i="16" s="1"/>
  <c r="P154" i="16" s="1"/>
  <c r="S154" i="16" s="1"/>
  <c r="V154" i="16" s="1"/>
  <c r="Y154" i="16" s="1"/>
  <c r="AB154" i="16" s="1"/>
  <c r="AE154" i="16" s="1"/>
  <c r="AH154" i="16" s="1"/>
  <c r="AK154" i="16" s="1"/>
  <c r="AN154" i="16" s="1"/>
  <c r="J226" i="16"/>
  <c r="K226" i="16" s="1"/>
  <c r="L226" i="16" s="1"/>
  <c r="M226" i="16" s="1"/>
  <c r="N226" i="16" s="1"/>
  <c r="O226" i="16" s="1"/>
  <c r="P226" i="16" s="1"/>
  <c r="Q226" i="16" s="1"/>
  <c r="R226" i="16" s="1"/>
  <c r="S226" i="16" s="1"/>
  <c r="T226" i="16" s="1"/>
  <c r="U226" i="16" s="1"/>
  <c r="V226" i="16" s="1"/>
  <c r="W226" i="16" s="1"/>
  <c r="X226" i="16" s="1"/>
  <c r="Y226" i="16" s="1"/>
  <c r="Z226" i="16" s="1"/>
  <c r="AA226" i="16" s="1"/>
  <c r="AB226" i="16" s="1"/>
  <c r="AC226" i="16" s="1"/>
  <c r="AD226" i="16" s="1"/>
  <c r="AE226" i="16" s="1"/>
  <c r="AF226" i="16" s="1"/>
  <c r="AG226" i="16" s="1"/>
  <c r="AH226" i="16" s="1"/>
  <c r="AI226" i="16" s="1"/>
  <c r="AJ226" i="16" s="1"/>
  <c r="AK226" i="16" s="1"/>
  <c r="AL226" i="16" s="1"/>
  <c r="AM226" i="16" s="1"/>
  <c r="AN226" i="16" s="1"/>
  <c r="I209" i="16"/>
  <c r="I210" i="16" s="1"/>
  <c r="I205" i="16"/>
  <c r="H209" i="16"/>
  <c r="H205" i="16"/>
  <c r="G209" i="16"/>
  <c r="G210" i="16" s="1"/>
  <c r="G205" i="16"/>
  <c r="F209" i="16"/>
  <c r="F205" i="16"/>
  <c r="E210" i="16"/>
  <c r="E209" i="16"/>
  <c r="E205" i="16"/>
  <c r="I27" i="16"/>
  <c r="I28" i="16" s="1"/>
  <c r="I50" i="16"/>
  <c r="H50" i="16"/>
  <c r="G50" i="16"/>
  <c r="F50" i="16"/>
  <c r="E112" i="16"/>
  <c r="E154" i="16"/>
  <c r="H154" i="16" s="1"/>
  <c r="K154" i="16" s="1"/>
  <c r="N154" i="16" s="1"/>
  <c r="Q154" i="16" s="1"/>
  <c r="T154" i="16" s="1"/>
  <c r="W154" i="16" s="1"/>
  <c r="Z154" i="16" s="1"/>
  <c r="AC154" i="16" s="1"/>
  <c r="AF154" i="16" s="1"/>
  <c r="AI154" i="16" s="1"/>
  <c r="AL154" i="16" s="1"/>
  <c r="F71" i="16"/>
  <c r="H71" i="16" s="1"/>
  <c r="E50" i="16"/>
  <c r="H27" i="16"/>
  <c r="H28" i="16" s="1"/>
  <c r="G27" i="16"/>
  <c r="G28" i="16" s="1"/>
  <c r="F27" i="16"/>
  <c r="F28" i="16" s="1"/>
  <c r="J7" i="16"/>
  <c r="F112" i="16" l="1"/>
  <c r="G112" i="16" s="1"/>
  <c r="H112" i="16" s="1"/>
  <c r="I112" i="16" s="1"/>
  <c r="J112" i="16" s="1"/>
  <c r="K112" i="16" s="1"/>
  <c r="L112" i="16" s="1"/>
  <c r="M112" i="16" s="1"/>
  <c r="N112" i="16" s="1"/>
  <c r="O112" i="16" s="1"/>
  <c r="P112" i="16" s="1"/>
  <c r="Q112" i="16" s="1"/>
  <c r="R112" i="16" s="1"/>
  <c r="S112" i="16" s="1"/>
  <c r="T112" i="16" s="1"/>
  <c r="U112" i="16" s="1"/>
  <c r="V112" i="16" s="1"/>
  <c r="W112" i="16" s="1"/>
  <c r="X112" i="16" s="1"/>
  <c r="Y112" i="16" s="1"/>
  <c r="Z112" i="16" s="1"/>
  <c r="AA112" i="16" s="1"/>
  <c r="AB112" i="16" s="1"/>
  <c r="AC112" i="16" s="1"/>
  <c r="AD112" i="16" s="1"/>
  <c r="AE112" i="16" s="1"/>
  <c r="AF112" i="16" s="1"/>
  <c r="AG112" i="16" s="1"/>
  <c r="AH112" i="16" s="1"/>
  <c r="AI112" i="16" s="1"/>
  <c r="AJ112" i="16" s="1"/>
  <c r="AK112" i="16" s="1"/>
  <c r="AL112" i="16" s="1"/>
  <c r="AM112" i="16" s="1"/>
  <c r="AN112" i="16" s="1"/>
  <c r="H362" i="16"/>
  <c r="J210" i="16"/>
  <c r="E362" i="16"/>
  <c r="H213" i="16"/>
  <c r="H210" i="16"/>
  <c r="E27" i="16"/>
  <c r="E28" i="16" s="1"/>
  <c r="F213" i="16"/>
  <c r="F228" i="16" s="1"/>
  <c r="E213" i="16"/>
  <c r="J71" i="16"/>
  <c r="K71" i="16" s="1"/>
  <c r="L71" i="16" s="1"/>
  <c r="M71" i="16" s="1"/>
  <c r="N71" i="16" s="1"/>
  <c r="O71" i="16" s="1"/>
  <c r="P71" i="16" s="1"/>
  <c r="Q71" i="16" s="1"/>
  <c r="R71" i="16" s="1"/>
  <c r="S71" i="16" s="1"/>
  <c r="T71" i="16" s="1"/>
  <c r="U71" i="16" s="1"/>
  <c r="V71" i="16" s="1"/>
  <c r="W71" i="16" s="1"/>
  <c r="X71" i="16" s="1"/>
  <c r="Y71" i="16" s="1"/>
  <c r="Z71" i="16" s="1"/>
  <c r="AA71" i="16" s="1"/>
  <c r="AB71" i="16" s="1"/>
  <c r="AC71" i="16" s="1"/>
  <c r="AD71" i="16" s="1"/>
  <c r="AE71" i="16" s="1"/>
  <c r="AF71" i="16" s="1"/>
  <c r="AG71" i="16" s="1"/>
  <c r="AH71" i="16" s="1"/>
  <c r="AI71" i="16" s="1"/>
  <c r="AJ71" i="16" s="1"/>
  <c r="AK71" i="16" s="1"/>
  <c r="AL71" i="16" s="1"/>
  <c r="AM71" i="16" s="1"/>
  <c r="AN71" i="16" s="1"/>
  <c r="Y228" i="16" l="1"/>
  <c r="M228" i="16"/>
  <c r="P228" i="16"/>
  <c r="O228" i="16"/>
  <c r="AA228" i="16"/>
  <c r="N228" i="16"/>
  <c r="U228" i="16"/>
  <c r="T228" i="16"/>
  <c r="S228" i="16"/>
  <c r="R228" i="16"/>
  <c r="J228" i="16"/>
  <c r="I228" i="16"/>
  <c r="H228" i="16"/>
  <c r="G228" i="16"/>
  <c r="Z228" i="16"/>
  <c r="X228" i="16"/>
  <c r="W228" i="16"/>
  <c r="V228" i="16"/>
  <c r="Q228" i="16"/>
  <c r="L228" i="16"/>
  <c r="K228" i="16"/>
  <c r="E376" i="16"/>
  <c r="H230" i="16"/>
  <c r="V376" i="16" l="1"/>
  <c r="J376" i="16"/>
  <c r="U376" i="16"/>
  <c r="I376" i="16"/>
  <c r="S376" i="16"/>
  <c r="G376" i="16"/>
  <c r="R376" i="16"/>
  <c r="F376" i="16"/>
  <c r="Q376" i="16"/>
  <c r="X376" i="16"/>
  <c r="T376" i="16"/>
  <c r="P376" i="16"/>
  <c r="W376" i="16"/>
  <c r="O376" i="16"/>
  <c r="L376" i="16"/>
  <c r="N376" i="16"/>
  <c r="AF376" i="16"/>
  <c r="M376" i="16"/>
  <c r="H376" i="16"/>
  <c r="AA376" i="16"/>
  <c r="Y376" i="16"/>
  <c r="K376" i="16"/>
  <c r="Z376" i="16"/>
  <c r="T230" i="16"/>
  <c r="AC230" i="16"/>
  <c r="P230" i="16"/>
  <c r="AB230" i="16"/>
  <c r="O230" i="16"/>
  <c r="AA230" i="16"/>
  <c r="N230" i="16"/>
  <c r="Z230" i="16"/>
  <c r="M230" i="16"/>
  <c r="I230" i="16"/>
  <c r="Y230" i="16"/>
  <c r="X230" i="16"/>
  <c r="W230" i="16"/>
  <c r="V230" i="16"/>
  <c r="U230" i="16"/>
  <c r="S230" i="16"/>
  <c r="R230" i="16"/>
  <c r="Q230" i="16"/>
  <c r="L230" i="16"/>
  <c r="K230" i="16"/>
  <c r="J230" i="16"/>
  <c r="E365" i="16"/>
  <c r="O20" i="16" l="1"/>
  <c r="N15" i="16"/>
  <c r="O15" i="16" s="1"/>
  <c r="P15" i="16" s="1"/>
  <c r="P20" i="16" l="1"/>
  <c r="E207" i="16" l="1"/>
  <c r="AB376" i="16" l="1"/>
  <c r="I54" i="16"/>
  <c r="H54" i="16"/>
  <c r="G54" i="16"/>
  <c r="F54" i="16"/>
  <c r="F58" i="16" s="1"/>
  <c r="F73" i="16" s="1"/>
  <c r="I55" i="16"/>
  <c r="H55" i="16"/>
  <c r="G55" i="16"/>
  <c r="F55" i="16"/>
  <c r="E54" i="16"/>
  <c r="E55" i="16"/>
  <c r="I56" i="16" l="1"/>
  <c r="AK73" i="16"/>
  <c r="Y73" i="16"/>
  <c r="M73" i="16"/>
  <c r="AC73" i="16"/>
  <c r="P73" i="16"/>
  <c r="AB73" i="16"/>
  <c r="O73" i="16"/>
  <c r="AN73" i="16"/>
  <c r="AA73" i="16"/>
  <c r="N73" i="16"/>
  <c r="AD73" i="16"/>
  <c r="J73" i="16"/>
  <c r="Z73" i="16"/>
  <c r="I73" i="16"/>
  <c r="X73" i="16"/>
  <c r="H73" i="16"/>
  <c r="W73" i="16"/>
  <c r="G73" i="16"/>
  <c r="AM73" i="16"/>
  <c r="V73" i="16"/>
  <c r="AL73" i="16"/>
  <c r="U73" i="16"/>
  <c r="AJ73" i="16"/>
  <c r="T73" i="16"/>
  <c r="AI73" i="16"/>
  <c r="S73" i="16"/>
  <c r="AH73" i="16"/>
  <c r="R73" i="16"/>
  <c r="AG73" i="16"/>
  <c r="Q73" i="16"/>
  <c r="AF73" i="16"/>
  <c r="L73" i="16"/>
  <c r="AE73" i="16"/>
  <c r="K73" i="16"/>
  <c r="E58" i="16"/>
  <c r="E72" i="16" s="1"/>
  <c r="AC376" i="16"/>
  <c r="G56" i="16"/>
  <c r="H56" i="16"/>
  <c r="F56" i="16"/>
  <c r="E56" i="16"/>
  <c r="AB228" i="16" l="1"/>
  <c r="AD230" i="16"/>
  <c r="AI72" i="16"/>
  <c r="W72" i="16"/>
  <c r="K72" i="16"/>
  <c r="AK72" i="16"/>
  <c r="X72" i="16"/>
  <c r="J72" i="16"/>
  <c r="AJ72" i="16"/>
  <c r="V72" i="16"/>
  <c r="I72" i="16"/>
  <c r="AH72" i="16"/>
  <c r="U72" i="16"/>
  <c r="H72" i="16"/>
  <c r="AB72" i="16"/>
  <c r="L72" i="16"/>
  <c r="AA72" i="16"/>
  <c r="G72" i="16"/>
  <c r="Z72" i="16"/>
  <c r="F72" i="16"/>
  <c r="Y72" i="16"/>
  <c r="AN72" i="16"/>
  <c r="T72" i="16"/>
  <c r="AM72" i="16"/>
  <c r="S72" i="16"/>
  <c r="AL72" i="16"/>
  <c r="R72" i="16"/>
  <c r="AG72" i="16"/>
  <c r="Q72" i="16"/>
  <c r="AF72" i="16"/>
  <c r="P72" i="16"/>
  <c r="AE72" i="16"/>
  <c r="O72" i="16"/>
  <c r="AD72" i="16"/>
  <c r="N72" i="16"/>
  <c r="AC72" i="16"/>
  <c r="M72" i="16"/>
  <c r="E61" i="16"/>
  <c r="AD376" i="16"/>
  <c r="AC228" i="16" l="1"/>
  <c r="AE230" i="16"/>
  <c r="AE376" i="16"/>
  <c r="E204" i="16"/>
  <c r="F49" i="16"/>
  <c r="F52" i="16" s="1"/>
  <c r="AD228" i="16" l="1"/>
  <c r="AF230" i="16"/>
  <c r="E308" i="16"/>
  <c r="E227" i="16"/>
  <c r="E59" i="16"/>
  <c r="E60" i="16"/>
  <c r="E155" i="16" s="1"/>
  <c r="E268" i="16"/>
  <c r="F59" i="16"/>
  <c r="F60" i="16"/>
  <c r="F156" i="16" s="1"/>
  <c r="W308" i="16" l="1"/>
  <c r="T308" i="16"/>
  <c r="Q308" i="16"/>
  <c r="N308" i="16"/>
  <c r="K308" i="16"/>
  <c r="H308" i="16"/>
  <c r="AL308" i="16"/>
  <c r="AI308" i="16"/>
  <c r="AF308" i="16"/>
  <c r="AC308" i="16"/>
  <c r="Z308" i="16"/>
  <c r="AI268" i="16"/>
  <c r="W268" i="16"/>
  <c r="K268" i="16"/>
  <c r="AG268" i="16"/>
  <c r="U268" i="16"/>
  <c r="I268" i="16"/>
  <c r="AE268" i="16"/>
  <c r="Q268" i="16"/>
  <c r="AC268" i="16"/>
  <c r="O268" i="16"/>
  <c r="AD268" i="16"/>
  <c r="P268" i="16"/>
  <c r="AA268" i="16"/>
  <c r="H268" i="16"/>
  <c r="Y268" i="16"/>
  <c r="X268" i="16"/>
  <c r="AN268" i="16"/>
  <c r="V268" i="16"/>
  <c r="AM268" i="16"/>
  <c r="T268" i="16"/>
  <c r="Z268" i="16"/>
  <c r="G268" i="16"/>
  <c r="F268" i="16"/>
  <c r="AH268" i="16"/>
  <c r="AF268" i="16"/>
  <c r="AB268" i="16"/>
  <c r="S268" i="16"/>
  <c r="R268" i="16"/>
  <c r="N268" i="16"/>
  <c r="M268" i="16"/>
  <c r="L268" i="16"/>
  <c r="J268" i="16"/>
  <c r="AL268" i="16"/>
  <c r="AK268" i="16"/>
  <c r="AJ268" i="16"/>
  <c r="AE228" i="16"/>
  <c r="AG230" i="16"/>
  <c r="W227" i="16"/>
  <c r="K227" i="16"/>
  <c r="X227" i="16"/>
  <c r="J227" i="16"/>
  <c r="V227" i="16"/>
  <c r="I227" i="16"/>
  <c r="U227" i="16"/>
  <c r="H227" i="16"/>
  <c r="S227" i="16"/>
  <c r="R227" i="16"/>
  <c r="Q227" i="16"/>
  <c r="P227" i="16"/>
  <c r="T227" i="16"/>
  <c r="O227" i="16"/>
  <c r="N227" i="16"/>
  <c r="M227" i="16"/>
  <c r="L227" i="16"/>
  <c r="G227" i="16"/>
  <c r="AD227" i="16"/>
  <c r="F227" i="16"/>
  <c r="AC227" i="16"/>
  <c r="AB227" i="16"/>
  <c r="AA227" i="16"/>
  <c r="Z227" i="16"/>
  <c r="Y227" i="16"/>
  <c r="AA156" i="16"/>
  <c r="X156" i="16"/>
  <c r="U156" i="16"/>
  <c r="R156" i="16"/>
  <c r="L156" i="16"/>
  <c r="I156" i="16"/>
  <c r="AM156" i="16"/>
  <c r="O156" i="16"/>
  <c r="AG156" i="16"/>
  <c r="AJ156" i="16"/>
  <c r="AD156" i="16"/>
  <c r="W155" i="16"/>
  <c r="T155" i="16"/>
  <c r="Q155" i="16"/>
  <c r="N155" i="16"/>
  <c r="AI155" i="16"/>
  <c r="K155" i="16"/>
  <c r="H155" i="16"/>
  <c r="AL155" i="16"/>
  <c r="Z155" i="16"/>
  <c r="AF155" i="16"/>
  <c r="AC155" i="16"/>
  <c r="AE227" i="16"/>
  <c r="E216" i="16"/>
  <c r="E217" i="16"/>
  <c r="E218" i="16"/>
  <c r="E113" i="16"/>
  <c r="E64" i="16"/>
  <c r="F64" i="16"/>
  <c r="E51" i="16"/>
  <c r="E52" i="16" s="1"/>
  <c r="AG376" i="16"/>
  <c r="F114" i="16"/>
  <c r="E219" i="16"/>
  <c r="AF228" i="16" l="1"/>
  <c r="AH230" i="16"/>
  <c r="AI113" i="16"/>
  <c r="W113" i="16"/>
  <c r="K113" i="16"/>
  <c r="AE113" i="16"/>
  <c r="S113" i="16"/>
  <c r="G113" i="16"/>
  <c r="AD113" i="16"/>
  <c r="P113" i="16"/>
  <c r="AN113" i="16"/>
  <c r="Z113" i="16"/>
  <c r="L113" i="16"/>
  <c r="AM113" i="16"/>
  <c r="Y113" i="16"/>
  <c r="J113" i="16"/>
  <c r="AC113" i="16"/>
  <c r="I113" i="16"/>
  <c r="AB113" i="16"/>
  <c r="H113" i="16"/>
  <c r="AA113" i="16"/>
  <c r="F113" i="16"/>
  <c r="F62" i="16" s="1"/>
  <c r="X113" i="16"/>
  <c r="AL113" i="16"/>
  <c r="T113" i="16"/>
  <c r="V113" i="16"/>
  <c r="U113" i="16"/>
  <c r="AK113" i="16"/>
  <c r="AJ113" i="16"/>
  <c r="AH113" i="16"/>
  <c r="AG113" i="16"/>
  <c r="AF113" i="16"/>
  <c r="R113" i="16"/>
  <c r="Q113" i="16"/>
  <c r="O113" i="16"/>
  <c r="N113" i="16"/>
  <c r="M113" i="16"/>
  <c r="AK114" i="16"/>
  <c r="Y114" i="16"/>
  <c r="M114" i="16"/>
  <c r="AG114" i="16"/>
  <c r="U114" i="16"/>
  <c r="I114" i="16"/>
  <c r="AN114" i="16"/>
  <c r="Z114" i="16"/>
  <c r="K114" i="16"/>
  <c r="AI114" i="16"/>
  <c r="T114" i="16"/>
  <c r="AH114" i="16"/>
  <c r="S114" i="16"/>
  <c r="AF114" i="16"/>
  <c r="O114" i="16"/>
  <c r="AE114" i="16"/>
  <c r="N114" i="16"/>
  <c r="AD114" i="16"/>
  <c r="L114" i="16"/>
  <c r="AC114" i="16"/>
  <c r="J114" i="16"/>
  <c r="X114" i="16"/>
  <c r="AB114" i="16"/>
  <c r="H114" i="16"/>
  <c r="AA114" i="16"/>
  <c r="G114" i="16"/>
  <c r="Q114" i="16"/>
  <c r="P114" i="16"/>
  <c r="AM114" i="16"/>
  <c r="AL114" i="16"/>
  <c r="AJ114" i="16"/>
  <c r="W114" i="16"/>
  <c r="V114" i="16"/>
  <c r="R114" i="16"/>
  <c r="F63" i="16"/>
  <c r="E63" i="16"/>
  <c r="E220" i="16"/>
  <c r="F61" i="16"/>
  <c r="E62" i="16"/>
  <c r="AH376" i="16"/>
  <c r="AG228" i="16" l="1"/>
  <c r="AI230" i="16"/>
  <c r="AF227" i="16"/>
  <c r="E65" i="16"/>
  <c r="AI376" i="16"/>
  <c r="AH228" i="16" l="1"/>
  <c r="AJ230" i="16"/>
  <c r="AG227" i="16"/>
  <c r="AJ376" i="16"/>
  <c r="E221" i="16"/>
  <c r="AI228" i="16" l="1"/>
  <c r="AK230" i="16"/>
  <c r="AH227" i="16"/>
  <c r="AK376" i="16"/>
  <c r="AJ228" i="16" l="1"/>
  <c r="AL230" i="16"/>
  <c r="AI227" i="16"/>
  <c r="AL376" i="16"/>
  <c r="AK228" i="16" l="1"/>
  <c r="AM230" i="16"/>
  <c r="AJ227" i="16"/>
  <c r="AM376" i="16"/>
  <c r="AL228" i="16" l="1"/>
  <c r="AN230" i="16"/>
  <c r="AK227" i="16"/>
  <c r="AN376" i="16"/>
  <c r="AM228" i="16" l="1"/>
  <c r="AL227" i="16"/>
  <c r="AN228" i="16" l="1"/>
  <c r="AM227" i="16"/>
  <c r="AN227" i="16"/>
  <c r="I59" i="16" l="1"/>
  <c r="I58" i="16"/>
  <c r="I60" i="16"/>
  <c r="I159" i="16" s="1"/>
  <c r="AM159" i="16" l="1"/>
  <c r="AJ159" i="16"/>
  <c r="AG159" i="16"/>
  <c r="AA159" i="16"/>
  <c r="X159" i="16"/>
  <c r="R159" i="16"/>
  <c r="AD159" i="16"/>
  <c r="U159" i="16"/>
  <c r="O159" i="16"/>
  <c r="L159" i="16"/>
  <c r="I64" i="16"/>
  <c r="I117" i="16"/>
  <c r="I76" i="16"/>
  <c r="AK117" i="16" l="1"/>
  <c r="Y117" i="16"/>
  <c r="M117" i="16"/>
  <c r="AG117" i="16"/>
  <c r="U117" i="16"/>
  <c r="AD117" i="16"/>
  <c r="P117" i="16"/>
  <c r="AN117" i="16"/>
  <c r="Z117" i="16"/>
  <c r="K117" i="16"/>
  <c r="AM117" i="16"/>
  <c r="X117" i="16"/>
  <c r="J117" i="16"/>
  <c r="AH117" i="16"/>
  <c r="O117" i="16"/>
  <c r="AF117" i="16"/>
  <c r="N117" i="16"/>
  <c r="AE117" i="16"/>
  <c r="L117" i="16"/>
  <c r="AC117" i="16"/>
  <c r="W117" i="16"/>
  <c r="AB117" i="16"/>
  <c r="AA117" i="16"/>
  <c r="Q117" i="16"/>
  <c r="AL117" i="16"/>
  <c r="AJ117" i="16"/>
  <c r="AI117" i="16"/>
  <c r="V117" i="16"/>
  <c r="T117" i="16"/>
  <c r="S117" i="16"/>
  <c r="R117" i="16"/>
  <c r="J76" i="16"/>
  <c r="T76" i="16"/>
  <c r="N76" i="16"/>
  <c r="AK76" i="16"/>
  <c r="Y76" i="16"/>
  <c r="M76" i="16"/>
  <c r="AL76" i="16"/>
  <c r="X76" i="16"/>
  <c r="K76" i="16"/>
  <c r="AJ76" i="16"/>
  <c r="W76" i="16"/>
  <c r="AI76" i="16"/>
  <c r="V76" i="16"/>
  <c r="AM76" i="16"/>
  <c r="S76" i="16"/>
  <c r="AH76" i="16"/>
  <c r="R76" i="16"/>
  <c r="AG76" i="16"/>
  <c r="Q76" i="16"/>
  <c r="AF76" i="16"/>
  <c r="P76" i="16"/>
  <c r="AE76" i="16"/>
  <c r="O76" i="16"/>
  <c r="AD76" i="16"/>
  <c r="AC76" i="16"/>
  <c r="L76" i="16"/>
  <c r="AB76" i="16"/>
  <c r="AA76" i="16"/>
  <c r="Z76" i="16"/>
  <c r="U76" i="16"/>
  <c r="AN76" i="16"/>
  <c r="F65" i="16"/>
  <c r="E66" i="16" l="1"/>
  <c r="F66" i="16"/>
  <c r="E49" i="16" l="1"/>
  <c r="G60" i="16" l="1"/>
  <c r="G157" i="16" s="1"/>
  <c r="G58" i="16"/>
  <c r="G59" i="16"/>
  <c r="G115" i="16" s="1"/>
  <c r="AE157" i="16" l="1"/>
  <c r="AB157" i="16"/>
  <c r="Y157" i="16"/>
  <c r="V157" i="16"/>
  <c r="P157" i="16"/>
  <c r="M157" i="16"/>
  <c r="S157" i="16"/>
  <c r="J157" i="16"/>
  <c r="AK157" i="16"/>
  <c r="AH157" i="16"/>
  <c r="AN157" i="16"/>
  <c r="AN115" i="16"/>
  <c r="AB115" i="16"/>
  <c r="P115" i="16"/>
  <c r="AJ115" i="16"/>
  <c r="X115" i="16"/>
  <c r="L115" i="16"/>
  <c r="AI115" i="16"/>
  <c r="U115" i="16"/>
  <c r="AE115" i="16"/>
  <c r="Q115" i="16"/>
  <c r="AD115" i="16"/>
  <c r="O115" i="16"/>
  <c r="AM115" i="16"/>
  <c r="T115" i="16"/>
  <c r="AL115" i="16"/>
  <c r="S115" i="16"/>
  <c r="AK115" i="16"/>
  <c r="R115" i="16"/>
  <c r="AH115" i="16"/>
  <c r="N115" i="16"/>
  <c r="AC115" i="16"/>
  <c r="J115" i="16"/>
  <c r="AG115" i="16"/>
  <c r="M115" i="16"/>
  <c r="AF115" i="16"/>
  <c r="K115" i="16"/>
  <c r="Z115" i="16"/>
  <c r="Y115" i="16"/>
  <c r="W115" i="16"/>
  <c r="V115" i="16"/>
  <c r="I115" i="16"/>
  <c r="H115" i="16"/>
  <c r="AA115" i="16"/>
  <c r="G64" i="16"/>
  <c r="G62" i="16"/>
  <c r="G74" i="16"/>
  <c r="AN74" i="16" l="1"/>
  <c r="AB74" i="16"/>
  <c r="P74" i="16"/>
  <c r="AI74" i="16"/>
  <c r="V74" i="16"/>
  <c r="I74" i="16"/>
  <c r="AH74" i="16"/>
  <c r="U74" i="16"/>
  <c r="H74" i="16"/>
  <c r="AG74" i="16"/>
  <c r="T74" i="16"/>
  <c r="AD74" i="16"/>
  <c r="M74" i="16"/>
  <c r="AC74" i="16"/>
  <c r="L74" i="16"/>
  <c r="AA74" i="16"/>
  <c r="K74" i="16"/>
  <c r="Z74" i="16"/>
  <c r="J74" i="16"/>
  <c r="Y74" i="16"/>
  <c r="X74" i="16"/>
  <c r="AM74" i="16"/>
  <c r="W74" i="16"/>
  <c r="AL74" i="16"/>
  <c r="S74" i="16"/>
  <c r="AK74" i="16"/>
  <c r="R74" i="16"/>
  <c r="AJ74" i="16"/>
  <c r="Q74" i="16"/>
  <c r="AF74" i="16"/>
  <c r="O74" i="16"/>
  <c r="AE74" i="16"/>
  <c r="N74" i="16"/>
  <c r="G63" i="16"/>
  <c r="G61" i="16"/>
  <c r="G65" i="16" l="1"/>
  <c r="G66" i="16" s="1"/>
  <c r="G52" i="16"/>
  <c r="G49" i="16"/>
  <c r="H59" i="16"/>
  <c r="H58" i="16"/>
  <c r="H75" i="16" s="1"/>
  <c r="H60" i="16"/>
  <c r="H158" i="16" s="1"/>
  <c r="H49" i="16"/>
  <c r="H52" i="16"/>
  <c r="AI158" i="16" l="1"/>
  <c r="AF158" i="16"/>
  <c r="AC158" i="16"/>
  <c r="Z158" i="16"/>
  <c r="T158" i="16"/>
  <c r="Q158" i="16"/>
  <c r="K158" i="16"/>
  <c r="W158" i="16"/>
  <c r="N158" i="16"/>
  <c r="AL158" i="16"/>
  <c r="AF75" i="16"/>
  <c r="T75" i="16"/>
  <c r="AC75" i="16"/>
  <c r="P75" i="16"/>
  <c r="AB75" i="16"/>
  <c r="O75" i="16"/>
  <c r="AN75" i="16"/>
  <c r="AA75" i="16"/>
  <c r="N75" i="16"/>
  <c r="AH75" i="16"/>
  <c r="Q75" i="16"/>
  <c r="AG75" i="16"/>
  <c r="M75" i="16"/>
  <c r="AE75" i="16"/>
  <c r="L75" i="16"/>
  <c r="AD75" i="16"/>
  <c r="K75" i="16"/>
  <c r="Z75" i="16"/>
  <c r="J75" i="16"/>
  <c r="Y75" i="16"/>
  <c r="I75" i="16"/>
  <c r="X75" i="16"/>
  <c r="AM75" i="16"/>
  <c r="W75" i="16"/>
  <c r="AL75" i="16"/>
  <c r="V75" i="16"/>
  <c r="AK75" i="16"/>
  <c r="U75" i="16"/>
  <c r="AJ75" i="16"/>
  <c r="S75" i="16"/>
  <c r="AI75" i="16"/>
  <c r="R75" i="16"/>
  <c r="H116" i="16"/>
  <c r="H64" i="16"/>
  <c r="AF116" i="16" l="1"/>
  <c r="T116" i="16"/>
  <c r="AN116" i="16"/>
  <c r="AB116" i="16"/>
  <c r="P116" i="16"/>
  <c r="AG116" i="16"/>
  <c r="R116" i="16"/>
  <c r="AA116" i="16"/>
  <c r="M116" i="16"/>
  <c r="Z116" i="16"/>
  <c r="L116" i="16"/>
  <c r="Y116" i="16"/>
  <c r="X116" i="16"/>
  <c r="W116" i="16"/>
  <c r="AM116" i="16"/>
  <c r="V116" i="16"/>
  <c r="AJ116" i="16"/>
  <c r="Q116" i="16"/>
  <c r="AL116" i="16"/>
  <c r="U116" i="16"/>
  <c r="AK116" i="16"/>
  <c r="S116" i="16"/>
  <c r="AI116" i="16"/>
  <c r="AH116" i="16"/>
  <c r="AE116" i="16"/>
  <c r="AD116" i="16"/>
  <c r="AC116" i="16"/>
  <c r="O116" i="16"/>
  <c r="N116" i="16"/>
  <c r="K116" i="16"/>
  <c r="J116" i="16"/>
  <c r="I116" i="16"/>
  <c r="I63" i="16"/>
  <c r="H63" i="16"/>
  <c r="H62" i="16"/>
  <c r="H61" i="16"/>
  <c r="I62" i="16" l="1"/>
  <c r="I61" i="16"/>
  <c r="H65" i="16"/>
  <c r="I49" i="16"/>
  <c r="F309" i="16"/>
  <c r="AA309" i="16" l="1"/>
  <c r="X309" i="16"/>
  <c r="U309" i="16"/>
  <c r="R309" i="16"/>
  <c r="O309" i="16"/>
  <c r="L309" i="16"/>
  <c r="I309" i="16"/>
  <c r="AJ309" i="16"/>
  <c r="AG309" i="16"/>
  <c r="AM309" i="16"/>
  <c r="AD309" i="16"/>
  <c r="H66" i="16"/>
  <c r="F269" i="16"/>
  <c r="I65" i="16"/>
  <c r="I52" i="16"/>
  <c r="F216" i="16"/>
  <c r="F219" i="16"/>
  <c r="F218" i="16"/>
  <c r="AK269" i="16" l="1"/>
  <c r="Y269" i="16"/>
  <c r="M269" i="16"/>
  <c r="AI269" i="16"/>
  <c r="W269" i="16"/>
  <c r="K269" i="16"/>
  <c r="AA269" i="16"/>
  <c r="L269" i="16"/>
  <c r="AM269" i="16"/>
  <c r="X269" i="16"/>
  <c r="I269" i="16"/>
  <c r="AN269" i="16"/>
  <c r="Z269" i="16"/>
  <c r="J269" i="16"/>
  <c r="AF269" i="16"/>
  <c r="O269" i="16"/>
  <c r="AD269" i="16"/>
  <c r="H269" i="16"/>
  <c r="AC269" i="16"/>
  <c r="G269" i="16"/>
  <c r="AB269" i="16"/>
  <c r="V269" i="16"/>
  <c r="U269" i="16"/>
  <c r="AE269" i="16"/>
  <c r="N269" i="16"/>
  <c r="AL269" i="16"/>
  <c r="AJ269" i="16"/>
  <c r="AH269" i="16"/>
  <c r="AG269" i="16"/>
  <c r="T269" i="16"/>
  <c r="S269" i="16"/>
  <c r="R269" i="16"/>
  <c r="Q269" i="16"/>
  <c r="P269" i="16"/>
  <c r="I66" i="16"/>
  <c r="F217" i="16"/>
  <c r="F204" i="16"/>
  <c r="F220" i="16" l="1"/>
  <c r="F207" i="16"/>
  <c r="G213" i="16"/>
  <c r="G310" i="16"/>
  <c r="AE310" i="16" l="1"/>
  <c r="AB310" i="16"/>
  <c r="P310" i="16"/>
  <c r="Y310" i="16"/>
  <c r="V310" i="16"/>
  <c r="S310" i="16"/>
  <c r="M310" i="16"/>
  <c r="AK310" i="16"/>
  <c r="J310" i="16"/>
  <c r="AN310" i="16"/>
  <c r="AH310" i="16"/>
  <c r="F221" i="16"/>
  <c r="G229" i="16"/>
  <c r="G219" i="16"/>
  <c r="G270" i="16"/>
  <c r="J58" i="16"/>
  <c r="J77" i="16" s="1"/>
  <c r="G218" i="16"/>
  <c r="AN270" i="16" l="1"/>
  <c r="AB270" i="16"/>
  <c r="P270" i="16"/>
  <c r="AL270" i="16"/>
  <c r="Z270" i="16"/>
  <c r="N270" i="16"/>
  <c r="AJ270" i="16"/>
  <c r="V270" i="16"/>
  <c r="H270" i="16"/>
  <c r="AH270" i="16"/>
  <c r="T270" i="16"/>
  <c r="AI270" i="16"/>
  <c r="U270" i="16"/>
  <c r="AM270" i="16"/>
  <c r="R270" i="16"/>
  <c r="AK270" i="16"/>
  <c r="O270" i="16"/>
  <c r="AF270" i="16"/>
  <c r="M270" i="16"/>
  <c r="AE270" i="16"/>
  <c r="L270" i="16"/>
  <c r="AD270" i="16"/>
  <c r="K270" i="16"/>
  <c r="AC270" i="16"/>
  <c r="J270" i="16"/>
  <c r="Q270" i="16"/>
  <c r="AG270" i="16"/>
  <c r="AA270" i="16"/>
  <c r="Y270" i="16"/>
  <c r="X270" i="16"/>
  <c r="W270" i="16"/>
  <c r="S270" i="16"/>
  <c r="I270" i="16"/>
  <c r="AN229" i="16"/>
  <c r="AB229" i="16"/>
  <c r="P229" i="16"/>
  <c r="AI229" i="16"/>
  <c r="V229" i="16"/>
  <c r="I229" i="16"/>
  <c r="AH229" i="16"/>
  <c r="U229" i="16"/>
  <c r="H229" i="16"/>
  <c r="AG229" i="16"/>
  <c r="T229" i="16"/>
  <c r="X229" i="16"/>
  <c r="AM229" i="16"/>
  <c r="W229" i="16"/>
  <c r="AL229" i="16"/>
  <c r="S229" i="16"/>
  <c r="AK229" i="16"/>
  <c r="R229" i="16"/>
  <c r="AD229" i="16"/>
  <c r="AC229" i="16"/>
  <c r="AA229" i="16"/>
  <c r="Z229" i="16"/>
  <c r="Y229" i="16"/>
  <c r="Q229" i="16"/>
  <c r="N229" i="16"/>
  <c r="M229" i="16"/>
  <c r="AJ229" i="16"/>
  <c r="L229" i="16"/>
  <c r="AF229" i="16"/>
  <c r="K229" i="16"/>
  <c r="AE229" i="16"/>
  <c r="J229" i="16"/>
  <c r="O229" i="16"/>
  <c r="AK77" i="16"/>
  <c r="K77" i="16"/>
  <c r="Q77" i="16"/>
  <c r="AE77" i="16"/>
  <c r="W77" i="16"/>
  <c r="AN77" i="16"/>
  <c r="X77" i="16"/>
  <c r="AL77" i="16"/>
  <c r="P77" i="16"/>
  <c r="AG77" i="16"/>
  <c r="Z77" i="16"/>
  <c r="T77" i="16"/>
  <c r="AA77" i="16"/>
  <c r="AC77" i="16"/>
  <c r="AF77" i="16"/>
  <c r="Y77" i="16"/>
  <c r="R77" i="16"/>
  <c r="AI77" i="16"/>
  <c r="AD77" i="16"/>
  <c r="M77" i="16"/>
  <c r="AJ77" i="16"/>
  <c r="V77" i="16"/>
  <c r="N77" i="16"/>
  <c r="AM77" i="16"/>
  <c r="O77" i="16"/>
  <c r="L77" i="16"/>
  <c r="AB77" i="16"/>
  <c r="S77" i="16"/>
  <c r="AH77" i="16"/>
  <c r="U77" i="16"/>
  <c r="G217" i="16"/>
  <c r="G216" i="16"/>
  <c r="J60" i="16"/>
  <c r="J160" i="16" s="1"/>
  <c r="J59" i="16"/>
  <c r="J52" i="16"/>
  <c r="K59" i="16"/>
  <c r="K58" i="16"/>
  <c r="K78" i="16" s="1"/>
  <c r="K60" i="16"/>
  <c r="K161" i="16" s="1"/>
  <c r="K52" i="16"/>
  <c r="M47" i="16"/>
  <c r="M49" i="16" s="1"/>
  <c r="M50" i="16" s="1"/>
  <c r="J61" i="16"/>
  <c r="F364" i="16"/>
  <c r="F362" i="16"/>
  <c r="F363" i="16"/>
  <c r="G204" i="16"/>
  <c r="AN78" i="16" l="1"/>
  <c r="AL78" i="16"/>
  <c r="T78" i="16"/>
  <c r="U78" i="16"/>
  <c r="N78" i="16"/>
  <c r="AG78" i="16"/>
  <c r="W78" i="16"/>
  <c r="AE78" i="16"/>
  <c r="R78" i="16"/>
  <c r="L78" i="16"/>
  <c r="V78" i="16"/>
  <c r="AD78" i="16"/>
  <c r="AH78" i="16"/>
  <c r="Q78" i="16"/>
  <c r="X78" i="16"/>
  <c r="AJ78" i="16"/>
  <c r="AC78" i="16"/>
  <c r="M78" i="16"/>
  <c r="AK78" i="16"/>
  <c r="P78" i="16"/>
  <c r="AI78" i="16"/>
  <c r="AB78" i="16"/>
  <c r="AM78" i="16"/>
  <c r="O78" i="16"/>
  <c r="AA78" i="16"/>
  <c r="AF78" i="16"/>
  <c r="Z78" i="16"/>
  <c r="Y78" i="16"/>
  <c r="S78" i="16"/>
  <c r="M160" i="16"/>
  <c r="AN160" i="16"/>
  <c r="AH160" i="16"/>
  <c r="AE160" i="16"/>
  <c r="Y160" i="16"/>
  <c r="AK160" i="16"/>
  <c r="AB160" i="16"/>
  <c r="V160" i="16"/>
  <c r="S160" i="16"/>
  <c r="P160" i="16"/>
  <c r="T161" i="16"/>
  <c r="Q161" i="16"/>
  <c r="N161" i="16"/>
  <c r="AL161" i="16"/>
  <c r="AF161" i="16"/>
  <c r="AI161" i="16"/>
  <c r="AC161" i="16"/>
  <c r="Z161" i="16"/>
  <c r="W161" i="16"/>
  <c r="J64" i="16"/>
  <c r="G220" i="16"/>
  <c r="G207" i="16"/>
  <c r="J118" i="16"/>
  <c r="K64" i="16"/>
  <c r="L59" i="16"/>
  <c r="L58" i="16"/>
  <c r="L60" i="16"/>
  <c r="L162" i="16" s="1"/>
  <c r="F377" i="16"/>
  <c r="F368" i="16"/>
  <c r="F458" i="16"/>
  <c r="K119" i="16"/>
  <c r="F418" i="16"/>
  <c r="M52" i="16"/>
  <c r="M59" i="16"/>
  <c r="M58" i="16"/>
  <c r="M60" i="16"/>
  <c r="M163" i="16" s="1"/>
  <c r="L52" i="16"/>
  <c r="F367" i="16" l="1"/>
  <c r="I458" i="16"/>
  <c r="AI418" i="16"/>
  <c r="W418" i="16"/>
  <c r="K418" i="16"/>
  <c r="AC418" i="16"/>
  <c r="P418" i="16"/>
  <c r="AN418" i="16"/>
  <c r="AA418" i="16"/>
  <c r="N418" i="16"/>
  <c r="AM418" i="16"/>
  <c r="Z418" i="16"/>
  <c r="M418" i="16"/>
  <c r="AJ418" i="16"/>
  <c r="S418" i="16"/>
  <c r="R418" i="16"/>
  <c r="AG418" i="16"/>
  <c r="Q418" i="16"/>
  <c r="AF418" i="16"/>
  <c r="O418" i="16"/>
  <c r="AE418" i="16"/>
  <c r="L418" i="16"/>
  <c r="AD418" i="16"/>
  <c r="J418" i="16"/>
  <c r="AH418" i="16"/>
  <c r="T418" i="16"/>
  <c r="H418" i="16"/>
  <c r="G418" i="16"/>
  <c r="AL418" i="16"/>
  <c r="AK418" i="16"/>
  <c r="AB418" i="16"/>
  <c r="Y418" i="16"/>
  <c r="X418" i="16"/>
  <c r="V418" i="16"/>
  <c r="U418" i="16"/>
  <c r="I418" i="16"/>
  <c r="AJ377" i="16"/>
  <c r="X377" i="16"/>
  <c r="L377" i="16"/>
  <c r="AI377" i="16"/>
  <c r="W377" i="16"/>
  <c r="K377" i="16"/>
  <c r="AG377" i="16"/>
  <c r="U377" i="16"/>
  <c r="I377" i="16"/>
  <c r="AF377" i="16"/>
  <c r="T377" i="16"/>
  <c r="H377" i="16"/>
  <c r="AE377" i="16"/>
  <c r="S377" i="16"/>
  <c r="G377" i="16"/>
  <c r="AC377" i="16"/>
  <c r="J377" i="16"/>
  <c r="AA377" i="16"/>
  <c r="Z377" i="16"/>
  <c r="AB377" i="16"/>
  <c r="Y377" i="16"/>
  <c r="AM377" i="16"/>
  <c r="V377" i="16"/>
  <c r="AN377" i="16"/>
  <c r="R377" i="16"/>
  <c r="Q377" i="16"/>
  <c r="AK377" i="16"/>
  <c r="AH377" i="16"/>
  <c r="AD377" i="16"/>
  <c r="P377" i="16"/>
  <c r="AL377" i="16"/>
  <c r="O377" i="16"/>
  <c r="M377" i="16"/>
  <c r="N377" i="16"/>
  <c r="AN163" i="16"/>
  <c r="AK163" i="16"/>
  <c r="AH163" i="16"/>
  <c r="AE163" i="16"/>
  <c r="Y163" i="16"/>
  <c r="V163" i="16"/>
  <c r="P163" i="16"/>
  <c r="AB163" i="16"/>
  <c r="S163" i="16"/>
  <c r="L63" i="16"/>
  <c r="AD162" i="16"/>
  <c r="AA162" i="16"/>
  <c r="X162" i="16"/>
  <c r="U162" i="16"/>
  <c r="O162" i="16"/>
  <c r="R162" i="16"/>
  <c r="AJ162" i="16"/>
  <c r="AG162" i="16"/>
  <c r="AM162" i="16"/>
  <c r="AL119" i="16"/>
  <c r="Z119" i="16"/>
  <c r="N119" i="16"/>
  <c r="AH119" i="16"/>
  <c r="V119" i="16"/>
  <c r="AC119" i="16"/>
  <c r="O119" i="16"/>
  <c r="AM119" i="16"/>
  <c r="X119" i="16"/>
  <c r="AK119" i="16"/>
  <c r="W119" i="16"/>
  <c r="AF119" i="16"/>
  <c r="M119" i="16"/>
  <c r="AE119" i="16"/>
  <c r="L119" i="16"/>
  <c r="AD119" i="16"/>
  <c r="AB119" i="16"/>
  <c r="U119" i="16"/>
  <c r="AA119" i="16"/>
  <c r="Y119" i="16"/>
  <c r="AN119" i="16"/>
  <c r="AJ119" i="16"/>
  <c r="AI119" i="16"/>
  <c r="AG119" i="16"/>
  <c r="T119" i="16"/>
  <c r="S119" i="16"/>
  <c r="R119" i="16"/>
  <c r="Q119" i="16"/>
  <c r="P119" i="16"/>
  <c r="AE118" i="16"/>
  <c r="S118" i="16"/>
  <c r="AM118" i="16"/>
  <c r="AA118" i="16"/>
  <c r="O118" i="16"/>
  <c r="AC118" i="16"/>
  <c r="N118" i="16"/>
  <c r="AL118" i="16"/>
  <c r="X118" i="16"/>
  <c r="AK118" i="16"/>
  <c r="W118" i="16"/>
  <c r="V118" i="16"/>
  <c r="U118" i="16"/>
  <c r="AN118" i="16"/>
  <c r="T118" i="16"/>
  <c r="AJ118" i="16"/>
  <c r="R118" i="16"/>
  <c r="AG118" i="16"/>
  <c r="M118" i="16"/>
  <c r="AI118" i="16"/>
  <c r="Q118" i="16"/>
  <c r="AH118" i="16"/>
  <c r="P118" i="16"/>
  <c r="AB118" i="16"/>
  <c r="Z118" i="16"/>
  <c r="Y118" i="16"/>
  <c r="L118" i="16"/>
  <c r="K118" i="16"/>
  <c r="AF118" i="16"/>
  <c r="AD118" i="16"/>
  <c r="M63" i="16"/>
  <c r="J62" i="16"/>
  <c r="K61" i="16"/>
  <c r="H311" i="16"/>
  <c r="G221" i="16"/>
  <c r="K63" i="16"/>
  <c r="J63" i="16"/>
  <c r="H204" i="16"/>
  <c r="L64" i="16"/>
  <c r="M64" i="16"/>
  <c r="H271" i="16"/>
  <c r="M80" i="16"/>
  <c r="N47" i="16"/>
  <c r="N49" i="16" s="1"/>
  <c r="N50" i="16" s="1"/>
  <c r="M51" i="16"/>
  <c r="M121" i="16"/>
  <c r="R458" i="16"/>
  <c r="U458" i="16"/>
  <c r="X458" i="16"/>
  <c r="AA458" i="16"/>
  <c r="AG458" i="16"/>
  <c r="L458" i="16"/>
  <c r="AJ458" i="16"/>
  <c r="AD458" i="16"/>
  <c r="AM458" i="16"/>
  <c r="O458" i="16"/>
  <c r="O47" i="16"/>
  <c r="O49" i="16" s="1"/>
  <c r="O50" i="16" s="1"/>
  <c r="L79" i="16"/>
  <c r="L120" i="16"/>
  <c r="H219" i="16"/>
  <c r="AI311" i="16" l="1"/>
  <c r="AF311" i="16"/>
  <c r="AC311" i="16"/>
  <c r="Z311" i="16"/>
  <c r="W311" i="16"/>
  <c r="T311" i="16"/>
  <c r="Q311" i="16"/>
  <c r="AL311" i="16"/>
  <c r="N311" i="16"/>
  <c r="K311" i="16"/>
  <c r="AF271" i="16"/>
  <c r="T271" i="16"/>
  <c r="AD271" i="16"/>
  <c r="R271" i="16"/>
  <c r="AH271" i="16"/>
  <c r="S271" i="16"/>
  <c r="AE271" i="16"/>
  <c r="P271" i="16"/>
  <c r="AG271" i="16"/>
  <c r="Q271" i="16"/>
  <c r="Y271" i="16"/>
  <c r="AN271" i="16"/>
  <c r="W271" i="16"/>
  <c r="AM271" i="16"/>
  <c r="V271" i="16"/>
  <c r="AL271" i="16"/>
  <c r="U271" i="16"/>
  <c r="AK271" i="16"/>
  <c r="O271" i="16"/>
  <c r="AJ271" i="16"/>
  <c r="N271" i="16"/>
  <c r="X271" i="16"/>
  <c r="Z271" i="16"/>
  <c r="M271" i="16"/>
  <c r="L271" i="16"/>
  <c r="K271" i="16"/>
  <c r="J271" i="16"/>
  <c r="I271" i="16"/>
  <c r="AI271" i="16"/>
  <c r="AC271" i="16"/>
  <c r="AB271" i="16"/>
  <c r="AA271" i="16"/>
  <c r="AH120" i="16"/>
  <c r="V120" i="16"/>
  <c r="AD120" i="16"/>
  <c r="R120" i="16"/>
  <c r="AC120" i="16"/>
  <c r="O120" i="16"/>
  <c r="AM120" i="16"/>
  <c r="Y120" i="16"/>
  <c r="AL120" i="16"/>
  <c r="X120" i="16"/>
  <c r="W120" i="16"/>
  <c r="U120" i="16"/>
  <c r="AN120" i="16"/>
  <c r="T120" i="16"/>
  <c r="AK120" i="16"/>
  <c r="S120" i="16"/>
  <c r="AG120" i="16"/>
  <c r="N120" i="16"/>
  <c r="AF120" i="16"/>
  <c r="M120" i="16"/>
  <c r="AJ120" i="16"/>
  <c r="Q120" i="16"/>
  <c r="AI120" i="16"/>
  <c r="P120" i="16"/>
  <c r="Z120" i="16"/>
  <c r="AE120" i="16"/>
  <c r="AB120" i="16"/>
  <c r="AA120" i="16"/>
  <c r="AE121" i="16"/>
  <c r="S121" i="16"/>
  <c r="AD121" i="16"/>
  <c r="R121" i="16"/>
  <c r="AM121" i="16"/>
  <c r="AA121" i="16"/>
  <c r="O121" i="16"/>
  <c r="AH121" i="16"/>
  <c r="Q121" i="16"/>
  <c r="AB121" i="16"/>
  <c r="Z121" i="16"/>
  <c r="AK121" i="16"/>
  <c r="P121" i="16"/>
  <c r="AJ121" i="16"/>
  <c r="N121" i="16"/>
  <c r="AI121" i="16"/>
  <c r="AG121" i="16"/>
  <c r="Y121" i="16"/>
  <c r="X121" i="16"/>
  <c r="AF121" i="16"/>
  <c r="AC121" i="16"/>
  <c r="AN121" i="16"/>
  <c r="AL121" i="16"/>
  <c r="W121" i="16"/>
  <c r="V121" i="16"/>
  <c r="U121" i="16"/>
  <c r="T121" i="16"/>
  <c r="AH79" i="16"/>
  <c r="V79" i="16"/>
  <c r="AC79" i="16"/>
  <c r="P79" i="16"/>
  <c r="AB79" i="16"/>
  <c r="O79" i="16"/>
  <c r="AN79" i="16"/>
  <c r="AA79" i="16"/>
  <c r="N79" i="16"/>
  <c r="AM79" i="16"/>
  <c r="Z79" i="16"/>
  <c r="M79" i="16"/>
  <c r="Y79" i="16"/>
  <c r="X79" i="16"/>
  <c r="W79" i="16"/>
  <c r="U79" i="16"/>
  <c r="AL79" i="16"/>
  <c r="T79" i="16"/>
  <c r="AK79" i="16"/>
  <c r="S79" i="16"/>
  <c r="AJ79" i="16"/>
  <c r="R79" i="16"/>
  <c r="AI79" i="16"/>
  <c r="Q79" i="16"/>
  <c r="AG79" i="16"/>
  <c r="AF79" i="16"/>
  <c r="AE79" i="16"/>
  <c r="AD79" i="16"/>
  <c r="AE80" i="16"/>
  <c r="S80" i="16"/>
  <c r="AD80" i="16"/>
  <c r="R80" i="16"/>
  <c r="AC80" i="16"/>
  <c r="O80" i="16"/>
  <c r="AB80" i="16"/>
  <c r="N80" i="16"/>
  <c r="AA80" i="16"/>
  <c r="AN80" i="16"/>
  <c r="Z80" i="16"/>
  <c r="AM80" i="16"/>
  <c r="U80" i="16"/>
  <c r="AL80" i="16"/>
  <c r="T80" i="16"/>
  <c r="AK80" i="16"/>
  <c r="Q80" i="16"/>
  <c r="AJ80" i="16"/>
  <c r="P80" i="16"/>
  <c r="AI80" i="16"/>
  <c r="AH80" i="16"/>
  <c r="AG80" i="16"/>
  <c r="AF80" i="16"/>
  <c r="Y80" i="16"/>
  <c r="X80" i="16"/>
  <c r="W80" i="16"/>
  <c r="V80" i="16"/>
  <c r="B4" i="45"/>
  <c r="J65" i="16"/>
  <c r="J66" i="16" s="1"/>
  <c r="H218" i="16"/>
  <c r="K62" i="16"/>
  <c r="H216" i="16"/>
  <c r="H217" i="16"/>
  <c r="H207" i="16"/>
  <c r="L61" i="16"/>
  <c r="N60" i="16"/>
  <c r="N59" i="16"/>
  <c r="N122" i="16" s="1"/>
  <c r="N58" i="16"/>
  <c r="G363" i="16"/>
  <c r="G364" i="16"/>
  <c r="G362" i="16"/>
  <c r="O52" i="16"/>
  <c r="O58" i="16"/>
  <c r="O59" i="16"/>
  <c r="O123" i="16" s="1"/>
  <c r="O60" i="16"/>
  <c r="O165" i="16" s="1"/>
  <c r="N52" i="16"/>
  <c r="AN123" i="16" l="1"/>
  <c r="AB123" i="16"/>
  <c r="P123" i="16"/>
  <c r="AM123" i="16"/>
  <c r="AA123" i="16"/>
  <c r="AJ123" i="16"/>
  <c r="X123" i="16"/>
  <c r="AE123" i="16"/>
  <c r="Y123" i="16"/>
  <c r="W123" i="16"/>
  <c r="AD123" i="16"/>
  <c r="AC123" i="16"/>
  <c r="Z123" i="16"/>
  <c r="V123" i="16"/>
  <c r="AL123" i="16"/>
  <c r="S123" i="16"/>
  <c r="AK123" i="16"/>
  <c r="R123" i="16"/>
  <c r="U123" i="16"/>
  <c r="T123" i="16"/>
  <c r="AI123" i="16"/>
  <c r="AH123" i="16"/>
  <c r="AG123" i="16"/>
  <c r="AF123" i="16"/>
  <c r="Q123" i="16"/>
  <c r="AC122" i="16"/>
  <c r="Q122" i="16"/>
  <c r="AN122" i="16"/>
  <c r="AB122" i="16"/>
  <c r="P122" i="16"/>
  <c r="AK122" i="16"/>
  <c r="Y122" i="16"/>
  <c r="AM122" i="16"/>
  <c r="W122" i="16"/>
  <c r="AH122" i="16"/>
  <c r="S122" i="16"/>
  <c r="AG122" i="16"/>
  <c r="R122" i="16"/>
  <c r="AF122" i="16"/>
  <c r="AE122" i="16"/>
  <c r="AD122" i="16"/>
  <c r="AA122" i="16"/>
  <c r="V122" i="16"/>
  <c r="U122" i="16"/>
  <c r="Z122" i="16"/>
  <c r="X122" i="16"/>
  <c r="AI122" i="16"/>
  <c r="T122" i="16"/>
  <c r="O122" i="16"/>
  <c r="AL122" i="16"/>
  <c r="AJ122" i="16"/>
  <c r="K65" i="16"/>
  <c r="K66" i="16" s="1"/>
  <c r="C4" i="45"/>
  <c r="N164" i="16"/>
  <c r="M62" i="16"/>
  <c r="L62" i="16"/>
  <c r="M61" i="16"/>
  <c r="N64" i="16"/>
  <c r="O64" i="16"/>
  <c r="H220" i="16"/>
  <c r="O82" i="16"/>
  <c r="P47" i="16"/>
  <c r="P49" i="16" s="1"/>
  <c r="P50" i="16" s="1"/>
  <c r="P52" i="16" s="1"/>
  <c r="N81" i="16"/>
  <c r="G459" i="16"/>
  <c r="G367" i="16" s="1"/>
  <c r="G419" i="16"/>
  <c r="O63" i="16"/>
  <c r="N51" i="16"/>
  <c r="G378" i="16"/>
  <c r="G368" i="16"/>
  <c r="O51" i="16"/>
  <c r="I213" i="16"/>
  <c r="I272" i="16"/>
  <c r="D4" i="45" l="1"/>
  <c r="AL419" i="16"/>
  <c r="Z419" i="16"/>
  <c r="N419" i="16"/>
  <c r="AI419" i="16"/>
  <c r="V419" i="16"/>
  <c r="I419" i="16"/>
  <c r="AH419" i="16"/>
  <c r="AG419" i="16"/>
  <c r="T419" i="16"/>
  <c r="AF419" i="16"/>
  <c r="S419" i="16"/>
  <c r="AN419" i="16"/>
  <c r="U419" i="16"/>
  <c r="AM419" i="16"/>
  <c r="R419" i="16"/>
  <c r="AK419" i="16"/>
  <c r="Q419" i="16"/>
  <c r="AJ419" i="16"/>
  <c r="P419" i="16"/>
  <c r="AE419" i="16"/>
  <c r="AD419" i="16"/>
  <c r="M419" i="16"/>
  <c r="O419" i="16"/>
  <c r="W419" i="16"/>
  <c r="K419" i="16"/>
  <c r="J419" i="16"/>
  <c r="H419" i="16"/>
  <c r="AC419" i="16"/>
  <c r="AB419" i="16"/>
  <c r="AA419" i="16"/>
  <c r="Y419" i="16"/>
  <c r="X419" i="16"/>
  <c r="L419" i="16"/>
  <c r="AM378" i="16"/>
  <c r="AA378" i="16"/>
  <c r="O378" i="16"/>
  <c r="AL378" i="16"/>
  <c r="Z378" i="16"/>
  <c r="N378" i="16"/>
  <c r="AJ378" i="16"/>
  <c r="X378" i="16"/>
  <c r="L378" i="16"/>
  <c r="AI378" i="16"/>
  <c r="W378" i="16"/>
  <c r="K378" i="16"/>
  <c r="AH378" i="16"/>
  <c r="V378" i="16"/>
  <c r="J378" i="16"/>
  <c r="AN378" i="16"/>
  <c r="R378" i="16"/>
  <c r="P378" i="16"/>
  <c r="AF378" i="16"/>
  <c r="M378" i="16"/>
  <c r="AK378" i="16"/>
  <c r="Q378" i="16"/>
  <c r="AG378" i="16"/>
  <c r="AE378" i="16"/>
  <c r="I378" i="16"/>
  <c r="AD378" i="16"/>
  <c r="H378" i="16"/>
  <c r="AB378" i="16"/>
  <c r="AC378" i="16"/>
  <c r="Y378" i="16"/>
  <c r="U378" i="16"/>
  <c r="T378" i="16"/>
  <c r="S378" i="16"/>
  <c r="AK272" i="16"/>
  <c r="Y272" i="16"/>
  <c r="M272" i="16"/>
  <c r="AI272" i="16"/>
  <c r="W272" i="16"/>
  <c r="K272" i="16"/>
  <c r="AE272" i="16"/>
  <c r="Q272" i="16"/>
  <c r="AC272" i="16"/>
  <c r="O272" i="16"/>
  <c r="AD272" i="16"/>
  <c r="P272" i="16"/>
  <c r="AG272" i="16"/>
  <c r="L272" i="16"/>
  <c r="AB272" i="16"/>
  <c r="AA272" i="16"/>
  <c r="Z272" i="16"/>
  <c r="X272" i="16"/>
  <c r="V272" i="16"/>
  <c r="AF272" i="16"/>
  <c r="J272" i="16"/>
  <c r="AL272" i="16"/>
  <c r="AJ272" i="16"/>
  <c r="AH272" i="16"/>
  <c r="U272" i="16"/>
  <c r="T272" i="16"/>
  <c r="S272" i="16"/>
  <c r="N272" i="16"/>
  <c r="AN272" i="16"/>
  <c r="AM272" i="16"/>
  <c r="R272" i="16"/>
  <c r="N63" i="16"/>
  <c r="AA165" i="16"/>
  <c r="X165" i="16"/>
  <c r="U165" i="16"/>
  <c r="R165" i="16"/>
  <c r="AI164" i="16"/>
  <c r="AF164" i="16"/>
  <c r="AM165" i="16"/>
  <c r="Z164" i="16"/>
  <c r="AL164" i="16"/>
  <c r="AC164" i="16"/>
  <c r="AD165" i="16"/>
  <c r="Q164" i="16"/>
  <c r="AJ165" i="16"/>
  <c r="AG165" i="16"/>
  <c r="W164" i="16"/>
  <c r="T164" i="16"/>
  <c r="AC81" i="16"/>
  <c r="Q81" i="16"/>
  <c r="AN81" i="16"/>
  <c r="AB81" i="16"/>
  <c r="P81" i="16"/>
  <c r="AG81" i="16"/>
  <c r="S81" i="16"/>
  <c r="AF81" i="16"/>
  <c r="R81" i="16"/>
  <c r="AE81" i="16"/>
  <c r="O81" i="16"/>
  <c r="AD81" i="16"/>
  <c r="AK81" i="16"/>
  <c r="AJ81" i="16"/>
  <c r="AI81" i="16"/>
  <c r="AH81" i="16"/>
  <c r="AA81" i="16"/>
  <c r="Z81" i="16"/>
  <c r="Y81" i="16"/>
  <c r="X81" i="16"/>
  <c r="W81" i="16"/>
  <c r="V81" i="16"/>
  <c r="AM81" i="16"/>
  <c r="U81" i="16"/>
  <c r="AL81" i="16"/>
  <c r="T81" i="16"/>
  <c r="AN82" i="16"/>
  <c r="AB82" i="16"/>
  <c r="P82" i="16"/>
  <c r="AM82" i="16"/>
  <c r="AA82" i="16"/>
  <c r="AJ82" i="16"/>
  <c r="V82" i="16"/>
  <c r="AI82" i="16"/>
  <c r="U82" i="16"/>
  <c r="AH82" i="16"/>
  <c r="T82" i="16"/>
  <c r="AG82" i="16"/>
  <c r="S82" i="16"/>
  <c r="AF82" i="16"/>
  <c r="AE82" i="16"/>
  <c r="AD82" i="16"/>
  <c r="AC82" i="16"/>
  <c r="Z82" i="16"/>
  <c r="Y82" i="16"/>
  <c r="X82" i="16"/>
  <c r="W82" i="16"/>
  <c r="R82" i="16"/>
  <c r="Q82" i="16"/>
  <c r="AL82" i="16"/>
  <c r="AK82" i="16"/>
  <c r="E4" i="45"/>
  <c r="M65" i="16"/>
  <c r="L65" i="16"/>
  <c r="L66" i="16" s="1"/>
  <c r="I312" i="16"/>
  <c r="N62" i="16"/>
  <c r="N61" i="16"/>
  <c r="I231" i="16"/>
  <c r="I204" i="16"/>
  <c r="I217" i="16"/>
  <c r="H221" i="16"/>
  <c r="Q47" i="16"/>
  <c r="Q49" i="16" s="1"/>
  <c r="Q50" i="16" s="1"/>
  <c r="P58" i="16"/>
  <c r="P59" i="16"/>
  <c r="P60" i="16"/>
  <c r="P166" i="16" s="1"/>
  <c r="AH459" i="16"/>
  <c r="P459" i="16"/>
  <c r="Y459" i="16"/>
  <c r="J459" i="16"/>
  <c r="AE459" i="16"/>
  <c r="S459" i="16"/>
  <c r="AK459" i="16"/>
  <c r="AN459" i="16"/>
  <c r="AB459" i="16"/>
  <c r="M459" i="16"/>
  <c r="V459" i="16"/>
  <c r="H364" i="16"/>
  <c r="H363" i="16"/>
  <c r="H379" i="16"/>
  <c r="I219" i="16"/>
  <c r="AE379" i="16" l="1"/>
  <c r="S379" i="16"/>
  <c r="AD379" i="16"/>
  <c r="R379" i="16"/>
  <c r="AN379" i="16"/>
  <c r="AB379" i="16"/>
  <c r="P379" i="16"/>
  <c r="AM379" i="16"/>
  <c r="AA379" i="16"/>
  <c r="O379" i="16"/>
  <c r="AL379" i="16"/>
  <c r="Z379" i="16"/>
  <c r="N379" i="16"/>
  <c r="Y379" i="16"/>
  <c r="W379" i="16"/>
  <c r="V379" i="16"/>
  <c r="AH379" i="16"/>
  <c r="L379" i="16"/>
  <c r="X379" i="16"/>
  <c r="U379" i="16"/>
  <c r="AK379" i="16"/>
  <c r="T379" i="16"/>
  <c r="AI379" i="16"/>
  <c r="AJ379" i="16"/>
  <c r="Q379" i="16"/>
  <c r="M379" i="16"/>
  <c r="AG379" i="16"/>
  <c r="AF379" i="16"/>
  <c r="AC379" i="16"/>
  <c r="K379" i="16"/>
  <c r="J379" i="16"/>
  <c r="I379" i="16"/>
  <c r="AM312" i="16"/>
  <c r="AJ312" i="16"/>
  <c r="AG312" i="16"/>
  <c r="AD312" i="16"/>
  <c r="AA312" i="16"/>
  <c r="X312" i="16"/>
  <c r="L312" i="16"/>
  <c r="U312" i="16"/>
  <c r="R312" i="16"/>
  <c r="O312" i="16"/>
  <c r="AK231" i="16"/>
  <c r="Y231" i="16"/>
  <c r="M231" i="16"/>
  <c r="AL231" i="16"/>
  <c r="X231" i="16"/>
  <c r="K231" i="16"/>
  <c r="AJ231" i="16"/>
  <c r="W231" i="16"/>
  <c r="J231" i="16"/>
  <c r="AI231" i="16"/>
  <c r="V231" i="16"/>
  <c r="AH231" i="16"/>
  <c r="U231" i="16"/>
  <c r="AM231" i="16"/>
  <c r="Q231" i="16"/>
  <c r="AG231" i="16"/>
  <c r="P231" i="16"/>
  <c r="AF231" i="16"/>
  <c r="O231" i="16"/>
  <c r="AE231" i="16"/>
  <c r="N231" i="16"/>
  <c r="AD231" i="16"/>
  <c r="AA231" i="16"/>
  <c r="Z231" i="16"/>
  <c r="T231" i="16"/>
  <c r="S231" i="16"/>
  <c r="R231" i="16"/>
  <c r="L231" i="16"/>
  <c r="AN231" i="16"/>
  <c r="AC231" i="16"/>
  <c r="AB231" i="16"/>
  <c r="AN166" i="16"/>
  <c r="AK166" i="16"/>
  <c r="AH166" i="16"/>
  <c r="AE166" i="16"/>
  <c r="Y166" i="16"/>
  <c r="V166" i="16"/>
  <c r="AB166" i="16"/>
  <c r="S166" i="16"/>
  <c r="F4" i="45"/>
  <c r="I218" i="16"/>
  <c r="M66" i="16"/>
  <c r="I207" i="16"/>
  <c r="H365" i="16"/>
  <c r="O62" i="16"/>
  <c r="N65" i="16"/>
  <c r="O61" i="16"/>
  <c r="I216" i="16"/>
  <c r="P64" i="16"/>
  <c r="S47" i="16"/>
  <c r="S49" i="16" s="1"/>
  <c r="S50" i="16" s="1"/>
  <c r="R47" i="16"/>
  <c r="R49" i="16" s="1"/>
  <c r="R50" i="16" s="1"/>
  <c r="R52" i="16" s="1"/>
  <c r="H368" i="16"/>
  <c r="P63" i="16"/>
  <c r="H420" i="16"/>
  <c r="Q59" i="16"/>
  <c r="Q58" i="16"/>
  <c r="Q60" i="16"/>
  <c r="Q167" i="16" s="1"/>
  <c r="H460" i="16"/>
  <c r="P51" i="16"/>
  <c r="P124" i="16"/>
  <c r="P83" i="16"/>
  <c r="Q52" i="16"/>
  <c r="AD420" i="16" l="1"/>
  <c r="R420" i="16"/>
  <c r="AC420" i="16"/>
  <c r="P420" i="16"/>
  <c r="AB420" i="16"/>
  <c r="O420" i="16"/>
  <c r="AN420" i="16"/>
  <c r="AA420" i="16"/>
  <c r="N420" i="16"/>
  <c r="AM420" i="16"/>
  <c r="Z420" i="16"/>
  <c r="M420" i="16"/>
  <c r="Y420" i="16"/>
  <c r="X420" i="16"/>
  <c r="W420" i="16"/>
  <c r="V420" i="16"/>
  <c r="AL420" i="16"/>
  <c r="U420" i="16"/>
  <c r="AK420" i="16"/>
  <c r="T420" i="16"/>
  <c r="AE420" i="16"/>
  <c r="Q420" i="16"/>
  <c r="L420" i="16"/>
  <c r="K420" i="16"/>
  <c r="J420" i="16"/>
  <c r="I420" i="16"/>
  <c r="AJ420" i="16"/>
  <c r="AI420" i="16"/>
  <c r="AH420" i="16"/>
  <c r="AG420" i="16"/>
  <c r="AF420" i="16"/>
  <c r="S420" i="16"/>
  <c r="AL167" i="16"/>
  <c r="AI167" i="16"/>
  <c r="AC167" i="16"/>
  <c r="AF167" i="16"/>
  <c r="Z167" i="16"/>
  <c r="W167" i="16"/>
  <c r="T167" i="16"/>
  <c r="AN124" i="16"/>
  <c r="AB124" i="16"/>
  <c r="AM124" i="16"/>
  <c r="AA124" i="16"/>
  <c r="AJ124" i="16"/>
  <c r="X124" i="16"/>
  <c r="AL124" i="16"/>
  <c r="V124" i="16"/>
  <c r="AG124" i="16"/>
  <c r="R124" i="16"/>
  <c r="AF124" i="16"/>
  <c r="Q124" i="16"/>
  <c r="Z124" i="16"/>
  <c r="Y124" i="16"/>
  <c r="W124" i="16"/>
  <c r="U124" i="16"/>
  <c r="AK124" i="16"/>
  <c r="AI124" i="16"/>
  <c r="T124" i="16"/>
  <c r="S124" i="16"/>
  <c r="AH124" i="16"/>
  <c r="AE124" i="16"/>
  <c r="AD124" i="16"/>
  <c r="AC124" i="16"/>
  <c r="AN83" i="16"/>
  <c r="AB83" i="16"/>
  <c r="AM83" i="16"/>
  <c r="AA83" i="16"/>
  <c r="Z83" i="16"/>
  <c r="Y83" i="16"/>
  <c r="AL83" i="16"/>
  <c r="X83" i="16"/>
  <c r="AK83" i="16"/>
  <c r="W83" i="16"/>
  <c r="AF83" i="16"/>
  <c r="AE83" i="16"/>
  <c r="AD83" i="16"/>
  <c r="AC83" i="16"/>
  <c r="V83" i="16"/>
  <c r="U83" i="16"/>
  <c r="T83" i="16"/>
  <c r="S83" i="16"/>
  <c r="AJ83" i="16"/>
  <c r="R83" i="16"/>
  <c r="AI83" i="16"/>
  <c r="Q83" i="16"/>
  <c r="AH83" i="16"/>
  <c r="AG83" i="16"/>
  <c r="G4" i="45"/>
  <c r="N66" i="16"/>
  <c r="P62" i="16"/>
  <c r="O65" i="16"/>
  <c r="P61" i="16"/>
  <c r="I220" i="16"/>
  <c r="Q64" i="16"/>
  <c r="Q63" i="16"/>
  <c r="S52" i="16"/>
  <c r="S58" i="16"/>
  <c r="S60" i="16"/>
  <c r="S169" i="16" s="1"/>
  <c r="S59" i="16"/>
  <c r="R60" i="16"/>
  <c r="R168" i="16" s="1"/>
  <c r="R58" i="16"/>
  <c r="R59" i="16"/>
  <c r="Q125" i="16"/>
  <c r="Q51" i="16"/>
  <c r="Q84" i="16"/>
  <c r="N460" i="16"/>
  <c r="K460" i="16"/>
  <c r="W460" i="16"/>
  <c r="AC460" i="16"/>
  <c r="T460" i="16"/>
  <c r="AL460" i="16"/>
  <c r="Z460" i="16"/>
  <c r="Q460" i="16"/>
  <c r="AF460" i="16"/>
  <c r="AI460" i="16"/>
  <c r="T47" i="16"/>
  <c r="T49" i="16" s="1"/>
  <c r="T50" i="16" s="1"/>
  <c r="AN169" i="16" l="1"/>
  <c r="AH169" i="16"/>
  <c r="AE169" i="16"/>
  <c r="Y169" i="16"/>
  <c r="AK169" i="16"/>
  <c r="AB169" i="16"/>
  <c r="V169" i="16"/>
  <c r="AG168" i="16"/>
  <c r="AD168" i="16"/>
  <c r="AA168" i="16"/>
  <c r="X168" i="16"/>
  <c r="U168" i="16"/>
  <c r="AM168" i="16"/>
  <c r="AJ168" i="16"/>
  <c r="AC125" i="16"/>
  <c r="AN125" i="16"/>
  <c r="AB125" i="16"/>
  <c r="AK125" i="16"/>
  <c r="Y125" i="16"/>
  <c r="AF125" i="16"/>
  <c r="Z125" i="16"/>
  <c r="X125" i="16"/>
  <c r="W125" i="16"/>
  <c r="V125" i="16"/>
  <c r="U125" i="16"/>
  <c r="AM125" i="16"/>
  <c r="T125" i="16"/>
  <c r="AI125" i="16"/>
  <c r="AH125" i="16"/>
  <c r="AL125" i="16"/>
  <c r="S125" i="16"/>
  <c r="AJ125" i="16"/>
  <c r="R125" i="16"/>
  <c r="AA125" i="16"/>
  <c r="AG125" i="16"/>
  <c r="AE125" i="16"/>
  <c r="AD125" i="16"/>
  <c r="AC84" i="16"/>
  <c r="AN84" i="16"/>
  <c r="AB84" i="16"/>
  <c r="AG84" i="16"/>
  <c r="S84" i="16"/>
  <c r="AF84" i="16"/>
  <c r="R84" i="16"/>
  <c r="AE84" i="16"/>
  <c r="AD84" i="16"/>
  <c r="AA84" i="16"/>
  <c r="Z84" i="16"/>
  <c r="Y84" i="16"/>
  <c r="X84" i="16"/>
  <c r="W84" i="16"/>
  <c r="V84" i="16"/>
  <c r="AM84" i="16"/>
  <c r="U84" i="16"/>
  <c r="AL84" i="16"/>
  <c r="T84" i="16"/>
  <c r="AK84" i="16"/>
  <c r="AJ84" i="16"/>
  <c r="AI84" i="16"/>
  <c r="AH84" i="16"/>
  <c r="H4" i="45"/>
  <c r="I221" i="16"/>
  <c r="O66" i="16"/>
  <c r="P65" i="16"/>
  <c r="Q62" i="16"/>
  <c r="Q61" i="16"/>
  <c r="S64" i="16"/>
  <c r="R64" i="16"/>
  <c r="I364" i="16"/>
  <c r="I363" i="16"/>
  <c r="I362" i="16"/>
  <c r="I380" i="16" s="1"/>
  <c r="K200" i="16"/>
  <c r="R85" i="16"/>
  <c r="S127" i="16"/>
  <c r="S51" i="16"/>
  <c r="T52" i="16"/>
  <c r="T59" i="16"/>
  <c r="T58" i="16"/>
  <c r="T60" i="16"/>
  <c r="T170" i="16" s="1"/>
  <c r="U47" i="16"/>
  <c r="U49" i="16" s="1"/>
  <c r="U50" i="16" s="1"/>
  <c r="R63" i="16"/>
  <c r="S63" i="16"/>
  <c r="R126" i="16"/>
  <c r="R51" i="16"/>
  <c r="S86" i="16"/>
  <c r="AJ380" i="16" l="1"/>
  <c r="X380" i="16"/>
  <c r="L380" i="16"/>
  <c r="AI380" i="16"/>
  <c r="W380" i="16"/>
  <c r="K380" i="16"/>
  <c r="AG380" i="16"/>
  <c r="U380" i="16"/>
  <c r="AF380" i="16"/>
  <c r="T380" i="16"/>
  <c r="AE380" i="16"/>
  <c r="S380" i="16"/>
  <c r="AL380" i="16"/>
  <c r="P380" i="16"/>
  <c r="AH380" i="16"/>
  <c r="N380" i="16"/>
  <c r="AD380" i="16"/>
  <c r="M380" i="16"/>
  <c r="Y380" i="16"/>
  <c r="AK380" i="16"/>
  <c r="O380" i="16"/>
  <c r="AC380" i="16"/>
  <c r="J380" i="16"/>
  <c r="Z380" i="16"/>
  <c r="AB380" i="16"/>
  <c r="AA380" i="16"/>
  <c r="Q380" i="16"/>
  <c r="AM380" i="16"/>
  <c r="V380" i="16"/>
  <c r="R380" i="16"/>
  <c r="AN380" i="16"/>
  <c r="AC170" i="16"/>
  <c r="Z170" i="16"/>
  <c r="W170" i="16"/>
  <c r="AL170" i="16"/>
  <c r="AI170" i="16"/>
  <c r="AF170" i="16"/>
  <c r="AE126" i="16"/>
  <c r="S126" i="16"/>
  <c r="AD126" i="16"/>
  <c r="AM126" i="16"/>
  <c r="AA126" i="16"/>
  <c r="Y126" i="16"/>
  <c r="AJ126" i="16"/>
  <c r="U126" i="16"/>
  <c r="AI126" i="16"/>
  <c r="T126" i="16"/>
  <c r="X126" i="16"/>
  <c r="W126" i="16"/>
  <c r="V126" i="16"/>
  <c r="AN126" i="16"/>
  <c r="AH126" i="16"/>
  <c r="AG126" i="16"/>
  <c r="AL126" i="16"/>
  <c r="AK126" i="16"/>
  <c r="AF126" i="16"/>
  <c r="AC126" i="16"/>
  <c r="AB126" i="16"/>
  <c r="Z126" i="16"/>
  <c r="AH127" i="16"/>
  <c r="V127" i="16"/>
  <c r="AG127" i="16"/>
  <c r="U127" i="16"/>
  <c r="AD127" i="16"/>
  <c r="AK127" i="16"/>
  <c r="T127" i="16"/>
  <c r="AE127" i="16"/>
  <c r="AC127" i="16"/>
  <c r="Y127" i="16"/>
  <c r="X127" i="16"/>
  <c r="W127" i="16"/>
  <c r="AN127" i="16"/>
  <c r="AJ127" i="16"/>
  <c r="AI127" i="16"/>
  <c r="AM127" i="16"/>
  <c r="AL127" i="16"/>
  <c r="AF127" i="16"/>
  <c r="AB127" i="16"/>
  <c r="AA127" i="16"/>
  <c r="Z127" i="16"/>
  <c r="AH86" i="16"/>
  <c r="V86" i="16"/>
  <c r="AG86" i="16"/>
  <c r="U86" i="16"/>
  <c r="AF86" i="16"/>
  <c r="AE86" i="16"/>
  <c r="AD86" i="16"/>
  <c r="AC86" i="16"/>
  <c r="AB86" i="16"/>
  <c r="AA86" i="16"/>
  <c r="Z86" i="16"/>
  <c r="Y86" i="16"/>
  <c r="X86" i="16"/>
  <c r="W86" i="16"/>
  <c r="AN86" i="16"/>
  <c r="T86" i="16"/>
  <c r="AM86" i="16"/>
  <c r="AL86" i="16"/>
  <c r="AK86" i="16"/>
  <c r="AJ86" i="16"/>
  <c r="AI86" i="16"/>
  <c r="AE85" i="16"/>
  <c r="S85" i="16"/>
  <c r="AD85" i="16"/>
  <c r="AM85" i="16"/>
  <c r="Y85" i="16"/>
  <c r="AL85" i="16"/>
  <c r="X85" i="16"/>
  <c r="AK85" i="16"/>
  <c r="W85" i="16"/>
  <c r="AJ85" i="16"/>
  <c r="V85" i="16"/>
  <c r="AC85" i="16"/>
  <c r="AB85" i="16"/>
  <c r="AA85" i="16"/>
  <c r="Z85" i="16"/>
  <c r="U85" i="16"/>
  <c r="T85" i="16"/>
  <c r="AN85" i="16"/>
  <c r="AI85" i="16"/>
  <c r="AH85" i="16"/>
  <c r="AG85" i="16"/>
  <c r="AF85" i="16"/>
  <c r="I4" i="45"/>
  <c r="P66" i="16"/>
  <c r="R62" i="16"/>
  <c r="J213" i="16"/>
  <c r="J207" i="16"/>
  <c r="J313" i="16"/>
  <c r="K207" i="16"/>
  <c r="R61" i="16"/>
  <c r="T64" i="16"/>
  <c r="Q65" i="16"/>
  <c r="U52" i="16"/>
  <c r="U60" i="16"/>
  <c r="U171" i="16" s="1"/>
  <c r="U58" i="16"/>
  <c r="U59" i="16"/>
  <c r="V47" i="16"/>
  <c r="V49" i="16" s="1"/>
  <c r="V50" i="16" s="1"/>
  <c r="J363" i="16"/>
  <c r="J362" i="16"/>
  <c r="J364" i="16"/>
  <c r="T63" i="16"/>
  <c r="L200" i="16"/>
  <c r="T87" i="16"/>
  <c r="I368" i="16"/>
  <c r="T128" i="16"/>
  <c r="T51" i="16"/>
  <c r="I421" i="16"/>
  <c r="I461" i="16"/>
  <c r="I367" i="16" s="1"/>
  <c r="E363" i="16"/>
  <c r="E364" i="16"/>
  <c r="E457" i="16" s="1"/>
  <c r="H457" i="16" s="1"/>
  <c r="AI421" i="16" l="1"/>
  <c r="W421" i="16"/>
  <c r="K421" i="16"/>
  <c r="AL421" i="16"/>
  <c r="Y421" i="16"/>
  <c r="L421" i="16"/>
  <c r="AK421" i="16"/>
  <c r="X421" i="16"/>
  <c r="J421" i="16"/>
  <c r="AJ421" i="16"/>
  <c r="V421" i="16"/>
  <c r="AH421" i="16"/>
  <c r="U421" i="16"/>
  <c r="AG421" i="16"/>
  <c r="P421" i="16"/>
  <c r="AF421" i="16"/>
  <c r="O421" i="16"/>
  <c r="AE421" i="16"/>
  <c r="N421" i="16"/>
  <c r="AD421" i="16"/>
  <c r="M421" i="16"/>
  <c r="AC421" i="16"/>
  <c r="AB421" i="16"/>
  <c r="AM421" i="16"/>
  <c r="Z421" i="16"/>
  <c r="T421" i="16"/>
  <c r="S421" i="16"/>
  <c r="R421" i="16"/>
  <c r="Q421" i="16"/>
  <c r="AN421" i="16"/>
  <c r="AA421" i="16"/>
  <c r="M313" i="16"/>
  <c r="AN313" i="16"/>
  <c r="AK313" i="16"/>
  <c r="AH313" i="16"/>
  <c r="AE313" i="16"/>
  <c r="Y313" i="16"/>
  <c r="S313" i="16"/>
  <c r="P313" i="16"/>
  <c r="AB313" i="16"/>
  <c r="V313" i="16"/>
  <c r="AM171" i="16"/>
  <c r="AG171" i="16"/>
  <c r="AD171" i="16"/>
  <c r="X171" i="16"/>
  <c r="AJ171" i="16"/>
  <c r="AA171" i="16"/>
  <c r="AL128" i="16"/>
  <c r="Z128" i="16"/>
  <c r="AK128" i="16"/>
  <c r="Y128" i="16"/>
  <c r="AH128" i="16"/>
  <c r="V128" i="16"/>
  <c r="AF128" i="16"/>
  <c r="AB128" i="16"/>
  <c r="AA128" i="16"/>
  <c r="X128" i="16"/>
  <c r="W128" i="16"/>
  <c r="U128" i="16"/>
  <c r="AJ128" i="16"/>
  <c r="AI128" i="16"/>
  <c r="AN128" i="16"/>
  <c r="AM128" i="16"/>
  <c r="AC128" i="16"/>
  <c r="AG128" i="16"/>
  <c r="AE128" i="16"/>
  <c r="AD128" i="16"/>
  <c r="AL87" i="16"/>
  <c r="Z87" i="16"/>
  <c r="AK87" i="16"/>
  <c r="Y87" i="16"/>
  <c r="AB87" i="16"/>
  <c r="AA87" i="16"/>
  <c r="AN87" i="16"/>
  <c r="X87" i="16"/>
  <c r="AM87" i="16"/>
  <c r="W87" i="16"/>
  <c r="AF87" i="16"/>
  <c r="AE87" i="16"/>
  <c r="AD87" i="16"/>
  <c r="AC87" i="16"/>
  <c r="V87" i="16"/>
  <c r="U87" i="16"/>
  <c r="AJ87" i="16"/>
  <c r="AI87" i="16"/>
  <c r="AH87" i="16"/>
  <c r="AG87" i="16"/>
  <c r="J4" i="45"/>
  <c r="J218" i="16"/>
  <c r="J232" i="16"/>
  <c r="J273" i="16"/>
  <c r="J23" i="16"/>
  <c r="J381" i="16"/>
  <c r="Q66" i="16"/>
  <c r="S62" i="16"/>
  <c r="S61" i="16"/>
  <c r="K213" i="16"/>
  <c r="J219" i="16"/>
  <c r="K314" i="16"/>
  <c r="L207" i="16"/>
  <c r="U64" i="16"/>
  <c r="R65" i="16"/>
  <c r="AM461" i="16"/>
  <c r="X461" i="16"/>
  <c r="AA461" i="16"/>
  <c r="U461" i="16"/>
  <c r="R461" i="16"/>
  <c r="O461" i="16"/>
  <c r="L461" i="16"/>
  <c r="AD461" i="16"/>
  <c r="AG461" i="16"/>
  <c r="AJ461" i="16"/>
  <c r="U88" i="16"/>
  <c r="J422" i="16"/>
  <c r="U129" i="16"/>
  <c r="U51" i="16"/>
  <c r="U63" i="16"/>
  <c r="M200" i="16"/>
  <c r="J462" i="16"/>
  <c r="J367" i="16" s="1"/>
  <c r="J368" i="16"/>
  <c r="V52" i="16"/>
  <c r="V58" i="16"/>
  <c r="V59" i="16"/>
  <c r="V60" i="16"/>
  <c r="V172" i="16" s="1"/>
  <c r="W47" i="16"/>
  <c r="W49" i="16" s="1"/>
  <c r="W50" i="16" s="1"/>
  <c r="K362" i="16"/>
  <c r="K364" i="16"/>
  <c r="K363" i="16"/>
  <c r="E417" i="16"/>
  <c r="E368" i="16"/>
  <c r="AC422" i="16" l="1"/>
  <c r="Q422" i="16"/>
  <c r="AH422" i="16"/>
  <c r="U422" i="16"/>
  <c r="AG422" i="16"/>
  <c r="T422" i="16"/>
  <c r="AF422" i="16"/>
  <c r="S422" i="16"/>
  <c r="AE422" i="16"/>
  <c r="R422" i="16"/>
  <c r="Y422" i="16"/>
  <c r="X422" i="16"/>
  <c r="AN422" i="16"/>
  <c r="W422" i="16"/>
  <c r="AM422" i="16"/>
  <c r="V422" i="16"/>
  <c r="AL422" i="16"/>
  <c r="P422" i="16"/>
  <c r="AK422" i="16"/>
  <c r="O422" i="16"/>
  <c r="AI422" i="16"/>
  <c r="AD422" i="16"/>
  <c r="AB422" i="16"/>
  <c r="AA422" i="16"/>
  <c r="Z422" i="16"/>
  <c r="N422" i="16"/>
  <c r="M422" i="16"/>
  <c r="L422" i="16"/>
  <c r="K422" i="16"/>
  <c r="AJ422" i="16"/>
  <c r="E366" i="16"/>
  <c r="AG417" i="16"/>
  <c r="U417" i="16"/>
  <c r="I417" i="16"/>
  <c r="AK417" i="16"/>
  <c r="X417" i="16"/>
  <c r="K417" i="16"/>
  <c r="AI417" i="16"/>
  <c r="V417" i="16"/>
  <c r="H417" i="16"/>
  <c r="H366" i="16" s="1"/>
  <c r="AH417" i="16"/>
  <c r="T417" i="16"/>
  <c r="G417" i="16"/>
  <c r="AJ417" i="16"/>
  <c r="Q417" i="16"/>
  <c r="AF417" i="16"/>
  <c r="P417" i="16"/>
  <c r="AE417" i="16"/>
  <c r="O417" i="16"/>
  <c r="AD417" i="16"/>
  <c r="N417" i="16"/>
  <c r="AC417" i="16"/>
  <c r="M417" i="16"/>
  <c r="AB417" i="16"/>
  <c r="L417" i="16"/>
  <c r="R417" i="16"/>
  <c r="F417" i="16"/>
  <c r="AN417" i="16"/>
  <c r="AM417" i="16"/>
  <c r="AL417" i="16"/>
  <c r="AA417" i="16"/>
  <c r="Z417" i="16"/>
  <c r="Y417" i="16"/>
  <c r="W417" i="16"/>
  <c r="S417" i="16"/>
  <c r="J417" i="16"/>
  <c r="J366" i="16" s="1"/>
  <c r="AD381" i="16"/>
  <c r="R381" i="16"/>
  <c r="AC381" i="16"/>
  <c r="Q381" i="16"/>
  <c r="AM381" i="16"/>
  <c r="AA381" i="16"/>
  <c r="O381" i="16"/>
  <c r="AL381" i="16"/>
  <c r="Z381" i="16"/>
  <c r="N381" i="16"/>
  <c r="AK381" i="16"/>
  <c r="Y381" i="16"/>
  <c r="M381" i="16"/>
  <c r="AB381" i="16"/>
  <c r="W381" i="16"/>
  <c r="V381" i="16"/>
  <c r="AH381" i="16"/>
  <c r="L381" i="16"/>
  <c r="X381" i="16"/>
  <c r="U381" i="16"/>
  <c r="AN381" i="16"/>
  <c r="T381" i="16"/>
  <c r="AI381" i="16"/>
  <c r="AJ381" i="16"/>
  <c r="S381" i="16"/>
  <c r="P381" i="16"/>
  <c r="AG381" i="16"/>
  <c r="K381" i="16"/>
  <c r="AF381" i="16"/>
  <c r="AE381" i="16"/>
  <c r="T314" i="16"/>
  <c r="Q314" i="16"/>
  <c r="N314" i="16"/>
  <c r="AL314" i="16"/>
  <c r="AF314" i="16"/>
  <c r="AC314" i="16"/>
  <c r="Z314" i="16"/>
  <c r="W314" i="16"/>
  <c r="AI314" i="16"/>
  <c r="AE273" i="16"/>
  <c r="S273" i="16"/>
  <c r="AC273" i="16"/>
  <c r="Q273" i="16"/>
  <c r="AD273" i="16"/>
  <c r="O273" i="16"/>
  <c r="AA273" i="16"/>
  <c r="M273" i="16"/>
  <c r="AB273" i="16"/>
  <c r="N273" i="16"/>
  <c r="AM273" i="16"/>
  <c r="V273" i="16"/>
  <c r="T273" i="16"/>
  <c r="AJ273" i="16"/>
  <c r="R273" i="16"/>
  <c r="AI273" i="16"/>
  <c r="P273" i="16"/>
  <c r="AH273" i="16"/>
  <c r="L273" i="16"/>
  <c r="K273" i="16"/>
  <c r="AL273" i="16"/>
  <c r="U273" i="16"/>
  <c r="AK273" i="16"/>
  <c r="AN273" i="16"/>
  <c r="AG273" i="16"/>
  <c r="AF273" i="16"/>
  <c r="Z273" i="16"/>
  <c r="Y273" i="16"/>
  <c r="X273" i="16"/>
  <c r="W273" i="16"/>
  <c r="AE232" i="16"/>
  <c r="S232" i="16"/>
  <c r="AH232" i="16"/>
  <c r="U232" i="16"/>
  <c r="AG232" i="16"/>
  <c r="T232" i="16"/>
  <c r="AF232" i="16"/>
  <c r="R232" i="16"/>
  <c r="AD232" i="16"/>
  <c r="Q232" i="16"/>
  <c r="Z232" i="16"/>
  <c r="Y232" i="16"/>
  <c r="X232" i="16"/>
  <c r="AN232" i="16"/>
  <c r="W232" i="16"/>
  <c r="AM232" i="16"/>
  <c r="V232" i="16"/>
  <c r="AC232" i="16"/>
  <c r="AB232" i="16"/>
  <c r="AA232" i="16"/>
  <c r="P232" i="16"/>
  <c r="O232" i="16"/>
  <c r="N232" i="16"/>
  <c r="M232" i="16"/>
  <c r="L232" i="16"/>
  <c r="AL232" i="16"/>
  <c r="K232" i="16"/>
  <c r="AK232" i="16"/>
  <c r="AJ232" i="16"/>
  <c r="AI232" i="16"/>
  <c r="AE172" i="16"/>
  <c r="AB172" i="16"/>
  <c r="Y172" i="16"/>
  <c r="AN172" i="16"/>
  <c r="AK172" i="16"/>
  <c r="AH172" i="16"/>
  <c r="AE129" i="16"/>
  <c r="AD129" i="16"/>
  <c r="AM129" i="16"/>
  <c r="AA129" i="16"/>
  <c r="AC129" i="16"/>
  <c r="AN129" i="16"/>
  <c r="X129" i="16"/>
  <c r="AL129" i="16"/>
  <c r="W129" i="16"/>
  <c r="AB129" i="16"/>
  <c r="Z129" i="16"/>
  <c r="Y129" i="16"/>
  <c r="V129" i="16"/>
  <c r="AK129" i="16"/>
  <c r="AJ129" i="16"/>
  <c r="AI129" i="16"/>
  <c r="AH129" i="16"/>
  <c r="AG129" i="16"/>
  <c r="AF129" i="16"/>
  <c r="AE88" i="16"/>
  <c r="AD88" i="16"/>
  <c r="AK88" i="16"/>
  <c r="W88" i="16"/>
  <c r="AJ88" i="16"/>
  <c r="V88" i="16"/>
  <c r="AI88" i="16"/>
  <c r="AH88" i="16"/>
  <c r="AG88" i="16"/>
  <c r="AF88" i="16"/>
  <c r="AC88" i="16"/>
  <c r="AB88" i="16"/>
  <c r="AA88" i="16"/>
  <c r="Z88" i="16"/>
  <c r="Y88" i="16"/>
  <c r="X88" i="16"/>
  <c r="AN88" i="16"/>
  <c r="AM88" i="16"/>
  <c r="AL88" i="16"/>
  <c r="K4" i="45"/>
  <c r="J217" i="16"/>
  <c r="J216" i="16"/>
  <c r="U62" i="16"/>
  <c r="J21" i="16"/>
  <c r="K233" i="16"/>
  <c r="K274" i="16"/>
  <c r="K23" i="16"/>
  <c r="T62" i="16"/>
  <c r="S65" i="16"/>
  <c r="T61" i="16"/>
  <c r="L315" i="16"/>
  <c r="L213" i="16"/>
  <c r="K219" i="16"/>
  <c r="M202" i="16"/>
  <c r="M204" i="16" s="1"/>
  <c r="M205" i="16" s="1"/>
  <c r="M207" i="16" s="1"/>
  <c r="U61" i="16"/>
  <c r="V64" i="16"/>
  <c r="R66" i="16"/>
  <c r="X47" i="16"/>
  <c r="X49" i="16" s="1"/>
  <c r="X50" i="16" s="1"/>
  <c r="V130" i="16"/>
  <c r="V51" i="16"/>
  <c r="V89" i="16"/>
  <c r="N200" i="16"/>
  <c r="AB462" i="16"/>
  <c r="V462" i="16"/>
  <c r="AE462" i="16"/>
  <c r="S462" i="16"/>
  <c r="P462" i="16"/>
  <c r="AH462" i="16"/>
  <c r="AK462" i="16"/>
  <c r="M462" i="16"/>
  <c r="Y462" i="16"/>
  <c r="AN462" i="16"/>
  <c r="L363" i="16"/>
  <c r="L362" i="16"/>
  <c r="L364" i="16"/>
  <c r="K218" i="16"/>
  <c r="M349" i="16"/>
  <c r="M351" i="16" s="1"/>
  <c r="K423" i="16"/>
  <c r="V63" i="16"/>
  <c r="K463" i="16"/>
  <c r="K382" i="16"/>
  <c r="K368" i="16"/>
  <c r="W52" i="16"/>
  <c r="W60" i="16"/>
  <c r="W173" i="16" s="1"/>
  <c r="W58" i="16"/>
  <c r="W59" i="16"/>
  <c r="J365" i="16"/>
  <c r="AI457" i="16"/>
  <c r="W457" i="16"/>
  <c r="K457" i="16"/>
  <c r="AL457" i="16"/>
  <c r="Q457" i="16"/>
  <c r="T457" i="16"/>
  <c r="AF457" i="16"/>
  <c r="AC457" i="16"/>
  <c r="H367" i="16"/>
  <c r="E367" i="16"/>
  <c r="N457" i="16"/>
  <c r="Z457" i="16"/>
  <c r="M353" i="16" l="1"/>
  <c r="M354" i="16"/>
  <c r="M362" i="16" s="1"/>
  <c r="AJ423" i="16"/>
  <c r="X423" i="16"/>
  <c r="L423" i="16"/>
  <c r="AE423" i="16"/>
  <c r="R423" i="16"/>
  <c r="AD423" i="16"/>
  <c r="Q423" i="16"/>
  <c r="AC423" i="16"/>
  <c r="P423" i="16"/>
  <c r="AB423" i="16"/>
  <c r="O423" i="16"/>
  <c r="AI423" i="16"/>
  <c r="N423" i="16"/>
  <c r="M423" i="16"/>
  <c r="AG423" i="16"/>
  <c r="AF423" i="16"/>
  <c r="AA423" i="16"/>
  <c r="Z423" i="16"/>
  <c r="AH423" i="16"/>
  <c r="S423" i="16"/>
  <c r="AN423" i="16"/>
  <c r="AM423" i="16"/>
  <c r="AL423" i="16"/>
  <c r="AK423" i="16"/>
  <c r="Y423" i="16"/>
  <c r="W423" i="16"/>
  <c r="V423" i="16"/>
  <c r="U423" i="16"/>
  <c r="T423" i="16"/>
  <c r="AK382" i="16"/>
  <c r="Y382" i="16"/>
  <c r="M382" i="16"/>
  <c r="AJ382" i="16"/>
  <c r="X382" i="16"/>
  <c r="L382" i="16"/>
  <c r="AH382" i="16"/>
  <c r="V382" i="16"/>
  <c r="AG382" i="16"/>
  <c r="U382" i="16"/>
  <c r="AF382" i="16"/>
  <c r="T382" i="16"/>
  <c r="AN382" i="16"/>
  <c r="R382" i="16"/>
  <c r="P382" i="16"/>
  <c r="AI382" i="16"/>
  <c r="O382" i="16"/>
  <c r="AA382" i="16"/>
  <c r="AM382" i="16"/>
  <c r="Q382" i="16"/>
  <c r="AL382" i="16"/>
  <c r="AE382" i="16"/>
  <c r="N382" i="16"/>
  <c r="AB382" i="16"/>
  <c r="AD382" i="16"/>
  <c r="AC382" i="16"/>
  <c r="Z382" i="16"/>
  <c r="W382" i="16"/>
  <c r="S382" i="16"/>
  <c r="L218" i="16"/>
  <c r="AD315" i="16"/>
  <c r="AA315" i="16"/>
  <c r="X315" i="16"/>
  <c r="U315" i="16"/>
  <c r="R315" i="16"/>
  <c r="O315" i="16"/>
  <c r="AM315" i="16"/>
  <c r="AJ315" i="16"/>
  <c r="AG315" i="16"/>
  <c r="AL274" i="16"/>
  <c r="Z274" i="16"/>
  <c r="N274" i="16"/>
  <c r="AJ274" i="16"/>
  <c r="X274" i="16"/>
  <c r="L274" i="16"/>
  <c r="AD274" i="16"/>
  <c r="P274" i="16"/>
  <c r="O274" i="16"/>
  <c r="AB274" i="16"/>
  <c r="M274" i="16"/>
  <c r="AC274" i="16"/>
  <c r="AF274" i="16"/>
  <c r="AA274" i="16"/>
  <c r="Y274" i="16"/>
  <c r="W274" i="16"/>
  <c r="V274" i="16"/>
  <c r="AN274" i="16"/>
  <c r="U274" i="16"/>
  <c r="AE274" i="16"/>
  <c r="S274" i="16"/>
  <c r="R274" i="16"/>
  <c r="Q274" i="16"/>
  <c r="AM274" i="16"/>
  <c r="AK274" i="16"/>
  <c r="AI274" i="16"/>
  <c r="AH274" i="16"/>
  <c r="AG274" i="16"/>
  <c r="T274" i="16"/>
  <c r="AL233" i="16"/>
  <c r="Z233" i="16"/>
  <c r="N233" i="16"/>
  <c r="AE233" i="16"/>
  <c r="R233" i="16"/>
  <c r="AD233" i="16"/>
  <c r="Q233" i="16"/>
  <c r="AC233" i="16"/>
  <c r="P233" i="16"/>
  <c r="AB233" i="16"/>
  <c r="O233" i="16"/>
  <c r="AJ233" i="16"/>
  <c r="S233" i="16"/>
  <c r="AI233" i="16"/>
  <c r="M233" i="16"/>
  <c r="AH233" i="16"/>
  <c r="L233" i="16"/>
  <c r="AG233" i="16"/>
  <c r="AF233" i="16"/>
  <c r="AK233" i="16"/>
  <c r="AA233" i="16"/>
  <c r="Y233" i="16"/>
  <c r="X233" i="16"/>
  <c r="W233" i="16"/>
  <c r="V233" i="16"/>
  <c r="U233" i="16"/>
  <c r="T233" i="16"/>
  <c r="AN233" i="16"/>
  <c r="AM233" i="16"/>
  <c r="AI173" i="16"/>
  <c r="AF173" i="16"/>
  <c r="Z173" i="16"/>
  <c r="AL173" i="16"/>
  <c r="AC173" i="16"/>
  <c r="AK130" i="16"/>
  <c r="Y130" i="16"/>
  <c r="AJ130" i="16"/>
  <c r="X130" i="16"/>
  <c r="AG130" i="16"/>
  <c r="AB130" i="16"/>
  <c r="AM130" i="16"/>
  <c r="AL130" i="16"/>
  <c r="AE130" i="16"/>
  <c r="AD130" i="16"/>
  <c r="AC130" i="16"/>
  <c r="AA130" i="16"/>
  <c r="Z130" i="16"/>
  <c r="W130" i="16"/>
  <c r="AN130" i="16"/>
  <c r="AI130" i="16"/>
  <c r="AH130" i="16"/>
  <c r="AF130" i="16"/>
  <c r="AK89" i="16"/>
  <c r="Y89" i="16"/>
  <c r="AJ89" i="16"/>
  <c r="X89" i="16"/>
  <c r="AG89" i="16"/>
  <c r="AF89" i="16"/>
  <c r="AE89" i="16"/>
  <c r="AD89" i="16"/>
  <c r="AM89" i="16"/>
  <c r="AL89" i="16"/>
  <c r="AI89" i="16"/>
  <c r="AH89" i="16"/>
  <c r="AC89" i="16"/>
  <c r="AB89" i="16"/>
  <c r="AA89" i="16"/>
  <c r="Z89" i="16"/>
  <c r="W89" i="16"/>
  <c r="AN89" i="16"/>
  <c r="J16" i="16"/>
  <c r="L4" i="45"/>
  <c r="J18" i="16"/>
  <c r="M4" i="45"/>
  <c r="J220" i="16"/>
  <c r="J221" i="16" s="1"/>
  <c r="K216" i="16"/>
  <c r="K21" i="16"/>
  <c r="L23" i="16"/>
  <c r="K217" i="16"/>
  <c r="L234" i="16"/>
  <c r="S66" i="16"/>
  <c r="G366" i="16"/>
  <c r="F366" i="16"/>
  <c r="I366" i="16"/>
  <c r="K366" i="16"/>
  <c r="K365" i="16"/>
  <c r="F365" i="16"/>
  <c r="I365" i="16"/>
  <c r="G365" i="16"/>
  <c r="L219" i="16"/>
  <c r="T65" i="16"/>
  <c r="L275" i="16"/>
  <c r="M213" i="16"/>
  <c r="M214" i="16"/>
  <c r="M215" i="16"/>
  <c r="M316" i="16" s="1"/>
  <c r="N202" i="16"/>
  <c r="N204" i="16" s="1"/>
  <c r="N205" i="16" s="1"/>
  <c r="N215" i="16" s="1"/>
  <c r="V61" i="16"/>
  <c r="V62" i="16"/>
  <c r="W64" i="16"/>
  <c r="U65" i="16"/>
  <c r="K367" i="16"/>
  <c r="L464" i="16"/>
  <c r="M9" i="16"/>
  <c r="M364" i="16"/>
  <c r="M363" i="16"/>
  <c r="L383" i="16"/>
  <c r="L368" i="16"/>
  <c r="L424" i="16"/>
  <c r="X52" i="16"/>
  <c r="X58" i="16"/>
  <c r="X60" i="16"/>
  <c r="X174" i="16" s="1"/>
  <c r="X59" i="16"/>
  <c r="W131" i="16"/>
  <c r="W51" i="16"/>
  <c r="Y47" i="16"/>
  <c r="Y49" i="16" s="1"/>
  <c r="Y50" i="16" s="1"/>
  <c r="W90" i="16"/>
  <c r="W63" i="16"/>
  <c r="O200" i="16"/>
  <c r="N349" i="16"/>
  <c r="N351" i="16" s="1"/>
  <c r="N353" i="16" s="1"/>
  <c r="N354" i="16" s="1"/>
  <c r="AL463" i="16"/>
  <c r="Z463" i="16"/>
  <c r="AC463" i="16"/>
  <c r="N463" i="16"/>
  <c r="AF463" i="16"/>
  <c r="Q463" i="16"/>
  <c r="W463" i="16"/>
  <c r="AI463" i="16"/>
  <c r="T463" i="16"/>
  <c r="J369" i="16"/>
  <c r="E369" i="16"/>
  <c r="J25" i="16" l="1"/>
  <c r="J27" i="16" s="1"/>
  <c r="J28" i="16" s="1"/>
  <c r="L216" i="16"/>
  <c r="AF424" i="16"/>
  <c r="T424" i="16"/>
  <c r="AC424" i="16"/>
  <c r="P424" i="16"/>
  <c r="AB424" i="16"/>
  <c r="O424" i="16"/>
  <c r="AN424" i="16"/>
  <c r="AA424" i="16"/>
  <c r="N424" i="16"/>
  <c r="AM424" i="16"/>
  <c r="Z424" i="16"/>
  <c r="M424" i="16"/>
  <c r="Y424" i="16"/>
  <c r="X424" i="16"/>
  <c r="W424" i="16"/>
  <c r="V424" i="16"/>
  <c r="AL424" i="16"/>
  <c r="U424" i="16"/>
  <c r="AK424" i="16"/>
  <c r="S424" i="16"/>
  <c r="AD424" i="16"/>
  <c r="Q424" i="16"/>
  <c r="AJ424" i="16"/>
  <c r="AI424" i="16"/>
  <c r="AH424" i="16"/>
  <c r="AG424" i="16"/>
  <c r="AE424" i="16"/>
  <c r="R424" i="16"/>
  <c r="AG383" i="16"/>
  <c r="U383" i="16"/>
  <c r="AF383" i="16"/>
  <c r="T383" i="16"/>
  <c r="AE383" i="16"/>
  <c r="AD383" i="16"/>
  <c r="R383" i="16"/>
  <c r="AC383" i="16"/>
  <c r="Q383" i="16"/>
  <c r="AN383" i="16"/>
  <c r="AB383" i="16"/>
  <c r="P383" i="16"/>
  <c r="AI383" i="16"/>
  <c r="AA383" i="16"/>
  <c r="Z383" i="16"/>
  <c r="AM383" i="16"/>
  <c r="S383" i="16"/>
  <c r="AH383" i="16"/>
  <c r="Y383" i="16"/>
  <c r="X383" i="16"/>
  <c r="W383" i="16"/>
  <c r="V383" i="16"/>
  <c r="M383" i="16"/>
  <c r="AK383" i="16"/>
  <c r="AJ383" i="16"/>
  <c r="O383" i="16"/>
  <c r="N383" i="16"/>
  <c r="AL383" i="16"/>
  <c r="M218" i="16"/>
  <c r="AN316" i="16"/>
  <c r="AK316" i="16"/>
  <c r="AH316" i="16"/>
  <c r="AE316" i="16"/>
  <c r="AB316" i="16"/>
  <c r="Y316" i="16"/>
  <c r="V316" i="16"/>
  <c r="P316" i="16"/>
  <c r="S316" i="16"/>
  <c r="AH275" i="16"/>
  <c r="V275" i="16"/>
  <c r="AF275" i="16"/>
  <c r="T275" i="16"/>
  <c r="AD275" i="16"/>
  <c r="P275" i="16"/>
  <c r="AB275" i="16"/>
  <c r="N275" i="16"/>
  <c r="AC275" i="16"/>
  <c r="O275" i="16"/>
  <c r="AN275" i="16"/>
  <c r="W275" i="16"/>
  <c r="AL275" i="16"/>
  <c r="S275" i="16"/>
  <c r="AK275" i="16"/>
  <c r="R275" i="16"/>
  <c r="AJ275" i="16"/>
  <c r="Q275" i="16"/>
  <c r="AI275" i="16"/>
  <c r="M275" i="16"/>
  <c r="AG275" i="16"/>
  <c r="AM275" i="16"/>
  <c r="U275" i="16"/>
  <c r="AE275" i="16"/>
  <c r="AA275" i="16"/>
  <c r="Z275" i="16"/>
  <c r="Y275" i="16"/>
  <c r="X275" i="16"/>
  <c r="AH234" i="16"/>
  <c r="V234" i="16"/>
  <c r="AC234" i="16"/>
  <c r="P234" i="16"/>
  <c r="AB234" i="16"/>
  <c r="O234" i="16"/>
  <c r="AN234" i="16"/>
  <c r="AA234" i="16"/>
  <c r="AM234" i="16"/>
  <c r="Z234" i="16"/>
  <c r="M234" i="16"/>
  <c r="N234" i="16"/>
  <c r="AD234" i="16"/>
  <c r="Y234" i="16"/>
  <c r="X234" i="16"/>
  <c r="W234" i="16"/>
  <c r="U234" i="16"/>
  <c r="AK234" i="16"/>
  <c r="AJ234" i="16"/>
  <c r="AI234" i="16"/>
  <c r="AG234" i="16"/>
  <c r="AF234" i="16"/>
  <c r="AE234" i="16"/>
  <c r="T234" i="16"/>
  <c r="S234" i="16"/>
  <c r="R234" i="16"/>
  <c r="Q234" i="16"/>
  <c r="AL234" i="16"/>
  <c r="AJ174" i="16"/>
  <c r="AG174" i="16"/>
  <c r="AD174" i="16"/>
  <c r="AA174" i="16"/>
  <c r="AM174" i="16"/>
  <c r="AF131" i="16"/>
  <c r="AE131" i="16"/>
  <c r="AN131" i="16"/>
  <c r="AB131" i="16"/>
  <c r="Z131" i="16"/>
  <c r="AK131" i="16"/>
  <c r="AJ131" i="16"/>
  <c r="AI131" i="16"/>
  <c r="AH131" i="16"/>
  <c r="AG131" i="16"/>
  <c r="AD131" i="16"/>
  <c r="Y131" i="16"/>
  <c r="X131" i="16"/>
  <c r="AC131" i="16"/>
  <c r="AA131" i="16"/>
  <c r="AL131" i="16"/>
  <c r="AM131" i="16"/>
  <c r="AF90" i="16"/>
  <c r="AE90" i="16"/>
  <c r="AD90" i="16"/>
  <c r="AC90" i="16"/>
  <c r="AB90" i="16"/>
  <c r="AA90" i="16"/>
  <c r="AN90" i="16"/>
  <c r="AM90" i="16"/>
  <c r="AL90" i="16"/>
  <c r="AK90" i="16"/>
  <c r="AJ90" i="16"/>
  <c r="AI90" i="16"/>
  <c r="AH90" i="16"/>
  <c r="AG90" i="16"/>
  <c r="Z90" i="16"/>
  <c r="Y90" i="16"/>
  <c r="X90" i="16"/>
  <c r="X64" i="16"/>
  <c r="K16" i="16"/>
  <c r="L21" i="16"/>
  <c r="K220" i="16"/>
  <c r="K221" i="16" s="1"/>
  <c r="M276" i="16"/>
  <c r="M235" i="16"/>
  <c r="T66" i="16"/>
  <c r="U66" i="16"/>
  <c r="I369" i="16"/>
  <c r="L366" i="16"/>
  <c r="H369" i="16"/>
  <c r="G369" i="16"/>
  <c r="N207" i="16"/>
  <c r="F369" i="16"/>
  <c r="L365" i="16"/>
  <c r="L217" i="16"/>
  <c r="M206" i="16"/>
  <c r="N213" i="16"/>
  <c r="N214" i="16"/>
  <c r="M219" i="16"/>
  <c r="O202" i="16"/>
  <c r="O204" i="16" s="1"/>
  <c r="O205" i="16" s="1"/>
  <c r="O207" i="16" s="1"/>
  <c r="J370" i="16"/>
  <c r="E370" i="16"/>
  <c r="W61" i="16"/>
  <c r="W62" i="16"/>
  <c r="V65" i="16"/>
  <c r="K369" i="16"/>
  <c r="K370" i="16" s="1"/>
  <c r="O464" i="16"/>
  <c r="AM464" i="16"/>
  <c r="AJ464" i="16"/>
  <c r="AG464" i="16"/>
  <c r="AD464" i="16"/>
  <c r="AA464" i="16"/>
  <c r="X464" i="16"/>
  <c r="R464" i="16"/>
  <c r="U464" i="16"/>
  <c r="Z47" i="16"/>
  <c r="Z49" i="16" s="1"/>
  <c r="Z50" i="16" s="1"/>
  <c r="X51" i="16"/>
  <c r="X132" i="16"/>
  <c r="N364" i="16"/>
  <c r="N363" i="16"/>
  <c r="N362" i="16"/>
  <c r="N9" i="16" s="1"/>
  <c r="X63" i="16"/>
  <c r="O349" i="16"/>
  <c r="O351" i="16" s="1"/>
  <c r="O353" i="16" s="1"/>
  <c r="O354" i="16" s="1"/>
  <c r="X91" i="16"/>
  <c r="N317" i="16"/>
  <c r="L367" i="16"/>
  <c r="Y52" i="16"/>
  <c r="Y60" i="16"/>
  <c r="Y175" i="16" s="1"/>
  <c r="Y58" i="16"/>
  <c r="Y59" i="16"/>
  <c r="M425" i="16"/>
  <c r="M355" i="16"/>
  <c r="M465" i="16"/>
  <c r="M367" i="16" s="1"/>
  <c r="M384" i="16"/>
  <c r="M368" i="16"/>
  <c r="P200" i="16"/>
  <c r="AC425" i="16" l="1"/>
  <c r="Q425" i="16"/>
  <c r="AN425" i="16"/>
  <c r="AB425" i="16"/>
  <c r="P425" i="16"/>
  <c r="AE425" i="16"/>
  <c r="O425" i="16"/>
  <c r="AD425" i="16"/>
  <c r="N425" i="16"/>
  <c r="AA425" i="16"/>
  <c r="Z425" i="16"/>
  <c r="AM425" i="16"/>
  <c r="U425" i="16"/>
  <c r="AL425" i="16"/>
  <c r="T425" i="16"/>
  <c r="AK425" i="16"/>
  <c r="S425" i="16"/>
  <c r="AJ425" i="16"/>
  <c r="R425" i="16"/>
  <c r="AI425" i="16"/>
  <c r="AH425" i="16"/>
  <c r="AF425" i="16"/>
  <c r="Y425" i="16"/>
  <c r="X425" i="16"/>
  <c r="W425" i="16"/>
  <c r="V425" i="16"/>
  <c r="AG425" i="16"/>
  <c r="AD384" i="16"/>
  <c r="R384" i="16"/>
  <c r="AC384" i="16"/>
  <c r="Q384" i="16"/>
  <c r="AN384" i="16"/>
  <c r="AB384" i="16"/>
  <c r="P384" i="16"/>
  <c r="AM384" i="16"/>
  <c r="AA384" i="16"/>
  <c r="O384" i="16"/>
  <c r="AL384" i="16"/>
  <c r="Z384" i="16"/>
  <c r="N384" i="16"/>
  <c r="AK384" i="16"/>
  <c r="Y384" i="16"/>
  <c r="AF384" i="16"/>
  <c r="X384" i="16"/>
  <c r="W384" i="16"/>
  <c r="AJ384" i="16"/>
  <c r="AE384" i="16"/>
  <c r="V384" i="16"/>
  <c r="U384" i="16"/>
  <c r="S384" i="16"/>
  <c r="T384" i="16"/>
  <c r="AI384" i="16"/>
  <c r="AG384" i="16"/>
  <c r="AH384" i="16"/>
  <c r="N218" i="16"/>
  <c r="AL317" i="16"/>
  <c r="AI317" i="16"/>
  <c r="AF317" i="16"/>
  <c r="AC317" i="16"/>
  <c r="Z317" i="16"/>
  <c r="W317" i="16"/>
  <c r="Q317" i="16"/>
  <c r="T317" i="16"/>
  <c r="AE276" i="16"/>
  <c r="S276" i="16"/>
  <c r="AC276" i="16"/>
  <c r="Q276" i="16"/>
  <c r="AN276" i="16"/>
  <c r="AB276" i="16"/>
  <c r="P276" i="16"/>
  <c r="AI276" i="16"/>
  <c r="T276" i="16"/>
  <c r="AG276" i="16"/>
  <c r="AH276" i="16"/>
  <c r="R276" i="16"/>
  <c r="O276" i="16"/>
  <c r="AK276" i="16"/>
  <c r="AD276" i="16"/>
  <c r="AA276" i="16"/>
  <c r="Z276" i="16"/>
  <c r="Y276" i="16"/>
  <c r="AJ276" i="16"/>
  <c r="AF276" i="16"/>
  <c r="N276" i="16"/>
  <c r="AM276" i="16"/>
  <c r="AL276" i="16"/>
  <c r="X276" i="16"/>
  <c r="W276" i="16"/>
  <c r="V276" i="16"/>
  <c r="U276" i="16"/>
  <c r="AE235" i="16"/>
  <c r="S235" i="16"/>
  <c r="AD235" i="16"/>
  <c r="R235" i="16"/>
  <c r="AC235" i="16"/>
  <c r="O235" i="16"/>
  <c r="AB235" i="16"/>
  <c r="N235" i="16"/>
  <c r="AA235" i="16"/>
  <c r="AN235" i="16"/>
  <c r="Z235" i="16"/>
  <c r="V235" i="16"/>
  <c r="AM235" i="16"/>
  <c r="U235" i="16"/>
  <c r="AL235" i="16"/>
  <c r="T235" i="16"/>
  <c r="AK235" i="16"/>
  <c r="Q235" i="16"/>
  <c r="AJ235" i="16"/>
  <c r="P235" i="16"/>
  <c r="AI235" i="16"/>
  <c r="AH235" i="16"/>
  <c r="AG235" i="16"/>
  <c r="AF235" i="16"/>
  <c r="Y235" i="16"/>
  <c r="X235" i="16"/>
  <c r="W235" i="16"/>
  <c r="AN175" i="16"/>
  <c r="AH175" i="16"/>
  <c r="AE175" i="16"/>
  <c r="AK175" i="16"/>
  <c r="AB175" i="16"/>
  <c r="AN132" i="16"/>
  <c r="AB132" i="16"/>
  <c r="AM132" i="16"/>
  <c r="AA132" i="16"/>
  <c r="AJ132" i="16"/>
  <c r="Z132" i="16"/>
  <c r="AK132" i="16"/>
  <c r="AI132" i="16"/>
  <c r="AL132" i="16"/>
  <c r="AH132" i="16"/>
  <c r="AE132" i="16"/>
  <c r="AD132" i="16"/>
  <c r="AG132" i="16"/>
  <c r="AF132" i="16"/>
  <c r="AC132" i="16"/>
  <c r="Y132" i="16"/>
  <c r="AN91" i="16"/>
  <c r="AB91" i="16"/>
  <c r="AM91" i="16"/>
  <c r="AA91" i="16"/>
  <c r="AD91" i="16"/>
  <c r="AC91" i="16"/>
  <c r="Z91" i="16"/>
  <c r="Y91" i="16"/>
  <c r="AL91" i="16"/>
  <c r="AK91" i="16"/>
  <c r="AJ91" i="16"/>
  <c r="AI91" i="16"/>
  <c r="AH91" i="16"/>
  <c r="AG91" i="16"/>
  <c r="AF91" i="16"/>
  <c r="AE91" i="16"/>
  <c r="L16" i="16"/>
  <c r="M21" i="16"/>
  <c r="K18" i="16"/>
  <c r="K13" i="16"/>
  <c r="M216" i="16"/>
  <c r="N206" i="16"/>
  <c r="N236" i="16"/>
  <c r="L220" i="16"/>
  <c r="L221" i="16" s="1"/>
  <c r="G370" i="16"/>
  <c r="N277" i="16"/>
  <c r="I370" i="16"/>
  <c r="H370" i="16"/>
  <c r="M366" i="16"/>
  <c r="F370" i="16"/>
  <c r="M365" i="16"/>
  <c r="M10" i="16" s="1"/>
  <c r="M23" i="16" s="1"/>
  <c r="N219" i="16"/>
  <c r="M217" i="16"/>
  <c r="O213" i="16"/>
  <c r="O214" i="16"/>
  <c r="O215" i="16"/>
  <c r="O318" i="16" s="1"/>
  <c r="P202" i="16"/>
  <c r="P204" i="16" s="1"/>
  <c r="P205" i="16" s="1"/>
  <c r="P207" i="16" s="1"/>
  <c r="X62" i="16"/>
  <c r="X61" i="16"/>
  <c r="Y64" i="16"/>
  <c r="W65" i="16"/>
  <c r="V66" i="16"/>
  <c r="L369" i="16"/>
  <c r="AA47" i="16"/>
  <c r="AA49" i="16" s="1"/>
  <c r="AA50" i="16" s="1"/>
  <c r="N466" i="16"/>
  <c r="N367" i="16" s="1"/>
  <c r="Z52" i="16"/>
  <c r="Z59" i="16"/>
  <c r="Z58" i="16"/>
  <c r="Z60" i="16"/>
  <c r="Z176" i="16" s="1"/>
  <c r="O362" i="16"/>
  <c r="O364" i="16"/>
  <c r="O363" i="16"/>
  <c r="Q200" i="16"/>
  <c r="P349" i="16"/>
  <c r="P351" i="16" s="1"/>
  <c r="P353" i="16" s="1"/>
  <c r="P354" i="16" s="1"/>
  <c r="Y51" i="16"/>
  <c r="Y133" i="16"/>
  <c r="Y92" i="16"/>
  <c r="Y63" i="16"/>
  <c r="N385" i="16"/>
  <c r="N368" i="16"/>
  <c r="AH465" i="16"/>
  <c r="AK465" i="16"/>
  <c r="V465" i="16"/>
  <c r="Y465" i="16"/>
  <c r="AB465" i="16"/>
  <c r="S465" i="16"/>
  <c r="AE465" i="16"/>
  <c r="AN465" i="16"/>
  <c r="P465" i="16"/>
  <c r="N426" i="16"/>
  <c r="N355" i="16"/>
  <c r="O9" i="16" l="1"/>
  <c r="M11" i="16"/>
  <c r="M18" i="16" s="1"/>
  <c r="K25" i="16"/>
  <c r="K27" i="16" s="1"/>
  <c r="K28" i="16" s="1"/>
  <c r="AM426" i="16"/>
  <c r="AA426" i="16"/>
  <c r="O426" i="16"/>
  <c r="AL426" i="16"/>
  <c r="Z426" i="16"/>
  <c r="AG426" i="16"/>
  <c r="S426" i="16"/>
  <c r="AF426" i="16"/>
  <c r="R426" i="16"/>
  <c r="AE426" i="16"/>
  <c r="Q426" i="16"/>
  <c r="AD426" i="16"/>
  <c r="P426" i="16"/>
  <c r="AK426" i="16"/>
  <c r="AJ426" i="16"/>
  <c r="AI426" i="16"/>
  <c r="AH426" i="16"/>
  <c r="AC426" i="16"/>
  <c r="AB426" i="16"/>
  <c r="T426" i="16"/>
  <c r="AN426" i="16"/>
  <c r="Y426" i="16"/>
  <c r="X426" i="16"/>
  <c r="V426" i="16"/>
  <c r="U426" i="16"/>
  <c r="W426" i="16"/>
  <c r="AN385" i="16"/>
  <c r="AB385" i="16"/>
  <c r="P385" i="16"/>
  <c r="AM385" i="16"/>
  <c r="AA385" i="16"/>
  <c r="O385" i="16"/>
  <c r="AL385" i="16"/>
  <c r="Z385" i="16"/>
  <c r="AK385" i="16"/>
  <c r="Y385" i="16"/>
  <c r="AJ385" i="16"/>
  <c r="X385" i="16"/>
  <c r="AI385" i="16"/>
  <c r="W385" i="16"/>
  <c r="AD385" i="16"/>
  <c r="U385" i="16"/>
  <c r="AH385" i="16"/>
  <c r="AC385" i="16"/>
  <c r="V385" i="16"/>
  <c r="T385" i="16"/>
  <c r="Q385" i="16"/>
  <c r="S385" i="16"/>
  <c r="R385" i="16"/>
  <c r="AG385" i="16"/>
  <c r="AF385" i="16"/>
  <c r="AE385" i="16"/>
  <c r="O218" i="16"/>
  <c r="AA318" i="16"/>
  <c r="X318" i="16"/>
  <c r="U318" i="16"/>
  <c r="R318" i="16"/>
  <c r="AD318" i="16"/>
  <c r="AM318" i="16"/>
  <c r="AG318" i="16"/>
  <c r="AJ318" i="16"/>
  <c r="AC277" i="16"/>
  <c r="Q277" i="16"/>
  <c r="AM277" i="16"/>
  <c r="AA277" i="16"/>
  <c r="O277" i="16"/>
  <c r="AL277" i="16"/>
  <c r="Z277" i="16"/>
  <c r="X277" i="16"/>
  <c r="AK277" i="16"/>
  <c r="V277" i="16"/>
  <c r="AN277" i="16"/>
  <c r="W277" i="16"/>
  <c r="AF277" i="16"/>
  <c r="AD277" i="16"/>
  <c r="AB277" i="16"/>
  <c r="Y277" i="16"/>
  <c r="U277" i="16"/>
  <c r="T277" i="16"/>
  <c r="AE277" i="16"/>
  <c r="AI277" i="16"/>
  <c r="AH277" i="16"/>
  <c r="AG277" i="16"/>
  <c r="S277" i="16"/>
  <c r="R277" i="16"/>
  <c r="P277" i="16"/>
  <c r="AJ277" i="16"/>
  <c r="AC236" i="16"/>
  <c r="Q236" i="16"/>
  <c r="AN236" i="16"/>
  <c r="AB236" i="16"/>
  <c r="P236" i="16"/>
  <c r="AG236" i="16"/>
  <c r="S236" i="16"/>
  <c r="AF236" i="16"/>
  <c r="R236" i="16"/>
  <c r="AE236" i="16"/>
  <c r="O236" i="16"/>
  <c r="AD236" i="16"/>
  <c r="AL236" i="16"/>
  <c r="T236" i="16"/>
  <c r="AK236" i="16"/>
  <c r="AJ236" i="16"/>
  <c r="AI236" i="16"/>
  <c r="AH236" i="16"/>
  <c r="X236" i="16"/>
  <c r="W236" i="16"/>
  <c r="V236" i="16"/>
  <c r="U236" i="16"/>
  <c r="AM236" i="16"/>
  <c r="Z236" i="16"/>
  <c r="Y236" i="16"/>
  <c r="AA236" i="16"/>
  <c r="M16" i="16"/>
  <c r="AL176" i="16"/>
  <c r="AI176" i="16"/>
  <c r="AC176" i="16"/>
  <c r="AF176" i="16"/>
  <c r="AK133" i="16"/>
  <c r="AJ133" i="16"/>
  <c r="AG133" i="16"/>
  <c r="AB133" i="16"/>
  <c r="AM133" i="16"/>
  <c r="AL133" i="16"/>
  <c r="AA133" i="16"/>
  <c r="Z133" i="16"/>
  <c r="AI133" i="16"/>
  <c r="AH133" i="16"/>
  <c r="AN133" i="16"/>
  <c r="AF133" i="16"/>
  <c r="AE133" i="16"/>
  <c r="AD133" i="16"/>
  <c r="AC133" i="16"/>
  <c r="AK92" i="16"/>
  <c r="AJ92" i="16"/>
  <c r="AC92" i="16"/>
  <c r="AB92" i="16"/>
  <c r="AA92" i="16"/>
  <c r="AN92" i="16"/>
  <c r="Z92" i="16"/>
  <c r="AG92" i="16"/>
  <c r="AF92" i="16"/>
  <c r="AE92" i="16"/>
  <c r="AD92" i="16"/>
  <c r="AM92" i="16"/>
  <c r="AL92" i="16"/>
  <c r="AI92" i="16"/>
  <c r="AH92" i="16"/>
  <c r="X65" i="16"/>
  <c r="N216" i="16"/>
  <c r="L18" i="16"/>
  <c r="L25" i="16" s="1"/>
  <c r="L27" i="16" s="1"/>
  <c r="L28" i="16" s="1"/>
  <c r="N21" i="16"/>
  <c r="M220" i="16"/>
  <c r="M221" i="16" s="1"/>
  <c r="O278" i="16"/>
  <c r="O237" i="16"/>
  <c r="W66" i="16"/>
  <c r="N366" i="16"/>
  <c r="N365" i="16"/>
  <c r="N10" i="16" s="1"/>
  <c r="N23" i="16" s="1"/>
  <c r="O206" i="16"/>
  <c r="N217" i="16"/>
  <c r="O219" i="16"/>
  <c r="P215" i="16"/>
  <c r="P319" i="16" s="1"/>
  <c r="P213" i="16"/>
  <c r="P214" i="16"/>
  <c r="Q202" i="16"/>
  <c r="Q204" i="16" s="1"/>
  <c r="Q205" i="16" s="1"/>
  <c r="Q214" i="16" s="1"/>
  <c r="Y62" i="16"/>
  <c r="Y61" i="16"/>
  <c r="Z64" i="16"/>
  <c r="M369" i="16"/>
  <c r="L370" i="16"/>
  <c r="Z93" i="16"/>
  <c r="P362" i="16"/>
  <c r="P364" i="16"/>
  <c r="P363" i="16"/>
  <c r="Z51" i="16"/>
  <c r="Z134" i="16"/>
  <c r="Q349" i="16"/>
  <c r="Q351" i="16" s="1"/>
  <c r="Q353" i="16" s="1"/>
  <c r="Q354" i="16" s="1"/>
  <c r="O386" i="16"/>
  <c r="O368" i="16"/>
  <c r="T466" i="16"/>
  <c r="AC466" i="16"/>
  <c r="AL466" i="16"/>
  <c r="Z466" i="16"/>
  <c r="AI466" i="16"/>
  <c r="AF466" i="16"/>
  <c r="Q466" i="16"/>
  <c r="W466" i="16"/>
  <c r="O427" i="16"/>
  <c r="O355" i="16"/>
  <c r="Z63" i="16"/>
  <c r="O467" i="16"/>
  <c r="O367" i="16" s="1"/>
  <c r="AA52" i="16"/>
  <c r="AA60" i="16"/>
  <c r="AA177" i="16" s="1"/>
  <c r="AA59" i="16"/>
  <c r="AA58" i="16"/>
  <c r="AB47" i="16"/>
  <c r="AB49" i="16" s="1"/>
  <c r="AB50" i="16" s="1"/>
  <c r="R200" i="16"/>
  <c r="P9" i="16" l="1"/>
  <c r="N11" i="16"/>
  <c r="P238" i="16"/>
  <c r="X238" i="16" s="1"/>
  <c r="AL427" i="16"/>
  <c r="Z427" i="16"/>
  <c r="AK427" i="16"/>
  <c r="Y427" i="16"/>
  <c r="AJ427" i="16"/>
  <c r="V427" i="16"/>
  <c r="AI427" i="16"/>
  <c r="U427" i="16"/>
  <c r="AH427" i="16"/>
  <c r="T427" i="16"/>
  <c r="AG427" i="16"/>
  <c r="S427" i="16"/>
  <c r="AF427" i="16"/>
  <c r="AD427" i="16"/>
  <c r="AC427" i="16"/>
  <c r="AB427" i="16"/>
  <c r="AA427" i="16"/>
  <c r="AE427" i="16"/>
  <c r="AM427" i="16"/>
  <c r="W427" i="16"/>
  <c r="R427" i="16"/>
  <c r="Q427" i="16"/>
  <c r="P427" i="16"/>
  <c r="AN427" i="16"/>
  <c r="X427" i="16"/>
  <c r="AM386" i="16"/>
  <c r="AA386" i="16"/>
  <c r="AL386" i="16"/>
  <c r="Z386" i="16"/>
  <c r="AK386" i="16"/>
  <c r="Y386" i="16"/>
  <c r="AJ386" i="16"/>
  <c r="X386" i="16"/>
  <c r="AI386" i="16"/>
  <c r="W386" i="16"/>
  <c r="AH386" i="16"/>
  <c r="V386" i="16"/>
  <c r="AC386" i="16"/>
  <c r="U386" i="16"/>
  <c r="T386" i="16"/>
  <c r="AG386" i="16"/>
  <c r="AB386" i="16"/>
  <c r="S386" i="16"/>
  <c r="R386" i="16"/>
  <c r="AN386" i="16"/>
  <c r="Q386" i="16"/>
  <c r="P386" i="16"/>
  <c r="AD386" i="16"/>
  <c r="AF386" i="16"/>
  <c r="AE386" i="16"/>
  <c r="P218" i="16"/>
  <c r="AN319" i="16"/>
  <c r="AK319" i="16"/>
  <c r="AH319" i="16"/>
  <c r="AE319" i="16"/>
  <c r="AB319" i="16"/>
  <c r="Y319" i="16"/>
  <c r="V319" i="16"/>
  <c r="S319" i="16"/>
  <c r="AN278" i="16"/>
  <c r="AB278" i="16"/>
  <c r="P278" i="16"/>
  <c r="AL278" i="16"/>
  <c r="Z278" i="16"/>
  <c r="AK278" i="16"/>
  <c r="Y278" i="16"/>
  <c r="AF278" i="16"/>
  <c r="Q278" i="16"/>
  <c r="AD278" i="16"/>
  <c r="AE278" i="16"/>
  <c r="AA278" i="16"/>
  <c r="W278" i="16"/>
  <c r="V278" i="16"/>
  <c r="U278" i="16"/>
  <c r="T278" i="16"/>
  <c r="AM278" i="16"/>
  <c r="S278" i="16"/>
  <c r="X278" i="16"/>
  <c r="AJ278" i="16"/>
  <c r="AI278" i="16"/>
  <c r="AH278" i="16"/>
  <c r="AG278" i="16"/>
  <c r="R278" i="16"/>
  <c r="AC278" i="16"/>
  <c r="AN237" i="16"/>
  <c r="AB237" i="16"/>
  <c r="P237" i="16"/>
  <c r="AM237" i="16"/>
  <c r="AA237" i="16"/>
  <c r="AJ237" i="16"/>
  <c r="V237" i="16"/>
  <c r="AI237" i="16"/>
  <c r="U237" i="16"/>
  <c r="AH237" i="16"/>
  <c r="T237" i="16"/>
  <c r="AG237" i="16"/>
  <c r="S237" i="16"/>
  <c r="AK237" i="16"/>
  <c r="AF237" i="16"/>
  <c r="AE237" i="16"/>
  <c r="AD237" i="16"/>
  <c r="AC237" i="16"/>
  <c r="AL237" i="16"/>
  <c r="Z237" i="16"/>
  <c r="Y237" i="16"/>
  <c r="X237" i="16"/>
  <c r="W237" i="16"/>
  <c r="R237" i="16"/>
  <c r="Q237" i="16"/>
  <c r="AG177" i="16"/>
  <c r="AD177" i="16"/>
  <c r="AM177" i="16"/>
  <c r="AJ177" i="16"/>
  <c r="AI134" i="16"/>
  <c r="AH134" i="16"/>
  <c r="AE134" i="16"/>
  <c r="AC134" i="16"/>
  <c r="AN134" i="16"/>
  <c r="AM134" i="16"/>
  <c r="AG134" i="16"/>
  <c r="AF134" i="16"/>
  <c r="AD134" i="16"/>
  <c r="AB134" i="16"/>
  <c r="AA134" i="16"/>
  <c r="AL134" i="16"/>
  <c r="AK134" i="16"/>
  <c r="AJ134" i="16"/>
  <c r="AI93" i="16"/>
  <c r="AH93" i="16"/>
  <c r="AC93" i="16"/>
  <c r="AB93" i="16"/>
  <c r="AA93" i="16"/>
  <c r="AN93" i="16"/>
  <c r="AM93" i="16"/>
  <c r="AL93" i="16"/>
  <c r="AK93" i="16"/>
  <c r="AJ93" i="16"/>
  <c r="AG93" i="16"/>
  <c r="AF93" i="16"/>
  <c r="AE93" i="16"/>
  <c r="AD93" i="16"/>
  <c r="N16" i="16"/>
  <c r="O216" i="16"/>
  <c r="M13" i="16"/>
  <c r="O21" i="16"/>
  <c r="P279" i="16"/>
  <c r="N220" i="16"/>
  <c r="N221" i="16" s="1"/>
  <c r="Q207" i="16"/>
  <c r="X66" i="16"/>
  <c r="O366" i="16"/>
  <c r="O365" i="16"/>
  <c r="O10" i="16" s="1"/>
  <c r="O23" i="16" s="1"/>
  <c r="P206" i="16"/>
  <c r="P219" i="16"/>
  <c r="O217" i="16"/>
  <c r="Q213" i="16"/>
  <c r="Q215" i="16"/>
  <c r="Q320" i="16" s="1"/>
  <c r="R202" i="16"/>
  <c r="R204" i="16" s="1"/>
  <c r="R205" i="16" s="1"/>
  <c r="R207" i="16" s="1"/>
  <c r="AA64" i="16"/>
  <c r="Z62" i="16"/>
  <c r="Z61" i="16"/>
  <c r="Y65" i="16"/>
  <c r="M370" i="16"/>
  <c r="N369" i="16"/>
  <c r="R349" i="16"/>
  <c r="R351" i="16" s="1"/>
  <c r="R353" i="16" s="1"/>
  <c r="R354" i="16" s="1"/>
  <c r="AC47" i="16"/>
  <c r="AC49" i="16" s="1"/>
  <c r="AC50" i="16" s="1"/>
  <c r="AA94" i="16"/>
  <c r="AA135" i="16"/>
  <c r="AA51" i="16"/>
  <c r="P468" i="16"/>
  <c r="P367" i="16" s="1"/>
  <c r="AA63" i="16"/>
  <c r="P387" i="16"/>
  <c r="P368" i="16"/>
  <c r="AB52" i="16"/>
  <c r="AB59" i="16"/>
  <c r="AB58" i="16"/>
  <c r="AB60" i="16"/>
  <c r="AB178" i="16" s="1"/>
  <c r="AD467" i="16"/>
  <c r="AG467" i="16"/>
  <c r="X467" i="16"/>
  <c r="AA467" i="16"/>
  <c r="AJ467" i="16"/>
  <c r="R467" i="16"/>
  <c r="AM467" i="16"/>
  <c r="U467" i="16"/>
  <c r="P428" i="16"/>
  <c r="P355" i="16"/>
  <c r="Q280" i="16"/>
  <c r="Q364" i="16"/>
  <c r="Q363" i="16"/>
  <c r="Q362" i="16"/>
  <c r="Q9" i="16" s="1"/>
  <c r="S200" i="16"/>
  <c r="AG238" i="16" l="1"/>
  <c r="W238" i="16"/>
  <c r="Y238" i="16"/>
  <c r="AL238" i="16"/>
  <c r="AA238" i="16"/>
  <c r="Z238" i="16"/>
  <c r="AN238" i="16"/>
  <c r="AM238" i="16"/>
  <c r="R238" i="16"/>
  <c r="S238" i="16"/>
  <c r="T238" i="16"/>
  <c r="AH238" i="16"/>
  <c r="AI238" i="16"/>
  <c r="AJ238" i="16"/>
  <c r="Q238" i="16"/>
  <c r="AE238" i="16"/>
  <c r="AC238" i="16"/>
  <c r="AF238" i="16"/>
  <c r="AD238" i="16"/>
  <c r="AB238" i="16"/>
  <c r="U238" i="16"/>
  <c r="AK238" i="16"/>
  <c r="V238" i="16"/>
  <c r="O11" i="16"/>
  <c r="M25" i="16"/>
  <c r="AL428" i="16"/>
  <c r="Z428" i="16"/>
  <c r="AK428" i="16"/>
  <c r="Y428" i="16"/>
  <c r="AB428" i="16"/>
  <c r="AA428" i="16"/>
  <c r="AN428" i="16"/>
  <c r="X428" i="16"/>
  <c r="AM428" i="16"/>
  <c r="W428" i="16"/>
  <c r="AF428" i="16"/>
  <c r="AE428" i="16"/>
  <c r="AD428" i="16"/>
  <c r="AC428" i="16"/>
  <c r="V428" i="16"/>
  <c r="AJ428" i="16"/>
  <c r="AI428" i="16"/>
  <c r="AH428" i="16"/>
  <c r="AG428" i="16"/>
  <c r="U428" i="16"/>
  <c r="T428" i="16"/>
  <c r="S428" i="16"/>
  <c r="R428" i="16"/>
  <c r="Q428" i="16"/>
  <c r="AN387" i="16"/>
  <c r="AM387" i="16"/>
  <c r="AA387" i="16"/>
  <c r="AL387" i="16"/>
  <c r="Z387" i="16"/>
  <c r="AK387" i="16"/>
  <c r="Y387" i="16"/>
  <c r="AJ387" i="16"/>
  <c r="X387" i="16"/>
  <c r="AI387" i="16"/>
  <c r="W387" i="16"/>
  <c r="AH387" i="16"/>
  <c r="V387" i="16"/>
  <c r="AC387" i="16"/>
  <c r="T387" i="16"/>
  <c r="AG387" i="16"/>
  <c r="AB387" i="16"/>
  <c r="U387" i="16"/>
  <c r="S387" i="16"/>
  <c r="R387" i="16"/>
  <c r="Q387" i="16"/>
  <c r="AF387" i="16"/>
  <c r="AE387" i="16"/>
  <c r="AD387" i="16"/>
  <c r="Q218" i="16"/>
  <c r="AL320" i="16"/>
  <c r="AI320" i="16"/>
  <c r="AF320" i="16"/>
  <c r="Z320" i="16"/>
  <c r="AC320" i="16"/>
  <c r="T320" i="16"/>
  <c r="W320" i="16"/>
  <c r="AN279" i="16"/>
  <c r="AB279" i="16"/>
  <c r="AL279" i="16"/>
  <c r="Z279" i="16"/>
  <c r="AK279" i="16"/>
  <c r="Y279" i="16"/>
  <c r="W279" i="16"/>
  <c r="AJ279" i="16"/>
  <c r="U279" i="16"/>
  <c r="AM279" i="16"/>
  <c r="V279" i="16"/>
  <c r="AA279" i="16"/>
  <c r="T279" i="16"/>
  <c r="S279" i="16"/>
  <c r="R279" i="16"/>
  <c r="AI279" i="16"/>
  <c r="Q279" i="16"/>
  <c r="AH279" i="16"/>
  <c r="X279" i="16"/>
  <c r="AG279" i="16"/>
  <c r="AF279" i="16"/>
  <c r="AE279" i="16"/>
  <c r="AD279" i="16"/>
  <c r="AC279" i="16"/>
  <c r="AC280" i="16"/>
  <c r="AM280" i="16"/>
  <c r="AA280" i="16"/>
  <c r="AL280" i="16"/>
  <c r="Z280" i="16"/>
  <c r="AG280" i="16"/>
  <c r="R280" i="16"/>
  <c r="AE280" i="16"/>
  <c r="AF280" i="16"/>
  <c r="W280" i="16"/>
  <c r="U280" i="16"/>
  <c r="AN280" i="16"/>
  <c r="T280" i="16"/>
  <c r="AK280" i="16"/>
  <c r="S280" i="16"/>
  <c r="AJ280" i="16"/>
  <c r="AI280" i="16"/>
  <c r="V280" i="16"/>
  <c r="AH280" i="16"/>
  <c r="AD280" i="16"/>
  <c r="AB280" i="16"/>
  <c r="Y280" i="16"/>
  <c r="X280" i="16"/>
  <c r="AH178" i="16"/>
  <c r="AN178" i="16"/>
  <c r="AK178" i="16"/>
  <c r="AE178" i="16"/>
  <c r="AH135" i="16"/>
  <c r="AG135" i="16"/>
  <c r="AD135" i="16"/>
  <c r="AF135" i="16"/>
  <c r="AN135" i="16"/>
  <c r="AM135" i="16"/>
  <c r="AL135" i="16"/>
  <c r="AK135" i="16"/>
  <c r="AE135" i="16"/>
  <c r="AC135" i="16"/>
  <c r="AJ135" i="16"/>
  <c r="AI135" i="16"/>
  <c r="AB135" i="16"/>
  <c r="AH94" i="16"/>
  <c r="AG94" i="16"/>
  <c r="AD94" i="16"/>
  <c r="AC94" i="16"/>
  <c r="AB94" i="16"/>
  <c r="AN94" i="16"/>
  <c r="AM94" i="16"/>
  <c r="AL94" i="16"/>
  <c r="AK94" i="16"/>
  <c r="AJ94" i="16"/>
  <c r="AI94" i="16"/>
  <c r="AF94" i="16"/>
  <c r="AE94" i="16"/>
  <c r="O16" i="16"/>
  <c r="P217" i="16"/>
  <c r="N18" i="16"/>
  <c r="N13" i="16"/>
  <c r="P21" i="16"/>
  <c r="P216" i="16"/>
  <c r="O220" i="16"/>
  <c r="O221" i="16" s="1"/>
  <c r="Q239" i="16"/>
  <c r="Y66" i="16"/>
  <c r="P366" i="16"/>
  <c r="P365" i="16"/>
  <c r="P10" i="16" s="1"/>
  <c r="P23" i="16" s="1"/>
  <c r="R213" i="16"/>
  <c r="Q219" i="16"/>
  <c r="R214" i="16"/>
  <c r="Q206" i="16"/>
  <c r="R215" i="16"/>
  <c r="R321" i="16" s="1"/>
  <c r="S202" i="16"/>
  <c r="S204" i="16" s="1"/>
  <c r="S205" i="16" s="1"/>
  <c r="S207" i="16" s="1"/>
  <c r="AA61" i="16"/>
  <c r="AA62" i="16"/>
  <c r="AB64" i="16"/>
  <c r="N370" i="16"/>
  <c r="O369" i="16"/>
  <c r="Z65" i="16"/>
  <c r="Q388" i="16"/>
  <c r="Q368" i="16"/>
  <c r="AB95" i="16"/>
  <c r="AB51" i="16"/>
  <c r="AB136" i="16"/>
  <c r="AC52" i="16"/>
  <c r="AC60" i="16"/>
  <c r="AC179" i="16" s="1"/>
  <c r="AC58" i="16"/>
  <c r="AC59" i="16"/>
  <c r="Q429" i="16"/>
  <c r="Q355" i="16"/>
  <c r="Q469" i="16"/>
  <c r="Q367" i="16" s="1"/>
  <c r="AB63" i="16"/>
  <c r="AD47" i="16"/>
  <c r="AD49" i="16" s="1"/>
  <c r="AD50" i="16" s="1"/>
  <c r="T200" i="16"/>
  <c r="AB468" i="16"/>
  <c r="AE468" i="16"/>
  <c r="S468" i="16"/>
  <c r="AN468" i="16"/>
  <c r="AK468" i="16"/>
  <c r="V468" i="16"/>
  <c r="AH468" i="16"/>
  <c r="Y468" i="16"/>
  <c r="R364" i="16"/>
  <c r="R363" i="16"/>
  <c r="R362" i="16"/>
  <c r="R9" i="16" s="1"/>
  <c r="S349" i="16"/>
  <c r="S351" i="16" s="1"/>
  <c r="S353" i="16" s="1"/>
  <c r="S354" i="16" s="1"/>
  <c r="M29" i="16" l="1"/>
  <c r="P11" i="16"/>
  <c r="P18" i="16" s="1"/>
  <c r="N25" i="16"/>
  <c r="AM429" i="16"/>
  <c r="AA429" i="16"/>
  <c r="AL429" i="16"/>
  <c r="Z429" i="16"/>
  <c r="AG429" i="16"/>
  <c r="S429" i="16"/>
  <c r="AF429" i="16"/>
  <c r="R429" i="16"/>
  <c r="AE429" i="16"/>
  <c r="AD429" i="16"/>
  <c r="AC429" i="16"/>
  <c r="Y429" i="16"/>
  <c r="X429" i="16"/>
  <c r="W429" i="16"/>
  <c r="V429" i="16"/>
  <c r="AB429" i="16"/>
  <c r="U429" i="16"/>
  <c r="AN429" i="16"/>
  <c r="AK429" i="16"/>
  <c r="AJ429" i="16"/>
  <c r="AI429" i="16"/>
  <c r="AH429" i="16"/>
  <c r="T429" i="16"/>
  <c r="AC388" i="16"/>
  <c r="AN388" i="16"/>
  <c r="AB388" i="16"/>
  <c r="AM388" i="16"/>
  <c r="AA388" i="16"/>
  <c r="AL388" i="16"/>
  <c r="Z388" i="16"/>
  <c r="AK388" i="16"/>
  <c r="Y388" i="16"/>
  <c r="AJ388" i="16"/>
  <c r="X388" i="16"/>
  <c r="AI388" i="16"/>
  <c r="W388" i="16"/>
  <c r="AF388" i="16"/>
  <c r="AD388" i="16"/>
  <c r="V388" i="16"/>
  <c r="AE388" i="16"/>
  <c r="U388" i="16"/>
  <c r="R388" i="16"/>
  <c r="T388" i="16"/>
  <c r="S388" i="16"/>
  <c r="AH388" i="16"/>
  <c r="AG388" i="16"/>
  <c r="R218" i="16"/>
  <c r="AG321" i="16"/>
  <c r="AD321" i="16"/>
  <c r="AA321" i="16"/>
  <c r="X321" i="16"/>
  <c r="U321" i="16"/>
  <c r="AM321" i="16"/>
  <c r="AJ321" i="16"/>
  <c r="AC239" i="16"/>
  <c r="AN239" i="16"/>
  <c r="AB239" i="16"/>
  <c r="AG239" i="16"/>
  <c r="S239" i="16"/>
  <c r="AF239" i="16"/>
  <c r="R239" i="16"/>
  <c r="AE239" i="16"/>
  <c r="AD239" i="16"/>
  <c r="AH239" i="16"/>
  <c r="AA239" i="16"/>
  <c r="Z239" i="16"/>
  <c r="Y239" i="16"/>
  <c r="X239" i="16"/>
  <c r="W239" i="16"/>
  <c r="V239" i="16"/>
  <c r="U239" i="16"/>
  <c r="T239" i="16"/>
  <c r="AM239" i="16"/>
  <c r="AL239" i="16"/>
  <c r="AK239" i="16"/>
  <c r="AJ239" i="16"/>
  <c r="AI239" i="16"/>
  <c r="AL179" i="16"/>
  <c r="AF179" i="16"/>
  <c r="AI179" i="16"/>
  <c r="AH136" i="16"/>
  <c r="AG136" i="16"/>
  <c r="AD136" i="16"/>
  <c r="AK136" i="16"/>
  <c r="AE136" i="16"/>
  <c r="AC136" i="16"/>
  <c r="AN136" i="16"/>
  <c r="AM136" i="16"/>
  <c r="AF136" i="16"/>
  <c r="AL136" i="16"/>
  <c r="AJ136" i="16"/>
  <c r="AI136" i="16"/>
  <c r="AH95" i="16"/>
  <c r="AG95" i="16"/>
  <c r="AF95" i="16"/>
  <c r="AE95" i="16"/>
  <c r="AD95" i="16"/>
  <c r="AC95" i="16"/>
  <c r="AL95" i="16"/>
  <c r="AK95" i="16"/>
  <c r="AJ95" i="16"/>
  <c r="AI95" i="16"/>
  <c r="AN95" i="16"/>
  <c r="AM95" i="16"/>
  <c r="J10" i="68"/>
  <c r="P16" i="16"/>
  <c r="P220" i="16"/>
  <c r="P221" i="16" s="1"/>
  <c r="Q21" i="16"/>
  <c r="O18" i="16"/>
  <c r="O25" i="16" s="1"/>
  <c r="O13" i="16"/>
  <c r="Q217" i="16"/>
  <c r="Q216" i="16"/>
  <c r="R240" i="16"/>
  <c r="R281" i="16"/>
  <c r="R219" i="16"/>
  <c r="R206" i="16"/>
  <c r="Q365" i="16"/>
  <c r="Q10" i="16" s="1"/>
  <c r="Q23" i="16" s="1"/>
  <c r="Q366" i="16"/>
  <c r="S213" i="16"/>
  <c r="S214" i="16"/>
  <c r="S215" i="16"/>
  <c r="S322" i="16" s="1"/>
  <c r="T202" i="16"/>
  <c r="T204" i="16" s="1"/>
  <c r="T205" i="16" s="1"/>
  <c r="T215" i="16" s="1"/>
  <c r="AB61" i="16"/>
  <c r="AB62" i="16"/>
  <c r="AC64" i="16"/>
  <c r="O370" i="16"/>
  <c r="Z66" i="16"/>
  <c r="P369" i="16"/>
  <c r="P370" i="16" s="1"/>
  <c r="AA65" i="16"/>
  <c r="R430" i="16"/>
  <c r="R355" i="16"/>
  <c r="U200" i="16"/>
  <c r="AC137" i="16"/>
  <c r="AC51" i="16"/>
  <c r="AD52" i="16"/>
  <c r="AD60" i="16"/>
  <c r="AD180" i="16" s="1"/>
  <c r="AD59" i="16"/>
  <c r="AD58" i="16"/>
  <c r="AC96" i="16"/>
  <c r="AE47" i="16"/>
  <c r="AE49" i="16" s="1"/>
  <c r="AE50" i="16" s="1"/>
  <c r="R470" i="16"/>
  <c r="R367" i="16" s="1"/>
  <c r="AC63" i="16"/>
  <c r="R389" i="16"/>
  <c r="R368" i="16"/>
  <c r="S362" i="16"/>
  <c r="S9" i="16" s="1"/>
  <c r="S364" i="16"/>
  <c r="S363" i="16"/>
  <c r="T349" i="16"/>
  <c r="T351" i="16" s="1"/>
  <c r="T353" i="16" s="1"/>
  <c r="T354" i="16" s="1"/>
  <c r="AL469" i="16"/>
  <c r="T469" i="16"/>
  <c r="AF469" i="16"/>
  <c r="Z469" i="16"/>
  <c r="W469" i="16"/>
  <c r="AI469" i="16"/>
  <c r="AC469" i="16"/>
  <c r="J15" i="68" l="1"/>
  <c r="J28" i="68"/>
  <c r="J29" i="68"/>
  <c r="J26" i="68"/>
  <c r="J27" i="68"/>
  <c r="N29" i="16"/>
  <c r="S241" i="16"/>
  <c r="AC241" i="16" s="1"/>
  <c r="S21" i="16"/>
  <c r="Q11" i="16"/>
  <c r="P25" i="16"/>
  <c r="Q16" i="16"/>
  <c r="AC430" i="16"/>
  <c r="AN430" i="16"/>
  <c r="AB430" i="16"/>
  <c r="AM430" i="16"/>
  <c r="Y430" i="16"/>
  <c r="AL430" i="16"/>
  <c r="X430" i="16"/>
  <c r="AK430" i="16"/>
  <c r="W430" i="16"/>
  <c r="AJ430" i="16"/>
  <c r="V430" i="16"/>
  <c r="AE430" i="16"/>
  <c r="AD430" i="16"/>
  <c r="AA430" i="16"/>
  <c r="Z430" i="16"/>
  <c r="U430" i="16"/>
  <c r="T430" i="16"/>
  <c r="AI430" i="16"/>
  <c r="AH430" i="16"/>
  <c r="AG430" i="16"/>
  <c r="AF430" i="16"/>
  <c r="S430" i="16"/>
  <c r="AE389" i="16"/>
  <c r="S389" i="16"/>
  <c r="AD389" i="16"/>
  <c r="AC389" i="16"/>
  <c r="AN389" i="16"/>
  <c r="AB389" i="16"/>
  <c r="AM389" i="16"/>
  <c r="AA389" i="16"/>
  <c r="AL389" i="16"/>
  <c r="Z389" i="16"/>
  <c r="AK389" i="16"/>
  <c r="Y389" i="16"/>
  <c r="AJ389" i="16"/>
  <c r="AG389" i="16"/>
  <c r="U389" i="16"/>
  <c r="AI389" i="16"/>
  <c r="AH389" i="16"/>
  <c r="AF389" i="16"/>
  <c r="X389" i="16"/>
  <c r="W389" i="16"/>
  <c r="V389" i="16"/>
  <c r="T389" i="16"/>
  <c r="AN322" i="16"/>
  <c r="AK322" i="16"/>
  <c r="AH322" i="16"/>
  <c r="AE322" i="16"/>
  <c r="V322" i="16"/>
  <c r="Y322" i="16"/>
  <c r="AB322" i="16"/>
  <c r="AE281" i="16"/>
  <c r="S281" i="16"/>
  <c r="AC281" i="16"/>
  <c r="AN281" i="16"/>
  <c r="AB281" i="16"/>
  <c r="Z281" i="16"/>
  <c r="AM281" i="16"/>
  <c r="X281" i="16"/>
  <c r="Y281" i="16"/>
  <c r="V281" i="16"/>
  <c r="AL281" i="16"/>
  <c r="AK281" i="16"/>
  <c r="AJ281" i="16"/>
  <c r="AI281" i="16"/>
  <c r="AH281" i="16"/>
  <c r="U281" i="16"/>
  <c r="T281" i="16"/>
  <c r="AG281" i="16"/>
  <c r="AF281" i="16"/>
  <c r="AD281" i="16"/>
  <c r="AA281" i="16"/>
  <c r="W281" i="16"/>
  <c r="AE240" i="16"/>
  <c r="S240" i="16"/>
  <c r="AD240" i="16"/>
  <c r="AM240" i="16"/>
  <c r="Y240" i="16"/>
  <c r="AL240" i="16"/>
  <c r="X240" i="16"/>
  <c r="AK240" i="16"/>
  <c r="W240" i="16"/>
  <c r="AJ240" i="16"/>
  <c r="V240" i="16"/>
  <c r="AF240" i="16"/>
  <c r="AC240" i="16"/>
  <c r="AB240" i="16"/>
  <c r="AA240" i="16"/>
  <c r="Z240" i="16"/>
  <c r="AN240" i="16"/>
  <c r="AI240" i="16"/>
  <c r="AH240" i="16"/>
  <c r="AG240" i="16"/>
  <c r="U240" i="16"/>
  <c r="T240" i="16"/>
  <c r="AM180" i="16"/>
  <c r="AJ180" i="16"/>
  <c r="AG180" i="16"/>
  <c r="AI137" i="16"/>
  <c r="AH137" i="16"/>
  <c r="AE137" i="16"/>
  <c r="AK137" i="16"/>
  <c r="AJ137" i="16"/>
  <c r="AN137" i="16"/>
  <c r="AM137" i="16"/>
  <c r="AL137" i="16"/>
  <c r="AG137" i="16"/>
  <c r="AF137" i="16"/>
  <c r="AD137" i="16"/>
  <c r="AI96" i="16"/>
  <c r="AH96" i="16"/>
  <c r="AK96" i="16"/>
  <c r="AJ96" i="16"/>
  <c r="AG96" i="16"/>
  <c r="AF96" i="16"/>
  <c r="AN96" i="16"/>
  <c r="AM96" i="16"/>
  <c r="AL96" i="16"/>
  <c r="AE96" i="16"/>
  <c r="AD96" i="16"/>
  <c r="M23" i="52"/>
  <c r="R217" i="16"/>
  <c r="R216" i="16"/>
  <c r="P13" i="16"/>
  <c r="R21" i="16"/>
  <c r="S282" i="16"/>
  <c r="Q220" i="16"/>
  <c r="Q221" i="16" s="1"/>
  <c r="S206" i="16"/>
  <c r="R366" i="16"/>
  <c r="R365" i="16"/>
  <c r="R10" i="16" s="1"/>
  <c r="R23" i="16" s="1"/>
  <c r="T207" i="16"/>
  <c r="S219" i="16"/>
  <c r="T213" i="16"/>
  <c r="T214" i="16"/>
  <c r="U202" i="16"/>
  <c r="U204" i="16" s="1"/>
  <c r="U205" i="16" s="1"/>
  <c r="U214" i="16" s="1"/>
  <c r="AC61" i="16"/>
  <c r="AC62" i="16"/>
  <c r="AB65" i="16"/>
  <c r="AD64" i="16"/>
  <c r="Q369" i="16"/>
  <c r="Q370" i="16" s="1"/>
  <c r="AA66" i="16"/>
  <c r="AE52" i="16"/>
  <c r="AE60" i="16"/>
  <c r="AE181" i="16" s="1"/>
  <c r="AE58" i="16"/>
  <c r="AE59" i="16"/>
  <c r="AF47" i="16"/>
  <c r="AF49" i="16" s="1"/>
  <c r="AF50" i="16" s="1"/>
  <c r="S431" i="16"/>
  <c r="S355" i="16"/>
  <c r="T363" i="16"/>
  <c r="T364" i="16"/>
  <c r="T362" i="16"/>
  <c r="T9" i="16" s="1"/>
  <c r="T323" i="16"/>
  <c r="AD97" i="16"/>
  <c r="AM470" i="16"/>
  <c r="AD470" i="16"/>
  <c r="AJ470" i="16"/>
  <c r="AG470" i="16"/>
  <c r="AA470" i="16"/>
  <c r="U470" i="16"/>
  <c r="X470" i="16"/>
  <c r="S471" i="16"/>
  <c r="S367" i="16" s="1"/>
  <c r="S390" i="16"/>
  <c r="S368" i="16"/>
  <c r="V200" i="16"/>
  <c r="U349" i="16"/>
  <c r="U351" i="16" s="1"/>
  <c r="U353" i="16" s="1"/>
  <c r="U354" i="16" s="1"/>
  <c r="AD138" i="16"/>
  <c r="AD51" i="16"/>
  <c r="S218" i="16"/>
  <c r="AD63" i="16"/>
  <c r="G75" i="73"/>
  <c r="F26" i="73"/>
  <c r="G26" i="73"/>
  <c r="M12" i="66" l="1"/>
  <c r="AI241" i="16"/>
  <c r="AE241" i="16"/>
  <c r="M43" i="66"/>
  <c r="M23" i="66"/>
  <c r="M29" i="66" s="1"/>
  <c r="AN241" i="16"/>
  <c r="N71" i="66"/>
  <c r="AF241" i="16"/>
  <c r="U241" i="16"/>
  <c r="AD241" i="16"/>
  <c r="AG241" i="16"/>
  <c r="W241" i="16"/>
  <c r="V241" i="16"/>
  <c r="AJ241" i="16"/>
  <c r="AH241" i="16"/>
  <c r="AK241" i="16"/>
  <c r="AL241" i="16"/>
  <c r="T241" i="16"/>
  <c r="Y241" i="16"/>
  <c r="AM241" i="16"/>
  <c r="AA241" i="16"/>
  <c r="Z241" i="16"/>
  <c r="AB241" i="16"/>
  <c r="R11" i="16"/>
  <c r="R18" i="16" s="1"/>
  <c r="X241" i="16"/>
  <c r="N12" i="66"/>
  <c r="L15" i="68" s="1"/>
  <c r="N43" i="66"/>
  <c r="Q13" i="16"/>
  <c r="AF431" i="16"/>
  <c r="T431" i="16"/>
  <c r="AE431" i="16"/>
  <c r="AH431" i="16"/>
  <c r="AG431" i="16"/>
  <c r="AD431" i="16"/>
  <c r="AC431" i="16"/>
  <c r="AB431" i="16"/>
  <c r="Z431" i="16"/>
  <c r="X431" i="16"/>
  <c r="W431" i="16"/>
  <c r="AA431" i="16"/>
  <c r="Y431" i="16"/>
  <c r="V431" i="16"/>
  <c r="AN431" i="16"/>
  <c r="AM431" i="16"/>
  <c r="AL431" i="16"/>
  <c r="AK431" i="16"/>
  <c r="AJ431" i="16"/>
  <c r="AI431" i="16"/>
  <c r="U431" i="16"/>
  <c r="AH390" i="16"/>
  <c r="V390" i="16"/>
  <c r="AG390" i="16"/>
  <c r="U390" i="16"/>
  <c r="AF390" i="16"/>
  <c r="T390" i="16"/>
  <c r="AE390" i="16"/>
  <c r="AD390" i="16"/>
  <c r="AC390" i="16"/>
  <c r="AN390" i="16"/>
  <c r="AB390" i="16"/>
  <c r="AM390" i="16"/>
  <c r="AL390" i="16"/>
  <c r="Z390" i="16"/>
  <c r="AK390" i="16"/>
  <c r="AJ390" i="16"/>
  <c r="AA390" i="16"/>
  <c r="AI390" i="16"/>
  <c r="Y390" i="16"/>
  <c r="X390" i="16"/>
  <c r="W390" i="16"/>
  <c r="T218" i="16"/>
  <c r="AC323" i="16"/>
  <c r="Z323" i="16"/>
  <c r="W323" i="16"/>
  <c r="AL323" i="16"/>
  <c r="AI323" i="16"/>
  <c r="AF323" i="16"/>
  <c r="AH282" i="16"/>
  <c r="V282" i="16"/>
  <c r="AF282" i="16"/>
  <c r="T282" i="16"/>
  <c r="AE282" i="16"/>
  <c r="AL282" i="16"/>
  <c r="W282" i="16"/>
  <c r="AJ282" i="16"/>
  <c r="AK282" i="16"/>
  <c r="U282" i="16"/>
  <c r="Y282" i="16"/>
  <c r="AN282" i="16"/>
  <c r="AM282" i="16"/>
  <c r="AG282" i="16"/>
  <c r="X282" i="16"/>
  <c r="AI282" i="16"/>
  <c r="AA282" i="16"/>
  <c r="Z282" i="16"/>
  <c r="AD282" i="16"/>
  <c r="AC282" i="16"/>
  <c r="AB282" i="16"/>
  <c r="R16" i="16"/>
  <c r="AN181" i="16"/>
  <c r="AK181" i="16"/>
  <c r="AH181" i="16"/>
  <c r="AK138" i="16"/>
  <c r="AJ138" i="16"/>
  <c r="AG138" i="16"/>
  <c r="AE138" i="16"/>
  <c r="AN138" i="16"/>
  <c r="AM138" i="16"/>
  <c r="AL138" i="16"/>
  <c r="AI138" i="16"/>
  <c r="AH138" i="16"/>
  <c r="AF138" i="16"/>
  <c r="AK97" i="16"/>
  <c r="AJ97" i="16"/>
  <c r="AN97" i="16"/>
  <c r="AM97" i="16"/>
  <c r="AL97" i="16"/>
  <c r="AI97" i="16"/>
  <c r="AH97" i="16"/>
  <c r="AG97" i="16"/>
  <c r="AF97" i="16"/>
  <c r="AE97" i="16"/>
  <c r="N12" i="52"/>
  <c r="L10" i="68" s="1"/>
  <c r="N23" i="52"/>
  <c r="M29" i="52"/>
  <c r="R220" i="16"/>
  <c r="R221" i="16" s="1"/>
  <c r="S216" i="16"/>
  <c r="Q18" i="16"/>
  <c r="Q25" i="16" s="1"/>
  <c r="S217" i="16"/>
  <c r="T242" i="16"/>
  <c r="T283" i="16"/>
  <c r="T206" i="16"/>
  <c r="T219" i="16"/>
  <c r="AB66" i="16"/>
  <c r="S366" i="16"/>
  <c r="S365" i="16"/>
  <c r="S10" i="16" s="1"/>
  <c r="S23" i="16" s="1"/>
  <c r="U213" i="16"/>
  <c r="U215" i="16"/>
  <c r="U324" i="16" s="1"/>
  <c r="U207" i="16"/>
  <c r="V202" i="16"/>
  <c r="V204" i="16" s="1"/>
  <c r="V205" i="16" s="1"/>
  <c r="V207" i="16" s="1"/>
  <c r="AC65" i="16"/>
  <c r="AD61" i="16"/>
  <c r="AD62" i="16"/>
  <c r="AE64" i="16"/>
  <c r="R369" i="16"/>
  <c r="R370" i="16" s="1"/>
  <c r="U284" i="16"/>
  <c r="T472" i="16"/>
  <c r="T367" i="16" s="1"/>
  <c r="AE98" i="16"/>
  <c r="AE63" i="16"/>
  <c r="U364" i="16"/>
  <c r="U362" i="16"/>
  <c r="U9" i="16" s="1"/>
  <c r="U363" i="16"/>
  <c r="T391" i="16"/>
  <c r="T368" i="16"/>
  <c r="T432" i="16"/>
  <c r="T355" i="16"/>
  <c r="AF52" i="16"/>
  <c r="AF60" i="16"/>
  <c r="AF182" i="16" s="1"/>
  <c r="AF59" i="16"/>
  <c r="AF58" i="16"/>
  <c r="V349" i="16"/>
  <c r="V351" i="16" s="1"/>
  <c r="V353" i="16" s="1"/>
  <c r="V354" i="16" s="1"/>
  <c r="AN471" i="16"/>
  <c r="AE471" i="16"/>
  <c r="AK471" i="16"/>
  <c r="AH471" i="16"/>
  <c r="V471" i="16"/>
  <c r="AB471" i="16"/>
  <c r="Y471" i="16"/>
  <c r="W200" i="16"/>
  <c r="AG47" i="16"/>
  <c r="AG49" i="16" s="1"/>
  <c r="AG50" i="16" s="1"/>
  <c r="AE51" i="16"/>
  <c r="AE139" i="16"/>
  <c r="F75" i="73"/>
  <c r="H26" i="73"/>
  <c r="K15" i="68" l="1"/>
  <c r="M21" i="66"/>
  <c r="M27" i="66" s="1"/>
  <c r="M49" i="66" s="1"/>
  <c r="O21" i="66"/>
  <c r="Q7" i="66"/>
  <c r="M45" i="66"/>
  <c r="M51" i="66" s="1"/>
  <c r="O12" i="66"/>
  <c r="Q12" i="66" s="1"/>
  <c r="O43" i="66"/>
  <c r="Q43" i="66" s="1"/>
  <c r="M71" i="66"/>
  <c r="S60" i="66"/>
  <c r="R25" i="16"/>
  <c r="N23" i="66"/>
  <c r="N29" i="66" s="1"/>
  <c r="S11" i="16"/>
  <c r="S18" i="16" s="1"/>
  <c r="U21" i="16"/>
  <c r="N21" i="66"/>
  <c r="N27" i="66" s="1"/>
  <c r="N33" i="66" s="1"/>
  <c r="S7" i="66"/>
  <c r="S16" i="66" s="1"/>
  <c r="AJ432" i="16"/>
  <c r="X432" i="16"/>
  <c r="AI432" i="16"/>
  <c r="W432" i="16"/>
  <c r="AB432" i="16"/>
  <c r="AA432" i="16"/>
  <c r="AN432" i="16"/>
  <c r="Z432" i="16"/>
  <c r="AM432" i="16"/>
  <c r="Y432" i="16"/>
  <c r="AF432" i="16"/>
  <c r="AE432" i="16"/>
  <c r="AD432" i="16"/>
  <c r="AC432" i="16"/>
  <c r="V432" i="16"/>
  <c r="U432" i="16"/>
  <c r="AL432" i="16"/>
  <c r="AK432" i="16"/>
  <c r="AH432" i="16"/>
  <c r="AG432" i="16"/>
  <c r="AL391" i="16"/>
  <c r="Z391" i="16"/>
  <c r="AK391" i="16"/>
  <c r="Y391" i="16"/>
  <c r="AJ391" i="16"/>
  <c r="X391" i="16"/>
  <c r="AI391" i="16"/>
  <c r="W391" i="16"/>
  <c r="AH391" i="16"/>
  <c r="V391" i="16"/>
  <c r="AG391" i="16"/>
  <c r="U391" i="16"/>
  <c r="AF391" i="16"/>
  <c r="AB391" i="16"/>
  <c r="AM391" i="16"/>
  <c r="AA391" i="16"/>
  <c r="AN391" i="16"/>
  <c r="AC391" i="16"/>
  <c r="AD391" i="16"/>
  <c r="AE391" i="16"/>
  <c r="AM324" i="16"/>
  <c r="AJ324" i="16"/>
  <c r="AG324" i="16"/>
  <c r="AD324" i="16"/>
  <c r="AA324" i="16"/>
  <c r="X324" i="16"/>
  <c r="AE284" i="16"/>
  <c r="AC284" i="16"/>
  <c r="AN284" i="16"/>
  <c r="AB284" i="16"/>
  <c r="AF284" i="16"/>
  <c r="AA284" i="16"/>
  <c r="AD284" i="16"/>
  <c r="Y284" i="16"/>
  <c r="W284" i="16"/>
  <c r="V284" i="16"/>
  <c r="AM284" i="16"/>
  <c r="AL284" i="16"/>
  <c r="AK284" i="16"/>
  <c r="X284" i="16"/>
  <c r="AI284" i="16"/>
  <c r="AH284" i="16"/>
  <c r="AG284" i="16"/>
  <c r="Z284" i="16"/>
  <c r="AJ284" i="16"/>
  <c r="AL283" i="16"/>
  <c r="Z283" i="16"/>
  <c r="AJ283" i="16"/>
  <c r="X283" i="16"/>
  <c r="AI283" i="16"/>
  <c r="W283" i="16"/>
  <c r="AG283" i="16"/>
  <c r="AE283" i="16"/>
  <c r="AF283" i="16"/>
  <c r="Y283" i="16"/>
  <c r="U283" i="16"/>
  <c r="AN283" i="16"/>
  <c r="AM283" i="16"/>
  <c r="AK283" i="16"/>
  <c r="V283" i="16"/>
  <c r="AH283" i="16"/>
  <c r="AD283" i="16"/>
  <c r="AC283" i="16"/>
  <c r="AB283" i="16"/>
  <c r="AA283" i="16"/>
  <c r="AL242" i="16"/>
  <c r="Z242" i="16"/>
  <c r="AK242" i="16"/>
  <c r="Y242" i="16"/>
  <c r="AB242" i="16"/>
  <c r="AA242" i="16"/>
  <c r="X242" i="16"/>
  <c r="AM242" i="16"/>
  <c r="W242" i="16"/>
  <c r="AN242" i="16"/>
  <c r="AG242" i="16"/>
  <c r="AF242" i="16"/>
  <c r="AE242" i="16"/>
  <c r="AD242" i="16"/>
  <c r="AC242" i="16"/>
  <c r="AJ242" i="16"/>
  <c r="AI242" i="16"/>
  <c r="AH242" i="16"/>
  <c r="V242" i="16"/>
  <c r="U242" i="16"/>
  <c r="AI182" i="16"/>
  <c r="AL182" i="16"/>
  <c r="AM139" i="16"/>
  <c r="AN139" i="16" s="1"/>
  <c r="AJ139" i="16"/>
  <c r="AL139" i="16"/>
  <c r="AG139" i="16"/>
  <c r="AF139" i="16"/>
  <c r="AH139" i="16"/>
  <c r="AK139" i="16"/>
  <c r="AI139" i="16"/>
  <c r="AN98" i="16"/>
  <c r="AM98" i="16"/>
  <c r="AF98" i="16"/>
  <c r="AL98" i="16"/>
  <c r="AK98" i="16"/>
  <c r="AJ98" i="16"/>
  <c r="AI98" i="16"/>
  <c r="AH98" i="16"/>
  <c r="AG98" i="16"/>
  <c r="N29" i="52"/>
  <c r="O23" i="52"/>
  <c r="O12" i="52"/>
  <c r="M10" i="68" s="1"/>
  <c r="Q7" i="52"/>
  <c r="T217" i="16"/>
  <c r="T21" i="16"/>
  <c r="R13" i="16"/>
  <c r="T216" i="16"/>
  <c r="S220" i="16"/>
  <c r="S221" i="16" s="1"/>
  <c r="U243" i="16"/>
  <c r="AC66" i="16"/>
  <c r="U219" i="16"/>
  <c r="T366" i="16"/>
  <c r="T365" i="16"/>
  <c r="T10" i="16" s="1"/>
  <c r="T23" i="16" s="1"/>
  <c r="U206" i="16"/>
  <c r="V214" i="16"/>
  <c r="V215" i="16"/>
  <c r="V325" i="16" s="1"/>
  <c r="V213" i="16"/>
  <c r="W202" i="16"/>
  <c r="W204" i="16" s="1"/>
  <c r="W205" i="16" s="1"/>
  <c r="W207" i="16" s="1"/>
  <c r="AE61" i="16"/>
  <c r="AD65" i="16"/>
  <c r="AE62" i="16"/>
  <c r="AF64" i="16"/>
  <c r="S369" i="16"/>
  <c r="S370" i="16" s="1"/>
  <c r="V364" i="16"/>
  <c r="V362" i="16"/>
  <c r="V9" i="16" s="1"/>
  <c r="V363" i="16"/>
  <c r="AF51" i="16"/>
  <c r="AF140" i="16"/>
  <c r="X200" i="16"/>
  <c r="U473" i="16"/>
  <c r="U367" i="16" s="1"/>
  <c r="AH47" i="16"/>
  <c r="AH49" i="16" s="1"/>
  <c r="AH50" i="16" s="1"/>
  <c r="U392" i="16"/>
  <c r="U368" i="16"/>
  <c r="AF63" i="16"/>
  <c r="AL472" i="16"/>
  <c r="AI472" i="16"/>
  <c r="AC472" i="16"/>
  <c r="AF472" i="16"/>
  <c r="W472" i="16"/>
  <c r="Z472" i="16"/>
  <c r="AG52" i="16"/>
  <c r="AG60" i="16"/>
  <c r="AG183" i="16" s="1"/>
  <c r="AG58" i="16"/>
  <c r="AG59" i="16"/>
  <c r="W349" i="16"/>
  <c r="W351" i="16" s="1"/>
  <c r="W353" i="16" s="1"/>
  <c r="W354" i="16" s="1"/>
  <c r="U218" i="16"/>
  <c r="AF99" i="16"/>
  <c r="U433" i="16"/>
  <c r="U355" i="16"/>
  <c r="I26" i="73"/>
  <c r="H75" i="73"/>
  <c r="I75" i="73"/>
  <c r="Q23" i="52" l="1"/>
  <c r="O23" i="66"/>
  <c r="O29" i="66" s="1"/>
  <c r="Q16" i="66"/>
  <c r="M73" i="66"/>
  <c r="M79" i="66" s="1"/>
  <c r="M22" i="66"/>
  <c r="M33" i="66"/>
  <c r="Q38" i="66"/>
  <c r="Q100" i="66"/>
  <c r="B3" i="70"/>
  <c r="O27" i="66"/>
  <c r="O49" i="66" s="1"/>
  <c r="M15" i="68"/>
  <c r="T60" i="66"/>
  <c r="S60" i="32"/>
  <c r="O71" i="66"/>
  <c r="Q71" i="66" s="1"/>
  <c r="O71" i="32"/>
  <c r="Q60" i="66"/>
  <c r="AW59" i="66" s="1"/>
  <c r="N45" i="66"/>
  <c r="N73" i="66" s="1"/>
  <c r="N79" i="66" s="1"/>
  <c r="S13" i="16"/>
  <c r="N22" i="66"/>
  <c r="S25" i="16"/>
  <c r="V21" i="16"/>
  <c r="T11" i="16"/>
  <c r="T18" i="16" s="1"/>
  <c r="Q44" i="66"/>
  <c r="T7" i="66"/>
  <c r="S23" i="66"/>
  <c r="S29" i="66" s="1"/>
  <c r="S38" i="66"/>
  <c r="N49" i="66"/>
  <c r="N77" i="66" s="1"/>
  <c r="M77" i="66"/>
  <c r="M55" i="66"/>
  <c r="O22" i="66"/>
  <c r="Q21" i="66"/>
  <c r="AC433" i="16"/>
  <c r="AN433" i="16"/>
  <c r="AB433" i="16"/>
  <c r="AK433" i="16"/>
  <c r="W433" i="16"/>
  <c r="AJ433" i="16"/>
  <c r="V433" i="16"/>
  <c r="AI433" i="16"/>
  <c r="AH433" i="16"/>
  <c r="AG433" i="16"/>
  <c r="AE433" i="16"/>
  <c r="AD433" i="16"/>
  <c r="AA433" i="16"/>
  <c r="Z433" i="16"/>
  <c r="AF433" i="16"/>
  <c r="Y433" i="16"/>
  <c r="AM433" i="16"/>
  <c r="AL433" i="16"/>
  <c r="X433" i="16"/>
  <c r="AE392" i="16"/>
  <c r="AD392" i="16"/>
  <c r="AC392" i="16"/>
  <c r="AN392" i="16"/>
  <c r="AB392" i="16"/>
  <c r="AM392" i="16"/>
  <c r="AA392" i="16"/>
  <c r="AL392" i="16"/>
  <c r="Z392" i="16"/>
  <c r="AK392" i="16"/>
  <c r="Y392" i="16"/>
  <c r="AI392" i="16"/>
  <c r="AF392" i="16"/>
  <c r="AH392" i="16"/>
  <c r="AG392" i="16"/>
  <c r="X392" i="16"/>
  <c r="W392" i="16"/>
  <c r="V392" i="16"/>
  <c r="AJ392" i="16"/>
  <c r="V218" i="16"/>
  <c r="AE325" i="16"/>
  <c r="AB325" i="16"/>
  <c r="Y325" i="16"/>
  <c r="AN325" i="16"/>
  <c r="AK325" i="16"/>
  <c r="AH325" i="16"/>
  <c r="AE243" i="16"/>
  <c r="AD243" i="16"/>
  <c r="AK243" i="16"/>
  <c r="W243" i="16"/>
  <c r="AJ243" i="16"/>
  <c r="V243" i="16"/>
  <c r="AI243" i="16"/>
  <c r="AH243" i="16"/>
  <c r="AL243" i="16"/>
  <c r="AG243" i="16"/>
  <c r="AF243" i="16"/>
  <c r="AC243" i="16"/>
  <c r="AB243" i="16"/>
  <c r="AN243" i="16"/>
  <c r="AM243" i="16"/>
  <c r="AA243" i="16"/>
  <c r="Z243" i="16"/>
  <c r="Y243" i="16"/>
  <c r="X243" i="16"/>
  <c r="AM183" i="16"/>
  <c r="AJ183" i="16"/>
  <c r="AM140" i="16"/>
  <c r="AN140" i="16" s="1"/>
  <c r="AL140" i="16"/>
  <c r="AJ140" i="16"/>
  <c r="AI140" i="16"/>
  <c r="AH140" i="16"/>
  <c r="AG140" i="16"/>
  <c r="AK140" i="16"/>
  <c r="AL99" i="16"/>
  <c r="AK99" i="16"/>
  <c r="AJ99" i="16"/>
  <c r="AI99" i="16"/>
  <c r="AN99" i="16"/>
  <c r="AM99" i="16"/>
  <c r="AH99" i="16"/>
  <c r="AG99" i="16"/>
  <c r="Q29" i="52"/>
  <c r="S23" i="52"/>
  <c r="O29" i="52"/>
  <c r="T16" i="16"/>
  <c r="T220" i="16"/>
  <c r="T221" i="16" s="1"/>
  <c r="U216" i="16"/>
  <c r="V244" i="16"/>
  <c r="V285" i="16"/>
  <c r="U217" i="16"/>
  <c r="AD66" i="16"/>
  <c r="U366" i="16"/>
  <c r="U365" i="16"/>
  <c r="U10" i="16" s="1"/>
  <c r="U23" i="16" s="1"/>
  <c r="W213" i="16"/>
  <c r="W214" i="16"/>
  <c r="W215" i="16"/>
  <c r="W326" i="16" s="1"/>
  <c r="V206" i="16"/>
  <c r="V219" i="16"/>
  <c r="X202" i="16"/>
  <c r="X204" i="16" s="1"/>
  <c r="X205" i="16" s="1"/>
  <c r="X207" i="16" s="1"/>
  <c r="AF61" i="16"/>
  <c r="AF62" i="16"/>
  <c r="AE65" i="16"/>
  <c r="T369" i="16"/>
  <c r="AG64" i="16"/>
  <c r="AG100" i="16"/>
  <c r="X349" i="16"/>
  <c r="X351" i="16" s="1"/>
  <c r="X353" i="16" s="1"/>
  <c r="X354" i="16" s="1"/>
  <c r="AG63" i="16"/>
  <c r="V434" i="16"/>
  <c r="V355" i="16"/>
  <c r="AH52" i="16"/>
  <c r="AH58" i="16"/>
  <c r="AH60" i="16"/>
  <c r="AH184" i="16" s="1"/>
  <c r="AH59" i="16"/>
  <c r="V393" i="16"/>
  <c r="V368" i="16"/>
  <c r="Y200" i="16"/>
  <c r="W363" i="16"/>
  <c r="W362" i="16"/>
  <c r="W9" i="16" s="1"/>
  <c r="W364" i="16"/>
  <c r="AG51" i="16"/>
  <c r="AG141" i="16"/>
  <c r="AI47" i="16"/>
  <c r="AI49" i="16" s="1"/>
  <c r="AI50" i="16" s="1"/>
  <c r="V474" i="16"/>
  <c r="V367" i="16" s="1"/>
  <c r="AG473" i="16"/>
  <c r="AM473" i="16"/>
  <c r="AA473" i="16"/>
  <c r="X473" i="16"/>
  <c r="AD473" i="16"/>
  <c r="AJ473" i="16"/>
  <c r="J75" i="73"/>
  <c r="J26" i="73"/>
  <c r="Q23" i="66" l="1"/>
  <c r="T16" i="66"/>
  <c r="T23" i="66" s="1"/>
  <c r="O45" i="66"/>
  <c r="O73" i="66" s="1"/>
  <c r="O79" i="66" s="1"/>
  <c r="Q45" i="66"/>
  <c r="Q51" i="66" s="1"/>
  <c r="Q29" i="66"/>
  <c r="N15" i="68"/>
  <c r="Q71" i="32"/>
  <c r="O33" i="66"/>
  <c r="Q60" i="32"/>
  <c r="T60" i="32"/>
  <c r="U60" i="66"/>
  <c r="N51" i="66"/>
  <c r="U11" i="16"/>
  <c r="U13" i="16" s="1"/>
  <c r="W21" i="16"/>
  <c r="T25" i="16"/>
  <c r="T38" i="66"/>
  <c r="U7" i="66"/>
  <c r="S45" i="66"/>
  <c r="W286" i="16"/>
  <c r="AG286" i="16" s="1"/>
  <c r="N55" i="66"/>
  <c r="O55" i="66"/>
  <c r="O77" i="66"/>
  <c r="Q22" i="66"/>
  <c r="Q27" i="66"/>
  <c r="N83" i="66"/>
  <c r="N101" i="66"/>
  <c r="N102" i="66" s="1"/>
  <c r="M101" i="66"/>
  <c r="M102" i="66" s="1"/>
  <c r="M83" i="66"/>
  <c r="AI434" i="16"/>
  <c r="W434" i="16"/>
  <c r="AH434" i="16"/>
  <c r="AG434" i="16"/>
  <c r="AF434" i="16"/>
  <c r="AE434" i="16"/>
  <c r="AD434" i="16"/>
  <c r="AM434" i="16"/>
  <c r="AL434" i="16"/>
  <c r="AK434" i="16"/>
  <c r="AJ434" i="16"/>
  <c r="AC434" i="16"/>
  <c r="AB434" i="16"/>
  <c r="AN434" i="16"/>
  <c r="Z434" i="16"/>
  <c r="Y434" i="16"/>
  <c r="X434" i="16"/>
  <c r="AA434" i="16"/>
  <c r="AK393" i="16"/>
  <c r="Y393" i="16"/>
  <c r="AJ393" i="16"/>
  <c r="X393" i="16"/>
  <c r="AI393" i="16"/>
  <c r="W393" i="16"/>
  <c r="AH393" i="16"/>
  <c r="AG393" i="16"/>
  <c r="AF393" i="16"/>
  <c r="AE393" i="16"/>
  <c r="AN393" i="16"/>
  <c r="AB393" i="16"/>
  <c r="AM393" i="16"/>
  <c r="AL393" i="16"/>
  <c r="AD393" i="16"/>
  <c r="AC393" i="16"/>
  <c r="AA393" i="16"/>
  <c r="Z393" i="16"/>
  <c r="W218" i="16"/>
  <c r="AL326" i="16"/>
  <c r="AI326" i="16"/>
  <c r="AF326" i="16"/>
  <c r="AC326" i="16"/>
  <c r="Z326" i="16"/>
  <c r="AK285" i="16"/>
  <c r="Y285" i="16"/>
  <c r="AI285" i="16"/>
  <c r="W285" i="16"/>
  <c r="AH285" i="16"/>
  <c r="AC285" i="16"/>
  <c r="AA285" i="16"/>
  <c r="AB285" i="16"/>
  <c r="AE285" i="16"/>
  <c r="X285" i="16"/>
  <c r="AN285" i="16"/>
  <c r="AD285" i="16"/>
  <c r="Z285" i="16"/>
  <c r="AM285" i="16"/>
  <c r="AL285" i="16"/>
  <c r="AJ285" i="16"/>
  <c r="AG285" i="16"/>
  <c r="AF285" i="16"/>
  <c r="AK244" i="16"/>
  <c r="Y244" i="16"/>
  <c r="AJ244" i="16"/>
  <c r="X244" i="16"/>
  <c r="AG244" i="16"/>
  <c r="AF244" i="16"/>
  <c r="AE244" i="16"/>
  <c r="AD244" i="16"/>
  <c r="AN244" i="16"/>
  <c r="AM244" i="16"/>
  <c r="AL244" i="16"/>
  <c r="AI244" i="16"/>
  <c r="AH244" i="16"/>
  <c r="AC244" i="16"/>
  <c r="AB244" i="16"/>
  <c r="AA244" i="16"/>
  <c r="Z244" i="16"/>
  <c r="W244" i="16"/>
  <c r="AN184" i="16"/>
  <c r="AK184" i="16"/>
  <c r="AK141" i="16"/>
  <c r="AJ141" i="16"/>
  <c r="AI141" i="16"/>
  <c r="AH141" i="16"/>
  <c r="AN141" i="16"/>
  <c r="AM141" i="16"/>
  <c r="AL141" i="16"/>
  <c r="AK100" i="16"/>
  <c r="AJ100" i="16"/>
  <c r="AI100" i="16"/>
  <c r="AH100" i="16"/>
  <c r="AN100" i="16"/>
  <c r="AM100" i="16"/>
  <c r="AL100" i="16"/>
  <c r="T23" i="52"/>
  <c r="S29" i="52"/>
  <c r="V217" i="16"/>
  <c r="V216" i="16"/>
  <c r="T13" i="16"/>
  <c r="U220" i="16"/>
  <c r="U221" i="16" s="1"/>
  <c r="W245" i="16"/>
  <c r="AE66" i="16"/>
  <c r="X214" i="16"/>
  <c r="X215" i="16"/>
  <c r="X327" i="16" s="1"/>
  <c r="X213" i="16"/>
  <c r="V366" i="16"/>
  <c r="V365" i="16"/>
  <c r="V10" i="16" s="1"/>
  <c r="V23" i="16" s="1"/>
  <c r="W219" i="16"/>
  <c r="AG62" i="16"/>
  <c r="W206" i="16"/>
  <c r="Y202" i="16"/>
  <c r="Y204" i="16" s="1"/>
  <c r="Y205" i="16" s="1"/>
  <c r="Y207" i="16" s="1"/>
  <c r="AG61" i="16"/>
  <c r="AF65" i="16"/>
  <c r="T370" i="16"/>
  <c r="AH64" i="16"/>
  <c r="U369" i="16"/>
  <c r="U370" i="16" s="1"/>
  <c r="Y349" i="16"/>
  <c r="Y351" i="16" s="1"/>
  <c r="Y353" i="16" s="1"/>
  <c r="Y354" i="16" s="1"/>
  <c r="X362" i="16"/>
  <c r="X9" i="16" s="1"/>
  <c r="X363" i="16"/>
  <c r="X364" i="16"/>
  <c r="Z200" i="16"/>
  <c r="AE474" i="16"/>
  <c r="AH474" i="16"/>
  <c r="AB474" i="16"/>
  <c r="AN474" i="16"/>
  <c r="AK474" i="16"/>
  <c r="Y474" i="16"/>
  <c r="AI52" i="16"/>
  <c r="AI60" i="16"/>
  <c r="AI185" i="16" s="1"/>
  <c r="AL185" i="16" s="1"/>
  <c r="AI58" i="16"/>
  <c r="AI59" i="16"/>
  <c r="W475" i="16"/>
  <c r="AJ47" i="16"/>
  <c r="AJ49" i="16" s="1"/>
  <c r="AJ50" i="16" s="1"/>
  <c r="W394" i="16"/>
  <c r="W368" i="16"/>
  <c r="AH51" i="16"/>
  <c r="AH142" i="16"/>
  <c r="W435" i="16"/>
  <c r="W355" i="16"/>
  <c r="AH63" i="16"/>
  <c r="AH101" i="16"/>
  <c r="K75" i="73"/>
  <c r="K26" i="73"/>
  <c r="U16" i="66" l="1"/>
  <c r="O51" i="66"/>
  <c r="Q73" i="66"/>
  <c r="Q79" i="66" s="1"/>
  <c r="C23" i="43"/>
  <c r="V60" i="66"/>
  <c r="U71" i="66"/>
  <c r="U60" i="32"/>
  <c r="U71" i="32" s="1"/>
  <c r="U18" i="16"/>
  <c r="U25" i="16" s="1"/>
  <c r="V11" i="16"/>
  <c r="V18" i="16" s="1"/>
  <c r="V25" i="16" s="1"/>
  <c r="AD286" i="16"/>
  <c r="AF286" i="16"/>
  <c r="Y286" i="16"/>
  <c r="AC286" i="16"/>
  <c r="AH286" i="16"/>
  <c r="AJ286" i="16"/>
  <c r="AL286" i="16"/>
  <c r="AM286" i="16"/>
  <c r="AA286" i="16"/>
  <c r="X286" i="16"/>
  <c r="AE286" i="16"/>
  <c r="AI286" i="16"/>
  <c r="Z286" i="16"/>
  <c r="V7" i="66"/>
  <c r="S73" i="66"/>
  <c r="S79" i="66" s="1"/>
  <c r="S51" i="66"/>
  <c r="U38" i="66"/>
  <c r="T45" i="66"/>
  <c r="T29" i="66"/>
  <c r="AB286" i="16"/>
  <c r="AK286" i="16"/>
  <c r="AN286" i="16"/>
  <c r="Q33" i="66"/>
  <c r="Q49" i="66"/>
  <c r="O83" i="66"/>
  <c r="O101" i="66"/>
  <c r="O102" i="66" s="1"/>
  <c r="W367" i="16"/>
  <c r="AC475" i="16"/>
  <c r="Z475" i="16"/>
  <c r="AD435" i="16"/>
  <c r="AC435" i="16"/>
  <c r="AF435" i="16"/>
  <c r="AE435" i="16"/>
  <c r="AB435" i="16"/>
  <c r="AA435" i="16"/>
  <c r="AN435" i="16"/>
  <c r="AL435" i="16"/>
  <c r="AK435" i="16"/>
  <c r="AJ435" i="16"/>
  <c r="AI435" i="16"/>
  <c r="AM435" i="16"/>
  <c r="AH435" i="16"/>
  <c r="Z435" i="16"/>
  <c r="X435" i="16"/>
  <c r="AG435" i="16"/>
  <c r="Y435" i="16"/>
  <c r="AF394" i="16"/>
  <c r="AE394" i="16"/>
  <c r="AD394" i="16"/>
  <c r="AC394" i="16"/>
  <c r="AN394" i="16"/>
  <c r="AB394" i="16"/>
  <c r="AM394" i="16"/>
  <c r="AA394" i="16"/>
  <c r="AL394" i="16"/>
  <c r="Z394" i="16"/>
  <c r="AG394" i="16"/>
  <c r="X394" i="16"/>
  <c r="Y394" i="16"/>
  <c r="AK394" i="16"/>
  <c r="AJ394" i="16"/>
  <c r="AI394" i="16"/>
  <c r="AH394" i="16"/>
  <c r="X218" i="16"/>
  <c r="AJ327" i="16"/>
  <c r="AG327" i="16"/>
  <c r="AD327" i="16"/>
  <c r="AA327" i="16"/>
  <c r="AM327" i="16"/>
  <c r="AF245" i="16"/>
  <c r="AE245" i="16"/>
  <c r="AD245" i="16"/>
  <c r="AC245" i="16"/>
  <c r="AB245" i="16"/>
  <c r="AA245" i="16"/>
  <c r="AN245" i="16"/>
  <c r="AM245" i="16"/>
  <c r="AL245" i="16"/>
  <c r="AK245" i="16"/>
  <c r="X245" i="16"/>
  <c r="AJ245" i="16"/>
  <c r="AI245" i="16"/>
  <c r="AH245" i="16"/>
  <c r="AG245" i="16"/>
  <c r="Z245" i="16"/>
  <c r="Y245" i="16"/>
  <c r="AM142" i="16"/>
  <c r="AL142" i="16"/>
  <c r="AI142" i="16"/>
  <c r="AJ142" i="16"/>
  <c r="AN142" i="16"/>
  <c r="AK142" i="16"/>
  <c r="AM101" i="16"/>
  <c r="AL101" i="16"/>
  <c r="AK101" i="16"/>
  <c r="AJ101" i="16"/>
  <c r="AN101" i="16"/>
  <c r="AI101" i="16"/>
  <c r="U23" i="52"/>
  <c r="T29" i="52"/>
  <c r="V220" i="16"/>
  <c r="V221" i="16" s="1"/>
  <c r="W216" i="16"/>
  <c r="X219" i="16"/>
  <c r="X206" i="16"/>
  <c r="X287" i="16"/>
  <c r="W217" i="16"/>
  <c r="X246" i="16"/>
  <c r="X395" i="16"/>
  <c r="AF66" i="16"/>
  <c r="W365" i="16"/>
  <c r="W10" i="16" s="1"/>
  <c r="W23" i="16" s="1"/>
  <c r="W366" i="16"/>
  <c r="Y213" i="16"/>
  <c r="AG65" i="16"/>
  <c r="Y215" i="16"/>
  <c r="Y328" i="16" s="1"/>
  <c r="Y214" i="16"/>
  <c r="Z202" i="16"/>
  <c r="Z204" i="16" s="1"/>
  <c r="Z205" i="16" s="1"/>
  <c r="Z207" i="16" s="1"/>
  <c r="AH61" i="16"/>
  <c r="AH62" i="16"/>
  <c r="AI64" i="16"/>
  <c r="V369" i="16"/>
  <c r="X436" i="16"/>
  <c r="X355" i="16"/>
  <c r="AJ52" i="16"/>
  <c r="AJ58" i="16"/>
  <c r="AJ60" i="16"/>
  <c r="AJ186" i="16" s="1"/>
  <c r="AM186" i="16" s="1"/>
  <c r="AJ59" i="16"/>
  <c r="AI63" i="16"/>
  <c r="AK47" i="16"/>
  <c r="AK49" i="16" s="1"/>
  <c r="AK50" i="16" s="1"/>
  <c r="Y364" i="16"/>
  <c r="Y363" i="16"/>
  <c r="Y362" i="16"/>
  <c r="Y9" i="16" s="1"/>
  <c r="Z349" i="16"/>
  <c r="Z351" i="16" s="1"/>
  <c r="Z353" i="16" s="1"/>
  <c r="Z354" i="16" s="1"/>
  <c r="AI143" i="16"/>
  <c r="AI51" i="16"/>
  <c r="X476" i="16"/>
  <c r="X367" i="16" s="1"/>
  <c r="AA200" i="16"/>
  <c r="X368" i="16"/>
  <c r="AL475" i="16"/>
  <c r="AF475" i="16"/>
  <c r="AI475" i="16"/>
  <c r="AI102" i="16"/>
  <c r="L75" i="73"/>
  <c r="L26" i="73"/>
  <c r="V16" i="66" l="1"/>
  <c r="W60" i="66"/>
  <c r="V71" i="66"/>
  <c r="V60" i="32"/>
  <c r="V71" i="32" s="1"/>
  <c r="V13" i="16"/>
  <c r="W11" i="16"/>
  <c r="W18" i="16" s="1"/>
  <c r="W25" i="16" s="1"/>
  <c r="Y21" i="16"/>
  <c r="T73" i="66"/>
  <c r="T79" i="66" s="1"/>
  <c r="T51" i="66"/>
  <c r="W7" i="66"/>
  <c r="V23" i="66"/>
  <c r="V38" i="66"/>
  <c r="U23" i="66"/>
  <c r="Q77" i="66"/>
  <c r="Q55" i="66"/>
  <c r="AL436" i="16"/>
  <c r="Z436" i="16"/>
  <c r="AK436" i="16"/>
  <c r="Y436" i="16"/>
  <c r="AD436" i="16"/>
  <c r="AC436" i="16"/>
  <c r="AB436" i="16"/>
  <c r="AA436" i="16"/>
  <c r="AN436" i="16"/>
  <c r="AM436" i="16"/>
  <c r="AJ436" i="16"/>
  <c r="AI436" i="16"/>
  <c r="AH436" i="16"/>
  <c r="AG436" i="16"/>
  <c r="AF436" i="16"/>
  <c r="AE436" i="16"/>
  <c r="AN395" i="16"/>
  <c r="AB395" i="16"/>
  <c r="AM395" i="16"/>
  <c r="AA395" i="16"/>
  <c r="AL395" i="16"/>
  <c r="Z395" i="16"/>
  <c r="AK395" i="16"/>
  <c r="Y395" i="16"/>
  <c r="AJ395" i="16"/>
  <c r="AI395" i="16"/>
  <c r="AH395" i="16"/>
  <c r="AG395" i="16"/>
  <c r="AF395" i="16"/>
  <c r="AE395" i="16"/>
  <c r="AC395" i="16"/>
  <c r="AD395" i="16"/>
  <c r="Y218" i="16"/>
  <c r="AN328" i="16"/>
  <c r="AB328" i="16"/>
  <c r="AK328" i="16"/>
  <c r="AH328" i="16"/>
  <c r="AE328" i="16"/>
  <c r="AN287" i="16"/>
  <c r="AB287" i="16"/>
  <c r="AL287" i="16"/>
  <c r="Z287" i="16"/>
  <c r="AK287" i="16"/>
  <c r="Y287" i="16"/>
  <c r="AC287" i="16"/>
  <c r="AA287" i="16"/>
  <c r="AM287" i="16"/>
  <c r="AI287" i="16"/>
  <c r="AH287" i="16"/>
  <c r="AG287" i="16"/>
  <c r="AF287" i="16"/>
  <c r="AE287" i="16"/>
  <c r="AJ287" i="16"/>
  <c r="AD287" i="16"/>
  <c r="AN246" i="16"/>
  <c r="AB246" i="16"/>
  <c r="AM246" i="16"/>
  <c r="AA246" i="16"/>
  <c r="AD246" i="16"/>
  <c r="AC246" i="16"/>
  <c r="Z246" i="16"/>
  <c r="Y246" i="16"/>
  <c r="AE246" i="16"/>
  <c r="AK246" i="16"/>
  <c r="AJ246" i="16"/>
  <c r="AI246" i="16"/>
  <c r="AH246" i="16"/>
  <c r="AG246" i="16"/>
  <c r="AF246" i="16"/>
  <c r="AL246" i="16"/>
  <c r="AL143" i="16"/>
  <c r="AK143" i="16"/>
  <c r="AN143" i="16"/>
  <c r="AM143" i="16"/>
  <c r="AJ143" i="16"/>
  <c r="AL102" i="16"/>
  <c r="AK102" i="16"/>
  <c r="AN102" i="16"/>
  <c r="AM102" i="16"/>
  <c r="AJ102" i="16"/>
  <c r="U29" i="52"/>
  <c r="V23" i="52"/>
  <c r="X21" i="16"/>
  <c r="W220" i="16"/>
  <c r="W221" i="16" s="1"/>
  <c r="X217" i="16"/>
  <c r="Y288" i="16"/>
  <c r="X216" i="16"/>
  <c r="Y247" i="16"/>
  <c r="Y206" i="16"/>
  <c r="AG66" i="16"/>
  <c r="X366" i="16"/>
  <c r="X365" i="16"/>
  <c r="X10" i="16" s="1"/>
  <c r="X23" i="16" s="1"/>
  <c r="Y219" i="16"/>
  <c r="Z215" i="16"/>
  <c r="Z329" i="16" s="1"/>
  <c r="Z214" i="16"/>
  <c r="Z213" i="16"/>
  <c r="AA202" i="16"/>
  <c r="AA204" i="16" s="1"/>
  <c r="AA205" i="16" s="1"/>
  <c r="AA207" i="16" s="1"/>
  <c r="AI61" i="16"/>
  <c r="AH65" i="16"/>
  <c r="V370" i="16"/>
  <c r="AI62" i="16"/>
  <c r="AJ64" i="16"/>
  <c r="W369" i="16"/>
  <c r="AB200" i="16"/>
  <c r="AK52" i="16"/>
  <c r="AK59" i="16"/>
  <c r="AK60" i="16"/>
  <c r="AK187" i="16" s="1"/>
  <c r="AN187" i="16" s="1"/>
  <c r="AK58" i="16"/>
  <c r="Y396" i="16"/>
  <c r="Y368" i="16"/>
  <c r="AJ51" i="16"/>
  <c r="AJ144" i="16"/>
  <c r="AA349" i="16"/>
  <c r="AA351" i="16" s="1"/>
  <c r="AA353" i="16" s="1"/>
  <c r="AA354" i="16" s="1"/>
  <c r="Z364" i="16"/>
  <c r="Z362" i="16"/>
  <c r="Z9" i="16" s="1"/>
  <c r="Z363" i="16"/>
  <c r="Y437" i="16"/>
  <c r="Y355" i="16"/>
  <c r="Y477" i="16"/>
  <c r="Y367" i="16" s="1"/>
  <c r="AL47" i="16"/>
  <c r="AL49" i="16" s="1"/>
  <c r="AL50" i="16" s="1"/>
  <c r="AJ103" i="16"/>
  <c r="AJ63" i="16"/>
  <c r="AJ476" i="16"/>
  <c r="AM476" i="16"/>
  <c r="AG476" i="16"/>
  <c r="AA476" i="16"/>
  <c r="AD476" i="16"/>
  <c r="M75" i="73"/>
  <c r="M26" i="73"/>
  <c r="W16" i="66" l="1"/>
  <c r="F3" i="70"/>
  <c r="X60" i="66"/>
  <c r="Y60" i="66"/>
  <c r="W71" i="66"/>
  <c r="W60" i="32"/>
  <c r="W13" i="16"/>
  <c r="Z21" i="16"/>
  <c r="X11" i="16"/>
  <c r="U29" i="66"/>
  <c r="U45" i="66"/>
  <c r="V29" i="66"/>
  <c r="V45" i="66"/>
  <c r="X7" i="66"/>
  <c r="W38" i="66"/>
  <c r="Q101" i="66"/>
  <c r="Q83" i="66"/>
  <c r="AI437" i="16"/>
  <c r="AH437" i="16"/>
  <c r="AC437" i="16"/>
  <c r="AB437" i="16"/>
  <c r="AA437" i="16"/>
  <c r="AN437" i="16"/>
  <c r="Z437" i="16"/>
  <c r="AG437" i="16"/>
  <c r="AE437" i="16"/>
  <c r="AD437" i="16"/>
  <c r="AF437" i="16"/>
  <c r="AM437" i="16"/>
  <c r="AL437" i="16"/>
  <c r="AK437" i="16"/>
  <c r="AJ437" i="16"/>
  <c r="AK396" i="16"/>
  <c r="AJ396" i="16"/>
  <c r="AI396" i="16"/>
  <c r="AH396" i="16"/>
  <c r="AG396" i="16"/>
  <c r="AF396" i="16"/>
  <c r="AE396" i="16"/>
  <c r="AB396" i="16"/>
  <c r="AA396" i="16"/>
  <c r="Z396" i="16"/>
  <c r="AN396" i="16"/>
  <c r="AL396" i="16"/>
  <c r="AD396" i="16"/>
  <c r="AC396" i="16"/>
  <c r="AM396" i="16"/>
  <c r="Z218" i="16"/>
  <c r="AL329" i="16"/>
  <c r="AI329" i="16"/>
  <c r="AF329" i="16"/>
  <c r="AC329" i="16"/>
  <c r="AK288" i="16"/>
  <c r="AI288" i="16"/>
  <c r="AH288" i="16"/>
  <c r="AC288" i="16"/>
  <c r="AA288" i="16"/>
  <c r="AB288" i="16"/>
  <c r="AN288" i="16"/>
  <c r="AM288" i="16"/>
  <c r="AL288" i="16"/>
  <c r="AJ288" i="16"/>
  <c r="Z288" i="16"/>
  <c r="AF288" i="16"/>
  <c r="AE288" i="16"/>
  <c r="AG288" i="16"/>
  <c r="AD288" i="16"/>
  <c r="AK247" i="16"/>
  <c r="AJ247" i="16"/>
  <c r="AC247" i="16"/>
  <c r="AB247" i="16"/>
  <c r="AA247" i="16"/>
  <c r="AN247" i="16"/>
  <c r="AG247" i="16"/>
  <c r="AF247" i="16"/>
  <c r="AE247" i="16"/>
  <c r="AD247" i="16"/>
  <c r="Z247" i="16"/>
  <c r="AM247" i="16"/>
  <c r="AL247" i="16"/>
  <c r="AI247" i="16"/>
  <c r="AH247" i="16"/>
  <c r="AL144" i="16"/>
  <c r="AK144" i="16"/>
  <c r="AN144" i="16"/>
  <c r="AM144" i="16"/>
  <c r="AN103" i="16"/>
  <c r="AM103" i="16"/>
  <c r="AL103" i="16"/>
  <c r="AK103" i="16"/>
  <c r="W23" i="52"/>
  <c r="W29" i="52" s="1"/>
  <c r="X16" i="16"/>
  <c r="V29" i="52"/>
  <c r="Y217" i="16"/>
  <c r="X220" i="16"/>
  <c r="X221" i="16" s="1"/>
  <c r="Y216" i="16"/>
  <c r="Z248" i="16"/>
  <c r="Z289" i="16"/>
  <c r="Y365" i="16"/>
  <c r="Y10" i="16" s="1"/>
  <c r="Y23" i="16" s="1"/>
  <c r="AH66" i="16"/>
  <c r="Y366" i="16"/>
  <c r="AA215" i="16"/>
  <c r="AA330" i="16" s="1"/>
  <c r="AA214" i="16"/>
  <c r="AA213" i="16"/>
  <c r="Z206" i="16"/>
  <c r="Z219" i="16"/>
  <c r="AB202" i="16"/>
  <c r="AB204" i="16" s="1"/>
  <c r="AB205" i="16" s="1"/>
  <c r="AB213" i="16" s="1"/>
  <c r="AJ61" i="16"/>
  <c r="AK64" i="16"/>
  <c r="AI65" i="16"/>
  <c r="AJ62" i="16"/>
  <c r="W370" i="16"/>
  <c r="X369" i="16"/>
  <c r="AK104" i="16"/>
  <c r="AK145" i="16"/>
  <c r="AK51" i="16"/>
  <c r="AK63" i="16"/>
  <c r="AB477" i="16"/>
  <c r="AK477" i="16"/>
  <c r="AE477" i="16"/>
  <c r="AN477" i="16"/>
  <c r="AH477" i="16"/>
  <c r="AA362" i="16"/>
  <c r="AA9" i="16" s="1"/>
  <c r="AA364" i="16"/>
  <c r="AA363" i="16"/>
  <c r="Z397" i="16"/>
  <c r="Z368" i="16"/>
  <c r="AB349" i="16"/>
  <c r="AB351" i="16" s="1"/>
  <c r="AB353" i="16" s="1"/>
  <c r="AB354" i="16" s="1"/>
  <c r="AC200" i="16"/>
  <c r="Z478" i="16"/>
  <c r="Z367" i="16" s="1"/>
  <c r="AL52" i="16"/>
  <c r="AL59" i="16"/>
  <c r="AL58" i="16"/>
  <c r="AL60" i="16"/>
  <c r="AL188" i="16" s="1"/>
  <c r="AN47" i="16"/>
  <c r="AN49" i="16" s="1"/>
  <c r="AN50" i="16" s="1"/>
  <c r="AM47" i="16"/>
  <c r="AM49" i="16" s="1"/>
  <c r="AM50" i="16" s="1"/>
  <c r="Z438" i="16"/>
  <c r="Z355" i="16"/>
  <c r="N75" i="73"/>
  <c r="N26" i="73"/>
  <c r="O75" i="73"/>
  <c r="Q102" i="66" l="1"/>
  <c r="X16" i="66"/>
  <c r="G3" i="70"/>
  <c r="Y71" i="66"/>
  <c r="Y60" i="32"/>
  <c r="Y71" i="32" s="1"/>
  <c r="X71" i="66"/>
  <c r="X60" i="32"/>
  <c r="X71" i="32" s="1"/>
  <c r="Y11" i="16"/>
  <c r="Y18" i="16" s="1"/>
  <c r="W23" i="66"/>
  <c r="X38" i="66"/>
  <c r="V51" i="66"/>
  <c r="V73" i="66"/>
  <c r="V79" i="66" s="1"/>
  <c r="U51" i="66"/>
  <c r="U73" i="66"/>
  <c r="U79" i="66" s="1"/>
  <c r="Y7" i="66"/>
  <c r="AG438" i="16"/>
  <c r="AF438" i="16"/>
  <c r="AC438" i="16"/>
  <c r="AB438" i="16"/>
  <c r="AA438" i="16"/>
  <c r="AN438" i="16"/>
  <c r="AM438" i="16"/>
  <c r="AK438" i="16"/>
  <c r="AJ438" i="16"/>
  <c r="AI438" i="16"/>
  <c r="AH438" i="16"/>
  <c r="AL438" i="16"/>
  <c r="AE438" i="16"/>
  <c r="AD438" i="16"/>
  <c r="AI397" i="16"/>
  <c r="AH397" i="16"/>
  <c r="AG397" i="16"/>
  <c r="AF397" i="16"/>
  <c r="AE397" i="16"/>
  <c r="AD397" i="16"/>
  <c r="AC397" i="16"/>
  <c r="AN397" i="16"/>
  <c r="AL397" i="16"/>
  <c r="AK397" i="16"/>
  <c r="AM397" i="16"/>
  <c r="AJ397" i="16"/>
  <c r="AB397" i="16"/>
  <c r="AA397" i="16"/>
  <c r="AA218" i="16"/>
  <c r="AG330" i="16"/>
  <c r="AD330" i="16"/>
  <c r="AJ330" i="16"/>
  <c r="AM330" i="16"/>
  <c r="AI289" i="16"/>
  <c r="AG289" i="16"/>
  <c r="AF289" i="16"/>
  <c r="AD289" i="16"/>
  <c r="AB289" i="16"/>
  <c r="AC289" i="16"/>
  <c r="AH289" i="16"/>
  <c r="AA289" i="16"/>
  <c r="AE289" i="16"/>
  <c r="AN289" i="16"/>
  <c r="AM289" i="16"/>
  <c r="AK289" i="16"/>
  <c r="AJ289" i="16"/>
  <c r="AL289" i="16"/>
  <c r="AI248" i="16"/>
  <c r="AH248" i="16"/>
  <c r="AC248" i="16"/>
  <c r="AB248" i="16"/>
  <c r="AA248" i="16"/>
  <c r="AK248" i="16"/>
  <c r="AL248" i="16" s="1"/>
  <c r="AM248" i="16" s="1"/>
  <c r="AN248" i="16" s="1"/>
  <c r="AJ248" i="16"/>
  <c r="AG248" i="16"/>
  <c r="AF248" i="16"/>
  <c r="AE248" i="16"/>
  <c r="AD248" i="16"/>
  <c r="AM145" i="16"/>
  <c r="AL145" i="16"/>
  <c r="AN145" i="16"/>
  <c r="AN104" i="16"/>
  <c r="AM104" i="16"/>
  <c r="AL104" i="16"/>
  <c r="X23" i="52"/>
  <c r="X29" i="52" s="1"/>
  <c r="Y220" i="16"/>
  <c r="Y221" i="16" s="1"/>
  <c r="X18" i="16"/>
  <c r="X25" i="16" s="1"/>
  <c r="X13" i="16"/>
  <c r="Z217" i="16"/>
  <c r="Z216" i="16"/>
  <c r="AA290" i="16"/>
  <c r="AA219" i="16"/>
  <c r="AA206" i="16"/>
  <c r="AB207" i="16"/>
  <c r="AA249" i="16"/>
  <c r="AI66" i="16"/>
  <c r="Z366" i="16"/>
  <c r="Z365" i="16"/>
  <c r="Z10" i="16" s="1"/>
  <c r="Z23" i="16" s="1"/>
  <c r="AB215" i="16"/>
  <c r="AB331" i="16" s="1"/>
  <c r="AB214" i="16"/>
  <c r="AC202" i="16"/>
  <c r="AC204" i="16" s="1"/>
  <c r="AC205" i="16" s="1"/>
  <c r="AC207" i="16" s="1"/>
  <c r="X370" i="16"/>
  <c r="AJ65" i="16"/>
  <c r="AK62" i="16"/>
  <c r="AK61" i="16"/>
  <c r="AL64" i="16"/>
  <c r="Y369" i="16"/>
  <c r="AA439" i="16"/>
  <c r="AA355" i="16"/>
  <c r="AA479" i="16"/>
  <c r="AA367" i="16" s="1"/>
  <c r="AC478" i="16"/>
  <c r="AF478" i="16"/>
  <c r="AL478" i="16"/>
  <c r="AI478" i="16"/>
  <c r="AB250" i="16"/>
  <c r="AA398" i="16"/>
  <c r="AA368" i="16"/>
  <c r="AL63" i="16"/>
  <c r="AD200" i="16"/>
  <c r="AM52" i="16"/>
  <c r="AM59" i="16"/>
  <c r="AM60" i="16"/>
  <c r="AM189" i="16" s="1"/>
  <c r="AM58" i="16"/>
  <c r="AL105" i="16"/>
  <c r="AB364" i="16"/>
  <c r="AB362" i="16"/>
  <c r="AB9" i="16" s="1"/>
  <c r="AB363" i="16"/>
  <c r="AN52" i="16"/>
  <c r="AN60" i="16"/>
  <c r="AN190" i="16" s="1"/>
  <c r="AN59" i="16"/>
  <c r="AN58" i="16"/>
  <c r="AL146" i="16"/>
  <c r="AL51" i="16"/>
  <c r="AC349" i="16"/>
  <c r="AC351" i="16" s="1"/>
  <c r="AC353" i="16" s="1"/>
  <c r="AC354" i="16" s="1"/>
  <c r="O26" i="73"/>
  <c r="Y16" i="66" l="1"/>
  <c r="Z60" i="66"/>
  <c r="Y25" i="16"/>
  <c r="Y13" i="16"/>
  <c r="Z11" i="16"/>
  <c r="Z7" i="66"/>
  <c r="Y38" i="66"/>
  <c r="X23" i="66"/>
  <c r="W29" i="66"/>
  <c r="W45" i="66"/>
  <c r="AF439" i="16"/>
  <c r="AE439" i="16"/>
  <c r="AD439" i="16"/>
  <c r="AC439" i="16"/>
  <c r="AB439" i="16"/>
  <c r="AN439" i="16"/>
  <c r="AM439" i="16"/>
  <c r="AL439" i="16"/>
  <c r="AK439" i="16"/>
  <c r="AI439" i="16"/>
  <c r="AH439" i="16"/>
  <c r="AJ439" i="16"/>
  <c r="AG439" i="16"/>
  <c r="AH398" i="16"/>
  <c r="AG398" i="16"/>
  <c r="AF398" i="16"/>
  <c r="AE398" i="16"/>
  <c r="AD398" i="16"/>
  <c r="AC398" i="16"/>
  <c r="AN398" i="16"/>
  <c r="AB398" i="16"/>
  <c r="AM398" i="16"/>
  <c r="AK398" i="16"/>
  <c r="AJ398" i="16"/>
  <c r="AI398" i="16"/>
  <c r="AL398" i="16"/>
  <c r="AB218" i="16"/>
  <c r="AJ333" i="16"/>
  <c r="AN337" i="16"/>
  <c r="AI332" i="16"/>
  <c r="AM336" i="16"/>
  <c r="AN331" i="16"/>
  <c r="AL335" i="16"/>
  <c r="AK334" i="16"/>
  <c r="AH331" i="16"/>
  <c r="AK331" i="16"/>
  <c r="AE331" i="16"/>
  <c r="AH290" i="16"/>
  <c r="AF290" i="16"/>
  <c r="AE290" i="16"/>
  <c r="AI290" i="16"/>
  <c r="AD290" i="16"/>
  <c r="AG290" i="16"/>
  <c r="AN290" i="16"/>
  <c r="AL290" i="16"/>
  <c r="AK290" i="16"/>
  <c r="AJ290" i="16"/>
  <c r="AC290" i="16"/>
  <c r="AB290" i="16"/>
  <c r="AM290" i="16"/>
  <c r="AH249" i="16"/>
  <c r="AG249" i="16"/>
  <c r="AD249" i="16"/>
  <c r="AC249" i="16"/>
  <c r="AB249" i="16"/>
  <c r="AJ249" i="16"/>
  <c r="AI249" i="16"/>
  <c r="AF249" i="16"/>
  <c r="AE249" i="16"/>
  <c r="AK249" i="16"/>
  <c r="AL249" i="16" s="1"/>
  <c r="AM249" i="16" s="1"/>
  <c r="AN249" i="16" s="1"/>
  <c r="AH250" i="16"/>
  <c r="AG250" i="16"/>
  <c r="AF250" i="16"/>
  <c r="AE250" i="16"/>
  <c r="AD250" i="16"/>
  <c r="AC250" i="16"/>
  <c r="AL250" i="16"/>
  <c r="AK250" i="16"/>
  <c r="AJ250" i="16"/>
  <c r="AI250" i="16"/>
  <c r="AN250" i="16"/>
  <c r="AM250" i="16"/>
  <c r="AN146" i="16"/>
  <c r="AM146" i="16"/>
  <c r="AN105" i="16"/>
  <c r="AM105" i="16"/>
  <c r="Y23" i="52"/>
  <c r="Y29" i="52" s="1"/>
  <c r="AA217" i="16"/>
  <c r="AA216" i="16"/>
  <c r="Z220" i="16"/>
  <c r="Z221" i="16" s="1"/>
  <c r="AA21" i="16"/>
  <c r="AB21" i="16"/>
  <c r="AB219" i="16"/>
  <c r="AB291" i="16"/>
  <c r="AB206" i="16"/>
  <c r="AJ66" i="16"/>
  <c r="AA366" i="16"/>
  <c r="AA365" i="16"/>
  <c r="AA10" i="16" s="1"/>
  <c r="AA23" i="16" s="1"/>
  <c r="AC215" i="16"/>
  <c r="AC332" i="16" s="1"/>
  <c r="AC213" i="16"/>
  <c r="AC214" i="16"/>
  <c r="AD202" i="16"/>
  <c r="AD204" i="16" s="1"/>
  <c r="AD205" i="16" s="1"/>
  <c r="AD215" i="16" s="1"/>
  <c r="AK65" i="16"/>
  <c r="AL61" i="16"/>
  <c r="AL62" i="16"/>
  <c r="AN64" i="16"/>
  <c r="AM64" i="16"/>
  <c r="Z369" i="16"/>
  <c r="Y370" i="16"/>
  <c r="AB440" i="16"/>
  <c r="AE440" i="16" s="1"/>
  <c r="AB355" i="16"/>
  <c r="AD479" i="16"/>
  <c r="AM479" i="16"/>
  <c r="AJ479" i="16"/>
  <c r="AG479" i="16"/>
  <c r="AD349" i="16"/>
  <c r="AD351" i="16" s="1"/>
  <c r="AD353" i="16" s="1"/>
  <c r="AD354" i="16" s="1"/>
  <c r="AB399" i="16"/>
  <c r="AB368" i="16"/>
  <c r="AE200" i="16"/>
  <c r="AC362" i="16"/>
  <c r="AC9" i="16" s="1"/>
  <c r="AC363" i="16"/>
  <c r="AC364" i="16"/>
  <c r="AB480" i="16"/>
  <c r="AB367" i="16" s="1"/>
  <c r="AN107" i="16"/>
  <c r="AN148" i="16"/>
  <c r="AN51" i="16"/>
  <c r="AM147" i="16"/>
  <c r="AN147" i="16" s="1"/>
  <c r="AM51" i="16"/>
  <c r="AN63" i="16"/>
  <c r="AM106" i="16"/>
  <c r="AN106" i="16" s="1"/>
  <c r="AM63" i="16"/>
  <c r="P75" i="73"/>
  <c r="P26" i="73"/>
  <c r="Z16" i="66" l="1"/>
  <c r="Z18" i="16"/>
  <c r="Z25" i="16" s="1"/>
  <c r="AA60" i="66"/>
  <c r="AB60" i="66"/>
  <c r="Z71" i="66"/>
  <c r="Z60" i="32"/>
  <c r="Z71" i="32" s="1"/>
  <c r="AA11" i="16"/>
  <c r="AA18" i="16" s="1"/>
  <c r="Y23" i="66"/>
  <c r="X45" i="66"/>
  <c r="X29" i="66"/>
  <c r="Z38" i="66"/>
  <c r="AA7" i="66"/>
  <c r="W51" i="66"/>
  <c r="W73" i="66"/>
  <c r="W79" i="66" s="1"/>
  <c r="AF440" i="16"/>
  <c r="AH440" i="16"/>
  <c r="AG440" i="16"/>
  <c r="AD440" i="16"/>
  <c r="AC440" i="16"/>
  <c r="AL440" i="16"/>
  <c r="AJ440" i="16"/>
  <c r="AI440" i="16"/>
  <c r="AK440" i="16"/>
  <c r="AN440" i="16"/>
  <c r="AM440" i="16"/>
  <c r="AH399" i="16"/>
  <c r="AG399" i="16"/>
  <c r="AF399" i="16"/>
  <c r="AE399" i="16"/>
  <c r="AD399" i="16"/>
  <c r="AC399" i="16"/>
  <c r="AN399" i="16"/>
  <c r="AL399" i="16"/>
  <c r="AM399" i="16"/>
  <c r="AK399" i="16"/>
  <c r="AJ399" i="16"/>
  <c r="AI399" i="16"/>
  <c r="AC218" i="16"/>
  <c r="AF332" i="16"/>
  <c r="AL332" i="16"/>
  <c r="AH291" i="16"/>
  <c r="AF291" i="16"/>
  <c r="AE291" i="16"/>
  <c r="AL291" i="16"/>
  <c r="AJ291" i="16"/>
  <c r="AI291" i="16"/>
  <c r="AK291" i="16"/>
  <c r="AG291" i="16"/>
  <c r="AD291" i="16"/>
  <c r="AC291" i="16"/>
  <c r="AN291" i="16"/>
  <c r="AM291" i="16"/>
  <c r="Z23" i="52"/>
  <c r="Z29" i="52" s="1"/>
  <c r="AA16" i="16"/>
  <c r="AA220" i="16"/>
  <c r="AA221" i="16" s="1"/>
  <c r="AB216" i="16"/>
  <c r="AB217" i="16"/>
  <c r="AC292" i="16"/>
  <c r="AC251" i="16"/>
  <c r="AC206" i="16"/>
  <c r="AK66" i="16"/>
  <c r="AC400" i="16"/>
  <c r="AB366" i="16"/>
  <c r="AB365" i="16"/>
  <c r="AB10" i="16" s="1"/>
  <c r="AB23" i="16" s="1"/>
  <c r="AC219" i="16"/>
  <c r="AD213" i="16"/>
  <c r="AD214" i="16"/>
  <c r="AD207" i="16"/>
  <c r="AE202" i="16"/>
  <c r="AE204" i="16" s="1"/>
  <c r="AE205" i="16" s="1"/>
  <c r="AE207" i="16" s="1"/>
  <c r="AL65" i="16"/>
  <c r="AN61" i="16"/>
  <c r="AM61" i="16"/>
  <c r="AN62" i="16"/>
  <c r="AM62" i="16"/>
  <c r="AA369" i="16"/>
  <c r="Z370" i="16"/>
  <c r="AF200" i="16"/>
  <c r="AD333" i="16"/>
  <c r="AN480" i="16"/>
  <c r="AE480" i="16"/>
  <c r="AK483" i="16"/>
  <c r="AK480" i="16"/>
  <c r="AH480" i="16"/>
  <c r="AN486" i="16"/>
  <c r="AM485" i="16"/>
  <c r="AL484" i="16"/>
  <c r="AI481" i="16"/>
  <c r="AJ482" i="16"/>
  <c r="AC481" i="16"/>
  <c r="AC367" i="16"/>
  <c r="AC441" i="16"/>
  <c r="AD441" i="16" s="1"/>
  <c r="AE441" i="16" s="1"/>
  <c r="AF441" i="16" s="1"/>
  <c r="AG441" i="16" s="1"/>
  <c r="AH441" i="16" s="1"/>
  <c r="AI441" i="16" s="1"/>
  <c r="AJ441" i="16" s="1"/>
  <c r="AK441" i="16" s="1"/>
  <c r="AL441" i="16" s="1"/>
  <c r="AM441" i="16" s="1"/>
  <c r="AN441" i="16" s="1"/>
  <c r="AC355" i="16"/>
  <c r="AD362" i="16"/>
  <c r="AD9" i="16" s="1"/>
  <c r="AD363" i="16"/>
  <c r="AD442" i="16" s="1"/>
  <c r="AE442" i="16" s="1"/>
  <c r="AF442" i="16" s="1"/>
  <c r="AG442" i="16" s="1"/>
  <c r="AH442" i="16" s="1"/>
  <c r="AI442" i="16" s="1"/>
  <c r="AJ442" i="16" s="1"/>
  <c r="AK442" i="16" s="1"/>
  <c r="AL442" i="16" s="1"/>
  <c r="AM442" i="16" s="1"/>
  <c r="AN442" i="16" s="1"/>
  <c r="AD364" i="16"/>
  <c r="AC368" i="16"/>
  <c r="AE349" i="16"/>
  <c r="AE351" i="16" s="1"/>
  <c r="AE353" i="16" s="1"/>
  <c r="AE354" i="16" s="1"/>
  <c r="R75" i="73"/>
  <c r="Q26" i="73"/>
  <c r="Q75" i="73"/>
  <c r="AA16" i="66" l="1"/>
  <c r="AB71" i="66"/>
  <c r="AB60" i="32"/>
  <c r="AA71" i="66"/>
  <c r="AA60" i="32"/>
  <c r="AA25" i="16"/>
  <c r="AB11" i="16"/>
  <c r="AB18" i="16" s="1"/>
  <c r="Z23" i="66"/>
  <c r="AA38" i="66"/>
  <c r="X51" i="66"/>
  <c r="X73" i="66"/>
  <c r="X79" i="66" s="1"/>
  <c r="AB7" i="66"/>
  <c r="Y45" i="66"/>
  <c r="Y29" i="66"/>
  <c r="AI400" i="16"/>
  <c r="AH400" i="16"/>
  <c r="AG400" i="16"/>
  <c r="AF400" i="16"/>
  <c r="AE400" i="16"/>
  <c r="AD400" i="16"/>
  <c r="AK400" i="16"/>
  <c r="AJ400" i="16"/>
  <c r="AN400" i="16"/>
  <c r="AL400" i="16"/>
  <c r="AM400" i="16"/>
  <c r="AD218" i="16"/>
  <c r="AM333" i="16"/>
  <c r="AG333" i="16"/>
  <c r="AI292" i="16"/>
  <c r="AG292" i="16"/>
  <c r="AF292" i="16"/>
  <c r="AN292" i="16"/>
  <c r="AM292" i="16"/>
  <c r="AK292" i="16"/>
  <c r="AJ292" i="16"/>
  <c r="AH292" i="16"/>
  <c r="AE292" i="16"/>
  <c r="AD292" i="16"/>
  <c r="AL292" i="16"/>
  <c r="AI251" i="16"/>
  <c r="AH251" i="16"/>
  <c r="AK251" i="16"/>
  <c r="AL251" i="16" s="1"/>
  <c r="AM251" i="16" s="1"/>
  <c r="AN251" i="16" s="1"/>
  <c r="AJ251" i="16"/>
  <c r="AG251" i="16"/>
  <c r="AF251" i="16"/>
  <c r="AE251" i="16"/>
  <c r="AD251" i="16"/>
  <c r="AA23" i="52"/>
  <c r="AB16" i="16"/>
  <c r="AC216" i="16"/>
  <c r="AB220" i="16"/>
  <c r="AB221" i="16" s="1"/>
  <c r="AC21" i="16"/>
  <c r="AA13" i="16"/>
  <c r="AD252" i="16"/>
  <c r="AD293" i="16"/>
  <c r="AC217" i="16"/>
  <c r="AD206" i="16"/>
  <c r="AD219" i="16"/>
  <c r="AL66" i="16"/>
  <c r="AC366" i="16"/>
  <c r="AC365" i="16"/>
  <c r="AC10" i="16" s="1"/>
  <c r="AC23" i="16" s="1"/>
  <c r="AE215" i="16"/>
  <c r="AE334" i="16" s="1"/>
  <c r="AE214" i="16"/>
  <c r="AE213" i="16"/>
  <c r="AF202" i="16"/>
  <c r="AF204" i="16" s="1"/>
  <c r="AF205" i="16" s="1"/>
  <c r="AF207" i="16" s="1"/>
  <c r="AA370" i="16"/>
  <c r="AM65" i="16"/>
  <c r="AN65" i="16"/>
  <c r="AB369" i="16"/>
  <c r="AB370" i="16" s="1"/>
  <c r="AD401" i="16"/>
  <c r="AD368" i="16"/>
  <c r="AD355" i="16"/>
  <c r="AG200" i="16"/>
  <c r="AE364" i="16"/>
  <c r="AE363" i="16"/>
  <c r="AE443" i="16" s="1"/>
  <c r="AE362" i="16"/>
  <c r="AE9" i="16" s="1"/>
  <c r="AF349" i="16"/>
  <c r="AF351" i="16" s="1"/>
  <c r="AF353" i="16" s="1"/>
  <c r="AF354" i="16" s="1"/>
  <c r="AD482" i="16"/>
  <c r="AD367" i="16"/>
  <c r="AF481" i="16"/>
  <c r="AL481" i="16"/>
  <c r="R26" i="73"/>
  <c r="AB16" i="66" l="1"/>
  <c r="AC60" i="66"/>
  <c r="AC11" i="16"/>
  <c r="AC18" i="16" s="1"/>
  <c r="AB25" i="16"/>
  <c r="AE21" i="16"/>
  <c r="AA23" i="66"/>
  <c r="Z45" i="66"/>
  <c r="Z29" i="66"/>
  <c r="AB23" i="66"/>
  <c r="AB38" i="66"/>
  <c r="AC7" i="66"/>
  <c r="Y73" i="66"/>
  <c r="Y79" i="66" s="1"/>
  <c r="Y51" i="66"/>
  <c r="AK401" i="16"/>
  <c r="AJ401" i="16"/>
  <c r="AI401" i="16"/>
  <c r="AH401" i="16"/>
  <c r="AG401" i="16"/>
  <c r="AF401" i="16"/>
  <c r="AE401" i="16"/>
  <c r="AM401" i="16"/>
  <c r="AN401" i="16"/>
  <c r="AL401" i="16"/>
  <c r="AE218" i="16"/>
  <c r="AN334" i="16"/>
  <c r="AH334" i="16"/>
  <c r="AK293" i="16"/>
  <c r="AI293" i="16"/>
  <c r="AH293" i="16"/>
  <c r="AF293" i="16"/>
  <c r="AE293" i="16"/>
  <c r="AG293" i="16"/>
  <c r="AN293" i="16"/>
  <c r="AM293" i="16"/>
  <c r="AL293" i="16"/>
  <c r="AJ293" i="16"/>
  <c r="AK252" i="16"/>
  <c r="AJ252" i="16"/>
  <c r="AN252" i="16"/>
  <c r="AM252" i="16"/>
  <c r="AL252" i="16"/>
  <c r="AI252" i="16"/>
  <c r="AH252" i="16"/>
  <c r="AG252" i="16"/>
  <c r="AF252" i="16"/>
  <c r="AE252" i="16"/>
  <c r="AA29" i="52"/>
  <c r="AB23" i="52"/>
  <c r="AC16" i="16"/>
  <c r="AC220" i="16"/>
  <c r="AC221" i="16" s="1"/>
  <c r="AD216" i="16"/>
  <c r="AD21" i="16"/>
  <c r="AB13" i="16"/>
  <c r="AE294" i="16"/>
  <c r="AD217" i="16"/>
  <c r="AE253" i="16"/>
  <c r="AM66" i="16"/>
  <c r="AN66" i="16"/>
  <c r="AD366" i="16"/>
  <c r="AD365" i="16"/>
  <c r="AD10" i="16" s="1"/>
  <c r="AD23" i="16" s="1"/>
  <c r="AC369" i="16"/>
  <c r="AC370" i="16" s="1"/>
  <c r="AE219" i="16"/>
  <c r="AE206" i="16"/>
  <c r="AF214" i="16"/>
  <c r="AF215" i="16"/>
  <c r="AF213" i="16"/>
  <c r="AG202" i="16"/>
  <c r="AG204" i="16" s="1"/>
  <c r="AG205" i="16" s="1"/>
  <c r="AG207" i="16" s="1"/>
  <c r="AE483" i="16"/>
  <c r="AE367" i="16"/>
  <c r="AG349" i="16"/>
  <c r="AG351" i="16" s="1"/>
  <c r="AG353" i="16" s="1"/>
  <c r="AG354" i="16" s="1"/>
  <c r="AE402" i="16"/>
  <c r="AE368" i="16"/>
  <c r="AG482" i="16"/>
  <c r="AM482" i="16"/>
  <c r="AE355" i="16"/>
  <c r="AF362" i="16"/>
  <c r="AF9" i="16" s="1"/>
  <c r="AF364" i="16"/>
  <c r="AF363" i="16"/>
  <c r="AH200" i="16"/>
  <c r="S26" i="73"/>
  <c r="S75" i="73"/>
  <c r="AC16" i="66" l="1"/>
  <c r="AD60" i="66"/>
  <c r="AC71" i="66"/>
  <c r="AC60" i="32"/>
  <c r="AD11" i="16"/>
  <c r="AD18" i="16" s="1"/>
  <c r="AC25" i="16"/>
  <c r="AB45" i="66"/>
  <c r="AB29" i="66"/>
  <c r="AD7" i="66"/>
  <c r="AC38" i="66"/>
  <c r="Z51" i="66"/>
  <c r="Z73" i="66"/>
  <c r="Z79" i="66" s="1"/>
  <c r="AA45" i="66"/>
  <c r="AA29" i="66"/>
  <c r="AF443" i="16"/>
  <c r="AG443" i="16" s="1"/>
  <c r="AH443" i="16" s="1"/>
  <c r="AI443" i="16" s="1"/>
  <c r="AJ443" i="16" s="1"/>
  <c r="AK443" i="16" s="1"/>
  <c r="AL443" i="16" s="1"/>
  <c r="AM443" i="16" s="1"/>
  <c r="AN443" i="16" s="1"/>
  <c r="AN402" i="16"/>
  <c r="AM402" i="16"/>
  <c r="AL402" i="16"/>
  <c r="AK402" i="16"/>
  <c r="AJ402" i="16"/>
  <c r="AI402" i="16"/>
  <c r="AH402" i="16"/>
  <c r="AG402" i="16"/>
  <c r="AF402" i="16"/>
  <c r="AN294" i="16"/>
  <c r="AL294" i="16"/>
  <c r="AK294" i="16"/>
  <c r="AJ294" i="16"/>
  <c r="AI294" i="16"/>
  <c r="AM294" i="16"/>
  <c r="AH294" i="16"/>
  <c r="AG294" i="16"/>
  <c r="AF294" i="16"/>
  <c r="AN253" i="16"/>
  <c r="AM253" i="16"/>
  <c r="AF253" i="16"/>
  <c r="AH253" i="16"/>
  <c r="AG253" i="16"/>
  <c r="AL253" i="16"/>
  <c r="AK253" i="16"/>
  <c r="AJ253" i="16"/>
  <c r="AI253" i="16"/>
  <c r="AB29" i="52"/>
  <c r="AC23" i="52"/>
  <c r="AD16" i="16"/>
  <c r="AE216" i="16"/>
  <c r="AD220" i="16"/>
  <c r="AD221" i="16" s="1"/>
  <c r="AC13" i="16"/>
  <c r="AE217" i="16"/>
  <c r="AF295" i="16"/>
  <c r="AF254" i="16"/>
  <c r="AE366" i="16"/>
  <c r="AD369" i="16"/>
  <c r="AD370" i="16" s="1"/>
  <c r="AE365" i="16"/>
  <c r="AE10" i="16" s="1"/>
  <c r="AE23" i="16" s="1"/>
  <c r="AF206" i="16"/>
  <c r="AG215" i="16"/>
  <c r="AG213" i="16"/>
  <c r="AF219" i="16"/>
  <c r="AG214" i="16"/>
  <c r="AF335" i="16"/>
  <c r="AI335" i="16" s="1"/>
  <c r="AH202" i="16"/>
  <c r="AH204" i="16" s="1"/>
  <c r="AH205" i="16" s="1"/>
  <c r="AH207" i="16" s="1"/>
  <c r="AH349" i="16"/>
  <c r="AH351" i="16" s="1"/>
  <c r="AH353" i="16" s="1"/>
  <c r="AH354" i="16" s="1"/>
  <c r="AF484" i="16"/>
  <c r="AI484" i="16" s="1"/>
  <c r="AF367" i="16"/>
  <c r="AF444" i="16"/>
  <c r="AF355" i="16"/>
  <c r="AF403" i="16"/>
  <c r="AF368" i="16"/>
  <c r="AN483" i="16"/>
  <c r="AH483" i="16"/>
  <c r="AI200" i="16"/>
  <c r="AG363" i="16"/>
  <c r="AG362" i="16"/>
  <c r="AG9" i="16" s="1"/>
  <c r="AG364" i="16"/>
  <c r="T26" i="73"/>
  <c r="T75" i="73"/>
  <c r="AF60" i="66" l="1"/>
  <c r="B59" i="75" s="1"/>
  <c r="D59" i="75" s="1"/>
  <c r="Q59" i="75"/>
  <c r="S59" i="75" s="1"/>
  <c r="AD16" i="66"/>
  <c r="AH7" i="66"/>
  <c r="AD71" i="66"/>
  <c r="AD60" i="32"/>
  <c r="AF60" i="32" s="1"/>
  <c r="AE11" i="16"/>
  <c r="AE18" i="16" s="1"/>
  <c r="AD38" i="66"/>
  <c r="AF7" i="66"/>
  <c r="AA51" i="66"/>
  <c r="AA73" i="66"/>
  <c r="AA79" i="66" s="1"/>
  <c r="AC23" i="66"/>
  <c r="AB73" i="66"/>
  <c r="AB79" i="66" s="1"/>
  <c r="AB51" i="66"/>
  <c r="AG444" i="16"/>
  <c r="AH444" i="16" s="1"/>
  <c r="AI444" i="16" s="1"/>
  <c r="AJ444" i="16" s="1"/>
  <c r="AK444" i="16" s="1"/>
  <c r="AL444" i="16" s="1"/>
  <c r="AM444" i="16" s="1"/>
  <c r="AN444" i="16" s="1"/>
  <c r="AN403" i="16"/>
  <c r="AM403" i="16"/>
  <c r="AL403" i="16"/>
  <c r="AJ403" i="16"/>
  <c r="AH403" i="16"/>
  <c r="AI403" i="16"/>
  <c r="AG403" i="16"/>
  <c r="AK403" i="16"/>
  <c r="AG295" i="16"/>
  <c r="AL295" i="16"/>
  <c r="AK295" i="16"/>
  <c r="AJ295" i="16"/>
  <c r="AI295" i="16"/>
  <c r="AH295" i="16"/>
  <c r="AN295" i="16"/>
  <c r="AM295" i="16"/>
  <c r="AL254" i="16"/>
  <c r="AK254" i="16"/>
  <c r="AJ254" i="16"/>
  <c r="AI254" i="16"/>
  <c r="AN254" i="16"/>
  <c r="AM254" i="16"/>
  <c r="AH254" i="16"/>
  <c r="AG254" i="16"/>
  <c r="AC29" i="52"/>
  <c r="AD23" i="52"/>
  <c r="AF7" i="52"/>
  <c r="AF217" i="16"/>
  <c r="AE220" i="16"/>
  <c r="AE221" i="16" s="1"/>
  <c r="AD25" i="16"/>
  <c r="AD13" i="16"/>
  <c r="AF21" i="16"/>
  <c r="AF216" i="16"/>
  <c r="AG255" i="16"/>
  <c r="AG296" i="16"/>
  <c r="AG206" i="16"/>
  <c r="AG404" i="16"/>
  <c r="AG336" i="16"/>
  <c r="AJ336" i="16" s="1"/>
  <c r="AF366" i="16"/>
  <c r="AF365" i="16"/>
  <c r="AF10" i="16" s="1"/>
  <c r="AF23" i="16" s="1"/>
  <c r="AE369" i="16"/>
  <c r="AF218" i="16"/>
  <c r="AG219" i="16"/>
  <c r="AH213" i="16"/>
  <c r="AI202" i="16"/>
  <c r="AI204" i="16" s="1"/>
  <c r="AI205" i="16" s="1"/>
  <c r="AI207" i="16" s="1"/>
  <c r="AH214" i="16"/>
  <c r="AH215" i="16"/>
  <c r="AH337" i="16" s="1"/>
  <c r="AK337" i="16" s="1"/>
  <c r="AG485" i="16"/>
  <c r="AJ485" i="16" s="1"/>
  <c r="AG367" i="16"/>
  <c r="AG368" i="16"/>
  <c r="AG445" i="16"/>
  <c r="AG355" i="16"/>
  <c r="AH362" i="16"/>
  <c r="AH9" i="16" s="1"/>
  <c r="AH364" i="16"/>
  <c r="AH363" i="16"/>
  <c r="AI349" i="16"/>
  <c r="AI351" i="16" s="1"/>
  <c r="AI353" i="16" s="1"/>
  <c r="AI354" i="16" s="1"/>
  <c r="AJ200" i="16"/>
  <c r="U26" i="73"/>
  <c r="AG7" i="52" l="1"/>
  <c r="AG59" i="52"/>
  <c r="AG7" i="66"/>
  <c r="AG59" i="66"/>
  <c r="B6" i="75"/>
  <c r="D6" i="75" s="1"/>
  <c r="AF23" i="52"/>
  <c r="AF29" i="52" s="1"/>
  <c r="H6" i="75"/>
  <c r="J6" i="75" s="1"/>
  <c r="AH16" i="66"/>
  <c r="AH23" i="66" s="1"/>
  <c r="AH29" i="66" s="1"/>
  <c r="AH38" i="66"/>
  <c r="AH43" i="66" s="1"/>
  <c r="AH12" i="66"/>
  <c r="AD15" i="68" s="1"/>
  <c r="AI60" i="66"/>
  <c r="AH21" i="16"/>
  <c r="AF11" i="16"/>
  <c r="AF18" i="16" s="1"/>
  <c r="AE13" i="16"/>
  <c r="AE25" i="16"/>
  <c r="AI7" i="66"/>
  <c r="AD23" i="66"/>
  <c r="AF16" i="66"/>
  <c r="AH21" i="66"/>
  <c r="AC45" i="66"/>
  <c r="AC29" i="66"/>
  <c r="AF38" i="66"/>
  <c r="B37" i="75" s="1"/>
  <c r="D37" i="75" s="1"/>
  <c r="AH445" i="16"/>
  <c r="AI445" i="16" s="1"/>
  <c r="AJ445" i="16" s="1"/>
  <c r="AK445" i="16" s="1"/>
  <c r="AL445" i="16" s="1"/>
  <c r="AM445" i="16" s="1"/>
  <c r="AN445" i="16" s="1"/>
  <c r="AK404" i="16"/>
  <c r="AJ404" i="16"/>
  <c r="AI404" i="16"/>
  <c r="AH404" i="16"/>
  <c r="AN404" i="16"/>
  <c r="AM404" i="16"/>
  <c r="AL404" i="16"/>
  <c r="AK296" i="16"/>
  <c r="AI296" i="16"/>
  <c r="AH296" i="16"/>
  <c r="AN296" i="16"/>
  <c r="AM296" i="16"/>
  <c r="AL296" i="16"/>
  <c r="AJ296" i="16"/>
  <c r="AK255" i="16"/>
  <c r="AJ255" i="16"/>
  <c r="AI255" i="16"/>
  <c r="AH255" i="16"/>
  <c r="AN255" i="16"/>
  <c r="AM255" i="16"/>
  <c r="AL255" i="16"/>
  <c r="AD29" i="52"/>
  <c r="AH23" i="52"/>
  <c r="AH12" i="52"/>
  <c r="AD10" i="68" s="1"/>
  <c r="AF16" i="16"/>
  <c r="AG216" i="16"/>
  <c r="AF220" i="16"/>
  <c r="AF221" i="16" s="1"/>
  <c r="AG21" i="16"/>
  <c r="AG217" i="16"/>
  <c r="AH297" i="16"/>
  <c r="AH256" i="16"/>
  <c r="AH405" i="16"/>
  <c r="AG218" i="16"/>
  <c r="AE370" i="16"/>
  <c r="AF369" i="16"/>
  <c r="AF370" i="16" s="1"/>
  <c r="AG366" i="16"/>
  <c r="AG365" i="16"/>
  <c r="AG10" i="16" s="1"/>
  <c r="AG23" i="16" s="1"/>
  <c r="AH206" i="16"/>
  <c r="AI213" i="16"/>
  <c r="AI214" i="16"/>
  <c r="AI215" i="16"/>
  <c r="AI338" i="16" s="1"/>
  <c r="AL338" i="16" s="1"/>
  <c r="AH219" i="16"/>
  <c r="AJ202" i="16"/>
  <c r="AJ204" i="16" s="1"/>
  <c r="AJ205" i="16" s="1"/>
  <c r="AJ207" i="16" s="1"/>
  <c r="AH218" i="16"/>
  <c r="AH446" i="16"/>
  <c r="AH355" i="16"/>
  <c r="AK200" i="16"/>
  <c r="AH486" i="16"/>
  <c r="AK486" i="16" s="1"/>
  <c r="AH367" i="16"/>
  <c r="AH368" i="16"/>
  <c r="AI363" i="16"/>
  <c r="AI364" i="16"/>
  <c r="AI362" i="16"/>
  <c r="AI9" i="16" s="1"/>
  <c r="AJ349" i="16"/>
  <c r="AJ351" i="16" s="1"/>
  <c r="AJ353" i="16" s="1"/>
  <c r="AJ354" i="16" s="1"/>
  <c r="V75" i="73"/>
  <c r="V26" i="73"/>
  <c r="AI16" i="66" l="1"/>
  <c r="AF23" i="66"/>
  <c r="B22" i="75" s="1"/>
  <c r="B15" i="75"/>
  <c r="AH45" i="66"/>
  <c r="AH51" i="66" s="1"/>
  <c r="AH27" i="66"/>
  <c r="AH49" i="66" s="1"/>
  <c r="AD26" i="68"/>
  <c r="AD29" i="68"/>
  <c r="AD28" i="68"/>
  <c r="AD27" i="68"/>
  <c r="AH71" i="66"/>
  <c r="AH60" i="32"/>
  <c r="AI71" i="66"/>
  <c r="AI60" i="32"/>
  <c r="AJ7" i="66"/>
  <c r="AG11" i="16"/>
  <c r="AG18" i="16" s="1"/>
  <c r="AI38" i="66"/>
  <c r="AI43" i="66" s="1"/>
  <c r="AI12" i="66"/>
  <c r="AE15" i="68" s="1"/>
  <c r="AC73" i="66"/>
  <c r="AC79" i="66" s="1"/>
  <c r="AC51" i="66"/>
  <c r="AF29" i="66"/>
  <c r="B28" i="75" s="1"/>
  <c r="AH22" i="66"/>
  <c r="AD29" i="66"/>
  <c r="AD45" i="66"/>
  <c r="AI446" i="16"/>
  <c r="AJ446" i="16" s="1"/>
  <c r="AK446" i="16" s="1"/>
  <c r="AL446" i="16" s="1"/>
  <c r="AM446" i="16" s="1"/>
  <c r="AN446" i="16" s="1"/>
  <c r="AM405" i="16"/>
  <c r="AL405" i="16"/>
  <c r="AK405" i="16"/>
  <c r="AN405" i="16"/>
  <c r="AJ405" i="16"/>
  <c r="AI405" i="16"/>
  <c r="AN297" i="16"/>
  <c r="AI297" i="16"/>
  <c r="AM297" i="16"/>
  <c r="AL297" i="16"/>
  <c r="AK297" i="16"/>
  <c r="AJ297" i="16"/>
  <c r="AM256" i="16"/>
  <c r="AL256" i="16"/>
  <c r="AK256" i="16"/>
  <c r="AJ256" i="16"/>
  <c r="AN256" i="16"/>
  <c r="AI256" i="16"/>
  <c r="AG16" i="16"/>
  <c r="AI23" i="52"/>
  <c r="AI12" i="52"/>
  <c r="AE10" i="68" s="1"/>
  <c r="AH22" i="52"/>
  <c r="AH27" i="52"/>
  <c r="AH29" i="52"/>
  <c r="AG220" i="16"/>
  <c r="AG221" i="16" s="1"/>
  <c r="AH216" i="16"/>
  <c r="AH217" i="16"/>
  <c r="AF25" i="16"/>
  <c r="AF13" i="16"/>
  <c r="AI298" i="16"/>
  <c r="AI257" i="16"/>
  <c r="AG369" i="16"/>
  <c r="AG370" i="16" s="1"/>
  <c r="AH366" i="16"/>
  <c r="AJ215" i="16"/>
  <c r="AH365" i="16"/>
  <c r="AH10" i="16" s="1"/>
  <c r="AH23" i="16" s="1"/>
  <c r="AI219" i="16"/>
  <c r="AI206" i="16"/>
  <c r="AJ214" i="16"/>
  <c r="AJ213" i="16"/>
  <c r="AK202" i="16"/>
  <c r="AK204" i="16" s="1"/>
  <c r="AK205" i="16" s="1"/>
  <c r="AK207" i="16" s="1"/>
  <c r="AI406" i="16"/>
  <c r="AI368" i="16"/>
  <c r="AL200" i="16"/>
  <c r="AI487" i="16"/>
  <c r="AL487" i="16" s="1"/>
  <c r="AI367" i="16"/>
  <c r="AI447" i="16"/>
  <c r="AI355" i="16"/>
  <c r="AJ362" i="16"/>
  <c r="AJ9" i="16" s="1"/>
  <c r="AJ364" i="16"/>
  <c r="AJ363" i="16"/>
  <c r="AK349" i="16"/>
  <c r="AK351" i="16" s="1"/>
  <c r="AK353" i="16" s="1"/>
  <c r="AK354" i="16" s="1"/>
  <c r="AI218" i="16"/>
  <c r="W26" i="73"/>
  <c r="AF45" i="66" l="1"/>
  <c r="B44" i="75" s="1"/>
  <c r="D15" i="75"/>
  <c r="AJ12" i="66"/>
  <c r="AF15" i="68" s="1"/>
  <c r="AJ16" i="66"/>
  <c r="AJ23" i="66" s="1"/>
  <c r="AH73" i="66"/>
  <c r="AH79" i="66" s="1"/>
  <c r="AH33" i="66"/>
  <c r="AE26" i="68"/>
  <c r="AE29" i="68"/>
  <c r="AE28" i="68"/>
  <c r="AE27" i="68"/>
  <c r="AJ60" i="66"/>
  <c r="AJ38" i="66"/>
  <c r="AJ43" i="66" s="1"/>
  <c r="AK60" i="66"/>
  <c r="AH11" i="16"/>
  <c r="AH18" i="16" s="1"/>
  <c r="AI21" i="66"/>
  <c r="AI22" i="66" s="1"/>
  <c r="AI23" i="66"/>
  <c r="AK7" i="66"/>
  <c r="AD51" i="66"/>
  <c r="AD73" i="66"/>
  <c r="AD79" i="66" s="1"/>
  <c r="AH77" i="66"/>
  <c r="AH55" i="66"/>
  <c r="AF73" i="66"/>
  <c r="AF79" i="66" s="1"/>
  <c r="AF51" i="66"/>
  <c r="B50" i="75" s="1"/>
  <c r="AJ447" i="16"/>
  <c r="AK447" i="16" s="1"/>
  <c r="AL447" i="16" s="1"/>
  <c r="AM447" i="16" s="1"/>
  <c r="AN447" i="16" s="1"/>
  <c r="AL406" i="16"/>
  <c r="AK406" i="16"/>
  <c r="AJ406" i="16"/>
  <c r="AN406" i="16"/>
  <c r="AM406" i="16"/>
  <c r="AL298" i="16"/>
  <c r="AK298" i="16"/>
  <c r="AJ298" i="16"/>
  <c r="AN298" i="16"/>
  <c r="AM298" i="16"/>
  <c r="AL257" i="16"/>
  <c r="AK257" i="16"/>
  <c r="AN257" i="16"/>
  <c r="AM257" i="16"/>
  <c r="AJ257" i="16"/>
  <c r="AH33" i="52"/>
  <c r="AJ23" i="52"/>
  <c r="AJ12" i="52"/>
  <c r="AF10" i="68" s="1"/>
  <c r="AI22" i="52"/>
  <c r="AI27" i="52"/>
  <c r="AI33" i="52" s="1"/>
  <c r="AI29" i="52"/>
  <c r="AH220" i="16"/>
  <c r="AH221" i="16" s="1"/>
  <c r="AI21" i="16"/>
  <c r="AI217" i="16"/>
  <c r="AI216" i="16"/>
  <c r="AG25" i="16"/>
  <c r="AG13" i="16"/>
  <c r="AJ299" i="16"/>
  <c r="AJ206" i="16"/>
  <c r="AJ219" i="16"/>
  <c r="AJ339" i="16"/>
  <c r="AM339" i="16" s="1"/>
  <c r="AI366" i="16"/>
  <c r="AH369" i="16"/>
  <c r="AH370" i="16" s="1"/>
  <c r="AI365" i="16"/>
  <c r="AI10" i="16" s="1"/>
  <c r="AI23" i="16" s="1"/>
  <c r="AJ258" i="16"/>
  <c r="AK214" i="16"/>
  <c r="AK215" i="16"/>
  <c r="AK340" i="16" s="1"/>
  <c r="AN340" i="16" s="1"/>
  <c r="AK213" i="16"/>
  <c r="AL202" i="16"/>
  <c r="AL204" i="16" s="1"/>
  <c r="AL205" i="16" s="1"/>
  <c r="AL207" i="16" s="1"/>
  <c r="AJ448" i="16"/>
  <c r="AJ355" i="16"/>
  <c r="AJ407" i="16"/>
  <c r="AJ368" i="16"/>
  <c r="AN200" i="16"/>
  <c r="AM200" i="16"/>
  <c r="AJ488" i="16"/>
  <c r="AM488" i="16" s="1"/>
  <c r="AJ367" i="16"/>
  <c r="AK363" i="16"/>
  <c r="AK364" i="16"/>
  <c r="AK362" i="16"/>
  <c r="AK9" i="16" s="1"/>
  <c r="AL349" i="16"/>
  <c r="AL351" i="16" s="1"/>
  <c r="AL353" i="16" s="1"/>
  <c r="AL354" i="16" s="1"/>
  <c r="X75" i="73"/>
  <c r="W75" i="73"/>
  <c r="X26" i="73"/>
  <c r="AK16" i="66" l="1"/>
  <c r="AI29" i="66"/>
  <c r="E28" i="75" s="1"/>
  <c r="E22" i="75"/>
  <c r="AJ21" i="66"/>
  <c r="AJ22" i="66" s="1"/>
  <c r="AF26" i="68"/>
  <c r="AF29" i="68"/>
  <c r="AF28" i="68"/>
  <c r="AF27" i="68"/>
  <c r="AL60" i="66"/>
  <c r="AK71" i="66"/>
  <c r="AK60" i="32"/>
  <c r="AJ71" i="66"/>
  <c r="AJ60" i="32"/>
  <c r="AK38" i="66"/>
  <c r="AK23" i="66"/>
  <c r="AI45" i="66"/>
  <c r="AI11" i="16"/>
  <c r="AI18" i="16" s="1"/>
  <c r="AH25" i="16"/>
  <c r="AK21" i="16"/>
  <c r="AH13" i="16"/>
  <c r="AI27" i="66"/>
  <c r="AK12" i="66"/>
  <c r="AG15" i="68" s="1"/>
  <c r="AL7" i="66"/>
  <c r="AH101" i="66"/>
  <c r="AH102" i="66" s="1"/>
  <c r="AH83" i="66"/>
  <c r="AJ29" i="66"/>
  <c r="AJ45" i="66"/>
  <c r="AK448" i="16"/>
  <c r="AL448" i="16" s="1"/>
  <c r="AM448" i="16" s="1"/>
  <c r="AN448" i="16" s="1"/>
  <c r="AN407" i="16"/>
  <c r="AM407" i="16"/>
  <c r="AL407" i="16"/>
  <c r="AK407" i="16"/>
  <c r="AN299" i="16"/>
  <c r="AM299" i="16"/>
  <c r="AL299" i="16"/>
  <c r="AK299" i="16"/>
  <c r="AN258" i="16"/>
  <c r="AM258" i="16"/>
  <c r="AL258" i="16"/>
  <c r="AK258" i="16"/>
  <c r="AK23" i="52"/>
  <c r="AK12" i="52"/>
  <c r="AG10" i="68" s="1"/>
  <c r="AJ29" i="52"/>
  <c r="AJ27" i="52"/>
  <c r="AJ33" i="52" s="1"/>
  <c r="AJ22" i="52"/>
  <c r="AI16" i="16"/>
  <c r="AJ216" i="16"/>
  <c r="AI220" i="16"/>
  <c r="AI221" i="16" s="1"/>
  <c r="AJ21" i="16"/>
  <c r="AK300" i="16"/>
  <c r="AJ217" i="16"/>
  <c r="AK259" i="16"/>
  <c r="AK206" i="16"/>
  <c r="AJ218" i="16"/>
  <c r="AJ366" i="16"/>
  <c r="AI369" i="16"/>
  <c r="AI370" i="16" s="1"/>
  <c r="AJ365" i="16"/>
  <c r="AJ10" i="16" s="1"/>
  <c r="AJ23" i="16" s="1"/>
  <c r="AK219" i="16"/>
  <c r="AN202" i="16"/>
  <c r="AN204" i="16" s="1"/>
  <c r="AN205" i="16" s="1"/>
  <c r="AN207" i="16" s="1"/>
  <c r="AL215" i="16"/>
  <c r="AL341" i="16" s="1"/>
  <c r="AL218" i="16" s="1"/>
  <c r="AM202" i="16"/>
  <c r="AM204" i="16" s="1"/>
  <c r="AM205" i="16" s="1"/>
  <c r="AM215" i="16" s="1"/>
  <c r="AL213" i="16"/>
  <c r="AL214" i="16"/>
  <c r="AN349" i="16"/>
  <c r="AN351" i="16" s="1"/>
  <c r="AN353" i="16" s="1"/>
  <c r="AN354" i="16" s="1"/>
  <c r="AM349" i="16"/>
  <c r="AM351" i="16" s="1"/>
  <c r="AM353" i="16" s="1"/>
  <c r="AM354" i="16" s="1"/>
  <c r="AK218" i="16"/>
  <c r="AL363" i="16"/>
  <c r="AL364" i="16"/>
  <c r="AL362" i="16"/>
  <c r="AL9" i="16" s="1"/>
  <c r="AK449" i="16"/>
  <c r="AK355" i="16"/>
  <c r="AK408" i="16"/>
  <c r="AK368" i="16"/>
  <c r="AK489" i="16"/>
  <c r="AN489" i="16" s="1"/>
  <c r="AK367" i="16"/>
  <c r="Y75" i="73"/>
  <c r="Y26" i="73"/>
  <c r="AL16" i="66" l="1"/>
  <c r="AI73" i="66"/>
  <c r="AI79" i="66" s="1"/>
  <c r="E44" i="75"/>
  <c r="AI49" i="66"/>
  <c r="E26" i="75"/>
  <c r="AJ27" i="66"/>
  <c r="AJ49" i="66" s="1"/>
  <c r="AJ77" i="66" s="1"/>
  <c r="AG26" i="68"/>
  <c r="AG29" i="68"/>
  <c r="AG28" i="68"/>
  <c r="AG27" i="68"/>
  <c r="AM60" i="66"/>
  <c r="AL71" i="66"/>
  <c r="AL60" i="32"/>
  <c r="AK21" i="66"/>
  <c r="AK27" i="66" s="1"/>
  <c r="AK33" i="66" s="1"/>
  <c r="AK43" i="66"/>
  <c r="AI51" i="66"/>
  <c r="E50" i="75" s="1"/>
  <c r="AJ11" i="16"/>
  <c r="AJ18" i="16" s="1"/>
  <c r="AL21" i="16"/>
  <c r="AI25" i="16"/>
  <c r="AI33" i="66"/>
  <c r="AL23" i="66"/>
  <c r="H22" i="75" s="1"/>
  <c r="AL12" i="66"/>
  <c r="AH15" i="68" s="1"/>
  <c r="AL38" i="66"/>
  <c r="AL43" i="66" s="1"/>
  <c r="AM7" i="66"/>
  <c r="AJ51" i="66"/>
  <c r="AJ73" i="66"/>
  <c r="AJ79" i="66" s="1"/>
  <c r="AK29" i="66"/>
  <c r="AK45" i="66"/>
  <c r="AL449" i="16"/>
  <c r="AM449" i="16" s="1"/>
  <c r="AN449" i="16" s="1"/>
  <c r="AN408" i="16"/>
  <c r="AM408" i="16"/>
  <c r="AL408" i="16"/>
  <c r="AN300" i="16"/>
  <c r="AM300" i="16"/>
  <c r="AL300" i="16"/>
  <c r="AL259" i="16"/>
  <c r="AN259" i="16"/>
  <c r="AM259" i="16"/>
  <c r="AK29" i="52"/>
  <c r="AL23" i="52"/>
  <c r="AL12" i="52"/>
  <c r="AH10" i="68" s="1"/>
  <c r="AK27" i="52"/>
  <c r="AK33" i="52" s="1"/>
  <c r="AK22" i="52"/>
  <c r="AJ16" i="16"/>
  <c r="AI13" i="16"/>
  <c r="AJ220" i="16"/>
  <c r="AJ221" i="16" s="1"/>
  <c r="AK217" i="16"/>
  <c r="AL301" i="16"/>
  <c r="AL260" i="16"/>
  <c r="AK216" i="16"/>
  <c r="AK365" i="16"/>
  <c r="AK10" i="16" s="1"/>
  <c r="AK23" i="16" s="1"/>
  <c r="AK366" i="16"/>
  <c r="AJ369" i="16"/>
  <c r="AJ370" i="16" s="1"/>
  <c r="AM207" i="16"/>
  <c r="AM214" i="16"/>
  <c r="AN213" i="16"/>
  <c r="AM213" i="16"/>
  <c r="AN215" i="16"/>
  <c r="AN343" i="16" s="1"/>
  <c r="AN218" i="16" s="1"/>
  <c r="AN214" i="16"/>
  <c r="AL206" i="16"/>
  <c r="AL219" i="16"/>
  <c r="AL490" i="16"/>
  <c r="AL367" i="16"/>
  <c r="AN364" i="16"/>
  <c r="AN363" i="16"/>
  <c r="AN362" i="16"/>
  <c r="AN9" i="16" s="1"/>
  <c r="AL450" i="16"/>
  <c r="AL355" i="16"/>
  <c r="AM362" i="16"/>
  <c r="AM9" i="16" s="1"/>
  <c r="AM363" i="16"/>
  <c r="AM364" i="16"/>
  <c r="AM342" i="16"/>
  <c r="AM218" i="16" s="1"/>
  <c r="AL409" i="16"/>
  <c r="AL368" i="16"/>
  <c r="Z26" i="73"/>
  <c r="Z75" i="73"/>
  <c r="AM16" i="66" l="1"/>
  <c r="E32" i="75"/>
  <c r="E48" i="75"/>
  <c r="AI55" i="66"/>
  <c r="AI77" i="66"/>
  <c r="AI101" i="66" s="1"/>
  <c r="AI102" i="66" s="1"/>
  <c r="AJ55" i="66"/>
  <c r="AJ33" i="66"/>
  <c r="AH26" i="68"/>
  <c r="AH29" i="68"/>
  <c r="AH28" i="68"/>
  <c r="AH27" i="68"/>
  <c r="AK22" i="66"/>
  <c r="AN7" i="66"/>
  <c r="AM71" i="66"/>
  <c r="AM60" i="32"/>
  <c r="AK11" i="16"/>
  <c r="AK18" i="16" s="1"/>
  <c r="AK49" i="66"/>
  <c r="AK77" i="66" s="1"/>
  <c r="AL21" i="66"/>
  <c r="AL22" i="66" s="1"/>
  <c r="AM12" i="66"/>
  <c r="AI15" i="68" s="1"/>
  <c r="AM38" i="66"/>
  <c r="AM43" i="66" s="1"/>
  <c r="AM23" i="66"/>
  <c r="AJ83" i="66"/>
  <c r="AJ101" i="66"/>
  <c r="AJ102" i="66" s="1"/>
  <c r="AL29" i="66"/>
  <c r="H28" i="75" s="1"/>
  <c r="AL45" i="66"/>
  <c r="H44" i="75" s="1"/>
  <c r="AK73" i="66"/>
  <c r="AK79" i="66" s="1"/>
  <c r="AK51" i="66"/>
  <c r="AM450" i="16"/>
  <c r="AN450" i="16" s="1"/>
  <c r="AN409" i="16"/>
  <c r="AM409" i="16"/>
  <c r="AN301" i="16"/>
  <c r="AM301" i="16"/>
  <c r="AN260" i="16"/>
  <c r="AM260" i="16"/>
  <c r="AL27" i="52"/>
  <c r="AL33" i="52" s="1"/>
  <c r="AL22" i="52"/>
  <c r="AM23" i="52"/>
  <c r="AM12" i="52"/>
  <c r="AI10" i="68" s="1"/>
  <c r="AL29" i="52"/>
  <c r="AJ25" i="16"/>
  <c r="AJ13" i="16"/>
  <c r="AM206" i="16"/>
  <c r="AL217" i="16"/>
  <c r="AL216" i="16"/>
  <c r="AK220" i="16"/>
  <c r="AK221" i="16" s="1"/>
  <c r="AN303" i="16"/>
  <c r="AM261" i="16"/>
  <c r="AN261" i="16" s="1"/>
  <c r="AN262" i="16"/>
  <c r="AM302" i="16"/>
  <c r="AN302" i="16" s="1"/>
  <c r="AM410" i="16"/>
  <c r="AN410" i="16" s="1"/>
  <c r="AK369" i="16"/>
  <c r="AL365" i="16"/>
  <c r="AL10" i="16" s="1"/>
  <c r="AL23" i="16" s="1"/>
  <c r="AL366" i="16"/>
  <c r="AN206" i="16"/>
  <c r="AM219" i="16"/>
  <c r="AN219" i="16"/>
  <c r="AM491" i="16"/>
  <c r="AM367" i="16"/>
  <c r="AM451" i="16"/>
  <c r="AN451" i="16" s="1"/>
  <c r="AM355" i="16"/>
  <c r="AN492" i="16"/>
  <c r="AN367" i="16"/>
  <c r="AM368" i="16"/>
  <c r="AN452" i="16"/>
  <c r="AN355" i="16"/>
  <c r="AN411" i="16"/>
  <c r="AN368" i="16"/>
  <c r="AA26" i="73"/>
  <c r="E54" i="75" l="1"/>
  <c r="AI83" i="66"/>
  <c r="AN38" i="66"/>
  <c r="AN16" i="66"/>
  <c r="AN23" i="66" s="1"/>
  <c r="AN12" i="66"/>
  <c r="AJ15" i="68" s="1"/>
  <c r="AI26" i="68"/>
  <c r="AI29" i="68"/>
  <c r="AI28" i="68"/>
  <c r="AI27" i="68"/>
  <c r="AN60" i="66"/>
  <c r="AO60" i="66"/>
  <c r="AL11" i="16"/>
  <c r="AL18" i="16" s="1"/>
  <c r="AL25" i="16" s="1"/>
  <c r="AK13" i="16"/>
  <c r="AK25" i="16"/>
  <c r="AK55" i="66"/>
  <c r="AL27" i="66"/>
  <c r="AM21" i="66"/>
  <c r="AM27" i="66" s="1"/>
  <c r="AO7" i="66"/>
  <c r="AK83" i="66"/>
  <c r="AK101" i="66"/>
  <c r="AK102" i="66" s="1"/>
  <c r="AM45" i="66"/>
  <c r="AM29" i="66"/>
  <c r="AL51" i="66"/>
  <c r="H50" i="75" s="1"/>
  <c r="AL73" i="66"/>
  <c r="AL79" i="66" s="1"/>
  <c r="AN43" i="66"/>
  <c r="AM27" i="52"/>
  <c r="AM33" i="52" s="1"/>
  <c r="AM22" i="52"/>
  <c r="AM29" i="52"/>
  <c r="AN23" i="52"/>
  <c r="AN12" i="52"/>
  <c r="AJ10" i="68" s="1"/>
  <c r="AN21" i="16"/>
  <c r="AM21" i="16"/>
  <c r="AN216" i="16"/>
  <c r="AM216" i="16"/>
  <c r="AL220" i="16"/>
  <c r="AL221" i="16" s="1"/>
  <c r="AN217" i="16"/>
  <c r="AM217" i="16"/>
  <c r="AK370" i="16"/>
  <c r="AL369" i="16"/>
  <c r="AL370" i="16" s="1"/>
  <c r="AN366" i="16"/>
  <c r="AM366" i="16"/>
  <c r="AN365" i="16"/>
  <c r="AN10" i="16" s="1"/>
  <c r="AN23" i="16" s="1"/>
  <c r="AM365" i="16"/>
  <c r="AM10" i="16" s="1"/>
  <c r="AM23" i="16" s="1"/>
  <c r="AB75" i="73"/>
  <c r="AA75" i="73"/>
  <c r="AB26" i="73"/>
  <c r="AO16" i="66" l="1"/>
  <c r="AL49" i="66"/>
  <c r="H26" i="75"/>
  <c r="AQ60" i="66"/>
  <c r="AQ71" i="66"/>
  <c r="AQ60" i="32"/>
  <c r="AN21" i="66"/>
  <c r="AN22" i="66" s="1"/>
  <c r="AJ26" i="68"/>
  <c r="AJ29" i="68"/>
  <c r="AJ28" i="68"/>
  <c r="AJ27" i="68"/>
  <c r="AP7" i="66"/>
  <c r="AO71" i="66"/>
  <c r="AO60" i="32"/>
  <c r="AN71" i="66"/>
  <c r="AN60" i="32"/>
  <c r="AM11" i="16"/>
  <c r="AM18" i="16" s="1"/>
  <c r="AN11" i="16"/>
  <c r="AN18" i="16" s="1"/>
  <c r="AL33" i="66"/>
  <c r="AM22" i="66"/>
  <c r="AO38" i="66"/>
  <c r="AO43" i="66" s="1"/>
  <c r="AO21" i="66"/>
  <c r="AO12" i="66"/>
  <c r="AK15" i="68" s="1"/>
  <c r="AQ7" i="66"/>
  <c r="AN45" i="66"/>
  <c r="AN29" i="66"/>
  <c r="AM51" i="66"/>
  <c r="AM73" i="66"/>
  <c r="AM79" i="66" s="1"/>
  <c r="AM49" i="66"/>
  <c r="AM33" i="66"/>
  <c r="AN27" i="52"/>
  <c r="AN22" i="52"/>
  <c r="AN29" i="52"/>
  <c r="AO12" i="52"/>
  <c r="AK10" i="68" s="1"/>
  <c r="AO23" i="52"/>
  <c r="AM16" i="16"/>
  <c r="AN16" i="16"/>
  <c r="AN220" i="16"/>
  <c r="AN221" i="16" s="1"/>
  <c r="AM220" i="16"/>
  <c r="AM221" i="16" s="1"/>
  <c r="AM369" i="16"/>
  <c r="AN369" i="16"/>
  <c r="AD75" i="73"/>
  <c r="AC26" i="73"/>
  <c r="AD26" i="73"/>
  <c r="AQ16" i="66" l="1"/>
  <c r="H32" i="75"/>
  <c r="AL77" i="66"/>
  <c r="AL83" i="66" s="1"/>
  <c r="AL55" i="66"/>
  <c r="H48" i="75"/>
  <c r="AP12" i="66"/>
  <c r="AL15" i="68" s="1"/>
  <c r="AP16" i="66"/>
  <c r="AP23" i="66" s="1"/>
  <c r="AN27" i="66"/>
  <c r="AN49" i="66" s="1"/>
  <c r="AP38" i="66"/>
  <c r="AP43" i="66" s="1"/>
  <c r="AK26" i="68"/>
  <c r="AK29" i="68"/>
  <c r="AK28" i="68"/>
  <c r="AK27" i="68"/>
  <c r="AP60" i="66"/>
  <c r="AO23" i="66"/>
  <c r="AO22" i="66"/>
  <c r="AQ38" i="66"/>
  <c r="AQ12" i="66"/>
  <c r="AM55" i="66"/>
  <c r="AM77" i="66"/>
  <c r="AO27" i="66"/>
  <c r="AN73" i="66"/>
  <c r="AN79" i="66" s="1"/>
  <c r="AN51" i="66"/>
  <c r="AO29" i="52"/>
  <c r="AO27" i="52"/>
  <c r="AO33" i="52" s="1"/>
  <c r="AO22" i="52"/>
  <c r="AP12" i="52"/>
  <c r="AL10" i="68" s="1"/>
  <c r="AP23" i="52"/>
  <c r="AN33" i="52"/>
  <c r="AN25" i="16"/>
  <c r="AN13" i="16"/>
  <c r="AM25" i="16"/>
  <c r="AM13" i="16"/>
  <c r="AN370" i="16"/>
  <c r="AM370" i="16"/>
  <c r="AC75" i="73"/>
  <c r="AL101" i="66" l="1"/>
  <c r="AL102" i="66" s="1"/>
  <c r="H54" i="75"/>
  <c r="K26" i="75"/>
  <c r="AO45" i="66"/>
  <c r="K44" i="75" s="1"/>
  <c r="K22" i="75"/>
  <c r="AS60" i="66"/>
  <c r="AN33" i="66"/>
  <c r="AP21" i="66"/>
  <c r="AP22" i="66" s="1"/>
  <c r="AL26" i="68"/>
  <c r="AL29" i="68"/>
  <c r="AL27" i="68"/>
  <c r="AL28" i="68"/>
  <c r="AP71" i="66"/>
  <c r="AP60" i="32"/>
  <c r="AR60" i="66"/>
  <c r="AS71" i="66"/>
  <c r="AS60" i="32"/>
  <c r="AO29" i="66"/>
  <c r="K28" i="75" s="1"/>
  <c r="AR7" i="66"/>
  <c r="AO73" i="66"/>
  <c r="AO79" i="66" s="1"/>
  <c r="AO49" i="66"/>
  <c r="AO33" i="66"/>
  <c r="AN55" i="66"/>
  <c r="AN77" i="66"/>
  <c r="AM101" i="66"/>
  <c r="AM102" i="66" s="1"/>
  <c r="AM83" i="66"/>
  <c r="AM15" i="68"/>
  <c r="AP45" i="66"/>
  <c r="AP29" i="66"/>
  <c r="AQ43" i="66"/>
  <c r="AQ23" i="66"/>
  <c r="AQ21" i="66"/>
  <c r="AQ22" i="66" s="1"/>
  <c r="AP27" i="52"/>
  <c r="AP33" i="52" s="1"/>
  <c r="AP22" i="52"/>
  <c r="AQ12" i="52"/>
  <c r="AM10" i="68" s="1"/>
  <c r="AQ23" i="52"/>
  <c r="AP29" i="52"/>
  <c r="AF75" i="73"/>
  <c r="AE75" i="73"/>
  <c r="AE26" i="73"/>
  <c r="AR16" i="66" l="1"/>
  <c r="AU60" i="66"/>
  <c r="U59" i="75" s="1"/>
  <c r="AO51" i="66"/>
  <c r="K50" i="75" s="1"/>
  <c r="K32" i="75"/>
  <c r="K48" i="75"/>
  <c r="W59" i="75"/>
  <c r="AJ59" i="75"/>
  <c r="AL59" i="75" s="1"/>
  <c r="AP27" i="66"/>
  <c r="AP33" i="66" s="1"/>
  <c r="AM26" i="68"/>
  <c r="AM29" i="68"/>
  <c r="AM28" i="68"/>
  <c r="AM27" i="68"/>
  <c r="AR71" i="66"/>
  <c r="AU71" i="66" s="1"/>
  <c r="AR60" i="32"/>
  <c r="AR23" i="66"/>
  <c r="N22" i="75" s="1"/>
  <c r="AR12" i="66"/>
  <c r="AN15" i="68" s="1"/>
  <c r="AR38" i="66"/>
  <c r="AR43" i="66" s="1"/>
  <c r="AS7" i="66"/>
  <c r="AQ27" i="66"/>
  <c r="AQ49" i="66" s="1"/>
  <c r="AP51" i="66"/>
  <c r="AP73" i="66"/>
  <c r="AP79" i="66" s="1"/>
  <c r="AQ29" i="66"/>
  <c r="AQ45" i="66"/>
  <c r="AO55" i="66"/>
  <c r="AO77" i="66"/>
  <c r="AN83" i="66"/>
  <c r="AN101" i="66"/>
  <c r="AN102" i="66" s="1"/>
  <c r="AS23" i="52"/>
  <c r="AS12" i="52"/>
  <c r="AO10" i="68" s="1"/>
  <c r="AU7" i="52"/>
  <c r="AQ29" i="52"/>
  <c r="AQ27" i="52"/>
  <c r="AQ33" i="52" s="1"/>
  <c r="AQ22" i="52"/>
  <c r="AR23" i="52"/>
  <c r="AR12" i="52"/>
  <c r="AN10" i="68" s="1"/>
  <c r="AF26" i="73"/>
  <c r="AV7" i="52" l="1"/>
  <c r="AV59" i="52"/>
  <c r="U69" i="75"/>
  <c r="W69" i="75" s="1"/>
  <c r="AS16" i="66"/>
  <c r="K54" i="75"/>
  <c r="AU23" i="52"/>
  <c r="AA6" i="75"/>
  <c r="AC6" i="75" s="1"/>
  <c r="AP49" i="66"/>
  <c r="AP55" i="66" s="1"/>
  <c r="AN26" i="68"/>
  <c r="AN29" i="68"/>
  <c r="AN28" i="68"/>
  <c r="AN27" i="68"/>
  <c r="AO26" i="68"/>
  <c r="AO29" i="68"/>
  <c r="AO28" i="68"/>
  <c r="AO27" i="68"/>
  <c r="AU60" i="32"/>
  <c r="AR21" i="66"/>
  <c r="AR22" i="66" s="1"/>
  <c r="AQ33" i="66"/>
  <c r="AS38" i="66"/>
  <c r="AS12" i="66"/>
  <c r="AU7" i="66"/>
  <c r="AV7" i="66" s="1"/>
  <c r="AR29" i="66"/>
  <c r="N28" i="75" s="1"/>
  <c r="AR45" i="66"/>
  <c r="N44" i="75" s="1"/>
  <c r="AO101" i="66"/>
  <c r="AO102" i="66" s="1"/>
  <c r="AO83" i="66"/>
  <c r="AQ73" i="66"/>
  <c r="AQ79" i="66" s="1"/>
  <c r="AQ51" i="66"/>
  <c r="AQ55" i="66"/>
  <c r="AQ77" i="66"/>
  <c r="AP10" i="68"/>
  <c r="AR27" i="52"/>
  <c r="AR33" i="52" s="1"/>
  <c r="AR22" i="52"/>
  <c r="AZ12" i="52"/>
  <c r="AR29" i="52"/>
  <c r="AU29" i="52"/>
  <c r="AS27" i="52"/>
  <c r="AS33" i="52" s="1"/>
  <c r="AS22" i="52"/>
  <c r="AU12" i="52"/>
  <c r="AS29" i="52"/>
  <c r="AA11" i="75" l="1"/>
  <c r="AC11" i="75" s="1"/>
  <c r="AV59" i="66"/>
  <c r="U6" i="75"/>
  <c r="W6" i="75" s="1"/>
  <c r="AP77" i="66"/>
  <c r="AP101" i="66" s="1"/>
  <c r="AP102" i="66" s="1"/>
  <c r="AR27" i="66"/>
  <c r="AO15" i="68"/>
  <c r="AU12" i="66"/>
  <c r="AS43" i="66"/>
  <c r="AU43" i="66" s="1"/>
  <c r="AS23" i="66"/>
  <c r="AU16" i="66"/>
  <c r="AS21" i="66"/>
  <c r="AU38" i="66"/>
  <c r="U37" i="75" s="1"/>
  <c r="W37" i="75" s="1"/>
  <c r="AQ83" i="66"/>
  <c r="AQ101" i="66"/>
  <c r="AQ102" i="66" s="1"/>
  <c r="AR73" i="66"/>
  <c r="AR79" i="66" s="1"/>
  <c r="AR51" i="66"/>
  <c r="N50" i="75" s="1"/>
  <c r="AU100" i="52"/>
  <c r="AU22" i="52"/>
  <c r="AU27" i="52"/>
  <c r="U42" i="75" l="1"/>
  <c r="W42" i="75" s="1"/>
  <c r="U11" i="75"/>
  <c r="W11" i="75" s="1"/>
  <c r="AU23" i="66"/>
  <c r="Q22" i="75" s="1"/>
  <c r="U15" i="75"/>
  <c r="W15" i="75" s="1"/>
  <c r="AR33" i="66"/>
  <c r="N26" i="75"/>
  <c r="AP83" i="66"/>
  <c r="AU100" i="66"/>
  <c r="AR49" i="66"/>
  <c r="AU44" i="66"/>
  <c r="AU21" i="66"/>
  <c r="AS22" i="66"/>
  <c r="AS27" i="66"/>
  <c r="AU45" i="66"/>
  <c r="Q44" i="75" s="1"/>
  <c r="AU29" i="66"/>
  <c r="Q28" i="75" s="1"/>
  <c r="AS45" i="66"/>
  <c r="AS29" i="66"/>
  <c r="AP15" i="68"/>
  <c r="AU33" i="52"/>
  <c r="N32" i="75" l="1"/>
  <c r="U20" i="75"/>
  <c r="W20" i="75" s="1"/>
  <c r="W99" i="75" s="1"/>
  <c r="AR77" i="66"/>
  <c r="AR101" i="66" s="1"/>
  <c r="AR102" i="66" s="1"/>
  <c r="N48" i="75"/>
  <c r="AR55" i="66"/>
  <c r="AU73" i="66"/>
  <c r="AU79" i="66" s="1"/>
  <c r="AU51" i="66"/>
  <c r="Q50" i="75" s="1"/>
  <c r="AS33" i="66"/>
  <c r="AS49" i="66"/>
  <c r="AS73" i="66"/>
  <c r="AS79" i="66" s="1"/>
  <c r="AS51" i="66"/>
  <c r="AU22" i="66"/>
  <c r="AU27" i="66"/>
  <c r="Q26" i="75" l="1"/>
  <c r="N54" i="75"/>
  <c r="AR83" i="66"/>
  <c r="AU33" i="66"/>
  <c r="AU49" i="66"/>
  <c r="AS77" i="66"/>
  <c r="AS55" i="66"/>
  <c r="M72" i="32" l="1"/>
  <c r="Q48" i="75"/>
  <c r="Q32" i="75"/>
  <c r="AU55" i="66"/>
  <c r="AU77" i="66"/>
  <c r="AS101" i="66"/>
  <c r="AS102" i="66" s="1"/>
  <c r="AS83" i="66"/>
  <c r="M43" i="32"/>
  <c r="Q54" i="75" l="1"/>
  <c r="AU83" i="66"/>
  <c r="AU101" i="66"/>
  <c r="M45" i="52"/>
  <c r="M23" i="32"/>
  <c r="M45" i="32" s="1"/>
  <c r="M73" i="32" s="1"/>
  <c r="M27" i="32"/>
  <c r="M22" i="32"/>
  <c r="AU102" i="66" l="1"/>
  <c r="U99" i="75"/>
  <c r="V99" i="75" s="1"/>
  <c r="M73" i="52"/>
  <c r="M79" i="52" s="1"/>
  <c r="M51" i="52"/>
  <c r="M29" i="32"/>
  <c r="M33" i="32"/>
  <c r="M49" i="32"/>
  <c r="M51" i="32"/>
  <c r="M79" i="32"/>
  <c r="M55" i="32" l="1"/>
  <c r="M77" i="32"/>
  <c r="M101" i="32" l="1"/>
  <c r="M102" i="32" s="1"/>
  <c r="M83" i="32"/>
  <c r="S45" i="52" l="1"/>
  <c r="S51" i="52" l="1"/>
  <c r="S73" i="52"/>
  <c r="S79" i="52" s="1"/>
  <c r="T45" i="52"/>
  <c r="U45" i="52" l="1"/>
  <c r="T51" i="52"/>
  <c r="T73" i="52"/>
  <c r="T79" i="52" s="1"/>
  <c r="V45" i="52" l="1"/>
  <c r="U51" i="52"/>
  <c r="U73" i="52"/>
  <c r="U79" i="52" s="1"/>
  <c r="W45" i="52" l="1"/>
  <c r="V51" i="52"/>
  <c r="V73" i="52"/>
  <c r="V79" i="52" s="1"/>
  <c r="Y45" i="52" l="1"/>
  <c r="W73" i="52"/>
  <c r="W79" i="52" s="1"/>
  <c r="W51" i="52"/>
  <c r="Y73" i="52" l="1"/>
  <c r="Y79" i="52" s="1"/>
  <c r="Y51" i="52"/>
  <c r="Z45" i="52" l="1"/>
  <c r="Z73" i="52" l="1"/>
  <c r="Z79" i="52" s="1"/>
  <c r="Z51" i="52"/>
  <c r="AB45" i="52" l="1"/>
  <c r="AB73" i="52" l="1"/>
  <c r="AB79" i="52" s="1"/>
  <c r="AB51" i="52"/>
  <c r="AD45" i="52"/>
  <c r="AC45" i="52"/>
  <c r="AD73" i="52" l="1"/>
  <c r="AD79" i="52" s="1"/>
  <c r="AD51" i="52"/>
  <c r="AC73" i="52"/>
  <c r="AC79" i="52" s="1"/>
  <c r="AC51" i="52"/>
  <c r="AN43" i="52" l="1"/>
  <c r="AN49" i="52" s="1"/>
  <c r="AN45" i="52"/>
  <c r="AH43" i="52"/>
  <c r="AH45" i="52"/>
  <c r="AN51" i="52" l="1"/>
  <c r="AN73" i="52"/>
  <c r="AN79" i="52" s="1"/>
  <c r="AN77" i="52"/>
  <c r="AN55" i="52"/>
  <c r="AO43" i="52"/>
  <c r="AO49" i="52" s="1"/>
  <c r="AO45" i="52"/>
  <c r="AH49" i="52"/>
  <c r="AI43" i="52"/>
  <c r="AI49" i="52" s="1"/>
  <c r="AI45" i="52"/>
  <c r="AH51" i="52"/>
  <c r="AH73" i="52"/>
  <c r="AH79" i="52" s="1"/>
  <c r="AJ43" i="52" l="1"/>
  <c r="AJ49" i="52" s="1"/>
  <c r="AJ45" i="52"/>
  <c r="AO73" i="52"/>
  <c r="AO79" i="52" s="1"/>
  <c r="AO51" i="52"/>
  <c r="AI51" i="52"/>
  <c r="AI73" i="52"/>
  <c r="AI79" i="52" s="1"/>
  <c r="AO77" i="52"/>
  <c r="AO55" i="52"/>
  <c r="AI55" i="52"/>
  <c r="AI77" i="52"/>
  <c r="AP43" i="52"/>
  <c r="AP49" i="52" s="1"/>
  <c r="AP45" i="52"/>
  <c r="AN83" i="52"/>
  <c r="AN101" i="52"/>
  <c r="AN102" i="52" s="1"/>
  <c r="AH77" i="52"/>
  <c r="AH55" i="52"/>
  <c r="N72" i="32" l="1"/>
  <c r="AQ43" i="52"/>
  <c r="AQ49" i="52" s="1"/>
  <c r="AQ45" i="52"/>
  <c r="AO83" i="52"/>
  <c r="AO101" i="52"/>
  <c r="AO102" i="52" s="1"/>
  <c r="AP77" i="52"/>
  <c r="AP55" i="52"/>
  <c r="AH101" i="52"/>
  <c r="AH102" i="52" s="1"/>
  <c r="AH83" i="52"/>
  <c r="AI83" i="52"/>
  <c r="AI101" i="52"/>
  <c r="AI102" i="52" s="1"/>
  <c r="AK43" i="52"/>
  <c r="AK45" i="52"/>
  <c r="AJ73" i="52"/>
  <c r="AJ79" i="52" s="1"/>
  <c r="AJ51" i="52"/>
  <c r="AM43" i="52"/>
  <c r="AM49" i="52" s="1"/>
  <c r="AM45" i="52"/>
  <c r="AP73" i="52"/>
  <c r="AP79" i="52" s="1"/>
  <c r="AP51" i="52"/>
  <c r="AJ55" i="52"/>
  <c r="AJ77" i="52"/>
  <c r="O43" i="32"/>
  <c r="O72" i="32" l="1"/>
  <c r="Q12" i="32"/>
  <c r="X45" i="52"/>
  <c r="AF45" i="52"/>
  <c r="O45" i="52"/>
  <c r="AP101" i="52"/>
  <c r="AP102" i="52" s="1"/>
  <c r="AP83" i="52"/>
  <c r="N45" i="52"/>
  <c r="Q38" i="52"/>
  <c r="AA45" i="52"/>
  <c r="AS43" i="52"/>
  <c r="AS49" i="52" s="1"/>
  <c r="AS45" i="52"/>
  <c r="AK49" i="52"/>
  <c r="AL43" i="52"/>
  <c r="AL49" i="52" s="1"/>
  <c r="AL45" i="52"/>
  <c r="AU38" i="52"/>
  <c r="AK73" i="52"/>
  <c r="AK79" i="52" s="1"/>
  <c r="AK51" i="52"/>
  <c r="AM73" i="52"/>
  <c r="AM79" i="52" s="1"/>
  <c r="AM51" i="52"/>
  <c r="AM77" i="52"/>
  <c r="AM55" i="52"/>
  <c r="AR43" i="52"/>
  <c r="AR49" i="52" s="1"/>
  <c r="AR45" i="52"/>
  <c r="AQ51" i="52"/>
  <c r="AQ73" i="52"/>
  <c r="AQ79" i="52" s="1"/>
  <c r="AJ101" i="52"/>
  <c r="AJ102" i="52" s="1"/>
  <c r="AJ83" i="52"/>
  <c r="AQ77" i="52"/>
  <c r="AQ55" i="52"/>
  <c r="O22" i="32"/>
  <c r="O23" i="32"/>
  <c r="O45" i="32" s="1"/>
  <c r="O27" i="32"/>
  <c r="O49" i="32" s="1"/>
  <c r="Q21" i="32"/>
  <c r="N23" i="32"/>
  <c r="Q45" i="52" l="1"/>
  <c r="AU45" i="52"/>
  <c r="AA37" i="75"/>
  <c r="AC37" i="75" s="1"/>
  <c r="AK55" i="52"/>
  <c r="AK77" i="52"/>
  <c r="X73" i="52"/>
  <c r="X79" i="52" s="1"/>
  <c r="X51" i="52"/>
  <c r="AA51" i="52"/>
  <c r="AA73" i="52"/>
  <c r="AA79" i="52" s="1"/>
  <c r="AF51" i="52"/>
  <c r="AF73" i="52"/>
  <c r="AF79" i="52" s="1"/>
  <c r="AR51" i="52"/>
  <c r="AR73" i="52"/>
  <c r="AR79" i="52" s="1"/>
  <c r="Q73" i="52"/>
  <c r="Q51" i="52"/>
  <c r="AQ83" i="52"/>
  <c r="AQ101" i="52"/>
  <c r="AQ102" i="52" s="1"/>
  <c r="AR55" i="52"/>
  <c r="AR77" i="52"/>
  <c r="N73" i="52"/>
  <c r="N79" i="52" s="1"/>
  <c r="N51" i="52"/>
  <c r="AU51" i="52"/>
  <c r="AU73" i="52"/>
  <c r="AU79" i="52" s="1"/>
  <c r="AS73" i="52"/>
  <c r="AS79" i="52" s="1"/>
  <c r="AS51" i="52"/>
  <c r="AM83" i="52"/>
  <c r="AM101" i="52"/>
  <c r="AM102" i="52" s="1"/>
  <c r="AL51" i="52"/>
  <c r="AL73" i="52"/>
  <c r="AL79" i="52" s="1"/>
  <c r="AS55" i="52"/>
  <c r="AS77" i="52"/>
  <c r="AL77" i="52"/>
  <c r="AL55" i="52"/>
  <c r="AU43" i="52"/>
  <c r="O51" i="52"/>
  <c r="O73" i="52"/>
  <c r="O79" i="52" s="1"/>
  <c r="O33" i="32"/>
  <c r="O29" i="32"/>
  <c r="O51" i="32"/>
  <c r="O73" i="32"/>
  <c r="O79" i="32" s="1"/>
  <c r="O77" i="32"/>
  <c r="O55" i="32"/>
  <c r="N27" i="32"/>
  <c r="N22" i="32"/>
  <c r="N29" i="32"/>
  <c r="N45" i="32"/>
  <c r="N73" i="32" s="1"/>
  <c r="Q79" i="52" l="1"/>
  <c r="AA42" i="75"/>
  <c r="AC42" i="75" s="1"/>
  <c r="AC99" i="75" s="1"/>
  <c r="AR101" i="52"/>
  <c r="AR102" i="52" s="1"/>
  <c r="AR83" i="52"/>
  <c r="AS101" i="52"/>
  <c r="AS102" i="52" s="1"/>
  <c r="AS83" i="52"/>
  <c r="AU44" i="52"/>
  <c r="AU49" i="52"/>
  <c r="AL101" i="52"/>
  <c r="AL102" i="52" s="1"/>
  <c r="AL83" i="52"/>
  <c r="AK101" i="52"/>
  <c r="AK102" i="52" s="1"/>
  <c r="AK83" i="52"/>
  <c r="O101" i="32"/>
  <c r="O102" i="32" s="1"/>
  <c r="O83" i="32"/>
  <c r="N51" i="32"/>
  <c r="N79" i="32"/>
  <c r="N49" i="32"/>
  <c r="N33" i="32"/>
  <c r="AU77" i="52" l="1"/>
  <c r="AU55" i="52"/>
  <c r="N55" i="32"/>
  <c r="N77" i="32"/>
  <c r="AU101" i="52" l="1"/>
  <c r="AU83" i="52"/>
  <c r="N101" i="32"/>
  <c r="N102" i="32" s="1"/>
  <c r="N83" i="32"/>
  <c r="AU102" i="52" l="1"/>
  <c r="AA99" i="75"/>
  <c r="AB99" i="75" s="1"/>
  <c r="G7" i="42"/>
  <c r="G12" i="42" s="1"/>
  <c r="F7" i="42"/>
  <c r="F12" i="42" s="1"/>
  <c r="F16" i="42" s="1"/>
  <c r="F25" i="42" s="1"/>
  <c r="E7" i="42"/>
  <c r="E12" i="42" s="1"/>
  <c r="E16" i="42" s="1"/>
  <c r="E25" i="42" s="1"/>
  <c r="H12" i="42"/>
  <c r="H16" i="42" s="1"/>
  <c r="H25" i="42" s="1"/>
  <c r="I16" i="42"/>
  <c r="I25" i="42" s="1"/>
  <c r="E13" i="42" l="1"/>
  <c r="G13" i="42"/>
  <c r="G16" i="42"/>
  <c r="G25" i="42" s="1"/>
  <c r="G27" i="42" s="1"/>
  <c r="G28" i="42" s="1"/>
  <c r="F13" i="42"/>
  <c r="I13" i="42"/>
  <c r="I8" i="42" s="1"/>
  <c r="I27" i="42"/>
  <c r="I28" i="42" s="1"/>
  <c r="E27" i="42"/>
  <c r="E28" i="42" s="1"/>
  <c r="H27" i="42"/>
  <c r="H28" i="42" s="1"/>
  <c r="H13" i="42"/>
  <c r="F27" i="42"/>
  <c r="F28" i="42" s="1"/>
  <c r="K13" i="23" l="1"/>
  <c r="K8" i="23" s="1"/>
  <c r="K16" i="23"/>
  <c r="K25" i="23" s="1"/>
  <c r="K27" i="23" s="1"/>
  <c r="K28" i="23" s="1"/>
  <c r="J13" i="23" l="1"/>
  <c r="J8" i="23" s="1"/>
  <c r="J16" i="23"/>
  <c r="J25" i="23" s="1"/>
  <c r="J27" i="23" s="1"/>
  <c r="J28" i="23" s="1"/>
  <c r="K13" i="19" l="1"/>
  <c r="K8" i="19" s="1"/>
  <c r="K16" i="19"/>
  <c r="K25" i="19" s="1"/>
  <c r="K27" i="19" l="1"/>
  <c r="K28" i="19" s="1"/>
  <c r="L13" i="19" l="1"/>
  <c r="L8" i="19" s="1"/>
  <c r="L16" i="19"/>
  <c r="L25" i="19" s="1"/>
  <c r="L27" i="19" l="1"/>
  <c r="L28" i="19" s="1"/>
  <c r="I7" i="23" l="1"/>
  <c r="H7" i="23"/>
  <c r="G7" i="23"/>
  <c r="F7" i="23"/>
  <c r="E7" i="23"/>
  <c r="I7" i="19"/>
  <c r="E7" i="19"/>
  <c r="G7" i="19"/>
  <c r="F7" i="19"/>
  <c r="L13" i="20"/>
  <c r="L8" i="20" s="1"/>
  <c r="L16" i="20"/>
  <c r="L25" i="20" s="1"/>
  <c r="L27" i="20" l="1"/>
  <c r="L28" i="20" s="1"/>
  <c r="K13" i="20" l="1"/>
  <c r="K8" i="20" s="1"/>
  <c r="K16" i="20"/>
  <c r="K25" i="20" s="1"/>
  <c r="K27" i="20" l="1"/>
  <c r="K28" i="20" s="1"/>
  <c r="J13" i="20" l="1"/>
  <c r="J8" i="20" s="1"/>
  <c r="J16" i="20"/>
  <c r="J25" i="20" s="1"/>
  <c r="J27" i="20" l="1"/>
  <c r="J28" i="20" s="1"/>
  <c r="J13" i="22"/>
  <c r="J8" i="22" s="1"/>
  <c r="J16" i="22"/>
  <c r="J25" i="22" s="1"/>
  <c r="J27" i="22" s="1"/>
  <c r="J28" i="22" s="1"/>
  <c r="K13" i="22" l="1"/>
  <c r="K8" i="22" s="1"/>
  <c r="K16" i="22"/>
  <c r="K25" i="22" s="1"/>
  <c r="K27" i="22" s="1"/>
  <c r="K28" i="22" s="1"/>
  <c r="L13" i="22" l="1"/>
  <c r="L8" i="22" s="1"/>
  <c r="L16" i="22"/>
  <c r="L25" i="22" s="1"/>
  <c r="L27" i="22" l="1"/>
  <c r="L28" i="22" s="1"/>
  <c r="L13" i="41"/>
  <c r="L8" i="41" s="1"/>
  <c r="L16" i="41"/>
  <c r="L25" i="41" s="1"/>
  <c r="L27" i="41" s="1"/>
  <c r="L28" i="41" s="1"/>
  <c r="K16" i="41" l="1"/>
  <c r="K13" i="41"/>
  <c r="K8" i="41" s="1"/>
  <c r="Q7" i="32" l="1"/>
  <c r="C14" i="43" l="1"/>
  <c r="C22" i="43" s="1"/>
  <c r="C25" i="43"/>
  <c r="Q100" i="32"/>
  <c r="Q72" i="32"/>
  <c r="C26" i="43"/>
  <c r="Q16" i="32"/>
  <c r="Q23" i="32" l="1"/>
  <c r="Q29" i="32"/>
  <c r="Q22" i="32" l="1"/>
  <c r="Q27" i="32"/>
  <c r="C17" i="43"/>
  <c r="C16" i="43" s="1"/>
  <c r="Q33" i="32" l="1"/>
  <c r="Q38" i="32"/>
  <c r="Q43" i="32"/>
  <c r="Q45" i="32" l="1"/>
  <c r="Q51" i="32"/>
  <c r="Q73" i="32"/>
  <c r="Q79" i="32" s="1"/>
  <c r="Q44" i="32"/>
  <c r="C20" i="43"/>
  <c r="C19" i="43" s="1"/>
  <c r="Q49" i="32"/>
  <c r="Q77" i="32" l="1"/>
  <c r="Q55" i="32"/>
  <c r="Q101" i="32" l="1"/>
  <c r="Q83" i="32"/>
  <c r="C31" i="43" l="1"/>
  <c r="C30" i="43" s="1"/>
  <c r="Q102" i="32"/>
  <c r="J13" i="41"/>
  <c r="J8" i="41" s="1"/>
  <c r="J16" i="41"/>
  <c r="J25" i="41" s="1"/>
  <c r="J27" i="41" s="1"/>
  <c r="J28" i="41" s="1"/>
  <c r="K21" i="41" l="1"/>
  <c r="K25" i="41" s="1"/>
  <c r="K27" i="41" s="1"/>
  <c r="K28" i="41" s="1"/>
  <c r="K54" i="41"/>
  <c r="K55" i="41" s="1"/>
  <c r="K59" i="41" s="1"/>
  <c r="K119" i="41" s="1"/>
  <c r="N119" i="41" l="1"/>
  <c r="Y119" i="41"/>
  <c r="AI119" i="41"/>
  <c r="X119" i="41"/>
  <c r="AN119" i="41"/>
  <c r="AM119" i="41"/>
  <c r="W119" i="41"/>
  <c r="Z119" i="41"/>
  <c r="O119" i="41"/>
  <c r="S119" i="41"/>
  <c r="P119" i="41"/>
  <c r="AH119" i="41"/>
  <c r="AG119" i="41"/>
  <c r="AE119" i="41"/>
  <c r="AD119" i="41"/>
  <c r="T119" i="41"/>
  <c r="AJ119" i="41"/>
  <c r="AC119" i="41"/>
  <c r="L119" i="41"/>
  <c r="AB119" i="41"/>
  <c r="AF119" i="41"/>
  <c r="R119" i="41"/>
  <c r="U119" i="41"/>
  <c r="AA119" i="41"/>
  <c r="AL119" i="41"/>
  <c r="M119" i="41"/>
  <c r="Q119" i="41"/>
  <c r="AK119" i="41"/>
  <c r="V119" i="41"/>
  <c r="K58" i="41"/>
  <c r="K64" i="41" l="1"/>
  <c r="K78" i="41"/>
  <c r="W78" i="41" l="1"/>
  <c r="Y78" i="41"/>
  <c r="N78" i="41"/>
  <c r="T78" i="41"/>
  <c r="AE78" i="41"/>
  <c r="S78" i="41"/>
  <c r="AD78" i="41"/>
  <c r="AL78" i="41"/>
  <c r="O78" i="41"/>
  <c r="Z78" i="41"/>
  <c r="X78" i="41"/>
  <c r="AG78" i="41"/>
  <c r="R78" i="41"/>
  <c r="AH78" i="41"/>
  <c r="AA78" i="41"/>
  <c r="AJ78" i="41"/>
  <c r="U78" i="41"/>
  <c r="M78" i="41"/>
  <c r="P78" i="41"/>
  <c r="AM78" i="41"/>
  <c r="Q78" i="41"/>
  <c r="AI78" i="41"/>
  <c r="AK78" i="41"/>
  <c r="AC78" i="41"/>
  <c r="V78" i="41"/>
  <c r="AN78" i="41"/>
  <c r="L78" i="41"/>
  <c r="AB78" i="41"/>
  <c r="AF78" i="41"/>
  <c r="J54" i="41"/>
  <c r="J55" i="41" s="1"/>
  <c r="J59" i="41" s="1"/>
  <c r="J118" i="41" s="1"/>
  <c r="J58" i="41" l="1"/>
  <c r="J77" i="41" s="1"/>
  <c r="X118" i="41"/>
  <c r="X62" i="41" s="1"/>
  <c r="Y118" i="41"/>
  <c r="Y62" i="41" s="1"/>
  <c r="AB118" i="41"/>
  <c r="AB62" i="41" s="1"/>
  <c r="AJ118" i="41"/>
  <c r="AJ62" i="41" s="1"/>
  <c r="AM118" i="41"/>
  <c r="AM62" i="41" s="1"/>
  <c r="AK118" i="41"/>
  <c r="AK62" i="41" s="1"/>
  <c r="S118" i="41"/>
  <c r="S62" i="41" s="1"/>
  <c r="V118" i="41"/>
  <c r="V62" i="41" s="1"/>
  <c r="AG118" i="41"/>
  <c r="AG62" i="41" s="1"/>
  <c r="T118" i="41"/>
  <c r="T62" i="41" s="1"/>
  <c r="Z118" i="41"/>
  <c r="Z62" i="41" s="1"/>
  <c r="AF118" i="41"/>
  <c r="AF62" i="41" s="1"/>
  <c r="M118" i="41"/>
  <c r="M62" i="41" s="1"/>
  <c r="N118" i="41"/>
  <c r="N62" i="41" s="1"/>
  <c r="AA118" i="41"/>
  <c r="AA62" i="41" s="1"/>
  <c r="R118" i="41"/>
  <c r="R62" i="41" s="1"/>
  <c r="L118" i="41"/>
  <c r="L62" i="41" s="1"/>
  <c r="AE118" i="41"/>
  <c r="AE62" i="41" s="1"/>
  <c r="AD118" i="41"/>
  <c r="AD62" i="41" s="1"/>
  <c r="AC118" i="41"/>
  <c r="AC62" i="41" s="1"/>
  <c r="AL118" i="41"/>
  <c r="AL62" i="41" s="1"/>
  <c r="J62" i="41"/>
  <c r="U118" i="41"/>
  <c r="U62" i="41" s="1"/>
  <c r="W118" i="41"/>
  <c r="W62" i="41" s="1"/>
  <c r="Q118" i="41"/>
  <c r="Q62" i="41" s="1"/>
  <c r="P118" i="41"/>
  <c r="P62" i="41" s="1"/>
  <c r="AI118" i="41"/>
  <c r="AI62" i="41" s="1"/>
  <c r="AH118" i="41"/>
  <c r="AH62" i="41" s="1"/>
  <c r="AN118" i="41"/>
  <c r="AN62" i="41" s="1"/>
  <c r="O118" i="41"/>
  <c r="O62" i="41" s="1"/>
  <c r="K118" i="41"/>
  <c r="K62" i="41" s="1"/>
  <c r="J64" i="41"/>
  <c r="L77" i="41" l="1"/>
  <c r="L61" i="41" s="1"/>
  <c r="L65" i="41" s="1"/>
  <c r="L66" i="41" s="1"/>
  <c r="J61" i="41"/>
  <c r="N77" i="41"/>
  <c r="N61" i="41" s="1"/>
  <c r="F9" i="45" s="1"/>
  <c r="F12" i="45" s="1"/>
  <c r="AD77" i="41"/>
  <c r="AD61" i="41" s="1"/>
  <c r="K77" i="41"/>
  <c r="K61" i="41" s="1"/>
  <c r="K65" i="41" s="1"/>
  <c r="K66" i="41" s="1"/>
  <c r="AE77" i="41"/>
  <c r="AE61" i="41" s="1"/>
  <c r="Q77" i="41"/>
  <c r="Q61" i="41" s="1"/>
  <c r="T77" i="41"/>
  <c r="T61" i="41" s="1"/>
  <c r="Z77" i="41"/>
  <c r="Z61" i="41" s="1"/>
  <c r="Y77" i="41"/>
  <c r="Y61" i="41" s="1"/>
  <c r="P77" i="41"/>
  <c r="P61" i="41" s="1"/>
  <c r="H9" i="45" s="1"/>
  <c r="H12" i="45" s="1"/>
  <c r="AL77" i="41"/>
  <c r="AL61" i="41" s="1"/>
  <c r="AM77" i="41"/>
  <c r="AM61" i="41" s="1"/>
  <c r="AG77" i="41"/>
  <c r="AG61" i="41" s="1"/>
  <c r="M77" i="41"/>
  <c r="M61" i="41" s="1"/>
  <c r="E9" i="45" s="1"/>
  <c r="E12" i="45" s="1"/>
  <c r="AN77" i="41"/>
  <c r="AN61" i="41" s="1"/>
  <c r="X77" i="41"/>
  <c r="X61" i="41" s="1"/>
  <c r="AC77" i="41"/>
  <c r="AC61" i="41" s="1"/>
  <c r="V77" i="41"/>
  <c r="V61" i="41" s="1"/>
  <c r="U77" i="41"/>
  <c r="U61" i="41" s="1"/>
  <c r="M9" i="45" s="1"/>
  <c r="M12" i="45" s="1"/>
  <c r="AH77" i="41"/>
  <c r="AH61" i="41" s="1"/>
  <c r="AA77" i="41"/>
  <c r="AA61" i="41" s="1"/>
  <c r="AB77" i="41"/>
  <c r="AB61" i="41" s="1"/>
  <c r="O77" i="41"/>
  <c r="O61" i="41" s="1"/>
  <c r="G9" i="45" s="1"/>
  <c r="G12" i="45" s="1"/>
  <c r="AI77" i="41"/>
  <c r="AI61" i="41" s="1"/>
  <c r="R77" i="41"/>
  <c r="R61" i="41" s="1"/>
  <c r="J9" i="45" s="1"/>
  <c r="J12" i="45" s="1"/>
  <c r="AJ77" i="41"/>
  <c r="AJ61" i="41" s="1"/>
  <c r="AF77" i="41"/>
  <c r="AF61" i="41" s="1"/>
  <c r="AK77" i="41"/>
  <c r="AK61" i="41" s="1"/>
  <c r="W77" i="41"/>
  <c r="W61" i="41" s="1"/>
  <c r="S77" i="41"/>
  <c r="S61" i="41" s="1"/>
  <c r="C9" i="45" l="1"/>
  <c r="C12" i="45" s="1"/>
  <c r="AB65" i="41"/>
  <c r="AB66" i="41" s="1"/>
  <c r="AH65" i="41"/>
  <c r="AH66" i="41" s="1"/>
  <c r="Q65" i="41"/>
  <c r="Q66" i="41" s="1"/>
  <c r="T65" i="41"/>
  <c r="T66" i="41" s="1"/>
  <c r="V65" i="41"/>
  <c r="V66" i="41" s="1"/>
  <c r="W65" i="41"/>
  <c r="W66" i="41" s="1"/>
  <c r="AC65" i="41"/>
  <c r="AC66" i="41" s="1"/>
  <c r="AE65" i="41"/>
  <c r="AE66" i="41" s="1"/>
  <c r="AI65" i="41"/>
  <c r="AI66" i="41" s="1"/>
  <c r="AL65" i="41"/>
  <c r="AL66" i="41" s="1"/>
  <c r="AA65" i="41"/>
  <c r="AA66" i="41" s="1"/>
  <c r="U65" i="41"/>
  <c r="U66" i="41" s="1"/>
  <c r="AK65" i="41"/>
  <c r="AK66" i="41" s="1"/>
  <c r="X65" i="41"/>
  <c r="X66" i="41" s="1"/>
  <c r="AN65" i="41"/>
  <c r="AN66" i="41" s="1"/>
  <c r="AD65" i="41"/>
  <c r="AD66" i="41" s="1"/>
  <c r="D9" i="45"/>
  <c r="D12" i="45" s="1"/>
  <c r="Y65" i="41"/>
  <c r="Y66" i="41" s="1"/>
  <c r="AF65" i="41"/>
  <c r="AF66" i="41" s="1"/>
  <c r="N65" i="41"/>
  <c r="N66" i="41" s="1"/>
  <c r="L9" i="45"/>
  <c r="L12" i="45" s="1"/>
  <c r="AM65" i="41"/>
  <c r="AM66" i="41" s="1"/>
  <c r="O65" i="41"/>
  <c r="O66" i="41" s="1"/>
  <c r="P65" i="41"/>
  <c r="P66" i="41" s="1"/>
  <c r="Z65" i="41"/>
  <c r="Z66" i="41" s="1"/>
  <c r="S65" i="41"/>
  <c r="S66" i="41" s="1"/>
  <c r="I9" i="45"/>
  <c r="I12" i="45" s="1"/>
  <c r="AJ65" i="41"/>
  <c r="AJ66" i="41" s="1"/>
  <c r="M65" i="41"/>
  <c r="M66" i="41" s="1"/>
  <c r="K9" i="45"/>
  <c r="K12" i="45" s="1"/>
  <c r="R65" i="41"/>
  <c r="R66" i="41" s="1"/>
  <c r="AG65" i="41"/>
  <c r="AG66" i="41" s="1"/>
  <c r="J65" i="41"/>
  <c r="J66" i="41" s="1"/>
  <c r="B9" i="45"/>
  <c r="B12" i="45" s="1"/>
  <c r="J209" i="41"/>
  <c r="J210" i="41" l="1"/>
  <c r="J214" i="41" s="1"/>
  <c r="J273" i="41" s="1"/>
  <c r="J213" i="41"/>
  <c r="J219" i="41" l="1"/>
  <c r="J232" i="41"/>
  <c r="AC273" i="41"/>
  <c r="U273" i="41"/>
  <c r="W273" i="41"/>
  <c r="AL273" i="41"/>
  <c r="AF273" i="41"/>
  <c r="S273" i="41"/>
  <c r="R273" i="41"/>
  <c r="AD273" i="41"/>
  <c r="AN273" i="41"/>
  <c r="AB273" i="41"/>
  <c r="Z273" i="41"/>
  <c r="AJ273" i="41"/>
  <c r="L273" i="41"/>
  <c r="AG273" i="41"/>
  <c r="AE273" i="41"/>
  <c r="X273" i="41"/>
  <c r="AH273" i="41"/>
  <c r="AK273" i="41"/>
  <c r="Q273" i="41"/>
  <c r="P273" i="41"/>
  <c r="T273" i="41"/>
  <c r="M273" i="41"/>
  <c r="O273" i="41"/>
  <c r="N273" i="41"/>
  <c r="AM273" i="41"/>
  <c r="V273" i="41"/>
  <c r="AA273" i="41"/>
  <c r="J217" i="41"/>
  <c r="AI273" i="41"/>
  <c r="Y273" i="41"/>
  <c r="K273" i="41"/>
  <c r="K232" i="41" l="1"/>
  <c r="L232" i="41"/>
  <c r="N232" i="41"/>
  <c r="AI232" i="41"/>
  <c r="AA232" i="41"/>
  <c r="AK232" i="41"/>
  <c r="AM232" i="41"/>
  <c r="AB232" i="41"/>
  <c r="AE232" i="41"/>
  <c r="AG232" i="41"/>
  <c r="AL232" i="41"/>
  <c r="J216" i="41"/>
  <c r="J220" i="41" s="1"/>
  <c r="J221" i="41" s="1"/>
  <c r="S232" i="41"/>
  <c r="P232" i="41"/>
  <c r="Y232" i="41"/>
  <c r="W232" i="41"/>
  <c r="AF232" i="41"/>
  <c r="X232" i="41"/>
  <c r="V232" i="41"/>
  <c r="AH232" i="41"/>
  <c r="T232" i="41"/>
  <c r="Q232" i="41"/>
  <c r="U232" i="41"/>
  <c r="R232" i="41"/>
  <c r="Z232" i="41"/>
  <c r="AD232" i="41"/>
  <c r="AJ232" i="41"/>
  <c r="M232" i="41"/>
  <c r="AC232" i="41"/>
  <c r="O232" i="41"/>
  <c r="AN232" i="41"/>
  <c r="K209" i="41"/>
  <c r="K210" i="41" s="1"/>
  <c r="K214" i="41" s="1"/>
  <c r="K274" i="41" s="1"/>
  <c r="AB274" i="41" s="1"/>
  <c r="V274" i="41" l="1"/>
  <c r="AH274" i="41"/>
  <c r="W274" i="41"/>
  <c r="R274" i="41"/>
  <c r="AF274" i="41"/>
  <c r="AE274" i="41"/>
  <c r="AI274" i="41"/>
  <c r="L274" i="41"/>
  <c r="AA274" i="41"/>
  <c r="N274" i="41"/>
  <c r="S274" i="41"/>
  <c r="AG274" i="41"/>
  <c r="AL274" i="41"/>
  <c r="AK274" i="41"/>
  <c r="AD274" i="41"/>
  <c r="U274" i="41"/>
  <c r="X274" i="41"/>
  <c r="Z274" i="41"/>
  <c r="P274" i="41"/>
  <c r="Q274" i="41"/>
  <c r="O274" i="41"/>
  <c r="AJ274" i="41"/>
  <c r="T274" i="41"/>
  <c r="AC274" i="41"/>
  <c r="M274" i="41"/>
  <c r="Y274" i="41"/>
  <c r="AM274" i="41"/>
  <c r="K217" i="41"/>
  <c r="AN274" i="41"/>
  <c r="K213" i="41"/>
  <c r="K219" i="41" l="1"/>
  <c r="K233" i="41"/>
  <c r="L233" i="41" l="1"/>
  <c r="K216" i="41"/>
  <c r="K220" i="41" s="1"/>
  <c r="K221" i="41" s="1"/>
  <c r="AM233" i="41"/>
  <c r="P233" i="41"/>
  <c r="U233" i="41"/>
  <c r="AF233" i="41"/>
  <c r="AA233" i="41"/>
  <c r="Y233" i="41"/>
  <c r="X233" i="41"/>
  <c r="AN233" i="41"/>
  <c r="AE233" i="41"/>
  <c r="R233" i="41"/>
  <c r="AI233" i="41"/>
  <c r="M233" i="41"/>
  <c r="T233" i="41"/>
  <c r="O233" i="41"/>
  <c r="AH233" i="41"/>
  <c r="AJ233" i="41"/>
  <c r="AD233" i="41"/>
  <c r="W233" i="41"/>
  <c r="Z233" i="41"/>
  <c r="AK233" i="41"/>
  <c r="N233" i="41"/>
  <c r="AG233" i="41"/>
  <c r="AL233" i="41"/>
  <c r="Q233" i="41"/>
  <c r="V233" i="41"/>
  <c r="AC233" i="41"/>
  <c r="AB233" i="41"/>
  <c r="S233" i="41"/>
  <c r="L214" i="41" l="1"/>
  <c r="L275" i="41" s="1"/>
  <c r="L213" i="41"/>
  <c r="L219" i="41" l="1"/>
  <c r="L234" i="41"/>
  <c r="Y275" i="41"/>
  <c r="Y217" i="41" s="1"/>
  <c r="R275" i="41"/>
  <c r="R217" i="41" s="1"/>
  <c r="U275" i="41"/>
  <c r="U217" i="41" s="1"/>
  <c r="AE275" i="41"/>
  <c r="AE217" i="41" s="1"/>
  <c r="AK275" i="41"/>
  <c r="AK217" i="41" s="1"/>
  <c r="AN275" i="41"/>
  <c r="AN217" i="41" s="1"/>
  <c r="AI275" i="41"/>
  <c r="AI217" i="41" s="1"/>
  <c r="S275" i="41"/>
  <c r="S217" i="41" s="1"/>
  <c r="X275" i="41"/>
  <c r="X217" i="41" s="1"/>
  <c r="O275" i="41"/>
  <c r="O217" i="41" s="1"/>
  <c r="M275" i="41"/>
  <c r="M217" i="41" s="1"/>
  <c r="Q275" i="41"/>
  <c r="Q217" i="41" s="1"/>
  <c r="AA275" i="41"/>
  <c r="AA217" i="41" s="1"/>
  <c r="AG275" i="41"/>
  <c r="AG217" i="41" s="1"/>
  <c r="AF275" i="41"/>
  <c r="AF217" i="41" s="1"/>
  <c r="AM275" i="41"/>
  <c r="AM217" i="41" s="1"/>
  <c r="W275" i="41"/>
  <c r="W217" i="41" s="1"/>
  <c r="AJ275" i="41"/>
  <c r="AJ217" i="41" s="1"/>
  <c r="AC275" i="41"/>
  <c r="AC217" i="41" s="1"/>
  <c r="AL275" i="41"/>
  <c r="AL217" i="41" s="1"/>
  <c r="V275" i="41"/>
  <c r="V217" i="41" s="1"/>
  <c r="P275" i="41"/>
  <c r="P217" i="41" s="1"/>
  <c r="AD275" i="41"/>
  <c r="AD217" i="41" s="1"/>
  <c r="N275" i="41"/>
  <c r="N217" i="41" s="1"/>
  <c r="L217" i="41"/>
  <c r="Z275" i="41"/>
  <c r="Z217" i="41" s="1"/>
  <c r="T275" i="41"/>
  <c r="T217" i="41" s="1"/>
  <c r="AB275" i="41"/>
  <c r="AB217" i="41" s="1"/>
  <c r="AH275" i="41"/>
  <c r="AH217" i="41" s="1"/>
  <c r="L216" i="41" l="1"/>
  <c r="L220" i="41" s="1"/>
  <c r="L221" i="41" s="1"/>
  <c r="P234" i="41"/>
  <c r="P216" i="41" s="1"/>
  <c r="AJ234" i="41"/>
  <c r="AJ216" i="41" s="1"/>
  <c r="S234" i="41"/>
  <c r="S216" i="41" s="1"/>
  <c r="AC234" i="41"/>
  <c r="AC216" i="41" s="1"/>
  <c r="AE234" i="41"/>
  <c r="AE216" i="41" s="1"/>
  <c r="AG234" i="41"/>
  <c r="AG216" i="41" s="1"/>
  <c r="X234" i="41"/>
  <c r="X216" i="41" s="1"/>
  <c r="W234" i="41"/>
  <c r="W216" i="41" s="1"/>
  <c r="AK234" i="41"/>
  <c r="AK216" i="41" s="1"/>
  <c r="Y234" i="41"/>
  <c r="Y216" i="41" s="1"/>
  <c r="N234" i="41"/>
  <c r="N216" i="41" s="1"/>
  <c r="AH234" i="41"/>
  <c r="AH216" i="41" s="1"/>
  <c r="AN234" i="41"/>
  <c r="AN216" i="41" s="1"/>
  <c r="O234" i="41"/>
  <c r="O216" i="41" s="1"/>
  <c r="AL234" i="41"/>
  <c r="AL216" i="41" s="1"/>
  <c r="AB234" i="41"/>
  <c r="AB216" i="41" s="1"/>
  <c r="V234" i="41"/>
  <c r="V216" i="41" s="1"/>
  <c r="R234" i="41"/>
  <c r="R216" i="41" s="1"/>
  <c r="AM234" i="41"/>
  <c r="AM216" i="41" s="1"/>
  <c r="M234" i="41"/>
  <c r="M216" i="41" s="1"/>
  <c r="U234" i="41"/>
  <c r="U216" i="41" s="1"/>
  <c r="AA234" i="41"/>
  <c r="AA216" i="41" s="1"/>
  <c r="AD234" i="41"/>
  <c r="AD216" i="41" s="1"/>
  <c r="Q234" i="41"/>
  <c r="Q216" i="41" s="1"/>
  <c r="Z234" i="41"/>
  <c r="Z216" i="41" s="1"/>
  <c r="AF234" i="41"/>
  <c r="AF216" i="41" s="1"/>
  <c r="AI234" i="41"/>
  <c r="AI216" i="41" s="1"/>
  <c r="T234" i="41"/>
  <c r="T216" i="41" s="1"/>
  <c r="V220" i="41" l="1"/>
  <c r="V221" i="41" s="1"/>
  <c r="AI220" i="41"/>
  <c r="AI221" i="41" s="1"/>
  <c r="AL220" i="41"/>
  <c r="AL221" i="41" s="1"/>
  <c r="S220" i="41"/>
  <c r="S221" i="41" s="1"/>
  <c r="AF220" i="41"/>
  <c r="AF221" i="41" s="1"/>
  <c r="O220" i="41"/>
  <c r="O221" i="41" s="1"/>
  <c r="AJ220" i="41"/>
  <c r="AJ221" i="41" s="1"/>
  <c r="AE220" i="41"/>
  <c r="AE221" i="41" s="1"/>
  <c r="AB220" i="41"/>
  <c r="AB221" i="41" s="1"/>
  <c r="Z220" i="41"/>
  <c r="Z221" i="41" s="1"/>
  <c r="Q220" i="41"/>
  <c r="Q221" i="41" s="1"/>
  <c r="AD220" i="41"/>
  <c r="AD221" i="41" s="1"/>
  <c r="Y220" i="41"/>
  <c r="Y221" i="41" s="1"/>
  <c r="U220" i="41"/>
  <c r="U221" i="41" s="1"/>
  <c r="AK220" i="41"/>
  <c r="AK221" i="41" s="1"/>
  <c r="AN220" i="41"/>
  <c r="AN221" i="41" s="1"/>
  <c r="N220" i="41"/>
  <c r="N221" i="41" s="1"/>
  <c r="AA220" i="41"/>
  <c r="AA221" i="41" s="1"/>
  <c r="M220" i="41"/>
  <c r="M221" i="41" s="1"/>
  <c r="W220" i="41"/>
  <c r="W221" i="41" s="1"/>
  <c r="AC220" i="41"/>
  <c r="AC221" i="41" s="1"/>
  <c r="P220" i="41"/>
  <c r="P221" i="41" s="1"/>
  <c r="X220" i="41"/>
  <c r="X221" i="41" s="1"/>
  <c r="T220" i="41"/>
  <c r="T221" i="41" s="1"/>
  <c r="AH220" i="41"/>
  <c r="AH221" i="41" s="1"/>
  <c r="AM220" i="41"/>
  <c r="AM221" i="41" s="1"/>
  <c r="R220" i="41"/>
  <c r="R221" i="41" s="1"/>
  <c r="AG220" i="41"/>
  <c r="AG221" i="41" s="1"/>
  <c r="K359" i="41"/>
  <c r="K360" i="41" s="1"/>
  <c r="K364" i="41" s="1"/>
  <c r="K424" i="41" s="1"/>
  <c r="AB424" i="41" s="1"/>
  <c r="K363" i="41" l="1"/>
  <c r="K383" i="41" s="1"/>
  <c r="V383" i="41" s="1"/>
  <c r="AG424" i="41"/>
  <c r="R424" i="41"/>
  <c r="AD424" i="41"/>
  <c r="M424" i="41"/>
  <c r="N424" i="41"/>
  <c r="Q424" i="41"/>
  <c r="AK424" i="41"/>
  <c r="W424" i="41"/>
  <c r="AH424" i="41"/>
  <c r="Y424" i="41"/>
  <c r="S424" i="41"/>
  <c r="AL424" i="41"/>
  <c r="L424" i="41"/>
  <c r="T424" i="41"/>
  <c r="X424" i="41"/>
  <c r="AC424" i="41"/>
  <c r="U424" i="41"/>
  <c r="Z424" i="41"/>
  <c r="O424" i="41"/>
  <c r="V424" i="41"/>
  <c r="AN424" i="41"/>
  <c r="AE424" i="41"/>
  <c r="AA424" i="41"/>
  <c r="P424" i="41"/>
  <c r="AM424" i="41"/>
  <c r="AJ424" i="41"/>
  <c r="AI424" i="41"/>
  <c r="AF424" i="41"/>
  <c r="J359" i="41"/>
  <c r="J360" i="41" s="1"/>
  <c r="J364" i="41" s="1"/>
  <c r="J423" i="41" s="1"/>
  <c r="K369" i="41" l="1"/>
  <c r="Q383" i="41"/>
  <c r="AI383" i="41"/>
  <c r="AM383" i="41"/>
  <c r="M383" i="41"/>
  <c r="S383" i="41"/>
  <c r="AJ383" i="41"/>
  <c r="AN383" i="41"/>
  <c r="U383" i="41"/>
  <c r="P383" i="41"/>
  <c r="R383" i="41"/>
  <c r="L383" i="41"/>
  <c r="AF383" i="41"/>
  <c r="Y383" i="41"/>
  <c r="Z383" i="41"/>
  <c r="AA383" i="41"/>
  <c r="X383" i="41"/>
  <c r="AG383" i="41"/>
  <c r="AH383" i="41"/>
  <c r="AL383" i="41"/>
  <c r="AE383" i="41"/>
  <c r="AK383" i="41"/>
  <c r="T383" i="41"/>
  <c r="AC383" i="41"/>
  <c r="AB383" i="41"/>
  <c r="O383" i="41"/>
  <c r="W383" i="41"/>
  <c r="N383" i="41"/>
  <c r="AD383" i="41"/>
  <c r="J363" i="41"/>
  <c r="J382" i="41" s="1"/>
  <c r="M382" i="41" s="1"/>
  <c r="P423" i="41"/>
  <c r="P367" i="41" s="1"/>
  <c r="K423" i="41"/>
  <c r="K367" i="41" s="1"/>
  <c r="AN423" i="41"/>
  <c r="AN367" i="41" s="1"/>
  <c r="R423" i="41"/>
  <c r="R367" i="41" s="1"/>
  <c r="AE423" i="41"/>
  <c r="AE367" i="41" s="1"/>
  <c r="AG423" i="41"/>
  <c r="AG367" i="41" s="1"/>
  <c r="Y423" i="41"/>
  <c r="Y367" i="41" s="1"/>
  <c r="N423" i="41"/>
  <c r="N367" i="41" s="1"/>
  <c r="AI423" i="41"/>
  <c r="AI367" i="41" s="1"/>
  <c r="AB423" i="41"/>
  <c r="AB367" i="41" s="1"/>
  <c r="AM423" i="41"/>
  <c r="AM367" i="41" s="1"/>
  <c r="S423" i="41"/>
  <c r="S367" i="41" s="1"/>
  <c r="AC423" i="41"/>
  <c r="AC367" i="41" s="1"/>
  <c r="V423" i="41"/>
  <c r="V367" i="41" s="1"/>
  <c r="AA423" i="41"/>
  <c r="AA367" i="41" s="1"/>
  <c r="T423" i="41"/>
  <c r="T367" i="41" s="1"/>
  <c r="W423" i="41"/>
  <c r="W367" i="41" s="1"/>
  <c r="AJ423" i="41"/>
  <c r="AJ367" i="41" s="1"/>
  <c r="AL423" i="41"/>
  <c r="AL367" i="41" s="1"/>
  <c r="AF423" i="41"/>
  <c r="AF367" i="41" s="1"/>
  <c r="L423" i="41"/>
  <c r="L367" i="41" s="1"/>
  <c r="AD423" i="41"/>
  <c r="AD367" i="41" s="1"/>
  <c r="O423" i="41"/>
  <c r="O367" i="41" s="1"/>
  <c r="U423" i="41"/>
  <c r="U367" i="41" s="1"/>
  <c r="Q423" i="41"/>
  <c r="Q367" i="41" s="1"/>
  <c r="AH423" i="41"/>
  <c r="AH367" i="41" s="1"/>
  <c r="Z423" i="41"/>
  <c r="Z367" i="41" s="1"/>
  <c r="AK423" i="41"/>
  <c r="AK367" i="41" s="1"/>
  <c r="X423" i="41"/>
  <c r="X367" i="41" s="1"/>
  <c r="J367" i="41"/>
  <c r="M423" i="41"/>
  <c r="M367" i="41" s="1"/>
  <c r="M366" i="41" l="1"/>
  <c r="M11" i="41" s="1"/>
  <c r="J369" i="41"/>
  <c r="AJ382" i="41"/>
  <c r="AJ366" i="41" s="1"/>
  <c r="AJ370" i="41" s="1"/>
  <c r="AJ371" i="41" s="1"/>
  <c r="V382" i="41"/>
  <c r="V366" i="41" s="1"/>
  <c r="V370" i="41" s="1"/>
  <c r="V371" i="41" s="1"/>
  <c r="AI382" i="41"/>
  <c r="AI366" i="41" s="1"/>
  <c r="AI11" i="41" s="1"/>
  <c r="AH382" i="41"/>
  <c r="AH366" i="41" s="1"/>
  <c r="AH370" i="41" s="1"/>
  <c r="AH371" i="41" s="1"/>
  <c r="AG382" i="41"/>
  <c r="AG366" i="41" s="1"/>
  <c r="O382" i="41"/>
  <c r="O366" i="41" s="1"/>
  <c r="AF382" i="41"/>
  <c r="AF366" i="41" s="1"/>
  <c r="AF370" i="41" s="1"/>
  <c r="AF371" i="41" s="1"/>
  <c r="AK382" i="41"/>
  <c r="AK366" i="41" s="1"/>
  <c r="AD382" i="41"/>
  <c r="AD366" i="41" s="1"/>
  <c r="AD11" i="41" s="1"/>
  <c r="AE382" i="41"/>
  <c r="AE366" i="41" s="1"/>
  <c r="Y382" i="41"/>
  <c r="Y366" i="41" s="1"/>
  <c r="Y370" i="41" s="1"/>
  <c r="Y371" i="41" s="1"/>
  <c r="P382" i="41"/>
  <c r="P366" i="41" s="1"/>
  <c r="P11" i="41" s="1"/>
  <c r="Q382" i="41"/>
  <c r="Q366" i="41" s="1"/>
  <c r="Q11" i="41" s="1"/>
  <c r="AL382" i="41"/>
  <c r="AL366" i="41" s="1"/>
  <c r="AL370" i="41" s="1"/>
  <c r="AL371" i="41" s="1"/>
  <c r="X382" i="41"/>
  <c r="X366" i="41" s="1"/>
  <c r="X370" i="41" s="1"/>
  <c r="X371" i="41" s="1"/>
  <c r="R382" i="41"/>
  <c r="R366" i="41" s="1"/>
  <c r="R370" i="41" s="1"/>
  <c r="R371" i="41" s="1"/>
  <c r="Z382" i="41"/>
  <c r="Z366" i="41" s="1"/>
  <c r="Z370" i="41" s="1"/>
  <c r="Z371" i="41" s="1"/>
  <c r="U382" i="41"/>
  <c r="U366" i="41" s="1"/>
  <c r="U370" i="41" s="1"/>
  <c r="U371" i="41" s="1"/>
  <c r="AN382" i="41"/>
  <c r="AN366" i="41" s="1"/>
  <c r="AN11" i="41" s="1"/>
  <c r="AB382" i="41"/>
  <c r="AB366" i="41" s="1"/>
  <c r="N382" i="41"/>
  <c r="N366" i="41" s="1"/>
  <c r="N11" i="41" s="1"/>
  <c r="L382" i="41"/>
  <c r="L366" i="41" s="1"/>
  <c r="L370" i="41" s="1"/>
  <c r="L371" i="41" s="1"/>
  <c r="AM382" i="41"/>
  <c r="AM366" i="41" s="1"/>
  <c r="AM11" i="41" s="1"/>
  <c r="J366" i="41"/>
  <c r="J370" i="41" s="1"/>
  <c r="AC382" i="41"/>
  <c r="AC366" i="41" s="1"/>
  <c r="AC12" i="41" s="1"/>
  <c r="AC16" i="41" s="1"/>
  <c r="K382" i="41"/>
  <c r="K366" i="41" s="1"/>
  <c r="K370" i="41" s="1"/>
  <c r="K371" i="41" s="1"/>
  <c r="W382" i="41"/>
  <c r="W366" i="41" s="1"/>
  <c r="W11" i="41" s="1"/>
  <c r="T382" i="41"/>
  <c r="T366" i="41" s="1"/>
  <c r="T370" i="41" s="1"/>
  <c r="T371" i="41" s="1"/>
  <c r="S382" i="41"/>
  <c r="S366" i="41" s="1"/>
  <c r="S370" i="41" s="1"/>
  <c r="S371" i="41" s="1"/>
  <c r="AA382" i="41"/>
  <c r="AA366" i="41" s="1"/>
  <c r="AA370" i="41" s="1"/>
  <c r="AA371" i="41" s="1"/>
  <c r="J371" i="41" l="1"/>
  <c r="M12" i="41"/>
  <c r="M16" i="41" s="1"/>
  <c r="M370" i="41"/>
  <c r="M371" i="41" s="1"/>
  <c r="AJ12" i="41"/>
  <c r="AJ16" i="41" s="1"/>
  <c r="Y12" i="41"/>
  <c r="Y16" i="41" s="1"/>
  <c r="Y11" i="41"/>
  <c r="Y18" i="41" s="1"/>
  <c r="N370" i="41"/>
  <c r="N371" i="41" s="1"/>
  <c r="P12" i="41"/>
  <c r="P16" i="41" s="1"/>
  <c r="P370" i="41"/>
  <c r="P371" i="41" s="1"/>
  <c r="AJ11" i="41"/>
  <c r="AJ18" i="41" s="1"/>
  <c r="V11" i="41"/>
  <c r="V18" i="41" s="1"/>
  <c r="V12" i="41"/>
  <c r="V16" i="41" s="1"/>
  <c r="Q370" i="41"/>
  <c r="Q371" i="41" s="1"/>
  <c r="N12" i="41"/>
  <c r="N16" i="41" s="1"/>
  <c r="AL11" i="41"/>
  <c r="AL18" i="41" s="1"/>
  <c r="AI12" i="41"/>
  <c r="AI16" i="41" s="1"/>
  <c r="AF11" i="41"/>
  <c r="AF18" i="41" s="1"/>
  <c r="AI370" i="41"/>
  <c r="AI371" i="41" s="1"/>
  <c r="AK11" i="41"/>
  <c r="AK18" i="41" s="1"/>
  <c r="AK370" i="41"/>
  <c r="AK371" i="41" s="1"/>
  <c r="Z11" i="41"/>
  <c r="Z18" i="41" s="1"/>
  <c r="Q12" i="41"/>
  <c r="Q16" i="41" s="1"/>
  <c r="AE12" i="41"/>
  <c r="AE16" i="41" s="1"/>
  <c r="AE370" i="41"/>
  <c r="AE371" i="41" s="1"/>
  <c r="AE11" i="41"/>
  <c r="O11" i="41"/>
  <c r="O18" i="41" s="1"/>
  <c r="O12" i="41"/>
  <c r="O16" i="41" s="1"/>
  <c r="O370" i="41"/>
  <c r="O371" i="41" s="1"/>
  <c r="AG370" i="41"/>
  <c r="AG371" i="41" s="1"/>
  <c r="AG11" i="41"/>
  <c r="AG18" i="41" s="1"/>
  <c r="AG12" i="41"/>
  <c r="AG16" i="41" s="1"/>
  <c r="T11" i="41"/>
  <c r="T12" i="41"/>
  <c r="T16" i="41" s="1"/>
  <c r="W370" i="41"/>
  <c r="W371" i="41" s="1"/>
  <c r="AF12" i="41"/>
  <c r="AF16" i="41" s="1"/>
  <c r="Z12" i="41"/>
  <c r="Z16" i="41" s="1"/>
  <c r="AN370" i="41"/>
  <c r="AN371" i="41" s="1"/>
  <c r="AB11" i="41"/>
  <c r="AB370" i="41"/>
  <c r="AB371" i="41" s="1"/>
  <c r="AB12" i="41"/>
  <c r="AB16" i="41" s="1"/>
  <c r="AN12" i="41"/>
  <c r="AN16" i="41" s="1"/>
  <c r="U11" i="41"/>
  <c r="U18" i="41" s="1"/>
  <c r="AD370" i="41"/>
  <c r="AD371" i="41" s="1"/>
  <c r="R12" i="41"/>
  <c r="R16" i="41" s="1"/>
  <c r="U12" i="41"/>
  <c r="U16" i="41" s="1"/>
  <c r="AM12" i="41"/>
  <c r="AM16" i="41" s="1"/>
  <c r="AM370" i="41"/>
  <c r="AM371" i="41" s="1"/>
  <c r="R11" i="41"/>
  <c r="AL12" i="41"/>
  <c r="AL16" i="41" s="1"/>
  <c r="W12" i="41"/>
  <c r="W16" i="41" s="1"/>
  <c r="AD12" i="41"/>
  <c r="AD16" i="41" s="1"/>
  <c r="AK12" i="41"/>
  <c r="AK16" i="41" s="1"/>
  <c r="S11" i="41"/>
  <c r="S18" i="41" s="1"/>
  <c r="AC370" i="41"/>
  <c r="AC371" i="41" s="1"/>
  <c r="AH12" i="41"/>
  <c r="AH16" i="41" s="1"/>
  <c r="AH11" i="41"/>
  <c r="AH18" i="41" s="1"/>
  <c r="X11" i="41"/>
  <c r="X18" i="41" s="1"/>
  <c r="AC11" i="41"/>
  <c r="AC18" i="41" s="1"/>
  <c r="AC25" i="41" s="1"/>
  <c r="X12" i="41"/>
  <c r="X16" i="41" s="1"/>
  <c r="S12" i="41"/>
  <c r="S16" i="41" s="1"/>
  <c r="AA12" i="41"/>
  <c r="AA16" i="41" s="1"/>
  <c r="AA11" i="41"/>
  <c r="AA18" i="41" s="1"/>
  <c r="AN18" i="41"/>
  <c r="M18" i="41"/>
  <c r="AI18" i="41"/>
  <c r="P18" i="41"/>
  <c r="N18" i="41"/>
  <c r="W18" i="41"/>
  <c r="AM18" i="41"/>
  <c r="Q18" i="41"/>
  <c r="AD18" i="41"/>
  <c r="Y25" i="41" l="1"/>
  <c r="AA6" i="59" s="1"/>
  <c r="AJ25" i="41"/>
  <c r="AO6" i="59" s="1"/>
  <c r="M25" i="41"/>
  <c r="M13" i="41"/>
  <c r="Y13" i="41"/>
  <c r="AJ13" i="41"/>
  <c r="P25" i="41"/>
  <c r="P13" i="41"/>
  <c r="V25" i="41"/>
  <c r="X6" i="59" s="1"/>
  <c r="AI13" i="41"/>
  <c r="V13" i="41"/>
  <c r="N13" i="41"/>
  <c r="N25" i="41"/>
  <c r="AI25" i="41"/>
  <c r="AN6" i="59" s="1"/>
  <c r="AF25" i="41"/>
  <c r="AK6" i="59" s="1"/>
  <c r="W25" i="41"/>
  <c r="Y6" i="59" s="1"/>
  <c r="W13" i="41"/>
  <c r="Z13" i="41"/>
  <c r="AA25" i="41"/>
  <c r="AC6" i="59" s="1"/>
  <c r="AG25" i="41"/>
  <c r="AL6" i="59" s="1"/>
  <c r="AE13" i="41"/>
  <c r="AG13" i="41"/>
  <c r="R13" i="41"/>
  <c r="AB13" i="41"/>
  <c r="Q25" i="41"/>
  <c r="S6" i="59" s="1"/>
  <c r="AH25" i="41"/>
  <c r="AM6" i="59" s="1"/>
  <c r="O25" i="41"/>
  <c r="AE18" i="41"/>
  <c r="AE25" i="41" s="1"/>
  <c r="AJ6" i="59" s="1"/>
  <c r="T13" i="41"/>
  <c r="Z25" i="41"/>
  <c r="AB6" i="59" s="1"/>
  <c r="AA13" i="41"/>
  <c r="Q13" i="41"/>
  <c r="AL25" i="41"/>
  <c r="AQ6" i="59" s="1"/>
  <c r="AF13" i="41"/>
  <c r="AC13" i="41"/>
  <c r="T18" i="41"/>
  <c r="T25" i="41" s="1"/>
  <c r="V6" i="59" s="1"/>
  <c r="O13" i="41"/>
  <c r="R18" i="41"/>
  <c r="R25" i="41" s="1"/>
  <c r="T6" i="59" s="1"/>
  <c r="AB18" i="41"/>
  <c r="AB25" i="41" s="1"/>
  <c r="AD6" i="59" s="1"/>
  <c r="AL13" i="41"/>
  <c r="AK25" i="41"/>
  <c r="AP6" i="59" s="1"/>
  <c r="AM25" i="41"/>
  <c r="AR6" i="59" s="1"/>
  <c r="AD25" i="41"/>
  <c r="AI6" i="59" s="1"/>
  <c r="AN13" i="41"/>
  <c r="U13" i="41"/>
  <c r="U25" i="41"/>
  <c r="W6" i="59" s="1"/>
  <c r="AD13" i="41"/>
  <c r="AN25" i="41"/>
  <c r="AS6" i="59" s="1"/>
  <c r="AM13" i="41"/>
  <c r="AK13" i="41"/>
  <c r="X25" i="41"/>
  <c r="Z6" i="59" s="1"/>
  <c r="AH13" i="41"/>
  <c r="S13" i="41"/>
  <c r="S25" i="41"/>
  <c r="U6" i="59" s="1"/>
  <c r="X13" i="41"/>
  <c r="AH6" i="59"/>
  <c r="L6" i="73"/>
  <c r="K6" i="73"/>
  <c r="Q6" i="73"/>
  <c r="G6" i="73"/>
  <c r="Y6" i="73"/>
  <c r="N6" i="73"/>
  <c r="U6" i="73"/>
  <c r="M6" i="73"/>
  <c r="O6" i="73"/>
  <c r="F6" i="73"/>
  <c r="W6" i="73"/>
  <c r="S6" i="73"/>
  <c r="R6" i="73"/>
  <c r="J6" i="73"/>
  <c r="X6" i="73"/>
  <c r="Z6" i="73"/>
  <c r="T6" i="73"/>
  <c r="AA6" i="73"/>
  <c r="V6" i="73"/>
  <c r="P6" i="73"/>
  <c r="I6" i="73"/>
  <c r="H6" i="73"/>
  <c r="AS7" i="51" l="1"/>
  <c r="AR7" i="51"/>
  <c r="AR38" i="51" s="1"/>
  <c r="AP7" i="51"/>
  <c r="AP16" i="51" s="1"/>
  <c r="AQ7" i="51"/>
  <c r="AQ16" i="51" s="1"/>
  <c r="AO7" i="51"/>
  <c r="AO16" i="51" s="1"/>
  <c r="AS38" i="51"/>
  <c r="AS16" i="51"/>
  <c r="AL37" i="59"/>
  <c r="AL15" i="59"/>
  <c r="AL22" i="59" s="1"/>
  <c r="AL11" i="59"/>
  <c r="AR37" i="59"/>
  <c r="AR11" i="59"/>
  <c r="AR15" i="59"/>
  <c r="AP37" i="59"/>
  <c r="AP11" i="59"/>
  <c r="AP15" i="59"/>
  <c r="AP22" i="59" s="1"/>
  <c r="AO37" i="59"/>
  <c r="AO11" i="59"/>
  <c r="AO15" i="59"/>
  <c r="AO22" i="59" s="1"/>
  <c r="W37" i="59"/>
  <c r="W15" i="59"/>
  <c r="W22" i="59" s="1"/>
  <c r="AS15" i="59"/>
  <c r="AS22" i="59" s="1"/>
  <c r="AS37" i="59"/>
  <c r="AS11" i="59"/>
  <c r="AN37" i="59"/>
  <c r="AN11" i="59"/>
  <c r="AN15" i="59"/>
  <c r="AN22" i="59" s="1"/>
  <c r="AD37" i="59"/>
  <c r="AD15" i="59"/>
  <c r="AD22" i="59" s="1"/>
  <c r="Z15" i="59"/>
  <c r="Z22" i="59" s="1"/>
  <c r="Z37" i="59"/>
  <c r="O22" i="59"/>
  <c r="AM37" i="59"/>
  <c r="AM15" i="59"/>
  <c r="AM11" i="59"/>
  <c r="T37" i="59"/>
  <c r="T15" i="59"/>
  <c r="AB37" i="59"/>
  <c r="AB15" i="59"/>
  <c r="AK15" i="59"/>
  <c r="AK37" i="59"/>
  <c r="AK11" i="59"/>
  <c r="V15" i="59"/>
  <c r="V22" i="59" s="1"/>
  <c r="V37" i="59"/>
  <c r="Q6" i="59"/>
  <c r="L11" i="59"/>
  <c r="L22" i="59"/>
  <c r="X37" i="59"/>
  <c r="X15" i="59"/>
  <c r="X22" i="59" s="1"/>
  <c r="AC37" i="59"/>
  <c r="AC15" i="59"/>
  <c r="AC22" i="59" s="1"/>
  <c r="AH11" i="59"/>
  <c r="AH37" i="59"/>
  <c r="AU6" i="59"/>
  <c r="AH15" i="59"/>
  <c r="AA37" i="59"/>
  <c r="AA15" i="59"/>
  <c r="AA22" i="59" s="1"/>
  <c r="AQ15" i="59"/>
  <c r="AQ22" i="59" s="1"/>
  <c r="AQ37" i="59"/>
  <c r="AQ11" i="59"/>
  <c r="AF6" i="59"/>
  <c r="S15" i="59"/>
  <c r="S22" i="59" s="1"/>
  <c r="S37" i="59"/>
  <c r="AJ37" i="59"/>
  <c r="AJ11" i="59"/>
  <c r="AJ15" i="59"/>
  <c r="AJ22" i="59" s="1"/>
  <c r="U37" i="59"/>
  <c r="U15" i="59"/>
  <c r="U22" i="59" s="1"/>
  <c r="Y37" i="59"/>
  <c r="Y15" i="59"/>
  <c r="Y22" i="59" s="1"/>
  <c r="AI37" i="59"/>
  <c r="AI15" i="59"/>
  <c r="AI22" i="59" s="1"/>
  <c r="AI11" i="59"/>
  <c r="AD6" i="73"/>
  <c r="AC6" i="73"/>
  <c r="AE6" i="73"/>
  <c r="AB6" i="73"/>
  <c r="AF6" i="73"/>
  <c r="AR16" i="51" l="1"/>
  <c r="AP38" i="51"/>
  <c r="AQ38" i="51"/>
  <c r="AO38" i="51"/>
  <c r="AL28" i="59"/>
  <c r="AL44" i="59"/>
  <c r="AI28" i="59"/>
  <c r="AI44" i="59"/>
  <c r="AN28" i="59"/>
  <c r="AN44" i="59"/>
  <c r="AD28" i="59"/>
  <c r="AD44" i="59"/>
  <c r="L28" i="59"/>
  <c r="L44" i="59"/>
  <c r="V28" i="59"/>
  <c r="V44" i="59"/>
  <c r="Z28" i="59"/>
  <c r="Z44" i="59"/>
  <c r="O44" i="59"/>
  <c r="O28" i="59"/>
  <c r="AA28" i="59"/>
  <c r="AA44" i="59"/>
  <c r="AJ42" i="59"/>
  <c r="AS20" i="59"/>
  <c r="AS21" i="59" s="1"/>
  <c r="Y28" i="59"/>
  <c r="Y44" i="59"/>
  <c r="AJ20" i="59"/>
  <c r="AJ21" i="59" s="1"/>
  <c r="AQ28" i="59"/>
  <c r="AQ44" i="59"/>
  <c r="AK20" i="59"/>
  <c r="AK21" i="59" s="1"/>
  <c r="O12" i="51"/>
  <c r="AO12" i="68"/>
  <c r="AO42" i="59"/>
  <c r="AF12" i="68"/>
  <c r="AH12" i="68"/>
  <c r="AF37" i="59"/>
  <c r="W28" i="59"/>
  <c r="W44" i="59"/>
  <c r="J12" i="68"/>
  <c r="AL12" i="68"/>
  <c r="L42" i="59"/>
  <c r="Q37" i="59"/>
  <c r="T22" i="59"/>
  <c r="AP42" i="59"/>
  <c r="AL42" i="59"/>
  <c r="AS42" i="59"/>
  <c r="AL20" i="59"/>
  <c r="AL21" i="59" s="1"/>
  <c r="AI20" i="59"/>
  <c r="AI21" i="59" s="1"/>
  <c r="AN42" i="59"/>
  <c r="AF15" i="59"/>
  <c r="AF22" i="59" s="1"/>
  <c r="AU15" i="59"/>
  <c r="AU22" i="59" s="1"/>
  <c r="AH20" i="59"/>
  <c r="AH26" i="59" s="1"/>
  <c r="Q7" i="51"/>
  <c r="AI12" i="68"/>
  <c r="AR12" i="51"/>
  <c r="AR23" i="51"/>
  <c r="AR7" i="32"/>
  <c r="AE12" i="68"/>
  <c r="AC44" i="59"/>
  <c r="AC28" i="59"/>
  <c r="AI42" i="59"/>
  <c r="AM12" i="68"/>
  <c r="AG12" i="68"/>
  <c r="AM20" i="59"/>
  <c r="AM21" i="59" s="1"/>
  <c r="AR20" i="59"/>
  <c r="AR21" i="59" s="1"/>
  <c r="AO28" i="59"/>
  <c r="AO44" i="59"/>
  <c r="N22" i="59"/>
  <c r="AP20" i="59"/>
  <c r="AP21" i="59" s="1"/>
  <c r="M22" i="59"/>
  <c r="U28" i="59"/>
  <c r="U44" i="59"/>
  <c r="AQ42" i="59"/>
  <c r="AU37" i="59"/>
  <c r="AH42" i="59"/>
  <c r="AM42" i="59"/>
  <c r="AO20" i="59"/>
  <c r="AO21" i="59" s="1"/>
  <c r="AN12" i="68"/>
  <c r="AS28" i="59"/>
  <c r="AS44" i="59"/>
  <c r="AJ12" i="68"/>
  <c r="AQ12" i="51"/>
  <c r="AQ7" i="32"/>
  <c r="AH22" i="59"/>
  <c r="X28" i="59"/>
  <c r="X44" i="59"/>
  <c r="AK22" i="59"/>
  <c r="AB22" i="59"/>
  <c r="AK12" i="68"/>
  <c r="AR22" i="59"/>
  <c r="AN20" i="59"/>
  <c r="AN21" i="59" s="1"/>
  <c r="AP7" i="32"/>
  <c r="AP23" i="51"/>
  <c r="AP12" i="51"/>
  <c r="AP28" i="59"/>
  <c r="AP44" i="59"/>
  <c r="L20" i="59"/>
  <c r="L26" i="59" s="1"/>
  <c r="Q15" i="59"/>
  <c r="Q22" i="59" s="1"/>
  <c r="S28" i="59"/>
  <c r="S44" i="59"/>
  <c r="AJ44" i="59"/>
  <c r="AJ28" i="59"/>
  <c r="N12" i="51"/>
  <c r="AQ23" i="51"/>
  <c r="AQ20" i="59"/>
  <c r="AQ21" i="59" s="1"/>
  <c r="AU11" i="59"/>
  <c r="AD12" i="68"/>
  <c r="AK42" i="59"/>
  <c r="AM22" i="59"/>
  <c r="AS23" i="51"/>
  <c r="AS12" i="51"/>
  <c r="AS7" i="32"/>
  <c r="AO12" i="51"/>
  <c r="AO7" i="32"/>
  <c r="AO23" i="51"/>
  <c r="AR42" i="59"/>
  <c r="O23" i="51" l="1"/>
  <c r="O45" i="51" s="1"/>
  <c r="M23" i="51"/>
  <c r="M29" i="51" s="1"/>
  <c r="AK26" i="59"/>
  <c r="AK32" i="59" s="1"/>
  <c r="AR26" i="59"/>
  <c r="AR48" i="59" s="1"/>
  <c r="AP12" i="68"/>
  <c r="AO26" i="59"/>
  <c r="AO32" i="59" s="1"/>
  <c r="AJ26" i="59"/>
  <c r="AJ48" i="59" s="1"/>
  <c r="AP26" i="59"/>
  <c r="AP32" i="59" s="1"/>
  <c r="Q28" i="59"/>
  <c r="Q44" i="59"/>
  <c r="L48" i="59"/>
  <c r="L32" i="59"/>
  <c r="AQ45" i="51"/>
  <c r="AQ29" i="51"/>
  <c r="AQ12" i="32"/>
  <c r="AS21" i="51"/>
  <c r="AS22" i="51" s="1"/>
  <c r="AS16" i="32"/>
  <c r="AU42" i="59"/>
  <c r="AU43" i="59" s="1"/>
  <c r="N28" i="59"/>
  <c r="N44" i="59"/>
  <c r="AF28" i="59"/>
  <c r="AF44" i="59"/>
  <c r="AJ50" i="59"/>
  <c r="AJ72" i="59"/>
  <c r="AJ78" i="59" s="1"/>
  <c r="AK14" i="68"/>
  <c r="AO14" i="68"/>
  <c r="AI26" i="59"/>
  <c r="AS26" i="59"/>
  <c r="V72" i="59"/>
  <c r="V78" i="59" s="1"/>
  <c r="V50" i="59"/>
  <c r="AS45" i="51"/>
  <c r="AS29" i="51"/>
  <c r="AS72" i="59"/>
  <c r="AS78" i="59" s="1"/>
  <c r="AS50" i="59"/>
  <c r="AU20" i="59"/>
  <c r="AU21" i="59" s="1"/>
  <c r="AH21" i="59"/>
  <c r="L50" i="59"/>
  <c r="L72" i="59"/>
  <c r="L78" i="59" s="1"/>
  <c r="T44" i="59"/>
  <c r="T28" i="59"/>
  <c r="Y50" i="59"/>
  <c r="Y72" i="59"/>
  <c r="Y78" i="59" s="1"/>
  <c r="AS43" i="51"/>
  <c r="AS38" i="32"/>
  <c r="AN50" i="59"/>
  <c r="AN72" i="59"/>
  <c r="AN78" i="59" s="1"/>
  <c r="AR38" i="32"/>
  <c r="AR43" i="51"/>
  <c r="N23" i="51"/>
  <c r="AP12" i="32"/>
  <c r="AC72" i="59"/>
  <c r="AC78" i="59" s="1"/>
  <c r="AC50" i="59"/>
  <c r="J14" i="68"/>
  <c r="AM14" i="68"/>
  <c r="Q16" i="51"/>
  <c r="AU44" i="59"/>
  <c r="AU28" i="59"/>
  <c r="L21" i="59"/>
  <c r="AO50" i="59"/>
  <c r="AO72" i="59"/>
  <c r="AO78" i="59" s="1"/>
  <c r="AR44" i="59"/>
  <c r="AR28" i="59"/>
  <c r="M28" i="59"/>
  <c r="M44" i="59"/>
  <c r="AL26" i="59"/>
  <c r="AI50" i="59"/>
  <c r="AI72" i="59"/>
  <c r="AI78" i="59" s="1"/>
  <c r="AH32" i="59"/>
  <c r="AH48" i="59"/>
  <c r="AR12" i="32"/>
  <c r="AQ26" i="59"/>
  <c r="AR29" i="51"/>
  <c r="AR45" i="51"/>
  <c r="AQ16" i="32"/>
  <c r="AQ21" i="51"/>
  <c r="AQ22" i="51" s="1"/>
  <c r="AK28" i="59"/>
  <c r="AK44" i="59"/>
  <c r="L14" i="68"/>
  <c r="AP29" i="51"/>
  <c r="AP45" i="51"/>
  <c r="AQ43" i="51"/>
  <c r="AQ38" i="32"/>
  <c r="AO12" i="32"/>
  <c r="X72" i="59"/>
  <c r="X78" i="59" s="1"/>
  <c r="X50" i="59"/>
  <c r="AN26" i="59"/>
  <c r="AR16" i="32"/>
  <c r="AR21" i="51"/>
  <c r="AR22" i="51" s="1"/>
  <c r="AP43" i="51"/>
  <c r="AP38" i="32"/>
  <c r="W72" i="59"/>
  <c r="W78" i="59" s="1"/>
  <c r="W50" i="59"/>
  <c r="O50" i="59"/>
  <c r="O72" i="59"/>
  <c r="O78" i="59" s="1"/>
  <c r="AM44" i="59"/>
  <c r="AM28" i="59"/>
  <c r="AU97" i="59"/>
  <c r="AB28" i="59"/>
  <c r="AB44" i="59"/>
  <c r="AO29" i="51"/>
  <c r="AO45" i="51"/>
  <c r="AP21" i="51"/>
  <c r="AP22" i="51" s="1"/>
  <c r="AP16" i="32"/>
  <c r="AM26" i="59"/>
  <c r="AO38" i="32"/>
  <c r="AO43" i="51"/>
  <c r="AQ50" i="59"/>
  <c r="AQ72" i="59"/>
  <c r="AQ78" i="59" s="1"/>
  <c r="Z50" i="59"/>
  <c r="Z72" i="59"/>
  <c r="Z78" i="59" s="1"/>
  <c r="AL50" i="59"/>
  <c r="AL72" i="59"/>
  <c r="AL78" i="59" s="1"/>
  <c r="M14" i="68"/>
  <c r="U72" i="59"/>
  <c r="U78" i="59" s="1"/>
  <c r="U50" i="59"/>
  <c r="Q38" i="51"/>
  <c r="AD72" i="59"/>
  <c r="AD78" i="59" s="1"/>
  <c r="AD50" i="59"/>
  <c r="AL14" i="68"/>
  <c r="AN14" i="68"/>
  <c r="AA72" i="59"/>
  <c r="AA78" i="59" s="1"/>
  <c r="AA50" i="59"/>
  <c r="S50" i="59"/>
  <c r="S72" i="59"/>
  <c r="S78" i="59" s="1"/>
  <c r="AS12" i="32"/>
  <c r="AP50" i="59"/>
  <c r="AP72" i="59"/>
  <c r="AP78" i="59" s="1"/>
  <c r="AH28" i="59"/>
  <c r="AH44" i="59"/>
  <c r="AO16" i="32"/>
  <c r="AO21" i="51"/>
  <c r="AO22" i="51" s="1"/>
  <c r="Q23" i="51" l="1"/>
  <c r="M45" i="51"/>
  <c r="M51" i="51" s="1"/>
  <c r="O29" i="51"/>
  <c r="AO32" i="68"/>
  <c r="AK32" i="68"/>
  <c r="AM32" i="68"/>
  <c r="AN32" i="68"/>
  <c r="AL32" i="68"/>
  <c r="AO19" i="68"/>
  <c r="AO34" i="68" s="1"/>
  <c r="AO33" i="68"/>
  <c r="AK19" i="68"/>
  <c r="AK33" i="68"/>
  <c r="AL19" i="68"/>
  <c r="AL34" i="68" s="1"/>
  <c r="AL33" i="68"/>
  <c r="AN19" i="68"/>
  <c r="AN33" i="68"/>
  <c r="AM19" i="68"/>
  <c r="AM34" i="68" s="1"/>
  <c r="AM33" i="68"/>
  <c r="M33" i="68"/>
  <c r="L33" i="68"/>
  <c r="L19" i="68"/>
  <c r="M19" i="68"/>
  <c r="J32" i="68"/>
  <c r="J33" i="68"/>
  <c r="AS23" i="32"/>
  <c r="AS29" i="32" s="1"/>
  <c r="AR23" i="32"/>
  <c r="AR29" i="32" s="1"/>
  <c r="AK48" i="59"/>
  <c r="AR32" i="59"/>
  <c r="AP27" i="51"/>
  <c r="AP49" i="51" s="1"/>
  <c r="AU26" i="59"/>
  <c r="AU32" i="59" s="1"/>
  <c r="AP48" i="59"/>
  <c r="AO48" i="59"/>
  <c r="AJ32" i="59"/>
  <c r="AR27" i="51"/>
  <c r="AR33" i="51" s="1"/>
  <c r="AQ27" i="51"/>
  <c r="AQ49" i="51" s="1"/>
  <c r="AS27" i="51"/>
  <c r="AS33" i="51" s="1"/>
  <c r="AI48" i="59"/>
  <c r="AI32" i="59"/>
  <c r="AJ54" i="59"/>
  <c r="AQ51" i="51"/>
  <c r="AQ73" i="51"/>
  <c r="AQ79" i="51" s="1"/>
  <c r="AP23" i="32"/>
  <c r="N72" i="59"/>
  <c r="N78" i="59" s="1"/>
  <c r="N50" i="59"/>
  <c r="AM32" i="59"/>
  <c r="AM48" i="59"/>
  <c r="AS32" i="59"/>
  <c r="AS48" i="59"/>
  <c r="AH72" i="59"/>
  <c r="AH78" i="59" s="1"/>
  <c r="AH50" i="59"/>
  <c r="J19" i="68"/>
  <c r="AR54" i="59"/>
  <c r="AR73" i="51"/>
  <c r="AR79" i="51" s="1"/>
  <c r="AR51" i="51"/>
  <c r="AR72" i="59"/>
  <c r="AR78" i="59" s="1"/>
  <c r="AR50" i="59"/>
  <c r="AL32" i="59"/>
  <c r="AL48" i="59"/>
  <c r="Q72" i="59"/>
  <c r="Q78" i="59" s="1"/>
  <c r="Q50" i="59"/>
  <c r="AM72" i="59"/>
  <c r="AM78" i="59" s="1"/>
  <c r="AM50" i="59"/>
  <c r="AP73" i="51"/>
  <c r="AP79" i="51" s="1"/>
  <c r="AP51" i="51"/>
  <c r="N29" i="51"/>
  <c r="N45" i="51"/>
  <c r="T72" i="59"/>
  <c r="T78" i="59" s="1"/>
  <c r="T50" i="59"/>
  <c r="AH54" i="59"/>
  <c r="Q29" i="51"/>
  <c r="Q45" i="51"/>
  <c r="AN32" i="59"/>
  <c r="AN48" i="59"/>
  <c r="L54" i="59"/>
  <c r="L76" i="59"/>
  <c r="AK72" i="59"/>
  <c r="AK78" i="59" s="1"/>
  <c r="AK50" i="59"/>
  <c r="AU72" i="59"/>
  <c r="AU78" i="59" s="1"/>
  <c r="AU50" i="59"/>
  <c r="AO27" i="51"/>
  <c r="AF50" i="59"/>
  <c r="AF72" i="59"/>
  <c r="AF78" i="59" s="1"/>
  <c r="AQ23" i="32"/>
  <c r="AQ48" i="59"/>
  <c r="AQ32" i="59"/>
  <c r="M72" i="59"/>
  <c r="M78" i="59" s="1"/>
  <c r="M50" i="59"/>
  <c r="AB50" i="59"/>
  <c r="AB72" i="59"/>
  <c r="AB78" i="59" s="1"/>
  <c r="AO73" i="51"/>
  <c r="AO79" i="51" s="1"/>
  <c r="AO51" i="51"/>
  <c r="AO23" i="32"/>
  <c r="AS51" i="51"/>
  <c r="AS73" i="51"/>
  <c r="AS79" i="51" s="1"/>
  <c r="O51" i="51"/>
  <c r="O73" i="51"/>
  <c r="O79" i="51" s="1"/>
  <c r="M73" i="51" l="1"/>
  <c r="M79" i="51" s="1"/>
  <c r="AI62" i="37"/>
  <c r="AI64" i="37" s="1"/>
  <c r="AI65" i="37" s="1"/>
  <c r="AS62" i="37"/>
  <c r="AS64" i="37" s="1"/>
  <c r="AS65" i="37" s="1"/>
  <c r="AP62" i="37"/>
  <c r="AP64" i="37" s="1"/>
  <c r="AP65" i="37" s="1"/>
  <c r="V62" i="37"/>
  <c r="V64" i="37" s="1"/>
  <c r="V65" i="37" s="1"/>
  <c r="S55" i="68"/>
  <c r="W55" i="68"/>
  <c r="Z55" i="68"/>
  <c r="R55" i="68"/>
  <c r="AN34" i="68"/>
  <c r="AR62" i="37" s="1"/>
  <c r="AR64" i="37" s="1"/>
  <c r="AR65" i="37" s="1"/>
  <c r="AK34" i="68"/>
  <c r="AK37" i="68"/>
  <c r="AK38" i="68"/>
  <c r="AK30" i="68"/>
  <c r="AK36" i="68"/>
  <c r="AO37" i="68"/>
  <c r="AO38" i="68"/>
  <c r="AO30" i="68"/>
  <c r="AO36" i="68"/>
  <c r="AM37" i="68"/>
  <c r="AM38" i="68"/>
  <c r="AM36" i="68"/>
  <c r="AQ62" i="37" s="1"/>
  <c r="AQ64" i="37" s="1"/>
  <c r="AQ65" i="37" s="1"/>
  <c r="AM30" i="68"/>
  <c r="AL37" i="68"/>
  <c r="AL38" i="68"/>
  <c r="AL36" i="68"/>
  <c r="AL30" i="68"/>
  <c r="AN37" i="68"/>
  <c r="AN38" i="68"/>
  <c r="AN36" i="68"/>
  <c r="AN30" i="68"/>
  <c r="M37" i="68"/>
  <c r="M38" i="68"/>
  <c r="M30" i="68"/>
  <c r="M36" i="68"/>
  <c r="M34" i="68"/>
  <c r="L37" i="68"/>
  <c r="L38" i="68"/>
  <c r="L36" i="68"/>
  <c r="L30" i="68"/>
  <c r="L34" i="68"/>
  <c r="J38" i="68"/>
  <c r="J37" i="68"/>
  <c r="J34" i="68"/>
  <c r="J36" i="68"/>
  <c r="J30" i="68"/>
  <c r="AR45" i="32"/>
  <c r="AR51" i="32" s="1"/>
  <c r="AS45" i="32"/>
  <c r="AS73" i="32" s="1"/>
  <c r="AS79" i="32" s="1"/>
  <c r="AK54" i="59"/>
  <c r="AP33" i="51"/>
  <c r="AP54" i="59"/>
  <c r="AU48" i="59"/>
  <c r="AU54" i="59" s="1"/>
  <c r="AR49" i="51"/>
  <c r="AR55" i="51" s="1"/>
  <c r="AO54" i="59"/>
  <c r="AS49" i="51"/>
  <c r="AQ33" i="51"/>
  <c r="AI54" i="59"/>
  <c r="Q73" i="51"/>
  <c r="Q51" i="51"/>
  <c r="AS54" i="59"/>
  <c r="AM54" i="59"/>
  <c r="AP55" i="51"/>
  <c r="AQ55" i="51"/>
  <c r="AO33" i="51"/>
  <c r="AO49" i="51"/>
  <c r="AQ54" i="59"/>
  <c r="AO45" i="32"/>
  <c r="AO29" i="32"/>
  <c r="AN54" i="59"/>
  <c r="AL54" i="59"/>
  <c r="L82" i="59"/>
  <c r="L98" i="59"/>
  <c r="L99" i="59" s="1"/>
  <c r="AQ29" i="32"/>
  <c r="AQ45" i="32"/>
  <c r="AP45" i="32"/>
  <c r="AP29" i="32"/>
  <c r="N73" i="51"/>
  <c r="N79" i="51" s="1"/>
  <c r="N51" i="51"/>
  <c r="Q79" i="51" l="1"/>
  <c r="AR73" i="32"/>
  <c r="AR79" i="32" s="1"/>
  <c r="U62" i="37"/>
  <c r="U64" i="37" s="1"/>
  <c r="U65" i="37" s="1"/>
  <c r="AA62" i="37"/>
  <c r="AA64" i="37" s="1"/>
  <c r="AA65" i="37" s="1"/>
  <c r="AB62" i="37"/>
  <c r="AB64" i="37" s="1"/>
  <c r="AB65" i="37" s="1"/>
  <c r="Z62" i="37"/>
  <c r="Z64" i="37" s="1"/>
  <c r="Z65" i="37" s="1"/>
  <c r="AD62" i="37"/>
  <c r="AD64" i="37" s="1"/>
  <c r="AD65" i="37" s="1"/>
  <c r="AO62" i="37"/>
  <c r="AO64" i="37" s="1"/>
  <c r="AO65" i="37" s="1"/>
  <c r="Y62" i="37"/>
  <c r="Y64" i="37" s="1"/>
  <c r="Y65" i="37" s="1"/>
  <c r="AD75" i="60"/>
  <c r="AD81" i="60" s="1"/>
  <c r="AC75" i="60"/>
  <c r="AC81" i="60" s="1"/>
  <c r="Z75" i="60"/>
  <c r="Z81" i="60" s="1"/>
  <c r="AB75" i="60"/>
  <c r="AB81" i="60" s="1"/>
  <c r="W75" i="60"/>
  <c r="W81" i="60" s="1"/>
  <c r="Y75" i="60"/>
  <c r="Y81" i="60" s="1"/>
  <c r="U75" i="60"/>
  <c r="U81" i="60" s="1"/>
  <c r="V75" i="60"/>
  <c r="V81" i="60" s="1"/>
  <c r="AA75" i="60"/>
  <c r="AA81" i="60" s="1"/>
  <c r="X75" i="60"/>
  <c r="X81" i="60" s="1"/>
  <c r="V73" i="62"/>
  <c r="V79" i="62" s="1"/>
  <c r="W73" i="62"/>
  <c r="W79" i="62" s="1"/>
  <c r="AA73" i="62"/>
  <c r="AA79" i="62" s="1"/>
  <c r="AP73" i="62"/>
  <c r="AP79" i="62" s="1"/>
  <c r="AQ73" i="62"/>
  <c r="AQ79" i="62" s="1"/>
  <c r="AO73" i="62"/>
  <c r="AO79" i="62" s="1"/>
  <c r="AL73" i="62"/>
  <c r="AL79" i="62" s="1"/>
  <c r="S73" i="62"/>
  <c r="S79" i="62" s="1"/>
  <c r="AC73" i="62"/>
  <c r="AC79" i="62" s="1"/>
  <c r="T73" i="62"/>
  <c r="T79" i="62" s="1"/>
  <c r="AI73" i="62"/>
  <c r="AI79" i="62" s="1"/>
  <c r="AB73" i="62"/>
  <c r="AB79" i="62" s="1"/>
  <c r="X73" i="62"/>
  <c r="X79" i="62" s="1"/>
  <c r="Y73" i="62"/>
  <c r="Y79" i="62" s="1"/>
  <c r="U73" i="62"/>
  <c r="U79" i="62" s="1"/>
  <c r="AR73" i="62"/>
  <c r="AR79" i="62" s="1"/>
  <c r="AM73" i="62"/>
  <c r="AM79" i="62" s="1"/>
  <c r="AN73" i="62"/>
  <c r="AN79" i="62" s="1"/>
  <c r="AH73" i="62"/>
  <c r="AH79" i="62" s="1"/>
  <c r="AF62" i="37"/>
  <c r="S62" i="37"/>
  <c r="S64" i="37" s="1"/>
  <c r="S65" i="37" s="1"/>
  <c r="AU60" i="37"/>
  <c r="AH62" i="37"/>
  <c r="AH64" i="37" s="1"/>
  <c r="AH65" i="37" s="1"/>
  <c r="AL39" i="68"/>
  <c r="AE55" i="68"/>
  <c r="Y55" i="68"/>
  <c r="J55" i="68"/>
  <c r="AM39" i="68"/>
  <c r="AM55" i="68"/>
  <c r="AH55" i="68"/>
  <c r="Q55" i="68"/>
  <c r="K55" i="68"/>
  <c r="AK55" i="68"/>
  <c r="M55" i="68"/>
  <c r="AI55" i="68"/>
  <c r="L55" i="68"/>
  <c r="P55" i="68"/>
  <c r="T55" i="68"/>
  <c r="AA55" i="68"/>
  <c r="AG55" i="68"/>
  <c r="AO39" i="68"/>
  <c r="AO55" i="68"/>
  <c r="AN55" i="68"/>
  <c r="AD55" i="68"/>
  <c r="AJ55" i="68"/>
  <c r="AL55" i="68"/>
  <c r="U55" i="68"/>
  <c r="V55" i="68"/>
  <c r="AF55" i="68"/>
  <c r="X55" i="68"/>
  <c r="AN39" i="68"/>
  <c r="AK39" i="68"/>
  <c r="M39" i="68"/>
  <c r="L39" i="68"/>
  <c r="J39" i="68"/>
  <c r="AS51" i="32"/>
  <c r="AS55" i="51"/>
  <c r="AP51" i="32"/>
  <c r="AP73" i="32"/>
  <c r="AP79" i="32" s="1"/>
  <c r="AO73" i="32"/>
  <c r="AO79" i="32" s="1"/>
  <c r="AO51" i="32"/>
  <c r="AO55" i="51"/>
  <c r="AQ73" i="32"/>
  <c r="AQ79" i="32" s="1"/>
  <c r="AQ51" i="32"/>
  <c r="AU62" i="37" l="1"/>
  <c r="AG95" i="75"/>
  <c r="AF64" i="37"/>
  <c r="N99" i="75" s="1"/>
  <c r="N97" i="75"/>
  <c r="AJ73" i="62"/>
  <c r="AJ79" i="62" s="1"/>
  <c r="AD73" i="62"/>
  <c r="AD79" i="62" s="1"/>
  <c r="AK73" i="62"/>
  <c r="AK79" i="62" s="1"/>
  <c r="Z73" i="62"/>
  <c r="Z79" i="62" s="1"/>
  <c r="AU66" i="62"/>
  <c r="AU73" i="62" s="1"/>
  <c r="AU79" i="62" s="1"/>
  <c r="AF73" i="62"/>
  <c r="AF79" i="62" s="1"/>
  <c r="AS73" i="62"/>
  <c r="AS79" i="62" s="1"/>
  <c r="AU68" i="63"/>
  <c r="AU75" i="63" s="1"/>
  <c r="AU81" i="63" s="1"/>
  <c r="AH75" i="63"/>
  <c r="AH81" i="63" s="1"/>
  <c r="X75" i="63"/>
  <c r="X81" i="63" s="1"/>
  <c r="T75" i="63"/>
  <c r="T81" i="63" s="1"/>
  <c r="AQ75" i="63"/>
  <c r="AQ81" i="63" s="1"/>
  <c r="AN75" i="63"/>
  <c r="AN81" i="63" s="1"/>
  <c r="AB75" i="63"/>
  <c r="AB81" i="63" s="1"/>
  <c r="Z75" i="63"/>
  <c r="Z81" i="63" s="1"/>
  <c r="AP75" i="63"/>
  <c r="AP81" i="63" s="1"/>
  <c r="AM75" i="63"/>
  <c r="AM81" i="63" s="1"/>
  <c r="AS75" i="63"/>
  <c r="AS81" i="63" s="1"/>
  <c r="AC75" i="63"/>
  <c r="AC81" i="63" s="1"/>
  <c r="AA75" i="63"/>
  <c r="AA81" i="63" s="1"/>
  <c r="AR75" i="63"/>
  <c r="AR81" i="63" s="1"/>
  <c r="AK75" i="63"/>
  <c r="AK81" i="63" s="1"/>
  <c r="AF75" i="63"/>
  <c r="AF81" i="63" s="1"/>
  <c r="S75" i="63"/>
  <c r="S81" i="63" s="1"/>
  <c r="W75" i="63"/>
  <c r="W81" i="63" s="1"/>
  <c r="U75" i="63"/>
  <c r="U81" i="63" s="1"/>
  <c r="AI75" i="63"/>
  <c r="AI81" i="63" s="1"/>
  <c r="AL75" i="63"/>
  <c r="AL81" i="63" s="1"/>
  <c r="AD75" i="63"/>
  <c r="AD81" i="63" s="1"/>
  <c r="AJ75" i="63"/>
  <c r="AJ81" i="63" s="1"/>
  <c r="V75" i="63"/>
  <c r="V81" i="63" s="1"/>
  <c r="Y75" i="63"/>
  <c r="Y81" i="63" s="1"/>
  <c r="AO75" i="63"/>
  <c r="AO81" i="63" s="1"/>
  <c r="AI95" i="75" l="1"/>
  <c r="AJ95" i="75"/>
  <c r="AL95" i="75" s="1"/>
  <c r="AU64" i="37"/>
  <c r="AG97" i="75"/>
  <c r="P97" i="75"/>
  <c r="Q97" i="75"/>
  <c r="AF65" i="37"/>
  <c r="AI97" i="75" l="1"/>
  <c r="AI99" i="75" s="1"/>
  <c r="AJ97" i="75"/>
  <c r="AL97" i="75" s="1"/>
  <c r="AU65" i="37"/>
  <c r="AG99" i="75"/>
  <c r="AH99" i="75" s="1"/>
  <c r="S97" i="75"/>
  <c r="J16" i="69"/>
  <c r="J25" i="69" s="1"/>
  <c r="J27" i="69" s="1"/>
  <c r="J28" i="69" s="1"/>
  <c r="J13" i="69"/>
  <c r="J8" i="69" s="1"/>
  <c r="J54" i="69"/>
  <c r="J58" i="69" s="1"/>
  <c r="J55" i="69" l="1"/>
  <c r="J59" i="69" s="1"/>
  <c r="J118" i="69" s="1"/>
  <c r="AF118" i="69" s="1"/>
  <c r="J77" i="69"/>
  <c r="J62" i="69" l="1"/>
  <c r="AL118" i="69"/>
  <c r="J64" i="69"/>
  <c r="AJ118" i="69"/>
  <c r="O118" i="69"/>
  <c r="K118" i="69"/>
  <c r="S118" i="69"/>
  <c r="AM118" i="69"/>
  <c r="AB118" i="69"/>
  <c r="AI118" i="69"/>
  <c r="Z118" i="69"/>
  <c r="T118" i="69"/>
  <c r="U118" i="69"/>
  <c r="N118" i="69"/>
  <c r="R118" i="69"/>
  <c r="AD118" i="69"/>
  <c r="Q118" i="69"/>
  <c r="AA118" i="69"/>
  <c r="P118" i="69"/>
  <c r="V118" i="69"/>
  <c r="AK118" i="69"/>
  <c r="AG118" i="69"/>
  <c r="M118" i="69"/>
  <c r="L118" i="69"/>
  <c r="Y118" i="69"/>
  <c r="AH118" i="69"/>
  <c r="AC118" i="69"/>
  <c r="W118" i="69"/>
  <c r="AE118" i="69"/>
  <c r="X118" i="69"/>
  <c r="AN118" i="69"/>
  <c r="AA77" i="69"/>
  <c r="V77" i="69"/>
  <c r="Q77" i="69"/>
  <c r="AI77" i="69"/>
  <c r="AC77" i="69"/>
  <c r="J61" i="69"/>
  <c r="L77" i="69"/>
  <c r="Y77" i="69"/>
  <c r="P77" i="69"/>
  <c r="AF77" i="69"/>
  <c r="AJ77" i="69"/>
  <c r="AM77" i="69"/>
  <c r="AN77" i="69"/>
  <c r="O77" i="69"/>
  <c r="AK77" i="69"/>
  <c r="AL77" i="69"/>
  <c r="AB77" i="69"/>
  <c r="AE77" i="69"/>
  <c r="S77" i="69"/>
  <c r="X77" i="69"/>
  <c r="T77" i="69"/>
  <c r="U77" i="69"/>
  <c r="K77" i="69"/>
  <c r="N77" i="69"/>
  <c r="R77" i="69"/>
  <c r="AD77" i="69"/>
  <c r="AH77" i="69"/>
  <c r="AG77" i="69"/>
  <c r="W77" i="69"/>
  <c r="M77" i="69"/>
  <c r="Z77" i="69"/>
  <c r="K54" i="69"/>
  <c r="K55" i="69" s="1"/>
  <c r="K59" i="69" s="1"/>
  <c r="K119" i="69" s="1"/>
  <c r="P119" i="69" s="1"/>
  <c r="K58" i="69" l="1"/>
  <c r="K78" i="69" s="1"/>
  <c r="K61" i="69" s="1"/>
  <c r="J65" i="69"/>
  <c r="J66" i="69" s="1"/>
  <c r="R119" i="69"/>
  <c r="N119" i="69"/>
  <c r="AF119" i="69"/>
  <c r="O119" i="69"/>
  <c r="AJ119" i="69"/>
  <c r="AD119" i="69"/>
  <c r="AG119" i="69"/>
  <c r="AI119" i="69"/>
  <c r="AH119" i="69"/>
  <c r="AK119" i="69"/>
  <c r="AM119" i="69"/>
  <c r="AE119" i="69"/>
  <c r="W119" i="69"/>
  <c r="AC119" i="69"/>
  <c r="Z119" i="69"/>
  <c r="AA119" i="69"/>
  <c r="Y119" i="69"/>
  <c r="U119" i="69"/>
  <c r="AB119" i="69"/>
  <c r="V119" i="69"/>
  <c r="L119" i="69"/>
  <c r="AL119" i="69"/>
  <c r="S119" i="69"/>
  <c r="K62" i="69"/>
  <c r="M119" i="69"/>
  <c r="AN119" i="69"/>
  <c r="T119" i="69"/>
  <c r="X119" i="69"/>
  <c r="Q119" i="69"/>
  <c r="K64" i="69" l="1"/>
  <c r="K65" i="69"/>
  <c r="AK78" i="69"/>
  <c r="W78" i="69"/>
  <c r="AN78" i="69"/>
  <c r="AG78" i="69"/>
  <c r="Q78" i="69"/>
  <c r="P78" i="69"/>
  <c r="AB78" i="69"/>
  <c r="U78" i="69"/>
  <c r="S78" i="69"/>
  <c r="AF78" i="69"/>
  <c r="L78" i="69"/>
  <c r="Z78" i="69"/>
  <c r="AC78" i="69"/>
  <c r="R78" i="69"/>
  <c r="AJ78" i="69"/>
  <c r="O78" i="69"/>
  <c r="M78" i="69"/>
  <c r="T78" i="69"/>
  <c r="Y78" i="69"/>
  <c r="V78" i="69"/>
  <c r="AD78" i="69"/>
  <c r="AA78" i="69"/>
  <c r="AM78" i="69"/>
  <c r="N78" i="69"/>
  <c r="AL78" i="69"/>
  <c r="AE78" i="69"/>
  <c r="AH78" i="69"/>
  <c r="AI78" i="69"/>
  <c r="X78" i="69"/>
  <c r="L54" i="69"/>
  <c r="L58" i="69" s="1"/>
  <c r="K66" i="69" l="1"/>
  <c r="L55" i="69"/>
  <c r="L59" i="69" s="1"/>
  <c r="L120" i="69" s="1"/>
  <c r="AI120" i="69" s="1"/>
  <c r="AI62" i="69" s="1"/>
  <c r="L79" i="69"/>
  <c r="L64" i="69" l="1"/>
  <c r="AG120" i="69"/>
  <c r="AG62" i="69" s="1"/>
  <c r="W120" i="69"/>
  <c r="W62" i="69" s="1"/>
  <c r="AM120" i="69"/>
  <c r="AM62" i="69" s="1"/>
  <c r="AA120" i="69"/>
  <c r="AA62" i="69" s="1"/>
  <c r="V120" i="69"/>
  <c r="V62" i="69" s="1"/>
  <c r="AB120" i="69"/>
  <c r="AB62" i="69" s="1"/>
  <c r="L62" i="69"/>
  <c r="AK120" i="69"/>
  <c r="AK62" i="69" s="1"/>
  <c r="AJ120" i="69"/>
  <c r="AJ62" i="69" s="1"/>
  <c r="Z120" i="69"/>
  <c r="Z62" i="69" s="1"/>
  <c r="N120" i="69"/>
  <c r="N62" i="69" s="1"/>
  <c r="AH120" i="69"/>
  <c r="AH62" i="69" s="1"/>
  <c r="AF120" i="69"/>
  <c r="AF62" i="69" s="1"/>
  <c r="M120" i="69"/>
  <c r="M62" i="69" s="1"/>
  <c r="Q120" i="69"/>
  <c r="Q62" i="69" s="1"/>
  <c r="P120" i="69"/>
  <c r="P62" i="69" s="1"/>
  <c r="Y120" i="69"/>
  <c r="Y62" i="69" s="1"/>
  <c r="T120" i="69"/>
  <c r="T62" i="69" s="1"/>
  <c r="AL120" i="69"/>
  <c r="AL62" i="69" s="1"/>
  <c r="AD120" i="69"/>
  <c r="AD62" i="69" s="1"/>
  <c r="R120" i="69"/>
  <c r="R62" i="69" s="1"/>
  <c r="AN120" i="69"/>
  <c r="AN62" i="69" s="1"/>
  <c r="X120" i="69"/>
  <c r="X62" i="69" s="1"/>
  <c r="S120" i="69"/>
  <c r="S62" i="69" s="1"/>
  <c r="AC120" i="69"/>
  <c r="AC62" i="69" s="1"/>
  <c r="AE120" i="69"/>
  <c r="AE62" i="69" s="1"/>
  <c r="O120" i="69"/>
  <c r="O62" i="69" s="1"/>
  <c r="U120" i="69"/>
  <c r="U62" i="69" s="1"/>
  <c r="X79" i="69"/>
  <c r="X61" i="69" s="1"/>
  <c r="AG79" i="69"/>
  <c r="AG61" i="69" s="1"/>
  <c r="AN79" i="69"/>
  <c r="AN61" i="69" s="1"/>
  <c r="P79" i="69"/>
  <c r="P61" i="69" s="1"/>
  <c r="Q79" i="69"/>
  <c r="Q61" i="69" s="1"/>
  <c r="N79" i="69"/>
  <c r="N61" i="69" s="1"/>
  <c r="S79" i="69"/>
  <c r="S61" i="69" s="1"/>
  <c r="M79" i="69"/>
  <c r="M61" i="69" s="1"/>
  <c r="AF79" i="69"/>
  <c r="AF61" i="69" s="1"/>
  <c r="AA79" i="69"/>
  <c r="AA61" i="69" s="1"/>
  <c r="T79" i="69"/>
  <c r="T61" i="69" s="1"/>
  <c r="O79" i="69"/>
  <c r="O61" i="69" s="1"/>
  <c r="U79" i="69"/>
  <c r="U61" i="69" s="1"/>
  <c r="AD79" i="69"/>
  <c r="AD61" i="69" s="1"/>
  <c r="R79" i="69"/>
  <c r="R61" i="69" s="1"/>
  <c r="AL79" i="69"/>
  <c r="AL61" i="69" s="1"/>
  <c r="AI79" i="69"/>
  <c r="AI61" i="69" s="1"/>
  <c r="Z79" i="69"/>
  <c r="Z61" i="69" s="1"/>
  <c r="V79" i="69"/>
  <c r="V61" i="69" s="1"/>
  <c r="W79" i="69"/>
  <c r="W61" i="69" s="1"/>
  <c r="AB79" i="69"/>
  <c r="AB61" i="69" s="1"/>
  <c r="AM79" i="69"/>
  <c r="AM61" i="69" s="1"/>
  <c r="AC79" i="69"/>
  <c r="AC61" i="69" s="1"/>
  <c r="AE79" i="69"/>
  <c r="AE61" i="69" s="1"/>
  <c r="AJ79" i="69"/>
  <c r="AJ61" i="69" s="1"/>
  <c r="Y79" i="69"/>
  <c r="Y61" i="69" s="1"/>
  <c r="AK79" i="69"/>
  <c r="AK61" i="69" s="1"/>
  <c r="AH79" i="69"/>
  <c r="AH61" i="69" s="1"/>
  <c r="L61" i="69"/>
  <c r="L65" i="69" l="1"/>
  <c r="L66" i="69" s="1"/>
  <c r="S65" i="69"/>
  <c r="S66" i="69" s="1"/>
  <c r="Z65" i="69"/>
  <c r="Z66" i="69" s="1"/>
  <c r="N65" i="69"/>
  <c r="N66" i="69" s="1"/>
  <c r="AI65" i="69"/>
  <c r="AI66" i="69" s="1"/>
  <c r="Q65" i="69"/>
  <c r="Q66" i="69" s="1"/>
  <c r="W65" i="69"/>
  <c r="W66" i="69" s="1"/>
  <c r="AK65" i="69"/>
  <c r="AK66" i="69" s="1"/>
  <c r="AD65" i="69"/>
  <c r="AD66" i="69" s="1"/>
  <c r="AJ65" i="69"/>
  <c r="AJ66" i="69" s="1"/>
  <c r="U65" i="69"/>
  <c r="U66" i="69" s="1"/>
  <c r="X65" i="69"/>
  <c r="X66" i="69" s="1"/>
  <c r="V65" i="69"/>
  <c r="V66" i="69" s="1"/>
  <c r="AN65" i="69"/>
  <c r="AN66" i="69" s="1"/>
  <c r="Y65" i="69"/>
  <c r="Y66" i="69" s="1"/>
  <c r="AG65" i="69"/>
  <c r="AG66" i="69" s="1"/>
  <c r="AE65" i="69"/>
  <c r="AE66" i="69" s="1"/>
  <c r="O65" i="69"/>
  <c r="O66" i="69" s="1"/>
  <c r="M65" i="69"/>
  <c r="M66" i="69" s="1"/>
  <c r="AH65" i="69"/>
  <c r="AH66" i="69" s="1"/>
  <c r="R65" i="69"/>
  <c r="R66" i="69" s="1"/>
  <c r="AC65" i="69"/>
  <c r="AC66" i="69" s="1"/>
  <c r="T65" i="69"/>
  <c r="T66" i="69" s="1"/>
  <c r="AL65" i="69"/>
  <c r="AL66" i="69" s="1"/>
  <c r="AM65" i="69"/>
  <c r="AM66" i="69" s="1"/>
  <c r="AA65" i="69"/>
  <c r="AA66" i="69" s="1"/>
  <c r="P65" i="69"/>
  <c r="P66" i="69" s="1"/>
  <c r="AB65" i="69"/>
  <c r="AB66" i="69" s="1"/>
  <c r="AF65" i="69"/>
  <c r="AF66" i="69" s="1"/>
  <c r="K209" i="69"/>
  <c r="K213" i="69" s="1"/>
  <c r="J209" i="69"/>
  <c r="J213" i="69" s="1"/>
  <c r="L209" i="69"/>
  <c r="L210" i="69" s="1"/>
  <c r="L214" i="69" s="1"/>
  <c r="K210" i="69" l="1"/>
  <c r="K214" i="69" s="1"/>
  <c r="K274" i="69" s="1"/>
  <c r="J210" i="69"/>
  <c r="J214" i="69" s="1"/>
  <c r="J219" i="69" s="1"/>
  <c r="K233" i="69"/>
  <c r="Y233" i="69" s="1"/>
  <c r="L213" i="69"/>
  <c r="J232" i="69"/>
  <c r="J216" i="69" s="1"/>
  <c r="L275" i="69"/>
  <c r="K219" i="69" l="1"/>
  <c r="J273" i="69"/>
  <c r="J217" i="69" s="1"/>
  <c r="J220" i="69" s="1"/>
  <c r="J221" i="69" s="1"/>
  <c r="AM233" i="69"/>
  <c r="P233" i="69"/>
  <c r="X233" i="69"/>
  <c r="V233" i="69"/>
  <c r="AB233" i="69"/>
  <c r="U233" i="69"/>
  <c r="AF233" i="69"/>
  <c r="R233" i="69"/>
  <c r="Z233" i="69"/>
  <c r="AJ233" i="69"/>
  <c r="N233" i="69"/>
  <c r="AK233" i="69"/>
  <c r="AN233" i="69"/>
  <c r="O233" i="69"/>
  <c r="T233" i="69"/>
  <c r="AL233" i="69"/>
  <c r="M233" i="69"/>
  <c r="AC233" i="69"/>
  <c r="L233" i="69"/>
  <c r="AE233" i="69"/>
  <c r="AI233" i="69"/>
  <c r="Q233" i="69"/>
  <c r="AG233" i="69"/>
  <c r="W233" i="69"/>
  <c r="AD233" i="69"/>
  <c r="AA233" i="69"/>
  <c r="AH233" i="69"/>
  <c r="S233" i="69"/>
  <c r="L219" i="69"/>
  <c r="L234" i="69"/>
  <c r="S275" i="69"/>
  <c r="Z275" i="69"/>
  <c r="U275" i="69"/>
  <c r="X275" i="69"/>
  <c r="AL275" i="69"/>
  <c r="Y275" i="69"/>
  <c r="AI275" i="69"/>
  <c r="AB275" i="69"/>
  <c r="T275" i="69"/>
  <c r="M275" i="69"/>
  <c r="Q275" i="69"/>
  <c r="AD275" i="69"/>
  <c r="AM275" i="69"/>
  <c r="O275" i="69"/>
  <c r="AG275" i="69"/>
  <c r="AA275" i="69"/>
  <c r="R275" i="69"/>
  <c r="AF275" i="69"/>
  <c r="AH275" i="69"/>
  <c r="AE275" i="69"/>
  <c r="N275" i="69"/>
  <c r="AN275" i="69"/>
  <c r="V275" i="69"/>
  <c r="AK275" i="69"/>
  <c r="W275" i="69"/>
  <c r="P275" i="69"/>
  <c r="AC275" i="69"/>
  <c r="AJ275" i="69"/>
  <c r="AB274" i="69"/>
  <c r="AE274" i="69"/>
  <c r="AM274" i="69"/>
  <c r="AD274" i="69"/>
  <c r="P274" i="69"/>
  <c r="AJ274" i="69"/>
  <c r="O274" i="69"/>
  <c r="Z274" i="69"/>
  <c r="Y274" i="69"/>
  <c r="AF274" i="69"/>
  <c r="L274" i="69"/>
  <c r="AI274" i="69"/>
  <c r="AG274" i="69"/>
  <c r="U274" i="69"/>
  <c r="AA274" i="69"/>
  <c r="W274" i="69"/>
  <c r="AL274" i="69"/>
  <c r="M274" i="69"/>
  <c r="AH274" i="69"/>
  <c r="R274" i="69"/>
  <c r="X274" i="69"/>
  <c r="AN274" i="69"/>
  <c r="V274" i="69"/>
  <c r="S274" i="69"/>
  <c r="AC274" i="69"/>
  <c r="AK274" i="69"/>
  <c r="N274" i="69"/>
  <c r="Q274" i="69"/>
  <c r="T274" i="69"/>
  <c r="AF232" i="69"/>
  <c r="Y232" i="69"/>
  <c r="P232" i="69"/>
  <c r="AB232" i="69"/>
  <c r="AM232" i="69"/>
  <c r="AD232" i="69"/>
  <c r="X232" i="69"/>
  <c r="AN232" i="69"/>
  <c r="AG232" i="69"/>
  <c r="AE232" i="69"/>
  <c r="Z232" i="69"/>
  <c r="S232" i="69"/>
  <c r="T232" i="69"/>
  <c r="R232" i="69"/>
  <c r="AC232" i="69"/>
  <c r="O232" i="69"/>
  <c r="V232" i="69"/>
  <c r="AK232" i="69"/>
  <c r="U232" i="69"/>
  <c r="AI232" i="69"/>
  <c r="K232" i="69"/>
  <c r="K216" i="69" s="1"/>
  <c r="W232" i="69"/>
  <c r="AA232" i="69"/>
  <c r="N232" i="69"/>
  <c r="L232" i="69"/>
  <c r="AL232" i="69"/>
  <c r="AJ232" i="69"/>
  <c r="Q232" i="69"/>
  <c r="AH232" i="69"/>
  <c r="M232" i="69"/>
  <c r="Z273" i="69" l="1"/>
  <c r="T273" i="69"/>
  <c r="K273" i="69"/>
  <c r="K217" i="69" s="1"/>
  <c r="K220" i="69" s="1"/>
  <c r="K221" i="69" s="1"/>
  <c r="S273" i="69"/>
  <c r="S217" i="69" s="1"/>
  <c r="S11" i="69" s="1"/>
  <c r="Q273" i="69"/>
  <c r="Q217" i="69" s="1"/>
  <c r="Q11" i="69" s="1"/>
  <c r="Q18" i="69" s="1"/>
  <c r="AC273" i="69"/>
  <c r="AC217" i="69" s="1"/>
  <c r="AC11" i="69" s="1"/>
  <c r="AJ273" i="69"/>
  <c r="AJ217" i="69" s="1"/>
  <c r="AJ11" i="69" s="1"/>
  <c r="M273" i="69"/>
  <c r="M217" i="69" s="1"/>
  <c r="M11" i="69" s="1"/>
  <c r="M18" i="69" s="1"/>
  <c r="AL273" i="69"/>
  <c r="AL217" i="69" s="1"/>
  <c r="AL11" i="69" s="1"/>
  <c r="AL18" i="69" s="1"/>
  <c r="AF273" i="69"/>
  <c r="AF217" i="69" s="1"/>
  <c r="AF11" i="69" s="1"/>
  <c r="P273" i="69"/>
  <c r="P217" i="69" s="1"/>
  <c r="P11" i="69" s="1"/>
  <c r="AH273" i="69"/>
  <c r="AH217" i="69" s="1"/>
  <c r="AH11" i="69" s="1"/>
  <c r="L273" i="69"/>
  <c r="L217" i="69" s="1"/>
  <c r="N273" i="69"/>
  <c r="N217" i="69" s="1"/>
  <c r="N11" i="69" s="1"/>
  <c r="AB273" i="69"/>
  <c r="AB217" i="69" s="1"/>
  <c r="AB11" i="69" s="1"/>
  <c r="X273" i="69"/>
  <c r="X217" i="69" s="1"/>
  <c r="X11" i="69" s="1"/>
  <c r="AG273" i="69"/>
  <c r="AG217" i="69" s="1"/>
  <c r="AG11" i="69" s="1"/>
  <c r="AE273" i="69"/>
  <c r="AE217" i="69" s="1"/>
  <c r="AE11" i="69" s="1"/>
  <c r="W273" i="69"/>
  <c r="W217" i="69" s="1"/>
  <c r="W11" i="69" s="1"/>
  <c r="AD273" i="69"/>
  <c r="AD217" i="69" s="1"/>
  <c r="AD11" i="69" s="1"/>
  <c r="R273" i="69"/>
  <c r="R217" i="69" s="1"/>
  <c r="R11" i="69" s="1"/>
  <c r="AM273" i="69"/>
  <c r="AM217" i="69" s="1"/>
  <c r="AM11" i="69" s="1"/>
  <c r="Y273" i="69"/>
  <c r="Y217" i="69" s="1"/>
  <c r="Y11" i="69" s="1"/>
  <c r="V273" i="69"/>
  <c r="V217" i="69" s="1"/>
  <c r="V11" i="69" s="1"/>
  <c r="O273" i="69"/>
  <c r="O217" i="69" s="1"/>
  <c r="O11" i="69" s="1"/>
  <c r="O18" i="69" s="1"/>
  <c r="U273" i="69"/>
  <c r="U217" i="69" s="1"/>
  <c r="U11" i="69" s="1"/>
  <c r="AN273" i="69"/>
  <c r="AN217" i="69" s="1"/>
  <c r="AN11" i="69" s="1"/>
  <c r="AI273" i="69"/>
  <c r="AI217" i="69" s="1"/>
  <c r="AI11" i="69" s="1"/>
  <c r="AK273" i="69"/>
  <c r="AK217" i="69" s="1"/>
  <c r="AK11" i="69" s="1"/>
  <c r="AA273" i="69"/>
  <c r="AA217" i="69" s="1"/>
  <c r="AA11" i="69" s="1"/>
  <c r="Z217" i="69"/>
  <c r="Z11" i="69" s="1"/>
  <c r="Z18" i="69" s="1"/>
  <c r="T217" i="69"/>
  <c r="T11" i="69" s="1"/>
  <c r="T18" i="69" s="1"/>
  <c r="L216" i="69"/>
  <c r="AK234" i="69"/>
  <c r="AK216" i="69" s="1"/>
  <c r="AJ234" i="69"/>
  <c r="AJ216" i="69" s="1"/>
  <c r="Y234" i="69"/>
  <c r="Y216" i="69" s="1"/>
  <c r="AG234" i="69"/>
  <c r="AG216" i="69" s="1"/>
  <c r="P234" i="69"/>
  <c r="P216" i="69" s="1"/>
  <c r="S234" i="69"/>
  <c r="S216" i="69" s="1"/>
  <c r="AI234" i="69"/>
  <c r="AI216" i="69" s="1"/>
  <c r="AM234" i="69"/>
  <c r="AM216" i="69" s="1"/>
  <c r="O234" i="69"/>
  <c r="O216" i="69" s="1"/>
  <c r="AC234" i="69"/>
  <c r="AC216" i="69" s="1"/>
  <c r="U234" i="69"/>
  <c r="U216" i="69" s="1"/>
  <c r="AA234" i="69"/>
  <c r="AA216" i="69" s="1"/>
  <c r="N234" i="69"/>
  <c r="N216" i="69" s="1"/>
  <c r="X234" i="69"/>
  <c r="X216" i="69" s="1"/>
  <c r="V234" i="69"/>
  <c r="V216" i="69" s="1"/>
  <c r="AH234" i="69"/>
  <c r="AH216" i="69" s="1"/>
  <c r="AB234" i="69"/>
  <c r="AB216" i="69" s="1"/>
  <c r="Z234" i="69"/>
  <c r="Z216" i="69" s="1"/>
  <c r="Q234" i="69"/>
  <c r="Q216" i="69" s="1"/>
  <c r="AN234" i="69"/>
  <c r="AN216" i="69" s="1"/>
  <c r="AL234" i="69"/>
  <c r="AL216" i="69" s="1"/>
  <c r="M234" i="69"/>
  <c r="M216" i="69" s="1"/>
  <c r="R234" i="69"/>
  <c r="R216" i="69" s="1"/>
  <c r="AD234" i="69"/>
  <c r="AD216" i="69" s="1"/>
  <c r="AE234" i="69"/>
  <c r="AE216" i="69" s="1"/>
  <c r="AF234" i="69"/>
  <c r="AF216" i="69" s="1"/>
  <c r="T234" i="69"/>
  <c r="T216" i="69" s="1"/>
  <c r="W234" i="69"/>
  <c r="W216" i="69" s="1"/>
  <c r="T12" i="69" l="1"/>
  <c r="T220" i="69"/>
  <c r="T221" i="69" s="1"/>
  <c r="AL12" i="69"/>
  <c r="AL220" i="69"/>
  <c r="AL221" i="69" s="1"/>
  <c r="AI12" i="69"/>
  <c r="AI16" i="69" s="1"/>
  <c r="AI220" i="69"/>
  <c r="AI221" i="69" s="1"/>
  <c r="R220" i="69"/>
  <c r="R221" i="69" s="1"/>
  <c r="R12" i="69"/>
  <c r="R16" i="69" s="1"/>
  <c r="AN12" i="69"/>
  <c r="AN16" i="69" s="1"/>
  <c r="AN220" i="69"/>
  <c r="AN221" i="69" s="1"/>
  <c r="Q12" i="69"/>
  <c r="Q220" i="69"/>
  <c r="Q221" i="69" s="1"/>
  <c r="S12" i="69"/>
  <c r="S16" i="69" s="1"/>
  <c r="S220" i="69"/>
  <c r="S221" i="69" s="1"/>
  <c r="X12" i="69"/>
  <c r="X16" i="69" s="1"/>
  <c r="X220" i="69"/>
  <c r="X221" i="69" s="1"/>
  <c r="O12" i="69"/>
  <c r="O220" i="69"/>
  <c r="O221" i="69" s="1"/>
  <c r="AM12" i="69"/>
  <c r="AM16" i="69" s="1"/>
  <c r="AM220" i="69"/>
  <c r="AM221" i="69" s="1"/>
  <c r="AB12" i="69"/>
  <c r="AB16" i="69" s="1"/>
  <c r="AB220" i="69"/>
  <c r="AB221" i="69" s="1"/>
  <c r="AH12" i="69"/>
  <c r="AH16" i="69" s="1"/>
  <c r="AH220" i="69"/>
  <c r="AH221" i="69" s="1"/>
  <c r="AG12" i="69"/>
  <c r="AG16" i="69" s="1"/>
  <c r="AG220" i="69"/>
  <c r="AG221" i="69" s="1"/>
  <c r="Z12" i="69"/>
  <c r="Z220" i="69"/>
  <c r="Z221" i="69" s="1"/>
  <c r="X18" i="69"/>
  <c r="AE12" i="69"/>
  <c r="AE16" i="69" s="1"/>
  <c r="AE220" i="69"/>
  <c r="AE221" i="69" s="1"/>
  <c r="Y18" i="69"/>
  <c r="AB18" i="69"/>
  <c r="AA12" i="69"/>
  <c r="AA16" i="69" s="1"/>
  <c r="AA220" i="69"/>
  <c r="AA221" i="69" s="1"/>
  <c r="AI18" i="69"/>
  <c r="P12" i="69"/>
  <c r="P16" i="69" s="1"/>
  <c r="P220" i="69"/>
  <c r="P221" i="69" s="1"/>
  <c r="AC12" i="69"/>
  <c r="AC16" i="69" s="1"/>
  <c r="AC220" i="69"/>
  <c r="AC221" i="69" s="1"/>
  <c r="AM18" i="69"/>
  <c r="N12" i="69"/>
  <c r="N16" i="69" s="1"/>
  <c r="N220" i="69"/>
  <c r="N221" i="69" s="1"/>
  <c r="AJ12" i="69"/>
  <c r="AJ16" i="69" s="1"/>
  <c r="AJ220" i="69"/>
  <c r="AJ221" i="69" s="1"/>
  <c r="AD18" i="69"/>
  <c r="AK12" i="69"/>
  <c r="AK16" i="69" s="1"/>
  <c r="AK220" i="69"/>
  <c r="AK221" i="69" s="1"/>
  <c r="AD12" i="69"/>
  <c r="AD16" i="69" s="1"/>
  <c r="AD220" i="69"/>
  <c r="AD221" i="69" s="1"/>
  <c r="AJ18" i="69"/>
  <c r="AC18" i="69"/>
  <c r="M12" i="69"/>
  <c r="M220" i="69"/>
  <c r="M221" i="69" s="1"/>
  <c r="AG18" i="69"/>
  <c r="N18" i="69"/>
  <c r="AF18" i="69"/>
  <c r="AF12" i="69"/>
  <c r="AF16" i="69" s="1"/>
  <c r="AF220" i="69"/>
  <c r="AF221" i="69" s="1"/>
  <c r="AE18" i="69"/>
  <c r="W12" i="69"/>
  <c r="W16" i="69" s="1"/>
  <c r="W220" i="69"/>
  <c r="W221" i="69" s="1"/>
  <c r="Y220" i="69"/>
  <c r="Y221" i="69" s="1"/>
  <c r="Y12" i="69"/>
  <c r="Y16" i="69" s="1"/>
  <c r="AA18" i="69"/>
  <c r="V12" i="69"/>
  <c r="V16" i="69" s="1"/>
  <c r="V220" i="69"/>
  <c r="V221" i="69" s="1"/>
  <c r="U12" i="69"/>
  <c r="U16" i="69" s="1"/>
  <c r="U220" i="69"/>
  <c r="U221" i="69" s="1"/>
  <c r="P18" i="69"/>
  <c r="V18" i="69"/>
  <c r="S18" i="69"/>
  <c r="L220" i="69"/>
  <c r="L221" i="69" s="1"/>
  <c r="AH18" i="69"/>
  <c r="AN18" i="69"/>
  <c r="AK18" i="69"/>
  <c r="W18" i="69"/>
  <c r="U18" i="69"/>
  <c r="R18" i="69"/>
  <c r="AB25" i="69" l="1"/>
  <c r="AD7" i="51" s="1"/>
  <c r="AD16" i="51" s="1"/>
  <c r="AB13" i="69"/>
  <c r="S13" i="69"/>
  <c r="AF25" i="69"/>
  <c r="AC25" i="69"/>
  <c r="AC13" i="69"/>
  <c r="X25" i="69"/>
  <c r="Z7" i="51" s="1"/>
  <c r="Z16" i="51" s="1"/>
  <c r="Z23" i="51" s="1"/>
  <c r="AG13" i="69"/>
  <c r="X13" i="69"/>
  <c r="AG25" i="69"/>
  <c r="AI25" i="69"/>
  <c r="AI7" i="51" s="1"/>
  <c r="AM13" i="69"/>
  <c r="AN25" i="69"/>
  <c r="AN7" i="51" s="1"/>
  <c r="AM25" i="69"/>
  <c r="AM7" i="51" s="1"/>
  <c r="AA13" i="69"/>
  <c r="AA25" i="69"/>
  <c r="AC7" i="51" s="1"/>
  <c r="AJ13" i="69"/>
  <c r="R13" i="69"/>
  <c r="AJ25" i="69"/>
  <c r="AJ7" i="51" s="1"/>
  <c r="Y13" i="69"/>
  <c r="W25" i="69"/>
  <c r="Y7" i="51" s="1"/>
  <c r="W13" i="69"/>
  <c r="AN13" i="69"/>
  <c r="R25" i="69"/>
  <c r="T7" i="51" s="1"/>
  <c r="O16" i="69"/>
  <c r="O25" i="69" s="1"/>
  <c r="O13" i="69"/>
  <c r="V25" i="69"/>
  <c r="X7" i="51" s="1"/>
  <c r="V13" i="69"/>
  <c r="Q16" i="69"/>
  <c r="Q25" i="69" s="1"/>
  <c r="S7" i="51" s="1"/>
  <c r="Q13" i="69"/>
  <c r="AF13" i="69"/>
  <c r="AH25" i="69"/>
  <c r="AH7" i="51" s="1"/>
  <c r="U25" i="69"/>
  <c r="W7" i="51" s="1"/>
  <c r="N13" i="69"/>
  <c r="Y25" i="69"/>
  <c r="AA7" i="51" s="1"/>
  <c r="AD25" i="69"/>
  <c r="P25" i="69"/>
  <c r="AH13" i="69"/>
  <c r="U13" i="69"/>
  <c r="N25" i="69"/>
  <c r="AI13" i="69"/>
  <c r="AD13" i="69"/>
  <c r="Z16" i="69"/>
  <c r="Z25" i="69" s="1"/>
  <c r="AB7" i="51" s="1"/>
  <c r="Z13" i="69"/>
  <c r="AL16" i="69"/>
  <c r="AL25" i="69" s="1"/>
  <c r="AL7" i="51" s="1"/>
  <c r="AL13" i="69"/>
  <c r="AK13" i="69"/>
  <c r="AE25" i="69"/>
  <c r="AK25" i="69"/>
  <c r="AK7" i="51" s="1"/>
  <c r="P13" i="69"/>
  <c r="AE13" i="69"/>
  <c r="M16" i="69"/>
  <c r="M25" i="69" s="1"/>
  <c r="M13" i="69"/>
  <c r="S25" i="69"/>
  <c r="U7" i="51" s="1"/>
  <c r="T16" i="69"/>
  <c r="T25" i="69" s="1"/>
  <c r="V7" i="51" s="1"/>
  <c r="T13" i="69"/>
  <c r="R3" i="35"/>
  <c r="R9" i="35" l="1"/>
  <c r="R18" i="35"/>
  <c r="R19" i="35"/>
  <c r="R8" i="35"/>
  <c r="R10" i="35"/>
  <c r="R7" i="35"/>
  <c r="R11" i="35"/>
  <c r="AD7" i="32"/>
  <c r="AD38" i="51"/>
  <c r="Z7" i="32"/>
  <c r="Z38" i="51"/>
  <c r="AD16" i="32"/>
  <c r="AK16" i="51"/>
  <c r="AK38" i="51"/>
  <c r="AK12" i="51"/>
  <c r="AK7" i="32"/>
  <c r="AJ16" i="51"/>
  <c r="AJ23" i="51" s="1"/>
  <c r="AJ38" i="51"/>
  <c r="AJ7" i="32"/>
  <c r="AJ12" i="51"/>
  <c r="X16" i="51"/>
  <c r="X23" i="51" s="1"/>
  <c r="X38" i="51"/>
  <c r="X7" i="32"/>
  <c r="AI16" i="51"/>
  <c r="AI23" i="51" s="1"/>
  <c r="AI38" i="51"/>
  <c r="AI12" i="51"/>
  <c r="AI7" i="32"/>
  <c r="Z29" i="51"/>
  <c r="AA16" i="51"/>
  <c r="AA38" i="51"/>
  <c r="AA7" i="32"/>
  <c r="U16" i="51"/>
  <c r="U23" i="51" s="1"/>
  <c r="U38" i="51"/>
  <c r="U7" i="32"/>
  <c r="T16" i="51"/>
  <c r="T16" i="32" s="1"/>
  <c r="T38" i="51"/>
  <c r="T38" i="32" s="1"/>
  <c r="T7" i="32"/>
  <c r="AM16" i="51"/>
  <c r="AM23" i="51" s="1"/>
  <c r="AM38" i="51"/>
  <c r="AM12" i="51"/>
  <c r="AM7" i="32"/>
  <c r="S16" i="51"/>
  <c r="S16" i="32" s="1"/>
  <c r="S38" i="51"/>
  <c r="S38" i="32" s="1"/>
  <c r="AF7" i="51"/>
  <c r="S7" i="32"/>
  <c r="AC16" i="51"/>
  <c r="AC23" i="51" s="1"/>
  <c r="AC38" i="51"/>
  <c r="AC7" i="32"/>
  <c r="V16" i="51"/>
  <c r="V38" i="51"/>
  <c r="V7" i="32"/>
  <c r="AL16" i="51"/>
  <c r="AL23" i="51" s="1"/>
  <c r="AL38" i="51"/>
  <c r="AL12" i="51"/>
  <c r="AL7" i="32"/>
  <c r="W16" i="51"/>
  <c r="W38" i="51"/>
  <c r="W7" i="32"/>
  <c r="AB38" i="51"/>
  <c r="AB16" i="51"/>
  <c r="AB23" i="51" s="1"/>
  <c r="AB7" i="32"/>
  <c r="AN16" i="51"/>
  <c r="AN23" i="51" s="1"/>
  <c r="AN38" i="51"/>
  <c r="AN7" i="32"/>
  <c r="AN12" i="51"/>
  <c r="AH16" i="51"/>
  <c r="AH38" i="51"/>
  <c r="AU7" i="51"/>
  <c r="AH12" i="51"/>
  <c r="AH7" i="32"/>
  <c r="AD23" i="51"/>
  <c r="Y16" i="51"/>
  <c r="Y23" i="51" s="1"/>
  <c r="Y38" i="51"/>
  <c r="Y7" i="32"/>
  <c r="Z16" i="32"/>
  <c r="R80" i="35"/>
  <c r="R82" i="35" s="1"/>
  <c r="R71" i="35" s="1"/>
  <c r="R70" i="35"/>
  <c r="R57" i="35"/>
  <c r="T67" i="59" s="1"/>
  <c r="J48" i="73"/>
  <c r="AV7" i="51" l="1"/>
  <c r="AV59" i="51"/>
  <c r="AG7" i="51"/>
  <c r="AG59" i="51"/>
  <c r="X6" i="75"/>
  <c r="AJ6" i="75" s="1"/>
  <c r="AL6" i="75" s="1"/>
  <c r="T10" i="65"/>
  <c r="T41" i="65" s="1"/>
  <c r="R58" i="35"/>
  <c r="T69" i="65" s="1"/>
  <c r="E6" i="75"/>
  <c r="Q6" i="75" s="1"/>
  <c r="S6" i="75" s="1"/>
  <c r="Z6" i="75"/>
  <c r="AD38" i="32"/>
  <c r="Z45" i="51"/>
  <c r="Z73" i="51" s="1"/>
  <c r="Z79" i="51" s="1"/>
  <c r="Z38" i="32"/>
  <c r="Z23" i="32"/>
  <c r="AB29" i="51"/>
  <c r="AB45" i="51"/>
  <c r="Y45" i="51"/>
  <c r="Y29" i="51"/>
  <c r="AD14" i="68"/>
  <c r="AU12" i="51"/>
  <c r="W16" i="32"/>
  <c r="V16" i="32"/>
  <c r="S23" i="32"/>
  <c r="AA38" i="32"/>
  <c r="AK12" i="32"/>
  <c r="AL29" i="51"/>
  <c r="AL45" i="51"/>
  <c r="AA16" i="32"/>
  <c r="X29" i="51"/>
  <c r="X45" i="51"/>
  <c r="AG14" i="68"/>
  <c r="AK38" i="32"/>
  <c r="AK43" i="51"/>
  <c r="AB16" i="32"/>
  <c r="AL12" i="32"/>
  <c r="AH38" i="32"/>
  <c r="AU38" i="51"/>
  <c r="AH43" i="51"/>
  <c r="U45" i="51"/>
  <c r="U29" i="51"/>
  <c r="Y16" i="32"/>
  <c r="AL38" i="32"/>
  <c r="AL43" i="51"/>
  <c r="AI14" i="68"/>
  <c r="AI12" i="32"/>
  <c r="AF16" i="51"/>
  <c r="AC16" i="32"/>
  <c r="AE14" i="68"/>
  <c r="X38" i="32"/>
  <c r="R73" i="35"/>
  <c r="R91" i="35" s="1"/>
  <c r="Y38" i="32"/>
  <c r="AU16" i="51"/>
  <c r="AH16" i="32"/>
  <c r="AH21" i="51"/>
  <c r="AB38" i="32"/>
  <c r="AH14" i="68"/>
  <c r="AC45" i="51"/>
  <c r="AC29" i="51"/>
  <c r="AM12" i="32"/>
  <c r="X16" i="32"/>
  <c r="AK16" i="32"/>
  <c r="AK21" i="51"/>
  <c r="AK22" i="51" s="1"/>
  <c r="AN29" i="51"/>
  <c r="AN45" i="51"/>
  <c r="AI29" i="51"/>
  <c r="AI45" i="51"/>
  <c r="AD29" i="51"/>
  <c r="AD45" i="51"/>
  <c r="AN38" i="32"/>
  <c r="AN43" i="51"/>
  <c r="AM21" i="51"/>
  <c r="AM22" i="51" s="1"/>
  <c r="AM16" i="32"/>
  <c r="AI38" i="32"/>
  <c r="AI43" i="51"/>
  <c r="AJ38" i="32"/>
  <c r="AJ43" i="51"/>
  <c r="AF7" i="32"/>
  <c r="AG7" i="32" s="1"/>
  <c r="AM38" i="32"/>
  <c r="AM43" i="51"/>
  <c r="U16" i="32"/>
  <c r="AD23" i="32"/>
  <c r="AH23" i="51"/>
  <c r="AN16" i="32"/>
  <c r="AN21" i="51"/>
  <c r="AN22" i="51" s="1"/>
  <c r="W23" i="51"/>
  <c r="S23" i="51"/>
  <c r="T23" i="32"/>
  <c r="AA23" i="51"/>
  <c r="AI16" i="32"/>
  <c r="AI21" i="51"/>
  <c r="AI22" i="51" s="1"/>
  <c r="AJ21" i="51"/>
  <c r="AJ22" i="51" s="1"/>
  <c r="AJ16" i="32"/>
  <c r="AF38" i="51"/>
  <c r="AC38" i="32"/>
  <c r="AJ29" i="51"/>
  <c r="AJ45" i="51"/>
  <c r="AJ14" i="68"/>
  <c r="AL16" i="32"/>
  <c r="AL21" i="51"/>
  <c r="AL22" i="51" s="1"/>
  <c r="AM29" i="51"/>
  <c r="AM45" i="51"/>
  <c r="U38" i="32"/>
  <c r="AF14" i="68"/>
  <c r="AN12" i="32"/>
  <c r="V23" i="51"/>
  <c r="AJ12" i="32"/>
  <c r="AU7" i="32"/>
  <c r="AV7" i="32" s="1"/>
  <c r="AH12" i="32"/>
  <c r="W38" i="32"/>
  <c r="V38" i="32"/>
  <c r="T23" i="51"/>
  <c r="AK23" i="51"/>
  <c r="R53" i="35"/>
  <c r="R48" i="35" s="1"/>
  <c r="T9" i="66"/>
  <c r="T18" i="66" s="1"/>
  <c r="T9" i="60"/>
  <c r="T8" i="59"/>
  <c r="J88" i="73"/>
  <c r="X37" i="75" l="1"/>
  <c r="E37" i="75"/>
  <c r="G37" i="75" s="1"/>
  <c r="G6" i="75"/>
  <c r="T19" i="65"/>
  <c r="T26" i="65" s="1"/>
  <c r="T32" i="65" s="1"/>
  <c r="X11" i="75"/>
  <c r="T72" i="65"/>
  <c r="T9" i="51"/>
  <c r="T9" i="32" s="1"/>
  <c r="T68" i="60"/>
  <c r="AF68" i="60" s="1"/>
  <c r="S68" i="60"/>
  <c r="AU23" i="51"/>
  <c r="X15" i="75"/>
  <c r="AF23" i="51"/>
  <c r="E15" i="75"/>
  <c r="Z37" i="75"/>
  <c r="AJ37" i="75"/>
  <c r="AL37" i="75" s="1"/>
  <c r="AU12" i="32"/>
  <c r="Z51" i="51"/>
  <c r="Z45" i="32"/>
  <c r="Z73" i="32" s="1"/>
  <c r="Z79" i="32" s="1"/>
  <c r="R98" i="35"/>
  <c r="R94" i="35"/>
  <c r="R90" i="35"/>
  <c r="R93" i="35"/>
  <c r="R89" i="35"/>
  <c r="Z29" i="32"/>
  <c r="W23" i="32"/>
  <c r="W45" i="32" s="1"/>
  <c r="R87" i="35"/>
  <c r="R86" i="35"/>
  <c r="R88" i="35"/>
  <c r="R96" i="35"/>
  <c r="V23" i="32"/>
  <c r="V29" i="32" s="1"/>
  <c r="U23" i="32"/>
  <c r="U29" i="32" s="1"/>
  <c r="AK23" i="32"/>
  <c r="AK29" i="32" s="1"/>
  <c r="AN23" i="32"/>
  <c r="AN29" i="32" s="1"/>
  <c r="R97" i="35"/>
  <c r="AM23" i="32"/>
  <c r="AM29" i="32" s="1"/>
  <c r="AI27" i="51"/>
  <c r="AI33" i="51" s="1"/>
  <c r="R95" i="35"/>
  <c r="R85" i="35"/>
  <c r="AL27" i="51"/>
  <c r="AL49" i="51" s="1"/>
  <c r="AU43" i="51"/>
  <c r="Y23" i="32"/>
  <c r="Y45" i="32" s="1"/>
  <c r="AM27" i="51"/>
  <c r="AM49" i="51" s="1"/>
  <c r="R92" i="35"/>
  <c r="AA23" i="32"/>
  <c r="AA45" i="32" s="1"/>
  <c r="AJ27" i="51"/>
  <c r="AJ33" i="51" s="1"/>
  <c r="AL23" i="32"/>
  <c r="AL29" i="32" s="1"/>
  <c r="AJ19" i="68"/>
  <c r="AJ33" i="68"/>
  <c r="AJ32" i="68"/>
  <c r="AH45" i="51"/>
  <c r="AH29" i="51"/>
  <c r="U73" i="51"/>
  <c r="U79" i="51" s="1"/>
  <c r="U51" i="51"/>
  <c r="X51" i="51"/>
  <c r="X73" i="51"/>
  <c r="X79" i="51" s="1"/>
  <c r="AB23" i="32"/>
  <c r="AF38" i="32"/>
  <c r="AJ23" i="32"/>
  <c r="T45" i="32"/>
  <c r="T29" i="32"/>
  <c r="AF32" i="68"/>
  <c r="AF19" i="68"/>
  <c r="AF34" i="68" s="1"/>
  <c r="AJ62" i="37" s="1"/>
  <c r="AJ64" i="37" s="1"/>
  <c r="AJ65" i="37" s="1"/>
  <c r="AF33" i="68"/>
  <c r="AD51" i="51"/>
  <c r="AD73" i="51"/>
  <c r="AD79" i="51" s="1"/>
  <c r="AU38" i="32"/>
  <c r="S45" i="51"/>
  <c r="S29" i="51"/>
  <c r="AI73" i="51"/>
  <c r="AI79" i="51" s="1"/>
  <c r="AI51" i="51"/>
  <c r="AH27" i="51"/>
  <c r="AH22" i="51"/>
  <c r="AU21" i="51"/>
  <c r="AI32" i="68"/>
  <c r="AI19" i="68"/>
  <c r="AI33" i="68"/>
  <c r="AC23" i="32"/>
  <c r="AU100" i="51"/>
  <c r="T45" i="51"/>
  <c r="T29" i="51"/>
  <c r="AA29" i="51"/>
  <c r="AA45" i="51"/>
  <c r="AH23" i="32"/>
  <c r="AU16" i="32"/>
  <c r="AD33" i="68"/>
  <c r="AP14" i="68"/>
  <c r="AD19" i="68"/>
  <c r="AD34" i="68" s="1"/>
  <c r="AD32" i="68"/>
  <c r="V29" i="51"/>
  <c r="V45" i="51"/>
  <c r="AM51" i="51"/>
  <c r="AM73" i="51"/>
  <c r="AM79" i="51" s="1"/>
  <c r="AN51" i="51"/>
  <c r="AN73" i="51"/>
  <c r="AN79" i="51" s="1"/>
  <c r="AK29" i="51"/>
  <c r="AK45" i="51"/>
  <c r="W29" i="51"/>
  <c r="W45" i="51"/>
  <c r="Y73" i="51"/>
  <c r="Y79" i="51" s="1"/>
  <c r="Y51" i="51"/>
  <c r="X23" i="32"/>
  <c r="AL51" i="51"/>
  <c r="AL73" i="51"/>
  <c r="AL79" i="51" s="1"/>
  <c r="AF16" i="32"/>
  <c r="AF23" i="32" s="1"/>
  <c r="AB51" i="51"/>
  <c r="AB73" i="51"/>
  <c r="AB79" i="51" s="1"/>
  <c r="AJ73" i="51"/>
  <c r="AJ79" i="51" s="1"/>
  <c r="AJ51" i="51"/>
  <c r="AD29" i="32"/>
  <c r="AD45" i="32"/>
  <c r="AH32" i="68"/>
  <c r="AH19" i="68"/>
  <c r="AH34" i="68" s="1"/>
  <c r="AL62" i="37" s="1"/>
  <c r="AL64" i="37" s="1"/>
  <c r="AL65" i="37" s="1"/>
  <c r="AH33" i="68"/>
  <c r="AK27" i="51"/>
  <c r="AN27" i="51"/>
  <c r="AC51" i="51"/>
  <c r="AC73" i="51"/>
  <c r="AC79" i="51" s="1"/>
  <c r="AE19" i="68"/>
  <c r="AE32" i="68"/>
  <c r="AE33" i="68"/>
  <c r="AI23" i="32"/>
  <c r="AG19" i="68"/>
  <c r="AG34" i="68" s="1"/>
  <c r="AK62" i="37" s="1"/>
  <c r="AK64" i="37" s="1"/>
  <c r="AK65" i="37" s="1"/>
  <c r="AG33" i="68"/>
  <c r="AG32" i="68"/>
  <c r="S45" i="32"/>
  <c r="S29" i="32"/>
  <c r="T17" i="59"/>
  <c r="T39" i="59"/>
  <c r="T18" i="60"/>
  <c r="T40" i="60"/>
  <c r="T25" i="66"/>
  <c r="T40" i="66"/>
  <c r="T68" i="66"/>
  <c r="AC55" i="35"/>
  <c r="J40" i="73"/>
  <c r="I40" i="73"/>
  <c r="J80" i="73"/>
  <c r="AV89" i="32" l="1"/>
  <c r="AX89" i="32" s="1"/>
  <c r="AX90" i="32" s="1"/>
  <c r="AH91" i="32" s="1"/>
  <c r="AI91" i="32" s="1"/>
  <c r="AI99" i="32" s="1"/>
  <c r="Q37" i="75"/>
  <c r="S37" i="75" s="1"/>
  <c r="AF29" i="51"/>
  <c r="AU29" i="51"/>
  <c r="AU45" i="51"/>
  <c r="AU51" i="51" s="1"/>
  <c r="Z15" i="75"/>
  <c r="AJ15" i="75"/>
  <c r="AL15" i="75" s="1"/>
  <c r="AF45" i="51"/>
  <c r="AF73" i="51" s="1"/>
  <c r="AF79" i="51" s="1"/>
  <c r="G15" i="75"/>
  <c r="Q15" i="75"/>
  <c r="S15" i="75" s="1"/>
  <c r="AU23" i="32"/>
  <c r="AU45" i="32" s="1"/>
  <c r="AU44" i="51"/>
  <c r="X42" i="75"/>
  <c r="AU22" i="51"/>
  <c r="X20" i="75"/>
  <c r="Z51" i="32"/>
  <c r="W29" i="32"/>
  <c r="AI49" i="51"/>
  <c r="R100" i="35"/>
  <c r="AN45" i="32"/>
  <c r="AN51" i="32" s="1"/>
  <c r="T48" i="65"/>
  <c r="T76" i="65" s="1"/>
  <c r="T82" i="65" s="1"/>
  <c r="U45" i="32"/>
  <c r="U73" i="32" s="1"/>
  <c r="U79" i="32" s="1"/>
  <c r="AM45" i="32"/>
  <c r="AM51" i="32" s="1"/>
  <c r="V45" i="32"/>
  <c r="V51" i="32" s="1"/>
  <c r="AK45" i="32"/>
  <c r="AK51" i="32" s="1"/>
  <c r="Y29" i="32"/>
  <c r="AL45" i="32"/>
  <c r="AL51" i="32" s="1"/>
  <c r="AA29" i="32"/>
  <c r="T24" i="59"/>
  <c r="T46" i="59" s="1"/>
  <c r="AM33" i="51"/>
  <c r="AL33" i="51"/>
  <c r="AJ49" i="51"/>
  <c r="AE34" i="68"/>
  <c r="AE36" i="68"/>
  <c r="AE30" i="68"/>
  <c r="AE37" i="68"/>
  <c r="AE38" i="68"/>
  <c r="AH33" i="51"/>
  <c r="AH49" i="51"/>
  <c r="AM55" i="51"/>
  <c r="Y51" i="32"/>
  <c r="Y73" i="32"/>
  <c r="Y79" i="32" s="1"/>
  <c r="AF29" i="32"/>
  <c r="AF45" i="32"/>
  <c r="AK51" i="51"/>
  <c r="AK73" i="51"/>
  <c r="AK79" i="51" s="1"/>
  <c r="AH45" i="32"/>
  <c r="AH29" i="32"/>
  <c r="T51" i="51"/>
  <c r="T73" i="51"/>
  <c r="T79" i="51" s="1"/>
  <c r="AH38" i="68"/>
  <c r="AH36" i="68"/>
  <c r="AH30" i="68"/>
  <c r="AH37" i="68"/>
  <c r="I14" i="43"/>
  <c r="AK33" i="51"/>
  <c r="AK49" i="51"/>
  <c r="W51" i="51"/>
  <c r="W73" i="51"/>
  <c r="W79" i="51" s="1"/>
  <c r="AA51" i="32"/>
  <c r="AA73" i="32"/>
  <c r="AA79" i="32" s="1"/>
  <c r="AC45" i="32"/>
  <c r="AC29" i="32"/>
  <c r="AL55" i="51"/>
  <c r="S51" i="32"/>
  <c r="S73" i="32"/>
  <c r="S79" i="32" s="1"/>
  <c r="S51" i="51"/>
  <c r="S73" i="51"/>
  <c r="S79" i="51" s="1"/>
  <c r="AB45" i="32"/>
  <c r="AB29" i="32"/>
  <c r="AG37" i="68"/>
  <c r="AG38" i="68"/>
  <c r="AG30" i="68"/>
  <c r="AG36" i="68"/>
  <c r="AD51" i="32"/>
  <c r="AD73" i="32"/>
  <c r="AD79" i="32" s="1"/>
  <c r="AI34" i="68"/>
  <c r="AI36" i="68"/>
  <c r="AM62" i="37" s="1"/>
  <c r="AM64" i="37" s="1"/>
  <c r="AM65" i="37" s="1"/>
  <c r="AI30" i="68"/>
  <c r="AI37" i="68"/>
  <c r="AI38" i="68"/>
  <c r="AH51" i="51"/>
  <c r="AH73" i="51"/>
  <c r="AH79" i="51" s="1"/>
  <c r="T25" i="60"/>
  <c r="T47" i="60" s="1"/>
  <c r="AN33" i="51"/>
  <c r="AN49" i="51"/>
  <c r="AI29" i="32"/>
  <c r="AI45" i="32"/>
  <c r="W51" i="32"/>
  <c r="W73" i="32"/>
  <c r="W79" i="32" s="1"/>
  <c r="AA73" i="51"/>
  <c r="AA79" i="51" s="1"/>
  <c r="AA51" i="51"/>
  <c r="AU27" i="51"/>
  <c r="AF37" i="68"/>
  <c r="AF38" i="68"/>
  <c r="AF36" i="68"/>
  <c r="AF30" i="68"/>
  <c r="V73" i="51"/>
  <c r="V79" i="51" s="1"/>
  <c r="V51" i="51"/>
  <c r="T51" i="32"/>
  <c r="T73" i="32"/>
  <c r="T79" i="32" s="1"/>
  <c r="X45" i="32"/>
  <c r="X29" i="32"/>
  <c r="AP19" i="68"/>
  <c r="AD37" i="68"/>
  <c r="AD38" i="68"/>
  <c r="AD36" i="68"/>
  <c r="AD30" i="68"/>
  <c r="AJ45" i="32"/>
  <c r="AJ29" i="32"/>
  <c r="AJ34" i="68"/>
  <c r="AJ36" i="68"/>
  <c r="AN62" i="37" s="1"/>
  <c r="AN64" i="37" s="1"/>
  <c r="AN65" i="37" s="1"/>
  <c r="AJ37" i="68"/>
  <c r="AJ38" i="68"/>
  <c r="AJ30" i="68"/>
  <c r="T71" i="66"/>
  <c r="T47" i="66"/>
  <c r="T31" i="66"/>
  <c r="T40" i="51"/>
  <c r="T18" i="51"/>
  <c r="T25" i="51" s="1"/>
  <c r="AJ91" i="32" l="1"/>
  <c r="AJ99" i="32" s="1"/>
  <c r="AH99" i="32"/>
  <c r="AK91" i="32"/>
  <c r="AU73" i="51"/>
  <c r="AU79" i="51" s="1"/>
  <c r="Z8" i="75"/>
  <c r="AU29" i="32"/>
  <c r="AF51" i="51"/>
  <c r="U51" i="32"/>
  <c r="T54" i="65"/>
  <c r="AI55" i="51"/>
  <c r="AK73" i="32"/>
  <c r="AK79" i="32" s="1"/>
  <c r="T30" i="59"/>
  <c r="AJ55" i="51"/>
  <c r="V73" i="32"/>
  <c r="V79" i="32" s="1"/>
  <c r="AN73" i="32"/>
  <c r="AN79" i="32" s="1"/>
  <c r="AL73" i="32"/>
  <c r="AL79" i="32" s="1"/>
  <c r="AM73" i="32"/>
  <c r="AM79" i="32" s="1"/>
  <c r="AD39" i="68"/>
  <c r="AN55" i="51"/>
  <c r="I26" i="43"/>
  <c r="AH51" i="32"/>
  <c r="AH73" i="32"/>
  <c r="AH79" i="32" s="1"/>
  <c r="AH55" i="51"/>
  <c r="AI51" i="32"/>
  <c r="AI73" i="32"/>
  <c r="AI79" i="32" s="1"/>
  <c r="AU33" i="51"/>
  <c r="AU49" i="51"/>
  <c r="AG39" i="68"/>
  <c r="X51" i="32"/>
  <c r="X73" i="32"/>
  <c r="X79" i="32" s="1"/>
  <c r="AJ39" i="68"/>
  <c r="AU73" i="32"/>
  <c r="AU79" i="32" s="1"/>
  <c r="AU51" i="32"/>
  <c r="AJ73" i="32"/>
  <c r="AJ79" i="32" s="1"/>
  <c r="AJ51" i="32"/>
  <c r="AF51" i="32"/>
  <c r="AF73" i="32"/>
  <c r="AF79" i="32" s="1"/>
  <c r="T31" i="60"/>
  <c r="AF39" i="68"/>
  <c r="AB51" i="32"/>
  <c r="AB73" i="32"/>
  <c r="AB79" i="32" s="1"/>
  <c r="AC73" i="32"/>
  <c r="AC79" i="32" s="1"/>
  <c r="AC51" i="32"/>
  <c r="AE39" i="68"/>
  <c r="AI39" i="68"/>
  <c r="AK55" i="51"/>
  <c r="AH39" i="68"/>
  <c r="T31" i="51"/>
  <c r="T47" i="51"/>
  <c r="T18" i="32"/>
  <c r="T40" i="32"/>
  <c r="T74" i="59"/>
  <c r="T80" i="59" s="1"/>
  <c r="T52" i="59"/>
  <c r="T53" i="60"/>
  <c r="T75" i="60"/>
  <c r="T81" i="60" s="1"/>
  <c r="T75" i="66"/>
  <c r="T81" i="66" s="1"/>
  <c r="T53" i="66"/>
  <c r="AL91" i="32" l="1"/>
  <c r="AK99" i="32"/>
  <c r="Z39" i="75"/>
  <c r="AJ17" i="75"/>
  <c r="AL17" i="75" s="1"/>
  <c r="AJ8" i="75"/>
  <c r="AL8" i="75" s="1"/>
  <c r="AU55" i="51"/>
  <c r="T25" i="32"/>
  <c r="T53" i="51"/>
  <c r="AM91" i="32" l="1"/>
  <c r="AL99" i="32"/>
  <c r="AJ39" i="75"/>
  <c r="AL39" i="75" s="1"/>
  <c r="T31" i="32"/>
  <c r="T47" i="32"/>
  <c r="AN91" i="32" l="1"/>
  <c r="AM99" i="32"/>
  <c r="T53" i="32"/>
  <c r="AO91" i="32" l="1"/>
  <c r="AN99" i="32"/>
  <c r="R22" i="35"/>
  <c r="AP91" i="32" l="1"/>
  <c r="AO99" i="32"/>
  <c r="T68" i="51"/>
  <c r="R60" i="35"/>
  <c r="AQ91" i="32" l="1"/>
  <c r="AP99" i="32"/>
  <c r="T75" i="51"/>
  <c r="T81" i="51" s="1"/>
  <c r="T71" i="51"/>
  <c r="T68" i="32"/>
  <c r="AR91" i="32" l="1"/>
  <c r="AQ99" i="32"/>
  <c r="T71" i="32"/>
  <c r="T75" i="32"/>
  <c r="T81" i="32" s="1"/>
  <c r="AS91" i="32" l="1"/>
  <c r="AR99" i="32"/>
  <c r="Z22" i="35"/>
  <c r="AB22" i="35"/>
  <c r="Y22" i="35"/>
  <c r="U22" i="35"/>
  <c r="AA22" i="35"/>
  <c r="AS99" i="32" l="1"/>
  <c r="AU99" i="32" s="1"/>
  <c r="AU91" i="32"/>
  <c r="AB60" i="35"/>
  <c r="AD68" i="51"/>
  <c r="AD75" i="51" s="1"/>
  <c r="AD81" i="51" s="1"/>
  <c r="AC28" i="35"/>
  <c r="AA60" i="35"/>
  <c r="AC68" i="51"/>
  <c r="AA68" i="51"/>
  <c r="Y60" i="35"/>
  <c r="AC56" i="35"/>
  <c r="Z60" i="35"/>
  <c r="AB68" i="51"/>
  <c r="W68" i="51"/>
  <c r="U60" i="35"/>
  <c r="I27" i="43" l="1"/>
  <c r="I25" i="43" s="1"/>
  <c r="AU100" i="32"/>
  <c r="AD68" i="32"/>
  <c r="AD71" i="51"/>
  <c r="AB75" i="51"/>
  <c r="AB81" i="51" s="1"/>
  <c r="AB71" i="51"/>
  <c r="AB68" i="32"/>
  <c r="W75" i="51"/>
  <c r="W81" i="51" s="1"/>
  <c r="W68" i="32"/>
  <c r="W71" i="51"/>
  <c r="AA75" i="51"/>
  <c r="AA81" i="51" s="1"/>
  <c r="AA68" i="32"/>
  <c r="AA71" i="51"/>
  <c r="AC71" i="51"/>
  <c r="AC75" i="51"/>
  <c r="AC81" i="51" s="1"/>
  <c r="AC68" i="32"/>
  <c r="AD71" i="32" l="1"/>
  <c r="AD75" i="32"/>
  <c r="AD81" i="32" s="1"/>
  <c r="AA75" i="32"/>
  <c r="AA81" i="32" s="1"/>
  <c r="AA71" i="32"/>
  <c r="W75" i="32"/>
  <c r="W81" i="32" s="1"/>
  <c r="W71" i="32"/>
  <c r="AC71" i="32"/>
  <c r="AC75" i="32"/>
  <c r="AC81" i="32" s="1"/>
  <c r="AB71" i="32"/>
  <c r="AB75" i="32"/>
  <c r="AB81" i="32" s="1"/>
  <c r="AH99" i="30" l="1"/>
  <c r="AX99" i="30" s="1"/>
  <c r="AH97" i="30" l="1"/>
  <c r="AX97" i="30" s="1"/>
  <c r="AH16" i="30" l="1"/>
  <c r="AI16" i="30" l="1"/>
  <c r="AX16" i="30"/>
  <c r="AH87" i="30"/>
  <c r="AH14" i="30"/>
  <c r="AH24" i="30"/>
  <c r="AI87" i="30" l="1"/>
  <c r="AX87" i="30"/>
  <c r="AI24" i="30"/>
  <c r="AX24" i="30"/>
  <c r="AI14" i="30"/>
  <c r="AX14" i="30"/>
  <c r="AH100" i="30"/>
  <c r="AX100" i="30" s="1"/>
  <c r="AH21" i="30"/>
  <c r="AH34" i="30"/>
  <c r="AH74" i="30"/>
  <c r="AH45" i="30"/>
  <c r="AH61" i="30"/>
  <c r="AH86" i="30"/>
  <c r="AH32" i="30"/>
  <c r="AH11" i="30"/>
  <c r="AW11" i="30" s="1"/>
  <c r="AH92" i="30"/>
  <c r="AH83" i="30"/>
  <c r="AH29" i="30"/>
  <c r="AH30" i="30"/>
  <c r="AH31" i="30"/>
  <c r="AH26" i="30"/>
  <c r="AH41" i="30"/>
  <c r="AI30" i="30" l="1"/>
  <c r="AX30" i="30"/>
  <c r="AI21" i="30"/>
  <c r="AX21" i="30"/>
  <c r="AI11" i="30"/>
  <c r="AX11" i="30"/>
  <c r="AI86" i="30"/>
  <c r="AX86" i="30"/>
  <c r="AI31" i="30"/>
  <c r="AX31" i="30"/>
  <c r="AI34" i="30"/>
  <c r="AX34" i="30"/>
  <c r="AI92" i="30"/>
  <c r="AX92" i="30"/>
  <c r="AI61" i="30"/>
  <c r="AX61" i="30"/>
  <c r="AI74" i="30"/>
  <c r="AX74" i="30"/>
  <c r="AI29" i="30"/>
  <c r="AX29" i="30"/>
  <c r="AI83" i="30"/>
  <c r="AX83" i="30"/>
  <c r="AI32" i="30"/>
  <c r="AX32" i="30"/>
  <c r="AI41" i="30"/>
  <c r="AX41" i="30"/>
  <c r="AI26" i="30"/>
  <c r="AX26" i="30"/>
  <c r="AI45" i="30"/>
  <c r="AX45" i="30"/>
  <c r="AH82" i="30"/>
  <c r="AI82" i="30" l="1"/>
  <c r="AX82" i="30"/>
  <c r="AH17" i="30"/>
  <c r="AH37" i="30"/>
  <c r="AH10" i="30"/>
  <c r="AH84" i="30"/>
  <c r="AH36" i="30"/>
  <c r="AH12" i="30"/>
  <c r="AH42" i="30"/>
  <c r="AH39" i="30"/>
  <c r="AH7" i="30"/>
  <c r="AI42" i="30" l="1"/>
  <c r="AX42" i="30"/>
  <c r="AI84" i="30"/>
  <c r="AX84" i="30"/>
  <c r="AI39" i="30"/>
  <c r="AX39" i="30"/>
  <c r="AI36" i="30"/>
  <c r="AX36" i="30"/>
  <c r="AI12" i="30"/>
  <c r="AX12" i="30"/>
  <c r="AI10" i="30"/>
  <c r="AX10" i="30"/>
  <c r="AI37" i="30"/>
  <c r="AX37" i="30"/>
  <c r="AI17" i="30"/>
  <c r="AX17" i="30"/>
  <c r="AI7" i="30"/>
  <c r="AX7" i="30"/>
  <c r="AH35" i="30"/>
  <c r="AH18" i="30"/>
  <c r="AW18" i="30" s="1"/>
  <c r="AW94" i="30" s="1"/>
  <c r="AW113" i="30" s="1"/>
  <c r="AW207" i="30" s="1"/>
  <c r="AH9" i="30"/>
  <c r="AH81" i="30"/>
  <c r="AH89" i="30"/>
  <c r="AH90" i="30"/>
  <c r="AH27" i="30"/>
  <c r="AH44" i="30"/>
  <c r="AH13" i="30"/>
  <c r="AH40" i="30"/>
  <c r="AH33" i="30"/>
  <c r="AH8" i="30"/>
  <c r="AH1" i="30" s="1"/>
  <c r="AH28" i="30"/>
  <c r="F107" i="73"/>
  <c r="P121" i="73"/>
  <c r="K115" i="73"/>
  <c r="AA112" i="73"/>
  <c r="S117" i="73"/>
  <c r="G106" i="73"/>
  <c r="U104" i="73"/>
  <c r="X109" i="73"/>
  <c r="R105" i="73"/>
  <c r="X107" i="73"/>
  <c r="G111" i="73"/>
  <c r="T117" i="73"/>
  <c r="O104" i="73"/>
  <c r="R120" i="73"/>
  <c r="N105" i="73"/>
  <c r="S116" i="73"/>
  <c r="Z116" i="73"/>
  <c r="P106" i="73"/>
  <c r="AI18" i="30" l="1"/>
  <c r="AX18" i="30"/>
  <c r="AI33" i="30"/>
  <c r="AX33" i="30"/>
  <c r="AI27" i="30"/>
  <c r="AX27" i="30"/>
  <c r="AI89" i="30"/>
  <c r="AX89" i="30"/>
  <c r="AI8" i="30"/>
  <c r="AX8" i="30"/>
  <c r="AI35" i="30"/>
  <c r="AX35" i="30"/>
  <c r="AI13" i="30"/>
  <c r="AX13" i="30"/>
  <c r="AI44" i="30"/>
  <c r="AX44" i="30"/>
  <c r="AI81" i="30"/>
  <c r="AX81" i="30"/>
  <c r="AI40" i="30"/>
  <c r="AX40" i="30"/>
  <c r="AI90" i="30"/>
  <c r="AX90" i="30"/>
  <c r="AI28" i="30"/>
  <c r="AX28" i="30"/>
  <c r="AI9" i="30"/>
  <c r="AX9" i="30"/>
  <c r="AH85" i="30"/>
  <c r="AH65" i="30"/>
  <c r="U8" i="60"/>
  <c r="U17" i="60" s="1"/>
  <c r="AA8" i="63"/>
  <c r="AD8" i="60"/>
  <c r="AD17" i="60" s="1"/>
  <c r="V8" i="60"/>
  <c r="V17" i="60" s="1"/>
  <c r="T8" i="63"/>
  <c r="AC7" i="62"/>
  <c r="AD8" i="63"/>
  <c r="X7" i="62"/>
  <c r="W8" i="60"/>
  <c r="W17" i="60" s="1"/>
  <c r="U8" i="63"/>
  <c r="Y7" i="62"/>
  <c r="X8" i="60"/>
  <c r="X17" i="60" s="1"/>
  <c r="W7" i="62"/>
  <c r="V8" i="63"/>
  <c r="AB7" i="62"/>
  <c r="T8" i="60"/>
  <c r="T17" i="60" s="1"/>
  <c r="Y8" i="63"/>
  <c r="Z8" i="60"/>
  <c r="Z17" i="60" s="1"/>
  <c r="T7" i="59"/>
  <c r="X8" i="63"/>
  <c r="Y8" i="60"/>
  <c r="Y17" i="60" s="1"/>
  <c r="U7" i="62"/>
  <c r="W8" i="63"/>
  <c r="AC8" i="63"/>
  <c r="AB8" i="60"/>
  <c r="AB17" i="60" s="1"/>
  <c r="AA7" i="62"/>
  <c r="AB8" i="63"/>
  <c r="AB1" i="63" s="1"/>
  <c r="AA8" i="60"/>
  <c r="AA17" i="60" s="1"/>
  <c r="Z8" i="63"/>
  <c r="AC8" i="60"/>
  <c r="AC17" i="60" s="1"/>
  <c r="V7" i="62"/>
  <c r="AD7" i="62"/>
  <c r="T7" i="62"/>
  <c r="Z7" i="62"/>
  <c r="F117" i="73"/>
  <c r="K120" i="73"/>
  <c r="Z117" i="73"/>
  <c r="R109" i="73"/>
  <c r="AC104" i="73"/>
  <c r="Z110" i="73"/>
  <c r="V111" i="73"/>
  <c r="S120" i="73"/>
  <c r="V118" i="73"/>
  <c r="AE108" i="73"/>
  <c r="T107" i="73"/>
  <c r="N106" i="73"/>
  <c r="M109" i="73"/>
  <c r="M117" i="73"/>
  <c r="O119" i="73"/>
  <c r="O108" i="73"/>
  <c r="AD104" i="73"/>
  <c r="F120" i="73"/>
  <c r="S110" i="73"/>
  <c r="P107" i="73"/>
  <c r="AC121" i="73"/>
  <c r="M105" i="73"/>
  <c r="AD114" i="73"/>
  <c r="O110" i="73"/>
  <c r="AA108" i="73"/>
  <c r="V120" i="73"/>
  <c r="X106" i="73"/>
  <c r="R114" i="73"/>
  <c r="W110" i="73"/>
  <c r="AE117" i="73"/>
  <c r="S113" i="73"/>
  <c r="AF116" i="73"/>
  <c r="Z108" i="73"/>
  <c r="Y120" i="73"/>
  <c r="U120" i="73"/>
  <c r="AD106" i="73"/>
  <c r="T115" i="73"/>
  <c r="M119" i="73"/>
  <c r="N107" i="73"/>
  <c r="AA1" i="63" l="1"/>
  <c r="X1" i="63"/>
  <c r="U1" i="63"/>
  <c r="Z1" i="63"/>
  <c r="Y1" i="63"/>
  <c r="AD1" i="63"/>
  <c r="T1" i="63"/>
  <c r="AC1" i="63"/>
  <c r="V1" i="63"/>
  <c r="W1" i="63"/>
  <c r="AI85" i="30"/>
  <c r="AX85" i="30"/>
  <c r="AI65" i="30"/>
  <c r="AX65" i="30"/>
  <c r="AH91" i="30"/>
  <c r="AH57" i="30"/>
  <c r="AH54" i="30"/>
  <c r="AH72" i="30"/>
  <c r="AH46" i="30"/>
  <c r="AH63" i="30"/>
  <c r="AB7" i="59"/>
  <c r="U7" i="59"/>
  <c r="V7" i="59"/>
  <c r="AC7" i="59"/>
  <c r="AH75" i="30"/>
  <c r="AA16" i="62"/>
  <c r="AA20" i="62" s="1"/>
  <c r="AA38" i="62"/>
  <c r="AA42" i="62" s="1"/>
  <c r="AA11" i="62"/>
  <c r="W12" i="63"/>
  <c r="W39" i="63"/>
  <c r="W43" i="63" s="1"/>
  <c r="U11" i="62"/>
  <c r="U38" i="62"/>
  <c r="U42" i="62" s="1"/>
  <c r="U16" i="62"/>
  <c r="U20" i="62" s="1"/>
  <c r="AH53" i="30"/>
  <c r="Y7" i="59"/>
  <c r="AB16" i="62"/>
  <c r="AB20" i="62" s="1"/>
  <c r="AB38" i="62"/>
  <c r="AB42" i="62" s="1"/>
  <c r="AB11" i="62"/>
  <c r="Y16" i="62"/>
  <c r="Y20" i="62" s="1"/>
  <c r="Y11" i="62"/>
  <c r="Y38" i="62"/>
  <c r="Y42" i="62" s="1"/>
  <c r="T39" i="63"/>
  <c r="T43" i="63" s="1"/>
  <c r="T12" i="63"/>
  <c r="Z39" i="63"/>
  <c r="Z43" i="63" s="1"/>
  <c r="Z12" i="63"/>
  <c r="AH80" i="30"/>
  <c r="AB39" i="60"/>
  <c r="AB43" i="60" s="1"/>
  <c r="AB21" i="60"/>
  <c r="AB12" i="60"/>
  <c r="W7" i="59"/>
  <c r="AH49" i="30"/>
  <c r="AH22" i="30"/>
  <c r="AA12" i="63"/>
  <c r="AA39" i="63"/>
  <c r="AA43" i="63" s="1"/>
  <c r="V38" i="62"/>
  <c r="V42" i="62" s="1"/>
  <c r="V16" i="62"/>
  <c r="V20" i="62" s="1"/>
  <c r="V11" i="62"/>
  <c r="AH76" i="30"/>
  <c r="AH23" i="30"/>
  <c r="T39" i="60"/>
  <c r="T43" i="60" s="1"/>
  <c r="T21" i="60"/>
  <c r="T12" i="60"/>
  <c r="W38" i="62"/>
  <c r="W42" i="62" s="1"/>
  <c r="W16" i="62"/>
  <c r="W20" i="62" s="1"/>
  <c r="W11" i="62"/>
  <c r="X21" i="60"/>
  <c r="X39" i="60"/>
  <c r="X43" i="60" s="1"/>
  <c r="X12" i="60"/>
  <c r="S8" i="63"/>
  <c r="AH51" i="30"/>
  <c r="Y39" i="63"/>
  <c r="Y43" i="63" s="1"/>
  <c r="Y12" i="63"/>
  <c r="V39" i="63"/>
  <c r="V43" i="63" s="1"/>
  <c r="V12" i="63"/>
  <c r="AA7" i="59"/>
  <c r="AB39" i="63"/>
  <c r="AB43" i="63" s="1"/>
  <c r="AB12" i="63"/>
  <c r="AH78" i="30"/>
  <c r="W39" i="60"/>
  <c r="W43" i="60" s="1"/>
  <c r="W21" i="60"/>
  <c r="W12" i="60"/>
  <c r="U39" i="60"/>
  <c r="U43" i="60" s="1"/>
  <c r="U21" i="60"/>
  <c r="U12" i="60"/>
  <c r="AH64" i="30"/>
  <c r="Z16" i="62"/>
  <c r="Z20" i="62" s="1"/>
  <c r="Z38" i="62"/>
  <c r="Z42" i="62" s="1"/>
  <c r="Z11" i="62"/>
  <c r="AD16" i="62"/>
  <c r="AD20" i="62" s="1"/>
  <c r="AD38" i="62"/>
  <c r="AD42" i="62" s="1"/>
  <c r="AD11" i="62"/>
  <c r="V21" i="60"/>
  <c r="V39" i="60"/>
  <c r="V43" i="60" s="1"/>
  <c r="V12" i="60"/>
  <c r="AH58" i="30"/>
  <c r="S7" i="59"/>
  <c r="T38" i="59"/>
  <c r="T42" i="59" s="1"/>
  <c r="T16" i="59"/>
  <c r="T20" i="59" s="1"/>
  <c r="T11" i="59"/>
  <c r="AH60" i="30"/>
  <c r="AH68" i="30"/>
  <c r="Y21" i="60"/>
  <c r="Y39" i="60"/>
  <c r="Y43" i="60" s="1"/>
  <c r="Y12" i="60"/>
  <c r="AH47" i="30"/>
  <c r="Z7" i="59"/>
  <c r="X7" i="59"/>
  <c r="U12" i="63"/>
  <c r="U39" i="63"/>
  <c r="U43" i="63" s="1"/>
  <c r="X38" i="62"/>
  <c r="X42" i="62" s="1"/>
  <c r="X11" i="62"/>
  <c r="X16" i="62"/>
  <c r="X20" i="62" s="1"/>
  <c r="AD39" i="63"/>
  <c r="AD43" i="63" s="1"/>
  <c r="AD12" i="63"/>
  <c r="AH73" i="30"/>
  <c r="S8" i="60"/>
  <c r="S17" i="60" s="1"/>
  <c r="AC39" i="63"/>
  <c r="AC43" i="63" s="1"/>
  <c r="AC12" i="63"/>
  <c r="AH52" i="30"/>
  <c r="X39" i="63"/>
  <c r="X43" i="63" s="1"/>
  <c r="X12" i="63"/>
  <c r="AC16" i="62"/>
  <c r="AC20" i="62" s="1"/>
  <c r="AC38" i="62"/>
  <c r="AC42" i="62" s="1"/>
  <c r="AC11" i="62"/>
  <c r="Z7" i="68" s="1"/>
  <c r="AD39" i="60"/>
  <c r="AD43" i="60" s="1"/>
  <c r="AD21" i="60"/>
  <c r="AD12" i="60"/>
  <c r="T38" i="62"/>
  <c r="T42" i="62" s="1"/>
  <c r="T11" i="62"/>
  <c r="T16" i="62"/>
  <c r="T20" i="62" s="1"/>
  <c r="AC39" i="60"/>
  <c r="AC43" i="60" s="1"/>
  <c r="AC21" i="60"/>
  <c r="AC12" i="60"/>
  <c r="AA21" i="60"/>
  <c r="AA12" i="60"/>
  <c r="AA39" i="60"/>
  <c r="AA43" i="60" s="1"/>
  <c r="S7" i="62"/>
  <c r="AH79" i="30"/>
  <c r="AH48" i="30"/>
  <c r="Z39" i="60"/>
  <c r="Z43" i="60" s="1"/>
  <c r="Z12" i="60"/>
  <c r="Z21" i="60"/>
  <c r="AD7" i="59"/>
  <c r="AC8" i="66"/>
  <c r="Z8" i="57"/>
  <c r="AH77" i="30"/>
  <c r="AH25" i="30"/>
  <c r="X8" i="57"/>
  <c r="T8" i="66"/>
  <c r="Y8" i="66"/>
  <c r="W8" i="57"/>
  <c r="AH56" i="30"/>
  <c r="U8" i="66"/>
  <c r="AH43" i="30"/>
  <c r="X8" i="66"/>
  <c r="AD8" i="57"/>
  <c r="AH50" i="30"/>
  <c r="AA8" i="66"/>
  <c r="T8" i="57"/>
  <c r="AB8" i="57"/>
  <c r="AC8" i="57"/>
  <c r="AD8" i="66"/>
  <c r="U8" i="57"/>
  <c r="V8" i="57"/>
  <c r="AH66" i="30"/>
  <c r="S8" i="57"/>
  <c r="AH67" i="30"/>
  <c r="AH70" i="30"/>
  <c r="Z8" i="66"/>
  <c r="Y8" i="57"/>
  <c r="AH55" i="30"/>
  <c r="S1" i="63" l="1"/>
  <c r="AF1" i="63" s="1"/>
  <c r="S1" i="57"/>
  <c r="AD1" i="57"/>
  <c r="T1" i="57"/>
  <c r="X1" i="57"/>
  <c r="U1" i="57"/>
  <c r="Z1" i="57"/>
  <c r="V1" i="57"/>
  <c r="AC1" i="57"/>
  <c r="W1" i="57"/>
  <c r="Y1" i="57"/>
  <c r="AB1" i="57"/>
  <c r="AI57" i="30"/>
  <c r="AX57" i="30"/>
  <c r="AI22" i="30"/>
  <c r="AX22" i="30"/>
  <c r="AI63" i="30"/>
  <c r="AX63" i="30"/>
  <c r="AI68" i="30"/>
  <c r="AX68" i="30"/>
  <c r="AI77" i="30"/>
  <c r="AX77" i="30"/>
  <c r="AI48" i="30"/>
  <c r="AX48" i="30"/>
  <c r="AI70" i="30"/>
  <c r="AX70" i="30"/>
  <c r="AI79" i="30"/>
  <c r="AX79" i="30"/>
  <c r="AI52" i="30"/>
  <c r="AX52" i="30"/>
  <c r="AI80" i="30"/>
  <c r="AX80" i="30"/>
  <c r="AI46" i="30"/>
  <c r="AX46" i="30"/>
  <c r="AI67" i="30"/>
  <c r="AX67" i="30"/>
  <c r="AI25" i="30"/>
  <c r="AX25" i="30"/>
  <c r="AI72" i="30"/>
  <c r="AX72" i="30"/>
  <c r="AI50" i="30"/>
  <c r="AX50" i="30"/>
  <c r="AI54" i="30"/>
  <c r="AX54" i="30"/>
  <c r="AI78" i="30"/>
  <c r="AX78" i="30"/>
  <c r="AI75" i="30"/>
  <c r="AX75" i="30"/>
  <c r="AI56" i="30"/>
  <c r="AX56" i="30"/>
  <c r="AI23" i="30"/>
  <c r="AX23" i="30"/>
  <c r="AI60" i="30"/>
  <c r="AX60" i="30"/>
  <c r="AI53" i="30"/>
  <c r="AX53" i="30"/>
  <c r="AI91" i="30"/>
  <c r="AX91" i="30"/>
  <c r="AI73" i="30"/>
  <c r="AX73" i="30"/>
  <c r="AI51" i="30"/>
  <c r="AX51" i="30"/>
  <c r="AI49" i="30"/>
  <c r="AX49" i="30"/>
  <c r="AI55" i="30"/>
  <c r="AX55" i="30"/>
  <c r="AI47" i="30"/>
  <c r="AX47" i="30"/>
  <c r="AI58" i="30"/>
  <c r="AX58" i="30"/>
  <c r="AI64" i="30"/>
  <c r="AX64" i="30"/>
  <c r="AI76" i="30"/>
  <c r="AX76" i="30"/>
  <c r="AI66" i="30"/>
  <c r="AX66" i="30"/>
  <c r="AI43" i="30"/>
  <c r="AX43" i="30"/>
  <c r="AC11" i="59"/>
  <c r="Z12" i="68" s="1"/>
  <c r="V16" i="59"/>
  <c r="V20" i="59" s="1"/>
  <c r="AB38" i="59"/>
  <c r="AB42" i="59" s="1"/>
  <c r="U38" i="59"/>
  <c r="U42" i="59" s="1"/>
  <c r="AA23" i="62"/>
  <c r="AA45" i="62" s="1"/>
  <c r="V11" i="59"/>
  <c r="S12" i="68" s="1"/>
  <c r="AC38" i="59"/>
  <c r="AC42" i="59" s="1"/>
  <c r="AC16" i="59"/>
  <c r="AC20" i="59" s="1"/>
  <c r="V38" i="59"/>
  <c r="V42" i="59" s="1"/>
  <c r="U16" i="59"/>
  <c r="U20" i="59" s="1"/>
  <c r="U11" i="59"/>
  <c r="R12" i="68" s="1"/>
  <c r="U23" i="62"/>
  <c r="U45" i="62" s="1"/>
  <c r="Z22" i="60"/>
  <c r="AB16" i="59"/>
  <c r="AB20" i="59" s="1"/>
  <c r="AA22" i="60"/>
  <c r="V24" i="60"/>
  <c r="V46" i="60" s="1"/>
  <c r="T23" i="59"/>
  <c r="T29" i="59" s="1"/>
  <c r="W24" i="60"/>
  <c r="W46" i="60" s="1"/>
  <c r="AC24" i="60"/>
  <c r="AC46" i="60" s="1"/>
  <c r="AC23" i="62"/>
  <c r="AC29" i="62" s="1"/>
  <c r="T22" i="60"/>
  <c r="AB11" i="59"/>
  <c r="Y12" i="68" s="1"/>
  <c r="T21" i="62"/>
  <c r="X21" i="62"/>
  <c r="AB21" i="62"/>
  <c r="AD22" i="60"/>
  <c r="AB22" i="60"/>
  <c r="V21" i="62"/>
  <c r="Y24" i="60"/>
  <c r="Y30" i="60" s="1"/>
  <c r="AD23" i="62"/>
  <c r="AD45" i="62" s="1"/>
  <c r="X22" i="60"/>
  <c r="W23" i="62"/>
  <c r="W29" i="62" s="1"/>
  <c r="T23" i="62"/>
  <c r="T29" i="62" s="1"/>
  <c r="T24" i="60"/>
  <c r="T46" i="60" s="1"/>
  <c r="V23" i="62"/>
  <c r="V29" i="62" s="1"/>
  <c r="AD16" i="59"/>
  <c r="AD20" i="59" s="1"/>
  <c r="AD38" i="59"/>
  <c r="AD42" i="59" s="1"/>
  <c r="AD11" i="59"/>
  <c r="X13" i="68"/>
  <c r="AA27" i="60"/>
  <c r="AD24" i="60"/>
  <c r="AA6" i="68"/>
  <c r="R6" i="68"/>
  <c r="AA16" i="59"/>
  <c r="AA20" i="59" s="1"/>
  <c r="AA38" i="59"/>
  <c r="AA42" i="59" s="1"/>
  <c r="AA11" i="59"/>
  <c r="S39" i="63"/>
  <c r="AF8" i="63"/>
  <c r="S12" i="63"/>
  <c r="Q13" i="68"/>
  <c r="T27" i="60"/>
  <c r="S7" i="68"/>
  <c r="V26" i="62"/>
  <c r="AB24" i="60"/>
  <c r="Q6" i="68"/>
  <c r="R7" i="68"/>
  <c r="U26" i="62"/>
  <c r="Z24" i="60"/>
  <c r="AA13" i="68"/>
  <c r="AD27" i="60"/>
  <c r="X11" i="59"/>
  <c r="X16" i="59"/>
  <c r="X20" i="59" s="1"/>
  <c r="X38" i="59"/>
  <c r="X42" i="59" s="1"/>
  <c r="Q12" i="68"/>
  <c r="T26" i="59"/>
  <c r="V27" i="60"/>
  <c r="S13" i="68"/>
  <c r="Z21" i="62"/>
  <c r="X24" i="60"/>
  <c r="Y13" i="68"/>
  <c r="AB27" i="60"/>
  <c r="Y38" i="59"/>
  <c r="Y42" i="59" s="1"/>
  <c r="Y11" i="59"/>
  <c r="Y16" i="59"/>
  <c r="Y20" i="59" s="1"/>
  <c r="Z11" i="59"/>
  <c r="Z16" i="59"/>
  <c r="Z20" i="59" s="1"/>
  <c r="Z38" i="59"/>
  <c r="Z42" i="59" s="1"/>
  <c r="T21" i="59"/>
  <c r="T13" i="68"/>
  <c r="W27" i="60"/>
  <c r="S6" i="68"/>
  <c r="U13" i="68"/>
  <c r="X27" i="60"/>
  <c r="W13" i="68"/>
  <c r="Z27" i="60"/>
  <c r="Z13" i="68"/>
  <c r="AC27" i="60"/>
  <c r="X23" i="62"/>
  <c r="V22" i="60"/>
  <c r="U24" i="60"/>
  <c r="W22" i="60"/>
  <c r="Y23" i="62"/>
  <c r="AC22" i="60"/>
  <c r="Z6" i="68"/>
  <c r="R13" i="68"/>
  <c r="U27" i="60"/>
  <c r="X6" i="68"/>
  <c r="T6" i="68"/>
  <c r="U7" i="68"/>
  <c r="X26" i="62"/>
  <c r="V13" i="68"/>
  <c r="Y27" i="60"/>
  <c r="AA7" i="68"/>
  <c r="AD26" i="62"/>
  <c r="U22" i="60"/>
  <c r="V6" i="68"/>
  <c r="W6" i="68"/>
  <c r="V7" i="68"/>
  <c r="Y26" i="62"/>
  <c r="X7" i="68"/>
  <c r="AA26" i="62"/>
  <c r="Y6" i="68"/>
  <c r="T7" i="68"/>
  <c r="W26" i="62"/>
  <c r="Y21" i="62"/>
  <c r="S38" i="62"/>
  <c r="S11" i="62"/>
  <c r="S16" i="62"/>
  <c r="AF7" i="62"/>
  <c r="AC26" i="62"/>
  <c r="AC21" i="62"/>
  <c r="S24" i="60"/>
  <c r="S39" i="60"/>
  <c r="AF8" i="60"/>
  <c r="Y22" i="60"/>
  <c r="AD21" i="62"/>
  <c r="W21" i="62"/>
  <c r="AB23" i="62"/>
  <c r="AA24" i="60"/>
  <c r="Q7" i="68"/>
  <c r="T26" i="62"/>
  <c r="U6" i="68"/>
  <c r="S38" i="59"/>
  <c r="AF7" i="59"/>
  <c r="S16" i="59"/>
  <c r="Z23" i="62"/>
  <c r="Y7" i="68"/>
  <c r="AB26" i="62"/>
  <c r="U21" i="62"/>
  <c r="AA21" i="62"/>
  <c r="W7" i="68"/>
  <c r="Z26" i="62"/>
  <c r="W16" i="59"/>
  <c r="W20" i="59" s="1"/>
  <c r="W11" i="59"/>
  <c r="W38" i="59"/>
  <c r="W42" i="59" s="1"/>
  <c r="AH88" i="30"/>
  <c r="AA8" i="57"/>
  <c r="Y39" i="57"/>
  <c r="Y12" i="57"/>
  <c r="AH69" i="30"/>
  <c r="AB39" i="57"/>
  <c r="AB12" i="57"/>
  <c r="T39" i="66"/>
  <c r="T17" i="66"/>
  <c r="T12" i="66"/>
  <c r="U39" i="57"/>
  <c r="U43" i="57" s="1"/>
  <c r="U12" i="57"/>
  <c r="Z39" i="57"/>
  <c r="Z43" i="57" s="1"/>
  <c r="Z12" i="57"/>
  <c r="Z39" i="66"/>
  <c r="Z17" i="66"/>
  <c r="Z24" i="66" s="1"/>
  <c r="Z12" i="66"/>
  <c r="V8" i="66"/>
  <c r="AB8" i="66"/>
  <c r="W8" i="66"/>
  <c r="AD39" i="57"/>
  <c r="AD12" i="57"/>
  <c r="V39" i="57"/>
  <c r="V43" i="57" s="1"/>
  <c r="V12" i="57"/>
  <c r="T39" i="57"/>
  <c r="T43" i="57" s="1"/>
  <c r="T12" i="57"/>
  <c r="Q9" i="68" s="1"/>
  <c r="U17" i="66"/>
  <c r="U24" i="66" s="1"/>
  <c r="U39" i="66"/>
  <c r="U12" i="66"/>
  <c r="R15" i="68" s="1"/>
  <c r="X17" i="66"/>
  <c r="X24" i="66" s="1"/>
  <c r="X39" i="66"/>
  <c r="X12" i="66"/>
  <c r="W39" i="57"/>
  <c r="W43" i="57" s="1"/>
  <c r="W12" i="57"/>
  <c r="T9" i="68" s="1"/>
  <c r="X39" i="57"/>
  <c r="X43" i="57" s="1"/>
  <c r="X12" i="57"/>
  <c r="S39" i="57"/>
  <c r="S12" i="57"/>
  <c r="AD39" i="66"/>
  <c r="AD17" i="66"/>
  <c r="AD24" i="66" s="1"/>
  <c r="AD12" i="66"/>
  <c r="AA15" i="68" s="1"/>
  <c r="AA17" i="66"/>
  <c r="AA24" i="66" s="1"/>
  <c r="AA39" i="66"/>
  <c r="AA12" i="66"/>
  <c r="AC39" i="66"/>
  <c r="AC17" i="66"/>
  <c r="AC24" i="66" s="1"/>
  <c r="AC12" i="66"/>
  <c r="S39" i="66"/>
  <c r="AC39" i="57"/>
  <c r="AC12" i="57"/>
  <c r="Y39" i="66"/>
  <c r="Y17" i="66"/>
  <c r="Y24" i="66" s="1"/>
  <c r="Y12" i="66"/>
  <c r="V15" i="68" s="1"/>
  <c r="AB109" i="73"/>
  <c r="Q19" i="73"/>
  <c r="L105" i="73"/>
  <c r="F106" i="73"/>
  <c r="R104" i="73"/>
  <c r="AA119" i="73"/>
  <c r="AB106" i="73"/>
  <c r="AC116" i="73"/>
  <c r="H104" i="73"/>
  <c r="U117" i="73"/>
  <c r="T116" i="73"/>
  <c r="O15" i="73"/>
  <c r="F111" i="73"/>
  <c r="F118" i="73"/>
  <c r="L104" i="73"/>
  <c r="U115" i="73"/>
  <c r="AE116" i="73"/>
  <c r="L15" i="73"/>
  <c r="L121" i="73"/>
  <c r="T110" i="73"/>
  <c r="P108" i="73"/>
  <c r="X117" i="73"/>
  <c r="W113" i="73"/>
  <c r="AB111" i="73"/>
  <c r="P119" i="73"/>
  <c r="Y106" i="73"/>
  <c r="P15" i="73"/>
  <c r="Z120" i="73"/>
  <c r="AA111" i="73"/>
  <c r="F114" i="73"/>
  <c r="P7" i="73"/>
  <c r="W106" i="73"/>
  <c r="AE115" i="73"/>
  <c r="K109" i="73"/>
  <c r="M121" i="73"/>
  <c r="M106" i="73"/>
  <c r="W120" i="73"/>
  <c r="N15" i="73"/>
  <c r="M11" i="73"/>
  <c r="F104" i="73"/>
  <c r="AD107" i="73"/>
  <c r="V114" i="73"/>
  <c r="L109" i="73"/>
  <c r="F121" i="73"/>
  <c r="AF120" i="73"/>
  <c r="AA118" i="73"/>
  <c r="P3" i="73"/>
  <c r="F108" i="73"/>
  <c r="K119" i="73"/>
  <c r="W112" i="73"/>
  <c r="AE118" i="73"/>
  <c r="R108" i="73"/>
  <c r="Y108" i="73"/>
  <c r="L117" i="73"/>
  <c r="G114" i="73"/>
  <c r="M120" i="73"/>
  <c r="F115" i="73"/>
  <c r="O114" i="73"/>
  <c r="AD121" i="73"/>
  <c r="O118" i="73"/>
  <c r="AE111" i="73"/>
  <c r="O116" i="73"/>
  <c r="AA109" i="73"/>
  <c r="H121" i="73"/>
  <c r="J120" i="73"/>
  <c r="Z111" i="73"/>
  <c r="Z114" i="73"/>
  <c r="H110" i="73"/>
  <c r="P112" i="73"/>
  <c r="L115" i="73"/>
  <c r="AE104" i="73"/>
  <c r="N11" i="73"/>
  <c r="R115" i="73"/>
  <c r="R116" i="73"/>
  <c r="K27" i="73"/>
  <c r="J108" i="73"/>
  <c r="Q11" i="73"/>
  <c r="AB117" i="73"/>
  <c r="Q119" i="73"/>
  <c r="Y111" i="73"/>
  <c r="H116" i="73"/>
  <c r="AD112" i="73"/>
  <c r="Q113" i="73"/>
  <c r="I107" i="73"/>
  <c r="M116" i="73"/>
  <c r="W121" i="73"/>
  <c r="J19" i="73"/>
  <c r="Q109" i="73"/>
  <c r="F109" i="73"/>
  <c r="AF104" i="73"/>
  <c r="P115" i="73"/>
  <c r="J104" i="73"/>
  <c r="M15" i="73"/>
  <c r="AA116" i="73"/>
  <c r="P109" i="73"/>
  <c r="AD119" i="73"/>
  <c r="T114" i="73"/>
  <c r="AB115" i="73"/>
  <c r="U116" i="73"/>
  <c r="AE105" i="73"/>
  <c r="P116" i="73"/>
  <c r="AC105" i="73"/>
  <c r="AF106" i="73"/>
  <c r="V112" i="73"/>
  <c r="L111" i="73"/>
  <c r="I7" i="73"/>
  <c r="O109" i="73"/>
  <c r="AC112" i="73"/>
  <c r="Q107" i="73"/>
  <c r="J111" i="73"/>
  <c r="AE109" i="73"/>
  <c r="J117" i="73"/>
  <c r="G112" i="73"/>
  <c r="K104" i="73"/>
  <c r="R118" i="73"/>
  <c r="I111" i="73"/>
  <c r="G104" i="73"/>
  <c r="L106" i="73"/>
  <c r="U107" i="73"/>
  <c r="F105" i="73"/>
  <c r="Q106" i="73"/>
  <c r="X118" i="73"/>
  <c r="L114" i="73"/>
  <c r="AB105" i="73"/>
  <c r="K19" i="73"/>
  <c r="K108" i="73"/>
  <c r="L118" i="73"/>
  <c r="O19" i="73"/>
  <c r="T119" i="73"/>
  <c r="K11" i="73"/>
  <c r="R15" i="73"/>
  <c r="W119" i="73"/>
  <c r="L112" i="73"/>
  <c r="AD117" i="73"/>
  <c r="Q108" i="73"/>
  <c r="W108" i="73"/>
  <c r="S115" i="73"/>
  <c r="I119" i="73"/>
  <c r="G120" i="73"/>
  <c r="I120" i="73"/>
  <c r="H118" i="73"/>
  <c r="H115" i="73"/>
  <c r="I110" i="73"/>
  <c r="P111" i="73"/>
  <c r="Q114" i="73"/>
  <c r="G110" i="73"/>
  <c r="AD115" i="73"/>
  <c r="J27" i="73"/>
  <c r="T11" i="73"/>
  <c r="R121" i="73"/>
  <c r="AF110" i="73"/>
  <c r="M118" i="73"/>
  <c r="L108" i="73"/>
  <c r="J109" i="73"/>
  <c r="AD120" i="73"/>
  <c r="I117" i="73"/>
  <c r="P27" i="73"/>
  <c r="K114" i="73"/>
  <c r="L120" i="73"/>
  <c r="Y109" i="73"/>
  <c r="W111" i="73"/>
  <c r="AA120" i="73"/>
  <c r="T111" i="73"/>
  <c r="F116" i="73"/>
  <c r="P120" i="73"/>
  <c r="T19" i="73"/>
  <c r="T118" i="73"/>
  <c r="U105" i="73"/>
  <c r="AD110" i="73"/>
  <c r="S27" i="73"/>
  <c r="H109" i="73"/>
  <c r="P11" i="73"/>
  <c r="S7" i="73"/>
  <c r="I19" i="73"/>
  <c r="L107" i="73"/>
  <c r="L3" i="73"/>
  <c r="T15" i="73"/>
  <c r="AD113" i="73"/>
  <c r="G116" i="73"/>
  <c r="G115" i="73"/>
  <c r="M115" i="73"/>
  <c r="V104" i="73"/>
  <c r="V105" i="73"/>
  <c r="AA115" i="73"/>
  <c r="T106" i="73"/>
  <c r="AF112" i="73"/>
  <c r="AF108" i="73"/>
  <c r="V116" i="73"/>
  <c r="P114" i="73"/>
  <c r="AB110" i="73"/>
  <c r="O3" i="73"/>
  <c r="U109" i="73"/>
  <c r="U119" i="73"/>
  <c r="X119" i="73"/>
  <c r="S111" i="73"/>
  <c r="AA121" i="73"/>
  <c r="L113" i="73"/>
  <c r="AF121" i="73"/>
  <c r="R117" i="73"/>
  <c r="W109" i="73"/>
  <c r="Q116" i="73"/>
  <c r="W118" i="73"/>
  <c r="AF119" i="73"/>
  <c r="R7" i="73"/>
  <c r="X115" i="73"/>
  <c r="J110" i="73"/>
  <c r="S105" i="73"/>
  <c r="H108" i="73"/>
  <c r="S15" i="73"/>
  <c r="K105" i="73"/>
  <c r="Q15" i="73"/>
  <c r="J115" i="73"/>
  <c r="M113" i="73"/>
  <c r="AC107" i="73"/>
  <c r="AD109" i="73"/>
  <c r="AC117" i="73"/>
  <c r="AC111" i="73"/>
  <c r="AB121" i="73"/>
  <c r="F112" i="73"/>
  <c r="I115" i="73"/>
  <c r="J114" i="73"/>
  <c r="P110" i="73"/>
  <c r="M19" i="73"/>
  <c r="AA106" i="73"/>
  <c r="N109" i="73"/>
  <c r="J113" i="73"/>
  <c r="Z119" i="73"/>
  <c r="AD111" i="73"/>
  <c r="W116" i="73"/>
  <c r="AE107" i="73"/>
  <c r="AA113" i="73"/>
  <c r="I109" i="73"/>
  <c r="X105" i="73"/>
  <c r="X121" i="73"/>
  <c r="Z112" i="73"/>
  <c r="F113" i="73"/>
  <c r="K3" i="73"/>
  <c r="V121" i="73"/>
  <c r="Q7" i="73"/>
  <c r="AF107" i="73"/>
  <c r="Z106" i="73"/>
  <c r="P104" i="73"/>
  <c r="AF114" i="73"/>
  <c r="M108" i="73"/>
  <c r="N117" i="73"/>
  <c r="AA114" i="73"/>
  <c r="S114" i="73"/>
  <c r="Y112" i="73"/>
  <c r="AB113" i="73"/>
  <c r="I3" i="73"/>
  <c r="S109" i="73"/>
  <c r="Y104" i="73"/>
  <c r="V113" i="73"/>
  <c r="R112" i="73"/>
  <c r="H117" i="73"/>
  <c r="N111" i="73"/>
  <c r="J119" i="73"/>
  <c r="Z109" i="73"/>
  <c r="Y119" i="73"/>
  <c r="K7" i="73"/>
  <c r="M112" i="73"/>
  <c r="M110" i="73"/>
  <c r="AC118" i="73"/>
  <c r="S112" i="73"/>
  <c r="K121" i="73"/>
  <c r="V119" i="73"/>
  <c r="O27" i="73"/>
  <c r="G105" i="73"/>
  <c r="N114" i="73"/>
  <c r="V106" i="73"/>
  <c r="AE121" i="73"/>
  <c r="S119" i="73"/>
  <c r="K112" i="73"/>
  <c r="I114" i="73"/>
  <c r="X112" i="73"/>
  <c r="L27" i="73"/>
  <c r="K111" i="73"/>
  <c r="AC106" i="73"/>
  <c r="H120" i="73"/>
  <c r="AB120" i="73"/>
  <c r="I108" i="73"/>
  <c r="N110" i="73"/>
  <c r="Q111" i="73"/>
  <c r="AC120" i="73"/>
  <c r="K116" i="73"/>
  <c r="AE119" i="73"/>
  <c r="W117" i="73"/>
  <c r="P113" i="73"/>
  <c r="S106" i="73"/>
  <c r="AF118" i="73"/>
  <c r="L7" i="73"/>
  <c r="V109" i="73"/>
  <c r="AB112" i="73"/>
  <c r="Z107" i="73"/>
  <c r="M114" i="73"/>
  <c r="I11" i="73"/>
  <c r="S11" i="73"/>
  <c r="N3" i="73"/>
  <c r="AB116" i="73"/>
  <c r="K113" i="73"/>
  <c r="N108" i="73"/>
  <c r="N115" i="73"/>
  <c r="F110" i="73"/>
  <c r="K107" i="73"/>
  <c r="Y117" i="73"/>
  <c r="AE106" i="73"/>
  <c r="H107" i="73"/>
  <c r="AF105" i="73"/>
  <c r="AD108" i="73"/>
  <c r="I15" i="73"/>
  <c r="AB114" i="73"/>
  <c r="J107" i="73"/>
  <c r="V107" i="73"/>
  <c r="R3" i="73"/>
  <c r="J3" i="73"/>
  <c r="T104" i="73"/>
  <c r="AD105" i="73"/>
  <c r="J118" i="73"/>
  <c r="R111" i="73"/>
  <c r="M7" i="73"/>
  <c r="T27" i="73"/>
  <c r="T105" i="73"/>
  <c r="Z104" i="73"/>
  <c r="N112" i="73"/>
  <c r="AA104" i="73"/>
  <c r="Y110" i="73"/>
  <c r="AA110" i="73"/>
  <c r="U106" i="73"/>
  <c r="W107" i="73"/>
  <c r="I121" i="73"/>
  <c r="R27" i="73"/>
  <c r="P117" i="73"/>
  <c r="Z121" i="73"/>
  <c r="X114" i="73"/>
  <c r="Q112" i="73"/>
  <c r="Q105" i="73"/>
  <c r="R106" i="73"/>
  <c r="N113" i="73"/>
  <c r="N120" i="73"/>
  <c r="T120" i="73"/>
  <c r="AA117" i="73"/>
  <c r="W104" i="73"/>
  <c r="J15" i="73"/>
  <c r="I118" i="73"/>
  <c r="N19" i="73"/>
  <c r="O105" i="73"/>
  <c r="Y116" i="73"/>
  <c r="Q118" i="73"/>
  <c r="T112" i="73"/>
  <c r="M111" i="73"/>
  <c r="AB107" i="73"/>
  <c r="AF115" i="73"/>
  <c r="Y113" i="73"/>
  <c r="K15" i="73"/>
  <c r="O112" i="73"/>
  <c r="O115" i="73"/>
  <c r="K118" i="73"/>
  <c r="Y105" i="73"/>
  <c r="W114" i="73"/>
  <c r="AC110" i="73"/>
  <c r="L110" i="73"/>
  <c r="J121" i="73"/>
  <c r="V110" i="73"/>
  <c r="P105" i="73"/>
  <c r="Q121" i="73"/>
  <c r="W115" i="73"/>
  <c r="T3" i="73"/>
  <c r="X108" i="73"/>
  <c r="I116" i="73"/>
  <c r="T121" i="73"/>
  <c r="AD118" i="73"/>
  <c r="R110" i="73"/>
  <c r="H111" i="73"/>
  <c r="H112" i="73"/>
  <c r="Y121" i="73"/>
  <c r="I113" i="73"/>
  <c r="O7" i="73"/>
  <c r="AB108" i="73"/>
  <c r="AC108" i="73"/>
  <c r="AC113" i="73"/>
  <c r="AF117" i="73"/>
  <c r="N116" i="73"/>
  <c r="H113" i="73"/>
  <c r="O111" i="73"/>
  <c r="O120" i="73"/>
  <c r="Z115" i="73"/>
  <c r="X120" i="73"/>
  <c r="J11" i="73"/>
  <c r="O11" i="73"/>
  <c r="J7" i="73"/>
  <c r="M107" i="73"/>
  <c r="AC119" i="73"/>
  <c r="P118" i="73"/>
  <c r="J116" i="73"/>
  <c r="O121" i="73"/>
  <c r="AD116" i="73"/>
  <c r="AB104" i="73"/>
  <c r="AB119" i="73"/>
  <c r="AE113" i="73"/>
  <c r="R11" i="73"/>
  <c r="AE110" i="73"/>
  <c r="U111" i="73"/>
  <c r="G107" i="73"/>
  <c r="S108" i="73"/>
  <c r="I104" i="73"/>
  <c r="Z113" i="73"/>
  <c r="I106" i="73"/>
  <c r="Z118" i="73"/>
  <c r="H106" i="73"/>
  <c r="J112" i="73"/>
  <c r="X104" i="73"/>
  <c r="L116" i="73"/>
  <c r="N7" i="73"/>
  <c r="X110" i="73"/>
  <c r="U110" i="73"/>
  <c r="K106" i="73"/>
  <c r="T7" i="73"/>
  <c r="F119" i="73"/>
  <c r="N121" i="73"/>
  <c r="M3" i="73"/>
  <c r="G119" i="73"/>
  <c r="T113" i="73"/>
  <c r="Q104" i="73"/>
  <c r="S118" i="73"/>
  <c r="L11" i="73"/>
  <c r="H119" i="73"/>
  <c r="V108" i="73"/>
  <c r="G118" i="73"/>
  <c r="Y115" i="73"/>
  <c r="U114" i="73"/>
  <c r="Q115" i="73"/>
  <c r="AE120" i="73"/>
  <c r="AA107" i="73"/>
  <c r="H114" i="73"/>
  <c r="J105" i="73"/>
  <c r="L19" i="73"/>
  <c r="AA105" i="73"/>
  <c r="R113" i="73"/>
  <c r="U112" i="73"/>
  <c r="G113" i="73"/>
  <c r="M104" i="73"/>
  <c r="S3" i="73"/>
  <c r="AB118" i="73"/>
  <c r="S19" i="73"/>
  <c r="U118" i="73"/>
  <c r="O107" i="73"/>
  <c r="G109" i="73"/>
  <c r="Y107" i="73"/>
  <c r="W105" i="73"/>
  <c r="O117" i="73"/>
  <c r="T109" i="73"/>
  <c r="U108" i="73"/>
  <c r="AC109" i="73"/>
  <c r="AE112" i="73"/>
  <c r="Q120" i="73"/>
  <c r="Q3" i="73"/>
  <c r="L119" i="73"/>
  <c r="N104" i="73"/>
  <c r="U113" i="73"/>
  <c r="Y114" i="73"/>
  <c r="H105" i="73"/>
  <c r="R119" i="73"/>
  <c r="P19" i="73"/>
  <c r="I112" i="73"/>
  <c r="AC114" i="73"/>
  <c r="V115" i="73"/>
  <c r="J106" i="73"/>
  <c r="S104" i="73"/>
  <c r="AC115" i="73"/>
  <c r="X111" i="73"/>
  <c r="O106" i="73"/>
  <c r="S107" i="73"/>
  <c r="T108" i="73"/>
  <c r="X113" i="73"/>
  <c r="V117" i="73"/>
  <c r="K117" i="73"/>
  <c r="AF111" i="73"/>
  <c r="M27" i="73"/>
  <c r="Q110" i="73"/>
  <c r="Q27" i="73"/>
  <c r="R19" i="73"/>
  <c r="O113" i="73"/>
  <c r="Y118" i="73"/>
  <c r="X116" i="73"/>
  <c r="S121" i="73"/>
  <c r="U121" i="73"/>
  <c r="Z105" i="73"/>
  <c r="N118" i="73"/>
  <c r="G121" i="73"/>
  <c r="R107" i="73"/>
  <c r="AF113" i="73"/>
  <c r="AE114" i="73"/>
  <c r="Q117" i="73"/>
  <c r="AF109" i="73"/>
  <c r="N27" i="73"/>
  <c r="I105" i="73"/>
  <c r="G117" i="73"/>
  <c r="K110" i="73"/>
  <c r="N119" i="73"/>
  <c r="G108" i="73"/>
  <c r="S17" i="63" l="1"/>
  <c r="AB17" i="63"/>
  <c r="AO17" i="63"/>
  <c r="AP17" i="63"/>
  <c r="AQ17" i="63"/>
  <c r="AS17" i="63"/>
  <c r="AI17" i="63"/>
  <c r="AK17" i="63"/>
  <c r="AM17" i="63"/>
  <c r="AJ17" i="63"/>
  <c r="AN17" i="63"/>
  <c r="AR17" i="63"/>
  <c r="AL17" i="63"/>
  <c r="AH17" i="63"/>
  <c r="AA17" i="63"/>
  <c r="AD17" i="63"/>
  <c r="V17" i="63"/>
  <c r="T17" i="63"/>
  <c r="Y17" i="63"/>
  <c r="X17" i="63"/>
  <c r="AC17" i="63"/>
  <c r="U17" i="63"/>
  <c r="Z17" i="63"/>
  <c r="W17" i="63"/>
  <c r="AA1" i="57"/>
  <c r="AF1" i="57" s="1"/>
  <c r="V23" i="59"/>
  <c r="V45" i="59" s="1"/>
  <c r="AI88" i="30"/>
  <c r="AX88" i="30"/>
  <c r="AI69" i="30"/>
  <c r="AX69" i="30"/>
  <c r="AA29" i="62"/>
  <c r="AC26" i="59"/>
  <c r="AC32" i="59" s="1"/>
  <c r="AA12" i="57"/>
  <c r="AF12" i="57" s="1"/>
  <c r="V21" i="59"/>
  <c r="U29" i="62"/>
  <c r="V26" i="59"/>
  <c r="V48" i="59" s="1"/>
  <c r="AC21" i="59"/>
  <c r="U21" i="59"/>
  <c r="V45" i="62"/>
  <c r="AC23" i="59"/>
  <c r="U26" i="59"/>
  <c r="U32" i="59" s="1"/>
  <c r="T30" i="60"/>
  <c r="AC30" i="60"/>
  <c r="T45" i="62"/>
  <c r="T51" i="62" s="1"/>
  <c r="U23" i="59"/>
  <c r="U45" i="59" s="1"/>
  <c r="U51" i="59" s="1"/>
  <c r="T45" i="59"/>
  <c r="T51" i="59" s="1"/>
  <c r="W30" i="60"/>
  <c r="AB23" i="59"/>
  <c r="AB29" i="59" s="1"/>
  <c r="V30" i="60"/>
  <c r="AC45" i="62"/>
  <c r="AF8" i="66"/>
  <c r="AV8" i="66" s="1"/>
  <c r="AB26" i="59"/>
  <c r="AB48" i="59" s="1"/>
  <c r="AD29" i="62"/>
  <c r="AB21" i="59"/>
  <c r="W45" i="62"/>
  <c r="Y21" i="59"/>
  <c r="AF8" i="57"/>
  <c r="AA39" i="57"/>
  <c r="AA43" i="57" s="1"/>
  <c r="Y46" i="60"/>
  <c r="W23" i="59"/>
  <c r="W45" i="59" s="1"/>
  <c r="Z23" i="59"/>
  <c r="Z45" i="59" s="1"/>
  <c r="X21" i="59"/>
  <c r="AA21" i="59"/>
  <c r="AD23" i="59"/>
  <c r="AD45" i="59" s="1"/>
  <c r="Y23" i="59"/>
  <c r="Y29" i="59" s="1"/>
  <c r="T52" i="60"/>
  <c r="T32" i="62"/>
  <c r="T48" i="62"/>
  <c r="AF17" i="60"/>
  <c r="AF24" i="60" s="1"/>
  <c r="Y49" i="60"/>
  <c r="Y33" i="60"/>
  <c r="U33" i="60"/>
  <c r="U49" i="60"/>
  <c r="U30" i="60"/>
  <c r="U46" i="60"/>
  <c r="X33" i="60"/>
  <c r="X49" i="60"/>
  <c r="Z26" i="59"/>
  <c r="W12" i="68"/>
  <c r="X23" i="59"/>
  <c r="AF39" i="63"/>
  <c r="S43" i="63"/>
  <c r="AF43" i="63" s="1"/>
  <c r="X30" i="60"/>
  <c r="X46" i="60"/>
  <c r="AA23" i="59"/>
  <c r="Z48" i="62"/>
  <c r="Z32" i="62"/>
  <c r="AA46" i="60"/>
  <c r="AA30" i="60"/>
  <c r="AC32" i="62"/>
  <c r="AC48" i="62"/>
  <c r="X32" i="62"/>
  <c r="X48" i="62"/>
  <c r="AD51" i="62"/>
  <c r="X45" i="62"/>
  <c r="X29" i="62"/>
  <c r="AC52" i="60"/>
  <c r="AB46" i="60"/>
  <c r="AB30" i="60"/>
  <c r="X12" i="68"/>
  <c r="AA26" i="59"/>
  <c r="Z45" i="62"/>
  <c r="Z29" i="62"/>
  <c r="AA48" i="62"/>
  <c r="AA32" i="62"/>
  <c r="W52" i="60"/>
  <c r="U12" i="68"/>
  <c r="X26" i="59"/>
  <c r="V48" i="62"/>
  <c r="V32" i="62"/>
  <c r="AD30" i="60"/>
  <c r="AD46" i="60"/>
  <c r="S23" i="59"/>
  <c r="AF16" i="59"/>
  <c r="AF23" i="59" s="1"/>
  <c r="U51" i="62"/>
  <c r="S20" i="62"/>
  <c r="AF16" i="62"/>
  <c r="AF23" i="62" s="1"/>
  <c r="W33" i="60"/>
  <c r="W49" i="60"/>
  <c r="AA33" i="60"/>
  <c r="AA49" i="60"/>
  <c r="AB45" i="62"/>
  <c r="AB29" i="62"/>
  <c r="P7" i="68"/>
  <c r="AB7" i="68" s="1"/>
  <c r="AF11" i="62"/>
  <c r="W48" i="62"/>
  <c r="W32" i="62"/>
  <c r="Y32" i="62"/>
  <c r="Y48" i="62"/>
  <c r="AC33" i="60"/>
  <c r="AC49" i="60"/>
  <c r="AD49" i="60"/>
  <c r="AD33" i="60"/>
  <c r="T33" i="60"/>
  <c r="T49" i="60"/>
  <c r="V52" i="60"/>
  <c r="T12" i="68"/>
  <c r="W26" i="59"/>
  <c r="AF38" i="59"/>
  <c r="S23" i="62"/>
  <c r="AD32" i="62"/>
  <c r="AD48" i="62"/>
  <c r="Y45" i="62"/>
  <c r="Y29" i="62"/>
  <c r="W21" i="59"/>
  <c r="S42" i="62"/>
  <c r="AF42" i="62" s="1"/>
  <c r="AF38" i="62"/>
  <c r="Z33" i="60"/>
  <c r="Z49" i="60"/>
  <c r="V12" i="68"/>
  <c r="Y26" i="59"/>
  <c r="V49" i="60"/>
  <c r="V33" i="60"/>
  <c r="Z30" i="60"/>
  <c r="Z46" i="60"/>
  <c r="P6" i="68"/>
  <c r="AB6" i="68" s="1"/>
  <c r="AF12" i="63"/>
  <c r="AA12" i="68"/>
  <c r="AD26" i="59"/>
  <c r="V51" i="62"/>
  <c r="AB48" i="62"/>
  <c r="AB32" i="62"/>
  <c r="S46" i="60"/>
  <c r="S30" i="60"/>
  <c r="T48" i="59"/>
  <c r="T32" i="59"/>
  <c r="U48" i="62"/>
  <c r="U32" i="62"/>
  <c r="AF39" i="60"/>
  <c r="AA51" i="62"/>
  <c r="Z21" i="59"/>
  <c r="AB33" i="60"/>
  <c r="AB49" i="60"/>
  <c r="S24" i="63"/>
  <c r="S21" i="63"/>
  <c r="S27" i="63" s="1"/>
  <c r="AD21" i="59"/>
  <c r="Z46" i="66"/>
  <c r="Z30" i="66"/>
  <c r="Q15" i="68"/>
  <c r="AB43" i="57"/>
  <c r="T24" i="66"/>
  <c r="T21" i="66"/>
  <c r="AD43" i="66"/>
  <c r="AA9" i="68"/>
  <c r="Y46" i="66"/>
  <c r="Y30" i="66"/>
  <c r="S43" i="57"/>
  <c r="U30" i="66"/>
  <c r="U46" i="66"/>
  <c r="AD43" i="57"/>
  <c r="T43" i="66"/>
  <c r="U9" i="68"/>
  <c r="Y21" i="66"/>
  <c r="Z9" i="68"/>
  <c r="X15" i="68"/>
  <c r="U43" i="66"/>
  <c r="S9" i="68"/>
  <c r="P9" i="68"/>
  <c r="Y43" i="66"/>
  <c r="Z15" i="68"/>
  <c r="U21" i="66"/>
  <c r="V39" i="66"/>
  <c r="V17" i="66"/>
  <c r="V24" i="66" s="1"/>
  <c r="V12" i="66"/>
  <c r="AC43" i="57"/>
  <c r="AA30" i="66"/>
  <c r="AA46" i="66"/>
  <c r="AA43" i="66"/>
  <c r="W15" i="68"/>
  <c r="R9" i="68"/>
  <c r="AC30" i="66"/>
  <c r="AC46" i="66"/>
  <c r="AC21" i="66"/>
  <c r="AC22" i="66" s="1"/>
  <c r="AA21" i="66"/>
  <c r="AA22" i="66" s="1"/>
  <c r="U15" i="68"/>
  <c r="X30" i="66"/>
  <c r="X46" i="66"/>
  <c r="Z21" i="66"/>
  <c r="Z22" i="66" s="1"/>
  <c r="W9" i="68"/>
  <c r="V9" i="68"/>
  <c r="AD46" i="66"/>
  <c r="AD30" i="66"/>
  <c r="X43" i="66"/>
  <c r="AB17" i="66"/>
  <c r="AB24" i="66" s="1"/>
  <c r="AB39" i="66"/>
  <c r="AB12" i="66"/>
  <c r="Z43" i="66"/>
  <c r="Y43" i="57"/>
  <c r="AC43" i="66"/>
  <c r="AD21" i="66"/>
  <c r="X21" i="66"/>
  <c r="X22" i="66" s="1"/>
  <c r="W17" i="66"/>
  <c r="W39" i="66"/>
  <c r="W12" i="66"/>
  <c r="T15" i="68" s="1"/>
  <c r="Y9" i="68"/>
  <c r="T22" i="66" l="1"/>
  <c r="AC21" i="63"/>
  <c r="AC24" i="63"/>
  <c r="AN24" i="63"/>
  <c r="AN21" i="63"/>
  <c r="X21" i="63"/>
  <c r="X24" i="63"/>
  <c r="AJ24" i="63"/>
  <c r="AJ21" i="63"/>
  <c r="V21" i="63"/>
  <c r="V24" i="63"/>
  <c r="Y21" i="63"/>
  <c r="Y24" i="63"/>
  <c r="AM24" i="63"/>
  <c r="AM21" i="63"/>
  <c r="T21" i="63"/>
  <c r="T24" i="63"/>
  <c r="AK24" i="63"/>
  <c r="AK21" i="63"/>
  <c r="AI24" i="63"/>
  <c r="AI21" i="63"/>
  <c r="AD21" i="63"/>
  <c r="AD24" i="63"/>
  <c r="AS24" i="63"/>
  <c r="AS21" i="63"/>
  <c r="AQ24" i="63"/>
  <c r="AQ21" i="63"/>
  <c r="W21" i="63"/>
  <c r="W24" i="63"/>
  <c r="AH24" i="63"/>
  <c r="AU17" i="63"/>
  <c r="AU24" i="63" s="1"/>
  <c r="AH21" i="63"/>
  <c r="AP24" i="63"/>
  <c r="AP21" i="63"/>
  <c r="Z21" i="63"/>
  <c r="Z24" i="63"/>
  <c r="AL24" i="63"/>
  <c r="AL21" i="63"/>
  <c r="AO24" i="63"/>
  <c r="AO21" i="63"/>
  <c r="AF17" i="63"/>
  <c r="AF24" i="63" s="1"/>
  <c r="AF46" i="63" s="1"/>
  <c r="AA21" i="63"/>
  <c r="AA24" i="63"/>
  <c r="U21" i="63"/>
  <c r="U24" i="63"/>
  <c r="AR24" i="63"/>
  <c r="AR21" i="63"/>
  <c r="AB21" i="63"/>
  <c r="AB24" i="63"/>
  <c r="V29" i="59"/>
  <c r="X17" i="57"/>
  <c r="X21" i="57" s="1"/>
  <c r="X22" i="57" s="1"/>
  <c r="AS17" i="57"/>
  <c r="AI17" i="57"/>
  <c r="AH17" i="57"/>
  <c r="AR17" i="57"/>
  <c r="AQ17" i="57"/>
  <c r="AP17" i="57"/>
  <c r="AO17" i="57"/>
  <c r="AN17" i="57"/>
  <c r="AM17" i="57"/>
  <c r="AL17" i="57"/>
  <c r="AK17" i="57"/>
  <c r="AJ17" i="57"/>
  <c r="AA17" i="57"/>
  <c r="AA21" i="57" s="1"/>
  <c r="AA22" i="57" s="1"/>
  <c r="AD17" i="57"/>
  <c r="AD21" i="57" s="1"/>
  <c r="AD27" i="57" s="1"/>
  <c r="AD33" i="57" s="1"/>
  <c r="S17" i="57"/>
  <c r="T17" i="57"/>
  <c r="AB17" i="57"/>
  <c r="AB24" i="57" s="1"/>
  <c r="AB30" i="57" s="1"/>
  <c r="AC17" i="57"/>
  <c r="W17" i="57"/>
  <c r="U17" i="57"/>
  <c r="V17" i="57"/>
  <c r="Z17" i="57"/>
  <c r="Y17" i="57"/>
  <c r="B7" i="75"/>
  <c r="D7" i="75" s="1"/>
  <c r="AG8" i="66"/>
  <c r="AC48" i="59"/>
  <c r="X9" i="68"/>
  <c r="AB9" i="68" s="1"/>
  <c r="Y52" i="60"/>
  <c r="Z29" i="59"/>
  <c r="V32" i="59"/>
  <c r="AD29" i="59"/>
  <c r="AB45" i="59"/>
  <c r="AB51" i="59" s="1"/>
  <c r="U48" i="59"/>
  <c r="U54" i="59" s="1"/>
  <c r="AF39" i="57"/>
  <c r="AB32" i="59"/>
  <c r="AC51" i="62"/>
  <c r="AC29" i="59"/>
  <c r="AC45" i="59"/>
  <c r="U29" i="59"/>
  <c r="W29" i="59"/>
  <c r="W51" i="62"/>
  <c r="Y45" i="59"/>
  <c r="Y51" i="59" s="1"/>
  <c r="AF17" i="66"/>
  <c r="S22" i="63"/>
  <c r="AD48" i="59"/>
  <c r="AD32" i="59"/>
  <c r="AF43" i="62"/>
  <c r="AB52" i="60"/>
  <c r="Z54" i="62"/>
  <c r="V51" i="59"/>
  <c r="AF30" i="63"/>
  <c r="U54" i="62"/>
  <c r="Y51" i="62"/>
  <c r="W32" i="59"/>
  <c r="W48" i="59"/>
  <c r="W54" i="62"/>
  <c r="X54" i="62"/>
  <c r="Z48" i="59"/>
  <c r="Z32" i="59"/>
  <c r="Y55" i="60"/>
  <c r="S30" i="63"/>
  <c r="S46" i="63"/>
  <c r="S49" i="63"/>
  <c r="S33" i="63"/>
  <c r="Z51" i="59"/>
  <c r="AC55" i="60"/>
  <c r="C11" i="70"/>
  <c r="AF96" i="62"/>
  <c r="W55" i="60"/>
  <c r="V54" i="62"/>
  <c r="AA54" i="62"/>
  <c r="V54" i="59"/>
  <c r="X55" i="60"/>
  <c r="AF46" i="60"/>
  <c r="AF30" i="60"/>
  <c r="AB55" i="60"/>
  <c r="T54" i="59"/>
  <c r="S52" i="60"/>
  <c r="C12" i="70"/>
  <c r="AF99" i="63"/>
  <c r="Z55" i="60"/>
  <c r="AF29" i="59"/>
  <c r="AF45" i="59"/>
  <c r="X48" i="59"/>
  <c r="X32" i="59"/>
  <c r="AA29" i="59"/>
  <c r="AA45" i="59"/>
  <c r="S29" i="59"/>
  <c r="S45" i="59"/>
  <c r="Z51" i="62"/>
  <c r="X52" i="60"/>
  <c r="U52" i="60"/>
  <c r="Z52" i="60"/>
  <c r="AB54" i="59"/>
  <c r="AC54" i="62"/>
  <c r="AF44" i="63"/>
  <c r="AD54" i="62"/>
  <c r="T55" i="60"/>
  <c r="T54" i="62"/>
  <c r="AB54" i="62"/>
  <c r="AB51" i="62"/>
  <c r="AA48" i="59"/>
  <c r="AA32" i="59"/>
  <c r="T27" i="66"/>
  <c r="V55" i="60"/>
  <c r="AD51" i="59"/>
  <c r="S29" i="62"/>
  <c r="S45" i="62"/>
  <c r="Y54" i="62"/>
  <c r="AA55" i="60"/>
  <c r="AF29" i="62"/>
  <c r="AF45" i="62"/>
  <c r="W51" i="59"/>
  <c r="X51" i="62"/>
  <c r="AA52" i="60"/>
  <c r="U55" i="60"/>
  <c r="Y32" i="59"/>
  <c r="Y48" i="59"/>
  <c r="AD55" i="60"/>
  <c r="S26" i="62"/>
  <c r="S21" i="62"/>
  <c r="AF20" i="62"/>
  <c r="AF21" i="62" s="1"/>
  <c r="AD52" i="60"/>
  <c r="X29" i="59"/>
  <c r="X45" i="59"/>
  <c r="W24" i="66"/>
  <c r="W46" i="66" s="1"/>
  <c r="X27" i="66"/>
  <c r="X33" i="66" s="1"/>
  <c r="Z27" i="66"/>
  <c r="Z33" i="66" s="1"/>
  <c r="V43" i="66"/>
  <c r="AD27" i="66"/>
  <c r="AD22" i="66"/>
  <c r="Y27" i="66"/>
  <c r="Y22" i="66"/>
  <c r="Y15" i="68"/>
  <c r="AD52" i="66"/>
  <c r="AD74" i="66"/>
  <c r="AD80" i="66" s="1"/>
  <c r="AC74" i="66"/>
  <c r="AC80" i="66" s="1"/>
  <c r="AC52" i="66"/>
  <c r="AF98" i="57"/>
  <c r="C8" i="70"/>
  <c r="T46" i="66"/>
  <c r="T30" i="66"/>
  <c r="AB30" i="66"/>
  <c r="AB46" i="66"/>
  <c r="S46" i="66"/>
  <c r="AB43" i="66"/>
  <c r="AA27" i="66"/>
  <c r="AB21" i="66"/>
  <c r="AB22" i="66" s="1"/>
  <c r="AA74" i="66"/>
  <c r="AA80" i="66" s="1"/>
  <c r="AA52" i="66"/>
  <c r="S15" i="68"/>
  <c r="Z74" i="66"/>
  <c r="Z80" i="66" s="1"/>
  <c r="Z52" i="66"/>
  <c r="W43" i="66"/>
  <c r="AF39" i="66"/>
  <c r="B38" i="75" s="1"/>
  <c r="D38" i="75" s="1"/>
  <c r="X74" i="66"/>
  <c r="X80" i="66" s="1"/>
  <c r="X52" i="66"/>
  <c r="V30" i="66"/>
  <c r="V46" i="66"/>
  <c r="U27" i="66"/>
  <c r="U22" i="66"/>
  <c r="W21" i="66"/>
  <c r="V21" i="66"/>
  <c r="V22" i="66" s="1"/>
  <c r="AC27" i="66"/>
  <c r="U52" i="66"/>
  <c r="U74" i="66"/>
  <c r="U80" i="66" s="1"/>
  <c r="AF43" i="57"/>
  <c r="AF44" i="57" s="1"/>
  <c r="Y52" i="66"/>
  <c r="Y74" i="66"/>
  <c r="Y80" i="66" s="1"/>
  <c r="AB46" i="57" l="1"/>
  <c r="AA24" i="57"/>
  <c r="AD24" i="57"/>
  <c r="T33" i="66"/>
  <c r="AF21" i="63"/>
  <c r="AF22" i="63" s="1"/>
  <c r="AU30" i="63"/>
  <c r="AU46" i="63"/>
  <c r="AU52" i="63" s="1"/>
  <c r="AI27" i="63"/>
  <c r="AI22" i="63"/>
  <c r="V30" i="63"/>
  <c r="V46" i="63"/>
  <c r="V52" i="63" s="1"/>
  <c r="AB27" i="63"/>
  <c r="AB22" i="63"/>
  <c r="AL27" i="63"/>
  <c r="AL22" i="63"/>
  <c r="W27" i="63"/>
  <c r="W22" i="63"/>
  <c r="AK30" i="63"/>
  <c r="AK46" i="63"/>
  <c r="AK52" i="63" s="1"/>
  <c r="AJ30" i="63"/>
  <c r="AJ46" i="63"/>
  <c r="AJ52" i="63" s="1"/>
  <c r="AL30" i="63"/>
  <c r="AL46" i="63"/>
  <c r="AL52" i="63" s="1"/>
  <c r="X46" i="63"/>
  <c r="X52" i="63" s="1"/>
  <c r="X30" i="63"/>
  <c r="AR30" i="63"/>
  <c r="AR46" i="63"/>
  <c r="AR52" i="63" s="1"/>
  <c r="Z30" i="63"/>
  <c r="Z46" i="63"/>
  <c r="Z52" i="63" s="1"/>
  <c r="AQ46" i="63"/>
  <c r="AQ52" i="63" s="1"/>
  <c r="AQ30" i="63"/>
  <c r="AO22" i="63"/>
  <c r="AO27" i="63"/>
  <c r="AH46" i="63"/>
  <c r="AH52" i="63" s="1"/>
  <c r="AH30" i="63"/>
  <c r="AI30" i="63"/>
  <c r="AI46" i="63"/>
  <c r="AI52" i="63" s="1"/>
  <c r="V22" i="63"/>
  <c r="V27" i="63"/>
  <c r="AB30" i="63"/>
  <c r="AB46" i="63"/>
  <c r="AB52" i="63" s="1"/>
  <c r="AO30" i="63"/>
  <c r="AO46" i="63"/>
  <c r="AO52" i="63" s="1"/>
  <c r="W46" i="63"/>
  <c r="W52" i="63" s="1"/>
  <c r="W30" i="63"/>
  <c r="AK27" i="63"/>
  <c r="AK22" i="63"/>
  <c r="AJ27" i="63"/>
  <c r="AJ22" i="63"/>
  <c r="AR27" i="63"/>
  <c r="AR22" i="63"/>
  <c r="T22" i="63"/>
  <c r="T27" i="63"/>
  <c r="T30" i="63"/>
  <c r="T46" i="63"/>
  <c r="T52" i="63" s="1"/>
  <c r="X27" i="63"/>
  <c r="X22" i="63"/>
  <c r="AM22" i="63"/>
  <c r="AM27" i="63"/>
  <c r="AM46" i="63"/>
  <c r="AM52" i="63" s="1"/>
  <c r="AM30" i="63"/>
  <c r="AN22" i="63"/>
  <c r="AN27" i="63"/>
  <c r="AQ22" i="63"/>
  <c r="AQ27" i="63"/>
  <c r="U30" i="63"/>
  <c r="U46" i="63"/>
  <c r="U52" i="63" s="1"/>
  <c r="Z22" i="63"/>
  <c r="Z27" i="63"/>
  <c r="AS22" i="63"/>
  <c r="AS27" i="63"/>
  <c r="U22" i="63"/>
  <c r="U27" i="63"/>
  <c r="AP22" i="63"/>
  <c r="AP27" i="63"/>
  <c r="AS30" i="63"/>
  <c r="AS46" i="63"/>
  <c r="AS52" i="63" s="1"/>
  <c r="AN30" i="63"/>
  <c r="AN46" i="63"/>
  <c r="AN52" i="63" s="1"/>
  <c r="AA46" i="63"/>
  <c r="AA52" i="63" s="1"/>
  <c r="AA30" i="63"/>
  <c r="AP30" i="63"/>
  <c r="AP46" i="63"/>
  <c r="AP52" i="63" s="1"/>
  <c r="AD30" i="63"/>
  <c r="AD46" i="63"/>
  <c r="AD52" i="63" s="1"/>
  <c r="Y30" i="63"/>
  <c r="Y46" i="63"/>
  <c r="Y52" i="63" s="1"/>
  <c r="AC30" i="63"/>
  <c r="AC46" i="63"/>
  <c r="AC52" i="63" s="1"/>
  <c r="AA27" i="63"/>
  <c r="AA22" i="63"/>
  <c r="AH27" i="63"/>
  <c r="AH22" i="63"/>
  <c r="AU21" i="63"/>
  <c r="AD22" i="63"/>
  <c r="AD27" i="63"/>
  <c r="Y22" i="63"/>
  <c r="Y27" i="63"/>
  <c r="AC27" i="63"/>
  <c r="AC22" i="63"/>
  <c r="AB21" i="57"/>
  <c r="AB22" i="57" s="1"/>
  <c r="X24" i="57"/>
  <c r="X46" i="57" s="1"/>
  <c r="X52" i="57" s="1"/>
  <c r="X27" i="57"/>
  <c r="X33" i="57" s="1"/>
  <c r="AD22" i="57"/>
  <c r="AA27" i="57"/>
  <c r="AA33" i="57" s="1"/>
  <c r="AM24" i="57"/>
  <c r="AM21" i="57"/>
  <c r="AD49" i="57"/>
  <c r="AD55" i="57" s="1"/>
  <c r="AN24" i="57"/>
  <c r="AN21" i="57"/>
  <c r="AO24" i="57"/>
  <c r="AO21" i="57"/>
  <c r="AP24" i="57"/>
  <c r="AP21" i="57"/>
  <c r="AK24" i="57"/>
  <c r="AK21" i="57"/>
  <c r="AQ24" i="57"/>
  <c r="AQ21" i="57"/>
  <c r="AR24" i="57"/>
  <c r="AR21" i="57"/>
  <c r="AH24" i="57"/>
  <c r="AU17" i="57"/>
  <c r="AU24" i="57" s="1"/>
  <c r="AH21" i="57"/>
  <c r="AJ24" i="57"/>
  <c r="AJ21" i="57"/>
  <c r="AI24" i="57"/>
  <c r="AI21" i="57"/>
  <c r="AS24" i="57"/>
  <c r="AS21" i="57"/>
  <c r="AL24" i="57"/>
  <c r="AL21" i="57"/>
  <c r="T21" i="57"/>
  <c r="T24" i="57"/>
  <c r="S24" i="57"/>
  <c r="S21" i="57"/>
  <c r="Y24" i="57"/>
  <c r="Y21" i="57"/>
  <c r="Z21" i="57"/>
  <c r="Z24" i="57"/>
  <c r="V21" i="57"/>
  <c r="V24" i="57"/>
  <c r="U21" i="57"/>
  <c r="U24" i="57"/>
  <c r="W21" i="57"/>
  <c r="W24" i="57"/>
  <c r="AC24" i="57"/>
  <c r="AC21" i="57"/>
  <c r="AF17" i="57"/>
  <c r="AF24" i="57" s="1"/>
  <c r="AF30" i="57" s="1"/>
  <c r="AC54" i="59"/>
  <c r="AF24" i="66"/>
  <c r="AF46" i="66" s="1"/>
  <c r="B16" i="75"/>
  <c r="AC51" i="59"/>
  <c r="T49" i="66"/>
  <c r="T55" i="66" s="1"/>
  <c r="Z49" i="66"/>
  <c r="Z55" i="66" s="1"/>
  <c r="W30" i="66"/>
  <c r="W94" i="30"/>
  <c r="W113" i="30" s="1"/>
  <c r="AA8" i="51"/>
  <c r="AH19" i="30"/>
  <c r="S8" i="51"/>
  <c r="X54" i="59"/>
  <c r="W8" i="51"/>
  <c r="AH20" i="30"/>
  <c r="AF51" i="59"/>
  <c r="Y8" i="51"/>
  <c r="AF52" i="63"/>
  <c r="AB8" i="51"/>
  <c r="S32" i="62"/>
  <c r="S48" i="62"/>
  <c r="AF51" i="62"/>
  <c r="Z8" i="51"/>
  <c r="AC8" i="51"/>
  <c r="W54" i="59"/>
  <c r="AD8" i="51"/>
  <c r="AB94" i="30"/>
  <c r="AB113" i="30" s="1"/>
  <c r="X51" i="59"/>
  <c r="AF52" i="60"/>
  <c r="Z54" i="59"/>
  <c r="AD54" i="59"/>
  <c r="X8" i="51"/>
  <c r="X94" i="30"/>
  <c r="X113" i="30" s="1"/>
  <c r="Y54" i="59"/>
  <c r="S55" i="63"/>
  <c r="U8" i="51"/>
  <c r="T8" i="51"/>
  <c r="X49" i="66"/>
  <c r="X77" i="66" s="1"/>
  <c r="S51" i="59"/>
  <c r="AA51" i="59"/>
  <c r="AF26" i="62"/>
  <c r="S52" i="63"/>
  <c r="V8" i="51"/>
  <c r="AE94" i="30"/>
  <c r="AE113" i="30" s="1"/>
  <c r="Y94" i="30"/>
  <c r="Y113" i="30" s="1"/>
  <c r="S51" i="62"/>
  <c r="AA54" i="59"/>
  <c r="AA30" i="57"/>
  <c r="AA46" i="57"/>
  <c r="V27" i="66"/>
  <c r="V49" i="66" s="1"/>
  <c r="AC33" i="66"/>
  <c r="AC49" i="66"/>
  <c r="Y33" i="66"/>
  <c r="Y49" i="66"/>
  <c r="W27" i="66"/>
  <c r="W22" i="66"/>
  <c r="U49" i="66"/>
  <c r="U33" i="66"/>
  <c r="AB52" i="57"/>
  <c r="S52" i="66"/>
  <c r="S74" i="66"/>
  <c r="S80" i="66" s="1"/>
  <c r="V74" i="66"/>
  <c r="V80" i="66" s="1"/>
  <c r="V52" i="66"/>
  <c r="AD49" i="66"/>
  <c r="AD33" i="66"/>
  <c r="AB74" i="66"/>
  <c r="AB80" i="66" s="1"/>
  <c r="AB52" i="66"/>
  <c r="W74" i="66"/>
  <c r="W80" i="66" s="1"/>
  <c r="W52" i="66"/>
  <c r="AA33" i="66"/>
  <c r="AA49" i="66"/>
  <c r="T74" i="66"/>
  <c r="T80" i="66" s="1"/>
  <c r="T52" i="66"/>
  <c r="AB27" i="66"/>
  <c r="X30" i="57" l="1"/>
  <c r="AD30" i="57"/>
  <c r="AD46" i="57"/>
  <c r="AD52" i="57" s="1"/>
  <c r="AF27" i="63"/>
  <c r="AF33" i="63" s="1"/>
  <c r="AB27" i="57"/>
  <c r="AB33" i="57" s="1"/>
  <c r="AP33" i="63"/>
  <c r="AP49" i="63"/>
  <c r="AP55" i="63" s="1"/>
  <c r="AQ33" i="63"/>
  <c r="AQ49" i="63"/>
  <c r="AQ55" i="63" s="1"/>
  <c r="AU27" i="63"/>
  <c r="AU22" i="63"/>
  <c r="AL49" i="63"/>
  <c r="AL55" i="63" s="1"/>
  <c r="AL33" i="63"/>
  <c r="U33" i="63"/>
  <c r="U49" i="63"/>
  <c r="U55" i="63" s="1"/>
  <c r="AN33" i="63"/>
  <c r="AN49" i="63"/>
  <c r="AN55" i="63" s="1"/>
  <c r="T49" i="63"/>
  <c r="T55" i="63" s="1"/>
  <c r="T33" i="63"/>
  <c r="AO33" i="63"/>
  <c r="AO49" i="63"/>
  <c r="AO55" i="63" s="1"/>
  <c r="AS49" i="63"/>
  <c r="AS55" i="63" s="1"/>
  <c r="AS33" i="63"/>
  <c r="AA33" i="63"/>
  <c r="AA49" i="63"/>
  <c r="AA55" i="63" s="1"/>
  <c r="AR33" i="63"/>
  <c r="AR49" i="63"/>
  <c r="AR55" i="63" s="1"/>
  <c r="AC49" i="63"/>
  <c r="AC55" i="63" s="1"/>
  <c r="AC33" i="63"/>
  <c r="Z49" i="63"/>
  <c r="Z55" i="63" s="1"/>
  <c r="Z33" i="63"/>
  <c r="AM33" i="63"/>
  <c r="AM49" i="63"/>
  <c r="AM55" i="63" s="1"/>
  <c r="V49" i="63"/>
  <c r="V55" i="63" s="1"/>
  <c r="V33" i="63"/>
  <c r="Y33" i="63"/>
  <c r="Y49" i="63"/>
  <c r="Y55" i="63" s="1"/>
  <c r="AJ49" i="63"/>
  <c r="AJ55" i="63" s="1"/>
  <c r="AJ33" i="63"/>
  <c r="AI49" i="63"/>
  <c r="AI55" i="63" s="1"/>
  <c r="AI33" i="63"/>
  <c r="AH49" i="63"/>
  <c r="AH55" i="63" s="1"/>
  <c r="AH33" i="63"/>
  <c r="AB49" i="63"/>
  <c r="AB55" i="63" s="1"/>
  <c r="AB33" i="63"/>
  <c r="AD33" i="63"/>
  <c r="AD49" i="63"/>
  <c r="AD55" i="63" s="1"/>
  <c r="X49" i="63"/>
  <c r="X55" i="63" s="1"/>
  <c r="X33" i="63"/>
  <c r="AK33" i="63"/>
  <c r="AK49" i="63"/>
  <c r="AK55" i="63" s="1"/>
  <c r="W49" i="63"/>
  <c r="W55" i="63" s="1"/>
  <c r="W33" i="63"/>
  <c r="X49" i="57"/>
  <c r="X55" i="57" s="1"/>
  <c r="AA49" i="57"/>
  <c r="AA55" i="57" s="1"/>
  <c r="AO30" i="57"/>
  <c r="AO46" i="57"/>
  <c r="AO52" i="57" s="1"/>
  <c r="AR22" i="57"/>
  <c r="AR27" i="57"/>
  <c r="AJ30" i="57"/>
  <c r="AJ46" i="57"/>
  <c r="AJ52" i="57" s="1"/>
  <c r="AP27" i="57"/>
  <c r="AP22" i="57"/>
  <c r="AH27" i="57"/>
  <c r="AH22" i="57"/>
  <c r="AP30" i="57"/>
  <c r="AP46" i="57"/>
  <c r="AP52" i="57" s="1"/>
  <c r="AU30" i="57"/>
  <c r="AU46" i="57"/>
  <c r="AU52" i="57" s="1"/>
  <c r="AO27" i="57"/>
  <c r="AO22" i="57"/>
  <c r="AL27" i="57"/>
  <c r="AL22" i="57"/>
  <c r="AL30" i="57"/>
  <c r="AL46" i="57"/>
  <c r="AL52" i="57" s="1"/>
  <c r="AR30" i="57"/>
  <c r="AR46" i="57"/>
  <c r="AR52" i="57" s="1"/>
  <c r="AM30" i="57"/>
  <c r="AM46" i="57"/>
  <c r="AM52" i="57" s="1"/>
  <c r="AH30" i="57"/>
  <c r="AH46" i="57"/>
  <c r="AH52" i="57" s="1"/>
  <c r="AN27" i="57"/>
  <c r="AN22" i="57"/>
  <c r="AU21" i="57"/>
  <c r="AS22" i="57"/>
  <c r="AS27" i="57"/>
  <c r="AN30" i="57"/>
  <c r="AN46" i="57"/>
  <c r="AN52" i="57" s="1"/>
  <c r="AS30" i="57"/>
  <c r="AS46" i="57"/>
  <c r="AS52" i="57" s="1"/>
  <c r="AQ22" i="57"/>
  <c r="AQ27" i="57"/>
  <c r="AI22" i="57"/>
  <c r="AI27" i="57"/>
  <c r="AQ30" i="57"/>
  <c r="AQ46" i="57"/>
  <c r="AQ52" i="57" s="1"/>
  <c r="AM22" i="57"/>
  <c r="AM27" i="57"/>
  <c r="AI30" i="57"/>
  <c r="AI46" i="57"/>
  <c r="AI52" i="57" s="1"/>
  <c r="AK27" i="57"/>
  <c r="AK22" i="57"/>
  <c r="AF46" i="57"/>
  <c r="AF52" i="57" s="1"/>
  <c r="AJ22" i="57"/>
  <c r="AJ27" i="57"/>
  <c r="AK30" i="57"/>
  <c r="AK46" i="57"/>
  <c r="AK52" i="57" s="1"/>
  <c r="S22" i="57"/>
  <c r="S27" i="57"/>
  <c r="S46" i="57"/>
  <c r="S52" i="57" s="1"/>
  <c r="S30" i="57"/>
  <c r="T46" i="57"/>
  <c r="T52" i="57" s="1"/>
  <c r="T30" i="57"/>
  <c r="T27" i="57"/>
  <c r="T22" i="57"/>
  <c r="W46" i="57"/>
  <c r="W52" i="57" s="1"/>
  <c r="W30" i="57"/>
  <c r="W22" i="57"/>
  <c r="W27" i="57"/>
  <c r="U30" i="57"/>
  <c r="U46" i="57"/>
  <c r="U52" i="57" s="1"/>
  <c r="U22" i="57"/>
  <c r="U27" i="57"/>
  <c r="AF21" i="57"/>
  <c r="V46" i="57"/>
  <c r="V52" i="57" s="1"/>
  <c r="V30" i="57"/>
  <c r="V22" i="57"/>
  <c r="V27" i="57"/>
  <c r="Z46" i="57"/>
  <c r="Z52" i="57" s="1"/>
  <c r="Z30" i="57"/>
  <c r="Z22" i="57"/>
  <c r="Z27" i="57"/>
  <c r="AC22" i="57"/>
  <c r="AC27" i="57"/>
  <c r="Y22" i="57"/>
  <c r="Y27" i="57"/>
  <c r="AC30" i="57"/>
  <c r="AC46" i="57"/>
  <c r="AC52" i="57" s="1"/>
  <c r="Y30" i="57"/>
  <c r="Y46" i="57"/>
  <c r="Y52" i="57" s="1"/>
  <c r="AI19" i="30"/>
  <c r="AX19" i="30"/>
  <c r="AI20" i="30"/>
  <c r="AX20" i="30"/>
  <c r="Y207" i="30"/>
  <c r="V8" i="32"/>
  <c r="AE207" i="30"/>
  <c r="AB8" i="32"/>
  <c r="W207" i="30"/>
  <c r="T8" i="32"/>
  <c r="X207" i="30"/>
  <c r="U8" i="32"/>
  <c r="AB207" i="30"/>
  <c r="Y8" i="32"/>
  <c r="AF52" i="66"/>
  <c r="B51" i="75" s="1"/>
  <c r="B45" i="75"/>
  <c r="D16" i="75"/>
  <c r="AF30" i="66"/>
  <c r="B29" i="75" s="1"/>
  <c r="B23" i="75"/>
  <c r="AF74" i="66"/>
  <c r="AF80" i="66" s="1"/>
  <c r="Z77" i="66"/>
  <c r="Z101" i="66" s="1"/>
  <c r="Z102" i="66" s="1"/>
  <c r="T77" i="66"/>
  <c r="T101" i="66" s="1"/>
  <c r="T102" i="66" s="1"/>
  <c r="X55" i="66"/>
  <c r="V33" i="66"/>
  <c r="V94" i="30"/>
  <c r="V113" i="30" s="1"/>
  <c r="AA94" i="30"/>
  <c r="AA113" i="30" s="1"/>
  <c r="AD94" i="30"/>
  <c r="AD113" i="30" s="1"/>
  <c r="AG94" i="30"/>
  <c r="AG113" i="30" s="1"/>
  <c r="W8" i="61"/>
  <c r="W8" i="52"/>
  <c r="W39" i="52" s="1"/>
  <c r="T39" i="51"/>
  <c r="T12" i="51"/>
  <c r="T17" i="51"/>
  <c r="T24" i="51" s="1"/>
  <c r="AD9" i="65"/>
  <c r="Z17" i="51"/>
  <c r="Z24" i="51" s="1"/>
  <c r="Z39" i="51"/>
  <c r="Z12" i="51"/>
  <c r="Z8" i="61"/>
  <c r="Z8" i="52"/>
  <c r="Z39" i="52" s="1"/>
  <c r="AD8" i="61"/>
  <c r="AD1" i="61" s="1"/>
  <c r="AD8" i="52"/>
  <c r="AD39" i="52" s="1"/>
  <c r="W39" i="51"/>
  <c r="W17" i="51"/>
  <c r="W24" i="51" s="1"/>
  <c r="W12" i="51"/>
  <c r="S17" i="51"/>
  <c r="S39" i="51"/>
  <c r="AF8" i="51"/>
  <c r="AB9" i="65"/>
  <c r="U17" i="51"/>
  <c r="U24" i="51" s="1"/>
  <c r="U12" i="51"/>
  <c r="U39" i="51"/>
  <c r="AD39" i="51"/>
  <c r="AD17" i="51"/>
  <c r="AD24" i="51" s="1"/>
  <c r="AD12" i="51"/>
  <c r="AA9" i="65"/>
  <c r="Z94" i="30"/>
  <c r="Z113" i="30" s="1"/>
  <c r="AA39" i="51"/>
  <c r="AA17" i="51"/>
  <c r="AA24" i="51" s="1"/>
  <c r="AA12" i="51"/>
  <c r="AH62" i="30"/>
  <c r="S9" i="65"/>
  <c r="AB8" i="61"/>
  <c r="AB8" i="52"/>
  <c r="AB39" i="52" s="1"/>
  <c r="AA8" i="61"/>
  <c r="AA8" i="52"/>
  <c r="AA39" i="52" s="1"/>
  <c r="Y17" i="51"/>
  <c r="Y24" i="51" s="1"/>
  <c r="Y12" i="51"/>
  <c r="Y39" i="51"/>
  <c r="S8" i="61"/>
  <c r="AH38" i="30"/>
  <c r="S8" i="52"/>
  <c r="S39" i="52" s="1"/>
  <c r="AC9" i="65"/>
  <c r="AB39" i="51"/>
  <c r="AB17" i="51"/>
  <c r="AB12" i="51"/>
  <c r="X12" i="51"/>
  <c r="X39" i="51"/>
  <c r="X17" i="51"/>
  <c r="X24" i="51" s="1"/>
  <c r="AC8" i="61"/>
  <c r="AC8" i="52"/>
  <c r="AC39" i="52" s="1"/>
  <c r="AF94" i="30"/>
  <c r="AF113" i="30" s="1"/>
  <c r="V9" i="65"/>
  <c r="AF48" i="62"/>
  <c r="AF32" i="62"/>
  <c r="X9" i="65"/>
  <c r="V8" i="61"/>
  <c r="V8" i="52"/>
  <c r="V39" i="52" s="1"/>
  <c r="V17" i="51"/>
  <c r="V24" i="51" s="1"/>
  <c r="V39" i="51"/>
  <c r="V12" i="51"/>
  <c r="X8" i="61"/>
  <c r="X8" i="52"/>
  <c r="X39" i="52" s="1"/>
  <c r="U9" i="65"/>
  <c r="Y9" i="65"/>
  <c r="AC17" i="51"/>
  <c r="AC24" i="51" s="1"/>
  <c r="AC12" i="51"/>
  <c r="AC39" i="51"/>
  <c r="S54" i="62"/>
  <c r="T9" i="65"/>
  <c r="U8" i="61"/>
  <c r="U8" i="52"/>
  <c r="U39" i="52" s="1"/>
  <c r="Y8" i="61"/>
  <c r="Y8" i="52"/>
  <c r="Y39" i="52" s="1"/>
  <c r="AC94" i="30"/>
  <c r="AC113" i="30" s="1"/>
  <c r="T8" i="61"/>
  <c r="T8" i="52"/>
  <c r="T39" i="52" s="1"/>
  <c r="W9" i="65"/>
  <c r="Z9" i="65"/>
  <c r="AA52" i="57"/>
  <c r="Y55" i="66"/>
  <c r="Y77" i="66"/>
  <c r="AC55" i="66"/>
  <c r="AC77" i="66"/>
  <c r="AD77" i="66"/>
  <c r="AD55" i="66"/>
  <c r="W33" i="66"/>
  <c r="W49" i="66"/>
  <c r="AB49" i="66"/>
  <c r="AB33" i="66"/>
  <c r="AA77" i="66"/>
  <c r="AA55" i="66"/>
  <c r="U55" i="66"/>
  <c r="U77" i="66"/>
  <c r="V77" i="66"/>
  <c r="V55" i="66"/>
  <c r="X101" i="66"/>
  <c r="X102" i="66" s="1"/>
  <c r="X83" i="66"/>
  <c r="Q23" i="73"/>
  <c r="M31" i="73"/>
  <c r="R31" i="73"/>
  <c r="J31" i="73"/>
  <c r="Q31" i="73"/>
  <c r="T31" i="73"/>
  <c r="P31" i="73"/>
  <c r="K23" i="73"/>
  <c r="S31" i="73"/>
  <c r="S23" i="73"/>
  <c r="N31" i="73"/>
  <c r="I23" i="73"/>
  <c r="P23" i="73"/>
  <c r="O23" i="73"/>
  <c r="R23" i="73"/>
  <c r="J23" i="73"/>
  <c r="I31" i="73"/>
  <c r="O31" i="73"/>
  <c r="T23" i="73"/>
  <c r="K31" i="73"/>
  <c r="N23" i="73"/>
  <c r="L31" i="73"/>
  <c r="M23" i="73"/>
  <c r="L23" i="73"/>
  <c r="AV8" i="51" l="1"/>
  <c r="AF49" i="63"/>
  <c r="AF55" i="63" s="1"/>
  <c r="AB49" i="57"/>
  <c r="AB55" i="57" s="1"/>
  <c r="AU33" i="63"/>
  <c r="AU49" i="63"/>
  <c r="AU55" i="63" s="1"/>
  <c r="AC1" i="61"/>
  <c r="S1" i="61"/>
  <c r="W1" i="61"/>
  <c r="Y1" i="61"/>
  <c r="U1" i="61"/>
  <c r="Z1" i="61"/>
  <c r="AB1" i="61"/>
  <c r="V1" i="61"/>
  <c r="T1" i="61"/>
  <c r="X1" i="61"/>
  <c r="AA1" i="61"/>
  <c r="AJ49" i="57"/>
  <c r="AJ55" i="57" s="1"/>
  <c r="AJ33" i="57"/>
  <c r="AQ33" i="57"/>
  <c r="AQ49" i="57"/>
  <c r="AQ55" i="57" s="1"/>
  <c r="AP49" i="57"/>
  <c r="AP55" i="57" s="1"/>
  <c r="AP33" i="57"/>
  <c r="AI33" i="57"/>
  <c r="AI49" i="57"/>
  <c r="AI55" i="57" s="1"/>
  <c r="AU27" i="57"/>
  <c r="AU22" i="57"/>
  <c r="AH33" i="57"/>
  <c r="AH49" i="57"/>
  <c r="AH55" i="57" s="1"/>
  <c r="AN49" i="57"/>
  <c r="AN55" i="57" s="1"/>
  <c r="AN33" i="57"/>
  <c r="AK33" i="57"/>
  <c r="AK49" i="57"/>
  <c r="AK55" i="57" s="1"/>
  <c r="AO49" i="57"/>
  <c r="AO55" i="57" s="1"/>
  <c r="AO33" i="57"/>
  <c r="AR33" i="57"/>
  <c r="AR49" i="57"/>
  <c r="AR55" i="57" s="1"/>
  <c r="AL33" i="57"/>
  <c r="AL49" i="57"/>
  <c r="AL55" i="57" s="1"/>
  <c r="AM49" i="57"/>
  <c r="AM55" i="57" s="1"/>
  <c r="AM33" i="57"/>
  <c r="AS33" i="57"/>
  <c r="AS49" i="57"/>
  <c r="AS55" i="57" s="1"/>
  <c r="T49" i="57"/>
  <c r="T55" i="57" s="1"/>
  <c r="T33" i="57"/>
  <c r="S33" i="57"/>
  <c r="S49" i="57"/>
  <c r="S55" i="57" s="1"/>
  <c r="AC33" i="57"/>
  <c r="AC49" i="57"/>
  <c r="AC55" i="57" s="1"/>
  <c r="AF22" i="57"/>
  <c r="AF27" i="57"/>
  <c r="U33" i="57"/>
  <c r="U49" i="57"/>
  <c r="U55" i="57" s="1"/>
  <c r="Z33" i="57"/>
  <c r="Z49" i="57"/>
  <c r="Z55" i="57" s="1"/>
  <c r="W33" i="57"/>
  <c r="W49" i="57"/>
  <c r="W55" i="57" s="1"/>
  <c r="V33" i="57"/>
  <c r="V49" i="57"/>
  <c r="V55" i="57" s="1"/>
  <c r="Y33" i="57"/>
  <c r="Y49" i="57"/>
  <c r="Y55" i="57" s="1"/>
  <c r="X1" i="65"/>
  <c r="AA1" i="65"/>
  <c r="Y1" i="65"/>
  <c r="AD1" i="65"/>
  <c r="U1" i="65"/>
  <c r="V1" i="65"/>
  <c r="S1" i="65"/>
  <c r="AC1" i="65"/>
  <c r="T1" i="65"/>
  <c r="Z1" i="65"/>
  <c r="AB1" i="65"/>
  <c r="W1" i="65"/>
  <c r="AI38" i="30"/>
  <c r="AX38" i="30"/>
  <c r="AI62" i="30"/>
  <c r="AX62" i="30"/>
  <c r="E7" i="75"/>
  <c r="G7" i="75" s="1"/>
  <c r="AF207" i="30"/>
  <c r="AC8" i="32"/>
  <c r="AC12" i="32" s="1"/>
  <c r="Z207" i="30"/>
  <c r="W8" i="32"/>
  <c r="W12" i="32" s="1"/>
  <c r="AG207" i="30"/>
  <c r="AD8" i="32"/>
  <c r="AD12" i="32" s="1"/>
  <c r="AD207" i="30"/>
  <c r="AA8" i="32"/>
  <c r="AA12" i="32" s="1"/>
  <c r="AA207" i="30"/>
  <c r="X8" i="32"/>
  <c r="X12" i="32" s="1"/>
  <c r="V207" i="30"/>
  <c r="S8" i="32"/>
  <c r="AC207" i="30"/>
  <c r="Z8" i="32"/>
  <c r="Z12" i="32" s="1"/>
  <c r="AH94" i="30"/>
  <c r="AH113" i="30" s="1"/>
  <c r="T83" i="66"/>
  <c r="Z83" i="66"/>
  <c r="T12" i="32"/>
  <c r="U12" i="32"/>
  <c r="AB12" i="32"/>
  <c r="V12" i="32"/>
  <c r="Y12" i="32"/>
  <c r="X46" i="51"/>
  <c r="X30" i="51"/>
  <c r="T46" i="51"/>
  <c r="T30" i="51"/>
  <c r="W30" i="51"/>
  <c r="W46" i="51"/>
  <c r="Y39" i="61"/>
  <c r="Y43" i="61" s="1"/>
  <c r="Y12" i="61"/>
  <c r="U13" i="65"/>
  <c r="V21" i="51"/>
  <c r="V22" i="51" s="1"/>
  <c r="AF54" i="62"/>
  <c r="AB21" i="51"/>
  <c r="AB22" i="51" s="1"/>
  <c r="AA43" i="51"/>
  <c r="AD12" i="52"/>
  <c r="AD17" i="52"/>
  <c r="AD21" i="52" s="1"/>
  <c r="AD43" i="52"/>
  <c r="Z21" i="51"/>
  <c r="Z22" i="51" s="1"/>
  <c r="V17" i="52"/>
  <c r="V21" i="52" s="1"/>
  <c r="V43" i="52"/>
  <c r="V12" i="52"/>
  <c r="X21" i="51"/>
  <c r="X22" i="51" s="1"/>
  <c r="AB43" i="51"/>
  <c r="Y30" i="51"/>
  <c r="Y46" i="51"/>
  <c r="AD39" i="61"/>
  <c r="AD43" i="61" s="1"/>
  <c r="AD12" i="61"/>
  <c r="AD13" i="65"/>
  <c r="W13" i="65"/>
  <c r="AC46" i="51"/>
  <c r="AC30" i="51"/>
  <c r="V13" i="65"/>
  <c r="X43" i="51"/>
  <c r="Y43" i="51"/>
  <c r="AB17" i="52"/>
  <c r="AB21" i="52" s="1"/>
  <c r="AB43" i="52"/>
  <c r="AB12" i="52"/>
  <c r="U30" i="51"/>
  <c r="U46" i="51"/>
  <c r="AF39" i="51"/>
  <c r="AC43" i="51"/>
  <c r="V39" i="61"/>
  <c r="V43" i="61" s="1"/>
  <c r="V12" i="61"/>
  <c r="U14" i="68"/>
  <c r="AC13" i="65"/>
  <c r="V14" i="68"/>
  <c r="AB12" i="61"/>
  <c r="AB39" i="61"/>
  <c r="AB43" i="61" s="1"/>
  <c r="U43" i="51"/>
  <c r="AF17" i="51"/>
  <c r="U17" i="52"/>
  <c r="U21" i="52" s="1"/>
  <c r="U43" i="52"/>
  <c r="U12" i="52"/>
  <c r="Z14" i="68"/>
  <c r="X43" i="52"/>
  <c r="X17" i="52"/>
  <c r="X21" i="52" s="1"/>
  <c r="X12" i="52"/>
  <c r="Y21" i="51"/>
  <c r="Y22" i="51" s="1"/>
  <c r="AF9" i="65"/>
  <c r="R14" i="68"/>
  <c r="T14" i="68"/>
  <c r="T21" i="51"/>
  <c r="T22" i="51" s="1"/>
  <c r="T12" i="52"/>
  <c r="T43" i="52"/>
  <c r="T17" i="52"/>
  <c r="T21" i="52" s="1"/>
  <c r="U12" i="61"/>
  <c r="U39" i="61"/>
  <c r="U43" i="61" s="1"/>
  <c r="AC21" i="51"/>
  <c r="AC22" i="51" s="1"/>
  <c r="AA13" i="65"/>
  <c r="U21" i="51"/>
  <c r="U22" i="51" s="1"/>
  <c r="Z43" i="52"/>
  <c r="Z17" i="52"/>
  <c r="Z21" i="52" s="1"/>
  <c r="Z12" i="52"/>
  <c r="Q14" i="68"/>
  <c r="T39" i="61"/>
  <c r="T43" i="61" s="1"/>
  <c r="T12" i="61"/>
  <c r="Y13" i="65"/>
  <c r="X39" i="61"/>
  <c r="X43" i="61" s="1"/>
  <c r="X12" i="61"/>
  <c r="AA14" i="68"/>
  <c r="W21" i="51"/>
  <c r="W22" i="51" s="1"/>
  <c r="Z39" i="61"/>
  <c r="Z43" i="61" s="1"/>
  <c r="Z12" i="61"/>
  <c r="T43" i="51"/>
  <c r="V46" i="51"/>
  <c r="V30" i="51"/>
  <c r="X13" i="65"/>
  <c r="AC17" i="52"/>
  <c r="AC21" i="52" s="1"/>
  <c r="AC43" i="52"/>
  <c r="AC12" i="52"/>
  <c r="AF8" i="52"/>
  <c r="S12" i="52"/>
  <c r="S17" i="52"/>
  <c r="AA43" i="52"/>
  <c r="AA12" i="52"/>
  <c r="AA17" i="52"/>
  <c r="AA21" i="52" s="1"/>
  <c r="AA30" i="51"/>
  <c r="AA46" i="51"/>
  <c r="AD46" i="51"/>
  <c r="AD30" i="51"/>
  <c r="AB13" i="65"/>
  <c r="W43" i="51"/>
  <c r="Z46" i="51"/>
  <c r="Z30" i="51"/>
  <c r="W43" i="52"/>
  <c r="W17" i="52"/>
  <c r="W21" i="52" s="1"/>
  <c r="W12" i="52"/>
  <c r="T13" i="65"/>
  <c r="S14" i="68"/>
  <c r="AB24" i="51"/>
  <c r="AA12" i="61"/>
  <c r="AA39" i="61"/>
  <c r="AA43" i="61" s="1"/>
  <c r="X14" i="68"/>
  <c r="AD21" i="51"/>
  <c r="AD22" i="51" s="1"/>
  <c r="W14" i="68"/>
  <c r="Z13" i="65"/>
  <c r="Y17" i="52"/>
  <c r="Y21" i="52" s="1"/>
  <c r="Y12" i="52"/>
  <c r="Y43" i="52"/>
  <c r="V43" i="51"/>
  <c r="AC39" i="61"/>
  <c r="AC43" i="61" s="1"/>
  <c r="AC12" i="61"/>
  <c r="Y14" i="68"/>
  <c r="S12" i="61"/>
  <c r="AF8" i="61"/>
  <c r="S39" i="61"/>
  <c r="AA21" i="51"/>
  <c r="AA22" i="51" s="1"/>
  <c r="AD43" i="51"/>
  <c r="S24" i="51"/>
  <c r="Z43" i="51"/>
  <c r="W12" i="61"/>
  <c r="W39" i="61"/>
  <c r="W43" i="61" s="1"/>
  <c r="U101" i="66"/>
  <c r="U102" i="66" s="1"/>
  <c r="U83" i="66"/>
  <c r="V83" i="66"/>
  <c r="V101" i="66"/>
  <c r="V102" i="66" s="1"/>
  <c r="AC101" i="66"/>
  <c r="AC102" i="66" s="1"/>
  <c r="AC83" i="66"/>
  <c r="AB77" i="66"/>
  <c r="AB55" i="66"/>
  <c r="Y83" i="66"/>
  <c r="Y101" i="66"/>
  <c r="Y102" i="66" s="1"/>
  <c r="AA83" i="66"/>
  <c r="AA101" i="66"/>
  <c r="AA102" i="66" s="1"/>
  <c r="W77" i="66"/>
  <c r="W55" i="66"/>
  <c r="AD83" i="66"/>
  <c r="AD101" i="66"/>
  <c r="AD102" i="66" s="1"/>
  <c r="AG9" i="65" l="1"/>
  <c r="AV9" i="65"/>
  <c r="AV8" i="52"/>
  <c r="E38" i="75"/>
  <c r="G38" i="75" s="1"/>
  <c r="AF1" i="61"/>
  <c r="AU49" i="57"/>
  <c r="AU55" i="57" s="1"/>
  <c r="AU33" i="57"/>
  <c r="AF49" i="57"/>
  <c r="AF55" i="57" s="1"/>
  <c r="AF33" i="57"/>
  <c r="AF1" i="65"/>
  <c r="AH207" i="30"/>
  <c r="AX113" i="30"/>
  <c r="H7" i="75"/>
  <c r="J7" i="75" s="1"/>
  <c r="K7" i="75"/>
  <c r="M7" i="75" s="1"/>
  <c r="AF24" i="51"/>
  <c r="E16" i="75"/>
  <c r="G16" i="75" s="1"/>
  <c r="Z11" i="75"/>
  <c r="AB27" i="51"/>
  <c r="AB49" i="51" s="1"/>
  <c r="X27" i="51"/>
  <c r="X49" i="51" s="1"/>
  <c r="V27" i="51"/>
  <c r="V33" i="51" s="1"/>
  <c r="AA22" i="52"/>
  <c r="T27" i="51"/>
  <c r="T33" i="51" s="1"/>
  <c r="W24" i="52"/>
  <c r="W46" i="52" s="1"/>
  <c r="V24" i="52"/>
  <c r="V30" i="52" s="1"/>
  <c r="AA24" i="52"/>
  <c r="AA30" i="52" s="1"/>
  <c r="AC24" i="52"/>
  <c r="AC30" i="52" s="1"/>
  <c r="AB24" i="52"/>
  <c r="AB46" i="52" s="1"/>
  <c r="Z27" i="51"/>
  <c r="Z49" i="51" s="1"/>
  <c r="T22" i="52"/>
  <c r="U22" i="52"/>
  <c r="W27" i="51"/>
  <c r="W33" i="51" s="1"/>
  <c r="X22" i="52"/>
  <c r="U27" i="51"/>
  <c r="U33" i="51" s="1"/>
  <c r="AC27" i="51"/>
  <c r="AC33" i="51" s="1"/>
  <c r="V22" i="52"/>
  <c r="AA33" i="68"/>
  <c r="AA32" i="68"/>
  <c r="Z17" i="68"/>
  <c r="AD74" i="51"/>
  <c r="AD80" i="51" s="1"/>
  <c r="AD52" i="51"/>
  <c r="S30" i="51"/>
  <c r="S46" i="51"/>
  <c r="V10" i="68"/>
  <c r="Y27" i="52"/>
  <c r="AA27" i="51"/>
  <c r="AA74" i="51"/>
  <c r="AA80" i="51" s="1"/>
  <c r="AA52" i="51"/>
  <c r="Q8" i="68"/>
  <c r="Z33" i="68"/>
  <c r="Z32" i="68"/>
  <c r="T17" i="68"/>
  <c r="S10" i="68"/>
  <c r="V27" i="52"/>
  <c r="AD22" i="52"/>
  <c r="V52" i="51"/>
  <c r="V74" i="51"/>
  <c r="V80" i="51" s="1"/>
  <c r="Y33" i="68"/>
  <c r="Y32" i="68"/>
  <c r="Y22" i="52"/>
  <c r="X32" i="68"/>
  <c r="X33" i="68"/>
  <c r="Z52" i="51"/>
  <c r="Z74" i="51"/>
  <c r="Z80" i="51" s="1"/>
  <c r="Z10" i="68"/>
  <c r="AC27" i="52"/>
  <c r="Q10" i="68"/>
  <c r="T27" i="52"/>
  <c r="U24" i="52"/>
  <c r="AD27" i="52"/>
  <c r="AA10" i="68"/>
  <c r="W74" i="51"/>
  <c r="W80" i="51" s="1"/>
  <c r="W52" i="51"/>
  <c r="X17" i="68"/>
  <c r="R10" i="68"/>
  <c r="U27" i="52"/>
  <c r="X74" i="51"/>
  <c r="X80" i="51" s="1"/>
  <c r="X52" i="51"/>
  <c r="Q17" i="68"/>
  <c r="Z8" i="68"/>
  <c r="W17" i="68"/>
  <c r="X10" i="68"/>
  <c r="AA27" i="52"/>
  <c r="AC22" i="52"/>
  <c r="W8" i="68"/>
  <c r="U8" i="68"/>
  <c r="U33" i="68"/>
  <c r="U32" i="68"/>
  <c r="U52" i="51"/>
  <c r="U74" i="51"/>
  <c r="U80" i="51" s="1"/>
  <c r="AF8" i="32"/>
  <c r="Q33" i="68"/>
  <c r="Q32" i="68"/>
  <c r="Y52" i="51"/>
  <c r="Y74" i="51"/>
  <c r="Y80" i="51" s="1"/>
  <c r="R17" i="68"/>
  <c r="X8" i="68"/>
  <c r="U17" i="68"/>
  <c r="Z24" i="52"/>
  <c r="T32" i="68"/>
  <c r="T33" i="68"/>
  <c r="X24" i="52"/>
  <c r="Y8" i="68"/>
  <c r="AB46" i="51"/>
  <c r="AB30" i="51"/>
  <c r="Y17" i="68"/>
  <c r="S24" i="52"/>
  <c r="AF17" i="52"/>
  <c r="S21" i="52"/>
  <c r="S27" i="52" s="1"/>
  <c r="W10" i="68"/>
  <c r="Z27" i="52"/>
  <c r="R8" i="68"/>
  <c r="U10" i="68"/>
  <c r="X27" i="52"/>
  <c r="Y27" i="51"/>
  <c r="S8" i="68"/>
  <c r="Y10" i="68"/>
  <c r="AB27" i="52"/>
  <c r="S17" i="68"/>
  <c r="AA17" i="68"/>
  <c r="P8" i="68"/>
  <c r="AF12" i="61"/>
  <c r="V17" i="68"/>
  <c r="Z22" i="52"/>
  <c r="R33" i="68"/>
  <c r="R32" i="68"/>
  <c r="V33" i="68"/>
  <c r="V32" i="68"/>
  <c r="T8" i="68"/>
  <c r="AF39" i="61"/>
  <c r="S43" i="61"/>
  <c r="AF43" i="61" s="1"/>
  <c r="W33" i="68"/>
  <c r="W32" i="68"/>
  <c r="T10" i="68"/>
  <c r="W27" i="52"/>
  <c r="P10" i="68"/>
  <c r="AF12" i="52"/>
  <c r="Y24" i="52"/>
  <c r="S33" i="68"/>
  <c r="S32" i="68"/>
  <c r="W22" i="52"/>
  <c r="AF39" i="52"/>
  <c r="H38" i="75" s="1"/>
  <c r="S43" i="52"/>
  <c r="AF43" i="52" s="1"/>
  <c r="AD27" i="51"/>
  <c r="T24" i="52"/>
  <c r="AB22" i="52"/>
  <c r="AC74" i="51"/>
  <c r="AC80" i="51" s="1"/>
  <c r="AC52" i="51"/>
  <c r="AA8" i="68"/>
  <c r="AD24" i="52"/>
  <c r="V8" i="68"/>
  <c r="T74" i="51"/>
  <c r="T80" i="51" s="1"/>
  <c r="T52" i="51"/>
  <c r="AB83" i="66"/>
  <c r="AB101" i="66"/>
  <c r="AB102" i="66" s="1"/>
  <c r="W101" i="66"/>
  <c r="W102" i="66" s="1"/>
  <c r="W83" i="66"/>
  <c r="AG8" i="32" l="1"/>
  <c r="AV8" i="32"/>
  <c r="AG60" i="32"/>
  <c r="AV12" i="52"/>
  <c r="AF46" i="51"/>
  <c r="AF74" i="51" s="1"/>
  <c r="AF80" i="51" s="1"/>
  <c r="AD17" i="61"/>
  <c r="AI17" i="61"/>
  <c r="AM17" i="61"/>
  <c r="AH17" i="61"/>
  <c r="AS17" i="61"/>
  <c r="AN17" i="61"/>
  <c r="AR17" i="61"/>
  <c r="AJ17" i="61"/>
  <c r="AO17" i="61"/>
  <c r="AK17" i="61"/>
  <c r="AL17" i="61"/>
  <c r="AP17" i="61"/>
  <c r="AQ17" i="61"/>
  <c r="AC17" i="61"/>
  <c r="Z17" i="61"/>
  <c r="AA17" i="61"/>
  <c r="S17" i="61"/>
  <c r="AB17" i="61"/>
  <c r="W17" i="61"/>
  <c r="V17" i="61"/>
  <c r="U17" i="61"/>
  <c r="X17" i="61"/>
  <c r="Y17" i="61"/>
  <c r="T17" i="61"/>
  <c r="AS18" i="65"/>
  <c r="AI18" i="65"/>
  <c r="AR18" i="65"/>
  <c r="AH18" i="65"/>
  <c r="AK18" i="65"/>
  <c r="AQ18" i="65"/>
  <c r="AP18" i="65"/>
  <c r="AO18" i="65"/>
  <c r="AN18" i="65"/>
  <c r="AJ18" i="65"/>
  <c r="AM18" i="65"/>
  <c r="AL18" i="65"/>
  <c r="X18" i="65"/>
  <c r="V18" i="65"/>
  <c r="AB18" i="65"/>
  <c r="AA18" i="65"/>
  <c r="W18" i="65"/>
  <c r="Y18" i="65"/>
  <c r="AD18" i="65"/>
  <c r="T18" i="65"/>
  <c r="S18" i="65"/>
  <c r="U18" i="65"/>
  <c r="Z18" i="65"/>
  <c r="AC18" i="65"/>
  <c r="H42" i="75"/>
  <c r="J42" i="75" s="1"/>
  <c r="AF30" i="51"/>
  <c r="Q7" i="75"/>
  <c r="S7" i="75" s="1"/>
  <c r="H11" i="75"/>
  <c r="J11" i="75" s="1"/>
  <c r="AF24" i="52"/>
  <c r="AF30" i="52" s="1"/>
  <c r="H16" i="75"/>
  <c r="J16" i="75" s="1"/>
  <c r="J38" i="75"/>
  <c r="AJ11" i="75"/>
  <c r="AL11" i="75" s="1"/>
  <c r="W30" i="52"/>
  <c r="V49" i="51"/>
  <c r="V77" i="51" s="1"/>
  <c r="AB33" i="51"/>
  <c r="AA46" i="52"/>
  <c r="AA52" i="52" s="1"/>
  <c r="X33" i="51"/>
  <c r="V46" i="52"/>
  <c r="V52" i="52" s="1"/>
  <c r="T49" i="51"/>
  <c r="T77" i="51" s="1"/>
  <c r="AB30" i="52"/>
  <c r="W49" i="51"/>
  <c r="W55" i="51" s="1"/>
  <c r="V28" i="68"/>
  <c r="AA28" i="68"/>
  <c r="U49" i="51"/>
  <c r="U77" i="51" s="1"/>
  <c r="S28" i="68"/>
  <c r="Z33" i="51"/>
  <c r="AC46" i="52"/>
  <c r="AC74" i="52" s="1"/>
  <c r="AC80" i="52" s="1"/>
  <c r="AC49" i="51"/>
  <c r="AC77" i="51" s="1"/>
  <c r="Q28" i="68"/>
  <c r="X28" i="68"/>
  <c r="AF44" i="61"/>
  <c r="Y28" i="68"/>
  <c r="AF44" i="52"/>
  <c r="T28" i="68"/>
  <c r="W28" i="68"/>
  <c r="AF100" i="52"/>
  <c r="AF72" i="52"/>
  <c r="C5" i="70"/>
  <c r="X77" i="51"/>
  <c r="X55" i="51"/>
  <c r="S27" i="68"/>
  <c r="S26" i="68"/>
  <c r="S29" i="68"/>
  <c r="S19" i="68"/>
  <c r="S38" i="68" s="1"/>
  <c r="AB55" i="51"/>
  <c r="AB77" i="51"/>
  <c r="U26" i="68"/>
  <c r="U27" i="68"/>
  <c r="U19" i="68"/>
  <c r="U38" i="68" s="1"/>
  <c r="U29" i="68"/>
  <c r="S52" i="51"/>
  <c r="S74" i="51"/>
  <c r="S80" i="51" s="1"/>
  <c r="U33" i="52"/>
  <c r="U49" i="52"/>
  <c r="W74" i="52"/>
  <c r="W80" i="52" s="1"/>
  <c r="W52" i="52"/>
  <c r="X26" i="68"/>
  <c r="X19" i="68"/>
  <c r="X30" i="68" s="1"/>
  <c r="X29" i="68"/>
  <c r="X27" i="68"/>
  <c r="U30" i="52"/>
  <c r="U46" i="52"/>
  <c r="Z19" i="68"/>
  <c r="Z30" i="68" s="1"/>
  <c r="Z29" i="68"/>
  <c r="Z27" i="68"/>
  <c r="Z26" i="68"/>
  <c r="AB10" i="68"/>
  <c r="P27" i="68"/>
  <c r="P26" i="68"/>
  <c r="P29" i="68"/>
  <c r="C10" i="70"/>
  <c r="AF98" i="61"/>
  <c r="W33" i="52"/>
  <c r="W49" i="52"/>
  <c r="AA33" i="52"/>
  <c r="AA49" i="52"/>
  <c r="R19" i="68"/>
  <c r="R38" i="68" s="1"/>
  <c r="R26" i="68"/>
  <c r="R27" i="68"/>
  <c r="R29" i="68"/>
  <c r="AB8" i="68"/>
  <c r="P28" i="68"/>
  <c r="AB33" i="52"/>
  <c r="AB49" i="52"/>
  <c r="AA19" i="68"/>
  <c r="AA29" i="68"/>
  <c r="AA27" i="68"/>
  <c r="AA26" i="68"/>
  <c r="AA33" i="51"/>
  <c r="AA49" i="51"/>
  <c r="AB74" i="52"/>
  <c r="AB80" i="52" s="1"/>
  <c r="AB52" i="52"/>
  <c r="X30" i="52"/>
  <c r="X46" i="52"/>
  <c r="AD30" i="52"/>
  <c r="AD46" i="52"/>
  <c r="W27" i="68"/>
  <c r="W26" i="68"/>
  <c r="W19" i="68"/>
  <c r="W38" i="68" s="1"/>
  <c r="W29" i="68"/>
  <c r="T30" i="52"/>
  <c r="T46" i="52"/>
  <c r="Y30" i="52"/>
  <c r="Y46" i="52"/>
  <c r="AB52" i="51"/>
  <c r="AB74" i="51"/>
  <c r="AB80" i="51" s="1"/>
  <c r="AD33" i="52"/>
  <c r="AD49" i="52"/>
  <c r="Y33" i="52"/>
  <c r="Y49" i="52"/>
  <c r="S30" i="52"/>
  <c r="S46" i="52"/>
  <c r="AC33" i="52"/>
  <c r="AC49" i="52"/>
  <c r="T29" i="68"/>
  <c r="T19" i="68"/>
  <c r="T30" i="68" s="1"/>
  <c r="T27" i="68"/>
  <c r="T26" i="68"/>
  <c r="R28" i="68"/>
  <c r="Y29" i="68"/>
  <c r="Y27" i="68"/>
  <c r="Y26" i="68"/>
  <c r="Y19" i="68"/>
  <c r="Y30" i="68" s="1"/>
  <c r="Z33" i="52"/>
  <c r="Z49" i="52"/>
  <c r="Y33" i="51"/>
  <c r="Y49" i="51"/>
  <c r="Z77" i="51"/>
  <c r="Z55" i="51"/>
  <c r="Z28" i="68"/>
  <c r="T33" i="52"/>
  <c r="T49" i="52"/>
  <c r="V19" i="68"/>
  <c r="V26" i="68"/>
  <c r="V29" i="68"/>
  <c r="V27" i="68"/>
  <c r="AD33" i="51"/>
  <c r="AD49" i="51"/>
  <c r="S33" i="52"/>
  <c r="S49" i="52"/>
  <c r="X33" i="52"/>
  <c r="X49" i="52"/>
  <c r="S22" i="52"/>
  <c r="AF21" i="52"/>
  <c r="Z30" i="52"/>
  <c r="Z46" i="52"/>
  <c r="U28" i="68"/>
  <c r="Q29" i="68"/>
  <c r="Q27" i="68"/>
  <c r="Q26" i="68"/>
  <c r="Q19" i="68"/>
  <c r="Q38" i="68" s="1"/>
  <c r="V33" i="52"/>
  <c r="V49" i="52"/>
  <c r="AF52" i="51" l="1"/>
  <c r="V21" i="61"/>
  <c r="V24" i="61"/>
  <c r="AK24" i="61"/>
  <c r="AK21" i="61"/>
  <c r="W21" i="61"/>
  <c r="W24" i="61"/>
  <c r="AO24" i="61"/>
  <c r="AO21" i="61"/>
  <c r="AB21" i="61"/>
  <c r="AB24" i="61"/>
  <c r="AJ24" i="61"/>
  <c r="AJ21" i="61"/>
  <c r="S24" i="61"/>
  <c r="S21" i="61"/>
  <c r="AF17" i="61"/>
  <c r="AF24" i="61" s="1"/>
  <c r="AR24" i="61"/>
  <c r="AR21" i="61"/>
  <c r="AA21" i="61"/>
  <c r="AA24" i="61"/>
  <c r="AN24" i="61"/>
  <c r="AN21" i="61"/>
  <c r="Z21" i="61"/>
  <c r="Z24" i="61"/>
  <c r="AS24" i="61"/>
  <c r="AS21" i="61"/>
  <c r="T21" i="61"/>
  <c r="T24" i="61"/>
  <c r="AC21" i="61"/>
  <c r="AC24" i="61"/>
  <c r="AH24" i="61"/>
  <c r="AU17" i="61"/>
  <c r="AU24" i="61" s="1"/>
  <c r="AH21" i="61"/>
  <c r="Y21" i="61"/>
  <c r="Y24" i="61"/>
  <c r="AQ24" i="61"/>
  <c r="AQ21" i="61"/>
  <c r="AM24" i="61"/>
  <c r="AM21" i="61"/>
  <c r="X21" i="61"/>
  <c r="X24" i="61"/>
  <c r="AP24" i="61"/>
  <c r="AP21" i="61"/>
  <c r="AI24" i="61"/>
  <c r="AI21" i="61"/>
  <c r="U21" i="61"/>
  <c r="U24" i="61"/>
  <c r="AL24" i="61"/>
  <c r="AL21" i="61"/>
  <c r="AD21" i="61"/>
  <c r="AD24" i="61"/>
  <c r="AJ25" i="65"/>
  <c r="AJ31" i="65" s="1"/>
  <c r="AJ17" i="32"/>
  <c r="AJ22" i="65"/>
  <c r="AN17" i="32"/>
  <c r="AN25" i="65"/>
  <c r="AN31" i="65" s="1"/>
  <c r="AN22" i="65"/>
  <c r="AO25" i="65"/>
  <c r="AO31" i="65" s="1"/>
  <c r="AO17" i="32"/>
  <c r="AO22" i="65"/>
  <c r="AP25" i="65"/>
  <c r="AP31" i="65" s="1"/>
  <c r="AP17" i="32"/>
  <c r="AP22" i="65"/>
  <c r="AQ25" i="65"/>
  <c r="AQ31" i="65" s="1"/>
  <c r="AQ17" i="32"/>
  <c r="AQ22" i="65"/>
  <c r="AK25" i="65"/>
  <c r="AK31" i="65" s="1"/>
  <c r="AK17" i="32"/>
  <c r="AK22" i="65"/>
  <c r="AH25" i="65"/>
  <c r="AH31" i="65" s="1"/>
  <c r="AH17" i="32"/>
  <c r="AU18" i="65"/>
  <c r="AH22" i="65"/>
  <c r="AR25" i="65"/>
  <c r="AR31" i="65" s="1"/>
  <c r="AR17" i="32"/>
  <c r="AR22" i="65"/>
  <c r="AL25" i="65"/>
  <c r="AL31" i="65" s="1"/>
  <c r="AL17" i="32"/>
  <c r="AL22" i="65"/>
  <c r="AI25" i="65"/>
  <c r="AI31" i="65" s="1"/>
  <c r="AI17" i="32"/>
  <c r="AI22" i="65"/>
  <c r="AM25" i="65"/>
  <c r="AM31" i="65" s="1"/>
  <c r="AM17" i="32"/>
  <c r="AM22" i="65"/>
  <c r="AS25" i="65"/>
  <c r="AS31" i="65" s="1"/>
  <c r="AS17" i="32"/>
  <c r="AS22" i="65"/>
  <c r="U22" i="65"/>
  <c r="U17" i="32"/>
  <c r="U25" i="65"/>
  <c r="U31" i="65" s="1"/>
  <c r="T22" i="65"/>
  <c r="T25" i="65"/>
  <c r="T31" i="65" s="1"/>
  <c r="T17" i="32"/>
  <c r="AD25" i="65"/>
  <c r="AD31" i="65" s="1"/>
  <c r="AD22" i="65"/>
  <c r="AD17" i="32"/>
  <c r="Y25" i="65"/>
  <c r="Y31" i="65" s="1"/>
  <c r="Y17" i="32"/>
  <c r="Y22" i="65"/>
  <c r="W22" i="65"/>
  <c r="W17" i="32"/>
  <c r="W25" i="65"/>
  <c r="W31" i="65" s="1"/>
  <c r="AA22" i="65"/>
  <c r="AA17" i="32"/>
  <c r="AA25" i="65"/>
  <c r="AA31" i="65" s="1"/>
  <c r="AB25" i="65"/>
  <c r="AB31" i="65" s="1"/>
  <c r="AB17" i="32"/>
  <c r="AB22" i="65"/>
  <c r="AC25" i="65"/>
  <c r="AC31" i="65" s="1"/>
  <c r="AC22" i="65"/>
  <c r="AC17" i="32"/>
  <c r="V22" i="65"/>
  <c r="V17" i="32"/>
  <c r="V25" i="65"/>
  <c r="V31" i="65" s="1"/>
  <c r="Z25" i="65"/>
  <c r="Z31" i="65" s="1"/>
  <c r="Z22" i="65"/>
  <c r="Z17" i="32"/>
  <c r="X25" i="65"/>
  <c r="X31" i="65" s="1"/>
  <c r="X22" i="65"/>
  <c r="X17" i="32"/>
  <c r="AF46" i="52"/>
  <c r="AF74" i="52" s="1"/>
  <c r="AF80" i="52" s="1"/>
  <c r="AF22" i="52"/>
  <c r="H20" i="75"/>
  <c r="J20" i="75" s="1"/>
  <c r="J99" i="75" s="1"/>
  <c r="V74" i="52"/>
  <c r="V80" i="52" s="1"/>
  <c r="V55" i="51"/>
  <c r="AA74" i="52"/>
  <c r="AA80" i="52" s="1"/>
  <c r="T55" i="51"/>
  <c r="W77" i="51"/>
  <c r="W101" i="51" s="1"/>
  <c r="W102" i="51" s="1"/>
  <c r="U55" i="51"/>
  <c r="AC55" i="51"/>
  <c r="AC52" i="52"/>
  <c r="R30" i="68"/>
  <c r="X38" i="68"/>
  <c r="S55" i="52"/>
  <c r="S77" i="52"/>
  <c r="Z101" i="51"/>
  <c r="Z102" i="51" s="1"/>
  <c r="Z83" i="51"/>
  <c r="T37" i="68"/>
  <c r="T36" i="68"/>
  <c r="W62" i="37" s="1"/>
  <c r="W64" i="37" s="1"/>
  <c r="W65" i="37" s="1"/>
  <c r="T34" i="68"/>
  <c r="Y77" i="52"/>
  <c r="Y55" i="52"/>
  <c r="AD77" i="52"/>
  <c r="AD55" i="52"/>
  <c r="AA77" i="52"/>
  <c r="AA55" i="52"/>
  <c r="X34" i="68"/>
  <c r="X36" i="68"/>
  <c r="X37" i="68"/>
  <c r="AD77" i="51"/>
  <c r="AD55" i="51"/>
  <c r="Y77" i="51"/>
  <c r="Y55" i="51"/>
  <c r="U77" i="52"/>
  <c r="U55" i="52"/>
  <c r="Y37" i="68"/>
  <c r="Y36" i="68"/>
  <c r="Y34" i="68"/>
  <c r="S74" i="52"/>
  <c r="S80" i="52" s="1"/>
  <c r="S52" i="52"/>
  <c r="AA30" i="68"/>
  <c r="AA36" i="68"/>
  <c r="AA37" i="68"/>
  <c r="AA34" i="68"/>
  <c r="Y38" i="68"/>
  <c r="AC77" i="52"/>
  <c r="AC55" i="52"/>
  <c r="AD74" i="52"/>
  <c r="AD80" i="52" s="1"/>
  <c r="AD52" i="52"/>
  <c r="AA55" i="51"/>
  <c r="AA77" i="51"/>
  <c r="W55" i="52"/>
  <c r="W77" i="52"/>
  <c r="Z36" i="68"/>
  <c r="Z37" i="68"/>
  <c r="Z34" i="68"/>
  <c r="AC62" i="37" s="1"/>
  <c r="AC64" i="37" s="1"/>
  <c r="AC65" i="37" s="1"/>
  <c r="U36" i="68"/>
  <c r="X62" i="37" s="1"/>
  <c r="X64" i="37" s="1"/>
  <c r="X65" i="37" s="1"/>
  <c r="U37" i="68"/>
  <c r="U34" i="68"/>
  <c r="AB101" i="51"/>
  <c r="AB102" i="51" s="1"/>
  <c r="AB83" i="51"/>
  <c r="V37" i="68"/>
  <c r="V36" i="68"/>
  <c r="V34" i="68"/>
  <c r="U52" i="52"/>
  <c r="U74" i="52"/>
  <c r="U80" i="52" s="1"/>
  <c r="U83" i="51"/>
  <c r="U101" i="51"/>
  <c r="U102" i="51" s="1"/>
  <c r="X83" i="51"/>
  <c r="X101" i="51"/>
  <c r="X102" i="51" s="1"/>
  <c r="AC101" i="51"/>
  <c r="AC102" i="51" s="1"/>
  <c r="AC83" i="51"/>
  <c r="Y74" i="52"/>
  <c r="Y80" i="52" s="1"/>
  <c r="Y52" i="52"/>
  <c r="X74" i="52"/>
  <c r="X80" i="52" s="1"/>
  <c r="X52" i="52"/>
  <c r="AA38" i="68"/>
  <c r="S30" i="68"/>
  <c r="S36" i="68"/>
  <c r="S37" i="68"/>
  <c r="S34" i="68"/>
  <c r="AF27" i="52"/>
  <c r="W30" i="68"/>
  <c r="W36" i="68"/>
  <c r="W37" i="68"/>
  <c r="W34" i="68"/>
  <c r="X77" i="52"/>
  <c r="X55" i="52"/>
  <c r="T83" i="51"/>
  <c r="T101" i="51"/>
  <c r="T102" i="51" s="1"/>
  <c r="AB77" i="52"/>
  <c r="AB55" i="52"/>
  <c r="Z38" i="68"/>
  <c r="V38" i="68"/>
  <c r="U30" i="68"/>
  <c r="T77" i="52"/>
  <c r="T55" i="52"/>
  <c r="V77" i="52"/>
  <c r="V55" i="52"/>
  <c r="Q30" i="68"/>
  <c r="Q36" i="68"/>
  <c r="Q37" i="68"/>
  <c r="Q34" i="68"/>
  <c r="T62" i="37" s="1"/>
  <c r="T64" i="37" s="1"/>
  <c r="T65" i="37" s="1"/>
  <c r="T52" i="52"/>
  <c r="T74" i="52"/>
  <c r="T80" i="52" s="1"/>
  <c r="T38" i="68"/>
  <c r="Z52" i="52"/>
  <c r="Z74" i="52"/>
  <c r="Z80" i="52" s="1"/>
  <c r="V30" i="68"/>
  <c r="Z77" i="52"/>
  <c r="Z55" i="52"/>
  <c r="V83" i="51"/>
  <c r="V101" i="51"/>
  <c r="V102" i="51" s="1"/>
  <c r="R37" i="68"/>
  <c r="R36" i="68"/>
  <c r="R34" i="68"/>
  <c r="AD30" i="61" l="1"/>
  <c r="AD46" i="61"/>
  <c r="AD52" i="61" s="1"/>
  <c r="X46" i="61"/>
  <c r="X52" i="61" s="1"/>
  <c r="X30" i="61"/>
  <c r="AH46" i="61"/>
  <c r="AH52" i="61" s="1"/>
  <c r="AH30" i="61"/>
  <c r="AN30" i="61"/>
  <c r="AN46" i="61"/>
  <c r="AN52" i="61" s="1"/>
  <c r="AB30" i="61"/>
  <c r="AB46" i="61"/>
  <c r="AB52" i="61" s="1"/>
  <c r="AD22" i="61"/>
  <c r="AD27" i="61"/>
  <c r="X22" i="61"/>
  <c r="X27" i="61"/>
  <c r="AC46" i="61"/>
  <c r="AC52" i="61" s="1"/>
  <c r="AC30" i="61"/>
  <c r="AA30" i="61"/>
  <c r="AA46" i="61"/>
  <c r="AA52" i="61" s="1"/>
  <c r="AB22" i="61"/>
  <c r="AB27" i="61"/>
  <c r="AL27" i="61"/>
  <c r="AL22" i="61"/>
  <c r="AM22" i="61"/>
  <c r="AM27" i="61"/>
  <c r="AC22" i="61"/>
  <c r="AC27" i="61"/>
  <c r="AA22" i="61"/>
  <c r="AA27" i="61"/>
  <c r="AO27" i="61"/>
  <c r="AO22" i="61"/>
  <c r="AL30" i="61"/>
  <c r="AL46" i="61"/>
  <c r="AL52" i="61" s="1"/>
  <c r="AM30" i="61"/>
  <c r="AM46" i="61"/>
  <c r="AM52" i="61" s="1"/>
  <c r="T46" i="61"/>
  <c r="T52" i="61" s="1"/>
  <c r="T30" i="61"/>
  <c r="AR22" i="61"/>
  <c r="AR27" i="61"/>
  <c r="AO30" i="61"/>
  <c r="AO46" i="61"/>
  <c r="AO52" i="61" s="1"/>
  <c r="U30" i="61"/>
  <c r="U46" i="61"/>
  <c r="U52" i="61" s="1"/>
  <c r="AQ27" i="61"/>
  <c r="AQ22" i="61"/>
  <c r="T27" i="61"/>
  <c r="T22" i="61"/>
  <c r="AR46" i="61"/>
  <c r="AR52" i="61" s="1"/>
  <c r="AR30" i="61"/>
  <c r="W30" i="61"/>
  <c r="W46" i="61"/>
  <c r="W52" i="61" s="1"/>
  <c r="U27" i="61"/>
  <c r="U22" i="61"/>
  <c r="AQ30" i="61"/>
  <c r="AQ46" i="61"/>
  <c r="AQ52" i="61" s="1"/>
  <c r="AS22" i="61"/>
  <c r="AS27" i="61"/>
  <c r="AF46" i="61"/>
  <c r="AF52" i="61" s="1"/>
  <c r="AF30" i="61"/>
  <c r="W22" i="61"/>
  <c r="W27" i="61"/>
  <c r="AI22" i="61"/>
  <c r="AI27" i="61"/>
  <c r="Y30" i="61"/>
  <c r="Y46" i="61"/>
  <c r="Y52" i="61" s="1"/>
  <c r="AS46" i="61"/>
  <c r="AS52" i="61" s="1"/>
  <c r="AS30" i="61"/>
  <c r="S22" i="61"/>
  <c r="AF21" i="61"/>
  <c r="S27" i="61"/>
  <c r="AK22" i="61"/>
  <c r="AK27" i="61"/>
  <c r="AI46" i="61"/>
  <c r="AI52" i="61" s="1"/>
  <c r="AI30" i="61"/>
  <c r="Y22" i="61"/>
  <c r="Y27" i="61"/>
  <c r="Z46" i="61"/>
  <c r="Z52" i="61" s="1"/>
  <c r="Z30" i="61"/>
  <c r="S46" i="61"/>
  <c r="S52" i="61" s="1"/>
  <c r="S30" i="61"/>
  <c r="AK30" i="61"/>
  <c r="AK46" i="61"/>
  <c r="AK52" i="61" s="1"/>
  <c r="AP22" i="61"/>
  <c r="AP27" i="61"/>
  <c r="AH27" i="61"/>
  <c r="AH22" i="61"/>
  <c r="AU21" i="61"/>
  <c r="Z22" i="61"/>
  <c r="Z27" i="61"/>
  <c r="AJ27" i="61"/>
  <c r="AJ22" i="61"/>
  <c r="V30" i="61"/>
  <c r="V46" i="61"/>
  <c r="V52" i="61" s="1"/>
  <c r="AP30" i="61"/>
  <c r="AP46" i="61"/>
  <c r="AP52" i="61" s="1"/>
  <c r="AU30" i="61"/>
  <c r="AU46" i="61"/>
  <c r="AU52" i="61" s="1"/>
  <c r="AN22" i="61"/>
  <c r="AN27" i="61"/>
  <c r="AJ30" i="61"/>
  <c r="AJ46" i="61"/>
  <c r="AJ52" i="61" s="1"/>
  <c r="V22" i="61"/>
  <c r="V27" i="61"/>
  <c r="AS28" i="65"/>
  <c r="AS34" i="65" s="1"/>
  <c r="AS23" i="65"/>
  <c r="AK24" i="32"/>
  <c r="AK30" i="32" s="1"/>
  <c r="AK21" i="32"/>
  <c r="AN28" i="65"/>
  <c r="AN34" i="65" s="1"/>
  <c r="AN23" i="65"/>
  <c r="AR28" i="65"/>
  <c r="AR34" i="65" s="1"/>
  <c r="AR23" i="65"/>
  <c r="AQ23" i="65"/>
  <c r="AQ28" i="65"/>
  <c r="AQ34" i="65" s="1"/>
  <c r="AM23" i="65"/>
  <c r="AM28" i="65"/>
  <c r="AM34" i="65" s="1"/>
  <c r="AN24" i="32"/>
  <c r="AN30" i="32" s="1"/>
  <c r="AN21" i="32"/>
  <c r="AI24" i="32"/>
  <c r="AI30" i="32" s="1"/>
  <c r="AI21" i="32"/>
  <c r="AH24" i="32"/>
  <c r="AH30" i="32" s="1"/>
  <c r="AU17" i="32"/>
  <c r="AU24" i="32" s="1"/>
  <c r="AU30" i="32" s="1"/>
  <c r="AH21" i="32"/>
  <c r="AL24" i="32"/>
  <c r="AL30" i="32" s="1"/>
  <c r="AL21" i="32"/>
  <c r="AM24" i="32"/>
  <c r="AM30" i="32" s="1"/>
  <c r="AM21" i="32"/>
  <c r="AJ28" i="65"/>
  <c r="AJ34" i="65" s="1"/>
  <c r="AJ23" i="65"/>
  <c r="AO23" i="65"/>
  <c r="AO28" i="65"/>
  <c r="AO34" i="65" s="1"/>
  <c r="AL28" i="65"/>
  <c r="AL34" i="65" s="1"/>
  <c r="AL23" i="65"/>
  <c r="AK28" i="65"/>
  <c r="AK34" i="65" s="1"/>
  <c r="AK23" i="65"/>
  <c r="AO24" i="32"/>
  <c r="AO30" i="32" s="1"/>
  <c r="AO21" i="32"/>
  <c r="AS24" i="32"/>
  <c r="AS30" i="32" s="1"/>
  <c r="AS21" i="32"/>
  <c r="AQ24" i="32"/>
  <c r="AQ30" i="32" s="1"/>
  <c r="AQ21" i="32"/>
  <c r="AH28" i="65"/>
  <c r="AH34" i="65" s="1"/>
  <c r="AH23" i="65"/>
  <c r="AU22" i="65"/>
  <c r="AP28" i="65"/>
  <c r="AP34" i="65" s="1"/>
  <c r="AP23" i="65"/>
  <c r="AJ24" i="32"/>
  <c r="AJ30" i="32" s="1"/>
  <c r="AJ21" i="32"/>
  <c r="AR24" i="32"/>
  <c r="AR30" i="32" s="1"/>
  <c r="AR21" i="32"/>
  <c r="AI23" i="65"/>
  <c r="AI28" i="65"/>
  <c r="AI34" i="65" s="1"/>
  <c r="AU25" i="65"/>
  <c r="AU31" i="65" s="1"/>
  <c r="AD16" i="75"/>
  <c r="AP24" i="32"/>
  <c r="AP30" i="32" s="1"/>
  <c r="AP21" i="32"/>
  <c r="AF52" i="52"/>
  <c r="Z21" i="32"/>
  <c r="Z24" i="32"/>
  <c r="Z30" i="32" s="1"/>
  <c r="AB21" i="32"/>
  <c r="AB24" i="32"/>
  <c r="AB30" i="32" s="1"/>
  <c r="AD21" i="32"/>
  <c r="AD24" i="32"/>
  <c r="AD30" i="32" s="1"/>
  <c r="Z23" i="65"/>
  <c r="Z28" i="65"/>
  <c r="Z34" i="65" s="1"/>
  <c r="AD28" i="65"/>
  <c r="AD34" i="65" s="1"/>
  <c r="AD23" i="65"/>
  <c r="AA24" i="32"/>
  <c r="AA30" i="32" s="1"/>
  <c r="AA21" i="32"/>
  <c r="V21" i="32"/>
  <c r="V24" i="32"/>
  <c r="V30" i="32" s="1"/>
  <c r="AA23" i="65"/>
  <c r="AA28" i="65"/>
  <c r="AA34" i="65" s="1"/>
  <c r="T24" i="32"/>
  <c r="T30" i="32" s="1"/>
  <c r="T21" i="32"/>
  <c r="V23" i="65"/>
  <c r="V28" i="65"/>
  <c r="V34" i="65" s="1"/>
  <c r="AC21" i="32"/>
  <c r="AC24" i="32"/>
  <c r="AC30" i="32" s="1"/>
  <c r="W21" i="32"/>
  <c r="W24" i="32"/>
  <c r="W30" i="32" s="1"/>
  <c r="T28" i="65"/>
  <c r="T34" i="65" s="1"/>
  <c r="T23" i="65"/>
  <c r="X21" i="32"/>
  <c r="X24" i="32"/>
  <c r="X30" i="32" s="1"/>
  <c r="AC28" i="65"/>
  <c r="AC34" i="65" s="1"/>
  <c r="AC23" i="65"/>
  <c r="W23" i="65"/>
  <c r="W28" i="65"/>
  <c r="W34" i="65" s="1"/>
  <c r="X28" i="65"/>
  <c r="X34" i="65" s="1"/>
  <c r="X23" i="65"/>
  <c r="Y28" i="65"/>
  <c r="Y34" i="65" s="1"/>
  <c r="Y23" i="65"/>
  <c r="U21" i="32"/>
  <c r="U24" i="32"/>
  <c r="U30" i="32" s="1"/>
  <c r="AB23" i="65"/>
  <c r="AB28" i="65"/>
  <c r="AB34" i="65" s="1"/>
  <c r="Y21" i="32"/>
  <c r="Y24" i="32"/>
  <c r="Y30" i="32" s="1"/>
  <c r="U23" i="65"/>
  <c r="U28" i="65"/>
  <c r="U34" i="65" s="1"/>
  <c r="W83" i="51"/>
  <c r="X39" i="68"/>
  <c r="T39" i="68"/>
  <c r="Y39" i="68"/>
  <c r="U39" i="68"/>
  <c r="Z39" i="68"/>
  <c r="R39" i="68"/>
  <c r="U101" i="52"/>
  <c r="U102" i="52" s="1"/>
  <c r="U83" i="52"/>
  <c r="Q39" i="68"/>
  <c r="S39" i="68"/>
  <c r="AA101" i="52"/>
  <c r="AA102" i="52" s="1"/>
  <c r="AA83" i="52"/>
  <c r="AD83" i="52"/>
  <c r="AD101" i="52"/>
  <c r="AD102" i="52" s="1"/>
  <c r="S101" i="52"/>
  <c r="S102" i="52" s="1"/>
  <c r="S83" i="52"/>
  <c r="V83" i="52"/>
  <c r="V101" i="52"/>
  <c r="V102" i="52" s="1"/>
  <c r="X101" i="52"/>
  <c r="X102" i="52" s="1"/>
  <c r="X83" i="52"/>
  <c r="W83" i="52"/>
  <c r="W101" i="52"/>
  <c r="W102" i="52" s="1"/>
  <c r="T101" i="52"/>
  <c r="T102" i="52" s="1"/>
  <c r="T83" i="52"/>
  <c r="W39" i="68"/>
  <c r="Y101" i="52"/>
  <c r="Y102" i="52" s="1"/>
  <c r="Y83" i="52"/>
  <c r="AB101" i="52"/>
  <c r="AB102" i="52" s="1"/>
  <c r="AB83" i="52"/>
  <c r="AA101" i="51"/>
  <c r="AA102" i="51" s="1"/>
  <c r="AA83" i="51"/>
  <c r="AA39" i="68"/>
  <c r="Y101" i="51"/>
  <c r="Y102" i="51" s="1"/>
  <c r="Y83" i="51"/>
  <c r="Z101" i="52"/>
  <c r="Z102" i="52" s="1"/>
  <c r="Z83" i="52"/>
  <c r="AF33" i="52"/>
  <c r="AF49" i="52"/>
  <c r="V39" i="68"/>
  <c r="AC83" i="52"/>
  <c r="AC101" i="52"/>
  <c r="AC102" i="52" s="1"/>
  <c r="AD83" i="51"/>
  <c r="AD101" i="51"/>
  <c r="AD102" i="51" s="1"/>
  <c r="W33" i="61" l="1"/>
  <c r="W49" i="61"/>
  <c r="W55" i="61" s="1"/>
  <c r="AB49" i="61"/>
  <c r="AB55" i="61" s="1"/>
  <c r="AB33" i="61"/>
  <c r="AJ33" i="61"/>
  <c r="AJ49" i="61"/>
  <c r="AJ55" i="61" s="1"/>
  <c r="S33" i="61"/>
  <c r="S49" i="61"/>
  <c r="S55" i="61" s="1"/>
  <c r="AO49" i="61"/>
  <c r="AO55" i="61" s="1"/>
  <c r="AO33" i="61"/>
  <c r="AN49" i="61"/>
  <c r="AN55" i="61" s="1"/>
  <c r="AN33" i="61"/>
  <c r="Z33" i="61"/>
  <c r="Z49" i="61"/>
  <c r="Z55" i="61" s="1"/>
  <c r="AF22" i="61"/>
  <c r="AF27" i="61"/>
  <c r="AR33" i="61"/>
  <c r="AR49" i="61"/>
  <c r="AR55" i="61" s="1"/>
  <c r="AA49" i="61"/>
  <c r="AA55" i="61" s="1"/>
  <c r="AA33" i="61"/>
  <c r="AU22" i="61"/>
  <c r="AU27" i="61"/>
  <c r="AS33" i="61"/>
  <c r="AS49" i="61"/>
  <c r="AS55" i="61" s="1"/>
  <c r="AC33" i="61"/>
  <c r="AC49" i="61"/>
  <c r="AC55" i="61" s="1"/>
  <c r="Y49" i="61"/>
  <c r="Y55" i="61" s="1"/>
  <c r="Y33" i="61"/>
  <c r="T33" i="61"/>
  <c r="T49" i="61"/>
  <c r="T55" i="61" s="1"/>
  <c r="AH33" i="61"/>
  <c r="AH49" i="61"/>
  <c r="AH55" i="61" s="1"/>
  <c r="AM49" i="61"/>
  <c r="AM55" i="61" s="1"/>
  <c r="AM33" i="61"/>
  <c r="X33" i="61"/>
  <c r="X49" i="61"/>
  <c r="X55" i="61" s="1"/>
  <c r="AP49" i="61"/>
  <c r="AP55" i="61" s="1"/>
  <c r="AP33" i="61"/>
  <c r="AQ33" i="61"/>
  <c r="AQ49" i="61"/>
  <c r="AQ55" i="61" s="1"/>
  <c r="V49" i="61"/>
  <c r="V55" i="61" s="1"/>
  <c r="V33" i="61"/>
  <c r="AI33" i="61"/>
  <c r="AI49" i="61"/>
  <c r="AI55" i="61" s="1"/>
  <c r="AD33" i="61"/>
  <c r="AD49" i="61"/>
  <c r="AD55" i="61" s="1"/>
  <c r="AK33" i="61"/>
  <c r="AK49" i="61"/>
  <c r="AK55" i="61" s="1"/>
  <c r="U49" i="61"/>
  <c r="U55" i="61" s="1"/>
  <c r="U33" i="61"/>
  <c r="AL49" i="61"/>
  <c r="AL55" i="61" s="1"/>
  <c r="AL33" i="61"/>
  <c r="AS27" i="32"/>
  <c r="AS33" i="32" s="1"/>
  <c r="AS22" i="32"/>
  <c r="AR22" i="32"/>
  <c r="AR27" i="32"/>
  <c r="AR33" i="32" s="1"/>
  <c r="AI27" i="32"/>
  <c r="AI33" i="32" s="1"/>
  <c r="AI22" i="32"/>
  <c r="AF16" i="75"/>
  <c r="AJ16" i="75"/>
  <c r="AL16" i="75" s="1"/>
  <c r="AU23" i="65"/>
  <c r="AD20" i="75"/>
  <c r="AU28" i="65"/>
  <c r="AH27" i="32"/>
  <c r="AH33" i="32" s="1"/>
  <c r="AH22" i="32"/>
  <c r="AU21" i="32"/>
  <c r="AQ22" i="32"/>
  <c r="AQ27" i="32"/>
  <c r="AQ33" i="32" s="1"/>
  <c r="AJ27" i="32"/>
  <c r="AJ33" i="32" s="1"/>
  <c r="AJ22" i="32"/>
  <c r="AN27" i="32"/>
  <c r="AN33" i="32" s="1"/>
  <c r="AN22" i="32"/>
  <c r="AK22" i="32"/>
  <c r="AK27" i="32"/>
  <c r="AK33" i="32" s="1"/>
  <c r="AO22" i="32"/>
  <c r="AO27" i="32"/>
  <c r="AO33" i="32" s="1"/>
  <c r="AM22" i="32"/>
  <c r="AM27" i="32"/>
  <c r="AM33" i="32" s="1"/>
  <c r="AP27" i="32"/>
  <c r="AP33" i="32" s="1"/>
  <c r="AP22" i="32"/>
  <c r="AL22" i="32"/>
  <c r="AL27" i="32"/>
  <c r="AL33" i="32" s="1"/>
  <c r="T22" i="32"/>
  <c r="T27" i="32"/>
  <c r="T33" i="32" s="1"/>
  <c r="U22" i="32"/>
  <c r="U27" i="32"/>
  <c r="U33" i="32" s="1"/>
  <c r="X22" i="32"/>
  <c r="X27" i="32"/>
  <c r="X33" i="32" s="1"/>
  <c r="AD22" i="32"/>
  <c r="AD27" i="32"/>
  <c r="AD33" i="32" s="1"/>
  <c r="W22" i="32"/>
  <c r="W27" i="32"/>
  <c r="W33" i="32" s="1"/>
  <c r="V27" i="32"/>
  <c r="V33" i="32" s="1"/>
  <c r="V22" i="32"/>
  <c r="AB22" i="32"/>
  <c r="AB27" i="32"/>
  <c r="AB33" i="32" s="1"/>
  <c r="AA22" i="32"/>
  <c r="AA27" i="32"/>
  <c r="AA33" i="32" s="1"/>
  <c r="Y22" i="32"/>
  <c r="Y27" i="32"/>
  <c r="Y33" i="32" s="1"/>
  <c r="AC22" i="32"/>
  <c r="AC27" i="32"/>
  <c r="AC33" i="32" s="1"/>
  <c r="Z22" i="32"/>
  <c r="Z27" i="32"/>
  <c r="Z33" i="32" s="1"/>
  <c r="AF55" i="52"/>
  <c r="AF77" i="52"/>
  <c r="AV77" i="52" l="1"/>
  <c r="AU34" i="65"/>
  <c r="AF49" i="61"/>
  <c r="AF55" i="61" s="1"/>
  <c r="AF33" i="61"/>
  <c r="AU49" i="61"/>
  <c r="AU55" i="61" s="1"/>
  <c r="AU33" i="61"/>
  <c r="AF20" i="75"/>
  <c r="AJ20" i="75"/>
  <c r="AL20" i="75" s="1"/>
  <c r="AU22" i="32"/>
  <c r="I17" i="43"/>
  <c r="I16" i="43" s="1"/>
  <c r="AU27" i="32"/>
  <c r="AU33" i="32" s="1"/>
  <c r="H5" i="70"/>
  <c r="AF83" i="52"/>
  <c r="I5" i="70" s="1"/>
  <c r="AF101" i="52"/>
  <c r="AV101" i="52" l="1"/>
  <c r="AF102" i="52"/>
  <c r="H99" i="75"/>
  <c r="I99" i="75" s="1"/>
  <c r="N47" i="65" l="1"/>
  <c r="N53" i="65" l="1"/>
  <c r="N75" i="65"/>
  <c r="N81" i="65" s="1"/>
  <c r="N44" i="65"/>
  <c r="N50" i="65" s="1"/>
  <c r="N56" i="65" l="1"/>
  <c r="N78" i="65"/>
  <c r="N100" i="65" l="1"/>
  <c r="N101" i="65" s="1"/>
  <c r="N84" i="65"/>
  <c r="AL40" i="65" l="1"/>
  <c r="AL44" i="65"/>
  <c r="AL50" i="65" s="1"/>
  <c r="AL56" i="65" l="1"/>
  <c r="AL78" i="65"/>
  <c r="AL47" i="65"/>
  <c r="AL39" i="32"/>
  <c r="AL84" i="65" l="1"/>
  <c r="AL100" i="65"/>
  <c r="AL101" i="65" s="1"/>
  <c r="AL43" i="32"/>
  <c r="AL49" i="32" s="1"/>
  <c r="AL46" i="32"/>
  <c r="AL53" i="65"/>
  <c r="AL75" i="65"/>
  <c r="AL81" i="65" s="1"/>
  <c r="AL74" i="32" l="1"/>
  <c r="AL80" i="32" s="1"/>
  <c r="AL52" i="32"/>
  <c r="AL55" i="32"/>
  <c r="AJ40" i="65"/>
  <c r="AJ47" i="65" s="1"/>
  <c r="AH40" i="65"/>
  <c r="AJ75" i="65" l="1"/>
  <c r="AJ81" i="65" s="1"/>
  <c r="AJ53" i="65"/>
  <c r="AH44" i="65"/>
  <c r="AH39" i="32"/>
  <c r="AH47" i="65"/>
  <c r="AJ44" i="65"/>
  <c r="AJ50" i="65" s="1"/>
  <c r="AJ39" i="32"/>
  <c r="AJ43" i="32" l="1"/>
  <c r="AJ49" i="32" s="1"/>
  <c r="AJ46" i="32"/>
  <c r="AJ78" i="65"/>
  <c r="AJ56" i="65"/>
  <c r="AH53" i="65"/>
  <c r="AH75" i="65"/>
  <c r="AH81" i="65" s="1"/>
  <c r="AH43" i="32"/>
  <c r="AH46" i="32"/>
  <c r="AH50" i="65"/>
  <c r="AK40" i="65"/>
  <c r="AK47" i="65" s="1"/>
  <c r="AR40" i="65"/>
  <c r="AR39" i="32" s="1"/>
  <c r="AN40" i="65"/>
  <c r="AN47" i="65" s="1"/>
  <c r="AN53" i="65" s="1"/>
  <c r="AO40" i="65"/>
  <c r="AO47" i="65" s="1"/>
  <c r="AO75" i="65" s="1"/>
  <c r="AO81" i="65" s="1"/>
  <c r="AM40" i="65"/>
  <c r="AM47" i="65" s="1"/>
  <c r="AM75" i="65" s="1"/>
  <c r="AM81" i="65" s="1"/>
  <c r="AS40" i="65"/>
  <c r="AS47" i="65" s="1"/>
  <c r="AP40" i="65"/>
  <c r="AP47" i="65" s="1"/>
  <c r="O44" i="65"/>
  <c r="O50" i="65" s="1"/>
  <c r="O47" i="65" l="1"/>
  <c r="O53" i="65" s="1"/>
  <c r="AK53" i="65"/>
  <c r="AK75" i="65"/>
  <c r="AK81" i="65" s="1"/>
  <c r="AS53" i="65"/>
  <c r="AS75" i="65"/>
  <c r="AS81" i="65" s="1"/>
  <c r="AR43" i="32"/>
  <c r="AR49" i="32" s="1"/>
  <c r="AR46" i="32"/>
  <c r="AP53" i="65"/>
  <c r="AP75" i="65"/>
  <c r="AP81" i="65" s="1"/>
  <c r="AH78" i="65"/>
  <c r="AH56" i="65"/>
  <c r="AM44" i="65"/>
  <c r="AM50" i="65" s="1"/>
  <c r="AM39" i="32"/>
  <c r="AO44" i="65"/>
  <c r="AO50" i="65" s="1"/>
  <c r="AO39" i="32"/>
  <c r="AH74" i="32"/>
  <c r="AH80" i="32" s="1"/>
  <c r="AH52" i="32"/>
  <c r="O75" i="65"/>
  <c r="O81" i="65" s="1"/>
  <c r="AN75" i="65"/>
  <c r="AN81" i="65" s="1"/>
  <c r="AM53" i="65"/>
  <c r="AO53" i="65"/>
  <c r="AP44" i="65"/>
  <c r="AP50" i="65" s="1"/>
  <c r="AP39" i="32"/>
  <c r="AK44" i="65"/>
  <c r="AK50" i="65" s="1"/>
  <c r="AK39" i="32"/>
  <c r="AH49" i="32"/>
  <c r="O56" i="65"/>
  <c r="O78" i="65"/>
  <c r="AN44" i="65"/>
  <c r="AN50" i="65" s="1"/>
  <c r="AN39" i="32"/>
  <c r="AR44" i="65"/>
  <c r="AR50" i="65" s="1"/>
  <c r="AR47" i="65"/>
  <c r="AS44" i="65"/>
  <c r="AS50" i="65" s="1"/>
  <c r="AS39" i="32"/>
  <c r="AJ100" i="65"/>
  <c r="AJ101" i="65" s="1"/>
  <c r="AJ84" i="65"/>
  <c r="AJ52" i="32"/>
  <c r="AJ74" i="32"/>
  <c r="AJ80" i="32" s="1"/>
  <c r="AJ55" i="32"/>
  <c r="AR75" i="65" l="1"/>
  <c r="AR81" i="65" s="1"/>
  <c r="AR53" i="65"/>
  <c r="AP43" i="32"/>
  <c r="AP49" i="32" s="1"/>
  <c r="AP46" i="32"/>
  <c r="AM43" i="32"/>
  <c r="AM49" i="32" s="1"/>
  <c r="AM46" i="32"/>
  <c r="AR56" i="65"/>
  <c r="AR78" i="65"/>
  <c r="AP56" i="65"/>
  <c r="AP78" i="65"/>
  <c r="AM78" i="65"/>
  <c r="AM56" i="65"/>
  <c r="AN43" i="32"/>
  <c r="AN49" i="32" s="1"/>
  <c r="AN46" i="32"/>
  <c r="AN56" i="65"/>
  <c r="AN78" i="65"/>
  <c r="AH84" i="65"/>
  <c r="AH100" i="65"/>
  <c r="AH101" i="65" s="1"/>
  <c r="O84" i="65"/>
  <c r="O100" i="65"/>
  <c r="O101" i="65" s="1"/>
  <c r="AR52" i="32"/>
  <c r="AR74" i="32"/>
  <c r="AR80" i="32" s="1"/>
  <c r="AH55" i="32"/>
  <c r="AR55" i="32"/>
  <c r="AS43" i="32"/>
  <c r="AS49" i="32" s="1"/>
  <c r="AS46" i="32"/>
  <c r="AK43" i="32"/>
  <c r="AK49" i="32" s="1"/>
  <c r="AK46" i="32"/>
  <c r="AO43" i="32"/>
  <c r="AO49" i="32" s="1"/>
  <c r="AO46" i="32"/>
  <c r="AS56" i="65"/>
  <c r="AS78" i="65"/>
  <c r="AK78" i="65"/>
  <c r="AK56" i="65"/>
  <c r="AO78" i="65"/>
  <c r="AO56" i="65"/>
  <c r="AO74" i="32" l="1"/>
  <c r="AO80" i="32" s="1"/>
  <c r="AO52" i="32"/>
  <c r="AS52" i="32"/>
  <c r="AS74" i="32"/>
  <c r="AS80" i="32" s="1"/>
  <c r="AP100" i="65"/>
  <c r="AP101" i="65" s="1"/>
  <c r="AP84" i="65"/>
  <c r="AO100" i="65"/>
  <c r="AO101" i="65" s="1"/>
  <c r="AO84" i="65"/>
  <c r="AS55" i="32"/>
  <c r="AN100" i="65"/>
  <c r="AN101" i="65" s="1"/>
  <c r="AN84" i="65"/>
  <c r="AR84" i="65"/>
  <c r="AR100" i="65"/>
  <c r="AR101" i="65" s="1"/>
  <c r="AK84" i="65"/>
  <c r="AK100" i="65"/>
  <c r="AK101" i="65" s="1"/>
  <c r="AS100" i="65"/>
  <c r="AS101" i="65" s="1"/>
  <c r="AS84" i="65"/>
  <c r="AM74" i="32"/>
  <c r="AM80" i="32" s="1"/>
  <c r="AM52" i="32"/>
  <c r="AM55" i="32"/>
  <c r="AN74" i="32"/>
  <c r="AN80" i="32" s="1"/>
  <c r="AN52" i="32"/>
  <c r="AP52" i="32"/>
  <c r="AP74" i="32"/>
  <c r="AP80" i="32" s="1"/>
  <c r="AP55" i="32"/>
  <c r="AO55" i="32"/>
  <c r="AN55" i="32"/>
  <c r="AK74" i="32"/>
  <c r="AK80" i="32" s="1"/>
  <c r="AK52" i="32"/>
  <c r="AK55" i="32"/>
  <c r="AM100" i="65"/>
  <c r="AM101" i="65" s="1"/>
  <c r="AM84" i="65"/>
  <c r="AQ40" i="65"/>
  <c r="AQ47" i="65" s="1"/>
  <c r="AQ53" i="65" l="1"/>
  <c r="AQ75" i="65"/>
  <c r="AQ81" i="65" s="1"/>
  <c r="AQ44" i="65"/>
  <c r="AQ50" i="65" s="1"/>
  <c r="AQ39" i="32"/>
  <c r="AI40" i="65"/>
  <c r="AI44" i="65" s="1"/>
  <c r="P42" i="75" s="1"/>
  <c r="P99" i="75" s="1"/>
  <c r="O99" i="75" s="1"/>
  <c r="AQ43" i="32" l="1"/>
  <c r="AQ49" i="32" s="1"/>
  <c r="AQ46" i="32"/>
  <c r="AQ56" i="65"/>
  <c r="AQ78" i="65"/>
  <c r="AI39" i="32"/>
  <c r="AU40" i="65"/>
  <c r="AI47" i="65"/>
  <c r="B227" i="30"/>
  <c r="B278" i="76"/>
  <c r="F278" i="76" s="1"/>
  <c r="Q40" i="65"/>
  <c r="AC63" i="59" l="1"/>
  <c r="AH65" i="59"/>
  <c r="S65" i="59"/>
  <c r="AL66" i="63"/>
  <c r="V65" i="63"/>
  <c r="AK66" i="63"/>
  <c r="W66" i="63"/>
  <c r="Y65" i="63"/>
  <c r="AS65" i="59"/>
  <c r="AD65" i="59"/>
  <c r="AR65" i="59"/>
  <c r="S66" i="63"/>
  <c r="V66" i="63"/>
  <c r="AO66" i="63"/>
  <c r="AQ65" i="59"/>
  <c r="AB65" i="59"/>
  <c r="AJ65" i="59"/>
  <c r="AP66" i="63"/>
  <c r="Y66" i="63"/>
  <c r="AP65" i="59"/>
  <c r="AA65" i="59"/>
  <c r="AC65" i="59"/>
  <c r="AQ66" i="63"/>
  <c r="T66" i="63"/>
  <c r="AD65" i="63"/>
  <c r="AO65" i="59"/>
  <c r="Z65" i="59"/>
  <c r="U65" i="59"/>
  <c r="T65" i="63"/>
  <c r="AA66" i="63"/>
  <c r="AS66" i="63"/>
  <c r="AN65" i="59"/>
  <c r="Y65" i="59"/>
  <c r="AI66" i="63"/>
  <c r="AH66" i="63"/>
  <c r="AM66" i="63"/>
  <c r="AD66" i="63"/>
  <c r="AM65" i="59"/>
  <c r="X65" i="59"/>
  <c r="AC65" i="63"/>
  <c r="W65" i="63"/>
  <c r="AA65" i="63"/>
  <c r="U65" i="63"/>
  <c r="AL65" i="59"/>
  <c r="W65" i="59"/>
  <c r="AR66" i="63"/>
  <c r="X66" i="63"/>
  <c r="U66" i="63"/>
  <c r="AJ66" i="63"/>
  <c r="AK65" i="59"/>
  <c r="V65" i="59"/>
  <c r="AB65" i="63"/>
  <c r="AB66" i="63"/>
  <c r="S65" i="63"/>
  <c r="Z65" i="63"/>
  <c r="AI65" i="59"/>
  <c r="T65" i="59"/>
  <c r="Z66" i="63"/>
  <c r="X65" i="63"/>
  <c r="AC66" i="63"/>
  <c r="AN66" i="63"/>
  <c r="AS66" i="57"/>
  <c r="AO66" i="57"/>
  <c r="Z66" i="57"/>
  <c r="V66" i="60"/>
  <c r="AR66" i="57"/>
  <c r="AP66" i="60"/>
  <c r="AA66" i="60"/>
  <c r="W66" i="57"/>
  <c r="AB66" i="57"/>
  <c r="AP66" i="57"/>
  <c r="U66" i="60"/>
  <c r="AH66" i="60"/>
  <c r="Z66" i="60"/>
  <c r="AC66" i="60"/>
  <c r="AD66" i="57"/>
  <c r="AN66" i="57"/>
  <c r="AQ66" i="57"/>
  <c r="AR66" i="60"/>
  <c r="X66" i="57"/>
  <c r="AI66" i="60"/>
  <c r="S66" i="57"/>
  <c r="AS66" i="60"/>
  <c r="AA66" i="57"/>
  <c r="Y66" i="60"/>
  <c r="AJ66" i="57"/>
  <c r="T66" i="60"/>
  <c r="X66" i="60"/>
  <c r="T66" i="57"/>
  <c r="AB66" i="60"/>
  <c r="S66" i="60"/>
  <c r="AK66" i="57"/>
  <c r="Y66" i="57"/>
  <c r="AD66" i="60"/>
  <c r="AJ66" i="60"/>
  <c r="AQ66" i="60"/>
  <c r="AL66" i="60"/>
  <c r="AL66" i="57"/>
  <c r="U66" i="57"/>
  <c r="AK66" i="60"/>
  <c r="AM66" i="60"/>
  <c r="AO66" i="60"/>
  <c r="AC66" i="57"/>
  <c r="AM66" i="57"/>
  <c r="AI66" i="57"/>
  <c r="AH66" i="57"/>
  <c r="W66" i="60"/>
  <c r="V66" i="57"/>
  <c r="AN66" i="60"/>
  <c r="AM66" i="61"/>
  <c r="AS66" i="61"/>
  <c r="AL66" i="61"/>
  <c r="AR66" i="61"/>
  <c r="AK66" i="61"/>
  <c r="AH66" i="61"/>
  <c r="Y66" i="61"/>
  <c r="AP66" i="61"/>
  <c r="AD66" i="61"/>
  <c r="S66" i="61"/>
  <c r="AQ66" i="61"/>
  <c r="AC66" i="61"/>
  <c r="AJ66" i="61"/>
  <c r="T66" i="61"/>
  <c r="AB66" i="61"/>
  <c r="X66" i="61"/>
  <c r="AA66" i="61"/>
  <c r="AI66" i="61"/>
  <c r="Z66" i="61"/>
  <c r="W66" i="61"/>
  <c r="AO66" i="61"/>
  <c r="V66" i="61"/>
  <c r="AN66" i="61"/>
  <c r="U66" i="61"/>
  <c r="AN64" i="59"/>
  <c r="Q47" i="65"/>
  <c r="M278" i="76"/>
  <c r="M279" i="76" s="1"/>
  <c r="M281" i="76" s="1"/>
  <c r="M293" i="76" s="1"/>
  <c r="AG278" i="76"/>
  <c r="AG279" i="76" s="1"/>
  <c r="AG281" i="76" s="1"/>
  <c r="AG293" i="76" s="1"/>
  <c r="AK278" i="76"/>
  <c r="AK279" i="76" s="1"/>
  <c r="AK281" i="76" s="1"/>
  <c r="AK293" i="76" s="1"/>
  <c r="F279" i="76"/>
  <c r="AB64" i="63"/>
  <c r="AA64" i="60"/>
  <c r="X64" i="63"/>
  <c r="U64" i="63"/>
  <c r="AC64" i="60"/>
  <c r="Z64" i="63"/>
  <c r="U63" i="62"/>
  <c r="AB63" i="62"/>
  <c r="V64" i="63"/>
  <c r="AC64" i="63"/>
  <c r="T63" i="59"/>
  <c r="AD64" i="63"/>
  <c r="AC63" i="62"/>
  <c r="W64" i="60"/>
  <c r="O63" i="62"/>
  <c r="T63" i="62"/>
  <c r="AA63" i="59"/>
  <c r="Y63" i="59"/>
  <c r="AD64" i="60"/>
  <c r="AR63" i="59"/>
  <c r="U64" i="60"/>
  <c r="Y63" i="62"/>
  <c r="Z63" i="62"/>
  <c r="AD64" i="61"/>
  <c r="AD64" i="57"/>
  <c r="AD63" i="62"/>
  <c r="V63" i="62"/>
  <c r="V64" i="60"/>
  <c r="Z64" i="61"/>
  <c r="Z64" i="60"/>
  <c r="X63" i="62"/>
  <c r="Y64" i="60"/>
  <c r="W63" i="62"/>
  <c r="W64" i="63"/>
  <c r="Y64" i="61"/>
  <c r="T64" i="60"/>
  <c r="AB64" i="60"/>
  <c r="X64" i="60"/>
  <c r="AA64" i="63"/>
  <c r="Y64" i="63"/>
  <c r="W64" i="57"/>
  <c r="Z63" i="59"/>
  <c r="T64" i="63"/>
  <c r="AA63" i="62"/>
  <c r="AL63" i="62"/>
  <c r="AO64" i="63"/>
  <c r="AS64" i="60"/>
  <c r="AJ64" i="63"/>
  <c r="AR64" i="61"/>
  <c r="AC64" i="61"/>
  <c r="AK63" i="59"/>
  <c r="AO63" i="62"/>
  <c r="AL63" i="59"/>
  <c r="AL64" i="61"/>
  <c r="AI64" i="63"/>
  <c r="Z64" i="57"/>
  <c r="V64" i="57"/>
  <c r="V63" i="59"/>
  <c r="AS63" i="62"/>
  <c r="X64" i="61"/>
  <c r="AB64" i="61"/>
  <c r="AN63" i="62"/>
  <c r="AJ64" i="61"/>
  <c r="AC64" i="57"/>
  <c r="AM64" i="63"/>
  <c r="T64" i="61"/>
  <c r="M63" i="62"/>
  <c r="AJ64" i="60"/>
  <c r="AJ63" i="59"/>
  <c r="U64" i="61"/>
  <c r="AN64" i="63"/>
  <c r="AS64" i="57"/>
  <c r="AB63" i="59"/>
  <c r="N63" i="62"/>
  <c r="O64" i="61"/>
  <c r="AA64" i="61"/>
  <c r="U64" i="57"/>
  <c r="N64" i="61"/>
  <c r="M64" i="61"/>
  <c r="AI64" i="57"/>
  <c r="AQ64" i="63"/>
  <c r="AB64" i="57"/>
  <c r="Y64" i="57"/>
  <c r="AK64" i="63"/>
  <c r="AM64" i="61"/>
  <c r="AO63" i="59"/>
  <c r="AM63" i="62"/>
  <c r="AA227" i="30"/>
  <c r="AA228" i="30" s="1"/>
  <c r="AA230" i="30" s="1"/>
  <c r="AA242" i="30" s="1"/>
  <c r="AA243" i="30" s="1"/>
  <c r="AP227" i="30"/>
  <c r="AP228" i="30" s="1"/>
  <c r="AP230" i="30" s="1"/>
  <c r="AP242" i="30" s="1"/>
  <c r="AP243" i="30" s="1"/>
  <c r="AH64" i="61"/>
  <c r="AH65" i="63"/>
  <c r="AS63" i="59"/>
  <c r="S65" i="61"/>
  <c r="S64" i="57"/>
  <c r="V64" i="61"/>
  <c r="AO227" i="30"/>
  <c r="AO228" i="30" s="1"/>
  <c r="AO230" i="30" s="1"/>
  <c r="AO242" i="30" s="1"/>
  <c r="AO243" i="30" s="1"/>
  <c r="W63" i="59"/>
  <c r="AL227" i="30"/>
  <c r="AL228" i="30" s="1"/>
  <c r="AL230" i="30" s="1"/>
  <c r="AL242" i="30" s="1"/>
  <c r="AL243" i="30" s="1"/>
  <c r="AH63" i="62"/>
  <c r="O227" i="30"/>
  <c r="O228" i="30" s="1"/>
  <c r="O230" i="30" s="1"/>
  <c r="O242" i="30" s="1"/>
  <c r="O243" i="30" s="1"/>
  <c r="AH64" i="60"/>
  <c r="AE227" i="30"/>
  <c r="AE228" i="30" s="1"/>
  <c r="AE230" i="30" s="1"/>
  <c r="AE242" i="30" s="1"/>
  <c r="AE243" i="30" s="1"/>
  <c r="AH64" i="63"/>
  <c r="AP63" i="59"/>
  <c r="AQ63" i="62"/>
  <c r="AR227" i="30"/>
  <c r="AR228" i="30" s="1"/>
  <c r="AR230" i="30" s="1"/>
  <c r="AR242" i="30" s="1"/>
  <c r="AR243" i="30" s="1"/>
  <c r="H227" i="30"/>
  <c r="H228" i="30" s="1"/>
  <c r="H230" i="30" s="1"/>
  <c r="H242" i="30" s="1"/>
  <c r="H243" i="30" s="1"/>
  <c r="AG227" i="30"/>
  <c r="AG228" i="30" s="1"/>
  <c r="AG230" i="30" s="1"/>
  <c r="AG242" i="30" s="1"/>
  <c r="AQ63" i="59"/>
  <c r="O71" i="57"/>
  <c r="AS64" i="61"/>
  <c r="G227" i="30"/>
  <c r="G228" i="30" s="1"/>
  <c r="G230" i="30" s="1"/>
  <c r="G242" i="30" s="1"/>
  <c r="G243" i="30" s="1"/>
  <c r="Z227" i="30"/>
  <c r="Z228" i="30" s="1"/>
  <c r="Z230" i="30" s="1"/>
  <c r="Z242" i="30" s="1"/>
  <c r="Z243" i="30" s="1"/>
  <c r="AN63" i="59"/>
  <c r="T64" i="57"/>
  <c r="N71" i="57"/>
  <c r="AT227" i="30"/>
  <c r="AT228" i="30" s="1"/>
  <c r="AT230" i="30" s="1"/>
  <c r="AT242" i="30" s="1"/>
  <c r="AT243" i="30" s="1"/>
  <c r="S65" i="57"/>
  <c r="AN227" i="30"/>
  <c r="AN228" i="30" s="1"/>
  <c r="AN230" i="30" s="1"/>
  <c r="AN242" i="30" s="1"/>
  <c r="AN243" i="30" s="1"/>
  <c r="X227" i="30"/>
  <c r="X228" i="30" s="1"/>
  <c r="X230" i="30" s="1"/>
  <c r="X242" i="30" s="1"/>
  <c r="X243" i="30" s="1"/>
  <c r="S64" i="60"/>
  <c r="AQ64" i="61"/>
  <c r="AP64" i="61"/>
  <c r="AK64" i="61"/>
  <c r="AH65" i="60"/>
  <c r="AS64" i="63"/>
  <c r="AO64" i="61"/>
  <c r="AN64" i="57"/>
  <c r="N227" i="30"/>
  <c r="N228" i="30" s="1"/>
  <c r="N230" i="30" s="1"/>
  <c r="N242" i="30" s="1"/>
  <c r="N243" i="30" s="1"/>
  <c r="S64" i="63"/>
  <c r="X63" i="59"/>
  <c r="AM64" i="57"/>
  <c r="AR64" i="57"/>
  <c r="X64" i="57"/>
  <c r="F227" i="30"/>
  <c r="Q227" i="30"/>
  <c r="Q228" i="30" s="1"/>
  <c r="Q230" i="30" s="1"/>
  <c r="Q242" i="30" s="1"/>
  <c r="Q243" i="30" s="1"/>
  <c r="S65" i="60"/>
  <c r="AH64" i="57"/>
  <c r="AM64" i="60"/>
  <c r="AR63" i="62"/>
  <c r="AF227" i="30"/>
  <c r="AF228" i="30" s="1"/>
  <c r="AF230" i="30" s="1"/>
  <c r="AF242" i="30" s="1"/>
  <c r="AF243" i="30" s="1"/>
  <c r="I227" i="30"/>
  <c r="I228" i="30" s="1"/>
  <c r="I230" i="30" s="1"/>
  <c r="I242" i="30" s="1"/>
  <c r="I243" i="30" s="1"/>
  <c r="AM227" i="30"/>
  <c r="AM228" i="30" s="1"/>
  <c r="AM230" i="30" s="1"/>
  <c r="AM242" i="30" s="1"/>
  <c r="AM243" i="30" s="1"/>
  <c r="AU227" i="30"/>
  <c r="AU228" i="30" s="1"/>
  <c r="AU230" i="30" s="1"/>
  <c r="AU242" i="30" s="1"/>
  <c r="AU243" i="30" s="1"/>
  <c r="AD63" i="59"/>
  <c r="P227" i="30"/>
  <c r="P228" i="30" s="1"/>
  <c r="P230" i="30" s="1"/>
  <c r="P242" i="30" s="1"/>
  <c r="P243" i="30" s="1"/>
  <c r="AH64" i="59"/>
  <c r="AP63" i="62"/>
  <c r="AM63" i="59"/>
  <c r="AD227" i="30"/>
  <c r="AD228" i="30" s="1"/>
  <c r="AD230" i="30" s="1"/>
  <c r="AD242" i="30" s="1"/>
  <c r="AD243" i="30" s="1"/>
  <c r="AI63" i="59"/>
  <c r="M227" i="30"/>
  <c r="M228" i="30" s="1"/>
  <c r="M230" i="30" s="1"/>
  <c r="M242" i="30" s="1"/>
  <c r="M243" i="30" s="1"/>
  <c r="K227" i="30"/>
  <c r="K228" i="30" s="1"/>
  <c r="K230" i="30" s="1"/>
  <c r="K242" i="30" s="1"/>
  <c r="K243" i="30" s="1"/>
  <c r="S63" i="59"/>
  <c r="AQ227" i="30"/>
  <c r="AQ228" i="30" s="1"/>
  <c r="AQ230" i="30" s="1"/>
  <c r="AQ242" i="30" s="1"/>
  <c r="AQ243" i="30" s="1"/>
  <c r="AO64" i="57"/>
  <c r="AH65" i="61"/>
  <c r="W64" i="61"/>
  <c r="AP64" i="60"/>
  <c r="AN64" i="61"/>
  <c r="AQ64" i="57"/>
  <c r="AR64" i="60"/>
  <c r="AB227" i="30"/>
  <c r="AB228" i="30" s="1"/>
  <c r="AB230" i="30" s="1"/>
  <c r="AB242" i="30" s="1"/>
  <c r="AB243" i="30" s="1"/>
  <c r="AS227" i="30"/>
  <c r="AS228" i="30" s="1"/>
  <c r="AS230" i="30" s="1"/>
  <c r="AS242" i="30" s="1"/>
  <c r="AS243" i="30" s="1"/>
  <c r="M64" i="62"/>
  <c r="AK63" i="62"/>
  <c r="AH64" i="62"/>
  <c r="AH63" i="59"/>
  <c r="AC227" i="30"/>
  <c r="AC228" i="30" s="1"/>
  <c r="AC230" i="30" s="1"/>
  <c r="AC242" i="30" s="1"/>
  <c r="AC243" i="30" s="1"/>
  <c r="AA64" i="57"/>
  <c r="U63" i="59"/>
  <c r="AP64" i="63"/>
  <c r="S63" i="62"/>
  <c r="AR64" i="63"/>
  <c r="AH67" i="57"/>
  <c r="AQ64" i="60"/>
  <c r="AL64" i="60"/>
  <c r="AK64" i="57"/>
  <c r="J227" i="30"/>
  <c r="J228" i="30" s="1"/>
  <c r="J230" i="30" s="1"/>
  <c r="J242" i="30" s="1"/>
  <c r="J243" i="30" s="1"/>
  <c r="AN64" i="60"/>
  <c r="AL64" i="63"/>
  <c r="W227" i="30"/>
  <c r="W228" i="30" s="1"/>
  <c r="W230" i="30" s="1"/>
  <c r="W242" i="30" s="1"/>
  <c r="W243" i="30" s="1"/>
  <c r="L227" i="30"/>
  <c r="L228" i="30" s="1"/>
  <c r="L230" i="30" s="1"/>
  <c r="L242" i="30" s="1"/>
  <c r="L243" i="30" s="1"/>
  <c r="AI63" i="62"/>
  <c r="S64" i="59"/>
  <c r="Y227" i="30"/>
  <c r="Y228" i="30" s="1"/>
  <c r="Y230" i="30" s="1"/>
  <c r="Y242" i="30" s="1"/>
  <c r="Y243" i="30" s="1"/>
  <c r="AK64" i="60"/>
  <c r="V227" i="30"/>
  <c r="AI64" i="61"/>
  <c r="AJ64" i="57"/>
  <c r="AK227" i="30"/>
  <c r="S64" i="62"/>
  <c r="S64" i="61"/>
  <c r="AJ63" i="62"/>
  <c r="AO64" i="60"/>
  <c r="AH65" i="57"/>
  <c r="AL64" i="57"/>
  <c r="S67" i="57"/>
  <c r="L8" i="60"/>
  <c r="AV227" i="30"/>
  <c r="AV228" i="30" s="1"/>
  <c r="AV230" i="30" s="1"/>
  <c r="AV242" i="30" s="1"/>
  <c r="AV243" i="30" s="1"/>
  <c r="AI64" i="60"/>
  <c r="AP64" i="57"/>
  <c r="AK65" i="63"/>
  <c r="W65" i="60"/>
  <c r="V278" i="76"/>
  <c r="AB64" i="62"/>
  <c r="AI65" i="61"/>
  <c r="W65" i="61"/>
  <c r="AM65" i="61"/>
  <c r="AM65" i="63"/>
  <c r="AQ64" i="59"/>
  <c r="AS67" i="57"/>
  <c r="T65" i="57"/>
  <c r="AJ64" i="62"/>
  <c r="AC65" i="61"/>
  <c r="Z64" i="62"/>
  <c r="AK67" i="57"/>
  <c r="Y67" i="57"/>
  <c r="AC67" i="57"/>
  <c r="AM67" i="57"/>
  <c r="AP64" i="62"/>
  <c r="Z64" i="59"/>
  <c r="AP65" i="63"/>
  <c r="AI64" i="59"/>
  <c r="AJ65" i="57"/>
  <c r="AA65" i="57"/>
  <c r="V65" i="57"/>
  <c r="AO65" i="63"/>
  <c r="AJ67" i="57"/>
  <c r="Z67" i="57"/>
  <c r="AN65" i="60"/>
  <c r="AI75" i="65"/>
  <c r="AI81" i="65" s="1"/>
  <c r="AI53" i="65"/>
  <c r="X65" i="60"/>
  <c r="AM64" i="59"/>
  <c r="AR65" i="60"/>
  <c r="Q75" i="65"/>
  <c r="Q53" i="65"/>
  <c r="AD65" i="60"/>
  <c r="X64" i="59"/>
  <c r="AP65" i="57"/>
  <c r="M47" i="65"/>
  <c r="M44" i="65"/>
  <c r="AL64" i="62"/>
  <c r="U65" i="61"/>
  <c r="AM64" i="62"/>
  <c r="AK65" i="61"/>
  <c r="AQ67" i="57"/>
  <c r="N64" i="62"/>
  <c r="AS64" i="59"/>
  <c r="AL64" i="59"/>
  <c r="AI64" i="62"/>
  <c r="AJ64" i="59"/>
  <c r="U64" i="59"/>
  <c r="W64" i="59"/>
  <c r="AK64" i="59"/>
  <c r="AR64" i="62"/>
  <c r="O64" i="62"/>
  <c r="AP64" i="59"/>
  <c r="U65" i="57"/>
  <c r="X64" i="62"/>
  <c r="AA64" i="59"/>
  <c r="AB64" i="59"/>
  <c r="AU47" i="65"/>
  <c r="AD38" i="75"/>
  <c r="U67" i="57"/>
  <c r="AR64" i="59"/>
  <c r="AD64" i="59"/>
  <c r="AO64" i="62"/>
  <c r="V64" i="59"/>
  <c r="T65" i="60"/>
  <c r="AP67" i="57"/>
  <c r="AQ65" i="61"/>
  <c r="AA65" i="60"/>
  <c r="AC64" i="59"/>
  <c r="U65" i="60"/>
  <c r="AQ64" i="62"/>
  <c r="W65" i="57"/>
  <c r="AC65" i="57"/>
  <c r="AJ65" i="63"/>
  <c r="V65" i="60"/>
  <c r="AR65" i="61"/>
  <c r="AQ65" i="63"/>
  <c r="T65" i="61"/>
  <c r="AB65" i="60"/>
  <c r="AL65" i="60"/>
  <c r="Y65" i="57"/>
  <c r="AR65" i="63"/>
  <c r="AO67" i="57"/>
  <c r="Y65" i="60"/>
  <c r="AI46" i="32"/>
  <c r="AI43" i="32"/>
  <c r="AU39" i="32"/>
  <c r="AU46" i="32" s="1"/>
  <c r="AB65" i="61"/>
  <c r="Y64" i="59"/>
  <c r="AJ65" i="61"/>
  <c r="AA65" i="61"/>
  <c r="AS65" i="57"/>
  <c r="AI50" i="65"/>
  <c r="AU44" i="65"/>
  <c r="AO65" i="60"/>
  <c r="X65" i="61"/>
  <c r="AC65" i="60"/>
  <c r="AS65" i="63"/>
  <c r="AL65" i="61"/>
  <c r="X65" i="57"/>
  <c r="AD64" i="62"/>
  <c r="AP65" i="61"/>
  <c r="AS65" i="61"/>
  <c r="AL65" i="57"/>
  <c r="Z65" i="57"/>
  <c r="AN67" i="57"/>
  <c r="AA67" i="57"/>
  <c r="AQ84" i="65"/>
  <c r="AQ100" i="65"/>
  <c r="AQ101" i="65" s="1"/>
  <c r="AQ65" i="57"/>
  <c r="T67" i="57"/>
  <c r="AJ65" i="60"/>
  <c r="AN65" i="63"/>
  <c r="Z65" i="61"/>
  <c r="AR67" i="57"/>
  <c r="AI65" i="57"/>
  <c r="AR65" i="57"/>
  <c r="W64" i="62"/>
  <c r="AS64" i="62"/>
  <c r="AA64" i="62"/>
  <c r="AK65" i="60"/>
  <c r="Y64" i="62"/>
  <c r="AN65" i="57"/>
  <c r="AD65" i="61"/>
  <c r="AD65" i="57"/>
  <c r="W67" i="57"/>
  <c r="AK64" i="62"/>
  <c r="AC64" i="62"/>
  <c r="AD67" i="57"/>
  <c r="V65" i="61"/>
  <c r="AL67" i="57"/>
  <c r="AS65" i="60"/>
  <c r="Y65" i="61"/>
  <c r="AO65" i="57"/>
  <c r="AN65" i="61"/>
  <c r="AL65" i="63"/>
  <c r="AK65" i="57"/>
  <c r="AQ52" i="32"/>
  <c r="AQ74" i="32"/>
  <c r="AQ80" i="32" s="1"/>
  <c r="AQ65" i="60"/>
  <c r="AI65" i="63"/>
  <c r="X67" i="57"/>
  <c r="AI65" i="60"/>
  <c r="AI67" i="57"/>
  <c r="AM278" i="76"/>
  <c r="AM279" i="76" s="1"/>
  <c r="AM281" i="76" s="1"/>
  <c r="AM293" i="76" s="1"/>
  <c r="L278" i="76"/>
  <c r="L279" i="76" s="1"/>
  <c r="L281" i="76" s="1"/>
  <c r="L293" i="76" s="1"/>
  <c r="X278" i="76"/>
  <c r="X279" i="76" s="1"/>
  <c r="X281" i="76" s="1"/>
  <c r="X293" i="76" s="1"/>
  <c r="AE278" i="76"/>
  <c r="AE279" i="76" s="1"/>
  <c r="AE281" i="76" s="1"/>
  <c r="AE293" i="76" s="1"/>
  <c r="AT278" i="76"/>
  <c r="AT279" i="76" s="1"/>
  <c r="AT281" i="76" s="1"/>
  <c r="AT293" i="76" s="1"/>
  <c r="Y278" i="76"/>
  <c r="Y279" i="76" s="1"/>
  <c r="Y281" i="76" s="1"/>
  <c r="Y293" i="76" s="1"/>
  <c r="AN278" i="76"/>
  <c r="AN279" i="76" s="1"/>
  <c r="AN281" i="76" s="1"/>
  <c r="AN293" i="76" s="1"/>
  <c r="AO278" i="76"/>
  <c r="AO279" i="76" s="1"/>
  <c r="AO281" i="76" s="1"/>
  <c r="AO293" i="76" s="1"/>
  <c r="AC278" i="76"/>
  <c r="AC279" i="76" s="1"/>
  <c r="AC281" i="76" s="1"/>
  <c r="AC293" i="76" s="1"/>
  <c r="I278" i="76"/>
  <c r="I279" i="76" s="1"/>
  <c r="I281" i="76" s="1"/>
  <c r="I293" i="76" s="1"/>
  <c r="AF278" i="76"/>
  <c r="AF279" i="76" s="1"/>
  <c r="AF281" i="76" s="1"/>
  <c r="AF293" i="76" s="1"/>
  <c r="AQ278" i="76"/>
  <c r="AQ279" i="76" s="1"/>
  <c r="AQ281" i="76" s="1"/>
  <c r="AQ293" i="76" s="1"/>
  <c r="H278" i="76"/>
  <c r="H279" i="76" s="1"/>
  <c r="H281" i="76" s="1"/>
  <c r="H293" i="76" s="1"/>
  <c r="Z278" i="76"/>
  <c r="Z279" i="76" s="1"/>
  <c r="Z281" i="76" s="1"/>
  <c r="Z293" i="76" s="1"/>
  <c r="AV278" i="76"/>
  <c r="AV279" i="76" s="1"/>
  <c r="AV281" i="76" s="1"/>
  <c r="AV293" i="76" s="1"/>
  <c r="N278" i="76"/>
  <c r="N279" i="76" s="1"/>
  <c r="N281" i="76" s="1"/>
  <c r="N293" i="76" s="1"/>
  <c r="P278" i="76"/>
  <c r="P279" i="76" s="1"/>
  <c r="P281" i="76" s="1"/>
  <c r="P293" i="76" s="1"/>
  <c r="AD278" i="76"/>
  <c r="AD279" i="76" s="1"/>
  <c r="AD281" i="76" s="1"/>
  <c r="AD293" i="76" s="1"/>
  <c r="O278" i="76"/>
  <c r="O279" i="76" s="1"/>
  <c r="O281" i="76" s="1"/>
  <c r="O293" i="76" s="1"/>
  <c r="W278" i="76"/>
  <c r="W279" i="76" s="1"/>
  <c r="W281" i="76" s="1"/>
  <c r="W293" i="76" s="1"/>
  <c r="AU278" i="76"/>
  <c r="AU279" i="76" s="1"/>
  <c r="AU281" i="76" s="1"/>
  <c r="AU293" i="76" s="1"/>
  <c r="AB278" i="76"/>
  <c r="AB279" i="76" s="1"/>
  <c r="AB281" i="76" s="1"/>
  <c r="AB293" i="76" s="1"/>
  <c r="AR278" i="76"/>
  <c r="AR279" i="76" s="1"/>
  <c r="AR281" i="76" s="1"/>
  <c r="AR293" i="76" s="1"/>
  <c r="Q278" i="76"/>
  <c r="Q279" i="76" s="1"/>
  <c r="Q281" i="76" s="1"/>
  <c r="Q293" i="76" s="1"/>
  <c r="AS278" i="76"/>
  <c r="AS279" i="76" s="1"/>
  <c r="AS281" i="76" s="1"/>
  <c r="AS293" i="76" s="1"/>
  <c r="G278" i="76"/>
  <c r="G279" i="76" s="1"/>
  <c r="G281" i="76" s="1"/>
  <c r="G293" i="76" s="1"/>
  <c r="J278" i="76"/>
  <c r="J279" i="76" s="1"/>
  <c r="J281" i="76" s="1"/>
  <c r="J293" i="76" s="1"/>
  <c r="K278" i="76"/>
  <c r="K279" i="76" s="1"/>
  <c r="K281" i="76" s="1"/>
  <c r="K293" i="76" s="1"/>
  <c r="AA278" i="76"/>
  <c r="AA279" i="76" s="1"/>
  <c r="AA281" i="76" s="1"/>
  <c r="AA293" i="76" s="1"/>
  <c r="AP278" i="76"/>
  <c r="AP279" i="76" s="1"/>
  <c r="AP281" i="76" s="1"/>
  <c r="AP293" i="76" s="1"/>
  <c r="AL278" i="76"/>
  <c r="AL279" i="76" s="1"/>
  <c r="AM65" i="60"/>
  <c r="AP65" i="60"/>
  <c r="AO64" i="59"/>
  <c r="AM65" i="57"/>
  <c r="U64" i="62"/>
  <c r="AB67" i="57"/>
  <c r="T64" i="62"/>
  <c r="AN64" i="62"/>
  <c r="AB65" i="57"/>
  <c r="V64" i="62"/>
  <c r="AO65" i="61"/>
  <c r="T64" i="59"/>
  <c r="V67" i="57"/>
  <c r="Z65" i="60"/>
  <c r="AQ55" i="32"/>
  <c r="M7" i="74"/>
  <c r="E9" i="74"/>
  <c r="P10" i="74"/>
  <c r="H11" i="74"/>
  <c r="J7" i="74"/>
  <c r="F16" i="74"/>
  <c r="M11" i="74"/>
  <c r="Q12" i="74"/>
  <c r="P18" i="74"/>
  <c r="K14" i="74"/>
  <c r="J18" i="74"/>
  <c r="S17" i="74"/>
  <c r="O13" i="74"/>
  <c r="H19" i="74"/>
  <c r="E5" i="74"/>
  <c r="M2" i="74"/>
  <c r="N2" i="74"/>
  <c r="M10" i="74"/>
  <c r="J4" i="74"/>
  <c r="R10" i="74"/>
  <c r="J16" i="74"/>
  <c r="J10" i="74"/>
  <c r="L6" i="74"/>
  <c r="F6" i="74"/>
  <c r="J15" i="74"/>
  <c r="R14" i="74"/>
  <c r="O12" i="74"/>
  <c r="Q19" i="74"/>
  <c r="F17" i="74"/>
  <c r="E11" i="74"/>
  <c r="Q5" i="74"/>
  <c r="N12" i="74"/>
  <c r="O8" i="74"/>
  <c r="G18" i="74"/>
  <c r="P9" i="74"/>
  <c r="P12" i="74"/>
  <c r="G13" i="74"/>
  <c r="K17" i="74"/>
  <c r="L3" i="74"/>
  <c r="M15" i="74"/>
  <c r="H9" i="74"/>
  <c r="N18" i="74"/>
  <c r="I13" i="74"/>
  <c r="L14" i="74"/>
  <c r="O7" i="74"/>
  <c r="S18" i="74"/>
  <c r="J9" i="74"/>
  <c r="I15" i="74"/>
  <c r="S15" i="74"/>
  <c r="O14" i="74"/>
  <c r="F11" i="74"/>
  <c r="M16" i="74"/>
  <c r="S12" i="74"/>
  <c r="M6" i="74"/>
  <c r="F3" i="74"/>
  <c r="I5" i="74"/>
  <c r="L10" i="74"/>
  <c r="I2" i="74"/>
  <c r="Q17" i="74"/>
  <c r="H13" i="74"/>
  <c r="M9" i="74"/>
  <c r="R6" i="74"/>
  <c r="K15" i="74"/>
  <c r="Q4" i="74"/>
  <c r="H5" i="74"/>
  <c r="L9" i="74"/>
  <c r="S8" i="74"/>
  <c r="O4" i="74"/>
  <c r="P19" i="74"/>
  <c r="L12" i="74"/>
  <c r="S3" i="74"/>
  <c r="G4" i="74"/>
  <c r="Q16" i="74"/>
  <c r="K18" i="74"/>
  <c r="E15" i="74"/>
  <c r="Q11" i="74"/>
  <c r="P13" i="74"/>
  <c r="G10" i="74"/>
  <c r="S10" i="74"/>
  <c r="G6" i="74"/>
  <c r="P2" i="74"/>
  <c r="L7" i="74"/>
  <c r="O9" i="74"/>
  <c r="E7" i="74"/>
  <c r="G16" i="74"/>
  <c r="L8" i="74"/>
  <c r="Q14" i="74"/>
  <c r="P14" i="74"/>
  <c r="S13" i="74"/>
  <c r="K6" i="74"/>
  <c r="O11" i="74"/>
  <c r="I18" i="74"/>
  <c r="F15" i="74"/>
  <c r="L5" i="74"/>
  <c r="M5" i="74"/>
  <c r="F7" i="74"/>
  <c r="N16" i="74"/>
  <c r="H7" i="74"/>
  <c r="R7" i="74"/>
  <c r="N11" i="74"/>
  <c r="N6" i="74"/>
  <c r="O16" i="74"/>
  <c r="R11" i="74"/>
  <c r="N7" i="74"/>
  <c r="I19" i="74"/>
  <c r="S11" i="74"/>
  <c r="R4" i="74"/>
  <c r="Q3" i="74"/>
  <c r="S5" i="74"/>
  <c r="J11" i="74"/>
  <c r="E18" i="74"/>
  <c r="J3" i="74"/>
  <c r="K2" i="74"/>
  <c r="N13" i="74"/>
  <c r="G17" i="74"/>
  <c r="O10" i="74"/>
  <c r="M14" i="74"/>
  <c r="O2" i="74"/>
  <c r="J14" i="74"/>
  <c r="H2" i="74"/>
  <c r="G8" i="74"/>
  <c r="S6" i="74"/>
  <c r="E14" i="74"/>
  <c r="N14" i="74"/>
  <c r="S16" i="74"/>
  <c r="O15" i="74"/>
  <c r="F8" i="74"/>
  <c r="M8" i="74"/>
  <c r="Q2" i="74"/>
  <c r="N5" i="74"/>
  <c r="G5" i="74"/>
  <c r="G19" i="74"/>
  <c r="O6" i="74"/>
  <c r="H15" i="74"/>
  <c r="I3" i="74"/>
  <c r="K11" i="74"/>
  <c r="S4" i="74"/>
  <c r="P3" i="74"/>
  <c r="F12" i="74"/>
  <c r="K12" i="74"/>
  <c r="S2" i="74"/>
  <c r="F18" i="74"/>
  <c r="H4" i="74"/>
  <c r="O5" i="74"/>
  <c r="K19" i="74"/>
  <c r="K10" i="74"/>
  <c r="E16" i="74"/>
  <c r="K9" i="74"/>
  <c r="R13" i="74"/>
  <c r="P5" i="74"/>
  <c r="J2" i="74"/>
  <c r="O19" i="74"/>
  <c r="K7" i="74"/>
  <c r="R3" i="74"/>
  <c r="L2" i="74"/>
  <c r="J5" i="74"/>
  <c r="J6" i="74"/>
  <c r="R17" i="74"/>
  <c r="K5" i="74"/>
  <c r="N8" i="74"/>
  <c r="H8" i="74"/>
  <c r="H14" i="74"/>
  <c r="Q9" i="74"/>
  <c r="I17" i="74"/>
  <c r="N9" i="74"/>
  <c r="L4" i="74"/>
  <c r="H18" i="74"/>
  <c r="R12" i="74"/>
  <c r="I14" i="74"/>
  <c r="G15" i="74"/>
  <c r="K13" i="74"/>
  <c r="I12" i="74"/>
  <c r="G9" i="74"/>
  <c r="L15" i="74"/>
  <c r="L18" i="74"/>
  <c r="Q13" i="74"/>
  <c r="R19" i="74"/>
  <c r="N10" i="74"/>
  <c r="E2" i="74"/>
  <c r="E4" i="74"/>
  <c r="E10" i="74"/>
  <c r="L11" i="74"/>
  <c r="R18" i="74"/>
  <c r="K16" i="74"/>
  <c r="K4" i="74"/>
  <c r="Q10" i="74"/>
  <c r="Q18" i="74"/>
  <c r="O3" i="74"/>
  <c r="N19" i="74"/>
  <c r="P17" i="74"/>
  <c r="E13" i="74"/>
  <c r="R2" i="74"/>
  <c r="R5" i="74"/>
  <c r="G7" i="74"/>
  <c r="I7" i="74"/>
  <c r="K3" i="74"/>
  <c r="I4" i="74"/>
  <c r="K8" i="74"/>
  <c r="N4" i="74"/>
  <c r="Q7" i="74"/>
  <c r="F14" i="74"/>
  <c r="I11" i="74"/>
  <c r="M4" i="74"/>
  <c r="M17" i="74"/>
  <c r="J12" i="74"/>
  <c r="F5" i="74"/>
  <c r="H16" i="74"/>
  <c r="F19" i="74"/>
  <c r="E12" i="74"/>
  <c r="S7" i="74"/>
  <c r="J17" i="74"/>
  <c r="J8" i="74"/>
  <c r="H17" i="74"/>
  <c r="F10" i="74"/>
  <c r="L19" i="74"/>
  <c r="H10" i="74"/>
  <c r="P6" i="74"/>
  <c r="H12" i="74"/>
  <c r="E17" i="74"/>
  <c r="N17" i="74"/>
  <c r="R9" i="74"/>
  <c r="H6" i="74"/>
  <c r="J19" i="74"/>
  <c r="M18" i="74"/>
  <c r="I6" i="74"/>
  <c r="E3" i="74"/>
  <c r="G11" i="74"/>
  <c r="F9" i="74"/>
  <c r="I16" i="74"/>
  <c r="M3" i="74"/>
  <c r="I8" i="74"/>
  <c r="P15" i="74"/>
  <c r="R16" i="74"/>
  <c r="Q15" i="74"/>
  <c r="R15" i="74"/>
  <c r="N15" i="74"/>
  <c r="Q6" i="74"/>
  <c r="P7" i="74"/>
  <c r="I10" i="74"/>
  <c r="O18" i="74"/>
  <c r="R8" i="74"/>
  <c r="L17" i="74"/>
  <c r="P8" i="74"/>
  <c r="F2" i="74"/>
  <c r="F4" i="74"/>
  <c r="S14" i="74"/>
  <c r="L16" i="74"/>
  <c r="S19" i="74"/>
  <c r="M12" i="74"/>
  <c r="P16" i="74"/>
  <c r="O17" i="74"/>
  <c r="N3" i="74"/>
  <c r="L13" i="74"/>
  <c r="AU66" i="63" l="1"/>
  <c r="AF65" i="63"/>
  <c r="AF65" i="59"/>
  <c r="AF66" i="63"/>
  <c r="AU65" i="59"/>
  <c r="Q81" i="65"/>
  <c r="AU66" i="57"/>
  <c r="AF66" i="60"/>
  <c r="AU66" i="60"/>
  <c r="AF66" i="57"/>
  <c r="AF66" i="61"/>
  <c r="AU66" i="61"/>
  <c r="N71" i="61"/>
  <c r="O71" i="61"/>
  <c r="Q8" i="51"/>
  <c r="AG8" i="51" s="1"/>
  <c r="M12" i="52"/>
  <c r="AG243" i="30"/>
  <c r="S40" i="65"/>
  <c r="AC40" i="65"/>
  <c r="T40" i="65"/>
  <c r="AD40" i="65"/>
  <c r="Z40" i="65"/>
  <c r="W40" i="65"/>
  <c r="AB40" i="65"/>
  <c r="X40" i="65"/>
  <c r="AA40" i="65"/>
  <c r="U40" i="65"/>
  <c r="Y40" i="65"/>
  <c r="V40" i="65"/>
  <c r="AI56" i="65"/>
  <c r="AI78" i="65"/>
  <c r="AU53" i="65"/>
  <c r="AU75" i="65"/>
  <c r="AU81" i="65" s="1"/>
  <c r="AF67" i="57"/>
  <c r="M12" i="63"/>
  <c r="Q8" i="63"/>
  <c r="M24" i="63"/>
  <c r="N21" i="61"/>
  <c r="N43" i="61"/>
  <c r="N12" i="61"/>
  <c r="AA71" i="57"/>
  <c r="AA77" i="57" s="1"/>
  <c r="AA74" i="57"/>
  <c r="AA80" i="57" s="1"/>
  <c r="AQ71" i="57"/>
  <c r="AQ77" i="57" s="1"/>
  <c r="AQ74" i="57"/>
  <c r="AQ80" i="57" s="1"/>
  <c r="M16" i="62"/>
  <c r="M23" i="62" s="1"/>
  <c r="M38" i="62"/>
  <c r="Q7" i="62"/>
  <c r="M11" i="62"/>
  <c r="AO71" i="61"/>
  <c r="AO77" i="61" s="1"/>
  <c r="AO74" i="61"/>
  <c r="AO80" i="61" s="1"/>
  <c r="W70" i="59"/>
  <c r="W76" i="59" s="1"/>
  <c r="W73" i="59"/>
  <c r="W79" i="59" s="1"/>
  <c r="AM69" i="62"/>
  <c r="AM75" i="62" s="1"/>
  <c r="AM72" i="62"/>
  <c r="AM78" i="62" s="1"/>
  <c r="U71" i="57"/>
  <c r="U77" i="57" s="1"/>
  <c r="U74" i="57"/>
  <c r="U80" i="57" s="1"/>
  <c r="AC70" i="59"/>
  <c r="AC76" i="59" s="1"/>
  <c r="AC73" i="59"/>
  <c r="AC79" i="59" s="1"/>
  <c r="V70" i="59"/>
  <c r="V76" i="59" s="1"/>
  <c r="V73" i="59"/>
  <c r="V79" i="59" s="1"/>
  <c r="AJ71" i="63"/>
  <c r="AJ77" i="63" s="1"/>
  <c r="AJ74" i="63"/>
  <c r="AJ80" i="63" s="1"/>
  <c r="X71" i="60"/>
  <c r="X77" i="60" s="1"/>
  <c r="X74" i="60"/>
  <c r="X80" i="60" s="1"/>
  <c r="V74" i="60"/>
  <c r="V80" i="60" s="1"/>
  <c r="V71" i="60"/>
  <c r="V77" i="60" s="1"/>
  <c r="Y70" i="59"/>
  <c r="Y76" i="59" s="1"/>
  <c r="Y73" i="59"/>
  <c r="Y79" i="59" s="1"/>
  <c r="AB69" i="62"/>
  <c r="AB75" i="62" s="1"/>
  <c r="AB72" i="62"/>
  <c r="AB78" i="62" s="1"/>
  <c r="M50" i="65"/>
  <c r="Q44" i="65"/>
  <c r="AL71" i="57"/>
  <c r="AL77" i="57" s="1"/>
  <c r="AL74" i="57"/>
  <c r="AL80" i="57" s="1"/>
  <c r="S71" i="61"/>
  <c r="AF64" i="61"/>
  <c r="S74" i="61"/>
  <c r="S80" i="61" s="1"/>
  <c r="AF64" i="59"/>
  <c r="AK71" i="57"/>
  <c r="AK77" i="57" s="1"/>
  <c r="AK74" i="57"/>
  <c r="AK80" i="57" s="1"/>
  <c r="AN71" i="61"/>
  <c r="AN77" i="61" s="1"/>
  <c r="AN74" i="61"/>
  <c r="AN80" i="61" s="1"/>
  <c r="AI70" i="59"/>
  <c r="AI76" i="59" s="1"/>
  <c r="AI73" i="59"/>
  <c r="AI79" i="59" s="1"/>
  <c r="O11" i="59"/>
  <c r="O23" i="59"/>
  <c r="AS71" i="63"/>
  <c r="AS77" i="63" s="1"/>
  <c r="AS74" i="63"/>
  <c r="AS80" i="63" s="1"/>
  <c r="AO70" i="59"/>
  <c r="AO76" i="59" s="1"/>
  <c r="AO73" i="59"/>
  <c r="AO79" i="59" s="1"/>
  <c r="AA71" i="61"/>
  <c r="AA77" i="61" s="1"/>
  <c r="AA74" i="61"/>
  <c r="AA80" i="61" s="1"/>
  <c r="M69" i="62"/>
  <c r="Q63" i="62"/>
  <c r="V71" i="57"/>
  <c r="V77" i="57" s="1"/>
  <c r="V74" i="57"/>
  <c r="V80" i="57" s="1"/>
  <c r="AS74" i="60"/>
  <c r="AS80" i="60" s="1"/>
  <c r="AB71" i="60"/>
  <c r="AB77" i="60" s="1"/>
  <c r="AB74" i="60"/>
  <c r="AB80" i="60" s="1"/>
  <c r="V72" i="62"/>
  <c r="V78" i="62" s="1"/>
  <c r="V69" i="62"/>
  <c r="V75" i="62" s="1"/>
  <c r="AA70" i="59"/>
  <c r="AA76" i="59" s="1"/>
  <c r="AA73" i="59"/>
  <c r="AA79" i="59" s="1"/>
  <c r="U72" i="62"/>
  <c r="U78" i="62" s="1"/>
  <c r="U69" i="62"/>
  <c r="U75" i="62" s="1"/>
  <c r="M53" i="65"/>
  <c r="M75" i="65"/>
  <c r="M81" i="65" s="1"/>
  <c r="AH278" i="76"/>
  <c r="V279" i="76"/>
  <c r="N21" i="60"/>
  <c r="N43" i="60"/>
  <c r="N12" i="60"/>
  <c r="AF64" i="62"/>
  <c r="AI69" i="62"/>
  <c r="AI75" i="62" s="1"/>
  <c r="AI72" i="62"/>
  <c r="AI78" i="62" s="1"/>
  <c r="AL74" i="60"/>
  <c r="AL80" i="60" s="1"/>
  <c r="AH70" i="59"/>
  <c r="AU63" i="59"/>
  <c r="AH73" i="59"/>
  <c r="AH79" i="59" s="1"/>
  <c r="AP74" i="60"/>
  <c r="AP80" i="60" s="1"/>
  <c r="M11" i="59"/>
  <c r="Q7" i="59"/>
  <c r="M23" i="59"/>
  <c r="AU65" i="60"/>
  <c r="T71" i="57"/>
  <c r="T77" i="57" s="1"/>
  <c r="T74" i="57"/>
  <c r="T80" i="57" s="1"/>
  <c r="AQ69" i="62"/>
  <c r="AQ75" i="62" s="1"/>
  <c r="AQ72" i="62"/>
  <c r="AQ78" i="62" s="1"/>
  <c r="V71" i="61"/>
  <c r="V77" i="61" s="1"/>
  <c r="V74" i="61"/>
  <c r="V80" i="61" s="1"/>
  <c r="AM71" i="61"/>
  <c r="AM77" i="61" s="1"/>
  <c r="AM74" i="61"/>
  <c r="AM80" i="61" s="1"/>
  <c r="T71" i="61"/>
  <c r="T77" i="61" s="1"/>
  <c r="T74" i="61"/>
  <c r="T80" i="61" s="1"/>
  <c r="Z71" i="57"/>
  <c r="Z77" i="57" s="1"/>
  <c r="Z74" i="57"/>
  <c r="Z80" i="57" s="1"/>
  <c r="AO71" i="63"/>
  <c r="AO77" i="63" s="1"/>
  <c r="AO74" i="63"/>
  <c r="AO80" i="63" s="1"/>
  <c r="T71" i="60"/>
  <c r="T77" i="60" s="1"/>
  <c r="T74" i="60"/>
  <c r="T80" i="60" s="1"/>
  <c r="AD72" i="62"/>
  <c r="AD78" i="62" s="1"/>
  <c r="AD69" i="62"/>
  <c r="AD75" i="62" s="1"/>
  <c r="T69" i="62"/>
  <c r="T75" i="62" s="1"/>
  <c r="T72" i="62"/>
  <c r="T78" i="62" s="1"/>
  <c r="Z74" i="63"/>
  <c r="Z80" i="63" s="1"/>
  <c r="Z71" i="63"/>
  <c r="Z77" i="63" s="1"/>
  <c r="M12" i="60"/>
  <c r="M24" i="60"/>
  <c r="AW227" i="30"/>
  <c r="AX227" i="30" s="1"/>
  <c r="AK228" i="30"/>
  <c r="N11" i="59"/>
  <c r="N23" i="59"/>
  <c r="M24" i="61"/>
  <c r="Q8" i="61"/>
  <c r="M12" i="61"/>
  <c r="AU64" i="62"/>
  <c r="W71" i="61"/>
  <c r="W77" i="61" s="1"/>
  <c r="W74" i="61"/>
  <c r="W80" i="61" s="1"/>
  <c r="AM70" i="59"/>
  <c r="AM76" i="59" s="1"/>
  <c r="AM73" i="59"/>
  <c r="AM79" i="59" s="1"/>
  <c r="AR69" i="62"/>
  <c r="AR75" i="62" s="1"/>
  <c r="AR72" i="62"/>
  <c r="AR78" i="62" s="1"/>
  <c r="X71" i="57"/>
  <c r="X77" i="57" s="1"/>
  <c r="X74" i="57"/>
  <c r="X80" i="57" s="1"/>
  <c r="AK71" i="61"/>
  <c r="AK77" i="61" s="1"/>
  <c r="AK74" i="61"/>
  <c r="AK80" i="61" s="1"/>
  <c r="AN70" i="59"/>
  <c r="AN76" i="59" s="1"/>
  <c r="AN73" i="59"/>
  <c r="AN79" i="59" s="1"/>
  <c r="AP70" i="59"/>
  <c r="AP76" i="59" s="1"/>
  <c r="AP73" i="59"/>
  <c r="AP79" i="59" s="1"/>
  <c r="AF64" i="57"/>
  <c r="S71" i="57"/>
  <c r="S74" i="57"/>
  <c r="S80" i="57" s="1"/>
  <c r="AK71" i="63"/>
  <c r="AK77" i="63" s="1"/>
  <c r="AK74" i="63"/>
  <c r="AK80" i="63" s="1"/>
  <c r="N69" i="62"/>
  <c r="AM71" i="63"/>
  <c r="AM77" i="63" s="1"/>
  <c r="AM74" i="63"/>
  <c r="AM80" i="63" s="1"/>
  <c r="AI71" i="63"/>
  <c r="AI77" i="63" s="1"/>
  <c r="AI74" i="63"/>
  <c r="AI80" i="63" s="1"/>
  <c r="AL69" i="62"/>
  <c r="AL75" i="62" s="1"/>
  <c r="AL72" i="62"/>
  <c r="AL78" i="62" s="1"/>
  <c r="Y71" i="61"/>
  <c r="Y77" i="61" s="1"/>
  <c r="Y74" i="61"/>
  <c r="Y80" i="61" s="1"/>
  <c r="AD71" i="57"/>
  <c r="AD77" i="57" s="1"/>
  <c r="AD74" i="57"/>
  <c r="AD80" i="57" s="1"/>
  <c r="O69" i="62"/>
  <c r="AC71" i="60"/>
  <c r="AC77" i="60" s="1"/>
  <c r="AC74" i="60"/>
  <c r="AC80" i="60" s="1"/>
  <c r="N43" i="63"/>
  <c r="N21" i="63"/>
  <c r="N12" i="63"/>
  <c r="M71" i="57"/>
  <c r="Q71" i="57" s="1"/>
  <c r="Q65" i="57"/>
  <c r="AQ74" i="60"/>
  <c r="AQ80" i="60" s="1"/>
  <c r="O12" i="60"/>
  <c r="O21" i="60"/>
  <c r="O43" i="60"/>
  <c r="AU65" i="61"/>
  <c r="AP69" i="62"/>
  <c r="AP75" i="62" s="1"/>
  <c r="AP72" i="62"/>
  <c r="AP78" i="62" s="1"/>
  <c r="AM74" i="60"/>
  <c r="AM80" i="60" s="1"/>
  <c r="AR71" i="57"/>
  <c r="AR77" i="57" s="1"/>
  <c r="AR74" i="57"/>
  <c r="AR80" i="57" s="1"/>
  <c r="AP71" i="61"/>
  <c r="AP77" i="61" s="1"/>
  <c r="AP74" i="61"/>
  <c r="AP80" i="61" s="1"/>
  <c r="AH71" i="63"/>
  <c r="AU64" i="63"/>
  <c r="AH74" i="63"/>
  <c r="AH80" i="63" s="1"/>
  <c r="AF65" i="61"/>
  <c r="Y71" i="57"/>
  <c r="Y77" i="57" s="1"/>
  <c r="Y74" i="57"/>
  <c r="Y80" i="57" s="1"/>
  <c r="AB70" i="59"/>
  <c r="AB76" i="59" s="1"/>
  <c r="AB73" i="59"/>
  <c r="AB79" i="59" s="1"/>
  <c r="AC71" i="57"/>
  <c r="AC77" i="57" s="1"/>
  <c r="AC74" i="57"/>
  <c r="AC80" i="57" s="1"/>
  <c r="AL71" i="61"/>
  <c r="AL77" i="61" s="1"/>
  <c r="AL74" i="61"/>
  <c r="AL80" i="61" s="1"/>
  <c r="AA69" i="62"/>
  <c r="AA75" i="62" s="1"/>
  <c r="AA72" i="62"/>
  <c r="AA78" i="62" s="1"/>
  <c r="W71" i="63"/>
  <c r="W77" i="63" s="1"/>
  <c r="W74" i="63"/>
  <c r="W80" i="63" s="1"/>
  <c r="AD71" i="61"/>
  <c r="AD77" i="61" s="1"/>
  <c r="AD74" i="61"/>
  <c r="AD80" i="61" s="1"/>
  <c r="W71" i="60"/>
  <c r="W77" i="60" s="1"/>
  <c r="W74" i="60"/>
  <c r="W80" i="60" s="1"/>
  <c r="U74" i="63"/>
  <c r="U80" i="63" s="1"/>
  <c r="U71" i="63"/>
  <c r="U77" i="63" s="1"/>
  <c r="AP71" i="57"/>
  <c r="AP77" i="57" s="1"/>
  <c r="AP74" i="57"/>
  <c r="AP80" i="57" s="1"/>
  <c r="O38" i="62"/>
  <c r="O42" i="62" s="1"/>
  <c r="O16" i="62"/>
  <c r="O20" i="62" s="1"/>
  <c r="O11" i="62"/>
  <c r="AJ71" i="57"/>
  <c r="AJ77" i="57" s="1"/>
  <c r="AJ74" i="57"/>
  <c r="AJ80" i="57" s="1"/>
  <c r="AU67" i="57"/>
  <c r="AK69" i="62"/>
  <c r="AK75" i="62" s="1"/>
  <c r="AK72" i="62"/>
  <c r="AK78" i="62" s="1"/>
  <c r="AO71" i="57"/>
  <c r="AO77" i="57" s="1"/>
  <c r="AO74" i="57"/>
  <c r="AO80" i="57" s="1"/>
  <c r="AU64" i="59"/>
  <c r="AH71" i="57"/>
  <c r="AU64" i="57"/>
  <c r="AH74" i="57"/>
  <c r="AH80" i="57" s="1"/>
  <c r="AM71" i="57"/>
  <c r="AM77" i="57" s="1"/>
  <c r="AM74" i="57"/>
  <c r="AM80" i="57" s="1"/>
  <c r="AQ71" i="61"/>
  <c r="AQ77" i="61" s="1"/>
  <c r="AQ74" i="61"/>
  <c r="AQ80" i="61" s="1"/>
  <c r="AS70" i="59"/>
  <c r="AS76" i="59" s="1"/>
  <c r="AS73" i="59"/>
  <c r="AS79" i="59" s="1"/>
  <c r="AB71" i="57"/>
  <c r="AB77" i="57" s="1"/>
  <c r="AB74" i="57"/>
  <c r="AB80" i="57" s="1"/>
  <c r="AS71" i="57"/>
  <c r="AS77" i="57" s="1"/>
  <c r="AS74" i="57"/>
  <c r="AS80" i="57" s="1"/>
  <c r="AJ71" i="61"/>
  <c r="AJ77" i="61" s="1"/>
  <c r="AJ74" i="61"/>
  <c r="AJ80" i="61" s="1"/>
  <c r="AL70" i="59"/>
  <c r="AL76" i="59" s="1"/>
  <c r="AL73" i="59"/>
  <c r="AL79" i="59" s="1"/>
  <c r="T71" i="63"/>
  <c r="T77" i="63" s="1"/>
  <c r="T74" i="63"/>
  <c r="T80" i="63" s="1"/>
  <c r="W69" i="62"/>
  <c r="W75" i="62" s="1"/>
  <c r="W72" i="62"/>
  <c r="W78" i="62" s="1"/>
  <c r="Z69" i="62"/>
  <c r="Z75" i="62" s="1"/>
  <c r="Z72" i="62"/>
  <c r="Z78" i="62" s="1"/>
  <c r="AC72" i="62"/>
  <c r="AC78" i="62" s="1"/>
  <c r="AC69" i="62"/>
  <c r="AC75" i="62" s="1"/>
  <c r="X71" i="63"/>
  <c r="X77" i="63" s="1"/>
  <c r="X74" i="63"/>
  <c r="X80" i="63" s="1"/>
  <c r="AI74" i="60"/>
  <c r="AI80" i="60" s="1"/>
  <c r="AU65" i="57"/>
  <c r="AI71" i="61"/>
  <c r="AI77" i="61" s="1"/>
  <c r="AI74" i="61"/>
  <c r="AI80" i="61" s="1"/>
  <c r="O12" i="57"/>
  <c r="O24" i="57"/>
  <c r="AR71" i="63"/>
  <c r="AR77" i="63" s="1"/>
  <c r="AR74" i="63"/>
  <c r="AR80" i="63" s="1"/>
  <c r="Q64" i="62"/>
  <c r="N16" i="62"/>
  <c r="N20" i="62" s="1"/>
  <c r="N11" i="62"/>
  <c r="N38" i="62"/>
  <c r="N42" i="62" s="1"/>
  <c r="X70" i="59"/>
  <c r="X76" i="59" s="1"/>
  <c r="X73" i="59"/>
  <c r="X79" i="59" s="1"/>
  <c r="AF64" i="60"/>
  <c r="S71" i="60"/>
  <c r="S74" i="60"/>
  <c r="S80" i="60" s="1"/>
  <c r="AS71" i="61"/>
  <c r="AS77" i="61" s="1"/>
  <c r="AS74" i="61"/>
  <c r="AS80" i="61" s="1"/>
  <c r="AU64" i="60"/>
  <c r="AH74" i="60"/>
  <c r="AH80" i="60" s="1"/>
  <c r="AU65" i="63"/>
  <c r="AQ71" i="63"/>
  <c r="AQ77" i="63" s="1"/>
  <c r="AQ74" i="63"/>
  <c r="AQ80" i="63" s="1"/>
  <c r="AN71" i="63"/>
  <c r="AN77" i="63" s="1"/>
  <c r="AN74" i="63"/>
  <c r="AN80" i="63" s="1"/>
  <c r="AN69" i="62"/>
  <c r="AN75" i="62" s="1"/>
  <c r="AN72" i="62"/>
  <c r="AN78" i="62" s="1"/>
  <c r="AO69" i="62"/>
  <c r="AO75" i="62" s="1"/>
  <c r="AO72" i="62"/>
  <c r="AO78" i="62" s="1"/>
  <c r="Z70" i="59"/>
  <c r="Z76" i="59" s="1"/>
  <c r="Z73" i="59"/>
  <c r="Z79" i="59" s="1"/>
  <c r="Y74" i="60"/>
  <c r="Y80" i="60" s="1"/>
  <c r="Y71" i="60"/>
  <c r="Y77" i="60" s="1"/>
  <c r="Y72" i="62"/>
  <c r="Y78" i="62" s="1"/>
  <c r="Y69" i="62"/>
  <c r="Y75" i="62" s="1"/>
  <c r="AD71" i="63"/>
  <c r="AD77" i="63" s="1"/>
  <c r="AD74" i="63"/>
  <c r="AD80" i="63" s="1"/>
  <c r="AA74" i="60"/>
  <c r="AA80" i="60" s="1"/>
  <c r="AA71" i="60"/>
  <c r="AA77" i="60" s="1"/>
  <c r="AU74" i="32"/>
  <c r="AU80" i="32" s="1"/>
  <c r="AU52" i="32"/>
  <c r="O21" i="61"/>
  <c r="O43" i="61"/>
  <c r="O12" i="61"/>
  <c r="AH227" i="30"/>
  <c r="V228" i="30"/>
  <c r="AL71" i="63"/>
  <c r="AL77" i="63" s="1"/>
  <c r="AL74" i="63"/>
  <c r="AL80" i="63" s="1"/>
  <c r="AF63" i="62"/>
  <c r="S69" i="62"/>
  <c r="S72" i="62"/>
  <c r="S78" i="62" s="1"/>
  <c r="AF63" i="59"/>
  <c r="S73" i="59"/>
  <c r="S79" i="59" s="1"/>
  <c r="AD70" i="59"/>
  <c r="AD76" i="59" s="1"/>
  <c r="AD73" i="59"/>
  <c r="AD79" i="59" s="1"/>
  <c r="AF65" i="60"/>
  <c r="AF64" i="63"/>
  <c r="S71" i="63"/>
  <c r="S74" i="63"/>
  <c r="S80" i="63" s="1"/>
  <c r="AH71" i="61"/>
  <c r="AU64" i="61"/>
  <c r="AH74" i="61"/>
  <c r="AH80" i="61" s="1"/>
  <c r="AI71" i="57"/>
  <c r="AI77" i="57" s="1"/>
  <c r="AI74" i="57"/>
  <c r="AI80" i="57" s="1"/>
  <c r="U71" i="61"/>
  <c r="U77" i="61" s="1"/>
  <c r="U74" i="61"/>
  <c r="U80" i="61" s="1"/>
  <c r="AB71" i="61"/>
  <c r="AB77" i="61" s="1"/>
  <c r="AB74" i="61"/>
  <c r="AB80" i="61" s="1"/>
  <c r="AK70" i="59"/>
  <c r="AK76" i="59" s="1"/>
  <c r="AK73" i="59"/>
  <c r="AK79" i="59" s="1"/>
  <c r="W71" i="57"/>
  <c r="W77" i="57" s="1"/>
  <c r="W74" i="57"/>
  <c r="W80" i="57" s="1"/>
  <c r="X69" i="62"/>
  <c r="X75" i="62" s="1"/>
  <c r="X72" i="62"/>
  <c r="X78" i="62" s="1"/>
  <c r="U71" i="60"/>
  <c r="U77" i="60" s="1"/>
  <c r="U74" i="60"/>
  <c r="U80" i="60" s="1"/>
  <c r="T70" i="59"/>
  <c r="T76" i="59" s="1"/>
  <c r="T73" i="59"/>
  <c r="T79" i="59" s="1"/>
  <c r="AB74" i="63"/>
  <c r="AB80" i="63" s="1"/>
  <c r="AB71" i="63"/>
  <c r="AB77" i="63" s="1"/>
  <c r="AL281" i="76"/>
  <c r="AL293" i="76" s="1"/>
  <c r="AW279" i="76"/>
  <c r="AW278" i="76"/>
  <c r="AX278" i="76" s="1"/>
  <c r="AU45" i="65"/>
  <c r="AU50" i="65"/>
  <c r="AD42" i="75"/>
  <c r="AI49" i="32"/>
  <c r="AU43" i="32"/>
  <c r="L12" i="60"/>
  <c r="Q8" i="60"/>
  <c r="L24" i="60"/>
  <c r="AO74" i="60"/>
  <c r="AO80" i="60" s="1"/>
  <c r="AK74" i="60"/>
  <c r="AK80" i="60" s="1"/>
  <c r="O21" i="63"/>
  <c r="O12" i="63"/>
  <c r="O43" i="63"/>
  <c r="AP71" i="63"/>
  <c r="AP77" i="63" s="1"/>
  <c r="AP74" i="63"/>
  <c r="AP80" i="63" s="1"/>
  <c r="AQ70" i="59"/>
  <c r="AQ76" i="59" s="1"/>
  <c r="AQ73" i="59"/>
  <c r="AQ79" i="59" s="1"/>
  <c r="AH69" i="62"/>
  <c r="AU63" i="62"/>
  <c r="AH72" i="62"/>
  <c r="AH78" i="62" s="1"/>
  <c r="M71" i="61"/>
  <c r="Q64" i="61"/>
  <c r="AJ70" i="59"/>
  <c r="AJ76" i="59" s="1"/>
  <c r="AJ73" i="59"/>
  <c r="AJ79" i="59" s="1"/>
  <c r="X71" i="61"/>
  <c r="X77" i="61" s="1"/>
  <c r="X74" i="61"/>
  <c r="X80" i="61" s="1"/>
  <c r="AC71" i="61"/>
  <c r="AC77" i="61" s="1"/>
  <c r="AC74" i="61"/>
  <c r="AC80" i="61" s="1"/>
  <c r="Y71" i="63"/>
  <c r="Y77" i="63" s="1"/>
  <c r="Y74" i="63"/>
  <c r="Y80" i="63" s="1"/>
  <c r="Z74" i="60"/>
  <c r="Z80" i="60" s="1"/>
  <c r="Z71" i="60"/>
  <c r="Z77" i="60" s="1"/>
  <c r="AR70" i="59"/>
  <c r="AR76" i="59" s="1"/>
  <c r="AR73" i="59"/>
  <c r="AR79" i="59" s="1"/>
  <c r="AC74" i="63"/>
  <c r="AC80" i="63" s="1"/>
  <c r="AC71" i="63"/>
  <c r="AC77" i="63" s="1"/>
  <c r="R278" i="76"/>
  <c r="AI74" i="32"/>
  <c r="AI80" i="32" s="1"/>
  <c r="AI52" i="32"/>
  <c r="AF38" i="75"/>
  <c r="AJ38" i="75"/>
  <c r="AL38" i="75" s="1"/>
  <c r="N12" i="57"/>
  <c r="N24" i="57"/>
  <c r="AJ69" i="62"/>
  <c r="AJ75" i="62" s="1"/>
  <c r="AJ72" i="62"/>
  <c r="AJ78" i="62" s="1"/>
  <c r="AN74" i="60"/>
  <c r="AN80" i="60" s="1"/>
  <c r="U70" i="59"/>
  <c r="U76" i="59" s="1"/>
  <c r="U73" i="59"/>
  <c r="U79" i="59" s="1"/>
  <c r="AR74" i="60"/>
  <c r="AR80" i="60" s="1"/>
  <c r="Q8" i="57"/>
  <c r="M12" i="57"/>
  <c r="F228" i="30"/>
  <c r="R227" i="30"/>
  <c r="AN71" i="57"/>
  <c r="AN77" i="57" s="1"/>
  <c r="AN74" i="57"/>
  <c r="AN80" i="57" s="1"/>
  <c r="AF65" i="57"/>
  <c r="AJ74" i="60"/>
  <c r="AJ80" i="60" s="1"/>
  <c r="AS69" i="62"/>
  <c r="AS75" i="62" s="1"/>
  <c r="AS72" i="62"/>
  <c r="AS78" i="62" s="1"/>
  <c r="AR71" i="61"/>
  <c r="AR77" i="61" s="1"/>
  <c r="AR74" i="61"/>
  <c r="AR80" i="61" s="1"/>
  <c r="AA71" i="63"/>
  <c r="AA77" i="63" s="1"/>
  <c r="AA74" i="63"/>
  <c r="AA80" i="63" s="1"/>
  <c r="Z71" i="61"/>
  <c r="Z77" i="61" s="1"/>
  <c r="Z74" i="61"/>
  <c r="Z80" i="61" s="1"/>
  <c r="AD71" i="60"/>
  <c r="AD77" i="60" s="1"/>
  <c r="AD74" i="60"/>
  <c r="AD80" i="60" s="1"/>
  <c r="V71" i="63"/>
  <c r="V77" i="63" s="1"/>
  <c r="V74" i="63"/>
  <c r="V80" i="63" s="1"/>
  <c r="R279" i="76"/>
  <c r="R281" i="76" s="1"/>
  <c r="R293" i="76" s="1"/>
  <c r="F281" i="76"/>
  <c r="F293" i="76" s="1"/>
  <c r="K71" i="73"/>
  <c r="O55" i="73"/>
  <c r="U55" i="73"/>
  <c r="I9" i="74"/>
  <c r="W47" i="73"/>
  <c r="E6" i="74"/>
  <c r="F15" i="73"/>
  <c r="U63" i="73"/>
  <c r="L95" i="73"/>
  <c r="P4" i="74"/>
  <c r="Q8" i="74"/>
  <c r="AB39" i="73"/>
  <c r="Q71" i="73"/>
  <c r="V63" i="73"/>
  <c r="G2" i="74"/>
  <c r="I95" i="73"/>
  <c r="K39" i="73"/>
  <c r="AC47" i="73"/>
  <c r="Z71" i="73"/>
  <c r="M63" i="73"/>
  <c r="Q39" i="73"/>
  <c r="N71" i="73"/>
  <c r="AC63" i="73"/>
  <c r="O47" i="73"/>
  <c r="G12" i="74"/>
  <c r="P47" i="73"/>
  <c r="AD47" i="73"/>
  <c r="E19" i="74"/>
  <c r="G14" i="74"/>
  <c r="M39" i="73"/>
  <c r="X71" i="73"/>
  <c r="S9" i="74"/>
  <c r="W71" i="73"/>
  <c r="M95" i="73"/>
  <c r="P95" i="73"/>
  <c r="AC55" i="73"/>
  <c r="T47" i="73"/>
  <c r="H3" i="74"/>
  <c r="T55" i="73"/>
  <c r="S47" i="73"/>
  <c r="Z47" i="73"/>
  <c r="N47" i="73"/>
  <c r="J63" i="73"/>
  <c r="G7" i="73"/>
  <c r="V39" i="73"/>
  <c r="N95" i="73"/>
  <c r="P55" i="73"/>
  <c r="M13" i="74"/>
  <c r="K55" i="73"/>
  <c r="J71" i="73"/>
  <c r="AC95" i="73"/>
  <c r="Y63" i="73"/>
  <c r="M19" i="74"/>
  <c r="Y71" i="73"/>
  <c r="J47" i="73"/>
  <c r="Q71" i="61" l="1"/>
  <c r="Q8" i="52"/>
  <c r="AG8" i="52" s="1"/>
  <c r="M12" i="51"/>
  <c r="K14" i="68" s="1"/>
  <c r="K10" i="68"/>
  <c r="Q12" i="52"/>
  <c r="AG12" i="52" s="1"/>
  <c r="AU74" i="61"/>
  <c r="AU80" i="61" s="1"/>
  <c r="AU74" i="60"/>
  <c r="AU80" i="60" s="1"/>
  <c r="U47" i="65"/>
  <c r="U44" i="65"/>
  <c r="U50" i="65" s="1"/>
  <c r="U39" i="32"/>
  <c r="AA39" i="32"/>
  <c r="AA44" i="65"/>
  <c r="AA50" i="65" s="1"/>
  <c r="AA47" i="65"/>
  <c r="X44" i="65"/>
  <c r="X50" i="65" s="1"/>
  <c r="X47" i="65"/>
  <c r="X39" i="32"/>
  <c r="AB47" i="65"/>
  <c r="AB44" i="65"/>
  <c r="AB50" i="65" s="1"/>
  <c r="AB39" i="32"/>
  <c r="W47" i="65"/>
  <c r="W44" i="65"/>
  <c r="W50" i="65" s="1"/>
  <c r="W39" i="32"/>
  <c r="Z47" i="65"/>
  <c r="Z44" i="65"/>
  <c r="Z50" i="65" s="1"/>
  <c r="Z39" i="32"/>
  <c r="AD47" i="65"/>
  <c r="AD44" i="65"/>
  <c r="AD50" i="65" s="1"/>
  <c r="AD39" i="32"/>
  <c r="T47" i="65"/>
  <c r="T39" i="32"/>
  <c r="T44" i="65"/>
  <c r="T50" i="65" s="1"/>
  <c r="V39" i="32"/>
  <c r="V44" i="65"/>
  <c r="V50" i="65" s="1"/>
  <c r="V47" i="65"/>
  <c r="AC44" i="65"/>
  <c r="AC50" i="65" s="1"/>
  <c r="AC47" i="65"/>
  <c r="AC39" i="32"/>
  <c r="Y47" i="65"/>
  <c r="Y44" i="65"/>
  <c r="Y50" i="65" s="1"/>
  <c r="Y39" i="32"/>
  <c r="S39" i="32"/>
  <c r="AF40" i="65"/>
  <c r="AF73" i="59"/>
  <c r="AF79" i="59" s="1"/>
  <c r="AF72" i="62"/>
  <c r="AF78" i="62" s="1"/>
  <c r="AU72" i="62"/>
  <c r="AU78" i="62" s="1"/>
  <c r="N22" i="63"/>
  <c r="N22" i="60"/>
  <c r="N24" i="61"/>
  <c r="N30" i="61" s="1"/>
  <c r="N24" i="60"/>
  <c r="N30" i="60" s="1"/>
  <c r="AI227" i="30"/>
  <c r="N24" i="63"/>
  <c r="N46" i="63" s="1"/>
  <c r="O24" i="61"/>
  <c r="O30" i="61" s="1"/>
  <c r="O27" i="60"/>
  <c r="O33" i="60" s="1"/>
  <c r="O22" i="63"/>
  <c r="N30" i="57"/>
  <c r="N46" i="57"/>
  <c r="AR83" i="61"/>
  <c r="AR99" i="61"/>
  <c r="AR100" i="61" s="1"/>
  <c r="K9" i="68"/>
  <c r="Q12" i="57"/>
  <c r="AC83" i="63"/>
  <c r="AC100" i="63"/>
  <c r="AC101" i="63" s="1"/>
  <c r="AQ98" i="59"/>
  <c r="AQ99" i="59" s="1"/>
  <c r="AQ82" i="59"/>
  <c r="X97" i="62"/>
  <c r="X98" i="62" s="1"/>
  <c r="X81" i="62"/>
  <c r="Z83" i="61"/>
  <c r="Z99" i="61"/>
  <c r="Z100" i="61" s="1"/>
  <c r="R228" i="30"/>
  <c r="R230" i="30" s="1"/>
  <c r="R242" i="30" s="1"/>
  <c r="R243" i="30" s="1"/>
  <c r="F230" i="30"/>
  <c r="F242" i="30" s="1"/>
  <c r="F243" i="30" s="1"/>
  <c r="AU49" i="32"/>
  <c r="I20" i="43"/>
  <c r="I19" i="43" s="1"/>
  <c r="AU44" i="32"/>
  <c r="AF71" i="63"/>
  <c r="S77" i="63"/>
  <c r="Z98" i="59"/>
  <c r="Z99" i="59" s="1"/>
  <c r="Z82" i="59"/>
  <c r="O43" i="52"/>
  <c r="O43" i="57"/>
  <c r="AJ99" i="57"/>
  <c r="AJ100" i="57" s="1"/>
  <c r="AJ83" i="57"/>
  <c r="AL99" i="61"/>
  <c r="AL100" i="61" s="1"/>
  <c r="AL83" i="61"/>
  <c r="AU71" i="63"/>
  <c r="AU77" i="63" s="1"/>
  <c r="AH77" i="63"/>
  <c r="AL97" i="62"/>
  <c r="AL98" i="62" s="1"/>
  <c r="AL81" i="62"/>
  <c r="AF74" i="57"/>
  <c r="AF80" i="57" s="1"/>
  <c r="AR97" i="62"/>
  <c r="AR98" i="62" s="1"/>
  <c r="AR81" i="62"/>
  <c r="M21" i="61"/>
  <c r="M27" i="61" s="1"/>
  <c r="Q17" i="61"/>
  <c r="Q24" i="61" s="1"/>
  <c r="AO83" i="63"/>
  <c r="AO100" i="63"/>
  <c r="AO101" i="63" s="1"/>
  <c r="AQ81" i="62"/>
  <c r="AQ97" i="62"/>
  <c r="AQ98" i="62" s="1"/>
  <c r="AA82" i="59"/>
  <c r="AA98" i="59"/>
  <c r="AA99" i="59" s="1"/>
  <c r="Q69" i="62"/>
  <c r="M12" i="68"/>
  <c r="M32" i="68" s="1"/>
  <c r="AF71" i="61"/>
  <c r="S77" i="61"/>
  <c r="U99" i="57"/>
  <c r="U100" i="57" s="1"/>
  <c r="U83" i="57"/>
  <c r="M42" i="62"/>
  <c r="Q42" i="62" s="1"/>
  <c r="Q38" i="62"/>
  <c r="M46" i="63"/>
  <c r="M30" i="63"/>
  <c r="M6" i="68"/>
  <c r="M26" i="68" s="1"/>
  <c r="O27" i="63"/>
  <c r="AI55" i="32"/>
  <c r="T82" i="59"/>
  <c r="T98" i="59"/>
  <c r="T99" i="59" s="1"/>
  <c r="AB83" i="61"/>
  <c r="AB99" i="61"/>
  <c r="AB100" i="61" s="1"/>
  <c r="AF74" i="63"/>
  <c r="AF80" i="63" s="1"/>
  <c r="AA83" i="60"/>
  <c r="AA99" i="60" s="1"/>
  <c r="AA100" i="60" s="1"/>
  <c r="N23" i="62"/>
  <c r="Z97" i="62"/>
  <c r="Z98" i="62" s="1"/>
  <c r="Z81" i="62"/>
  <c r="AS83" i="57"/>
  <c r="AS99" i="57"/>
  <c r="AS100" i="57" s="1"/>
  <c r="AU74" i="57"/>
  <c r="AU80" i="57" s="1"/>
  <c r="O23" i="62"/>
  <c r="O24" i="60"/>
  <c r="N20" i="59"/>
  <c r="N21" i="59" s="1"/>
  <c r="Z100" i="63"/>
  <c r="Z101" i="63" s="1"/>
  <c r="Z83" i="63"/>
  <c r="V81" i="62"/>
  <c r="V97" i="62"/>
  <c r="V98" i="62" s="1"/>
  <c r="M20" i="62"/>
  <c r="M26" i="62" s="1"/>
  <c r="Q16" i="62"/>
  <c r="Q23" i="62" s="1"/>
  <c r="Q17" i="63"/>
  <c r="Q24" i="63" s="1"/>
  <c r="M21" i="63"/>
  <c r="M27" i="63" s="1"/>
  <c r="AO97" i="62"/>
  <c r="AO98" i="62" s="1"/>
  <c r="AO81" i="62"/>
  <c r="L7" i="68"/>
  <c r="L27" i="68" s="1"/>
  <c r="N26" i="62"/>
  <c r="W83" i="60"/>
  <c r="W99" i="60" s="1"/>
  <c r="W100" i="60" s="1"/>
  <c r="AC99" i="57"/>
  <c r="AC100" i="57" s="1"/>
  <c r="AC83" i="57"/>
  <c r="AP99" i="61"/>
  <c r="AP100" i="61" s="1"/>
  <c r="AP83" i="61"/>
  <c r="O22" i="60"/>
  <c r="AI100" i="63"/>
  <c r="AI101" i="63" s="1"/>
  <c r="AI83" i="63"/>
  <c r="AP98" i="59"/>
  <c r="AP99" i="59" s="1"/>
  <c r="AP82" i="59"/>
  <c r="AM98" i="59"/>
  <c r="AM99" i="59" s="1"/>
  <c r="AM82" i="59"/>
  <c r="N29" i="59"/>
  <c r="N45" i="59"/>
  <c r="Z83" i="57"/>
  <c r="Z99" i="57"/>
  <c r="Z100" i="57" s="1"/>
  <c r="T99" i="57"/>
  <c r="T100" i="57" s="1"/>
  <c r="T83" i="57"/>
  <c r="AU73" i="59"/>
  <c r="AU79" i="59" s="1"/>
  <c r="AA83" i="61"/>
  <c r="AA99" i="61"/>
  <c r="AA100" i="61" s="1"/>
  <c r="AI98" i="59"/>
  <c r="AI99" i="59" s="1"/>
  <c r="AI82" i="59"/>
  <c r="AL99" i="57"/>
  <c r="AL100" i="57" s="1"/>
  <c r="AL83" i="57"/>
  <c r="X83" i="60"/>
  <c r="X99" i="60" s="1"/>
  <c r="X100" i="60" s="1"/>
  <c r="AM81" i="62"/>
  <c r="AM97" i="62"/>
  <c r="AM98" i="62" s="1"/>
  <c r="Q17" i="57"/>
  <c r="Q24" i="57" s="1"/>
  <c r="M21" i="57"/>
  <c r="Y83" i="63"/>
  <c r="Y100" i="63"/>
  <c r="Y101" i="63" s="1"/>
  <c r="AL83" i="63"/>
  <c r="AL100" i="63"/>
  <c r="AL101" i="63" s="1"/>
  <c r="AI83" i="61"/>
  <c r="AI99" i="61"/>
  <c r="AI100" i="61" s="1"/>
  <c r="M7" i="68"/>
  <c r="M27" i="68" s="1"/>
  <c r="O26" i="62"/>
  <c r="AS81" i="62"/>
  <c r="AS97" i="62"/>
  <c r="AS98" i="62" s="1"/>
  <c r="M24" i="57"/>
  <c r="AJ97" i="62"/>
  <c r="AJ98" i="62" s="1"/>
  <c r="AJ81" i="62"/>
  <c r="AU78" i="65"/>
  <c r="AU56" i="65"/>
  <c r="U83" i="60"/>
  <c r="U99" i="60" s="1"/>
  <c r="U100" i="60" s="1"/>
  <c r="U83" i="61"/>
  <c r="U99" i="61"/>
  <c r="U100" i="61" s="1"/>
  <c r="V230" i="30"/>
  <c r="V242" i="30" s="1"/>
  <c r="V243" i="30" s="1"/>
  <c r="AH228" i="30"/>
  <c r="N21" i="62"/>
  <c r="W97" i="62"/>
  <c r="W98" i="62" s="1"/>
  <c r="W81" i="62"/>
  <c r="AB99" i="57"/>
  <c r="AB100" i="57" s="1"/>
  <c r="AB83" i="57"/>
  <c r="O21" i="62"/>
  <c r="AC83" i="60"/>
  <c r="AC99" i="60" s="1"/>
  <c r="AC100" i="60" s="1"/>
  <c r="L12" i="68"/>
  <c r="L32" i="68" s="1"/>
  <c r="AU70" i="59"/>
  <c r="AU76" i="59" s="1"/>
  <c r="AH76" i="59"/>
  <c r="V281" i="76"/>
  <c r="V293" i="76" s="1"/>
  <c r="AH279" i="76"/>
  <c r="Q45" i="65"/>
  <c r="Q50" i="65"/>
  <c r="AQ83" i="57"/>
  <c r="AQ99" i="57"/>
  <c r="AQ100" i="57" s="1"/>
  <c r="K6" i="68"/>
  <c r="Q12" i="63"/>
  <c r="AH77" i="57"/>
  <c r="AU71" i="57"/>
  <c r="AU77" i="57" s="1"/>
  <c r="V83" i="63"/>
  <c r="V100" i="63"/>
  <c r="V101" i="63" s="1"/>
  <c r="AU69" i="62"/>
  <c r="AU75" i="62" s="1"/>
  <c r="AH75" i="62"/>
  <c r="Q39" i="57"/>
  <c r="M43" i="57"/>
  <c r="AC99" i="61"/>
  <c r="AC100" i="61" s="1"/>
  <c r="AC83" i="61"/>
  <c r="AD98" i="59"/>
  <c r="AD99" i="59" s="1"/>
  <c r="AD82" i="59"/>
  <c r="AD83" i="63"/>
  <c r="AD100" i="63"/>
  <c r="AD101" i="63" s="1"/>
  <c r="AN97" i="62"/>
  <c r="AN98" i="62" s="1"/>
  <c r="AN81" i="62"/>
  <c r="AS99" i="61"/>
  <c r="AS100" i="61" s="1"/>
  <c r="AS83" i="61"/>
  <c r="AD99" i="61"/>
  <c r="AD100" i="61" s="1"/>
  <c r="AD83" i="61"/>
  <c r="AB98" i="59"/>
  <c r="AB99" i="59" s="1"/>
  <c r="AB82" i="59"/>
  <c r="AR83" i="57"/>
  <c r="AR99" i="57"/>
  <c r="AR100" i="57" s="1"/>
  <c r="AM83" i="63"/>
  <c r="AM100" i="63"/>
  <c r="AM101" i="63" s="1"/>
  <c r="AN98" i="59"/>
  <c r="AN99" i="59" s="1"/>
  <c r="AN82" i="59"/>
  <c r="W83" i="61"/>
  <c r="W99" i="61"/>
  <c r="W100" i="61" s="1"/>
  <c r="N42" i="59"/>
  <c r="T97" i="62"/>
  <c r="T98" i="62" s="1"/>
  <c r="T81" i="62"/>
  <c r="T83" i="61"/>
  <c r="T99" i="61"/>
  <c r="T100" i="61" s="1"/>
  <c r="M20" i="59"/>
  <c r="Q16" i="59"/>
  <c r="Q23" i="59" s="1"/>
  <c r="AI278" i="76"/>
  <c r="AB83" i="60"/>
  <c r="AB99" i="60" s="1"/>
  <c r="AB100" i="60" s="1"/>
  <c r="AO82" i="59"/>
  <c r="AO98" i="59"/>
  <c r="AO99" i="59" s="1"/>
  <c r="AN99" i="61"/>
  <c r="AN100" i="61" s="1"/>
  <c r="AN83" i="61"/>
  <c r="M78" i="65"/>
  <c r="M56" i="65"/>
  <c r="AJ83" i="63"/>
  <c r="AJ100" i="63"/>
  <c r="AJ101" i="63" s="1"/>
  <c r="W98" i="59"/>
  <c r="W99" i="59" s="1"/>
  <c r="W82" i="59"/>
  <c r="M43" i="63"/>
  <c r="Q43" i="63" s="1"/>
  <c r="Q39" i="63"/>
  <c r="AD83" i="60"/>
  <c r="AD99" i="60" s="1"/>
  <c r="AD100" i="60" s="1"/>
  <c r="N21" i="57"/>
  <c r="N22" i="57" s="1"/>
  <c r="T83" i="63"/>
  <c r="T100" i="63"/>
  <c r="T101" i="63" s="1"/>
  <c r="AS98" i="59"/>
  <c r="AS99" i="59" s="1"/>
  <c r="AS82" i="59"/>
  <c r="AO99" i="57"/>
  <c r="AO100" i="57" s="1"/>
  <c r="AO83" i="57"/>
  <c r="AK230" i="30"/>
  <c r="AK242" i="30" s="1"/>
  <c r="AK243" i="30" s="1"/>
  <c r="AW228" i="30"/>
  <c r="AX228" i="30" s="1"/>
  <c r="AD97" i="62"/>
  <c r="AD98" i="62" s="1"/>
  <c r="AD81" i="62"/>
  <c r="M29" i="59"/>
  <c r="M45" i="59"/>
  <c r="AA83" i="57"/>
  <c r="AA99" i="57"/>
  <c r="AA100" i="57" s="1"/>
  <c r="X99" i="61"/>
  <c r="X100" i="61" s="1"/>
  <c r="X83" i="61"/>
  <c r="AX279" i="76"/>
  <c r="AW281" i="76"/>
  <c r="M8" i="68"/>
  <c r="M28" i="68" s="1"/>
  <c r="O27" i="61"/>
  <c r="AN100" i="63"/>
  <c r="AN101" i="63" s="1"/>
  <c r="AN83" i="63"/>
  <c r="AF71" i="60"/>
  <c r="AR83" i="63"/>
  <c r="AR100" i="63"/>
  <c r="AR101" i="63" s="1"/>
  <c r="AP99" i="57"/>
  <c r="AP100" i="57" s="1"/>
  <c r="AP83" i="57"/>
  <c r="W83" i="63"/>
  <c r="W100" i="63"/>
  <c r="W101" i="63" s="1"/>
  <c r="Y99" i="57"/>
  <c r="Y100" i="57" s="1"/>
  <c r="Y83" i="57"/>
  <c r="AD99" i="57"/>
  <c r="AD100" i="57" s="1"/>
  <c r="AD83" i="57"/>
  <c r="AK99" i="61"/>
  <c r="AK100" i="61" s="1"/>
  <c r="AK83" i="61"/>
  <c r="M46" i="61"/>
  <c r="M30" i="61"/>
  <c r="AM99" i="61"/>
  <c r="AM100" i="61" s="1"/>
  <c r="AM83" i="61"/>
  <c r="AS83" i="63"/>
  <c r="AS100" i="63"/>
  <c r="AS101" i="63" s="1"/>
  <c r="AK99" i="57"/>
  <c r="AK100" i="57" s="1"/>
  <c r="AK83" i="57"/>
  <c r="AB97" i="62"/>
  <c r="AB98" i="62" s="1"/>
  <c r="AB81" i="62"/>
  <c r="V98" i="59"/>
  <c r="V99" i="59" s="1"/>
  <c r="V82" i="59"/>
  <c r="AO99" i="61"/>
  <c r="AO100" i="61" s="1"/>
  <c r="AO83" i="61"/>
  <c r="L8" i="68"/>
  <c r="L28" i="68" s="1"/>
  <c r="N27" i="61"/>
  <c r="AJ42" i="75"/>
  <c r="AL42" i="75" s="1"/>
  <c r="AF42" i="75"/>
  <c r="AF99" i="75" s="1"/>
  <c r="Y97" i="62"/>
  <c r="Y98" i="62" s="1"/>
  <c r="Y81" i="62"/>
  <c r="L9" i="68"/>
  <c r="L29" i="68" s="1"/>
  <c r="N43" i="52"/>
  <c r="N43" i="57"/>
  <c r="L30" i="60"/>
  <c r="L46" i="60"/>
  <c r="AF74" i="60"/>
  <c r="AF80" i="60" s="1"/>
  <c r="AK97" i="62"/>
  <c r="AK98" i="62" s="1"/>
  <c r="AK81" i="62"/>
  <c r="AK100" i="63"/>
  <c r="AK101" i="63" s="1"/>
  <c r="AK83" i="63"/>
  <c r="K8" i="68"/>
  <c r="Q12" i="61"/>
  <c r="M30" i="60"/>
  <c r="M46" i="60"/>
  <c r="K12" i="68"/>
  <c r="Q11" i="59"/>
  <c r="AI81" i="62"/>
  <c r="AI97" i="62"/>
  <c r="AI98" i="62" s="1"/>
  <c r="U81" i="62"/>
  <c r="U97" i="62"/>
  <c r="U98" i="62" s="1"/>
  <c r="O20" i="59"/>
  <c r="O21" i="59" s="1"/>
  <c r="K7" i="68"/>
  <c r="Q11" i="62"/>
  <c r="W83" i="57"/>
  <c r="W99" i="57"/>
  <c r="W100" i="57" s="1"/>
  <c r="AP100" i="63"/>
  <c r="AP101" i="63" s="1"/>
  <c r="AP83" i="63"/>
  <c r="AH77" i="61"/>
  <c r="AU71" i="61"/>
  <c r="AU77" i="61" s="1"/>
  <c r="O22" i="61"/>
  <c r="O21" i="57"/>
  <c r="O22" i="57" s="1"/>
  <c r="Y99" i="61"/>
  <c r="Y100" i="61" s="1"/>
  <c r="Y83" i="61"/>
  <c r="X83" i="57"/>
  <c r="X99" i="57"/>
  <c r="X100" i="57" s="1"/>
  <c r="M43" i="61"/>
  <c r="Q43" i="61" s="1"/>
  <c r="Q39" i="61"/>
  <c r="M43" i="60"/>
  <c r="Q43" i="60" s="1"/>
  <c r="Q39" i="60"/>
  <c r="T83" i="60"/>
  <c r="T99" i="60" s="1"/>
  <c r="T100" i="60" s="1"/>
  <c r="V99" i="61"/>
  <c r="V100" i="61" s="1"/>
  <c r="V83" i="61"/>
  <c r="M42" i="59"/>
  <c r="Q38" i="59"/>
  <c r="V83" i="57"/>
  <c r="V99" i="57"/>
  <c r="V100" i="57" s="1"/>
  <c r="O45" i="59"/>
  <c r="O29" i="59"/>
  <c r="Y98" i="59"/>
  <c r="Y99" i="59" s="1"/>
  <c r="Y82" i="59"/>
  <c r="AC98" i="59"/>
  <c r="AC99" i="59" s="1"/>
  <c r="AC82" i="59"/>
  <c r="M29" i="62"/>
  <c r="M45" i="62"/>
  <c r="AI100" i="65"/>
  <c r="AI101" i="65" s="1"/>
  <c r="AI84" i="65"/>
  <c r="AI83" i="57"/>
  <c r="AI99" i="57"/>
  <c r="AI100" i="57" s="1"/>
  <c r="Y83" i="60"/>
  <c r="Y99" i="60" s="1"/>
  <c r="Y100" i="60" s="1"/>
  <c r="O30" i="57"/>
  <c r="O46" i="57"/>
  <c r="X100" i="63"/>
  <c r="X101" i="63" s="1"/>
  <c r="X83" i="63"/>
  <c r="AL82" i="59"/>
  <c r="AL98" i="59"/>
  <c r="AL99" i="59" s="1"/>
  <c r="AQ83" i="61"/>
  <c r="AQ99" i="61"/>
  <c r="AQ100" i="61" s="1"/>
  <c r="AN99" i="57"/>
  <c r="AN100" i="57" s="1"/>
  <c r="AN83" i="57"/>
  <c r="AR98" i="59"/>
  <c r="AR99" i="59" s="1"/>
  <c r="AR82" i="59"/>
  <c r="AJ82" i="59"/>
  <c r="AJ98" i="59"/>
  <c r="AJ99" i="59" s="1"/>
  <c r="AB100" i="63"/>
  <c r="AB101" i="63" s="1"/>
  <c r="AB83" i="63"/>
  <c r="AQ100" i="63"/>
  <c r="AQ101" i="63" s="1"/>
  <c r="AQ83" i="63"/>
  <c r="AC81" i="62"/>
  <c r="AC97" i="62"/>
  <c r="AC98" i="62" s="1"/>
  <c r="AA97" i="62"/>
  <c r="AA98" i="62" s="1"/>
  <c r="AA81" i="62"/>
  <c r="AP97" i="62"/>
  <c r="AP98" i="62" s="1"/>
  <c r="AP81" i="62"/>
  <c r="AA100" i="63"/>
  <c r="AA101" i="63" s="1"/>
  <c r="AA83" i="63"/>
  <c r="U98" i="59"/>
  <c r="U99" i="59" s="1"/>
  <c r="U82" i="59"/>
  <c r="Z83" i="60"/>
  <c r="Z99" i="60" s="1"/>
  <c r="Z100" i="60" s="1"/>
  <c r="O24" i="63"/>
  <c r="L22" i="60"/>
  <c r="L27" i="60"/>
  <c r="Q12" i="60"/>
  <c r="AK98" i="59"/>
  <c r="AK99" i="59" s="1"/>
  <c r="AK82" i="59"/>
  <c r="S75" i="62"/>
  <c r="AF69" i="62"/>
  <c r="X98" i="59"/>
  <c r="X99" i="59" s="1"/>
  <c r="X82" i="59"/>
  <c r="M9" i="68"/>
  <c r="M29" i="68" s="1"/>
  <c r="AJ83" i="61"/>
  <c r="AJ99" i="61"/>
  <c r="AJ100" i="61" s="1"/>
  <c r="AM99" i="57"/>
  <c r="AM100" i="57" s="1"/>
  <c r="AM83" i="57"/>
  <c r="U100" i="63"/>
  <c r="U101" i="63" s="1"/>
  <c r="U83" i="63"/>
  <c r="AU74" i="63"/>
  <c r="AU80" i="63" s="1"/>
  <c r="L6" i="68"/>
  <c r="L26" i="68" s="1"/>
  <c r="N27" i="63"/>
  <c r="S77" i="57"/>
  <c r="AF71" i="57"/>
  <c r="M21" i="60"/>
  <c r="M27" i="60" s="1"/>
  <c r="Q17" i="60"/>
  <c r="Q24" i="60" s="1"/>
  <c r="N27" i="60"/>
  <c r="O42" i="59"/>
  <c r="AF74" i="61"/>
  <c r="AF80" i="61" s="1"/>
  <c r="V83" i="60"/>
  <c r="V99" i="60" s="1"/>
  <c r="V100" i="60" s="1"/>
  <c r="N22" i="61"/>
  <c r="X39" i="73"/>
  <c r="N63" i="73"/>
  <c r="AB47" i="73"/>
  <c r="H95" i="73"/>
  <c r="M47" i="73"/>
  <c r="H15" i="73"/>
  <c r="AF63" i="73"/>
  <c r="F95" i="73"/>
  <c r="Q55" i="73"/>
  <c r="R55" i="73"/>
  <c r="N55" i="73"/>
  <c r="L55" i="73"/>
  <c r="G3" i="73"/>
  <c r="G15" i="73"/>
  <c r="Z55" i="73"/>
  <c r="AC71" i="73"/>
  <c r="AF39" i="73"/>
  <c r="V47" i="73"/>
  <c r="AE95" i="73"/>
  <c r="G19" i="73"/>
  <c r="F7" i="73"/>
  <c r="J55" i="73"/>
  <c r="AA39" i="73"/>
  <c r="AE47" i="73"/>
  <c r="P11" i="74"/>
  <c r="I63" i="73"/>
  <c r="S95" i="73"/>
  <c r="I55" i="73"/>
  <c r="J95" i="73"/>
  <c r="U95" i="73"/>
  <c r="AA47" i="73"/>
  <c r="W95" i="73"/>
  <c r="G63" i="73"/>
  <c r="O63" i="73"/>
  <c r="G3" i="74"/>
  <c r="V55" i="73"/>
  <c r="AF71" i="73"/>
  <c r="K47" i="73"/>
  <c r="G23" i="73"/>
  <c r="V95" i="73"/>
  <c r="H11" i="73"/>
  <c r="P39" i="73"/>
  <c r="R47" i="73"/>
  <c r="AA95" i="73"/>
  <c r="AC39" i="73"/>
  <c r="Z95" i="73"/>
  <c r="I71" i="73"/>
  <c r="I47" i="73"/>
  <c r="K95" i="73"/>
  <c r="M55" i="73"/>
  <c r="G95" i="73"/>
  <c r="P63" i="73"/>
  <c r="AE55" i="73"/>
  <c r="Z39" i="73"/>
  <c r="AB95" i="73"/>
  <c r="W55" i="73"/>
  <c r="AF95" i="73"/>
  <c r="U47" i="73"/>
  <c r="E8" i="74"/>
  <c r="L71" i="73"/>
  <c r="X47" i="73"/>
  <c r="Q47" i="73"/>
  <c r="AA63" i="73"/>
  <c r="T63" i="73"/>
  <c r="AE63" i="73"/>
  <c r="R39" i="73"/>
  <c r="S71" i="73"/>
  <c r="P71" i="73"/>
  <c r="L39" i="73"/>
  <c r="AD63" i="73"/>
  <c r="F63" i="73"/>
  <c r="K63" i="73"/>
  <c r="Y39" i="73"/>
  <c r="AB63" i="73"/>
  <c r="R95" i="73"/>
  <c r="AD95" i="73"/>
  <c r="X55" i="73"/>
  <c r="M71" i="73"/>
  <c r="AD39" i="73"/>
  <c r="Y55" i="73"/>
  <c r="R63" i="73"/>
  <c r="L47" i="73"/>
  <c r="S55" i="73"/>
  <c r="F13" i="74"/>
  <c r="S39" i="73"/>
  <c r="Y47" i="73"/>
  <c r="J13" i="74"/>
  <c r="F11" i="73"/>
  <c r="O39" i="73"/>
  <c r="AE39" i="73"/>
  <c r="J39" i="73"/>
  <c r="AD55" i="73"/>
  <c r="H3" i="73"/>
  <c r="O71" i="73"/>
  <c r="H63" i="73"/>
  <c r="F3" i="73"/>
  <c r="Y95" i="73"/>
  <c r="U71" i="73"/>
  <c r="F23" i="73"/>
  <c r="T71" i="73"/>
  <c r="H23" i="73"/>
  <c r="S63" i="73"/>
  <c r="Q95" i="73"/>
  <c r="X95" i="73"/>
  <c r="O95" i="73"/>
  <c r="AE71" i="73"/>
  <c r="AF47" i="73"/>
  <c r="H7" i="73"/>
  <c r="Z63" i="73"/>
  <c r="R71" i="73"/>
  <c r="U39" i="73"/>
  <c r="W63" i="73"/>
  <c r="H19" i="73"/>
  <c r="AB71" i="73"/>
  <c r="Q63" i="73"/>
  <c r="N39" i="73"/>
  <c r="F19" i="73"/>
  <c r="AA71" i="73"/>
  <c r="W39" i="73"/>
  <c r="T95" i="73"/>
  <c r="AD71" i="73"/>
  <c r="V71" i="73"/>
  <c r="X63" i="73"/>
  <c r="I39" i="73"/>
  <c r="AF55" i="73"/>
  <c r="L63" i="73"/>
  <c r="G11" i="73"/>
  <c r="T39" i="73"/>
  <c r="AA55" i="73"/>
  <c r="AB55" i="73"/>
  <c r="Q12" i="51" l="1"/>
  <c r="K33" i="68"/>
  <c r="N14" i="68"/>
  <c r="B5" i="70"/>
  <c r="D5" i="70" s="1"/>
  <c r="Q72" i="52"/>
  <c r="Q100" i="52"/>
  <c r="N10" i="68"/>
  <c r="K19" i="68"/>
  <c r="K34" i="68" s="1"/>
  <c r="O49" i="60"/>
  <c r="O55" i="60" s="1"/>
  <c r="AC46" i="32"/>
  <c r="AC43" i="32"/>
  <c r="AC49" i="32" s="1"/>
  <c r="AD78" i="65"/>
  <c r="AD56" i="65"/>
  <c r="AB75" i="65"/>
  <c r="AB81" i="65" s="1"/>
  <c r="AB53" i="65"/>
  <c r="N30" i="63"/>
  <c r="AC75" i="65"/>
  <c r="AC81" i="65" s="1"/>
  <c r="AC53" i="65"/>
  <c r="AD53" i="65"/>
  <c r="AD75" i="65"/>
  <c r="AD81" i="65" s="1"/>
  <c r="X43" i="32"/>
  <c r="X49" i="32" s="1"/>
  <c r="X46" i="32"/>
  <c r="AC56" i="65"/>
  <c r="AC78" i="65"/>
  <c r="Z43" i="32"/>
  <c r="Z49" i="32" s="1"/>
  <c r="Z46" i="32"/>
  <c r="X75" i="65"/>
  <c r="X81" i="65" s="1"/>
  <c r="X53" i="65"/>
  <c r="V53" i="65"/>
  <c r="V75" i="65"/>
  <c r="V81" i="65" s="1"/>
  <c r="Z78" i="65"/>
  <c r="Z56" i="65"/>
  <c r="X78" i="65"/>
  <c r="X56" i="65"/>
  <c r="K38" i="75"/>
  <c r="V56" i="65"/>
  <c r="V78" i="65"/>
  <c r="Z75" i="65"/>
  <c r="Z81" i="65" s="1"/>
  <c r="Z53" i="65"/>
  <c r="AA53" i="65"/>
  <c r="AA75" i="65"/>
  <c r="AA81" i="65" s="1"/>
  <c r="AF39" i="32"/>
  <c r="V46" i="32"/>
  <c r="V43" i="32"/>
  <c r="V49" i="32" s="1"/>
  <c r="W43" i="32"/>
  <c r="W49" i="32" s="1"/>
  <c r="W46" i="32"/>
  <c r="AA78" i="65"/>
  <c r="AA56" i="65"/>
  <c r="T78" i="65"/>
  <c r="T56" i="65"/>
  <c r="W78" i="65"/>
  <c r="W56" i="65"/>
  <c r="AA43" i="32"/>
  <c r="AA49" i="32" s="1"/>
  <c r="AA46" i="32"/>
  <c r="Y46" i="32"/>
  <c r="Y43" i="32"/>
  <c r="Y49" i="32" s="1"/>
  <c r="T43" i="32"/>
  <c r="T49" i="32" s="1"/>
  <c r="T46" i="32"/>
  <c r="W75" i="65"/>
  <c r="W81" i="65" s="1"/>
  <c r="W53" i="65"/>
  <c r="U46" i="32"/>
  <c r="U43" i="32"/>
  <c r="U49" i="32" s="1"/>
  <c r="Y78" i="65"/>
  <c r="Y56" i="65"/>
  <c r="T75" i="65"/>
  <c r="T81" i="65" s="1"/>
  <c r="T53" i="65"/>
  <c r="AB46" i="32"/>
  <c r="AB43" i="32"/>
  <c r="AB49" i="32" s="1"/>
  <c r="U56" i="65"/>
  <c r="U78" i="65"/>
  <c r="Y75" i="65"/>
  <c r="Y81" i="65" s="1"/>
  <c r="Y53" i="65"/>
  <c r="AD46" i="32"/>
  <c r="AD43" i="32"/>
  <c r="AD49" i="32" s="1"/>
  <c r="AB56" i="65"/>
  <c r="AB78" i="65"/>
  <c r="U53" i="65"/>
  <c r="U75" i="65"/>
  <c r="U81" i="65" s="1"/>
  <c r="N46" i="61"/>
  <c r="N52" i="61" s="1"/>
  <c r="N46" i="60"/>
  <c r="N74" i="60" s="1"/>
  <c r="N80" i="60" s="1"/>
  <c r="O46" i="61"/>
  <c r="O74" i="61" s="1"/>
  <c r="O80" i="61" s="1"/>
  <c r="Q44" i="61"/>
  <c r="O27" i="57"/>
  <c r="O49" i="57" s="1"/>
  <c r="M49" i="61"/>
  <c r="M33" i="61"/>
  <c r="M33" i="63"/>
  <c r="M49" i="63"/>
  <c r="Q30" i="60"/>
  <c r="Q46" i="60"/>
  <c r="M49" i="60"/>
  <c r="M33" i="60"/>
  <c r="O21" i="52"/>
  <c r="O24" i="52"/>
  <c r="M51" i="62"/>
  <c r="M72" i="62"/>
  <c r="M78" i="62" s="1"/>
  <c r="AU83" i="61"/>
  <c r="AU99" i="61"/>
  <c r="AU100" i="61" s="1"/>
  <c r="Q96" i="62"/>
  <c r="B11" i="70"/>
  <c r="D11" i="70" s="1"/>
  <c r="K32" i="68"/>
  <c r="N12" i="68"/>
  <c r="O33" i="61"/>
  <c r="O49" i="61"/>
  <c r="M21" i="51"/>
  <c r="Q17" i="51"/>
  <c r="M24" i="51"/>
  <c r="O32" i="62"/>
  <c r="O48" i="62"/>
  <c r="Q21" i="57"/>
  <c r="Q22" i="57" s="1"/>
  <c r="M22" i="57"/>
  <c r="Q43" i="62"/>
  <c r="B13" i="70"/>
  <c r="Q98" i="60"/>
  <c r="Q39" i="51"/>
  <c r="AH83" i="61"/>
  <c r="AH99" i="61"/>
  <c r="AH100" i="61" s="1"/>
  <c r="N7" i="68"/>
  <c r="K27" i="68"/>
  <c r="M74" i="60"/>
  <c r="M80" i="60" s="1"/>
  <c r="M52" i="60"/>
  <c r="L52" i="60"/>
  <c r="L74" i="60"/>
  <c r="L80" i="60" s="1"/>
  <c r="N21" i="52"/>
  <c r="N24" i="52"/>
  <c r="AI279" i="76"/>
  <c r="AH281" i="76"/>
  <c r="M21" i="52"/>
  <c r="M24" i="52"/>
  <c r="Q17" i="52"/>
  <c r="Q20" i="62"/>
  <c r="Q21" i="62" s="1"/>
  <c r="M21" i="62"/>
  <c r="AF77" i="57"/>
  <c r="AF72" i="57"/>
  <c r="L33" i="60"/>
  <c r="L49" i="60"/>
  <c r="S83" i="57"/>
  <c r="S99" i="57"/>
  <c r="S100" i="57" s="1"/>
  <c r="O74" i="57"/>
  <c r="O80" i="57" s="1"/>
  <c r="O52" i="57"/>
  <c r="Q42" i="59"/>
  <c r="Q43" i="59" s="1"/>
  <c r="O21" i="51"/>
  <c r="O24" i="51"/>
  <c r="Q30" i="57"/>
  <c r="Q46" i="57"/>
  <c r="M84" i="65"/>
  <c r="M100" i="65"/>
  <c r="M101" i="65" s="1"/>
  <c r="M21" i="59"/>
  <c r="Q20" i="59"/>
  <c r="Q21" i="59" s="1"/>
  <c r="AU83" i="57"/>
  <c r="AU99" i="57"/>
  <c r="AU100" i="57" s="1"/>
  <c r="B10" i="70"/>
  <c r="D10" i="70" s="1"/>
  <c r="Q98" i="61"/>
  <c r="M74" i="61"/>
  <c r="M80" i="61" s="1"/>
  <c r="M52" i="61"/>
  <c r="Q43" i="57"/>
  <c r="Q44" i="57" s="1"/>
  <c r="AH99" i="57"/>
  <c r="AH100" i="57" s="1"/>
  <c r="AH83" i="57"/>
  <c r="AH82" i="59"/>
  <c r="AH98" i="59"/>
  <c r="AH99" i="59" s="1"/>
  <c r="Q30" i="63"/>
  <c r="Q46" i="63"/>
  <c r="S83" i="61"/>
  <c r="S99" i="61"/>
  <c r="S100" i="61" s="1"/>
  <c r="B8" i="70"/>
  <c r="D8" i="70" s="1"/>
  <c r="Q98" i="57"/>
  <c r="M51" i="59"/>
  <c r="M73" i="59"/>
  <c r="M79" i="59" s="1"/>
  <c r="B12" i="70"/>
  <c r="D12" i="70" s="1"/>
  <c r="Q99" i="63"/>
  <c r="AU82" i="59"/>
  <c r="AU98" i="59"/>
  <c r="AU99" i="59" s="1"/>
  <c r="AU100" i="65"/>
  <c r="AU84" i="65"/>
  <c r="N32" i="62"/>
  <c r="N48" i="62"/>
  <c r="AF77" i="61"/>
  <c r="AF72" i="61"/>
  <c r="AH83" i="63"/>
  <c r="AH100" i="63"/>
  <c r="AH101" i="63" s="1"/>
  <c r="S100" i="63"/>
  <c r="S101" i="63" s="1"/>
  <c r="S83" i="63"/>
  <c r="M27" i="57"/>
  <c r="Q97" i="59"/>
  <c r="B9" i="70"/>
  <c r="N33" i="63"/>
  <c r="N49" i="63"/>
  <c r="O30" i="63"/>
  <c r="O46" i="63"/>
  <c r="N8" i="68"/>
  <c r="K28" i="68"/>
  <c r="AX281" i="76"/>
  <c r="AW293" i="76"/>
  <c r="AX293" i="76" s="1"/>
  <c r="N33" i="60"/>
  <c r="N49" i="60"/>
  <c r="N27" i="57"/>
  <c r="N33" i="61"/>
  <c r="N49" i="61"/>
  <c r="Q39" i="52"/>
  <c r="Q43" i="52"/>
  <c r="N26" i="59"/>
  <c r="N45" i="62"/>
  <c r="N29" i="62"/>
  <c r="O49" i="63"/>
  <c r="O33" i="63"/>
  <c r="AU83" i="63"/>
  <c r="AU100" i="63"/>
  <c r="AU101" i="63" s="1"/>
  <c r="AF72" i="63"/>
  <c r="AF77" i="63"/>
  <c r="K29" i="68"/>
  <c r="N9" i="68"/>
  <c r="AF70" i="62"/>
  <c r="AF75" i="62"/>
  <c r="N74" i="63"/>
  <c r="N80" i="63" s="1"/>
  <c r="N52" i="63"/>
  <c r="Q44" i="63"/>
  <c r="N6" i="68"/>
  <c r="K26" i="68"/>
  <c r="N21" i="51"/>
  <c r="N24" i="51"/>
  <c r="O26" i="59"/>
  <c r="Q30" i="61"/>
  <c r="Q46" i="61"/>
  <c r="S97" i="62"/>
  <c r="S98" i="62" s="1"/>
  <c r="S81" i="62"/>
  <c r="O73" i="59"/>
  <c r="O79" i="59" s="1"/>
  <c r="O51" i="59"/>
  <c r="AI228" i="30"/>
  <c r="AH230" i="30"/>
  <c r="M30" i="57"/>
  <c r="M46" i="57"/>
  <c r="AW230" i="30"/>
  <c r="AX230" i="30" s="1"/>
  <c r="AH81" i="62"/>
  <c r="AH97" i="62"/>
  <c r="AH98" i="62" s="1"/>
  <c r="M22" i="63"/>
  <c r="Q21" i="63"/>
  <c r="Q22" i="63" s="1"/>
  <c r="O46" i="60"/>
  <c r="O30" i="60"/>
  <c r="M74" i="63"/>
  <c r="M80" i="63" s="1"/>
  <c r="M52" i="63"/>
  <c r="M22" i="61"/>
  <c r="Q21" i="61"/>
  <c r="Q22" i="61" s="1"/>
  <c r="AU55" i="32"/>
  <c r="N74" i="57"/>
  <c r="N80" i="57" s="1"/>
  <c r="N52" i="57"/>
  <c r="Q29" i="62"/>
  <c r="Q45" i="62"/>
  <c r="Q21" i="60"/>
  <c r="Q22" i="60" s="1"/>
  <c r="M22" i="60"/>
  <c r="M32" i="62"/>
  <c r="M48" i="62"/>
  <c r="M26" i="59"/>
  <c r="Q29" i="59"/>
  <c r="Q45" i="59"/>
  <c r="AU81" i="62"/>
  <c r="AU97" i="62"/>
  <c r="AU98" i="62" s="1"/>
  <c r="Q56" i="65"/>
  <c r="Q78" i="65"/>
  <c r="N51" i="59"/>
  <c r="N73" i="59"/>
  <c r="N79" i="59" s="1"/>
  <c r="O29" i="62"/>
  <c r="O45" i="62"/>
  <c r="Q24" i="52" l="1"/>
  <c r="Q24" i="51"/>
  <c r="Q44" i="52"/>
  <c r="B4" i="70"/>
  <c r="Q100" i="51"/>
  <c r="Q44" i="51"/>
  <c r="O52" i="61"/>
  <c r="K30" i="68"/>
  <c r="K38" i="68"/>
  <c r="K37" i="68"/>
  <c r="N19" i="68"/>
  <c r="K36" i="68"/>
  <c r="O77" i="60"/>
  <c r="O83" i="60" s="1"/>
  <c r="O99" i="60" s="1"/>
  <c r="O100" i="60" s="1"/>
  <c r="N52" i="60"/>
  <c r="U55" i="32"/>
  <c r="U77" i="32"/>
  <c r="V55" i="32"/>
  <c r="V77" i="32"/>
  <c r="V52" i="32"/>
  <c r="V74" i="32"/>
  <c r="V80" i="32" s="1"/>
  <c r="U84" i="65"/>
  <c r="U100" i="65"/>
  <c r="U101" i="65" s="1"/>
  <c r="M38" i="75"/>
  <c r="Q38" i="75"/>
  <c r="S38" i="75" s="1"/>
  <c r="U52" i="32"/>
  <c r="U74" i="32"/>
  <c r="U80" i="32" s="1"/>
  <c r="W100" i="65"/>
  <c r="W101" i="65" s="1"/>
  <c r="W84" i="65"/>
  <c r="AB77" i="32"/>
  <c r="AB55" i="32"/>
  <c r="T74" i="32"/>
  <c r="T80" i="32" s="1"/>
  <c r="T52" i="32"/>
  <c r="X84" i="65"/>
  <c r="X100" i="65"/>
  <c r="X101" i="65" s="1"/>
  <c r="Z55" i="32"/>
  <c r="Z77" i="32"/>
  <c r="T77" i="32"/>
  <c r="T55" i="32"/>
  <c r="AC100" i="65"/>
  <c r="AC101" i="65" s="1"/>
  <c r="AC84" i="65"/>
  <c r="T100" i="65"/>
  <c r="T101" i="65" s="1"/>
  <c r="T84" i="65"/>
  <c r="Z52" i="32"/>
  <c r="Z74" i="32"/>
  <c r="Z80" i="32" s="1"/>
  <c r="AB74" i="32"/>
  <c r="AB80" i="32" s="1"/>
  <c r="AB52" i="32"/>
  <c r="N74" i="61"/>
  <c r="N80" i="61" s="1"/>
  <c r="AB84" i="65"/>
  <c r="AB100" i="65"/>
  <c r="AB101" i="65" s="1"/>
  <c r="Y55" i="32"/>
  <c r="Y77" i="32"/>
  <c r="Z100" i="65"/>
  <c r="Z101" i="65" s="1"/>
  <c r="Z84" i="65"/>
  <c r="Y74" i="32"/>
  <c r="Y80" i="32" s="1"/>
  <c r="Y52" i="32"/>
  <c r="AA100" i="65"/>
  <c r="AA101" i="65" s="1"/>
  <c r="AA84" i="65"/>
  <c r="X52" i="32"/>
  <c r="X74" i="32"/>
  <c r="X80" i="32" s="1"/>
  <c r="AD84" i="65"/>
  <c r="AD100" i="65"/>
  <c r="AD101" i="65" s="1"/>
  <c r="AD77" i="32"/>
  <c r="AD55" i="32"/>
  <c r="AA52" i="32"/>
  <c r="AA74" i="32"/>
  <c r="AA80" i="32" s="1"/>
  <c r="W52" i="32"/>
  <c r="W74" i="32"/>
  <c r="W80" i="32" s="1"/>
  <c r="X55" i="32"/>
  <c r="X77" i="32"/>
  <c r="AC55" i="32"/>
  <c r="AC77" i="32"/>
  <c r="AD52" i="32"/>
  <c r="AD74" i="32"/>
  <c r="AD80" i="32" s="1"/>
  <c r="Y100" i="65"/>
  <c r="Y101" i="65" s="1"/>
  <c r="Y84" i="65"/>
  <c r="AA77" i="32"/>
  <c r="AA55" i="32"/>
  <c r="W55" i="32"/>
  <c r="W77" i="32"/>
  <c r="V84" i="65"/>
  <c r="V100" i="65"/>
  <c r="V101" i="65" s="1"/>
  <c r="AC74" i="32"/>
  <c r="AC80" i="32" s="1"/>
  <c r="AC52" i="32"/>
  <c r="O33" i="57"/>
  <c r="Q26" i="62"/>
  <c r="Q32" i="62" s="1"/>
  <c r="Q27" i="57"/>
  <c r="Q49" i="57" s="1"/>
  <c r="N54" i="62"/>
  <c r="N75" i="62"/>
  <c r="Q74" i="57"/>
  <c r="Q80" i="57" s="1"/>
  <c r="Q52" i="57"/>
  <c r="O46" i="52"/>
  <c r="O30" i="52"/>
  <c r="O77" i="57"/>
  <c r="O55" i="57"/>
  <c r="M46" i="52"/>
  <c r="M30" i="52"/>
  <c r="M48" i="59"/>
  <c r="M32" i="59"/>
  <c r="M33" i="57"/>
  <c r="M49" i="57"/>
  <c r="M22" i="52"/>
  <c r="M27" i="52"/>
  <c r="Q21" i="52"/>
  <c r="O22" i="52"/>
  <c r="O27" i="52"/>
  <c r="AF83" i="63"/>
  <c r="I12" i="70" s="1"/>
  <c r="H12" i="70"/>
  <c r="AF100" i="63"/>
  <c r="AF101" i="63" s="1"/>
  <c r="N32" i="59"/>
  <c r="N48" i="59"/>
  <c r="AH293" i="76"/>
  <c r="AI293" i="76" s="1"/>
  <c r="AI281" i="76"/>
  <c r="M55" i="60"/>
  <c r="M77" i="60"/>
  <c r="L55" i="60"/>
  <c r="L77" i="60"/>
  <c r="Q74" i="61"/>
  <c r="Q80" i="61" s="1"/>
  <c r="Q52" i="61"/>
  <c r="N30" i="52"/>
  <c r="N46" i="52"/>
  <c r="O75" i="62"/>
  <c r="O54" i="62"/>
  <c r="Q74" i="60"/>
  <c r="Q80" i="60" s="1"/>
  <c r="Q52" i="60"/>
  <c r="O74" i="63"/>
  <c r="O80" i="63" s="1"/>
  <c r="O52" i="63"/>
  <c r="O22" i="51"/>
  <c r="O27" i="51"/>
  <c r="N22" i="52"/>
  <c r="N27" i="52"/>
  <c r="M54" i="62"/>
  <c r="M75" i="62"/>
  <c r="AF99" i="57"/>
  <c r="AF100" i="57" s="1"/>
  <c r="AF83" i="57"/>
  <c r="I8" i="70" s="1"/>
  <c r="H8" i="70"/>
  <c r="Q27" i="60"/>
  <c r="M30" i="51"/>
  <c r="M46" i="51"/>
  <c r="M77" i="63"/>
  <c r="M55" i="63"/>
  <c r="AW242" i="30"/>
  <c r="AX242" i="30" s="1"/>
  <c r="N55" i="61"/>
  <c r="N77" i="61"/>
  <c r="AF97" i="62"/>
  <c r="AF98" i="62" s="1"/>
  <c r="H11" i="70"/>
  <c r="AF81" i="62"/>
  <c r="I11" i="70" s="1"/>
  <c r="N55" i="63"/>
  <c r="N77" i="63"/>
  <c r="O52" i="60"/>
  <c r="O74" i="60"/>
  <c r="O80" i="60" s="1"/>
  <c r="N30" i="51"/>
  <c r="N46" i="51"/>
  <c r="O55" i="63"/>
  <c r="O77" i="63"/>
  <c r="N49" i="57"/>
  <c r="N33" i="57"/>
  <c r="Q30" i="51"/>
  <c r="Q46" i="51"/>
  <c r="M52" i="57"/>
  <c r="M74" i="57"/>
  <c r="M80" i="57" s="1"/>
  <c r="O30" i="51"/>
  <c r="O46" i="51"/>
  <c r="Q84" i="65"/>
  <c r="Q100" i="65"/>
  <c r="F6" i="70"/>
  <c r="Q72" i="62"/>
  <c r="Q78" i="62" s="1"/>
  <c r="Q51" i="62"/>
  <c r="O48" i="59"/>
  <c r="O32" i="59"/>
  <c r="AF83" i="61"/>
  <c r="I10" i="70" s="1"/>
  <c r="AF99" i="61"/>
  <c r="AF100" i="61" s="1"/>
  <c r="H10" i="70"/>
  <c r="M22" i="51"/>
  <c r="M27" i="51"/>
  <c r="Q21" i="51"/>
  <c r="AU101" i="65"/>
  <c r="AD99" i="75"/>
  <c r="AE99" i="75" s="1"/>
  <c r="AH242" i="30"/>
  <c r="AI242" i="30" s="1"/>
  <c r="AI230" i="30"/>
  <c r="N27" i="51"/>
  <c r="N22" i="51"/>
  <c r="N55" i="60"/>
  <c r="N77" i="60"/>
  <c r="Q26" i="59"/>
  <c r="Q27" i="63"/>
  <c r="Q74" i="63"/>
  <c r="Q80" i="63" s="1"/>
  <c r="Q52" i="63"/>
  <c r="O72" i="62"/>
  <c r="O78" i="62" s="1"/>
  <c r="O51" i="62"/>
  <c r="Q73" i="59"/>
  <c r="Q79" i="59" s="1"/>
  <c r="Q51" i="59"/>
  <c r="N72" i="62"/>
  <c r="N78" i="62" s="1"/>
  <c r="N51" i="62"/>
  <c r="Q27" i="61"/>
  <c r="Q46" i="52"/>
  <c r="Q30" i="52"/>
  <c r="O55" i="61"/>
  <c r="O77" i="61"/>
  <c r="M55" i="61"/>
  <c r="M77" i="61"/>
  <c r="Q101" i="65" l="1"/>
  <c r="G6" i="70"/>
  <c r="K39" i="68"/>
  <c r="AD101" i="32"/>
  <c r="AD102" i="32" s="1"/>
  <c r="AD83" i="32"/>
  <c r="AC83" i="32"/>
  <c r="AC101" i="32"/>
  <c r="AC102" i="32" s="1"/>
  <c r="Y83" i="32"/>
  <c r="Y101" i="32"/>
  <c r="Y102" i="32" s="1"/>
  <c r="V83" i="32"/>
  <c r="V101" i="32"/>
  <c r="V102" i="32" s="1"/>
  <c r="AA101" i="32"/>
  <c r="AA102" i="32" s="1"/>
  <c r="AA83" i="32"/>
  <c r="W83" i="32"/>
  <c r="W101" i="32"/>
  <c r="W102" i="32" s="1"/>
  <c r="T83" i="32"/>
  <c r="T101" i="32"/>
  <c r="AB101" i="32"/>
  <c r="AB102" i="32" s="1"/>
  <c r="AB83" i="32"/>
  <c r="U101" i="32"/>
  <c r="U102" i="32" s="1"/>
  <c r="U83" i="32"/>
  <c r="X101" i="32"/>
  <c r="X102" i="32" s="1"/>
  <c r="X83" i="32"/>
  <c r="Z101" i="32"/>
  <c r="Z102" i="32" s="1"/>
  <c r="Z83" i="32"/>
  <c r="Q33" i="57"/>
  <c r="Q48" i="62"/>
  <c r="Q75" i="62" s="1"/>
  <c r="N52" i="51"/>
  <c r="N74" i="51"/>
  <c r="N80" i="51" s="1"/>
  <c r="N81" i="62"/>
  <c r="N97" i="62"/>
  <c r="N98" i="62" s="1"/>
  <c r="M54" i="59"/>
  <c r="M76" i="59"/>
  <c r="N83" i="60"/>
  <c r="N99" i="60" s="1"/>
  <c r="N100" i="60" s="1"/>
  <c r="Q55" i="57"/>
  <c r="Q77" i="57"/>
  <c r="Q27" i="51"/>
  <c r="Q22" i="51"/>
  <c r="M49" i="51"/>
  <c r="M33" i="51"/>
  <c r="M81" i="62"/>
  <c r="M97" i="62"/>
  <c r="M98" i="62" s="1"/>
  <c r="O52" i="51"/>
  <c r="O74" i="51"/>
  <c r="O80" i="51" s="1"/>
  <c r="AH243" i="30"/>
  <c r="M83" i="61"/>
  <c r="M99" i="61"/>
  <c r="M100" i="61" s="1"/>
  <c r="N49" i="51"/>
  <c r="N33" i="51"/>
  <c r="AW243" i="30"/>
  <c r="O97" i="62"/>
  <c r="O98" i="62" s="1"/>
  <c r="O81" i="62"/>
  <c r="Q22" i="52"/>
  <c r="Q27" i="52"/>
  <c r="O83" i="57"/>
  <c r="O99" i="57"/>
  <c r="O100" i="57" s="1"/>
  <c r="N55" i="57"/>
  <c r="N77" i="57"/>
  <c r="N33" i="52"/>
  <c r="N49" i="52"/>
  <c r="N74" i="52"/>
  <c r="N80" i="52" s="1"/>
  <c r="N52" i="52"/>
  <c r="M33" i="52"/>
  <c r="M49" i="52"/>
  <c r="M83" i="63"/>
  <c r="M100" i="63"/>
  <c r="M101" i="63" s="1"/>
  <c r="O74" i="52"/>
  <c r="O80" i="52" s="1"/>
  <c r="O52" i="52"/>
  <c r="N76" i="59"/>
  <c r="N54" i="59"/>
  <c r="M77" i="57"/>
  <c r="M55" i="57"/>
  <c r="O83" i="63"/>
  <c r="O100" i="63"/>
  <c r="O101" i="63" s="1"/>
  <c r="Q74" i="52"/>
  <c r="Q52" i="52"/>
  <c r="O49" i="51"/>
  <c r="O33" i="51"/>
  <c r="Q33" i="63"/>
  <c r="Q49" i="63"/>
  <c r="O76" i="59"/>
  <c r="O54" i="59"/>
  <c r="Q33" i="60"/>
  <c r="Q49" i="60"/>
  <c r="L83" i="60"/>
  <c r="L99" i="60" s="1"/>
  <c r="L100" i="60" s="1"/>
  <c r="Q32" i="59"/>
  <c r="Q48" i="59"/>
  <c r="M83" i="60"/>
  <c r="M99" i="60" s="1"/>
  <c r="M100" i="60" s="1"/>
  <c r="O83" i="61"/>
  <c r="O99" i="61"/>
  <c r="O100" i="61" s="1"/>
  <c r="N83" i="61"/>
  <c r="N99" i="61"/>
  <c r="N100" i="61" s="1"/>
  <c r="M52" i="51"/>
  <c r="M74" i="51"/>
  <c r="M80" i="51" s="1"/>
  <c r="Q33" i="61"/>
  <c r="Q49" i="61"/>
  <c r="Q52" i="51"/>
  <c r="Q74" i="51"/>
  <c r="N100" i="63"/>
  <c r="N101" i="63" s="1"/>
  <c r="N83" i="63"/>
  <c r="O49" i="52"/>
  <c r="O33" i="52"/>
  <c r="M74" i="52"/>
  <c r="M80" i="52" s="1"/>
  <c r="M52" i="52"/>
  <c r="Q80" i="52" l="1"/>
  <c r="Q80" i="51"/>
  <c r="T102" i="32"/>
  <c r="F31" i="43"/>
  <c r="Q54" i="62"/>
  <c r="Q55" i="63"/>
  <c r="Q77" i="63"/>
  <c r="Q55" i="60"/>
  <c r="Q77" i="60"/>
  <c r="N77" i="51"/>
  <c r="N55" i="51"/>
  <c r="M82" i="59"/>
  <c r="M98" i="59"/>
  <c r="M99" i="59" s="1"/>
  <c r="O98" i="59"/>
  <c r="O99" i="59" s="1"/>
  <c r="O82" i="59"/>
  <c r="M55" i="52"/>
  <c r="M77" i="52"/>
  <c r="M99" i="57"/>
  <c r="M100" i="57" s="1"/>
  <c r="M83" i="57"/>
  <c r="O77" i="52"/>
  <c r="O55" i="52"/>
  <c r="Q49" i="52"/>
  <c r="Q33" i="52"/>
  <c r="M55" i="51"/>
  <c r="M77" i="51"/>
  <c r="N55" i="52"/>
  <c r="N77" i="52"/>
  <c r="Q33" i="51"/>
  <c r="Q49" i="51"/>
  <c r="Q55" i="61"/>
  <c r="Q77" i="61"/>
  <c r="Q54" i="59"/>
  <c r="Q76" i="59"/>
  <c r="N82" i="59"/>
  <c r="N98" i="59"/>
  <c r="N99" i="59" s="1"/>
  <c r="Q99" i="57"/>
  <c r="Q100" i="57" s="1"/>
  <c r="Q83" i="57"/>
  <c r="G8" i="70" s="1"/>
  <c r="F8" i="70"/>
  <c r="J8" i="70" s="1"/>
  <c r="O77" i="51"/>
  <c r="O55" i="51"/>
  <c r="N99" i="57"/>
  <c r="N100" i="57" s="1"/>
  <c r="N83" i="57"/>
  <c r="Q97" i="62"/>
  <c r="Q98" i="62" s="1"/>
  <c r="F11" i="70"/>
  <c r="J11" i="70" s="1"/>
  <c r="Q81" i="62"/>
  <c r="G11" i="70" s="1"/>
  <c r="M101" i="51" l="1"/>
  <c r="M102" i="51" s="1"/>
  <c r="M83" i="51"/>
  <c r="Q98" i="59"/>
  <c r="Q99" i="59" s="1"/>
  <c r="Q82" i="59"/>
  <c r="G9" i="70" s="1"/>
  <c r="F9" i="70"/>
  <c r="Q77" i="52"/>
  <c r="AG77" i="52" s="1"/>
  <c r="Q55" i="52"/>
  <c r="Q83" i="61"/>
  <c r="G10" i="70" s="1"/>
  <c r="F10" i="70"/>
  <c r="J10" i="70" s="1"/>
  <c r="Q99" i="61"/>
  <c r="Q100" i="61" s="1"/>
  <c r="O101" i="52"/>
  <c r="O102" i="52" s="1"/>
  <c r="O83" i="52"/>
  <c r="N101" i="51"/>
  <c r="N102" i="51" s="1"/>
  <c r="N83" i="51"/>
  <c r="O83" i="51"/>
  <c r="O101" i="51"/>
  <c r="O102" i="51" s="1"/>
  <c r="Q55" i="51"/>
  <c r="Q77" i="51"/>
  <c r="Q99" i="60"/>
  <c r="Q100" i="60" s="1"/>
  <c r="F13" i="70"/>
  <c r="Q83" i="60"/>
  <c r="G13" i="70" s="1"/>
  <c r="N101" i="52"/>
  <c r="N102" i="52" s="1"/>
  <c r="N83" i="52"/>
  <c r="M83" i="52"/>
  <c r="M101" i="52"/>
  <c r="M102" i="52" s="1"/>
  <c r="Q100" i="63"/>
  <c r="Q101" i="63" s="1"/>
  <c r="F12" i="70"/>
  <c r="J12" i="70" s="1"/>
  <c r="Q83" i="63"/>
  <c r="G12" i="70" s="1"/>
  <c r="F4" i="70" l="1"/>
  <c r="Q83" i="51"/>
  <c r="Q101" i="51"/>
  <c r="Q83" i="52"/>
  <c r="F5" i="70"/>
  <c r="J5" i="70" s="1"/>
  <c r="Q101" i="52"/>
  <c r="Z20" i="75"/>
  <c r="Z42" i="75"/>
  <c r="Z17" i="75"/>
  <c r="AC25" i="35"/>
  <c r="AC26" i="35"/>
  <c r="AC27" i="35"/>
  <c r="AC29" i="35"/>
  <c r="Q53" i="35"/>
  <c r="S68" i="66"/>
  <c r="Q57" i="35"/>
  <c r="S67" i="59"/>
  <c r="S9" i="60"/>
  <c r="S12" i="60" s="1"/>
  <c r="AF12" i="60" s="1"/>
  <c r="S9" i="66"/>
  <c r="S12" i="66" s="1"/>
  <c r="Q3" i="35"/>
  <c r="S8" i="59"/>
  <c r="I80" i="73"/>
  <c r="I48" i="73"/>
  <c r="Q102" i="52" l="1"/>
  <c r="AG101" i="52"/>
  <c r="Q102" i="51"/>
  <c r="G5" i="70"/>
  <c r="G4" i="70"/>
  <c r="AF12" i="66"/>
  <c r="AF67" i="59"/>
  <c r="S70" i="59"/>
  <c r="AF70" i="59" s="1"/>
  <c r="Q19" i="35"/>
  <c r="Q18" i="35"/>
  <c r="Q9" i="35"/>
  <c r="Q11" i="35"/>
  <c r="Q8" i="35"/>
  <c r="Q10" i="35"/>
  <c r="Q7" i="35"/>
  <c r="S9" i="51"/>
  <c r="S12" i="51" s="1"/>
  <c r="AF12" i="51" s="1"/>
  <c r="AF8" i="59"/>
  <c r="S17" i="59"/>
  <c r="S39" i="59"/>
  <c r="S11" i="59"/>
  <c r="AC3" i="35"/>
  <c r="AC5" i="35" s="1"/>
  <c r="Q80" i="35"/>
  <c r="Q82" i="35" s="1"/>
  <c r="Q71" i="35" s="1"/>
  <c r="AC36" i="35"/>
  <c r="Q70" i="35"/>
  <c r="Q73" i="35" s="1"/>
  <c r="P15" i="68"/>
  <c r="AF9" i="66"/>
  <c r="AV9" i="66" s="1"/>
  <c r="S18" i="66"/>
  <c r="S40" i="66"/>
  <c r="C13" i="70"/>
  <c r="D13" i="70" s="1"/>
  <c r="AF98" i="60"/>
  <c r="AF72" i="60"/>
  <c r="P13" i="68"/>
  <c r="AF9" i="60"/>
  <c r="S40" i="60"/>
  <c r="S18" i="60"/>
  <c r="S68" i="51"/>
  <c r="AC57" i="35"/>
  <c r="AF68" i="66"/>
  <c r="B66" i="75" s="1"/>
  <c r="S71" i="66"/>
  <c r="AF71" i="66" s="1"/>
  <c r="Q48" i="35"/>
  <c r="AC48" i="35" s="1"/>
  <c r="AC53" i="35"/>
  <c r="AG12" i="51" l="1"/>
  <c r="AV12" i="51"/>
  <c r="AG71" i="66"/>
  <c r="AV71" i="66"/>
  <c r="AF100" i="66"/>
  <c r="AV12" i="66"/>
  <c r="B11" i="75"/>
  <c r="D11" i="75" s="1"/>
  <c r="AG12" i="66"/>
  <c r="C3" i="70"/>
  <c r="D3" i="70" s="1"/>
  <c r="C4" i="70"/>
  <c r="D4" i="70" s="1"/>
  <c r="Q22" i="35"/>
  <c r="AF9" i="51"/>
  <c r="P14" i="68"/>
  <c r="AB14" i="68" s="1"/>
  <c r="S40" i="51"/>
  <c r="AF40" i="51" s="1"/>
  <c r="E11" i="75"/>
  <c r="G11" i="75" s="1"/>
  <c r="AF100" i="51"/>
  <c r="S18" i="51"/>
  <c r="S21" i="51" s="1"/>
  <c r="AF72" i="66"/>
  <c r="B69" i="75"/>
  <c r="D66" i="75"/>
  <c r="AF68" i="51"/>
  <c r="E66" i="75" s="1"/>
  <c r="S71" i="51"/>
  <c r="AF71" i="51" s="1"/>
  <c r="AF18" i="60"/>
  <c r="AF25" i="60" s="1"/>
  <c r="S21" i="60"/>
  <c r="S25" i="60"/>
  <c r="AF40" i="60"/>
  <c r="S43" i="60"/>
  <c r="AF43" i="60" s="1"/>
  <c r="AF44" i="60" s="1"/>
  <c r="AB13" i="68"/>
  <c r="AF40" i="66"/>
  <c r="S43" i="66"/>
  <c r="AF18" i="66"/>
  <c r="S21" i="66"/>
  <c r="S25" i="66"/>
  <c r="B8" i="75"/>
  <c r="AG9" i="66"/>
  <c r="AB15" i="68"/>
  <c r="AC37" i="35"/>
  <c r="Q58" i="35"/>
  <c r="S10" i="65"/>
  <c r="Q91" i="35"/>
  <c r="AC91" i="35" s="1"/>
  <c r="Q90" i="35"/>
  <c r="AC90" i="35" s="1"/>
  <c r="Q94" i="35"/>
  <c r="AC94" i="35" s="1"/>
  <c r="Q98" i="35"/>
  <c r="AC98" i="35" s="1"/>
  <c r="Q93" i="35"/>
  <c r="AC93" i="35" s="1"/>
  <c r="Q89" i="35"/>
  <c r="AC89" i="35" s="1"/>
  <c r="Q87" i="35"/>
  <c r="AC87" i="35" s="1"/>
  <c r="Q88" i="35"/>
  <c r="AC88" i="35" s="1"/>
  <c r="Q86" i="35"/>
  <c r="AC86" i="35" s="1"/>
  <c r="Q95" i="35"/>
  <c r="AC95" i="35" s="1"/>
  <c r="Q97" i="35"/>
  <c r="AC97" i="35" s="1"/>
  <c r="Q96" i="35"/>
  <c r="AC96" i="35" s="1"/>
  <c r="Q92" i="35"/>
  <c r="AC92" i="35" s="1"/>
  <c r="Q85" i="35"/>
  <c r="P12" i="68"/>
  <c r="AF11" i="59"/>
  <c r="AF39" i="59"/>
  <c r="S42" i="59"/>
  <c r="AF42" i="59" s="1"/>
  <c r="AF17" i="59"/>
  <c r="AF24" i="59" s="1"/>
  <c r="S20" i="59"/>
  <c r="S24" i="59"/>
  <c r="E69" i="75" l="1"/>
  <c r="G69" i="75" s="1"/>
  <c r="AG71" i="51"/>
  <c r="AG9" i="51"/>
  <c r="AV9" i="51"/>
  <c r="AF43" i="66"/>
  <c r="AF44" i="66" s="1"/>
  <c r="B39" i="75"/>
  <c r="D39" i="75" s="1"/>
  <c r="E39" i="75"/>
  <c r="G39" i="75" s="1"/>
  <c r="B17" i="75"/>
  <c r="D17" i="75" s="1"/>
  <c r="E8" i="75"/>
  <c r="G8" i="75" s="1"/>
  <c r="S43" i="51"/>
  <c r="AF43" i="51" s="1"/>
  <c r="P33" i="68"/>
  <c r="AF18" i="51"/>
  <c r="S25" i="51"/>
  <c r="S31" i="51" s="1"/>
  <c r="AF43" i="59"/>
  <c r="AF25" i="66"/>
  <c r="S22" i="51"/>
  <c r="AF21" i="51"/>
  <c r="S27" i="51"/>
  <c r="AF30" i="59"/>
  <c r="AF46" i="59"/>
  <c r="S30" i="59"/>
  <c r="S46" i="59"/>
  <c r="S21" i="59"/>
  <c r="AF20" i="59"/>
  <c r="AF21" i="59" s="1"/>
  <c r="S26" i="59"/>
  <c r="AF71" i="59"/>
  <c r="C9" i="70"/>
  <c r="D9" i="70" s="1"/>
  <c r="AF97" i="59"/>
  <c r="AB12" i="68"/>
  <c r="P32" i="68"/>
  <c r="Q100" i="35"/>
  <c r="AC85" i="35"/>
  <c r="AC100" i="35" s="1"/>
  <c r="AC101" i="35" s="1"/>
  <c r="AF10" i="65"/>
  <c r="S19" i="65"/>
  <c r="S41" i="65"/>
  <c r="S13" i="65"/>
  <c r="S9" i="32"/>
  <c r="AC58" i="35"/>
  <c r="S69" i="65"/>
  <c r="Q60" i="35"/>
  <c r="AC60" i="35" s="1"/>
  <c r="D8" i="75"/>
  <c r="S31" i="66"/>
  <c r="S47" i="66"/>
  <c r="S22" i="66"/>
  <c r="AF21" i="66"/>
  <c r="S27" i="66"/>
  <c r="AF31" i="60"/>
  <c r="AF47" i="60"/>
  <c r="S31" i="60"/>
  <c r="S47" i="60"/>
  <c r="S22" i="60"/>
  <c r="AF21" i="60"/>
  <c r="S27" i="60"/>
  <c r="G66" i="75"/>
  <c r="D69" i="75"/>
  <c r="I88" i="73"/>
  <c r="B42" i="75" l="1"/>
  <c r="D42" i="75" s="1"/>
  <c r="AF47" i="66"/>
  <c r="AF53" i="66" s="1"/>
  <c r="E17" i="75"/>
  <c r="G17" i="75" s="1"/>
  <c r="AF44" i="51"/>
  <c r="E42" i="75"/>
  <c r="G42" i="75" s="1"/>
  <c r="B24" i="75"/>
  <c r="AF31" i="66"/>
  <c r="S47" i="51"/>
  <c r="S53" i="51" s="1"/>
  <c r="AF25" i="51"/>
  <c r="AF26" i="59"/>
  <c r="AF48" i="59" s="1"/>
  <c r="S33" i="60"/>
  <c r="S49" i="60"/>
  <c r="AF22" i="60"/>
  <c r="AF27" i="60"/>
  <c r="S53" i="60"/>
  <c r="S75" i="60"/>
  <c r="S81" i="60" s="1"/>
  <c r="AF53" i="60"/>
  <c r="AF75" i="60"/>
  <c r="AF81" i="60" s="1"/>
  <c r="S33" i="66"/>
  <c r="S49" i="66"/>
  <c r="AF22" i="66"/>
  <c r="B20" i="75"/>
  <c r="AF27" i="66"/>
  <c r="S53" i="66"/>
  <c r="S75" i="66"/>
  <c r="S81" i="66" s="1"/>
  <c r="AF69" i="65"/>
  <c r="S72" i="65"/>
  <c r="AF72" i="65" s="1"/>
  <c r="S68" i="32"/>
  <c r="AF9" i="32"/>
  <c r="S12" i="32"/>
  <c r="P17" i="68"/>
  <c r="AF13" i="65"/>
  <c r="AF41" i="65"/>
  <c r="S44" i="65"/>
  <c r="AF44" i="65" s="1"/>
  <c r="S40" i="32"/>
  <c r="AF19" i="65"/>
  <c r="S18" i="32"/>
  <c r="S26" i="65"/>
  <c r="K8" i="75"/>
  <c r="S32" i="59"/>
  <c r="S48" i="59"/>
  <c r="S52" i="59"/>
  <c r="S74" i="59"/>
  <c r="S80" i="59" s="1"/>
  <c r="AF52" i="59"/>
  <c r="AF74" i="59"/>
  <c r="AF80" i="59" s="1"/>
  <c r="S33" i="51"/>
  <c r="S49" i="51"/>
  <c r="AF22" i="51"/>
  <c r="E20" i="75"/>
  <c r="G20" i="75" s="1"/>
  <c r="AF27" i="51"/>
  <c r="AG9" i="32" l="1"/>
  <c r="AV9" i="32"/>
  <c r="B46" i="75"/>
  <c r="AF75" i="66"/>
  <c r="AF81" i="66" s="1"/>
  <c r="K66" i="75"/>
  <c r="G99" i="75"/>
  <c r="K39" i="75"/>
  <c r="Q39" i="75" s="1"/>
  <c r="S39" i="75" s="1"/>
  <c r="K17" i="75"/>
  <c r="M17" i="75" s="1"/>
  <c r="B52" i="75"/>
  <c r="B30" i="75"/>
  <c r="S75" i="51"/>
  <c r="S81" i="51" s="1"/>
  <c r="AF32" i="59"/>
  <c r="AF31" i="51"/>
  <c r="AF47" i="51"/>
  <c r="AF26" i="65"/>
  <c r="AF33" i="51"/>
  <c r="AF49" i="51"/>
  <c r="S55" i="51"/>
  <c r="S77" i="51"/>
  <c r="S54" i="59"/>
  <c r="S76" i="59"/>
  <c r="AF54" i="59"/>
  <c r="AF76" i="59"/>
  <c r="M8" i="75"/>
  <c r="Q8" i="75"/>
  <c r="S8" i="75" s="1"/>
  <c r="S32" i="65"/>
  <c r="S48" i="65"/>
  <c r="AF18" i="32"/>
  <c r="AF25" i="32" s="1"/>
  <c r="S25" i="32"/>
  <c r="AF40" i="32"/>
  <c r="S43" i="32"/>
  <c r="AF43" i="32" s="1"/>
  <c r="AF45" i="65"/>
  <c r="K42" i="75"/>
  <c r="C6" i="70"/>
  <c r="D6" i="70" s="1"/>
  <c r="AF99" i="65"/>
  <c r="K11" i="75"/>
  <c r="AB17" i="68"/>
  <c r="P19" i="68"/>
  <c r="AF12" i="32"/>
  <c r="AF68" i="32"/>
  <c r="S71" i="32"/>
  <c r="AF71" i="32" s="1"/>
  <c r="AG71" i="32" s="1"/>
  <c r="AF73" i="65"/>
  <c r="K69" i="75"/>
  <c r="M66" i="75"/>
  <c r="Q66" i="75"/>
  <c r="S66" i="75" s="1"/>
  <c r="AF33" i="66"/>
  <c r="B26" i="75"/>
  <c r="AF49" i="66"/>
  <c r="D20" i="75"/>
  <c r="D99" i="75" s="1"/>
  <c r="S55" i="66"/>
  <c r="S77" i="66"/>
  <c r="AF33" i="60"/>
  <c r="AF49" i="60"/>
  <c r="S55" i="60"/>
  <c r="S77" i="60"/>
  <c r="AG12" i="32" l="1"/>
  <c r="AV12" i="32"/>
  <c r="AF32" i="65"/>
  <c r="M39" i="75"/>
  <c r="Q17" i="75"/>
  <c r="S17" i="75" s="1"/>
  <c r="B32" i="75"/>
  <c r="AF48" i="65"/>
  <c r="AF76" i="65" s="1"/>
  <c r="AF82" i="65" s="1"/>
  <c r="AF75" i="51"/>
  <c r="AF81" i="51" s="1"/>
  <c r="AF53" i="51"/>
  <c r="S83" i="60"/>
  <c r="S99" i="60" s="1"/>
  <c r="S100" i="60" s="1"/>
  <c r="AF55" i="60"/>
  <c r="AF77" i="60"/>
  <c r="S83" i="66"/>
  <c r="S101" i="66"/>
  <c r="S102" i="66" s="1"/>
  <c r="AF55" i="66"/>
  <c r="B48" i="75"/>
  <c r="AF77" i="66"/>
  <c r="M69" i="75"/>
  <c r="Q69" i="75"/>
  <c r="S69" i="75" s="1"/>
  <c r="AF72" i="32"/>
  <c r="F23" i="43"/>
  <c r="AF47" i="32"/>
  <c r="AF31" i="32"/>
  <c r="F14" i="43"/>
  <c r="AF100" i="32"/>
  <c r="P37" i="68"/>
  <c r="AB19" i="68"/>
  <c r="P30" i="68"/>
  <c r="P36" i="68"/>
  <c r="P34" i="68"/>
  <c r="P38" i="68"/>
  <c r="M11" i="75"/>
  <c r="Q11" i="75"/>
  <c r="S11" i="75" s="1"/>
  <c r="M42" i="75"/>
  <c r="Q42" i="75"/>
  <c r="S42" i="75" s="1"/>
  <c r="AF44" i="32"/>
  <c r="F20" i="43"/>
  <c r="S31" i="32"/>
  <c r="S47" i="32"/>
  <c r="S54" i="65"/>
  <c r="S76" i="65"/>
  <c r="S82" i="65" s="1"/>
  <c r="AF82" i="59"/>
  <c r="I9" i="70" s="1"/>
  <c r="AF98" i="59"/>
  <c r="AF99" i="59" s="1"/>
  <c r="H9" i="70"/>
  <c r="J9" i="70" s="1"/>
  <c r="S82" i="59"/>
  <c r="S98" i="59"/>
  <c r="S99" i="59" s="1"/>
  <c r="S83" i="51"/>
  <c r="S101" i="51"/>
  <c r="S102" i="51" s="1"/>
  <c r="AF55" i="51"/>
  <c r="AF77" i="51"/>
  <c r="AG77" i="51" s="1"/>
  <c r="AG77" i="66" l="1"/>
  <c r="AV77" i="66"/>
  <c r="B54" i="75"/>
  <c r="AF54" i="65"/>
  <c r="F19" i="43"/>
  <c r="AF83" i="51"/>
  <c r="I4" i="70" s="1"/>
  <c r="AF101" i="51"/>
  <c r="AG101" i="51" s="1"/>
  <c r="H4" i="70"/>
  <c r="J4" i="70" s="1"/>
  <c r="S53" i="32"/>
  <c r="S75" i="32"/>
  <c r="S81" i="32" s="1"/>
  <c r="P39" i="68"/>
  <c r="F25" i="43"/>
  <c r="F26" i="43"/>
  <c r="F30" i="43"/>
  <c r="AF75" i="32"/>
  <c r="AF81" i="32" s="1"/>
  <c r="AF53" i="32"/>
  <c r="F22" i="43"/>
  <c r="H3" i="70"/>
  <c r="J3" i="70" s="1"/>
  <c r="AF83" i="66"/>
  <c r="I3" i="70" s="1"/>
  <c r="AF101" i="66"/>
  <c r="AF99" i="60"/>
  <c r="AF100" i="60" s="1"/>
  <c r="AF83" i="60"/>
  <c r="I13" i="70" s="1"/>
  <c r="H13" i="70"/>
  <c r="J13" i="70" s="1"/>
  <c r="AG101" i="66" l="1"/>
  <c r="AV101" i="66"/>
  <c r="AF102" i="66"/>
  <c r="B99" i="75"/>
  <c r="AF102" i="51"/>
  <c r="E99" i="75"/>
  <c r="F99" i="75" s="1"/>
  <c r="C99" i="75" l="1"/>
  <c r="AH68" i="51" l="1"/>
  <c r="AH75" i="51" l="1"/>
  <c r="AH81" i="51" s="1"/>
  <c r="AH68" i="32"/>
  <c r="AH71" i="51"/>
  <c r="AH68" i="60"/>
  <c r="U40" i="73"/>
  <c r="AH75" i="60" l="1"/>
  <c r="AH81" i="60" s="1"/>
  <c r="AH71" i="60"/>
  <c r="AH77" i="51"/>
  <c r="AH75" i="32"/>
  <c r="AH81" i="32" s="1"/>
  <c r="AH71" i="32"/>
  <c r="AH77" i="32" l="1"/>
  <c r="AH83" i="51"/>
  <c r="AH101" i="51"/>
  <c r="AH102" i="51" s="1"/>
  <c r="AH77" i="60"/>
  <c r="AH83" i="60" l="1"/>
  <c r="AH99" i="60" s="1"/>
  <c r="AH100" i="60" s="1"/>
  <c r="AH83" i="32"/>
  <c r="AH101" i="32"/>
  <c r="AH102" i="32" s="1"/>
  <c r="AO60" i="35"/>
  <c r="AR68" i="60"/>
  <c r="AR75" i="60" s="1"/>
  <c r="AR81" i="60" s="1"/>
  <c r="AP60" i="35"/>
  <c r="AS68" i="60"/>
  <c r="AS75" i="60" s="1"/>
  <c r="AS81" i="60" s="1"/>
  <c r="AN60" i="35"/>
  <c r="AQ68" i="60"/>
  <c r="AQ75" i="60" s="1"/>
  <c r="AQ81" i="60" s="1"/>
  <c r="AM60" i="35"/>
  <c r="AP68" i="60"/>
  <c r="AP75" i="60"/>
  <c r="AP81" i="60" s="1"/>
  <c r="AL60" i="35"/>
  <c r="AO68" i="60"/>
  <c r="AO75" i="60" s="1"/>
  <c r="AO81" i="60" s="1"/>
  <c r="AK60" i="35"/>
  <c r="AN68" i="60"/>
  <c r="AJ60" i="35"/>
  <c r="AM68" i="60"/>
  <c r="AL68" i="60"/>
  <c r="AK68" i="60"/>
  <c r="AK75" i="60" s="1"/>
  <c r="AK81" i="60" s="1"/>
  <c r="AJ68" i="60"/>
  <c r="AJ75" i="60"/>
  <c r="AJ81" i="60" s="1"/>
  <c r="AH49" i="35"/>
  <c r="AK68" i="51"/>
  <c r="AK75" i="51" s="1"/>
  <c r="AK81" i="51" s="1"/>
  <c r="AJ49" i="35"/>
  <c r="AM68" i="51"/>
  <c r="AM75" i="51" s="1"/>
  <c r="AM81" i="51" s="1"/>
  <c r="AO49" i="35"/>
  <c r="AR68" i="51"/>
  <c r="AR75" i="51" s="1"/>
  <c r="AR81" i="51" s="1"/>
  <c r="AI60" i="35"/>
  <c r="AQ60" i="35" s="1"/>
  <c r="AL49" i="35"/>
  <c r="AO68" i="51"/>
  <c r="AO75" i="51"/>
  <c r="AO81" i="51" s="1"/>
  <c r="AM49" i="35"/>
  <c r="AP68" i="51"/>
  <c r="AP75" i="51" s="1"/>
  <c r="AP81" i="51" s="1"/>
  <c r="AN49" i="35"/>
  <c r="AQ68" i="51"/>
  <c r="AQ75" i="51"/>
  <c r="AQ81" i="51" s="1"/>
  <c r="AI49" i="35"/>
  <c r="AL68" i="51"/>
  <c r="AL75" i="51" s="1"/>
  <c r="AL81" i="51" s="1"/>
  <c r="AK49" i="35"/>
  <c r="AN68" i="51"/>
  <c r="AN75" i="51" s="1"/>
  <c r="AN81" i="51" s="1"/>
  <c r="AG49" i="35"/>
  <c r="AJ68" i="51"/>
  <c r="AJ75" i="51" s="1"/>
  <c r="AJ81" i="51" s="1"/>
  <c r="AP49" i="35"/>
  <c r="AS68" i="51"/>
  <c r="AS75" i="51" s="1"/>
  <c r="AS81" i="51" s="1"/>
  <c r="AQ55" i="35"/>
  <c r="AQ56" i="35"/>
  <c r="AI68" i="60"/>
  <c r="AI71" i="60" s="1"/>
  <c r="AI77" i="60" s="1"/>
  <c r="AF49" i="35"/>
  <c r="AI68" i="51"/>
  <c r="AI71" i="51"/>
  <c r="AI77" i="51" s="1"/>
  <c r="Z40" i="73"/>
  <c r="AA40" i="73"/>
  <c r="AB40" i="73"/>
  <c r="X40" i="73"/>
  <c r="W40" i="73"/>
  <c r="Y40" i="73"/>
  <c r="V40" i="73"/>
  <c r="AC40" i="73"/>
  <c r="AF40" i="73"/>
  <c r="AE40" i="73"/>
  <c r="AD40" i="73"/>
  <c r="AJ71" i="60" l="1"/>
  <c r="AJ77" i="60" s="1"/>
  <c r="AJ83" i="60" s="1"/>
  <c r="AJ99" i="60" s="1"/>
  <c r="AJ100" i="60" s="1"/>
  <c r="AN71" i="60"/>
  <c r="AN77" i="60" s="1"/>
  <c r="AN83" i="60" s="1"/>
  <c r="AN99" i="60" s="1"/>
  <c r="AN100" i="60" s="1"/>
  <c r="AS71" i="60"/>
  <c r="AS77" i="60" s="1"/>
  <c r="AS83" i="60" s="1"/>
  <c r="AS99" i="60" s="1"/>
  <c r="AS100" i="60" s="1"/>
  <c r="AQ49" i="35"/>
  <c r="AK71" i="60"/>
  <c r="AK77" i="60" s="1"/>
  <c r="AK83" i="60" s="1"/>
  <c r="AK99" i="60" s="1"/>
  <c r="AK100" i="60" s="1"/>
  <c r="AO71" i="60"/>
  <c r="AO77" i="60" s="1"/>
  <c r="AO83" i="60" s="1"/>
  <c r="AO99" i="60" s="1"/>
  <c r="AO100" i="60" s="1"/>
  <c r="AL71" i="60"/>
  <c r="AL77" i="60" s="1"/>
  <c r="AL83" i="60" s="1"/>
  <c r="AL99" i="60" s="1"/>
  <c r="AL100" i="60" s="1"/>
  <c r="AM71" i="60"/>
  <c r="AM77" i="60" s="1"/>
  <c r="AM83" i="60" s="1"/>
  <c r="AM99" i="60" s="1"/>
  <c r="AM100" i="60" s="1"/>
  <c r="AL75" i="60"/>
  <c r="AL81" i="60" s="1"/>
  <c r="AR71" i="60"/>
  <c r="AR77" i="60" s="1"/>
  <c r="AR83" i="60" s="1"/>
  <c r="AR99" i="60" s="1"/>
  <c r="AR100" i="60" s="1"/>
  <c r="AM75" i="60"/>
  <c r="AM81" i="60" s="1"/>
  <c r="AP71" i="60"/>
  <c r="AP77" i="60" s="1"/>
  <c r="AP83" i="60" s="1"/>
  <c r="AP99" i="60" s="1"/>
  <c r="AP100" i="60" s="1"/>
  <c r="AN75" i="60"/>
  <c r="AN81" i="60" s="1"/>
  <c r="AQ71" i="60"/>
  <c r="AQ77" i="60" s="1"/>
  <c r="AQ83" i="60" s="1"/>
  <c r="AQ99" i="60" s="1"/>
  <c r="AQ100" i="60" s="1"/>
  <c r="AI83" i="51"/>
  <c r="AI101" i="51"/>
  <c r="AI102" i="51" s="1"/>
  <c r="AI75" i="51"/>
  <c r="AI81" i="51" s="1"/>
  <c r="AU68" i="51"/>
  <c r="AI68" i="32"/>
  <c r="AI83" i="60"/>
  <c r="AI99" i="60" s="1"/>
  <c r="AI100" i="60" s="1"/>
  <c r="AI75" i="60"/>
  <c r="AI81" i="60" s="1"/>
  <c r="AU68" i="60"/>
  <c r="AU75" i="60" s="1"/>
  <c r="AU81" i="60" s="1"/>
  <c r="AS71" i="51"/>
  <c r="AS77" i="51" s="1"/>
  <c r="AS68" i="32"/>
  <c r="AJ71" i="51"/>
  <c r="AJ68" i="32"/>
  <c r="AN71" i="51"/>
  <c r="AN77" i="51" s="1"/>
  <c r="AN68" i="32"/>
  <c r="AL71" i="51"/>
  <c r="AL77" i="51" s="1"/>
  <c r="AL68" i="32"/>
  <c r="AQ71" i="51"/>
  <c r="AQ77" i="51" s="1"/>
  <c r="AQ68" i="32"/>
  <c r="AP71" i="51"/>
  <c r="AP77" i="51" s="1"/>
  <c r="AP68" i="32"/>
  <c r="AO71" i="51"/>
  <c r="AO77" i="51" s="1"/>
  <c r="AO68" i="32"/>
  <c r="AR71" i="51"/>
  <c r="AR77" i="51" s="1"/>
  <c r="AR68" i="32"/>
  <c r="AM71" i="51"/>
  <c r="AM77" i="51" s="1"/>
  <c r="AM68" i="32"/>
  <c r="AK71" i="51"/>
  <c r="AK77" i="51" s="1"/>
  <c r="AK68" i="32"/>
  <c r="AU71" i="60" l="1"/>
  <c r="AU77" i="60" s="1"/>
  <c r="AK71" i="32"/>
  <c r="AK77" i="32" s="1"/>
  <c r="AK75" i="32"/>
  <c r="AK81" i="32" s="1"/>
  <c r="AK83" i="51"/>
  <c r="AK101" i="51"/>
  <c r="AK102" i="51" s="1"/>
  <c r="AM71" i="32"/>
  <c r="AM77" i="32" s="1"/>
  <c r="AM75" i="32"/>
  <c r="AM81" i="32" s="1"/>
  <c r="AM101" i="51"/>
  <c r="AM102" i="51" s="1"/>
  <c r="AM83" i="51"/>
  <c r="AR71" i="32"/>
  <c r="AR77" i="32" s="1"/>
  <c r="AR75" i="32"/>
  <c r="AR81" i="32" s="1"/>
  <c r="AR83" i="51"/>
  <c r="AR101" i="51"/>
  <c r="AR102" i="51" s="1"/>
  <c r="AO71" i="32"/>
  <c r="AO77" i="32" s="1"/>
  <c r="AO75" i="32"/>
  <c r="AO81" i="32" s="1"/>
  <c r="AO83" i="51"/>
  <c r="AO101" i="51"/>
  <c r="AO102" i="51" s="1"/>
  <c r="AP71" i="32"/>
  <c r="AP77" i="32" s="1"/>
  <c r="AP75" i="32"/>
  <c r="AP81" i="32" s="1"/>
  <c r="AP101" i="51"/>
  <c r="AP102" i="51" s="1"/>
  <c r="AP83" i="51"/>
  <c r="AQ71" i="32"/>
  <c r="AQ77" i="32" s="1"/>
  <c r="AQ75" i="32"/>
  <c r="AQ81" i="32" s="1"/>
  <c r="AQ101" i="51"/>
  <c r="AQ102" i="51" s="1"/>
  <c r="AQ83" i="51"/>
  <c r="AL71" i="32"/>
  <c r="AL77" i="32" s="1"/>
  <c r="AL75" i="32"/>
  <c r="AL81" i="32" s="1"/>
  <c r="AL101" i="51"/>
  <c r="AL102" i="51" s="1"/>
  <c r="AL83" i="51"/>
  <c r="AN71" i="32"/>
  <c r="AN77" i="32" s="1"/>
  <c r="AN75" i="32"/>
  <c r="AN81" i="32" s="1"/>
  <c r="AN83" i="51"/>
  <c r="AN101" i="51"/>
  <c r="AN102" i="51" s="1"/>
  <c r="AJ71" i="32"/>
  <c r="AJ77" i="32" s="1"/>
  <c r="AJ75" i="32"/>
  <c r="AJ81" i="32" s="1"/>
  <c r="AJ77" i="51"/>
  <c r="AU71" i="51"/>
  <c r="AV71" i="51" s="1"/>
  <c r="AS71" i="32"/>
  <c r="AS77" i="32" s="1"/>
  <c r="AS75" i="32"/>
  <c r="AS81" i="32" s="1"/>
  <c r="AS101" i="51"/>
  <c r="AS102" i="51" s="1"/>
  <c r="AS83" i="51"/>
  <c r="AI75" i="32"/>
  <c r="AI81" i="32" s="1"/>
  <c r="AU68" i="32"/>
  <c r="AU75" i="32" s="1"/>
  <c r="AU81" i="32" s="1"/>
  <c r="AI71" i="32"/>
  <c r="X66" i="75"/>
  <c r="AU75" i="51"/>
  <c r="AU81" i="51" s="1"/>
  <c r="AU99" i="60" l="1"/>
  <c r="AU100" i="60" s="1"/>
  <c r="AU83" i="60"/>
  <c r="Z66" i="75"/>
  <c r="AJ66" i="75"/>
  <c r="AL66" i="75" s="1"/>
  <c r="AI77" i="32"/>
  <c r="AU71" i="32"/>
  <c r="AV71" i="32" s="1"/>
  <c r="AS83" i="32"/>
  <c r="AS101" i="32"/>
  <c r="AS102" i="32" s="1"/>
  <c r="X69" i="75"/>
  <c r="AU77" i="51"/>
  <c r="AV77" i="51" s="1"/>
  <c r="AJ83" i="51"/>
  <c r="AJ101" i="51"/>
  <c r="AJ102" i="51" s="1"/>
  <c r="AJ101" i="32"/>
  <c r="AJ102" i="32" s="1"/>
  <c r="AJ83" i="32"/>
  <c r="AN83" i="32"/>
  <c r="AN101" i="32"/>
  <c r="AN102" i="32" s="1"/>
  <c r="AL101" i="32"/>
  <c r="AL102" i="32" s="1"/>
  <c r="AL83" i="32"/>
  <c r="AQ83" i="32"/>
  <c r="AQ101" i="32"/>
  <c r="AQ102" i="32" s="1"/>
  <c r="AP101" i="32"/>
  <c r="AP102" i="32" s="1"/>
  <c r="AP83" i="32"/>
  <c r="AO101" i="32"/>
  <c r="AO102" i="32" s="1"/>
  <c r="AO83" i="32"/>
  <c r="AR83" i="32"/>
  <c r="AR101" i="32"/>
  <c r="AR102" i="32" s="1"/>
  <c r="AM83" i="32"/>
  <c r="AM101" i="32"/>
  <c r="AM102" i="32" s="1"/>
  <c r="AK83" i="32"/>
  <c r="AK101" i="32"/>
  <c r="AK102" i="32" s="1"/>
  <c r="AU101" i="51" l="1"/>
  <c r="AV101" i="51" s="1"/>
  <c r="AU83" i="51"/>
  <c r="AJ69" i="75"/>
  <c r="AL69" i="75" s="1"/>
  <c r="AL99" i="75" s="1"/>
  <c r="Z69" i="75"/>
  <c r="Z99" i="75" s="1"/>
  <c r="AU77" i="32"/>
  <c r="I23" i="43"/>
  <c r="I22" i="43" s="1"/>
  <c r="AU72" i="32"/>
  <c r="AI101" i="32"/>
  <c r="AI102" i="32" s="1"/>
  <c r="AI83" i="32"/>
  <c r="AU101" i="32" l="1"/>
  <c r="AU83" i="32"/>
  <c r="AU102" i="51"/>
  <c r="X99" i="75"/>
  <c r="AJ99" i="75" l="1"/>
  <c r="AK99" i="75" s="1"/>
  <c r="Y99" i="75"/>
  <c r="AU102" i="32"/>
  <c r="I31" i="43"/>
  <c r="I30" i="43" s="1"/>
  <c r="S22" i="65" l="1"/>
  <c r="AF22" i="65" s="1"/>
  <c r="S25" i="65"/>
  <c r="S47" i="65" s="1"/>
  <c r="S75" i="65" s="1"/>
  <c r="S81" i="65" s="1"/>
  <c r="S17" i="32"/>
  <c r="AF17" i="32" s="1"/>
  <c r="AF24" i="32" s="1"/>
  <c r="AF18" i="65"/>
  <c r="S31" i="65" l="1"/>
  <c r="AF28" i="65"/>
  <c r="S28" i="65"/>
  <c r="S50" i="65" s="1"/>
  <c r="S56" i="65" s="1"/>
  <c r="S24" i="32"/>
  <c r="S53" i="65"/>
  <c r="S23" i="65"/>
  <c r="S21" i="32"/>
  <c r="K16" i="75"/>
  <c r="AF23" i="65"/>
  <c r="K20" i="75"/>
  <c r="AF46" i="32"/>
  <c r="AF74" i="32" s="1"/>
  <c r="AF30" i="32"/>
  <c r="AF25" i="65"/>
  <c r="AF50" i="65" l="1"/>
  <c r="AF78" i="65" s="1"/>
  <c r="AF34" i="65"/>
  <c r="S78" i="65"/>
  <c r="S100" i="65" s="1"/>
  <c r="S101" i="65" s="1"/>
  <c r="S34" i="65"/>
  <c r="AF21" i="32"/>
  <c r="S22" i="32"/>
  <c r="S27" i="32"/>
  <c r="Q16" i="75"/>
  <c r="S16" i="75" s="1"/>
  <c r="M16" i="75"/>
  <c r="S46" i="32"/>
  <c r="S30" i="32"/>
  <c r="AF47" i="65"/>
  <c r="AF31" i="65"/>
  <c r="AF52" i="32"/>
  <c r="AF80" i="32"/>
  <c r="M20" i="75"/>
  <c r="M99" i="75" s="1"/>
  <c r="Q20" i="75"/>
  <c r="S20" i="75" s="1"/>
  <c r="S99" i="75" s="1"/>
  <c r="AF56" i="65" l="1"/>
  <c r="S84" i="65"/>
  <c r="S74" i="32"/>
  <c r="S80" i="32" s="1"/>
  <c r="S52" i="32"/>
  <c r="S33" i="32"/>
  <c r="S49" i="32"/>
  <c r="AF22" i="32"/>
  <c r="AF27" i="32"/>
  <c r="F17" i="43"/>
  <c r="F16" i="43" s="1"/>
  <c r="AF100" i="65"/>
  <c r="AF84" i="65"/>
  <c r="I6" i="70" s="1"/>
  <c r="H6" i="70"/>
  <c r="J6" i="70" s="1"/>
  <c r="AF75" i="65"/>
  <c r="AF81" i="65" s="1"/>
  <c r="AF53" i="65"/>
  <c r="AF49" i="32" l="1"/>
  <c r="AF33" i="32"/>
  <c r="S55" i="32"/>
  <c r="S77" i="32"/>
  <c r="AF101" i="65"/>
  <c r="K99" i="75"/>
  <c r="AG101" i="65" l="1"/>
  <c r="AV101" i="65"/>
  <c r="S83" i="32"/>
  <c r="S101" i="32"/>
  <c r="S102" i="32" s="1"/>
  <c r="AF77" i="32"/>
  <c r="AF55" i="32"/>
  <c r="Q99" i="75"/>
  <c r="R99" i="75" s="1"/>
  <c r="L99" i="75"/>
  <c r="AG77" i="32" l="1"/>
  <c r="AV77" i="32"/>
  <c r="AF101" i="32"/>
  <c r="AV101" i="32" s="1"/>
  <c r="AF83" i="32"/>
  <c r="AF102" i="32" l="1"/>
  <c r="AG101" i="3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Mia Vivian</author>
  </authors>
  <commentList>
    <comment ref="B19" authorId="0" shapeId="0" xr:uid="{388AF43E-5BEF-4360-8CB4-738D77460BEF}">
      <text>
        <r>
          <rPr>
            <b/>
            <sz val="9"/>
            <color indexed="81"/>
            <rFont val="Tahoma"/>
            <family val="2"/>
          </rPr>
          <t>Mia Vivian:</t>
        </r>
        <r>
          <rPr>
            <sz val="9"/>
            <color indexed="81"/>
            <rFont val="Tahoma"/>
            <family val="2"/>
          </rPr>
          <t xml:space="preserve">
Internal fulfilment (movement between 3PLs) estimated 30k a month based on current run rate at Oct 25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tc={20A75B1D-5EDC-3C4F-9834-FCF9F792023E}</author>
    <author>tc={89042B5F-4E53-4043-A693-DBD685DF5A8D}</author>
  </authors>
  <commentList>
    <comment ref="N95" authorId="0" shapeId="0" xr:uid="{20A75B1D-5EDC-3C4F-9834-FCF9F792023E}">
      <text>
        <t>[Threaded comment]
Your version of Excel allows you to read this threaded comment; however, any edits to it will get removed if the file is opened in a newer version of Excel. Learn more: https://go.microsoft.com/fwlink/?linkid=870924
Comment:
    Is this happening and realistic? what accounts are these?</t>
      </text>
    </comment>
    <comment ref="R107" authorId="1" shapeId="0" xr:uid="{89042B5F-4E53-4043-A693-DBD685DF5A8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tc={5DE7F17C-149E-F34D-98F3-89935835618D}</author>
    <author>tc={93AC7C20-4DBB-7A4A-B2E4-ADC00B804BB0}</author>
    <author>tc={A4DC5F10-3D76-D148-9303-33FA545186EA}</author>
    <author>tc={9B79C496-240E-3A4D-BC1F-897E61B59F46}</author>
    <author>tc={E9E64354-8467-D240-A417-EE2855C765C9}</author>
    <author>tc={2F5F9F51-490C-AB43-AA0A-C948AEB2356E}</author>
    <author>tc={C084169C-A75C-E148-B36E-B347882547E3}</author>
    <author>tc={E4C63A40-6C2A-3447-9E90-86237EFB59C2}</author>
    <author>tc={A596E135-5682-A745-B6A4-FE957AF86B26}</author>
    <author>tc={0D4A5B25-B433-4140-9D61-706762C187CF}</author>
    <author>tc={9280BFC4-F86A-F647-8CFE-37450D49A869}</author>
  </authors>
  <commentList>
    <comment ref="AC21" authorId="0" shapeId="0" xr:uid="{5DE7F17C-149E-F34D-98F3-89935835618D}">
      <text>
        <t>[Threaded comment]
Your version of Excel allows you to read this threaded comment; however, any edits to it will get removed if the file is opened in a newer version of Excel. Learn more: https://go.microsoft.com/fwlink/?linkid=870924
Comment:
    Gifting = +£180K</t>
      </text>
    </comment>
    <comment ref="AC32" authorId="1" shapeId="0" xr:uid="{93AC7C20-4DBB-7A4A-B2E4-ADC00B804BB0}">
      <text>
        <t>[Threaded comment]
Your version of Excel allows you to read this threaded comment; however, any edits to it will get removed if the file is opened in a newer version of Excel. Learn more: https://go.microsoft.com/fwlink/?linkid=870924
Comment:
    Gifting +£20K</t>
      </text>
    </comment>
    <comment ref="AC34" authorId="2" shapeId="0" xr:uid="{A4DC5F10-3D76-D148-9303-33FA545186EA}">
      <text>
        <t>[Threaded comment]
Your version of Excel allows you to read this threaded comment; however, any edits to it will get removed if the file is opened in a newer version of Excel. Learn more: https://go.microsoft.com/fwlink/?linkid=870924
Comment:
    Gifting = +£10K</t>
      </text>
    </comment>
    <comment ref="AC35" authorId="3" shapeId="0" xr:uid="{9B79C496-240E-3A4D-BC1F-897E61B59F46}">
      <text>
        <t>[Threaded comment]
Your version of Excel allows you to read this threaded comment; however, any edits to it will get removed if the file is opened in a newer version of Excel. Learn more: https://go.microsoft.com/fwlink/?linkid=870924
Comment:
    Gifting = +£10K</t>
      </text>
    </comment>
    <comment ref="AC41" authorId="4" shapeId="0" xr:uid="{E9E64354-8467-D240-A417-EE2855C765C9}">
      <text>
        <t>[Threaded comment]
Your version of Excel allows you to read this threaded comment; however, any edits to it will get removed if the file is opened in a newer version of Excel. Learn more: https://go.microsoft.com/fwlink/?linkid=870924
Comment:
    Gifting +£150K</t>
      </text>
    </comment>
    <comment ref="AC57" authorId="5" shapeId="0" xr:uid="{2F5F9F51-490C-AB43-AA0A-C948AEB2356E}">
      <text>
        <t>[Threaded comment]
Your version of Excel allows you to read this threaded comment; however, any edits to it will get removed if the file is opened in a newer version of Excel. Learn more: https://go.microsoft.com/fwlink/?linkid=870924
Comment:
    Gifting 30K</t>
      </text>
    </comment>
    <comment ref="AC58" authorId="6" shapeId="0" xr:uid="{C084169C-A75C-E148-B36E-B347882547E3}">
      <text>
        <t>[Threaded comment]
Your version of Excel allows you to read this threaded comment; however, any edits to it will get removed if the file is opened in a newer version of Excel. Learn more: https://go.microsoft.com/fwlink/?linkid=870924
Comment:
    Gifting 20K</t>
      </text>
    </comment>
    <comment ref="AC62" authorId="7" shapeId="0" xr:uid="{E4C63A40-6C2A-3447-9E90-86237EFB59C2}">
      <text>
        <t>[Threaded comment]
Your version of Excel allows you to read this threaded comment; however, any edits to it will get removed if the file is opened in a newer version of Excel. Learn more: https://go.microsoft.com/fwlink/?linkid=870924
Comment:
    Gifting 25K</t>
      </text>
    </comment>
    <comment ref="AC64" authorId="8" shapeId="0" xr:uid="{A596E135-5682-A745-B6A4-FE957AF86B26}">
      <text>
        <t>[Threaded comment]
Your version of Excel allows you to read this threaded comment; however, any edits to it will get removed if the file is opened in a newer version of Excel. Learn more: https://go.microsoft.com/fwlink/?linkid=870924
Comment:
    Gifting: £10K</t>
      </text>
    </comment>
    <comment ref="AC69" authorId="9" shapeId="0" xr:uid="{0D4A5B25-B433-4140-9D61-706762C187CF}">
      <text>
        <t>[Threaded comment]
Your version of Excel allows you to read this threaded comment; however, any edits to it will get removed if the file is opened in a newer version of Excel. Learn more: https://go.microsoft.com/fwlink/?linkid=870924
Comment:
    £10K</t>
      </text>
    </comment>
    <comment ref="AC82" authorId="10" shapeId="0" xr:uid="{9280BFC4-F86A-F647-8CFE-37450D49A869}">
      <text>
        <t>[Threaded comment]
Your version of Excel allows you to read this threaded comment; however, any edits to it will get removed if the file is opened in a newer version of Excel. Learn more: https://go.microsoft.com/fwlink/?linkid=870924
Comment:
    Gifting £60K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tc={35C0194C-7F43-4BE5-81D1-8C488AEB09AC}</author>
    <author>Natalie Lenkiewicz</author>
  </authors>
  <commentList>
    <comment ref="F113" authorId="0" shapeId="0" xr:uid="{35C0194C-7F43-4BE5-81D1-8C488AEB09AC}">
      <text>
        <t>[Threaded comment]
Your version of Excel allows you to read this threaded comment; however, any edits to it will get removed if the file is opened in a newer version of Excel. Learn more: https://go.microsoft.com/fwlink/?linkid=870924
Comment:
    124.46</t>
      </text>
    </comment>
    <comment ref="L127" authorId="1" shapeId="0" xr:uid="{03BC90B9-718A-48C7-A048-EA865AE907C8}">
      <text>
        <r>
          <rPr>
            <b/>
            <sz val="9"/>
            <color indexed="81"/>
            <rFont val="Tahoma"/>
            <family val="2"/>
          </rPr>
          <t>Natalie Lenkiewicz:</t>
        </r>
        <r>
          <rPr>
            <sz val="9"/>
            <color indexed="81"/>
            <rFont val="Tahoma"/>
            <family val="2"/>
          </rPr>
          <t xml:space="preserve">
free version now 
Bob hr from Sept
</t>
        </r>
      </text>
    </comment>
    <comment ref="L128" authorId="1" shapeId="0" xr:uid="{1A870194-638B-48A4-B175-8FD736B153B6}">
      <text>
        <r>
          <rPr>
            <b/>
            <sz val="9"/>
            <color indexed="81"/>
            <rFont val="Tahoma"/>
            <family val="2"/>
          </rPr>
          <t>Natalie Lenkiewicz:</t>
        </r>
        <r>
          <rPr>
            <sz val="9"/>
            <color indexed="81"/>
            <rFont val="Tahoma"/>
            <family val="2"/>
          </rPr>
          <t xml:space="preserve">
free version now 
Bob hr from Sept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Mia Vivian</author>
  </authors>
  <commentList>
    <comment ref="B54" authorId="0" shapeId="0" xr:uid="{8CC63337-724B-462D-97C1-D394756A4BD5}">
      <text>
        <r>
          <rPr>
            <b/>
            <sz val="9"/>
            <color indexed="81"/>
            <rFont val="Tahoma"/>
            <family val="2"/>
          </rPr>
          <t>Mia Vivian:</t>
        </r>
        <r>
          <rPr>
            <sz val="9"/>
            <color indexed="81"/>
            <rFont val="Tahoma"/>
            <family val="2"/>
          </rPr>
          <t xml:space="preserve">
New customers/new customers plus new subscribers 
Filtered on SKU</t>
        </r>
      </text>
    </comment>
    <comment ref="B209" authorId="0" shapeId="0" xr:uid="{A7DAA511-5360-443D-B261-1C833877538B}">
      <text>
        <r>
          <rPr>
            <b/>
            <sz val="9"/>
            <color indexed="81"/>
            <rFont val="Tahoma"/>
            <family val="2"/>
          </rPr>
          <t>Mia Vivian:</t>
        </r>
        <r>
          <rPr>
            <sz val="9"/>
            <color indexed="81"/>
            <rFont val="Tahoma"/>
            <family val="2"/>
          </rPr>
          <t xml:space="preserve">
New customers/new customers plus new subscribers 
Filtered on SKU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Mia Vivian</author>
  </authors>
  <commentList>
    <comment ref="B54" authorId="0" shapeId="0" xr:uid="{B43110DB-BB65-4505-943B-E8BD3D5746A5}">
      <text>
        <r>
          <rPr>
            <b/>
            <sz val="9"/>
            <color indexed="81"/>
            <rFont val="Tahoma"/>
            <family val="2"/>
          </rPr>
          <t>Mia Vivian:</t>
        </r>
        <r>
          <rPr>
            <sz val="9"/>
            <color indexed="81"/>
            <rFont val="Tahoma"/>
            <family val="2"/>
          </rPr>
          <t xml:space="preserve">
New customers/new customers plus new subscribers 
Filtered on SKU</t>
        </r>
      </text>
    </comment>
    <comment ref="B209" authorId="0" shapeId="0" xr:uid="{E7F038D1-B33A-4031-8D9A-1EC020ABD881}">
      <text>
        <r>
          <rPr>
            <b/>
            <sz val="9"/>
            <color indexed="81"/>
            <rFont val="Tahoma"/>
            <family val="2"/>
          </rPr>
          <t>Mia Vivian:</t>
        </r>
        <r>
          <rPr>
            <sz val="9"/>
            <color indexed="81"/>
            <rFont val="Tahoma"/>
            <family val="2"/>
          </rPr>
          <t xml:space="preserve">
New customers/new customers plus new subscribers 
Filtered on SKU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Mia Vivian</author>
  </authors>
  <commentList>
    <comment ref="B54" authorId="0" shapeId="0" xr:uid="{A70E2EFB-1D7E-4F1A-8C77-CA190B572343}">
      <text>
        <r>
          <rPr>
            <b/>
            <sz val="9"/>
            <color indexed="81"/>
            <rFont val="Tahoma"/>
            <family val="2"/>
          </rPr>
          <t>Mia Vivian:</t>
        </r>
        <r>
          <rPr>
            <sz val="9"/>
            <color indexed="81"/>
            <rFont val="Tahoma"/>
            <family val="2"/>
          </rPr>
          <t xml:space="preserve">
New customers/new customers plus new subscribers 
Filtered on SKU</t>
        </r>
      </text>
    </comment>
    <comment ref="B209" authorId="0" shapeId="0" xr:uid="{E07E5CB5-FDEB-4FBA-AEB4-0DBCB8995A46}">
      <text>
        <r>
          <rPr>
            <b/>
            <sz val="9"/>
            <color indexed="81"/>
            <rFont val="Tahoma"/>
            <family val="2"/>
          </rPr>
          <t>Mia Vivian:</t>
        </r>
        <r>
          <rPr>
            <sz val="9"/>
            <color indexed="81"/>
            <rFont val="Tahoma"/>
            <family val="2"/>
          </rPr>
          <t xml:space="preserve">
New customers/new customers plus new subscribers 
Filtered on SKU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Mia Vivian</author>
  </authors>
  <commentList>
    <comment ref="B54" authorId="0" shapeId="0" xr:uid="{56AF052C-5F4E-414E-B212-13FF8310D8C3}">
      <text>
        <r>
          <rPr>
            <b/>
            <sz val="9"/>
            <color indexed="81"/>
            <rFont val="Tahoma"/>
            <family val="2"/>
          </rPr>
          <t>Mia Vivian:</t>
        </r>
        <r>
          <rPr>
            <sz val="9"/>
            <color indexed="81"/>
            <rFont val="Tahoma"/>
            <family val="2"/>
          </rPr>
          <t xml:space="preserve">
New customers/new customers plus new subscribers 
Filtered on SKU</t>
        </r>
      </text>
    </comment>
    <comment ref="B209" authorId="0" shapeId="0" xr:uid="{1DC40DA2-AA5A-48AD-8DCD-35345B1BA7AF}">
      <text>
        <r>
          <rPr>
            <b/>
            <sz val="9"/>
            <color indexed="81"/>
            <rFont val="Tahoma"/>
            <family val="2"/>
          </rPr>
          <t>Mia Vivian:</t>
        </r>
        <r>
          <rPr>
            <sz val="9"/>
            <color indexed="81"/>
            <rFont val="Tahoma"/>
            <family val="2"/>
          </rPr>
          <t xml:space="preserve">
New customers/new customers plus new subscribers 
Filtered on SKU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Mia Vivian</author>
  </authors>
  <commentList>
    <comment ref="B54" authorId="0" shapeId="0" xr:uid="{9057C47E-37D9-46CE-A455-E8340659E4BF}">
      <text>
        <r>
          <rPr>
            <b/>
            <sz val="9"/>
            <color indexed="81"/>
            <rFont val="Tahoma"/>
            <family val="2"/>
          </rPr>
          <t>Mia Vivian:</t>
        </r>
        <r>
          <rPr>
            <sz val="9"/>
            <color indexed="81"/>
            <rFont val="Tahoma"/>
            <family val="2"/>
          </rPr>
          <t xml:space="preserve">
New customers/new customers plus new subscribers 
Filtered on SKU</t>
        </r>
      </text>
    </comment>
    <comment ref="B209" authorId="0" shapeId="0" xr:uid="{E107C6FF-AEAD-4A0D-BF3C-B1237A0D1ED5}">
      <text>
        <r>
          <rPr>
            <b/>
            <sz val="9"/>
            <color indexed="81"/>
            <rFont val="Tahoma"/>
            <family val="2"/>
          </rPr>
          <t>Mia Vivian:</t>
        </r>
        <r>
          <rPr>
            <sz val="9"/>
            <color indexed="81"/>
            <rFont val="Tahoma"/>
            <family val="2"/>
          </rPr>
          <t xml:space="preserve">
New customers/new customers plus new subscribers 
Filtered on SKU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Mia Vivian</author>
  </authors>
  <commentList>
    <comment ref="B54" authorId="0" shapeId="0" xr:uid="{C7CC5F30-1572-48D8-AD16-EE97D30E2C85}">
      <text>
        <r>
          <rPr>
            <b/>
            <sz val="9"/>
            <color indexed="81"/>
            <rFont val="Tahoma"/>
            <family val="2"/>
          </rPr>
          <t>Mia Vivian:</t>
        </r>
        <r>
          <rPr>
            <sz val="9"/>
            <color indexed="81"/>
            <rFont val="Tahoma"/>
            <family val="2"/>
          </rPr>
          <t xml:space="preserve">
New customers/new customers plus new subscribers 
Filtered on SKU</t>
        </r>
      </text>
    </comment>
    <comment ref="B209" authorId="0" shapeId="0" xr:uid="{B3F23336-3DA5-4501-B7AC-0517A9CAE52D}">
      <text>
        <r>
          <rPr>
            <b/>
            <sz val="9"/>
            <color indexed="81"/>
            <rFont val="Tahoma"/>
            <family val="2"/>
          </rPr>
          <t>Mia Vivian:</t>
        </r>
        <r>
          <rPr>
            <sz val="9"/>
            <color indexed="81"/>
            <rFont val="Tahoma"/>
            <family val="2"/>
          </rPr>
          <t xml:space="preserve">
New customers/new customers plus new subscribers 
Filtered on SKU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Mia Vivian</author>
  </authors>
  <commentList>
    <comment ref="B54" authorId="0" shapeId="0" xr:uid="{B33295C1-0756-4D1D-9A37-921836EDB467}">
      <text>
        <r>
          <rPr>
            <b/>
            <sz val="9"/>
            <color indexed="81"/>
            <rFont val="Tahoma"/>
            <family val="2"/>
          </rPr>
          <t>Mia Vivian:</t>
        </r>
        <r>
          <rPr>
            <sz val="9"/>
            <color indexed="81"/>
            <rFont val="Tahoma"/>
            <family val="2"/>
          </rPr>
          <t xml:space="preserve">
New customers/new customers plus new subscribers 
Filtered on SKU</t>
        </r>
      </text>
    </comment>
    <comment ref="B209" authorId="0" shapeId="0" xr:uid="{B358DB20-6ECE-42CD-BBC9-03E68A770407}">
      <text>
        <r>
          <rPr>
            <b/>
            <sz val="9"/>
            <color indexed="81"/>
            <rFont val="Tahoma"/>
            <family val="2"/>
          </rPr>
          <t>Mia Vivian:</t>
        </r>
        <r>
          <rPr>
            <sz val="9"/>
            <color indexed="81"/>
            <rFont val="Tahoma"/>
            <family val="2"/>
          </rPr>
          <t xml:space="preserve">
New customers/new customers plus new subscribers 
Filtered on SKU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Mia Vivian</author>
  </authors>
  <commentList>
    <comment ref="B54" authorId="0" shapeId="0" xr:uid="{B9AE9D56-39BE-452D-8540-7856DF289B31}">
      <text>
        <r>
          <rPr>
            <b/>
            <sz val="9"/>
            <color indexed="81"/>
            <rFont val="Tahoma"/>
            <family val="2"/>
          </rPr>
          <t>Mia Vivian:</t>
        </r>
        <r>
          <rPr>
            <sz val="9"/>
            <color indexed="81"/>
            <rFont val="Tahoma"/>
            <family val="2"/>
          </rPr>
          <t xml:space="preserve">
New customers/new customers plus new subscribers 
Filtered on SKU</t>
        </r>
      </text>
    </comment>
    <comment ref="B209" authorId="0" shapeId="0" xr:uid="{A5EEA4AF-D84A-455F-AAAE-42300FBD3B09}">
      <text>
        <r>
          <rPr>
            <b/>
            <sz val="9"/>
            <color indexed="81"/>
            <rFont val="Tahoma"/>
            <family val="2"/>
          </rPr>
          <t>Mia Vivian:</t>
        </r>
        <r>
          <rPr>
            <sz val="9"/>
            <color indexed="81"/>
            <rFont val="Tahoma"/>
            <family val="2"/>
          </rPr>
          <t xml:space="preserve">
New customers/new customers plus new subscribers 
Filtered on SKU</t>
        </r>
      </text>
    </comment>
  </commentList>
</comments>
</file>

<file path=xl/sharedStrings.xml><?xml version="1.0" encoding="utf-8"?>
<sst xmlns="http://schemas.openxmlformats.org/spreadsheetml/2006/main" count="14336" uniqueCount="932">
  <si>
    <t xml:space="preserve">To do </t>
  </si>
  <si>
    <t>PENDING</t>
  </si>
  <si>
    <t>Sensitivity/Scenario page</t>
  </si>
  <si>
    <t>Flip churn rate into Retention rate - Anwar to share the steep link.</t>
  </si>
  <si>
    <t>Anwar previous build notes - completed</t>
  </si>
  <si>
    <t>DONE</t>
  </si>
  <si>
    <t>Usability idea - autofeed all overheads onto one page so month end recs become faster</t>
  </si>
  <si>
    <t>IT &amp; ES - split out</t>
  </si>
  <si>
    <t>Build a traffic % YoY change row in the D2C Model tabs</t>
  </si>
  <si>
    <t>KPIs</t>
  </si>
  <si>
    <t>Total number of subscriber base</t>
  </si>
  <si>
    <t>Total number of new customers</t>
  </si>
  <si>
    <t>Need to think how we view in territory &amp; function on same workflow</t>
  </si>
  <si>
    <t>Need P&amp;L Grouping (all functions) into EE, CE, UK and OTHER</t>
  </si>
  <si>
    <t>For fulfilment I would look at just using % assumptions on revenue same with COGs for CM1 but here is some revenue and overhead information that may help.</t>
  </si>
  <si>
    <t>B2B: Follow same phasing as this year </t>
  </si>
  <si>
    <t>Year 25/26 - £9.2m Minimal NPD - Growing what we have with some NPD -15% YOY</t>
  </si>
  <si>
    <t>Year 26/27 - 30% growth - £11.9m - New NPD and retail strategy in motion</t>
  </si>
  <si>
    <t>Year  27/28 - 30% Growth YOY - £15.5m</t>
  </si>
  <si>
    <r>
      <t>Amazon: Follow same </t>
    </r>
    <r>
      <rPr>
        <b/>
        <sz val="10"/>
        <color rgb="FF242424"/>
        <rFont val="Segoe UI"/>
        <family val="2"/>
      </rPr>
      <t>phasing</t>
    </r>
    <r>
      <rPr>
        <b/>
        <sz val="10"/>
        <color rgb="FF242424"/>
        <rFont val="Inherit"/>
      </rPr>
      <t> as this year </t>
    </r>
  </si>
  <si>
    <t>Year 25/26 - £3.5m - 15% Growth </t>
  </si>
  <si>
    <t>Year 26/27 - 30% growth - £4.55m - New NPD</t>
  </si>
  <si>
    <t>Year  27/28 - 30% Growth YOY - £5.9m </t>
  </si>
  <si>
    <r>
      <t>DTC - </t>
    </r>
    <r>
      <rPr>
        <sz val="10"/>
        <color rgb="FF242424"/>
        <rFont val="Inherit"/>
      </rPr>
      <t>Will use </t>
    </r>
    <r>
      <rPr>
        <sz val="10"/>
        <color rgb="FF242424"/>
        <rFont val="Segoe UI"/>
        <family val="2"/>
      </rPr>
      <t>new</t>
    </r>
    <r>
      <rPr>
        <sz val="10"/>
        <color rgb="FF242424"/>
        <rFont val="Inherit"/>
      </rPr>
      <t> DTC Model</t>
    </r>
  </si>
  <si>
    <t>Overhead assumptions</t>
  </si>
  <si>
    <t>This year forecast is: £4.1m</t>
  </si>
  <si>
    <t> Year 25/26 - £4.8m</t>
  </si>
  <si>
    <t>Year 26/27 - £6m</t>
  </si>
  <si>
    <t>Year  27/28 - £7m</t>
  </si>
  <si>
    <t>Mainly driven by staff, office and relative increase to other overhead. </t>
  </si>
  <si>
    <t>KPI Tracker</t>
  </si>
  <si>
    <t>KPI</t>
  </si>
  <si>
    <t>Data source</t>
  </si>
  <si>
    <t>https://web.steep.app/iJCBj22SsI2B/metrics/LM86etumQc29?chart=bar&amp;from=2025-02-01&amp;grain=auto&amp;period=custom&amp;tab=explore&amp;to=2025-08-31</t>
  </si>
  <si>
    <t>of which adv+</t>
  </si>
  <si>
    <t>https://web.steep.app/iJCBj22SsI2B/metrics/LM86etumQc29?chart=bar&amp;dim-8-kWIW2rwbcz=10-HB_PREMVIT&amp;from=2025-02-01&amp;grain=auto&amp;period=custom&amp;tab=explore&amp;to=2025-08-31</t>
  </si>
  <si>
    <t>https://web.steep.app/iJCBj22SsI2B/metrics/GOLeJLLE_shJ?chart=bar&amp;from=2025-02-01&amp;grain=auto&amp;period=custom&amp;tab=explore&amp;to=2025-08-31</t>
  </si>
  <si>
    <t>Operating model</t>
  </si>
  <si>
    <t>FY25/26</t>
  </si>
  <si>
    <t>FY26/27</t>
  </si>
  <si>
    <t>FY27/28</t>
  </si>
  <si>
    <t xml:space="preserve">Ideal </t>
  </si>
  <si>
    <t>Forecast</t>
  </si>
  <si>
    <t>Sales</t>
  </si>
  <si>
    <t>COGS%</t>
  </si>
  <si>
    <t>COGS£</t>
  </si>
  <si>
    <t>Ops &amp; Fulfilment %</t>
  </si>
  <si>
    <t>Ops &amp; Fulfilment £</t>
  </si>
  <si>
    <t>Marketing %</t>
  </si>
  <si>
    <t>Marketing £</t>
  </si>
  <si>
    <t>Overhead %</t>
  </si>
  <si>
    <t>Of which people</t>
  </si>
  <si>
    <t>Overhead £</t>
  </si>
  <si>
    <t>Of which people £</t>
  </si>
  <si>
    <t>EBITDA %</t>
  </si>
  <si>
    <t>EBITDA £M</t>
  </si>
  <si>
    <t>Territory</t>
  </si>
  <si>
    <t>Revenue FY25/26</t>
  </si>
  <si>
    <t>Revenue FY26/27</t>
  </si>
  <si>
    <t>YoY %</t>
  </si>
  <si>
    <t>CM3 FY25/26</t>
  </si>
  <si>
    <t>CM3% FY25/26</t>
  </si>
  <si>
    <t>CM3 FY26/27</t>
  </si>
  <si>
    <t>CM3% FY26/27</t>
  </si>
  <si>
    <t>UK</t>
  </si>
  <si>
    <t>CE</t>
  </si>
  <si>
    <t>EE</t>
  </si>
  <si>
    <t>ROW</t>
  </si>
  <si>
    <t>HU</t>
  </si>
  <si>
    <t>IT</t>
  </si>
  <si>
    <t>SK</t>
  </si>
  <si>
    <t>CZ</t>
  </si>
  <si>
    <t>RO</t>
  </si>
  <si>
    <t>ES</t>
  </si>
  <si>
    <t>P&amp;L Scenario Planner</t>
  </si>
  <si>
    <t>FY27</t>
  </si>
  <si>
    <t xml:space="preserve">FY28 </t>
  </si>
  <si>
    <t xml:space="preserve">Non Rev </t>
  </si>
  <si>
    <t>Combined</t>
  </si>
  <si>
    <t>Change</t>
  </si>
  <si>
    <t>New</t>
  </si>
  <si>
    <t>FY28</t>
  </si>
  <si>
    <t>Revenue</t>
  </si>
  <si>
    <t>DTC Revenue</t>
  </si>
  <si>
    <t>B2B Revenue</t>
  </si>
  <si>
    <t>Marketplace Revenue</t>
  </si>
  <si>
    <t>TikTok Revenue</t>
  </si>
  <si>
    <t>Total Revenue</t>
  </si>
  <si>
    <t>Cost of Goods Sold (CoGS)</t>
  </si>
  <si>
    <t>DTC CoGS</t>
  </si>
  <si>
    <t>B2B CoGS</t>
  </si>
  <si>
    <t>Marketplace CoGS</t>
  </si>
  <si>
    <t>TikTok CoGS</t>
  </si>
  <si>
    <t>Total CoGS</t>
  </si>
  <si>
    <t>DTC CM1</t>
  </si>
  <si>
    <t>B2B CM1</t>
  </si>
  <si>
    <t>Marketplace CM1</t>
  </si>
  <si>
    <t>TikTok CM1</t>
  </si>
  <si>
    <t>Total CM1</t>
  </si>
  <si>
    <t>DTC CM1%</t>
  </si>
  <si>
    <t>B2B CM1%</t>
  </si>
  <si>
    <t>Marketplace CM1%</t>
  </si>
  <si>
    <t>TikTok CM1%</t>
  </si>
  <si>
    <t>Total CM1%</t>
  </si>
  <si>
    <t>Fulfilment</t>
  </si>
  <si>
    <t>Central</t>
  </si>
  <si>
    <t>DTC Fulfilment</t>
  </si>
  <si>
    <t>B2B Fulfilment</t>
  </si>
  <si>
    <t>Marketplace Fulfilment</t>
  </si>
  <si>
    <t>TikTok Fulfilment</t>
  </si>
  <si>
    <t>Total Fulfilment</t>
  </si>
  <si>
    <t>DTC CM2</t>
  </si>
  <si>
    <t>B2B CM2</t>
  </si>
  <si>
    <t>Marketplace CM2</t>
  </si>
  <si>
    <t>TikTok CM2</t>
  </si>
  <si>
    <t>Total CM2</t>
  </si>
  <si>
    <t>DTC CM2%</t>
  </si>
  <si>
    <t>B2B CM2%</t>
  </si>
  <si>
    <t>Marketplace CM2%</t>
  </si>
  <si>
    <t>TikTok CM2%</t>
  </si>
  <si>
    <t>Total CM2%</t>
  </si>
  <si>
    <t>Marketing</t>
  </si>
  <si>
    <t>D2C Model Marketing</t>
  </si>
  <si>
    <t>D2C Model Brand</t>
  </si>
  <si>
    <t>Influencers</t>
  </si>
  <si>
    <t>PPC</t>
  </si>
  <si>
    <t>Paid Social</t>
  </si>
  <si>
    <t>Retail Partnerships</t>
  </si>
  <si>
    <t>Retros</t>
  </si>
  <si>
    <t>Trade Shows</t>
  </si>
  <si>
    <t>Marketplace Marketing</t>
  </si>
  <si>
    <t>TikTok Marketing</t>
  </si>
  <si>
    <t>Total Marketing</t>
  </si>
  <si>
    <t>DTC CM3</t>
  </si>
  <si>
    <t>B2B CM3</t>
  </si>
  <si>
    <t>Marketplace CM3</t>
  </si>
  <si>
    <t>TikTok CM3</t>
  </si>
  <si>
    <t>Total CM3</t>
  </si>
  <si>
    <t>DTC CM3%</t>
  </si>
  <si>
    <t>B2B CM3%</t>
  </si>
  <si>
    <t>Marketplace CM3%</t>
  </si>
  <si>
    <t>TikTok CM3%</t>
  </si>
  <si>
    <t>Total CM3%</t>
  </si>
  <si>
    <t>Other Overheads</t>
  </si>
  <si>
    <t>Staff Costs</t>
  </si>
  <si>
    <t>Freelancers</t>
  </si>
  <si>
    <t>Consultancy</t>
  </si>
  <si>
    <t>Software</t>
  </si>
  <si>
    <t>Telephone &amp; Computer</t>
  </si>
  <si>
    <t>Insurance</t>
  </si>
  <si>
    <t>Office Costs</t>
  </si>
  <si>
    <t>Travel &amp; Entertainment</t>
  </si>
  <si>
    <t>Total Other Overheads</t>
  </si>
  <si>
    <t>EBITDA</t>
  </si>
  <si>
    <t>YoY Comp</t>
  </si>
  <si>
    <t>FY26 (Current Year)</t>
  </si>
  <si>
    <t>YoY Comparison 26/27</t>
  </si>
  <si>
    <t>YoY Comparison 27/28</t>
  </si>
  <si>
    <t>FY27 Stretch</t>
  </si>
  <si>
    <t>YoY Comparison 26/27 Stretch</t>
  </si>
  <si>
    <t>FY28 Stretch</t>
  </si>
  <si>
    <t>YoY Comparison 27/28 Stretch</t>
  </si>
  <si>
    <t>Non Rev</t>
  </si>
  <si>
    <t> </t>
  </si>
  <si>
    <t xml:space="preserve">               -  </t>
  </si>
  <si>
    <t>Fulfilment % Rev</t>
  </si>
  <si>
    <t>Promo Funding</t>
  </si>
  <si>
    <t>Market % of Rev</t>
  </si>
  <si>
    <t>Other Revenue</t>
  </si>
  <si>
    <t>Sales % for overheads</t>
  </si>
  <si>
    <t>Total D2C Marketing</t>
  </si>
  <si>
    <t>Total B2B Marketing</t>
  </si>
  <si>
    <t>Total Amazon Marketing</t>
  </si>
  <si>
    <t>Combined P&amp;L</t>
  </si>
  <si>
    <t>FY26</t>
  </si>
  <si>
    <t>Q1</t>
  </si>
  <si>
    <t>Q2</t>
  </si>
  <si>
    <t>Q3</t>
  </si>
  <si>
    <t>Q4</t>
  </si>
  <si>
    <t>YoY Growth %</t>
  </si>
  <si>
    <t>Actual</t>
  </si>
  <si>
    <t>Other Income</t>
  </si>
  <si>
    <t xml:space="preserve"> -    </t>
  </si>
  <si>
    <t xml:space="preserve">  -    </t>
  </si>
  <si>
    <t xml:space="preserve"> -   </t>
  </si>
  <si>
    <t>Exhibitions</t>
  </si>
  <si>
    <t>EBITDA%</t>
  </si>
  <si>
    <t>UK P&amp;L</t>
  </si>
  <si>
    <t>Other income</t>
  </si>
  <si>
    <t>CE P&amp;L</t>
  </si>
  <si>
    <t>EE P&amp;L</t>
  </si>
  <si>
    <t>ROW P&amp;L</t>
  </si>
  <si>
    <t>Non Rev Generating P&amp;L</t>
  </si>
  <si>
    <t>D2C COGS</t>
  </si>
  <si>
    <t>B2B COGS</t>
  </si>
  <si>
    <t>Affiliates</t>
  </si>
  <si>
    <t>Brand</t>
  </si>
  <si>
    <t>Exceptional Costs</t>
  </si>
  <si>
    <t>CAPEX</t>
  </si>
  <si>
    <t>ES P&amp;L</t>
  </si>
  <si>
    <t>DE P&amp;L</t>
  </si>
  <si>
    <t>IT P&amp;L</t>
  </si>
  <si>
    <t>RO P&amp;L</t>
  </si>
  <si>
    <t>CZ P&amp;L</t>
  </si>
  <si>
    <t>HU P&amp;L</t>
  </si>
  <si>
    <t>SK P&amp;L</t>
  </si>
  <si>
    <t>Months</t>
  </si>
  <si>
    <t>Total</t>
  </si>
  <si>
    <t>.</t>
  </si>
  <si>
    <t>Total O/Hs</t>
  </si>
  <si>
    <t>Revenue by territory</t>
  </si>
  <si>
    <t>Non Rev P&amp;L</t>
  </si>
  <si>
    <t>*allocate to grouped (CE, EE etc) then can allocate from there into regions (HU, SK etc) and allow for other/central EE</t>
  </si>
  <si>
    <t>% splits as above</t>
  </si>
  <si>
    <t>Total (Check)</t>
  </si>
  <si>
    <t>% chosen allocation</t>
  </si>
  <si>
    <t>into £</t>
  </si>
  <si>
    <t>Customer Name</t>
  </si>
  <si>
    <t>Country</t>
  </si>
  <si>
    <t>Country Group</t>
  </si>
  <si>
    <t>Customer Margin</t>
  </si>
  <si>
    <t>Last Year FY25 Revenue</t>
  </si>
  <si>
    <t>FY26 Revised Total</t>
  </si>
  <si>
    <t>FY26 Orig Budget</t>
  </si>
  <si>
    <t>FY27 Total</t>
  </si>
  <si>
    <t>FY28 Total</t>
  </si>
  <si>
    <t>AB Pharma s.a.l</t>
  </si>
  <si>
    <t>Lebanon</t>
  </si>
  <si>
    <t>Altafawul Aljaidah For Cosmetic Company</t>
  </si>
  <si>
    <t>Libia</t>
  </si>
  <si>
    <t>American Brands Beauty</t>
  </si>
  <si>
    <t>Morocco</t>
  </si>
  <si>
    <t>Anywell</t>
  </si>
  <si>
    <t>Ukraine</t>
  </si>
  <si>
    <t>Asos.com</t>
  </si>
  <si>
    <t>baslerbeauty GmbH &amp; Co. KG</t>
  </si>
  <si>
    <t>Germany</t>
  </si>
  <si>
    <t>Bayadiq Alalim For General Trading And Contracting Ltd</t>
  </si>
  <si>
    <t>Iraq</t>
  </si>
  <si>
    <t>Beauty Bay Ltd</t>
  </si>
  <si>
    <t>Beauty Products</t>
  </si>
  <si>
    <t>Betime Marketing Pte Ltd</t>
  </si>
  <si>
    <t>Singapore</t>
  </si>
  <si>
    <t>Bio Labs</t>
  </si>
  <si>
    <t>Blivakker AS</t>
  </si>
  <si>
    <t>Norway</t>
  </si>
  <si>
    <t>Bono B.V</t>
  </si>
  <si>
    <t>Netherlands</t>
  </si>
  <si>
    <t>Boots</t>
  </si>
  <si>
    <t>Brandsdal Group AS</t>
  </si>
  <si>
    <t>Care To Beauty LDA</t>
  </si>
  <si>
    <t>Portugal</t>
  </si>
  <si>
    <t>Chris &amp; Sons LTD</t>
  </si>
  <si>
    <t>Cocopanda.de GmbH</t>
  </si>
  <si>
    <t>Cosibella</t>
  </si>
  <si>
    <t>Poland</t>
  </si>
  <si>
    <t>CU2</t>
  </si>
  <si>
    <t>Iceland</t>
  </si>
  <si>
    <t>Dietimport SA</t>
  </si>
  <si>
    <t>DM Bulgaria</t>
  </si>
  <si>
    <t>Bulgaria</t>
  </si>
  <si>
    <t>Douglas Bulgaria</t>
  </si>
  <si>
    <t>Douglas Italia spa</t>
  </si>
  <si>
    <t>Italy</t>
  </si>
  <si>
    <t>Druni SA</t>
  </si>
  <si>
    <t>Spain</t>
  </si>
  <si>
    <t>Eat Routes</t>
  </si>
  <si>
    <t>UAE</t>
  </si>
  <si>
    <t>Face the Future</t>
  </si>
  <si>
    <t>Feel Unique International Ltd t/a Sephora UK</t>
  </si>
  <si>
    <t>GBTech</t>
  </si>
  <si>
    <t>Gem Import &amp; Export &amp; Commercial Agencies</t>
  </si>
  <si>
    <t>Eqypt</t>
  </si>
  <si>
    <t>Grossbyt s.r.o</t>
  </si>
  <si>
    <t>Slovakia</t>
  </si>
  <si>
    <t>Hair &amp; Beauty Cash &amp; Carry SL</t>
  </si>
  <si>
    <t>HAIR INDUSTRY s.r.l. - Socio Unico</t>
  </si>
  <si>
    <t>Holland &amp; Barrett</t>
  </si>
  <si>
    <t>Ibrush Ltd</t>
  </si>
  <si>
    <t>Individual Entrepreneur MINIM</t>
  </si>
  <si>
    <t>Russia</t>
  </si>
  <si>
    <t>International Medical Company IMC</t>
  </si>
  <si>
    <t>Qatar</t>
  </si>
  <si>
    <t>JD Williams &amp; Co Ltd</t>
  </si>
  <si>
    <t>JHF Ltd</t>
  </si>
  <si>
    <t>Knuspr</t>
  </si>
  <si>
    <t>KRISSHOP PTE LTD</t>
  </si>
  <si>
    <t>Singpaore</t>
  </si>
  <si>
    <t>La MakeUp Spzoo</t>
  </si>
  <si>
    <t>LTD SATURNI</t>
  </si>
  <si>
    <t>Georgia</t>
  </si>
  <si>
    <t>Mass Global Company</t>
  </si>
  <si>
    <t>Romania</t>
  </si>
  <si>
    <t>Miastoto Ltd</t>
  </si>
  <si>
    <t>MOHAMMAD AMROLLAH FATAH COSMETICSS TRADING LLC</t>
  </si>
  <si>
    <t>Iran</t>
  </si>
  <si>
    <t>MSC Cruises S.A</t>
  </si>
  <si>
    <t>Namshi General Trading LLC</t>
  </si>
  <si>
    <t>Natural Beauty Middle East Trading Company</t>
  </si>
  <si>
    <t>Saudi</t>
  </si>
  <si>
    <t>Next Beauty Limited</t>
  </si>
  <si>
    <t>Notino SRO</t>
  </si>
  <si>
    <t>Nysaa Beauty LLC</t>
  </si>
  <si>
    <t>Oliver Bonas</t>
  </si>
  <si>
    <t>Oz Hair and Beauty</t>
  </si>
  <si>
    <t>Australia</t>
  </si>
  <si>
    <t>Pattern MENA</t>
  </si>
  <si>
    <t>Pinalli S.R.L Unipersonale</t>
  </si>
  <si>
    <t>PrettyLittleThing</t>
  </si>
  <si>
    <t>Purish GMBH</t>
  </si>
  <si>
    <t>Remin Kft</t>
  </si>
  <si>
    <t>Hungary</t>
  </si>
  <si>
    <t>Retail Bros AB</t>
  </si>
  <si>
    <t>Sweden</t>
  </si>
  <si>
    <t>Richdomar Ltd T/A Justmylook</t>
  </si>
  <si>
    <t>Royal London Import Export Corporation</t>
  </si>
  <si>
    <t>Salons Direct</t>
  </si>
  <si>
    <t>SAS BEAUTE PRIVEE</t>
  </si>
  <si>
    <t>Scentsational</t>
  </si>
  <si>
    <t>SCI Milliemeter</t>
  </si>
  <si>
    <t>France</t>
  </si>
  <si>
    <t>Seine OU</t>
  </si>
  <si>
    <t>Estonia</t>
  </si>
  <si>
    <t>Skafte Consulting</t>
  </si>
  <si>
    <t>Switzerland</t>
  </si>
  <si>
    <t>SNAPAHOLICSHOP.COM</t>
  </si>
  <si>
    <t>Solvent ČR s.r.o.</t>
  </si>
  <si>
    <t>Czech</t>
  </si>
  <si>
    <t>SubFoods Co Ltd</t>
  </si>
  <si>
    <t>South Korea</t>
  </si>
  <si>
    <t>Superdrug</t>
  </si>
  <si>
    <t>THE REAL CAMERA COMPANY LTD</t>
  </si>
  <si>
    <t>THG</t>
  </si>
  <si>
    <t>Tradegate To Europe S.L</t>
  </si>
  <si>
    <t>UAB BEAUTY STORE</t>
  </si>
  <si>
    <t>Lithuania</t>
  </si>
  <si>
    <t>UFK Trading LTD</t>
  </si>
  <si>
    <t>Ulemi Grease LLC</t>
  </si>
  <si>
    <t>Mongolia</t>
  </si>
  <si>
    <t>Una Health Ltd T/A Femme Health</t>
  </si>
  <si>
    <t>Valoris Kft</t>
  </si>
  <si>
    <t>Waveson FZC</t>
  </si>
  <si>
    <t>Weacos</t>
  </si>
  <si>
    <t>WH Smith</t>
  </si>
  <si>
    <t>Wlat Cosmetic</t>
  </si>
  <si>
    <t>Sub Total</t>
  </si>
  <si>
    <t>Primor</t>
  </si>
  <si>
    <t>similar phasing to druni</t>
  </si>
  <si>
    <t>Turxon</t>
  </si>
  <si>
    <t>Kaufland</t>
  </si>
  <si>
    <t>Rebro (Kruidvat)</t>
  </si>
  <si>
    <t>New Business Others ( DM Czech, Vivantis Czech, Saudi, Oman, Iraq, Watsons UAE, Chalhoub UAE, Jordan, Lebanon, De La Uz and some more)</t>
  </si>
  <si>
    <t>Rest</t>
  </si>
  <si>
    <t>Other Accounts</t>
  </si>
  <si>
    <t>Grand Total</t>
  </si>
  <si>
    <t>Grouped rev by country group below;</t>
  </si>
  <si>
    <t>New Business %</t>
  </si>
  <si>
    <t>FoC</t>
  </si>
  <si>
    <t>revised Druni retro - every other month - 2for 1 - JulyNov (invoiced following month  £60k balance)</t>
  </si>
  <si>
    <t>Approx 10% of revenue if hit 180000</t>
  </si>
  <si>
    <t>Druni</t>
  </si>
  <si>
    <t>Mass Global</t>
  </si>
  <si>
    <t>Grossbyt</t>
  </si>
  <si>
    <t>Valoris</t>
  </si>
  <si>
    <t>Lisbon</t>
  </si>
  <si>
    <t>Barcelona</t>
  </si>
  <si>
    <t>Dubai</t>
  </si>
  <si>
    <t>Check suppliers etc</t>
  </si>
  <si>
    <t>ECRM</t>
  </si>
  <si>
    <t>Cosmoprof</t>
  </si>
  <si>
    <t>Vitafood</t>
  </si>
  <si>
    <t>Messe Frankfurt</t>
  </si>
  <si>
    <t>People</t>
  </si>
  <si>
    <t>Carlos</t>
  </si>
  <si>
    <t>AN Other</t>
  </si>
  <si>
    <t>Retro</t>
  </si>
  <si>
    <t>Holland &amp; Barrett @ 33%</t>
  </si>
  <si>
    <t>Boots @ 24%</t>
  </si>
  <si>
    <t>THG @ 18%</t>
  </si>
  <si>
    <t>Superdrug @ 23%</t>
  </si>
  <si>
    <t>Retail Partnerships/Fixed marketing Investment</t>
  </si>
  <si>
    <t>Holland &amp; Barrett @ 2%</t>
  </si>
  <si>
    <t>Boots @ 13%</t>
  </si>
  <si>
    <t>THG @ 14%</t>
  </si>
  <si>
    <t>Superdrug @ 7%</t>
  </si>
  <si>
    <t>Sub Total - High Level Revenue</t>
  </si>
  <si>
    <t xml:space="preserve">UK Flat </t>
  </si>
  <si>
    <t>CE 10% down YoY</t>
  </si>
  <si>
    <t>EE 20% up</t>
  </si>
  <si>
    <t>ROW Flat</t>
  </si>
  <si>
    <t>Tab</t>
  </si>
  <si>
    <t>Channel</t>
  </si>
  <si>
    <t>Channel_PT</t>
  </si>
  <si>
    <t>Category</t>
  </si>
  <si>
    <t>DTC</t>
  </si>
  <si>
    <t>B2B</t>
  </si>
  <si>
    <t>Amazon</t>
  </si>
  <si>
    <t>Other</t>
  </si>
  <si>
    <t>Czech Republic</t>
  </si>
  <si>
    <t>Other ROW</t>
  </si>
  <si>
    <t>Other EU</t>
  </si>
  <si>
    <t>United States</t>
  </si>
  <si>
    <t>Justmylook</t>
  </si>
  <si>
    <t>Face The Future</t>
  </si>
  <si>
    <t>ASOS</t>
  </si>
  <si>
    <t>ASOS.com</t>
  </si>
  <si>
    <t>Druni sa</t>
  </si>
  <si>
    <t>Grossbyt Distributor</t>
  </si>
  <si>
    <t>Mass Global Distributor</t>
  </si>
  <si>
    <t>Notino</t>
  </si>
  <si>
    <t>Notino sro</t>
  </si>
  <si>
    <t>Pinalli</t>
  </si>
  <si>
    <t>Teta</t>
  </si>
  <si>
    <t>Kruidvat</t>
  </si>
  <si>
    <t>YoY Growth</t>
  </si>
  <si>
    <t>Libiya</t>
  </si>
  <si>
    <t>Beautynet (Hong Kong) Ltd</t>
  </si>
  <si>
    <t>Hong Kong</t>
  </si>
  <si>
    <t>Notino SRO CZ</t>
  </si>
  <si>
    <t>Rozha Group</t>
  </si>
  <si>
    <t>New Business</t>
  </si>
  <si>
    <t>John Lewis</t>
  </si>
  <si>
    <t>Harrods</t>
  </si>
  <si>
    <t>PromaFarma</t>
  </si>
  <si>
    <t>Retailer 1</t>
  </si>
  <si>
    <t>Retailer 2</t>
  </si>
  <si>
    <t>Retailer 3</t>
  </si>
  <si>
    <t>includes</t>
  </si>
  <si>
    <t>vs Carlos Forecast</t>
  </si>
  <si>
    <t>+impacted by Mass Global</t>
  </si>
  <si>
    <t xml:space="preserve">+Impacted by Eat Routes </t>
  </si>
  <si>
    <t>+Impacted by Vanilla</t>
  </si>
  <si>
    <t>SL</t>
  </si>
  <si>
    <t xml:space="preserve">+Potential Grossbyt </t>
  </si>
  <si>
    <t>+AACC</t>
  </si>
  <si>
    <t>+GEM Eygpt</t>
  </si>
  <si>
    <t>+Primor Opening</t>
  </si>
  <si>
    <t>Total Possible Add ons</t>
  </si>
  <si>
    <t>Total Retros</t>
  </si>
  <si>
    <t>Total Retail Partnerships</t>
  </si>
  <si>
    <t>Total Promo Funding</t>
  </si>
  <si>
    <t>Total Trade Shows</t>
  </si>
  <si>
    <t>COG UK</t>
  </si>
  <si>
    <t>COG CE</t>
  </si>
  <si>
    <t>COG EE</t>
  </si>
  <si>
    <t>COG ROW</t>
  </si>
  <si>
    <t>Total  COG</t>
  </si>
  <si>
    <t>CM1</t>
  </si>
  <si>
    <t>Fulfilment UK</t>
  </si>
  <si>
    <t>Fulfilment CE</t>
  </si>
  <si>
    <t>Fulfilment EE</t>
  </si>
  <si>
    <t>Fulfilment ROW</t>
  </si>
  <si>
    <t>CM2</t>
  </si>
  <si>
    <t>UK Retail Partnerships</t>
  </si>
  <si>
    <t>UK Retros</t>
  </si>
  <si>
    <t>CE Retail Partnerships</t>
  </si>
  <si>
    <t>CE Retros</t>
  </si>
  <si>
    <t>EE Retail Partnerships</t>
  </si>
  <si>
    <t>EE Retros</t>
  </si>
  <si>
    <t>ROW Retail Partnerships</t>
  </si>
  <si>
    <t>ROW Retros</t>
  </si>
  <si>
    <t>B2B Marketing</t>
  </si>
  <si>
    <t>FY 25/26 Total</t>
  </si>
  <si>
    <t>FY 26/27 Total</t>
  </si>
  <si>
    <t>FY 27/28 Total</t>
  </si>
  <si>
    <t>Please Populate % Revenue Split by territory - will flow through to Values below</t>
  </si>
  <si>
    <t>Territory %</t>
  </si>
  <si>
    <t>Territory Group</t>
  </si>
  <si>
    <t>^Increase YoY</t>
  </si>
  <si>
    <t xml:space="preserve">                   </t>
  </si>
  <si>
    <t>Other RoW</t>
  </si>
  <si>
    <t>Total (100% Check)</t>
  </si>
  <si>
    <t>Territory £</t>
  </si>
  <si>
    <t>Total Revenue By Territory</t>
  </si>
  <si>
    <t>Marketing Spend</t>
  </si>
  <si>
    <t>Balance of Year</t>
  </si>
  <si>
    <t>Amazon UK (TACoS)</t>
  </si>
  <si>
    <t>Amazon UK NTB (TACoS)</t>
  </si>
  <si>
    <t>Amazon UK (Combined TACoS)</t>
  </si>
  <si>
    <t>CE (ES)</t>
  </si>
  <si>
    <t>CE (DE)</t>
  </si>
  <si>
    <t>Amazon IT (TACoS)</t>
  </si>
  <si>
    <t>Amazon US (TACoS)</t>
  </si>
  <si>
    <t>FR</t>
  </si>
  <si>
    <t xml:space="preserve">CE (DE) </t>
  </si>
  <si>
    <t>Total Marketing Spend</t>
  </si>
  <si>
    <t>Marketplace SAS</t>
  </si>
  <si>
    <t>Jan/Feb (Exc SaS) Per Callum</t>
  </si>
  <si>
    <t>Inc SaS (Per Accounts</t>
  </si>
  <si>
    <t>SaS Calc</t>
  </si>
  <si>
    <t>Fixed Fee</t>
  </si>
  <si>
    <t>0.3% monthly Turnover</t>
  </si>
  <si>
    <t>Cap £4.95k</t>
  </si>
  <si>
    <t>Fulfilment by territory</t>
  </si>
  <si>
    <t>Check</t>
  </si>
  <si>
    <t>Done/In-flight</t>
  </si>
  <si>
    <t>Exploring Alternative for saving</t>
  </si>
  <si>
    <t>Function</t>
  </si>
  <si>
    <t>Group</t>
  </si>
  <si>
    <t>Supplier</t>
  </si>
  <si>
    <t>Comments</t>
  </si>
  <si>
    <t>Pyne</t>
  </si>
  <si>
    <t>Data Consultancy (TO BE REPLACED)</t>
  </si>
  <si>
    <t>Looking to put something together as a project Re: potentially Intamgible asset to capitalised.  Possibly £5k p.month</t>
  </si>
  <si>
    <t>Marketing Agency Costs</t>
  </si>
  <si>
    <t>TDM Media</t>
  </si>
  <si>
    <t>Freelancer for Paid Search on Google and Bing</t>
  </si>
  <si>
    <t>to confirm cancelled now that Izzy has hired internally</t>
  </si>
  <si>
    <t>Consultancy Fees</t>
  </si>
  <si>
    <t>Storebuzz</t>
  </si>
  <si>
    <t>Web Development</t>
  </si>
  <si>
    <t>Jamie Griffiths</t>
  </si>
  <si>
    <t>User Experience Design to Support Development</t>
  </si>
  <si>
    <t>External Consultancy</t>
  </si>
  <si>
    <t>Eetu Jalmari Viitala</t>
  </si>
  <si>
    <t>Uptick (Simon Haugeberg)</t>
  </si>
  <si>
    <t>Left - no longer in use</t>
  </si>
  <si>
    <t>Finance</t>
  </si>
  <si>
    <t>Accountancy Fees</t>
  </si>
  <si>
    <t>Sovos</t>
  </si>
  <si>
    <t>TBC</t>
  </si>
  <si>
    <t>Dataplan</t>
  </si>
  <si>
    <t>Pending move to Xero</t>
  </si>
  <si>
    <t>Deel</t>
  </si>
  <si>
    <t>Need to change, no solution yet</t>
  </si>
  <si>
    <t xml:space="preserve">Foster Denovo - pension consultancy </t>
  </si>
  <si>
    <t>Foster Denovo</t>
  </si>
  <si>
    <t>PMM</t>
  </si>
  <si>
    <t>MA Support</t>
  </si>
  <si>
    <t>VAT</t>
  </si>
  <si>
    <t>FY26 audit fee accrual</t>
  </si>
  <si>
    <t>NPD</t>
  </si>
  <si>
    <t>Yasmine</t>
  </si>
  <si>
    <t>Office</t>
  </si>
  <si>
    <t>Professional Fees</t>
  </si>
  <si>
    <t>Copywright Consulting</t>
  </si>
  <si>
    <t>General</t>
  </si>
  <si>
    <t>Walker Morris - trademark</t>
  </si>
  <si>
    <t>Stallard Kane Associates</t>
  </si>
  <si>
    <t>Staff Placement Fees</t>
  </si>
  <si>
    <t>Ward Hardway Legals</t>
  </si>
  <si>
    <t>Linkedin Recruiter</t>
  </si>
  <si>
    <t>Regulatory</t>
  </si>
  <si>
    <t>Valpak - Annual fees for account maintance, packaging &amp; waste regs in ES, DE, FR. Increases the more packaging we sell</t>
  </si>
  <si>
    <t>What is this for?</t>
  </si>
  <si>
    <t>Regulatory translations (Campden BRI, Biorus, Freya etc) &amp; legal representation</t>
  </si>
  <si>
    <t>Formula compliance assessments (all countries outside of EU)</t>
  </si>
  <si>
    <t>Environmental (recycling logos design, EPR compliance – EU and next year most likely UK)</t>
  </si>
  <si>
    <t>Blair Consular (Payment for registrations - ad hoc as we have new ones) - legalising certificates</t>
  </si>
  <si>
    <t>Product Notifications (ad hoc as we have new ones)</t>
  </si>
  <si>
    <t>laboratory testing - ad hoc, e.g. gluten free for H&amp;B</t>
  </si>
  <si>
    <t>manufacturer cost for artwork amendments - ad hoc as needed &amp; when regs change</t>
  </si>
  <si>
    <t>The Halal Trust</t>
  </si>
  <si>
    <t>Other - One off EU regs work plus ad hoc translations</t>
  </si>
  <si>
    <t>Exceptional costs</t>
  </si>
  <si>
    <t>Computer Software</t>
  </si>
  <si>
    <t>Datel Computing</t>
  </si>
  <si>
    <t>Letting contract run</t>
  </si>
  <si>
    <t>DWD Liability Insurance</t>
  </si>
  <si>
    <t>LV Life</t>
  </si>
  <si>
    <t>Needs review</t>
  </si>
  <si>
    <t>Zurich</t>
  </si>
  <si>
    <t>Carlos co woprking spaces</t>
  </si>
  <si>
    <t>Office Postage Costs  (Not DPD or JAJ etc)</t>
  </si>
  <si>
    <t>ParcelHero.com</t>
  </si>
  <si>
    <t>Rent</t>
  </si>
  <si>
    <t>IW Group Services</t>
  </si>
  <si>
    <t>Hybrid Office</t>
  </si>
  <si>
    <t>Company Checks / Credit Ratings</t>
  </si>
  <si>
    <t>Creditsafe</t>
  </si>
  <si>
    <t>IT Maintenance &amp; Repair Costs</t>
  </si>
  <si>
    <t>Support Wave</t>
  </si>
  <si>
    <t>Office Expenses</t>
  </si>
  <si>
    <t>Ad Hoc</t>
  </si>
  <si>
    <t>Subscriptions (75600)</t>
  </si>
  <si>
    <t>Loom</t>
  </si>
  <si>
    <t>Vegan Society Subscription - based on turnover level</t>
  </si>
  <si>
    <t>Nutraveris tool (current cost of subscription – plus planning on expansion of services next year for ’R&amp;D insights) - suplement/formulation reviews ongoing basis, very useful</t>
  </si>
  <si>
    <t>CTPA The Cosmetic Toiletry &amp; Perfumery Association</t>
  </si>
  <si>
    <t>Equipment Hire</t>
  </si>
  <si>
    <t>Anwar</t>
  </si>
  <si>
    <t>LINGPAD</t>
  </si>
  <si>
    <t>Customer Service Translations, charged based on usage so increases in busier periods</t>
  </si>
  <si>
    <t>PADDLE.NET</t>
  </si>
  <si>
    <t>Cancelled</t>
  </si>
  <si>
    <t>Crowdin</t>
  </si>
  <si>
    <t>Non-CS Team Translations</t>
  </si>
  <si>
    <t>Motion Creative Cloud Inc</t>
  </si>
  <si>
    <t>REVIEWS.IO</t>
  </si>
  <si>
    <t>Company and Product Reviews - replaced by trustpilot</t>
  </si>
  <si>
    <t>Ringside Data</t>
  </si>
  <si>
    <t>DTC Analytics and Attribution</t>
  </si>
  <si>
    <t>Sendlane</t>
  </si>
  <si>
    <t>Foreplay.co</t>
  </si>
  <si>
    <t>DigitalOcean</t>
  </si>
  <si>
    <t>Virtual Machines for Specific DTC SEO Tasks</t>
  </si>
  <si>
    <t>Sales platform design &amp; software</t>
  </si>
  <si>
    <t>Charles</t>
  </si>
  <si>
    <t>WhatsApp Makreting &amp; CS</t>
  </si>
  <si>
    <t>Gorgias</t>
  </si>
  <si>
    <t>Primary Customer Service Tool</t>
  </si>
  <si>
    <t>Atria</t>
  </si>
  <si>
    <t>Meta Advertising Analytics and Competitor Research</t>
  </si>
  <si>
    <t>VWO</t>
  </si>
  <si>
    <t>A/B Testing</t>
  </si>
  <si>
    <t>Iterable</t>
  </si>
  <si>
    <t>CRM System</t>
  </si>
  <si>
    <t>Stripo</t>
  </si>
  <si>
    <t>Shopify</t>
  </si>
  <si>
    <t>E-Commerce Platform (See Shopify Breakdown for Details</t>
  </si>
  <si>
    <t>Additional amount added for Shopify due to shrotfall last few months</t>
  </si>
  <si>
    <t>Descript</t>
  </si>
  <si>
    <t>Hypermatic</t>
  </si>
  <si>
    <t>Open AI / ChatGPT</t>
  </si>
  <si>
    <t>AI APIs and Tools</t>
  </si>
  <si>
    <t>Elevar</t>
  </si>
  <si>
    <t>DTC Tag Management and Tracking</t>
  </si>
  <si>
    <t>ShipUp</t>
  </si>
  <si>
    <t>CS Shipment Management</t>
  </si>
  <si>
    <t>Tracking More</t>
  </si>
  <si>
    <t>Shipup replacement</t>
  </si>
  <si>
    <t>Unallocated</t>
  </si>
  <si>
    <t>Fast Spring</t>
  </si>
  <si>
    <t>Fivetran</t>
  </si>
  <si>
    <t>Data import System in conjunction with Weld whefre Weld doesn't have connectors</t>
  </si>
  <si>
    <t>Ahrefs</t>
  </si>
  <si>
    <t>SEO tool</t>
  </si>
  <si>
    <t>Bee Content</t>
  </si>
  <si>
    <t>Email design platform - templates to feed into Iterable</t>
  </si>
  <si>
    <t>House of kit</t>
  </si>
  <si>
    <t>Check - what is this?  Consulting/Styling/Sourcing?  Should be brand?</t>
  </si>
  <si>
    <t>Circana</t>
  </si>
  <si>
    <t>Check - what is this?  Brand Tracking?  Market reseach and Tdech</t>
  </si>
  <si>
    <t>GUMRD</t>
  </si>
  <si>
    <t>Trustpilot</t>
  </si>
  <si>
    <t>Core Platform Fee (will reduce from May)</t>
  </si>
  <si>
    <t>Shopify App</t>
  </si>
  <si>
    <t>Matrixify</t>
  </si>
  <si>
    <t>Shopify Automation &amp; Bulk Management  (will reduce from May)</t>
  </si>
  <si>
    <t>Symprosis</t>
  </si>
  <si>
    <t>Shopping Feed Management  (will reduce from May)</t>
  </si>
  <si>
    <t>Geo:Pro</t>
  </si>
  <si>
    <t>Geolocation Redirects  (cancelled from May)</t>
  </si>
  <si>
    <t>Vify Order Printer</t>
  </si>
  <si>
    <t>VAT Receipt Printing   (will reduce from May)</t>
  </si>
  <si>
    <t>SupaEasy</t>
  </si>
  <si>
    <t>Shopify Functions &amp; Discounts  (will reduce from May)</t>
  </si>
  <si>
    <t>Packeta</t>
  </si>
  <si>
    <t>Ship to Pickup Locations  (will reduce from May)</t>
  </si>
  <si>
    <t>OneClickUpsell</t>
  </si>
  <si>
    <t>Post-Purchase Upsells  (will reduce from May)</t>
  </si>
  <si>
    <t>Replo</t>
  </si>
  <si>
    <t xml:space="preserve">AddressHero </t>
  </si>
  <si>
    <t>Automated Address Correction</t>
  </si>
  <si>
    <t>Videowise</t>
  </si>
  <si>
    <t>Video Hosting and Management</t>
  </si>
  <si>
    <t>Recharge</t>
  </si>
  <si>
    <t>DTC Subscription Management</t>
  </si>
  <si>
    <t>Ontraport</t>
  </si>
  <si>
    <t>Pacvue (ads)</t>
  </si>
  <si>
    <t>HELIUM 10 PLATINUM</t>
  </si>
  <si>
    <t>Amazon Market Tracking (will swap to Prism)</t>
  </si>
  <si>
    <t>Getida</t>
  </si>
  <si>
    <t>Merchant Spring</t>
  </si>
  <si>
    <t>Sage</t>
  </si>
  <si>
    <t>Xero</t>
  </si>
  <si>
    <t>Mimo</t>
  </si>
  <si>
    <t>Approvalmax</t>
  </si>
  <si>
    <t>LMB</t>
  </si>
  <si>
    <t>Expense System</t>
  </si>
  <si>
    <t>PLEO implemented June</t>
  </si>
  <si>
    <t>Dext</t>
  </si>
  <si>
    <t>Cashflow</t>
  </si>
  <si>
    <t>Agicap software - £7,188 paid in three instalments over the first 3 months: £2,396 at subscription date (MAY), 2nd instalment £2,396 one month after subscription date (June), 3rd instalment £2,396 two months after subscription date (July)</t>
  </si>
  <si>
    <t>Balance sheet tool</t>
  </si>
  <si>
    <t>Operations</t>
  </si>
  <si>
    <t>IMS - Fulfil</t>
  </si>
  <si>
    <t>Asana/Click Up</t>
  </si>
  <si>
    <t>Docusign</t>
  </si>
  <si>
    <t xml:space="preserve">FIREFLIES.AI </t>
  </si>
  <si>
    <t>GO DADDY</t>
  </si>
  <si>
    <t>Google</t>
  </si>
  <si>
    <t>Google Cloud</t>
  </si>
  <si>
    <t>Jamf</t>
  </si>
  <si>
    <t>Sharepoint</t>
  </si>
  <si>
    <t>Slack</t>
  </si>
  <si>
    <t>Steep</t>
  </si>
  <si>
    <t xml:space="preserve">Weld Technologies ApS </t>
  </si>
  <si>
    <t>Zapier</t>
  </si>
  <si>
    <t>Adobe</t>
  </si>
  <si>
    <t>£55 x 5 licenses</t>
  </si>
  <si>
    <t>ChatGPT</t>
  </si>
  <si>
    <t>Microsoft</t>
  </si>
  <si>
    <t>Timetastic</t>
  </si>
  <si>
    <t>Breezy HR</t>
  </si>
  <si>
    <t>HiBob</t>
  </si>
  <si>
    <t>WeTransfer</t>
  </si>
  <si>
    <t>AirLabs</t>
  </si>
  <si>
    <t>Figma</t>
  </si>
  <si>
    <t>3CG CHANNELREPLY LLC</t>
  </si>
  <si>
    <t xml:space="preserve">Capture One Pro </t>
  </si>
  <si>
    <t>Sprout</t>
  </si>
  <si>
    <t>Mobile Charges</t>
  </si>
  <si>
    <t xml:space="preserve">Carlos Mobile </t>
  </si>
  <si>
    <t xml:space="preserve">Becky Mobile </t>
  </si>
  <si>
    <t>Customer Services</t>
  </si>
  <si>
    <t>B.Online</t>
  </si>
  <si>
    <t xml:space="preserve">Telephone </t>
  </si>
  <si>
    <t>Expense Claims</t>
  </si>
  <si>
    <t>Placeholder for expense claims.  Budget per Function?</t>
  </si>
  <si>
    <t>Annual Trip</t>
  </si>
  <si>
    <t>Socials</t>
  </si>
  <si>
    <t>Contingency</t>
  </si>
  <si>
    <t>EVP</t>
  </si>
  <si>
    <t>Wellness apps &amp; wellbeing support - £7.50 per person/month</t>
  </si>
  <si>
    <t xml:space="preserve">Access to a Tricologist (UK) ~£150 per session for ~40 people </t>
  </si>
  <si>
    <t>Wellness fund (gym/yoga/therapy/supplements) ~£35PP/ month</t>
  </si>
  <si>
    <t xml:space="preserve">L&amp;D budget or mentor / coaching  ~ £500 PP for high performers (20% of workforce) </t>
  </si>
  <si>
    <t xml:space="preserve">Enhanced parental support </t>
  </si>
  <si>
    <t>Gross (Exc. Bonus)</t>
  </si>
  <si>
    <t>Employment Type</t>
  </si>
  <si>
    <t>Permanent</t>
  </si>
  <si>
    <t>Freelancer</t>
  </si>
  <si>
    <t>Row Labels</t>
  </si>
  <si>
    <t>Sum of Oct-25</t>
  </si>
  <si>
    <t>Sum of Nov-25</t>
  </si>
  <si>
    <t>Sum of Dec-25</t>
  </si>
  <si>
    <t>Sum of Jan-26</t>
  </si>
  <si>
    <t>Central Europe</t>
  </si>
  <si>
    <t>Bonus</t>
  </si>
  <si>
    <t>Sum of Oct-252</t>
  </si>
  <si>
    <t>Sum of Nov-252</t>
  </si>
  <si>
    <t>Sum of Dec-252</t>
  </si>
  <si>
    <t>Sum of Jan-262</t>
  </si>
  <si>
    <t>^Payrise provision</t>
  </si>
  <si>
    <t xml:space="preserve">3month average fulfilment </t>
  </si>
  <si>
    <t>Jun-Aug average</t>
  </si>
  <si>
    <t>YTD Average</t>
  </si>
  <si>
    <t>Sept higher d2c fulfilment %, skewing the average due to low sales. Jun-Aug average taken</t>
  </si>
  <si>
    <t>CM: Notino and Teta - we deliver</t>
  </si>
  <si>
    <t>Marketplace</t>
  </si>
  <si>
    <t>TikTok</t>
  </si>
  <si>
    <t>Sept - 3.5K benefit - true up to the Aug accrual for FHB</t>
  </si>
  <si>
    <t>CM: Druni and soon to be Primor</t>
  </si>
  <si>
    <t>DE</t>
  </si>
  <si>
    <t>11K YTD - DTC fulfilment - sales coded to other territories - ie purchase on UK shopify shipped to Other Row, there isnt a dedicated other ROW store on Shopify</t>
  </si>
  <si>
    <t>US</t>
  </si>
  <si>
    <t>Stock transfer &amp; storage costs</t>
  </si>
  <si>
    <t>Av 25k per month</t>
  </si>
  <si>
    <t>FHB warehouse storage costs (d2C costs), shopify &amp; mollie fees</t>
  </si>
  <si>
    <t>D2C Units for Demand Forecasting</t>
  </si>
  <si>
    <t>Adv+</t>
  </si>
  <si>
    <t>OTHER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</si>
  <si>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</si>
  <si>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</si>
  <si>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</si>
  <si>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</si>
  <si>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</si>
  <si>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</si>
  <si>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</si>
  <si>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</si>
  <si>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</si>
  <si>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</si>
  <si>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</si>
  <si>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</si>
  <si>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</si>
  <si>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</si>
  <si>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</si>
  <si>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</si>
  <si>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</si>
  <si>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</si>
  <si>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</si>
  <si>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</si>
  <si>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</si>
  <si>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</si>
  <si>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</si>
  <si>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</si>
  <si>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</si>
  <si>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</si>
  <si>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</si>
  <si>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</si>
  <si>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</si>
  <si>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</si>
  <si>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</si>
  <si>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</si>
  <si>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</si>
  <si>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</si>
  <si>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</si>
  <si>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</si>
  <si>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https://web.steep.app/iJCBj22SsI2B/metrics/bXrgfNMo-zwk?chart=pivot-table&amp;filters%5BziIuJQ22JVTH%5D%5B0%5D=United%20Kingdom&amp;period=6m&amp;pivot-colors-flipped=false&amp;pivot-cols%5Btype%5D=temporal&amp;pivot-cols%5Bvalue%5D=monthly&amp;pivot-table-style=values-and-colors&amp;pivot-totals-style=none</t>
  </si>
  <si>
    <t>Traffic</t>
  </si>
  <si>
    <t>Traffic muliplier (YoY Growth)</t>
  </si>
  <si>
    <t>https://web.steep.app/iJCBj22SsI2B/metrics/_16T78xGkYz3?chart=pivot-table&amp;filters%5Bmarketplace%5D%5B0%5D=shopify_uk&amp;period=6m&amp;pivot-colors-flipped=false&amp;pivot-cols%5Btype%5D=temporal&amp;pivot-cols%5Bvalue%5D=monthly&amp;pivot-table-style=values-and-colors&amp;pivot-totals-style=none</t>
  </si>
  <si>
    <t>Conversion rate</t>
  </si>
  <si>
    <t>Total orders (estimated)</t>
  </si>
  <si>
    <t>Returning Customers %</t>
  </si>
  <si>
    <t>New Customers</t>
  </si>
  <si>
    <t>New Subscription Customers</t>
  </si>
  <si>
    <t>Recurring Subscription Customers</t>
  </si>
  <si>
    <t>Returning Customers</t>
  </si>
  <si>
    <t>https://web.steep.app/iJCBj22SsI2B/metrics/oQCbpnGQ_Pz2/slices/L4_FD0SJsZxx?chart=pivot-table&amp;dim-hP3OByFyFGSV=14-United+Kingdom&amp;period=6m&amp;pivot-color-scheme=monochrome-blue&amp;pivot-cols=temporal%7Cmonthly&amp;pivot-rows=categorical%7CFB5qQGOBcEdp&amp;pivot-table-style=values-and-colors&amp;pivot-totals-style=none&amp;tab=explore</t>
  </si>
  <si>
    <t>Total orders</t>
  </si>
  <si>
    <t>https://web.steep.app/iJCBj22SsI2B/metrics/GJjVMoQ9tx6j/slices/C28OTFMvn3BQ?chart=pivot-table&amp;dim-Dg1HWbr3kTGm=19-Returning+Customers&amp;dim-S_pbbqROLffC=14-United+Kingdom&amp;period=6m&amp;pivot-color-scheme=monochrome-blue&amp;pivot-cols=categorical%7COMqhlh_AYaDZ&amp;pivot-rows=temporal%7Cmonthly&amp;pivot-table-style=values&amp;pivot-totals-style=rows-and-columns&amp;tab=explore</t>
  </si>
  <si>
    <t>Returning AOV (Non subs)</t>
  </si>
  <si>
    <t>Returning Revenue (Non subs)</t>
  </si>
  <si>
    <t>Returning AOV (Subs)</t>
  </si>
  <si>
    <t>Returning Revenue (Subs)</t>
  </si>
  <si>
    <t>New Customers AOV</t>
  </si>
  <si>
    <t>New Customer Revenue (Non subs)</t>
  </si>
  <si>
    <t>New Customers AOV (Subs)</t>
  </si>
  <si>
    <t>New Customer Revenue (Subs)</t>
  </si>
  <si>
    <t>https://web.steep.app/iJCBj22SsI2B/metrics/z99ESJZJvfc7/slices/JcDp8OCrmim5?breakdown=FB5qQGOBcEdp&amp;chart=rank&amp;dim-hP3OByFyFGSV=14-United+Kingdom&amp;from=2025-02-01&amp;period=custom&amp;tab=explore&amp;to=2025-02-28</t>
  </si>
  <si>
    <t>Actual Revenue per steep</t>
  </si>
  <si>
    <t>Missing revenue - prior cohort data</t>
  </si>
  <si>
    <t>Brand spend</t>
  </si>
  <si>
    <t>SALE?</t>
  </si>
  <si>
    <t>N</t>
  </si>
  <si>
    <t>SALE</t>
  </si>
  <si>
    <t>BOGOFF</t>
  </si>
  <si>
    <t>Data Sources</t>
  </si>
  <si>
    <t>https://web.steep.app/iJCBj22SsI2B/metrics/wVZp3X_ZiTym/slices/c-_6a13KY9PP?breakdown=5xNsmpq6vIgN&amp;chart=rank&amp;dim-fv_UqRpOj3kq=14-United+Kingdom&amp;from=2025-03-01&amp;period=1m&amp;tab=explore</t>
  </si>
  <si>
    <t>Marketing Budget</t>
  </si>
  <si>
    <t>SKU split</t>
  </si>
  <si>
    <t>Serum</t>
  </si>
  <si>
    <t>Other Products</t>
  </si>
  <si>
    <t>Advanced+</t>
  </si>
  <si>
    <t>https://web.steep.app/iJCBj22SsI2B/metrics/VjTpLuUQ3nxv?chart=rank&amp;filters%5Bmarketplace%5D%5B0%5D=shopify_cz&amp;period=1m</t>
  </si>
  <si>
    <t>CAC per new customer</t>
  </si>
  <si>
    <t>https://web.steep.app/iJCBj22SsI2B/metrics/oQCbpnGQ_Pz2/slices/L4_FD0SJsZxx?breakdown=FB5qQGOBcEdp&amp;chart=rank&amp;dim-hP3OByFyFGSV=14-United+Kingdom&amp;dim-xWHh523TfZl2=9-Advanced%2B&amp;from=2025-02-01&amp;period=1m&amp;tab=explore</t>
  </si>
  <si>
    <t>Total Paid New Customer</t>
  </si>
  <si>
    <t>Organic Customer %</t>
  </si>
  <si>
    <t>Organic New Customer</t>
  </si>
  <si>
    <t>https://web.steep.app/iJCBj22SsI2B/metrics/oQCbpnGQ_Pz2/slices/L4_FD0SJsZxx?breakdown=FB5qQGOBcEdp&amp;chart=rank&amp;filters%5BhP3OByFyFGSV%5D%5B0%5D=United%20Kingdom&amp;filters%5BxWHh523TfZl2%5D%5B0%5D=Advanced%2B&amp;from=2025-07-01T00%3A00%3A00.000Z&amp;period=1m</t>
  </si>
  <si>
    <t>Total New Customers</t>
  </si>
  <si>
    <t>Total New Subscribers</t>
  </si>
  <si>
    <t>Blended CPA</t>
  </si>
  <si>
    <t>Split of New Customers</t>
  </si>
  <si>
    <t>One-Time Purchase</t>
  </si>
  <si>
    <t>https://web.steep.app/iJCBj22SsI2B/metrics/oQCbpnGQ_Pz2/slices/L4_FD0SJsZxx?breakdown=FB5qQGOBcEdp&amp;chart=rank&amp;filters%5BPWb6iYf9hT7W%5D%5B0%5D=HB_SUB_PREMIUMVIT_3M&amp;filters%5BhP3OByFyFGSV%5D%5B0%5D=United%20Kingdom&amp;from=2025-09-01T00%3A00%3A00.000Z&amp;period=1m</t>
  </si>
  <si>
    <t>1 Month Subscription</t>
  </si>
  <si>
    <t>3 Month Subscription</t>
  </si>
  <si>
    <t>New Customers One-Time</t>
  </si>
  <si>
    <t>New Customers 1MS</t>
  </si>
  <si>
    <t>New Customers 3MS</t>
  </si>
  <si>
    <t>Retained Customers One-Time</t>
  </si>
  <si>
    <t>Retained Customers 1MS</t>
  </si>
  <si>
    <t>Retained Customers 3MS</t>
  </si>
  <si>
    <t>Total Retained Customers</t>
  </si>
  <si>
    <t>Total Customers (new + retained)</t>
  </si>
  <si>
    <t>Cohort Analysis - OTP</t>
  </si>
  <si>
    <t>Number of months of platform</t>
  </si>
  <si>
    <t>Retention Rate</t>
  </si>
  <si>
    <t>M0 - Predated retained</t>
  </si>
  <si>
    <t>Cohort Analysis - 1MS</t>
  </si>
  <si>
    <t>Cohort Analysis - 3MS</t>
  </si>
  <si>
    <t>COHORT BUILD</t>
  </si>
  <si>
    <t>https://web.steep.app/iJCBj22SsI2B/metrics/Nr2-D9H-W0aa?chart=pivot-table&amp;dim-sales_channel=3-DTC&amp;dim-shop=10-shopify_uk&amp;from=2025-02-01&amp;period=custom&amp;pivot-color-scheme=monochrome-blue&amp;pivot-cols=temporal%7Cmonthly&amp;pivot-rows=categorical%7Cproduct_group&amp;pivot-table-style=values-and-colors&amp;pivot-totals-style=none&amp;tab=explore&amp;to=2025-06-30</t>
  </si>
  <si>
    <t>https://web.steep.app/iJCBj22SsI2B/metrics/3Z-LT3XYvPFg/slices/F3tspG03IHzJ?chart=pivot-table&amp;dim-S_pbbqROLffC=14-United+Kingdom&amp;from=2025-02-01&amp;period=custom&amp;pivot-color-scheme=monochrome-blue&amp;pivot-cols=temporal%7Cmonthly&amp;pivot-rows=categorical%7CDg1HWbr3kTGm&amp;pivot-table-style=values-and-colors&amp;pivot-totals-style=none&amp;tab=explore&amp;to=2025-06-30</t>
  </si>
  <si>
    <t>https://web.steep.app/iJCBj22SsI2B/metrics/oQCbpnGQ_Pz2/slices/L4_FD0SJsZxx?breakdown=FB5qQGOBcEdp&amp;chart=rank&amp;dim-hP3OByFyFGSV=14-United+Kingdom&amp;dim-xWHh523TfZl2=9-Advanced%2B&amp;from=2025-05-01&amp;period=1m&amp;tab=explore</t>
  </si>
  <si>
    <t>https://web.steep.app/iJCBj22SsI2B/metrics/LM86etumQc29?chart=pivot-table&amp;dim-8-kWIW2rwbcz=10-HB_PREMVIT&amp;from=2025-06-01&amp;period=custom&amp;pivot-color-scheme=monochrome-blue&amp;pivot-cols=categorical%7C8-kWIW2rwbcz&amp;pivot-rows=categorical%7C41Rsq26cu4t1&amp;pivot-table-style=values-and-colors&amp;pivot-totals-style=none&amp;tab=explore&amp;to=2025-06-30</t>
  </si>
  <si>
    <t>https://web.steep.app/iJCBj22SsI2B/metrics/ySbukNy7yr98?chart=cohorts-table&amp;cohorts-color-scheme=monochrome-blue&amp;cohorts-delta-thresholds=%3A&amp;cohorts-delta-time-grain=auto&amp;cohorts-table-style=values-and-colors&amp;cohorts-time-grain=auto&amp;from=2025-01-01&amp;period=1y&amp;tab=explore</t>
  </si>
  <si>
    <t>M0</t>
  </si>
  <si>
    <t>Other products</t>
  </si>
  <si>
    <t>https://web.steep.app/iJCBj22SsI2B/metrics/oQCbpnGQ_Pz2/slices/L4_FD0SJsZxx?breakdown=FB5qQGOBcEdp&amp;chart=rank&amp;filters%5BhP3OByFyFGSV%5D%5B0%5D=United%20Kingdom&amp;filters%5BxWHh523TfZl2%5D%5B0%5D=Lash%20%26%20Brow&amp;filters%5BxWHh523TfZl2%5D%5B1%5D=null&amp;from=2025-09-01T00%3A00%3A00.000Z&amp;period=1m</t>
  </si>
  <si>
    <t>https://web.steep.app/iJCBj22SsI2B/metrics/S5cQdBY4Llmq/slices/pGlEDpVG8YCx?chart=pivot-table&amp;dim-iBg-sQipooUS=10-shopify_es&amp;period=6m&amp;pivot-color-scheme=monochrome-blue&amp;pivot-cols=temporal%7Cmonthly&amp;pivot-rows=categorical%7CQVT4-eFK0fAy&amp;pivot-table-style=values-and-colors&amp;pivot-totals-style=rows-and-columns&amp;tab=explore</t>
  </si>
  <si>
    <t>New Customers (Non subs)</t>
  </si>
  <si>
    <t>New Customers (Subs)</t>
  </si>
  <si>
    <t>https://web.steep.app/iJCBj22SsI2B/metrics/oQCbpnGQ_Pz2/slices/L4_FD0SJsZxx?breakdown=FB5qQGOBcEdp&amp;chart=rank&amp;dim-hP3OByFyFGSV=5-Spain&amp;from=2025-02-01&amp;period=1m&amp;tab=explore</t>
  </si>
  <si>
    <t>https://web.steep.app/iJCBj22SsI2B/metrics/GJjVMoQ9tx6j/slices/C28OTFMvn3BQ?chart=pivot-table&amp;filters%5BS_pbbqROLffC%5D%5B0%5D=Spain&amp;period=6m&amp;pivot-colors-flipped=false&amp;pivot-cols%5Btype%5D=categorical&amp;pivot-cols%5Bvalue%5D=Dg1HWbr3kTGm&amp;pivot-rows%5Btype%5D=temporal&amp;pivot-rows%5Bvalue%5D=monthly&amp;pivot-table-style=values&amp;pivot-totals-style=rows-and-columns</t>
  </si>
  <si>
    <t>New Customers AOV (Non Subs)</t>
  </si>
  <si>
    <t xml:space="preserve">Total Revenue </t>
  </si>
  <si>
    <t>https://web.steep.app/iJCBj22SsI2B/metrics/z99ESJZJvfc7/slices/JcDp8OCrmim5?breakdown=FB5qQGOBcEdp&amp;chart=rank&amp;dim-hP3OByFyFGSV=7-Romania&amp;from=2025-02-01&amp;period=1m&amp;tab=explore</t>
  </si>
  <si>
    <t>Variance</t>
  </si>
  <si>
    <t>bogoff</t>
  </si>
  <si>
    <t>Y</t>
  </si>
  <si>
    <t>https://web.steep.app/iJCBj22SsI2B/metrics/wVZp3X_ZiTym/slices/c-_6a13KY9PP?breakdown=5xNsmpq6vIgN&amp;chart=rank&amp;dim-fv_UqRpOj3kq=7-Romania&amp;from=2025-06-01&amp;period=1m&amp;tab=explore</t>
  </si>
  <si>
    <t>Marketing COS %</t>
  </si>
  <si>
    <t>https://web.steep.app/iJCBj22SsI2B/metrics/oQCbpnGQ_Pz2/slices/L4_FD0SJsZxx?breakdown=FB5qQGOBcEdp&amp;chart=rank&amp;filters%5BhP3OByFyFGSV%5D%5B0%5D=Spain&amp;filters%5BxWHh523TfZl2%5D%5B0%5D=Advanced%2B&amp;from=2025-07-01T00%3A00%3A00.000Z&amp;period=1m</t>
  </si>
  <si>
    <t>https://web.steep.app/iJCBj22SsI2B/metrics/oQCbpnGQ_Pz2/slices/L4_FD0SJsZxx?breakdown=FB5qQGOBcEdp&amp;chart=rank&amp;filters%5BPWb6iYf9hT7W%5D%5B0%5D=HB_PREMVIT&amp;filters%5BhP3OByFyFGSV%5D%5B0%5D=Spain&amp;from=2025-08-01T00%3A00%3A00.000Z&amp;period=1m</t>
  </si>
  <si>
    <t>https://web.steep.app/iJCBj22SsI2B/metrics/oQCbpnGQ_Pz2/slices/L4_FD0SJsZxx?breakdown=FB5qQGOBcEdp&amp;chart=rank&amp;filters%5BhP3OByFyFGSV%5D%5B0%5D=Spain&amp;filters%5BxWHh523TfZl2%5D%5B0%5D=Serum&amp;from=2025-07-01T00%3A00%3A00.000Z&amp;period=1m</t>
  </si>
  <si>
    <t>https://web.steep.app/iJCBj22SsI2B/metrics/oQCbpnGQ_Pz2/slices/L4_FD0SJsZxx?breakdown=FB5qQGOBcEdp&amp;chart=rank&amp;dim-hP3OByFyFGSV=14-United+Kingdom&amp;dim-xWHh523TfZl2=4-null11-Lash+%26+Brow&amp;from=2025-03-01&amp;period=1m&amp;tab=explore</t>
  </si>
  <si>
    <t>https://web.steep.app/iJCBj22SsI2B/metrics/bXrgfNMo-zwk?chart=pivot-table&amp;filters%5Be4bfBkqsZRQv%5D%5B0%5D=shopify_ro&amp;period=1y&amp;pivot-colors-flipped=false&amp;pivot-cols%5Btype%5D=temporal&amp;pivot-cols%5Bvalue%5D=monthly&amp;pivot-table-style=values-and-colors&amp;pivot-totals-style=none</t>
  </si>
  <si>
    <t>https://web.steep.app/iJCBj22SsI2B/metrics/_16T78xGkYz3?chart=pivot-table&amp;filters%5Bmarketplace%5D%5B0%5D=shopify_ro&amp;period=1y&amp;pivot-colors-flipped=false&amp;pivot-cols%5Btype%5D=temporal&amp;pivot-cols%5Bvalue%5D=monthly&amp;pivot-table-style=values-and-colors&amp;pivot-totals-style=none</t>
  </si>
  <si>
    <t>https://web.steep.app/iJCBj22SsI2B/metrics/oQCbpnGQ_Pz2/slices/L4_FD0SJsZxx?breakdown=FB5qQGOBcEdp&amp;chart=rank&amp;filters%5BmXhWqydgm52V%5D%5B0%5D=shopify_ro&amp;period=1m</t>
  </si>
  <si>
    <t>https://web.steep.app/iJCBj22SsI2B/metrics/GJjVMoQ9tx6j/slices/C28OTFMvn3BQ?chart=pivot-table&amp;filters%5BS_pbbqROLffC%5D%5B0%5D=Romania&amp;period=6m&amp;pivot-colors-flipped=false&amp;pivot-cols%5Btype%5D=categorical&amp;pivot-cols%5Bvalue%5D=Dg1HWbr3kTGm&amp;pivot-rows%5Btype%5D=temporal&amp;pivot-rows%5Bvalue%5D=monthly&amp;pivot-table-style=values&amp;pivot-totals-style=rows-and-columns</t>
  </si>
  <si>
    <t>https://web.steep.app/iJCBj22SsI2B/metrics/z99ESJZJvfc7/slices/JcDp8OCrmim5?chart=pivot-table&amp;filters%5BhP3OByFyFGSV%5D%5B0%5D=Romania&amp;period=6m&amp;pivot-colors-flipped=false&amp;pivot-cols%5Btype%5D=temporal&amp;pivot-cols%5Bvalue%5D=monthly&amp;pivot-table-style=values-and-colors&amp;pivot-totals-style=none</t>
  </si>
  <si>
    <t>Sale</t>
  </si>
  <si>
    <t>YoY Multiplier</t>
  </si>
  <si>
    <t>https://web.steep.app/iJCBj22SsI2B/metrics/oQCbpnGQ_Pz2/slices/L4_FD0SJsZxx?breakdown=FB5qQGOBcEdp&amp;chart=rank&amp;filters%5BhP3OByFyFGSV%5D%5B0%5D=Romania&amp;filters%5BxWHh523TfZl2%5D%5B0%5D=Advanced%2B&amp;from=2025-09-01T00%3A00%3A00.000Z&amp;period=1m</t>
  </si>
  <si>
    <t>https://web.steep.app/iJCBj22SsI2B/metrics/bXrgfNMo-zwk?chart=pivot-table&amp;filters%5Be4bfBkqsZRQv%5D%5B0%5D=shopify_cz&amp;period=1y&amp;pivot-colors-flipped=false&amp;pivot-cols%5Btype%5D=temporal&amp;pivot-cols%5Bvalue%5D=monthly&amp;pivot-table-style=values-and-colors&amp;pivot-totals-style=none</t>
  </si>
  <si>
    <t>https://web.steep.app/iJCBj22SsI2B/metrics/_16T78xGkYz3?chart=pivot-table&amp;filters%5Bmarketplace%5D%5B0%5D=shopify_cz&amp;period=1y&amp;pivot-colors-flipped=false&amp;pivot-cols%5Btype%5D=temporal&amp;pivot-cols%5Bvalue%5D=monthly&amp;pivot-table-style=values-and-colors&amp;pivot-totals-style=none</t>
  </si>
  <si>
    <t>https://web.steep.app/iJCBj22SsI2B/metrics/oQCbpnGQ_Pz2/slices/L4_FD0SJsZxx?breakdown=FB5qQGOBcEdp&amp;chart=rank&amp;filters%5BmXhWqydgm52V%5D%5B0%5D=shopify_cz&amp;from=2025-04-01T00%3A00%3A00.000Z&amp;period=1m</t>
  </si>
  <si>
    <t>https://web.steep.app/iJCBj22SsI2B/metrics/oQCbpnGQ_Pz2/slices/L4_FD0SJsZxx?breakdown=FB5qQGOBcEdp&amp;chart=rank&amp;filters%5BhP3OByFyFGSV%5D%5B0%5D=Czechia&amp;from=2025-05-01T00%3A00%3A00.000Z&amp;period=1m</t>
  </si>
  <si>
    <t>https://web.steep.app/iJCBj22SsI2B/metrics/GJjVMoQ9tx6j/slices/C28OTFMvn3BQ?chart=pivot-table&amp;filters%5BS_pbbqROLffC%5D%5B0%5D=Czechia&amp;period=6m&amp;pivot-colors-flipped=false&amp;pivot-cols%5Btype%5D=categorical&amp;pivot-cols%5Bvalue%5D=Dg1HWbr3kTGm&amp;pivot-rows%5Btype%5D=temporal&amp;pivot-rows%5Bvalue%5D=monthly&amp;pivot-table-style=values&amp;pivot-totals-style=rows-and-columns</t>
  </si>
  <si>
    <t>https://web.steep.app/iJCBj22SsI2B/metrics/z99ESJZJvfc7/slices/JcDp8OCrmim5?chart=pivot-table&amp;filters%5BhP3OByFyFGSV%5D%5B0%5D=Czechia&amp;period=6m&amp;pivot-colors-flipped=false&amp;pivot-cols%5Btype%5D=temporal&amp;pivot-cols%5Bvalue%5D=monthly&amp;pivot-table-style=values-and-colors&amp;pivot-totals-style=none</t>
  </si>
  <si>
    <t>https://web.steep.app/iJCBj22SsI2B/metrics/wVZp3X_ZiTym/slices/c-_6a13KY9PP?breakdown=5xNsmpq6vIgN&amp;chart=rank&amp;filters%5Bfv_UqRpOj3kq%5D%5B0%5D=Czechia&amp;from=2025-09-01T00%3A00%3A00.000Z&amp;period=1m</t>
  </si>
  <si>
    <t>https://web.steep.app/iJCBj22SsI2B/metrics/oQCbpnGQ_Pz2/slices/L4_FD0SJsZxx?breakdown=FB5qQGOBcEdp&amp;chart=rank&amp;filters%5BhP3OByFyFGSV%5D%5B0%5D=Czechia&amp;filters%5BxWHh523TfZl2%5D%5B0%5D=Advanced%2B&amp;from=2025-09-01T00%3A00%3A00.000Z&amp;period=1m</t>
  </si>
  <si>
    <t>https://web.steep.app/iJCBj22SsI2B/metrics/oQCbpnGQ_Pz2/slices/L4_FD0SJsZxx?breakdown=FB5qQGOBcEdp&amp;chart=rank&amp;filters%5BhP3OByFyFGSV%5D%5B0%5D=Czechia&amp;filters%5BxWHh523TfZl2%5D%5B0%5D=Lash%20%26%20Brow&amp;filters%5BxWHh523TfZl2%5D%5B1%5D=null&amp;from=2025-07-01T00%3A00%3A00.000Z&amp;period=1m</t>
  </si>
  <si>
    <t>https://web.steep.app/iJCBj22SsI2B/metrics/S5cQdBY4Llmq/slices/pGlEDpVG8YCx?chart=pivot-table&amp;filters%5BrgRbJIcBzlcK%5D%5B0%5D=Czechia&amp;period=6m&amp;pivot-colors-flipped=false&amp;pivot-cols%5Btype%5D=temporal&amp;pivot-cols%5Bvalue%5D=monthly&amp;pivot-table-style=values-and-colors&amp;pivot-totals-style=rows-and-columns</t>
  </si>
  <si>
    <t>https://web.steep.app/iJCBj22SsI2B/metrics/_16T78xGkYz3?chart=pivot-table&amp;filters%5Btraffic_country%5D%5B0%5D=Czechia&amp;period=6m&amp;pivot-colors-flipped=false&amp;pivot-cols%5Btype%5D=temporal&amp;pivot-cols%5Bvalue%5D=monthly&amp;pivot-table-style=values-and-colors&amp;pivot-totals-style=none</t>
  </si>
  <si>
    <t>https://web.steep.app/iJCBj22SsI2B/metrics/oQCbpnGQ_Pz2/slices/L4_FD0SJsZxx?breakdown=FB5qQGOBcEdp&amp;chart=rank&amp;filters%5BmXhWqydgm52V%5D%5B0%5D=shopify_sk&amp;from=2025-09-01T00%3A00%3A00.000Z&amp;period=1m</t>
  </si>
  <si>
    <t>https://web.steep.app/iJCBj22SsI2B/metrics/UYLA-OSXckDq?chart=pivot-table&amp;filters%5Bmarketplace%5D%5B0%5D=shopify_sk&amp;period=6m&amp;pivot-colors-flipped=false&amp;pivot-cols%5Btype%5D=temporal&amp;pivot-cols%5Bvalue%5D=monthly&amp;pivot-table-style=values-and-colors&amp;pivot-totals-style=none</t>
  </si>
  <si>
    <t>https://web.steep.app/iJCBj22SsI2B/metrics/z99ESJZJvfc7/slices/JcDp8OCrmim5?chart=pivot-table&amp;filters%5BhP3OByFyFGSV%5D%5B0%5D=Slovakia&amp;period=6m&amp;pivot-colors-flipped=false&amp;pivot-cols%5Btype%5D=temporal&amp;pivot-cols%5Bvalue%5D=monthly&amp;pivot-table-style=values-and-colors&amp;pivot-totals-style=none</t>
  </si>
  <si>
    <t>https://web.steep.app/iJCBj22SsI2B/metrics/wVZp3X_ZiTym/slices/c-_6a13KY9PP?breakdown=5xNsmpq6vIgN&amp;chart=rank&amp;filters%5Bfv_UqRpOj3kq%5D%5B0%5D=Slovakia&amp;from=2025-08-01T00%3A00%3A00.000Z&amp;period=1m</t>
  </si>
  <si>
    <t>https://web.steep.app/iJCBj22SsI2B/metrics/oQCbpnGQ_Pz2/slices/L4_FD0SJsZxx?breakdown=FB5qQGOBcEdp&amp;chart=rank&amp;filters%5BhP3OByFyFGSV%5D%5B0%5D=Slovakia&amp;filters%5BxWHh523TfZl2%5D%5B0%5D=Advanced%2B&amp;from=2025-07-01T00%3A00%3A00.000Z&amp;period=1m</t>
  </si>
  <si>
    <t>https://web.steep.app/iJCBj22SsI2B/metrics/bXrgfNMo-zwk?chart=pivot-table&amp;filters%5Be4bfBkqsZRQv%5D%5B0%5D=shopify_hu&amp;period=1y&amp;pivot-colors-flipped=false&amp;pivot-cols%5Btype%5D=temporal&amp;pivot-cols%5Bvalue%5D=monthly&amp;pivot-table-style=values-and-colors&amp;pivot-totals-style=none</t>
  </si>
  <si>
    <t>https://web.steep.app/iJCBj22SsI2B/metrics/_16T78xGkYz3?chart=pivot-table&amp;filters%5Bmarketplace%5D%5B0%5D=shopify_hu&amp;period=1y&amp;pivot-colors-flipped=false&amp;pivot-cols%5Btype%5D=temporal&amp;pivot-cols%5Bvalue%5D=monthly&amp;pivot-table-style=values-and-colors&amp;pivot-totals-style=none</t>
  </si>
  <si>
    <t>https://web.steep.app/iJCBj22SsI2B/metrics/oQCbpnGQ_Pz2/slices/L4_FD0SJsZxx?breakdown=FB5qQGOBcEdp&amp;chart=rank&amp;filters%5BmXhWqydgm52V%5D%5B0%5D=shopify_hu&amp;from=2025-07-01T00%3A00%3A00.000Z&amp;period=1m</t>
  </si>
  <si>
    <t>https://web.steep.app/iJCBj22SsI2B/metrics/GJjVMoQ9tx6j/slices/C28OTFMvn3BQ?chart=pivot-table&amp;filters%5BS_pbbqROLffC%5D%5B0%5D=Hungary&amp;period=6m&amp;pivot-colors-flipped=false&amp;pivot-cols%5Btype%5D=categorical&amp;pivot-cols%5Bvalue%5D=Dg1HWbr3kTGm&amp;pivot-rows%5Btype%5D=temporal&amp;pivot-rows%5Bvalue%5D=monthly&amp;pivot-table-style=values&amp;pivot-totals-style=rows-and-columns</t>
  </si>
  <si>
    <t>https://web.steep.app/iJCBj22SsI2B/metrics/z99ESJZJvfc7/slices/JcDp8OCrmim5?chart=pivot-table&amp;filters%5BhP3OByFyFGSV%5D%5B0%5D=Hungary&amp;period=6m&amp;pivot-colors-flipped=false&amp;pivot-cols%5Btype%5D=temporal&amp;pivot-cols%5Bvalue%5D=monthly&amp;pivot-table-style=values-and-colors&amp;pivot-totals-style=none</t>
  </si>
  <si>
    <t>https://web.steep.app/iJCBj22SsI2B/metrics/wVZp3X_ZiTym/slices/c-_6a13KY9PP?breakdown=5xNsmpq6vIgN&amp;chart=rank&amp;dim-fv_UqRpOj3kq=7-Hungary&amp;from=2025-02-01&amp;period=1m&amp;tab=explore</t>
  </si>
  <si>
    <t>https://web.steep.app/iJCBj22SsI2B/metrics/oQCbpnGQ_Pz2/slices/L4_FD0SJsZxx?breakdown=FB5qQGOBcEdp&amp;chart=rank&amp;filters%5BhP3OByFyFGSV%5D%5B0%5D=Hungary&amp;filters%5BxWHh523TfZl2%5D%5B0%5D=null&amp;filters%5BxWHh523TfZl2%5D%5B1%5D=Lash%20%26%20Brow&amp;from=2025-09-01T00%3A00%3A00.000Z&amp;period=1m</t>
  </si>
  <si>
    <t>https://web.steep.app/iJCBj22SsI2B/metrics/oQCbpnGQ_Pz2/slices/L4_FD0SJsZxx?breakdown=FB5qQGOBcEdp&amp;chart=rank&amp;filters%5BhP3OByFyFGSV%5D%5B0%5D=Hungary&amp;filters%5BxWHh523TfZl2%5D%5B0%5D=Serum&amp;from=2025-07-01T00%3A00%3A00.000Z&amp;period=1m</t>
  </si>
  <si>
    <t>https://web.steep.app/iJCBj22SsI2B/metrics/bXrgfNMo-zwk?chart=pivot-table&amp;filters%5Be4bfBkqsZRQv%5D%5B0%5D=shopify_it&amp;period=1y&amp;pivot-colors-flipped=false&amp;pivot-cols%5Btype%5D=temporal&amp;pivot-cols%5Bvalue%5D=monthly&amp;pivot-table-style=values-and-colors&amp;pivot-totals-style=none</t>
  </si>
  <si>
    <t>(FR, DE, EU &amp; Poland - rolled up into CE)</t>
  </si>
  <si>
    <t>https://web.steep.app/iJCBj22SsI2B/metrics/bXrgfNMo-zwk?chart=pivot-table&amp;filters%5Be4bfBkqsZRQv%5D%5B0%5D=shopify_de&amp;filters%5Be4bfBkqsZRQv%5D%5B1%5D=shopify_eu&amp;filters%5Be4bfBkqsZRQv%5D%5B2%5D=shopify_fr&amp;filters%5Be4bfBkqsZRQv%5D%5B3%5D=shopify_pl&amp;period=1y&amp;pivot-colors-flipped=false&amp;pivot-cols%5Btype%5D=temporal&amp;pivot-cols%5Bvalue%5D=monthly&amp;pivot-table-style=values-and-colors&amp;pivot-totals-style=none</t>
  </si>
  <si>
    <t>https://web.steep.app/iJCBj22SsI2B/metrics/_16T78xGkYz3?chart=pivot-table&amp;filters%5Bmarketplace%5D%5B0%5D=shopify_de&amp;filters%5Bmarketplace%5D%5B1%5D=shopify_eu&amp;filters%5Bmarketplace%5D%5B2%5D=shopify_fr&amp;period=1y&amp;pivot-colors-flipped=false&amp;pivot-cols%5Btype%5D=temporal&amp;pivot-cols%5Bvalue%5D=monthly&amp;pivot-table-style=values-and-colors&amp;pivot-totals-style=none</t>
  </si>
  <si>
    <t>https://web.steep.app/iJCBj22SsI2B/metrics/oQCbpnGQ_Pz2/slices/L4_FD0SJsZxx?breakdown=FB5qQGOBcEdp&amp;chart=rank&amp;filters%5BmXhWqydgm52V%5D%5B0%5D=shopify_de&amp;filters%5BmXhWqydgm52V%5D%5B1%5D=shopify_fr&amp;filters%5BmXhWqydgm52V%5D%5B2%5D=shopify_eu&amp;filters%5BmXhWqydgm52V%5D%5B3%5D=shopify_pl&amp;from=2025-06-01T00%3A00%3A00.000Z&amp;period=1m</t>
  </si>
  <si>
    <t>https://web.steep.app/iJCBj22SsI2B/metrics/GJjVMoQ9tx6j/slices/C28OTFMvn3BQ?chart=pivot-table&amp;filters%5BS_pbbqROLffC%5D%5B0%5D=France&amp;filters%5BS_pbbqROLffC%5D%5B1%5D=Germany&amp;filters%5BS_pbbqROLffC%5D%5B2%5D=EU&amp;filters%5BS_pbbqROLffC%5D%5B3%5D=Poland&amp;period=1y&amp;pivot-colors-flipped=false&amp;pivot-cols%5Btype%5D=categorical&amp;pivot-cols%5Bvalue%5D=Dg1HWbr3kTGm&amp;pivot-rows%5Btype%5D=temporal&amp;pivot-rows%5Bvalue%5D=monthly&amp;pivot-table-style=values&amp;pivot-totals-style=rows-and-columns</t>
  </si>
  <si>
    <t>https://web.steep.app/iJCBj22SsI2B/metrics/z99ESJZJvfc7/slices/JcDp8OCrmim5?chart=pivot-table&amp;filters%5BhP3OByFyFGSV%5D%5B0%5D=France&amp;filters%5BhP3OByFyFGSV%5D%5B1%5D=Germany&amp;filters%5BhP3OByFyFGSV%5D%5B2%5D=EU&amp;filters%5BhP3OByFyFGSV%5D%5B3%5D=Poland&amp;period=6m&amp;pivot-colors-flipped=false&amp;pivot-cols%5Btype%5D=temporal&amp;pivot-cols%5Bvalue%5D=monthly&amp;pivot-table-style=values-and-colors&amp;pivot-totals-style=none</t>
  </si>
  <si>
    <t>https://web.steep.app/iJCBj22SsI2B/metrics/oQCbpnGQ_Pz2/slices/L4_FD0SJsZxx?breakdown=FB5qQGOBcEdp&amp;chart=rank&amp;filters%5BhP3OByFyFGSV%5D%5B0%5D=France&amp;filters%5BhP3OByFyFGSV%5D%5B1%5D=Germany&amp;filters%5BhP3OByFyFGSV%5D%5B2%5D=EU&amp;filters%5BhP3OByFyFGSV%5D%5B3%5D=Poland&amp;filters%5BxWHh523TfZl2%5D%5B0%5D=Advanced%2B&amp;from=2025-02-01T00%3A00%3A00.000Z&amp;period=1m</t>
  </si>
  <si>
    <t>https://web.steep.app/iJCBj22SsI2B/metrics/oQCbpnGQ_Pz2/slices/L4_FD0SJsZxx?breakdown=FB5qQGOBcEdp&amp;chart=rank&amp;filters%5BhP3OByFyFGSV%5D%5B0%5D=France&amp;filters%5BhP3OByFyFGSV%5D%5B1%5D=Germany&amp;filters%5BhP3OByFyFGSV%5D%5B2%5D=EU&amp;filters%5BhP3OByFyFGSV%5D%5B3%5D=Poland&amp;filters%5BxWHh523TfZl2%5D%5B0%5D=Serum&amp;from=2025-05-01T00%3A00%3A00.000Z&amp;period=1m</t>
  </si>
  <si>
    <t>https://web.steep.app/iJCBj22SsI2B/metrics/oQCbpnGQ_Pz2/slices/L4_FD0SJsZxx?breakdown=FB5qQGOBcEdp&amp;chart=rank&amp;filters%5BhP3OByFyFGSV%5D%5B0%5D=France&amp;filters%5BhP3OByFyFGSV%5D%5B1%5D=Germany&amp;filters%5BhP3OByFyFGSV%5D%5B2%5D=EU&amp;filters%5BhP3OByFyFGSV%5D%5B3%5D=Poland&amp;filters%5BxWHh523TfZl2%5D%5B0%5D=null&amp;filters%5BxWHh523TfZl2%5D%5B1%5D=Lash%20%26%20Brow&amp;from=2025-05-01T00%3A00%3A00.000Z&amp;period=1m</t>
  </si>
  <si>
    <t>Selected Accounts Revenue</t>
  </si>
  <si>
    <t>Promo Funding inc. FOC Stock</t>
  </si>
  <si>
    <t>CP Proj FY26</t>
  </si>
  <si>
    <t>FY26 (Above)</t>
  </si>
  <si>
    <t>YoY vs Above</t>
  </si>
  <si>
    <t>YoY vs CP Proj</t>
  </si>
  <si>
    <t>FY27 less NB</t>
  </si>
  <si>
    <t>YoY less NB vs Above</t>
  </si>
  <si>
    <t>YoY less NB vs CP Proj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</si>
</sst>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&quot;£&quot;* #,##0.00_-;\-&quot;£&quot;* #,##0.00_-;_-&quot;£&quot;* &quot;-&quot;??_-;_-@_-"/>
    <numFmt numFmtId="165" formatCode="_-* #,##0.00_-;\-* #,##0.00_-;_-* &quot;-&quot;??_-;_-@_-"/>
    <numFmt numFmtId="166" formatCode="_(* #,##0_);_(* \(#,##0\);_(* &quot;-&quot;??_);_(@_)"/>
    <numFmt numFmtId="167" formatCode="_-* #,##0_-;\-* #,##0_-;_-* &quot;-&quot;??_-;_-@_-"/>
    <numFmt numFmtId="168" formatCode="0.0%"/>
    <numFmt numFmtId="169" formatCode="_(* #,##0_);[Red]_(* \(#,##0\);_(* &quot;-&quot;??_);_(@_)"/>
  </numFmts>
  <fonts count="7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Calibri"/>
      <family val="2"/>
    </font>
    <font>
      <sz val="8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i/>
      <sz val="8"/>
      <color theme="4"/>
      <name val="Arial"/>
      <family val="2"/>
    </font>
    <font>
      <sz val="8"/>
      <color theme="1"/>
      <name val="Arial"/>
      <family val="2"/>
    </font>
    <font>
      <b/>
      <sz val="8"/>
      <color rgb="FFFFFFFF"/>
      <name val="Arial"/>
      <family val="2"/>
    </font>
    <font>
      <b/>
      <sz val="8"/>
      <color theme="1"/>
      <name val="Arial"/>
      <family val="2"/>
    </font>
    <font>
      <b/>
      <sz val="8"/>
      <color theme="9"/>
      <name val="Arial"/>
      <family val="2"/>
    </font>
    <font>
      <b/>
      <sz val="8"/>
      <color rgb="FF0000E7"/>
      <name val="Arial"/>
      <family val="2"/>
    </font>
    <font>
      <b/>
      <u/>
      <sz val="8"/>
      <color theme="1"/>
      <name val="Arial"/>
      <family val="2"/>
    </font>
    <font>
      <i/>
      <u/>
      <sz val="8"/>
      <color theme="4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u/>
      <sz val="8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  <font>
      <sz val="9"/>
      <color rgb="FF000000"/>
      <name val="Arial"/>
      <family val="2"/>
    </font>
    <font>
      <sz val="11"/>
      <color rgb="FF3F3F76"/>
      <name val="Aptos Narrow"/>
      <family val="2"/>
      <scheme val="minor"/>
    </font>
    <font>
      <sz val="10"/>
      <color rgb="FF000000"/>
      <name val="Aptos"/>
      <family val="2"/>
    </font>
    <font>
      <b/>
      <u/>
      <sz val="10"/>
      <color rgb="FF000000"/>
      <name val="Aptos"/>
      <family val="2"/>
    </font>
    <font>
      <b/>
      <sz val="10"/>
      <color rgb="FF242424"/>
      <name val="Inherit"/>
    </font>
    <font>
      <b/>
      <sz val="10"/>
      <color rgb="FF242424"/>
      <name val="Segoe UI"/>
      <family val="2"/>
    </font>
    <font>
      <b/>
      <sz val="10"/>
      <color rgb="FF000000"/>
      <name val="Aptos"/>
      <family val="2"/>
    </font>
    <font>
      <sz val="10"/>
      <color rgb="FF242424"/>
      <name val="Inherit"/>
    </font>
    <font>
      <sz val="10"/>
      <color rgb="FF242424"/>
      <name val="Segoe UI"/>
      <family val="2"/>
    </font>
    <font>
      <sz val="10"/>
      <color rgb="FF000000"/>
      <name val="Inherit"/>
    </font>
    <font>
      <b/>
      <sz val="9"/>
      <color theme="3"/>
      <name val="Arial"/>
      <family val="2"/>
    </font>
    <font>
      <b/>
      <i/>
      <sz val="8"/>
      <color indexed="8"/>
      <name val="Arial"/>
      <family val="2"/>
    </font>
    <font>
      <b/>
      <i/>
      <sz val="8"/>
      <color theme="1"/>
      <name val="Arial"/>
      <family val="2"/>
    </font>
    <font>
      <b/>
      <sz val="8"/>
      <color theme="4"/>
      <name val="Arial"/>
      <family val="2"/>
    </font>
    <font>
      <b/>
      <i/>
      <sz val="8"/>
      <color theme="4"/>
      <name val="Arial"/>
      <family val="2"/>
    </font>
    <font>
      <sz val="8"/>
      <color theme="1"/>
      <name val="Aptos Narrow"/>
      <family val="2"/>
      <scheme val="minor"/>
    </font>
    <font>
      <b/>
      <sz val="6"/>
      <color theme="4"/>
      <name val="Arial"/>
      <family val="2"/>
    </font>
    <font>
      <sz val="7"/>
      <color theme="1"/>
      <name val="Arial"/>
      <family val="2"/>
    </font>
    <font>
      <u/>
      <sz val="8"/>
      <color theme="10"/>
      <name val="Arial"/>
      <family val="2"/>
    </font>
    <font>
      <sz val="8"/>
      <color rgb="FFFF0000"/>
      <name val="Arial"/>
      <family val="2"/>
    </font>
    <font>
      <sz val="7"/>
      <color rgb="FFFF0000"/>
      <name val="Arial"/>
      <family val="2"/>
    </font>
    <font>
      <b/>
      <sz val="10"/>
      <color rgb="FF0000E7"/>
      <name val="Aptos Narrow"/>
      <family val="2"/>
      <scheme val="minor"/>
    </font>
    <font>
      <sz val="6"/>
      <color theme="4"/>
      <name val="Arial"/>
      <family val="2"/>
    </font>
    <font>
      <b/>
      <sz val="11"/>
      <color theme="1"/>
      <name val="Aptos Narrow"/>
      <family val="2"/>
      <scheme val="minor"/>
    </font>
    <font>
      <sz val="9"/>
      <color rgb="FF3F3F76"/>
      <name val="Arial"/>
      <family val="2"/>
    </font>
    <font>
      <b/>
      <sz val="9"/>
      <color rgb="FF3F3F76"/>
      <name val="Arial"/>
      <family val="2"/>
    </font>
    <font>
      <i/>
      <sz val="11"/>
      <color rgb="FFFF0000"/>
      <name val="Aptos Narrow"/>
      <family val="2"/>
      <scheme val="minor"/>
    </font>
    <font>
      <b/>
      <sz val="8"/>
      <color rgb="FFFF0000"/>
      <name val="Arial"/>
      <family val="2"/>
    </font>
    <font>
      <b/>
      <sz val="12"/>
      <color theme="1"/>
      <name val="Arial"/>
      <family val="2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u/>
      <sz val="9"/>
      <color theme="1"/>
      <name val="Arial"/>
      <family val="2"/>
    </font>
    <font>
      <i/>
      <sz val="9"/>
      <color rgb="FFFF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9"/>
      <color rgb="FFFF0000"/>
      <name val="Arial"/>
      <family val="2"/>
    </font>
    <font>
      <b/>
      <sz val="11"/>
      <color theme="1"/>
      <name val="Aptos Narrow"/>
      <scheme val="minor"/>
    </font>
    <font>
      <b/>
      <sz val="11"/>
      <color theme="1"/>
      <name val="Arial"/>
      <family val="2"/>
    </font>
    <font>
      <sz val="11"/>
      <color rgb="FFFF0000"/>
      <name val="Aptos Narrow"/>
      <family val="2"/>
      <scheme val="minor"/>
    </font>
    <font>
      <sz val="9"/>
      <color theme="1"/>
      <name val="Arial"/>
      <family val="2"/>
    </font>
    <font>
      <sz val="9"/>
      <color rgb="FFFF0000"/>
      <name val="Arial"/>
      <family val="2"/>
    </font>
    <font>
      <i/>
      <sz val="8"/>
      <color theme="1"/>
      <name val="Arial"/>
      <family val="2"/>
    </font>
    <font>
      <sz val="8"/>
      <color theme="8"/>
      <name val="Arial"/>
      <family val="2"/>
    </font>
    <font>
      <b/>
      <sz val="8"/>
      <color theme="8"/>
      <name val="Arial"/>
      <family val="2"/>
    </font>
    <font>
      <b/>
      <sz val="10"/>
      <color theme="8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  <font>
      <b/>
      <i/>
      <sz val="9"/>
      <color theme="1"/>
      <name val="Arial"/>
      <family val="2"/>
    </font>
    <font>
      <b/>
      <i/>
      <sz val="9"/>
      <color theme="4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44546A"/>
        <bgColor rgb="FF000000"/>
      </patternFill>
    </fill>
    <fill>
      <patternFill patternType="solid">
        <fgColor rgb="FFFFFF9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99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/>
        <bgColor theme="9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rgb="FF000000"/>
      </patternFill>
    </fill>
    <fill>
      <patternFill patternType="solid">
        <fgColor theme="9" tint="-0.249977111117893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-0.499984740745262"/>
        <bgColor rgb="FF000000"/>
      </patternFill>
    </fill>
    <fill>
      <patternFill patternType="solid">
        <fgColor rgb="FFD9F2D0"/>
        <bgColor indexed="64"/>
      </patternFill>
    </fill>
    <fill>
      <patternFill patternType="solid">
        <fgColor rgb="FFD9F2D0"/>
        <bgColor rgb="FFD9F2D0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0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0" fontId="6" fillId="0" borderId="0"/>
    <xf numFmtId="0" fontId="9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27" fillId="12" borderId="2" applyNumberFormat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548">
    <xf numFmtId="0" fontId="0" fillId="0" borderId="0" xfId="0"/>
    <xf numFmtId="3" fontId="0" fillId="0" borderId="0" xfId="0" applyNumberFormat="1"/>
    <xf numFmtId="17" fontId="0" fillId="0" borderId="0" xfId="0" applyNumberFormat="1"/>
    <xf numFmtId="0" fontId="2" fillId="0" borderId="0" xfId="0" applyFont="1"/>
    <xf numFmtId="0" fontId="5" fillId="0" borderId="0" xfId="0" applyFont="1"/>
    <xf numFmtId="9" fontId="0" fillId="0" borderId="0" xfId="0" applyNumberFormat="1"/>
    <xf numFmtId="0" fontId="10" fillId="0" borderId="0" xfId="0" applyFont="1"/>
    <xf numFmtId="0" fontId="12" fillId="0" borderId="0" xfId="0" applyFont="1"/>
    <xf numFmtId="9" fontId="14" fillId="9" borderId="0" xfId="2" applyFont="1" applyFill="1" applyBorder="1" applyAlignment="1">
      <alignment vertical="center"/>
    </xf>
    <xf numFmtId="9" fontId="14" fillId="5" borderId="0" xfId="2" applyFont="1" applyFill="1" applyBorder="1" applyAlignment="1">
      <alignment vertical="center"/>
    </xf>
    <xf numFmtId="0" fontId="14" fillId="0" borderId="0" xfId="0" applyFont="1"/>
    <xf numFmtId="0" fontId="22" fillId="0" borderId="0" xfId="0" applyFont="1"/>
    <xf numFmtId="9" fontId="22" fillId="0" borderId="0" xfId="0" applyNumberFormat="1" applyFont="1"/>
    <xf numFmtId="0" fontId="24" fillId="0" borderId="0" xfId="0" applyFont="1"/>
    <xf numFmtId="0" fontId="24" fillId="10" borderId="0" xfId="0" applyFont="1" applyFill="1"/>
    <xf numFmtId="0" fontId="22" fillId="0" borderId="0" xfId="0" applyFont="1" applyAlignment="1">
      <alignment horizontal="center"/>
    </xf>
    <xf numFmtId="17" fontId="22" fillId="0" borderId="0" xfId="0" applyNumberFormat="1" applyFont="1" applyAlignment="1">
      <alignment horizontal="center"/>
    </xf>
    <xf numFmtId="0" fontId="25" fillId="0" borderId="0" xfId="0" applyFont="1"/>
    <xf numFmtId="169" fontId="24" fillId="10" borderId="0" xfId="0" applyNumberFormat="1" applyFont="1" applyFill="1"/>
    <xf numFmtId="169" fontId="24" fillId="0" borderId="0" xfId="0" applyNumberFormat="1" applyFont="1"/>
    <xf numFmtId="169" fontId="22" fillId="0" borderId="0" xfId="0" applyNumberFormat="1" applyFont="1"/>
    <xf numFmtId="165" fontId="24" fillId="0" borderId="0" xfId="0" applyNumberFormat="1" applyFont="1"/>
    <xf numFmtId="0" fontId="26" fillId="0" borderId="0" xfId="0" applyFont="1"/>
    <xf numFmtId="169" fontId="26" fillId="0" borderId="0" xfId="0" applyNumberFormat="1" applyFont="1"/>
    <xf numFmtId="0" fontId="28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28" fillId="0" borderId="0" xfId="0" applyFont="1" applyAlignment="1">
      <alignment horizontal="left" vertical="center"/>
    </xf>
    <xf numFmtId="0" fontId="32" fillId="0" borderId="0" xfId="0" applyFont="1" applyAlignment="1">
      <alignment vertical="center"/>
    </xf>
    <xf numFmtId="0" fontId="35" fillId="0" borderId="0" xfId="0" applyFont="1" applyAlignment="1">
      <alignment vertical="center"/>
    </xf>
    <xf numFmtId="0" fontId="34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22" fillId="0" borderId="0" xfId="3" applyFont="1" applyAlignment="1">
      <alignment horizontal="center" vertical="center" wrapText="1"/>
    </xf>
    <xf numFmtId="17" fontId="22" fillId="10" borderId="0" xfId="3" applyNumberFormat="1" applyFont="1" applyFill="1" applyAlignment="1">
      <alignment horizontal="center" vertical="center" wrapText="1"/>
    </xf>
    <xf numFmtId="17" fontId="22" fillId="0" borderId="0" xfId="3" applyNumberFormat="1" applyFont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4" fillId="0" borderId="0" xfId="3" applyFont="1"/>
    <xf numFmtId="167" fontId="24" fillId="10" borderId="0" xfId="3" applyNumberFormat="1" applyFont="1" applyFill="1"/>
    <xf numFmtId="167" fontId="24" fillId="0" borderId="0" xfId="3" applyNumberFormat="1" applyFont="1"/>
    <xf numFmtId="167" fontId="24" fillId="0" borderId="0" xfId="1" applyNumberFormat="1" applyFont="1"/>
    <xf numFmtId="0" fontId="36" fillId="0" borderId="0" xfId="3" applyFont="1" applyAlignment="1">
      <alignment horizontal="center"/>
    </xf>
    <xf numFmtId="0" fontId="22" fillId="0" borderId="0" xfId="3" applyFont="1"/>
    <xf numFmtId="167" fontId="22" fillId="0" borderId="0" xfId="1" applyNumberFormat="1" applyFont="1"/>
    <xf numFmtId="9" fontId="22" fillId="0" borderId="0" xfId="2" applyFont="1"/>
    <xf numFmtId="167" fontId="24" fillId="0" borderId="0" xfId="0" applyNumberFormat="1" applyFont="1"/>
    <xf numFmtId="0" fontId="37" fillId="10" borderId="0" xfId="0" applyFont="1" applyFill="1" applyAlignment="1">
      <alignment horizontal="center"/>
    </xf>
    <xf numFmtId="0" fontId="37" fillId="0" borderId="0" xfId="0" applyFont="1" applyAlignment="1">
      <alignment horizontal="center"/>
    </xf>
    <xf numFmtId="0" fontId="38" fillId="13" borderId="0" xfId="0" applyFont="1" applyFill="1" applyAlignment="1">
      <alignment horizontal="center"/>
    </xf>
    <xf numFmtId="0" fontId="24" fillId="0" borderId="0" xfId="0" applyFont="1" applyAlignment="1">
      <alignment horizontal="center"/>
    </xf>
    <xf numFmtId="9" fontId="24" fillId="0" borderId="0" xfId="0" applyNumberFormat="1" applyFont="1"/>
    <xf numFmtId="0" fontId="12" fillId="13" borderId="0" xfId="0" applyFont="1" applyFill="1"/>
    <xf numFmtId="0" fontId="14" fillId="13" borderId="0" xfId="0" applyFont="1" applyFill="1"/>
    <xf numFmtId="0" fontId="12" fillId="10" borderId="0" xfId="0" applyFont="1" applyFill="1"/>
    <xf numFmtId="0" fontId="14" fillId="10" borderId="0" xfId="0" applyFont="1" applyFill="1" applyAlignment="1">
      <alignment horizontal="center"/>
    </xf>
    <xf numFmtId="0" fontId="14" fillId="13" borderId="0" xfId="0" applyFont="1" applyFill="1" applyAlignment="1">
      <alignment horizontal="center"/>
    </xf>
    <xf numFmtId="17" fontId="14" fillId="10" borderId="0" xfId="0" applyNumberFormat="1" applyFont="1" applyFill="1" applyAlignment="1">
      <alignment horizontal="center"/>
    </xf>
    <xf numFmtId="17" fontId="14" fillId="13" borderId="0" xfId="0" applyNumberFormat="1" applyFont="1" applyFill="1" applyAlignment="1">
      <alignment horizontal="center"/>
    </xf>
    <xf numFmtId="0" fontId="17" fillId="13" borderId="0" xfId="0" applyFont="1" applyFill="1"/>
    <xf numFmtId="169" fontId="12" fillId="10" borderId="0" xfId="0" applyNumberFormat="1" applyFont="1" applyFill="1"/>
    <xf numFmtId="169" fontId="12" fillId="13" borderId="0" xfId="0" applyNumberFormat="1" applyFont="1" applyFill="1"/>
    <xf numFmtId="169" fontId="14" fillId="13" borderId="0" xfId="0" applyNumberFormat="1" applyFont="1" applyFill="1"/>
    <xf numFmtId="10" fontId="12" fillId="13" borderId="0" xfId="0" applyNumberFormat="1" applyFont="1" applyFill="1"/>
    <xf numFmtId="0" fontId="14" fillId="13" borderId="1" xfId="0" applyFont="1" applyFill="1" applyBorder="1"/>
    <xf numFmtId="169" fontId="14" fillId="10" borderId="1" xfId="0" applyNumberFormat="1" applyFont="1" applyFill="1" applyBorder="1"/>
    <xf numFmtId="169" fontId="14" fillId="13" borderId="1" xfId="0" applyNumberFormat="1" applyFont="1" applyFill="1" applyBorder="1"/>
    <xf numFmtId="165" fontId="12" fillId="13" borderId="0" xfId="0" applyNumberFormat="1" applyFont="1" applyFill="1"/>
    <xf numFmtId="0" fontId="38" fillId="13" borderId="0" xfId="0" applyFont="1" applyFill="1"/>
    <xf numFmtId="169" fontId="38" fillId="10" borderId="0" xfId="0" applyNumberFormat="1" applyFont="1" applyFill="1"/>
    <xf numFmtId="169" fontId="38" fillId="13" borderId="0" xfId="0" applyNumberFormat="1" applyFont="1" applyFill="1"/>
    <xf numFmtId="0" fontId="14" fillId="10" borderId="0" xfId="0" applyFont="1" applyFill="1"/>
    <xf numFmtId="9" fontId="38" fillId="10" borderId="0" xfId="0" applyNumberFormat="1" applyFont="1" applyFill="1"/>
    <xf numFmtId="0" fontId="40" fillId="13" borderId="0" xfId="0" applyFont="1" applyFill="1"/>
    <xf numFmtId="0" fontId="39" fillId="13" borderId="0" xfId="0" applyFont="1" applyFill="1"/>
    <xf numFmtId="9" fontId="41" fillId="10" borderId="0" xfId="0" applyNumberFormat="1" applyFont="1" applyFill="1"/>
    <xf numFmtId="9" fontId="12" fillId="13" borderId="0" xfId="2" applyFont="1" applyFill="1"/>
    <xf numFmtId="9" fontId="12" fillId="10" borderId="0" xfId="0" applyNumberFormat="1" applyFont="1" applyFill="1"/>
    <xf numFmtId="9" fontId="12" fillId="13" borderId="0" xfId="0" applyNumberFormat="1" applyFont="1" applyFill="1"/>
    <xf numFmtId="169" fontId="14" fillId="10" borderId="0" xfId="0" applyNumberFormat="1" applyFont="1" applyFill="1"/>
    <xf numFmtId="169" fontId="14" fillId="15" borderId="0" xfId="0" applyNumberFormat="1" applyFont="1" applyFill="1"/>
    <xf numFmtId="0" fontId="14" fillId="0" borderId="0" xfId="0" applyFont="1" applyAlignment="1">
      <alignment horizontal="center"/>
    </xf>
    <xf numFmtId="17" fontId="14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69" fontId="12" fillId="0" borderId="0" xfId="0" applyNumberFormat="1" applyFont="1"/>
    <xf numFmtId="169" fontId="14" fillId="0" borderId="1" xfId="0" applyNumberFormat="1" applyFont="1" applyBorder="1"/>
    <xf numFmtId="169" fontId="38" fillId="0" borderId="0" xfId="0" applyNumberFormat="1" applyFont="1"/>
    <xf numFmtId="9" fontId="38" fillId="0" borderId="0" xfId="0" applyNumberFormat="1" applyFont="1"/>
    <xf numFmtId="9" fontId="41" fillId="0" borderId="0" xfId="0" applyNumberFormat="1" applyFont="1"/>
    <xf numFmtId="9" fontId="12" fillId="0" borderId="0" xfId="2" applyFont="1" applyFill="1"/>
    <xf numFmtId="9" fontId="12" fillId="0" borderId="0" xfId="0" applyNumberFormat="1" applyFont="1"/>
    <xf numFmtId="169" fontId="14" fillId="0" borderId="0" xfId="0" applyNumberFormat="1" applyFont="1"/>
    <xf numFmtId="9" fontId="42" fillId="0" borderId="0" xfId="2" applyFont="1" applyFill="1" applyAlignment="1">
      <alignment horizontal="center"/>
    </xf>
    <xf numFmtId="9" fontId="12" fillId="0" borderId="0" xfId="2" applyFont="1"/>
    <xf numFmtId="0" fontId="49" fillId="0" borderId="0" xfId="0" applyFont="1"/>
    <xf numFmtId="2" fontId="0" fillId="0" borderId="0" xfId="0" applyNumberFormat="1"/>
    <xf numFmtId="2" fontId="49" fillId="0" borderId="0" xfId="0" applyNumberFormat="1" applyFont="1"/>
    <xf numFmtId="9" fontId="49" fillId="0" borderId="0" xfId="0" applyNumberFormat="1" applyFont="1"/>
    <xf numFmtId="9" fontId="42" fillId="10" borderId="0" xfId="2" applyFont="1" applyFill="1" applyAlignment="1">
      <alignment horizontal="center"/>
    </xf>
    <xf numFmtId="17" fontId="23" fillId="10" borderId="0" xfId="0" applyNumberFormat="1" applyFont="1" applyFill="1" applyAlignment="1">
      <alignment horizontal="center"/>
    </xf>
    <xf numFmtId="17" fontId="23" fillId="0" borderId="0" xfId="0" applyNumberFormat="1" applyFont="1" applyAlignment="1">
      <alignment horizontal="center"/>
    </xf>
    <xf numFmtId="9" fontId="50" fillId="12" borderId="2" xfId="7" applyNumberFormat="1" applyFont="1"/>
    <xf numFmtId="17" fontId="23" fillId="0" borderId="0" xfId="0" applyNumberFormat="1" applyFont="1" applyAlignment="1">
      <alignment horizontal="center" vertical="center"/>
    </xf>
    <xf numFmtId="169" fontId="23" fillId="0" borderId="0" xfId="0" applyNumberFormat="1" applyFont="1" applyAlignment="1">
      <alignment horizontal="center"/>
    </xf>
    <xf numFmtId="0" fontId="22" fillId="0" borderId="0" xfId="0" applyFont="1" applyAlignment="1">
      <alignment vertical="center"/>
    </xf>
    <xf numFmtId="169" fontId="24" fillId="0" borderId="0" xfId="0" applyNumberFormat="1" applyFont="1" applyAlignment="1">
      <alignment horizontal="center"/>
    </xf>
    <xf numFmtId="169" fontId="22" fillId="0" borderId="0" xfId="0" applyNumberFormat="1" applyFont="1" applyAlignment="1">
      <alignment horizontal="center"/>
    </xf>
    <xf numFmtId="10" fontId="24" fillId="0" borderId="0" xfId="0" applyNumberFormat="1" applyFont="1"/>
    <xf numFmtId="43" fontId="24" fillId="0" borderId="0" xfId="0" applyNumberFormat="1" applyFont="1"/>
    <xf numFmtId="169" fontId="23" fillId="10" borderId="0" xfId="0" applyNumberFormat="1" applyFont="1" applyFill="1" applyAlignment="1">
      <alignment horizontal="center"/>
    </xf>
    <xf numFmtId="169" fontId="23" fillId="11" borderId="0" xfId="0" applyNumberFormat="1" applyFont="1" applyFill="1" applyAlignment="1">
      <alignment horizontal="center"/>
    </xf>
    <xf numFmtId="9" fontId="50" fillId="10" borderId="2" xfId="7" applyNumberFormat="1" applyFont="1" applyFill="1"/>
    <xf numFmtId="9" fontId="22" fillId="10" borderId="0" xfId="0" applyNumberFormat="1" applyFont="1" applyFill="1"/>
    <xf numFmtId="169" fontId="22" fillId="10" borderId="3" xfId="0" applyNumberFormat="1" applyFont="1" applyFill="1" applyBorder="1"/>
    <xf numFmtId="169" fontId="22" fillId="0" borderId="3" xfId="0" applyNumberFormat="1" applyFont="1" applyBorder="1"/>
    <xf numFmtId="9" fontId="50" fillId="10" borderId="2" xfId="2" applyFont="1" applyFill="1" applyBorder="1"/>
    <xf numFmtId="9" fontId="50" fillId="12" borderId="2" xfId="2" applyFont="1" applyFill="1" applyBorder="1"/>
    <xf numFmtId="9" fontId="51" fillId="10" borderId="2" xfId="2" applyFont="1" applyFill="1" applyBorder="1"/>
    <xf numFmtId="9" fontId="51" fillId="12" borderId="2" xfId="2" applyFont="1" applyFill="1" applyBorder="1"/>
    <xf numFmtId="3" fontId="51" fillId="10" borderId="2" xfId="7" applyNumberFormat="1" applyFont="1" applyFill="1"/>
    <xf numFmtId="3" fontId="51" fillId="12" borderId="2" xfId="7" applyNumberFormat="1" applyFont="1"/>
    <xf numFmtId="2" fontId="51" fillId="10" borderId="2" xfId="6" applyNumberFormat="1" applyFont="1" applyFill="1" applyBorder="1"/>
    <xf numFmtId="169" fontId="22" fillId="11" borderId="3" xfId="0" applyNumberFormat="1" applyFont="1" applyFill="1" applyBorder="1"/>
    <xf numFmtId="43" fontId="24" fillId="10" borderId="0" xfId="0" applyNumberFormat="1" applyFont="1" applyFill="1"/>
    <xf numFmtId="169" fontId="23" fillId="10" borderId="0" xfId="0" applyNumberFormat="1" applyFont="1" applyFill="1"/>
    <xf numFmtId="169" fontId="23" fillId="0" borderId="0" xfId="0" applyNumberFormat="1" applyFont="1"/>
    <xf numFmtId="0" fontId="22" fillId="0" borderId="4" xfId="0" applyFont="1" applyBorder="1"/>
    <xf numFmtId="0" fontId="22" fillId="10" borderId="4" xfId="0" applyFont="1" applyFill="1" applyBorder="1"/>
    <xf numFmtId="169" fontId="23" fillId="10" borderId="4" xfId="0" applyNumberFormat="1" applyFont="1" applyFill="1" applyBorder="1"/>
    <xf numFmtId="169" fontId="23" fillId="0" borderId="4" xfId="0" applyNumberFormat="1" applyFont="1" applyBorder="1"/>
    <xf numFmtId="0" fontId="22" fillId="9" borderId="0" xfId="0" applyFont="1" applyFill="1"/>
    <xf numFmtId="168" fontId="22" fillId="10" borderId="0" xfId="2" applyNumberFormat="1" applyFont="1" applyFill="1"/>
    <xf numFmtId="168" fontId="24" fillId="10" borderId="0" xfId="2" applyNumberFormat="1" applyFont="1" applyFill="1"/>
    <xf numFmtId="168" fontId="24" fillId="0" borderId="0" xfId="2" applyNumberFormat="1" applyFont="1"/>
    <xf numFmtId="169" fontId="26" fillId="10" borderId="0" xfId="0" applyNumberFormat="1" applyFont="1" applyFill="1"/>
    <xf numFmtId="0" fontId="52" fillId="0" borderId="0" xfId="0" applyFont="1"/>
    <xf numFmtId="167" fontId="0" fillId="0" borderId="0" xfId="1" applyNumberFormat="1" applyFont="1"/>
    <xf numFmtId="0" fontId="5" fillId="4" borderId="0" xfId="0" applyFont="1" applyFill="1"/>
    <xf numFmtId="167" fontId="52" fillId="0" borderId="0" xfId="1" applyNumberFormat="1" applyFont="1"/>
    <xf numFmtId="17" fontId="10" fillId="0" borderId="0" xfId="0" applyNumberFormat="1" applyFont="1"/>
    <xf numFmtId="9" fontId="24" fillId="0" borderId="0" xfId="2" applyFont="1"/>
    <xf numFmtId="43" fontId="14" fillId="0" borderId="0" xfId="0" applyNumberFormat="1" applyFont="1"/>
    <xf numFmtId="9" fontId="14" fillId="13" borderId="0" xfId="2" applyFont="1" applyFill="1"/>
    <xf numFmtId="167" fontId="0" fillId="0" borderId="0" xfId="0" applyNumberFormat="1"/>
    <xf numFmtId="0" fontId="54" fillId="13" borderId="0" xfId="0" applyFont="1" applyFill="1"/>
    <xf numFmtId="0" fontId="22" fillId="0" borderId="0" xfId="3" applyFont="1" applyAlignment="1">
      <alignment horizontal="left" vertical="center" wrapText="1"/>
    </xf>
    <xf numFmtId="169" fontId="24" fillId="17" borderId="0" xfId="0" applyNumberFormat="1" applyFont="1" applyFill="1"/>
    <xf numFmtId="17" fontId="22" fillId="0" borderId="0" xfId="0" applyNumberFormat="1" applyFont="1"/>
    <xf numFmtId="0" fontId="54" fillId="0" borderId="0" xfId="0" applyFont="1"/>
    <xf numFmtId="0" fontId="22" fillId="0" borderId="0" xfId="0" applyFont="1" applyAlignment="1">
      <alignment horizontal="left" indent="1"/>
    </xf>
    <xf numFmtId="10" fontId="0" fillId="0" borderId="0" xfId="2" applyNumberFormat="1" applyFont="1"/>
    <xf numFmtId="0" fontId="0" fillId="11" borderId="0" xfId="0" applyFill="1"/>
    <xf numFmtId="0" fontId="0" fillId="0" borderId="0" xfId="0" applyAlignment="1">
      <alignment horizontal="left"/>
    </xf>
    <xf numFmtId="165" fontId="0" fillId="0" borderId="0" xfId="1" applyFont="1"/>
    <xf numFmtId="17" fontId="0" fillId="0" borderId="0" xfId="1" applyNumberFormat="1" applyFont="1"/>
    <xf numFmtId="165" fontId="49" fillId="0" borderId="0" xfId="1" applyFont="1"/>
    <xf numFmtId="165" fontId="1" fillId="0" borderId="0" xfId="1" applyFont="1"/>
    <xf numFmtId="0" fontId="17" fillId="0" borderId="0" xfId="0" applyFont="1"/>
    <xf numFmtId="0" fontId="14" fillId="0" borderId="1" xfId="0" applyFont="1" applyBorder="1"/>
    <xf numFmtId="0" fontId="38" fillId="0" borderId="0" xfId="0" applyFont="1"/>
    <xf numFmtId="165" fontId="12" fillId="0" borderId="0" xfId="0" applyNumberFormat="1" applyFont="1"/>
    <xf numFmtId="9" fontId="14" fillId="0" borderId="0" xfId="0" applyNumberFormat="1" applyFont="1"/>
    <xf numFmtId="0" fontId="22" fillId="5" borderId="0" xfId="0" applyFont="1" applyFill="1"/>
    <xf numFmtId="0" fontId="24" fillId="5" borderId="0" xfId="0" applyFont="1" applyFill="1"/>
    <xf numFmtId="169" fontId="24" fillId="5" borderId="0" xfId="0" applyNumberFormat="1" applyFont="1" applyFill="1" applyAlignment="1">
      <alignment horizontal="center"/>
    </xf>
    <xf numFmtId="169" fontId="22" fillId="5" borderId="4" xfId="0" applyNumberFormat="1" applyFont="1" applyFill="1" applyBorder="1" applyAlignment="1">
      <alignment horizontal="center"/>
    </xf>
    <xf numFmtId="169" fontId="22" fillId="5" borderId="0" xfId="0" applyNumberFormat="1" applyFont="1" applyFill="1" applyAlignment="1">
      <alignment horizontal="center"/>
    </xf>
    <xf numFmtId="0" fontId="22" fillId="5" borderId="0" xfId="0" applyFont="1" applyFill="1" applyAlignment="1">
      <alignment horizontal="center"/>
    </xf>
    <xf numFmtId="0" fontId="24" fillId="5" borderId="0" xfId="0" applyFont="1" applyFill="1" applyAlignment="1">
      <alignment horizontal="center"/>
    </xf>
    <xf numFmtId="165" fontId="24" fillId="0" borderId="0" xfId="1" applyFont="1" applyAlignment="1">
      <alignment horizontal="center"/>
    </xf>
    <xf numFmtId="165" fontId="24" fillId="5" borderId="0" xfId="1" applyFont="1" applyFill="1"/>
    <xf numFmtId="0" fontId="24" fillId="11" borderId="0" xfId="0" applyFont="1" applyFill="1"/>
    <xf numFmtId="165" fontId="24" fillId="0" borderId="0" xfId="1" applyFont="1"/>
    <xf numFmtId="167" fontId="22" fillId="0" borderId="0" xfId="0" applyNumberFormat="1" applyFont="1"/>
    <xf numFmtId="169" fontId="24" fillId="11" borderId="0" xfId="0" applyNumberFormat="1" applyFont="1" applyFill="1"/>
    <xf numFmtId="169" fontId="24" fillId="20" borderId="0" xfId="0" applyNumberFormat="1" applyFont="1" applyFill="1"/>
    <xf numFmtId="0" fontId="24" fillId="20" borderId="0" xfId="0" applyFont="1" applyFill="1"/>
    <xf numFmtId="169" fontId="24" fillId="21" borderId="0" xfId="0" applyNumberFormat="1" applyFont="1" applyFill="1"/>
    <xf numFmtId="0" fontId="22" fillId="22" borderId="0" xfId="0" applyFont="1" applyFill="1" applyAlignment="1">
      <alignment horizontal="center" vertical="center"/>
    </xf>
    <xf numFmtId="0" fontId="24" fillId="22" borderId="0" xfId="0" applyFont="1" applyFill="1"/>
    <xf numFmtId="17" fontId="22" fillId="22" borderId="0" xfId="3" applyNumberFormat="1" applyFont="1" applyFill="1" applyAlignment="1">
      <alignment horizontal="center" vertical="center" wrapText="1"/>
    </xf>
    <xf numFmtId="9" fontId="23" fillId="0" borderId="0" xfId="2" applyFont="1" applyAlignment="1">
      <alignment horizontal="center"/>
    </xf>
    <xf numFmtId="0" fontId="56" fillId="0" borderId="0" xfId="0" applyFont="1"/>
    <xf numFmtId="0" fontId="25" fillId="0" borderId="0" xfId="3" applyFont="1"/>
    <xf numFmtId="0" fontId="25" fillId="0" borderId="0" xfId="3" applyFont="1" applyAlignment="1">
      <alignment wrapText="1"/>
    </xf>
    <xf numFmtId="167" fontId="12" fillId="0" borderId="0" xfId="1" applyNumberFormat="1" applyFont="1" applyBorder="1"/>
    <xf numFmtId="167" fontId="14" fillId="0" borderId="0" xfId="1" applyNumberFormat="1" applyFont="1" applyFill="1" applyBorder="1"/>
    <xf numFmtId="165" fontId="12" fillId="8" borderId="0" xfId="1" applyFont="1" applyFill="1" applyBorder="1"/>
    <xf numFmtId="9" fontId="12" fillId="5" borderId="0" xfId="2" applyFont="1" applyFill="1" applyBorder="1" applyAlignment="1">
      <alignment vertical="center"/>
    </xf>
    <xf numFmtId="166" fontId="15" fillId="0" borderId="0" xfId="1" applyNumberFormat="1" applyFont="1" applyFill="1" applyBorder="1" applyAlignment="1">
      <alignment vertical="center"/>
    </xf>
    <xf numFmtId="166" fontId="16" fillId="5" borderId="0" xfId="1" applyNumberFormat="1" applyFont="1" applyFill="1" applyBorder="1" applyAlignment="1">
      <alignment vertical="center"/>
    </xf>
    <xf numFmtId="9" fontId="16" fillId="5" borderId="0" xfId="2" applyFont="1" applyFill="1" applyBorder="1" applyAlignment="1">
      <alignment vertical="center"/>
    </xf>
    <xf numFmtId="9" fontId="47" fillId="3" borderId="0" xfId="2" applyFont="1" applyFill="1" applyBorder="1" applyAlignment="1">
      <alignment vertical="center"/>
    </xf>
    <xf numFmtId="9" fontId="16" fillId="14" borderId="0" xfId="2" applyFont="1" applyFill="1" applyBorder="1" applyAlignment="1">
      <alignment vertical="center"/>
    </xf>
    <xf numFmtId="9" fontId="16" fillId="3" borderId="0" xfId="2" applyFont="1" applyFill="1" applyBorder="1" applyAlignment="1">
      <alignment vertical="center"/>
    </xf>
    <xf numFmtId="9" fontId="42" fillId="13" borderId="0" xfId="2" applyFont="1" applyFill="1" applyAlignment="1">
      <alignment horizontal="center"/>
    </xf>
    <xf numFmtId="17" fontId="13" fillId="2" borderId="0" xfId="0" applyNumberFormat="1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3" fontId="12" fillId="8" borderId="0" xfId="0" applyNumberFormat="1" applyFont="1" applyFill="1"/>
    <xf numFmtId="9" fontId="12" fillId="8" borderId="0" xfId="2" applyFont="1" applyFill="1" applyBorder="1"/>
    <xf numFmtId="10" fontId="12" fillId="8" borderId="0" xfId="0" applyNumberFormat="1" applyFont="1" applyFill="1"/>
    <xf numFmtId="167" fontId="14" fillId="0" borderId="0" xfId="1" applyNumberFormat="1" applyFont="1" applyBorder="1"/>
    <xf numFmtId="167" fontId="12" fillId="0" borderId="0" xfId="0" applyNumberFormat="1" applyFont="1"/>
    <xf numFmtId="167" fontId="45" fillId="0" borderId="0" xfId="0" applyNumberFormat="1" applyFont="1"/>
    <xf numFmtId="167" fontId="12" fillId="0" borderId="0" xfId="0" applyNumberFormat="1" applyFont="1" applyAlignment="1">
      <alignment horizontal="center"/>
    </xf>
    <xf numFmtId="38" fontId="14" fillId="5" borderId="0" xfId="3" applyNumberFormat="1" applyFont="1" applyFill="1" applyAlignment="1">
      <alignment vertical="center"/>
    </xf>
    <xf numFmtId="38" fontId="14" fillId="0" borderId="0" xfId="3" applyNumberFormat="1" applyFont="1" applyAlignment="1">
      <alignment vertical="center"/>
    </xf>
    <xf numFmtId="9" fontId="48" fillId="0" borderId="0" xfId="0" applyNumberFormat="1" applyFont="1"/>
    <xf numFmtId="0" fontId="12" fillId="7" borderId="0" xfId="0" applyFont="1" applyFill="1"/>
    <xf numFmtId="0" fontId="12" fillId="0" borderId="0" xfId="0" applyFont="1" applyAlignment="1">
      <alignment vertical="center"/>
    </xf>
    <xf numFmtId="38" fontId="12" fillId="0" borderId="0" xfId="3" applyNumberFormat="1" applyFont="1" applyAlignment="1">
      <alignment vertical="center"/>
    </xf>
    <xf numFmtId="38" fontId="12" fillId="0" borderId="0" xfId="0" applyNumberFormat="1" applyFont="1" applyAlignment="1">
      <alignment vertical="center"/>
    </xf>
    <xf numFmtId="38" fontId="19" fillId="0" borderId="0" xfId="3" applyNumberFormat="1" applyFont="1" applyAlignment="1">
      <alignment vertical="center"/>
    </xf>
    <xf numFmtId="0" fontId="14" fillId="0" borderId="0" xfId="3" applyFont="1" applyAlignment="1">
      <alignment vertical="center"/>
    </xf>
    <xf numFmtId="17" fontId="12" fillId="0" borderId="0" xfId="3" quotePrefix="1" applyNumberFormat="1" applyFont="1" applyAlignment="1">
      <alignment vertical="center"/>
    </xf>
    <xf numFmtId="0" fontId="12" fillId="0" borderId="0" xfId="3" applyFont="1" applyAlignment="1">
      <alignment vertical="center"/>
    </xf>
    <xf numFmtId="1" fontId="12" fillId="0" borderId="0" xfId="3" applyNumberFormat="1" applyFont="1" applyAlignment="1">
      <alignment vertical="center"/>
    </xf>
    <xf numFmtId="43" fontId="12" fillId="0" borderId="0" xfId="0" applyNumberFormat="1" applyFont="1" applyAlignment="1">
      <alignment vertical="center"/>
    </xf>
    <xf numFmtId="0" fontId="12" fillId="9" borderId="0" xfId="0" applyFont="1" applyFill="1"/>
    <xf numFmtId="17" fontId="13" fillId="23" borderId="0" xfId="0" applyNumberFormat="1" applyFont="1" applyFill="1" applyAlignment="1">
      <alignment horizontal="center" vertical="center"/>
    </xf>
    <xf numFmtId="0" fontId="13" fillId="23" borderId="0" xfId="0" applyFont="1" applyFill="1" applyAlignment="1">
      <alignment horizontal="center" vertical="center"/>
    </xf>
    <xf numFmtId="3" fontId="12" fillId="9" borderId="0" xfId="0" applyNumberFormat="1" applyFont="1" applyFill="1"/>
    <xf numFmtId="9" fontId="12" fillId="9" borderId="0" xfId="2" applyFont="1" applyFill="1" applyBorder="1"/>
    <xf numFmtId="10" fontId="12" fillId="9" borderId="0" xfId="0" applyNumberFormat="1" applyFont="1" applyFill="1"/>
    <xf numFmtId="167" fontId="12" fillId="9" borderId="0" xfId="1" applyNumberFormat="1" applyFont="1" applyFill="1" applyBorder="1"/>
    <xf numFmtId="167" fontId="14" fillId="9" borderId="0" xfId="1" applyNumberFormat="1" applyFont="1" applyFill="1" applyBorder="1"/>
    <xf numFmtId="167" fontId="46" fillId="9" borderId="0" xfId="0" applyNumberFormat="1" applyFont="1" applyFill="1"/>
    <xf numFmtId="165" fontId="12" fillId="9" borderId="0" xfId="1" applyFont="1" applyFill="1" applyBorder="1"/>
    <xf numFmtId="167" fontId="12" fillId="9" borderId="0" xfId="0" applyNumberFormat="1" applyFont="1" applyFill="1"/>
    <xf numFmtId="167" fontId="45" fillId="9" borderId="0" xfId="0" applyNumberFormat="1" applyFont="1" applyFill="1"/>
    <xf numFmtId="167" fontId="12" fillId="9" borderId="0" xfId="0" applyNumberFormat="1" applyFont="1" applyFill="1" applyAlignment="1">
      <alignment horizontal="center"/>
    </xf>
    <xf numFmtId="9" fontId="43" fillId="9" borderId="0" xfId="2" applyFont="1" applyFill="1" applyBorder="1" applyAlignment="1">
      <alignment horizontal="center"/>
    </xf>
    <xf numFmtId="0" fontId="14" fillId="9" borderId="0" xfId="0" applyFont="1" applyFill="1"/>
    <xf numFmtId="38" fontId="14" fillId="9" borderId="0" xfId="3" applyNumberFormat="1" applyFont="1" applyFill="1" applyAlignment="1">
      <alignment vertical="center"/>
    </xf>
    <xf numFmtId="9" fontId="12" fillId="0" borderId="0" xfId="2" applyFont="1" applyFill="1" applyBorder="1" applyAlignment="1">
      <alignment vertical="center"/>
    </xf>
    <xf numFmtId="166" fontId="16" fillId="9" borderId="0" xfId="1" applyNumberFormat="1" applyFont="1" applyFill="1" applyBorder="1" applyAlignment="1">
      <alignment vertical="center"/>
    </xf>
    <xf numFmtId="0" fontId="11" fillId="0" borderId="0" xfId="0" applyFont="1"/>
    <xf numFmtId="0" fontId="44" fillId="0" borderId="0" xfId="5" applyFont="1" applyBorder="1"/>
    <xf numFmtId="0" fontId="11" fillId="0" borderId="0" xfId="0" applyFont="1" applyAlignment="1">
      <alignment vertical="center"/>
    </xf>
    <xf numFmtId="0" fontId="45" fillId="0" borderId="0" xfId="0" applyFont="1"/>
    <xf numFmtId="0" fontId="11" fillId="0" borderId="0" xfId="3" applyFont="1" applyAlignment="1">
      <alignment vertical="center"/>
    </xf>
    <xf numFmtId="0" fontId="17" fillId="0" borderId="0" xfId="3" applyFont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11" fillId="7" borderId="0" xfId="0" applyFont="1" applyFill="1" applyAlignment="1">
      <alignment vertical="center"/>
    </xf>
    <xf numFmtId="0" fontId="21" fillId="0" borderId="0" xfId="3" applyFont="1" applyAlignment="1">
      <alignment vertical="center"/>
    </xf>
    <xf numFmtId="0" fontId="18" fillId="0" borderId="0" xfId="5" applyFont="1" applyBorder="1" applyAlignment="1">
      <alignment vertical="center"/>
    </xf>
    <xf numFmtId="17" fontId="11" fillId="0" borderId="0" xfId="3" quotePrefix="1" applyNumberFormat="1" applyFont="1" applyAlignment="1">
      <alignment vertical="center"/>
    </xf>
    <xf numFmtId="0" fontId="14" fillId="18" borderId="0" xfId="3" applyFont="1" applyFill="1" applyAlignment="1">
      <alignment vertical="center"/>
    </xf>
    <xf numFmtId="0" fontId="20" fillId="0" borderId="0" xfId="3" applyFont="1" applyAlignment="1">
      <alignment vertical="center"/>
    </xf>
    <xf numFmtId="0" fontId="11" fillId="7" borderId="0" xfId="0" applyFont="1" applyFill="1"/>
    <xf numFmtId="0" fontId="17" fillId="0" borderId="0" xfId="3" applyFont="1" applyAlignment="1">
      <alignment vertical="center"/>
    </xf>
    <xf numFmtId="17" fontId="14" fillId="0" borderId="0" xfId="3" quotePrefix="1" applyNumberFormat="1" applyFont="1" applyAlignment="1">
      <alignment vertical="center"/>
    </xf>
    <xf numFmtId="167" fontId="12" fillId="0" borderId="0" xfId="1" quotePrefix="1" applyNumberFormat="1" applyFont="1" applyBorder="1" applyAlignment="1">
      <alignment vertical="center"/>
    </xf>
    <xf numFmtId="0" fontId="12" fillId="4" borderId="0" xfId="3" applyFont="1" applyFill="1" applyAlignment="1">
      <alignment vertical="center"/>
    </xf>
    <xf numFmtId="167" fontId="12" fillId="8" borderId="0" xfId="1" applyNumberFormat="1" applyFont="1" applyFill="1" applyBorder="1"/>
    <xf numFmtId="3" fontId="12" fillId="0" borderId="0" xfId="0" applyNumberFormat="1" applyFont="1"/>
    <xf numFmtId="9" fontId="12" fillId="13" borderId="0" xfId="2" applyFont="1" applyFill="1" applyBorder="1"/>
    <xf numFmtId="9" fontId="16" fillId="9" borderId="0" xfId="2" applyFont="1" applyFill="1" applyBorder="1" applyAlignment="1">
      <alignment vertical="center"/>
    </xf>
    <xf numFmtId="166" fontId="15" fillId="9" borderId="0" xfId="1" applyNumberFormat="1" applyFont="1" applyFill="1" applyBorder="1" applyAlignment="1">
      <alignment vertical="center"/>
    </xf>
    <xf numFmtId="17" fontId="13" fillId="24" borderId="0" xfId="0" applyNumberFormat="1" applyFont="1" applyFill="1" applyAlignment="1">
      <alignment horizontal="center" vertical="center"/>
    </xf>
    <xf numFmtId="0" fontId="13" fillId="24" borderId="0" xfId="0" applyFont="1" applyFill="1" applyAlignment="1">
      <alignment horizontal="center" vertical="center"/>
    </xf>
    <xf numFmtId="167" fontId="12" fillId="5" borderId="0" xfId="1" applyNumberFormat="1" applyFont="1" applyFill="1" applyBorder="1"/>
    <xf numFmtId="9" fontId="12" fillId="0" borderId="0" xfId="2" applyFont="1" applyBorder="1"/>
    <xf numFmtId="0" fontId="40" fillId="0" borderId="0" xfId="0" applyFont="1"/>
    <xf numFmtId="165" fontId="52" fillId="0" borderId="0" xfId="1" applyFont="1"/>
    <xf numFmtId="9" fontId="50" fillId="0" borderId="2" xfId="7" applyNumberFormat="1" applyFont="1" applyFill="1"/>
    <xf numFmtId="169" fontId="24" fillId="25" borderId="0" xfId="0" applyNumberFormat="1" applyFont="1" applyFill="1"/>
    <xf numFmtId="0" fontId="57" fillId="0" borderId="0" xfId="0" applyFont="1"/>
    <xf numFmtId="0" fontId="58" fillId="0" borderId="0" xfId="0" applyFont="1"/>
    <xf numFmtId="9" fontId="58" fillId="0" borderId="0" xfId="0" applyNumberFormat="1" applyFont="1"/>
    <xf numFmtId="9" fontId="24" fillId="8" borderId="0" xfId="2" applyFont="1" applyFill="1"/>
    <xf numFmtId="9" fontId="22" fillId="8" borderId="0" xfId="2" applyFont="1" applyFill="1"/>
    <xf numFmtId="167" fontId="22" fillId="0" borderId="0" xfId="1" applyNumberFormat="1" applyFont="1" applyFill="1"/>
    <xf numFmtId="167" fontId="24" fillId="0" borderId="0" xfId="1" applyNumberFormat="1" applyFont="1" applyFill="1"/>
    <xf numFmtId="167" fontId="58" fillId="0" borderId="0" xfId="1" applyNumberFormat="1" applyFont="1" applyFill="1"/>
    <xf numFmtId="9" fontId="0" fillId="0" borderId="0" xfId="2" applyFont="1"/>
    <xf numFmtId="0" fontId="10" fillId="4" borderId="0" xfId="0" applyFont="1" applyFill="1"/>
    <xf numFmtId="0" fontId="10" fillId="7" borderId="0" xfId="0" applyFont="1" applyFill="1"/>
    <xf numFmtId="38" fontId="14" fillId="8" borderId="0" xfId="3" applyNumberFormat="1" applyFont="1" applyFill="1" applyAlignment="1">
      <alignment vertical="center"/>
    </xf>
    <xf numFmtId="9" fontId="12" fillId="8" borderId="0" xfId="2" applyFont="1" applyFill="1" applyBorder="1" applyAlignment="1">
      <alignment vertical="center"/>
    </xf>
    <xf numFmtId="166" fontId="16" fillId="8" borderId="0" xfId="1" applyNumberFormat="1" applyFont="1" applyFill="1" applyBorder="1" applyAlignment="1">
      <alignment vertical="center"/>
    </xf>
    <xf numFmtId="9" fontId="16" fillId="8" borderId="0" xfId="2" applyFont="1" applyFill="1" applyBorder="1" applyAlignment="1">
      <alignment vertical="center"/>
    </xf>
    <xf numFmtId="9" fontId="14" fillId="8" borderId="0" xfId="2" applyFont="1" applyFill="1" applyBorder="1" applyAlignment="1">
      <alignment vertical="center"/>
    </xf>
    <xf numFmtId="0" fontId="11" fillId="0" borderId="0" xfId="0" applyFont="1" applyProtection="1">
      <protection locked="0"/>
    </xf>
    <xf numFmtId="0" fontId="12" fillId="0" borderId="0" xfId="0" applyFont="1" applyProtection="1">
      <protection locked="0"/>
    </xf>
    <xf numFmtId="0" fontId="12" fillId="9" borderId="0" xfId="0" applyFont="1" applyFill="1" applyProtection="1">
      <protection locked="0"/>
    </xf>
    <xf numFmtId="3" fontId="12" fillId="9" borderId="0" xfId="0" applyNumberFormat="1" applyFont="1" applyFill="1" applyProtection="1">
      <protection locked="0"/>
    </xf>
    <xf numFmtId="3" fontId="12" fillId="8" borderId="0" xfId="0" applyNumberFormat="1" applyFont="1" applyFill="1" applyProtection="1">
      <protection locked="0"/>
    </xf>
    <xf numFmtId="167" fontId="12" fillId="0" borderId="0" xfId="1" applyNumberFormat="1" applyFont="1" applyBorder="1" applyProtection="1">
      <protection locked="0"/>
    </xf>
    <xf numFmtId="0" fontId="11" fillId="0" borderId="0" xfId="0" applyFont="1" applyAlignment="1" applyProtection="1">
      <alignment vertical="center"/>
      <protection locked="0"/>
    </xf>
    <xf numFmtId="168" fontId="12" fillId="8" borderId="0" xfId="0" applyNumberFormat="1" applyFont="1" applyFill="1" applyProtection="1">
      <protection locked="0"/>
    </xf>
    <xf numFmtId="9" fontId="12" fillId="8" borderId="0" xfId="2" applyFont="1" applyFill="1" applyBorder="1" applyProtection="1">
      <protection locked="0"/>
    </xf>
    <xf numFmtId="10" fontId="12" fillId="9" borderId="0" xfId="0" applyNumberFormat="1" applyFont="1" applyFill="1" applyProtection="1">
      <protection locked="0"/>
    </xf>
    <xf numFmtId="10" fontId="12" fillId="8" borderId="0" xfId="0" applyNumberFormat="1" applyFont="1" applyFill="1" applyProtection="1">
      <protection locked="0"/>
    </xf>
    <xf numFmtId="167" fontId="12" fillId="9" borderId="0" xfId="1" applyNumberFormat="1" applyFont="1" applyFill="1" applyBorder="1" applyProtection="1">
      <protection locked="0"/>
    </xf>
    <xf numFmtId="167" fontId="14" fillId="9" borderId="0" xfId="1" applyNumberFormat="1" applyFont="1" applyFill="1" applyBorder="1" applyProtection="1">
      <protection locked="0"/>
    </xf>
    <xf numFmtId="167" fontId="14" fillId="0" borderId="0" xfId="1" applyNumberFormat="1" applyFont="1" applyBorder="1" applyProtection="1">
      <protection locked="0"/>
    </xf>
    <xf numFmtId="165" fontId="12" fillId="9" borderId="0" xfId="1" applyFont="1" applyFill="1" applyBorder="1" applyProtection="1">
      <protection locked="0"/>
    </xf>
    <xf numFmtId="165" fontId="12" fillId="8" borderId="0" xfId="1" applyFont="1" applyFill="1" applyBorder="1" applyProtection="1">
      <protection locked="0"/>
    </xf>
    <xf numFmtId="0" fontId="44" fillId="0" borderId="0" xfId="5" applyFont="1" applyBorder="1" applyProtection="1">
      <protection locked="0"/>
    </xf>
    <xf numFmtId="167" fontId="12" fillId="8" borderId="0" xfId="1" applyNumberFormat="1" applyFont="1" applyFill="1" applyBorder="1" applyProtection="1">
      <protection locked="0"/>
    </xf>
    <xf numFmtId="9" fontId="12" fillId="9" borderId="0" xfId="2" applyFont="1" applyFill="1" applyBorder="1" applyProtection="1">
      <protection locked="0"/>
    </xf>
    <xf numFmtId="0" fontId="11" fillId="0" borderId="0" xfId="3" applyFont="1" applyAlignment="1" applyProtection="1">
      <alignment vertical="center"/>
      <protection locked="0"/>
    </xf>
    <xf numFmtId="0" fontId="14" fillId="0" borderId="0" xfId="3" applyFont="1" applyAlignment="1" applyProtection="1">
      <alignment vertical="center"/>
      <protection locked="0"/>
    </xf>
    <xf numFmtId="0" fontId="12" fillId="0" borderId="0" xfId="3" applyFont="1" applyAlignment="1" applyProtection="1">
      <alignment vertical="center"/>
      <protection locked="0"/>
    </xf>
    <xf numFmtId="38" fontId="14" fillId="9" borderId="0" xfId="3" applyNumberFormat="1" applyFont="1" applyFill="1" applyAlignment="1" applyProtection="1">
      <alignment vertical="center"/>
      <protection locked="0"/>
    </xf>
    <xf numFmtId="38" fontId="14" fillId="8" borderId="0" xfId="3" applyNumberFormat="1" applyFont="1" applyFill="1" applyAlignment="1" applyProtection="1">
      <alignment vertical="center"/>
      <protection locked="0"/>
    </xf>
    <xf numFmtId="38" fontId="14" fillId="0" borderId="0" xfId="3" applyNumberFormat="1" applyFont="1" applyAlignment="1" applyProtection="1">
      <alignment vertical="center"/>
      <protection locked="0"/>
    </xf>
    <xf numFmtId="0" fontId="17" fillId="0" borderId="0" xfId="3" applyFont="1" applyAlignment="1" applyProtection="1">
      <alignment vertical="center"/>
      <protection locked="0"/>
    </xf>
    <xf numFmtId="0" fontId="14" fillId="0" borderId="0" xfId="3" applyFont="1" applyAlignment="1" applyProtection="1">
      <alignment horizontal="left" vertical="center"/>
      <protection locked="0"/>
    </xf>
    <xf numFmtId="9" fontId="12" fillId="0" borderId="0" xfId="2" applyFont="1" applyFill="1" applyBorder="1" applyAlignment="1" applyProtection="1">
      <alignment vertical="center"/>
      <protection locked="0"/>
    </xf>
    <xf numFmtId="9" fontId="12" fillId="8" borderId="0" xfId="2" applyFont="1" applyFill="1" applyBorder="1" applyAlignment="1" applyProtection="1">
      <alignment vertical="center"/>
      <protection locked="0"/>
    </xf>
    <xf numFmtId="9" fontId="48" fillId="0" borderId="0" xfId="0" applyNumberFormat="1" applyFont="1" applyProtection="1">
      <protection locked="0"/>
    </xf>
    <xf numFmtId="166" fontId="16" fillId="9" borderId="0" xfId="1" applyNumberFormat="1" applyFont="1" applyFill="1" applyBorder="1" applyAlignment="1" applyProtection="1">
      <alignment vertical="center"/>
      <protection locked="0"/>
    </xf>
    <xf numFmtId="166" fontId="16" fillId="8" borderId="0" xfId="1" applyNumberFormat="1" applyFont="1" applyFill="1" applyBorder="1" applyAlignment="1" applyProtection="1">
      <alignment vertical="center"/>
      <protection locked="0"/>
    </xf>
    <xf numFmtId="9" fontId="16" fillId="9" borderId="0" xfId="2" applyFont="1" applyFill="1" applyBorder="1" applyAlignment="1" applyProtection="1">
      <alignment vertical="center"/>
      <protection locked="0"/>
    </xf>
    <xf numFmtId="9" fontId="16" fillId="8" borderId="0" xfId="2" applyFont="1" applyFill="1" applyBorder="1" applyAlignment="1" applyProtection="1">
      <alignment vertical="center"/>
      <protection locked="0"/>
    </xf>
    <xf numFmtId="0" fontId="18" fillId="0" borderId="0" xfId="5" applyFont="1" applyBorder="1" applyAlignment="1" applyProtection="1">
      <alignment vertical="center"/>
      <protection locked="0"/>
    </xf>
    <xf numFmtId="9" fontId="14" fillId="9" borderId="0" xfId="2" applyFont="1" applyFill="1" applyBorder="1" applyAlignment="1" applyProtection="1">
      <alignment vertical="center"/>
      <protection locked="0"/>
    </xf>
    <xf numFmtId="9" fontId="14" fillId="8" borderId="0" xfId="2" applyFont="1" applyFill="1" applyBorder="1" applyAlignment="1" applyProtection="1">
      <alignment vertical="center"/>
      <protection locked="0"/>
    </xf>
    <xf numFmtId="17" fontId="13" fillId="26" borderId="0" xfId="0" applyNumberFormat="1" applyFont="1" applyFill="1" applyAlignment="1">
      <alignment horizontal="center" vertical="center"/>
    </xf>
    <xf numFmtId="0" fontId="13" fillId="26" borderId="0" xfId="0" applyFont="1" applyFill="1" applyAlignment="1">
      <alignment horizontal="center" vertical="center"/>
    </xf>
    <xf numFmtId="167" fontId="12" fillId="9" borderId="0" xfId="1" applyNumberFormat="1" applyFont="1" applyFill="1" applyBorder="1" applyProtection="1"/>
    <xf numFmtId="167" fontId="12" fillId="0" borderId="0" xfId="1" applyNumberFormat="1" applyFont="1" applyBorder="1" applyProtection="1"/>
    <xf numFmtId="167" fontId="14" fillId="9" borderId="0" xfId="1" applyNumberFormat="1" applyFont="1" applyFill="1" applyBorder="1" applyProtection="1"/>
    <xf numFmtId="167" fontId="14" fillId="0" borderId="0" xfId="1" applyNumberFormat="1" applyFont="1" applyFill="1" applyBorder="1" applyProtection="1"/>
    <xf numFmtId="167" fontId="14" fillId="0" borderId="0" xfId="1" applyNumberFormat="1" applyFont="1" applyBorder="1" applyProtection="1"/>
    <xf numFmtId="9" fontId="43" fillId="9" borderId="0" xfId="2" applyFont="1" applyFill="1" applyBorder="1" applyAlignment="1" applyProtection="1">
      <alignment horizontal="center"/>
    </xf>
    <xf numFmtId="167" fontId="12" fillId="8" borderId="0" xfId="1" applyNumberFormat="1" applyFont="1" applyFill="1" applyBorder="1" applyProtection="1"/>
    <xf numFmtId="9" fontId="12" fillId="9" borderId="0" xfId="2" applyFont="1" applyFill="1" applyBorder="1" applyProtection="1"/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9" fontId="12" fillId="9" borderId="0" xfId="2" applyFont="1" applyFill="1" applyBorder="1" applyAlignment="1" applyProtection="1">
      <alignment horizontal="center"/>
    </xf>
    <xf numFmtId="167" fontId="14" fillId="9" borderId="0" xfId="1" applyNumberFormat="1" applyFont="1" applyFill="1" applyBorder="1" applyAlignment="1" applyProtection="1">
      <alignment horizontal="center"/>
    </xf>
    <xf numFmtId="0" fontId="14" fillId="9" borderId="0" xfId="0" applyFont="1" applyFill="1" applyAlignment="1">
      <alignment horizontal="center"/>
    </xf>
    <xf numFmtId="167" fontId="14" fillId="0" borderId="0" xfId="1" applyNumberFormat="1" applyFont="1" applyBorder="1" applyAlignment="1" applyProtection="1">
      <alignment horizontal="center"/>
    </xf>
    <xf numFmtId="0" fontId="14" fillId="5" borderId="0" xfId="0" applyFont="1" applyFill="1" applyAlignment="1">
      <alignment horizontal="center"/>
    </xf>
    <xf numFmtId="9" fontId="14" fillId="0" borderId="0" xfId="2" applyFont="1" applyBorder="1" applyAlignment="1" applyProtection="1">
      <alignment vertical="center"/>
    </xf>
    <xf numFmtId="166" fontId="15" fillId="0" borderId="0" xfId="1" applyNumberFormat="1" applyFont="1" applyFill="1" applyBorder="1" applyAlignment="1" applyProtection="1">
      <alignment vertical="center"/>
    </xf>
    <xf numFmtId="166" fontId="15" fillId="0" borderId="0" xfId="1" applyNumberFormat="1" applyFont="1" applyBorder="1" applyAlignment="1" applyProtection="1">
      <alignment vertical="center"/>
    </xf>
    <xf numFmtId="9" fontId="47" fillId="8" borderId="0" xfId="2" applyFont="1" applyFill="1" applyBorder="1" applyAlignment="1" applyProtection="1">
      <alignment vertical="center"/>
    </xf>
    <xf numFmtId="0" fontId="53" fillId="0" borderId="0" xfId="3" applyFont="1" applyAlignment="1">
      <alignment vertical="center"/>
    </xf>
    <xf numFmtId="9" fontId="16" fillId="8" borderId="0" xfId="2" applyFont="1" applyFill="1" applyBorder="1" applyAlignment="1" applyProtection="1">
      <alignment vertical="center"/>
    </xf>
    <xf numFmtId="9" fontId="16" fillId="14" borderId="0" xfId="2" applyFont="1" applyFill="1" applyBorder="1" applyAlignment="1" applyProtection="1">
      <alignment vertical="center"/>
    </xf>
    <xf numFmtId="38" fontId="12" fillId="13" borderId="0" xfId="3" applyNumberFormat="1" applyFont="1" applyFill="1" applyAlignment="1">
      <alignment vertical="center"/>
    </xf>
    <xf numFmtId="9" fontId="47" fillId="3" borderId="0" xfId="2" applyFont="1" applyFill="1" applyBorder="1" applyAlignment="1" applyProtection="1">
      <alignment vertical="center"/>
    </xf>
    <xf numFmtId="9" fontId="16" fillId="3" borderId="0" xfId="2" applyFont="1" applyFill="1" applyBorder="1" applyAlignment="1" applyProtection="1">
      <alignment vertical="center"/>
    </xf>
    <xf numFmtId="167" fontId="12" fillId="0" borderId="0" xfId="1" quotePrefix="1" applyNumberFormat="1" applyFont="1" applyBorder="1" applyAlignment="1" applyProtection="1">
      <alignment vertical="center"/>
    </xf>
    <xf numFmtId="168" fontId="12" fillId="8" borderId="0" xfId="2" applyNumberFormat="1" applyFont="1" applyFill="1" applyBorder="1" applyProtection="1">
      <protection locked="0"/>
    </xf>
    <xf numFmtId="0" fontId="14" fillId="0" borderId="0" xfId="0" applyFont="1" applyProtection="1">
      <protection locked="0"/>
    </xf>
    <xf numFmtId="0" fontId="14" fillId="9" borderId="0" xfId="0" applyFont="1" applyFill="1" applyProtection="1">
      <protection locked="0"/>
    </xf>
    <xf numFmtId="0" fontId="17" fillId="0" borderId="0" xfId="3" applyFont="1" applyAlignment="1" applyProtection="1">
      <alignment horizontal="left" vertical="center"/>
      <protection locked="0"/>
    </xf>
    <xf numFmtId="166" fontId="15" fillId="9" borderId="0" xfId="1" applyNumberFormat="1" applyFont="1" applyFill="1" applyBorder="1" applyAlignment="1" applyProtection="1">
      <alignment vertical="center"/>
    </xf>
    <xf numFmtId="9" fontId="14" fillId="0" borderId="0" xfId="2" applyFont="1" applyAlignment="1" applyProtection="1">
      <alignment vertical="center"/>
      <protection locked="0"/>
    </xf>
    <xf numFmtId="9" fontId="12" fillId="9" borderId="0" xfId="2" applyFont="1" applyFill="1" applyBorder="1" applyAlignment="1" applyProtection="1">
      <alignment vertical="center"/>
      <protection locked="0"/>
    </xf>
    <xf numFmtId="0" fontId="44" fillId="0" borderId="0" xfId="5" applyFont="1" applyBorder="1" applyProtection="1"/>
    <xf numFmtId="0" fontId="14" fillId="8" borderId="0" xfId="0" applyFont="1" applyFill="1" applyAlignment="1" applyProtection="1">
      <alignment horizontal="center"/>
      <protection locked="0"/>
    </xf>
    <xf numFmtId="167" fontId="14" fillId="8" borderId="0" xfId="1" applyNumberFormat="1" applyFont="1" applyFill="1" applyBorder="1" applyAlignment="1" applyProtection="1">
      <alignment horizontal="center"/>
      <protection locked="0"/>
    </xf>
    <xf numFmtId="0" fontId="14" fillId="8" borderId="0" xfId="0" applyFont="1" applyFill="1" applyAlignment="1">
      <alignment horizontal="center"/>
    </xf>
    <xf numFmtId="167" fontId="14" fillId="8" borderId="0" xfId="1" applyNumberFormat="1" applyFont="1" applyFill="1" applyBorder="1" applyAlignment="1">
      <alignment horizontal="center"/>
    </xf>
    <xf numFmtId="9" fontId="14" fillId="8" borderId="0" xfId="2" applyFont="1" applyFill="1" applyAlignment="1">
      <alignment vertical="center"/>
    </xf>
    <xf numFmtId="9" fontId="14" fillId="8" borderId="0" xfId="2" applyFont="1" applyFill="1" applyAlignment="1" applyProtection="1">
      <alignment vertical="center"/>
      <protection locked="0"/>
    </xf>
    <xf numFmtId="166" fontId="16" fillId="9" borderId="0" xfId="1" applyNumberFormat="1" applyFont="1" applyFill="1" applyBorder="1" applyAlignment="1" applyProtection="1">
      <alignment vertical="center"/>
    </xf>
    <xf numFmtId="9" fontId="12" fillId="0" borderId="0" xfId="2" applyFont="1" applyBorder="1" applyProtection="1">
      <protection locked="0"/>
    </xf>
    <xf numFmtId="9" fontId="12" fillId="0" borderId="0" xfId="2" applyFont="1" applyBorder="1" applyProtection="1"/>
    <xf numFmtId="17" fontId="13" fillId="6" borderId="0" xfId="0" applyNumberFormat="1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167" fontId="46" fillId="0" borderId="0" xfId="0" applyNumberFormat="1" applyFont="1"/>
    <xf numFmtId="43" fontId="24" fillId="18" borderId="0" xfId="0" applyNumberFormat="1" applyFont="1" applyFill="1"/>
    <xf numFmtId="169" fontId="22" fillId="18" borderId="3" xfId="0" applyNumberFormat="1" applyFont="1" applyFill="1" applyBorder="1"/>
    <xf numFmtId="0" fontId="24" fillId="18" borderId="0" xfId="0" applyFont="1" applyFill="1"/>
    <xf numFmtId="169" fontId="22" fillId="18" borderId="0" xfId="0" applyNumberFormat="1" applyFont="1" applyFill="1"/>
    <xf numFmtId="9" fontId="22" fillId="18" borderId="0" xfId="2" applyFont="1" applyFill="1"/>
    <xf numFmtId="169" fontId="59" fillId="0" borderId="0" xfId="0" applyNumberFormat="1" applyFont="1"/>
    <xf numFmtId="169" fontId="59" fillId="0" borderId="4" xfId="0" applyNumberFormat="1" applyFont="1" applyBorder="1"/>
    <xf numFmtId="17" fontId="53" fillId="23" borderId="0" xfId="0" applyNumberFormat="1" applyFont="1" applyFill="1" applyAlignment="1">
      <alignment horizontal="center" vertical="center"/>
    </xf>
    <xf numFmtId="0" fontId="53" fillId="23" borderId="0" xfId="0" applyFont="1" applyFill="1" applyAlignment="1">
      <alignment horizontal="center" vertical="center"/>
    </xf>
    <xf numFmtId="10" fontId="14" fillId="27" borderId="0" xfId="0" applyNumberFormat="1" applyFont="1" applyFill="1" applyAlignment="1" applyProtection="1">
      <alignment readingOrder="1"/>
      <protection locked="0"/>
    </xf>
    <xf numFmtId="165" fontId="12" fillId="27" borderId="0" xfId="1" applyFont="1" applyFill="1" applyAlignment="1" applyProtection="1">
      <alignment readingOrder="1"/>
      <protection locked="0"/>
    </xf>
    <xf numFmtId="165" fontId="14" fillId="27" borderId="0" xfId="1" applyFont="1" applyFill="1" applyAlignment="1" applyProtection="1">
      <alignment readingOrder="1"/>
      <protection locked="0"/>
    </xf>
    <xf numFmtId="0" fontId="14" fillId="27" borderId="0" xfId="0" applyFont="1" applyFill="1" applyAlignment="1" applyProtection="1">
      <alignment readingOrder="1"/>
      <protection locked="0"/>
    </xf>
    <xf numFmtId="9" fontId="14" fillId="27" borderId="0" xfId="2" applyFont="1" applyFill="1" applyAlignment="1" applyProtection="1">
      <alignment vertical="center" readingOrder="1"/>
      <protection locked="0"/>
    </xf>
    <xf numFmtId="9" fontId="12" fillId="27" borderId="0" xfId="2" applyFont="1" applyFill="1" applyAlignment="1" applyProtection="1">
      <alignment vertical="center" readingOrder="1"/>
      <protection locked="0"/>
    </xf>
    <xf numFmtId="3" fontId="14" fillId="27" borderId="0" xfId="0" applyNumberFormat="1" applyFont="1" applyFill="1" applyAlignment="1" applyProtection="1">
      <alignment readingOrder="1"/>
      <protection locked="0"/>
    </xf>
    <xf numFmtId="9" fontId="14" fillId="27" borderId="0" xfId="2" applyFont="1" applyFill="1" applyAlignment="1" applyProtection="1">
      <alignment readingOrder="1"/>
      <protection locked="0"/>
    </xf>
    <xf numFmtId="9" fontId="12" fillId="8" borderId="0" xfId="2" applyFont="1" applyFill="1" applyProtection="1">
      <protection locked="0"/>
    </xf>
    <xf numFmtId="38" fontId="12" fillId="27" borderId="0" xfId="3" applyNumberFormat="1" applyFont="1" applyFill="1" applyAlignment="1" applyProtection="1">
      <alignment vertical="center" readingOrder="1"/>
      <protection locked="0"/>
    </xf>
    <xf numFmtId="167" fontId="12" fillId="27" borderId="0" xfId="1" applyNumberFormat="1" applyFont="1" applyFill="1" applyAlignment="1" applyProtection="1">
      <alignment readingOrder="1"/>
      <protection locked="0"/>
    </xf>
    <xf numFmtId="168" fontId="60" fillId="28" borderId="0" xfId="0" applyNumberFormat="1" applyFont="1" applyFill="1" applyProtection="1">
      <protection locked="0"/>
    </xf>
    <xf numFmtId="10" fontId="60" fillId="28" borderId="0" xfId="0" applyNumberFormat="1" applyFont="1" applyFill="1" applyProtection="1">
      <protection locked="0"/>
    </xf>
    <xf numFmtId="165" fontId="60" fillId="28" borderId="0" xfId="1" applyFont="1" applyFill="1" applyProtection="1">
      <protection locked="0"/>
    </xf>
    <xf numFmtId="167" fontId="60" fillId="28" borderId="0" xfId="1" applyNumberFormat="1" applyFont="1" applyFill="1" applyProtection="1">
      <protection locked="0"/>
    </xf>
    <xf numFmtId="38" fontId="59" fillId="28" borderId="0" xfId="3" applyNumberFormat="1" applyFont="1" applyFill="1" applyAlignment="1" applyProtection="1">
      <alignment vertical="center"/>
      <protection locked="0"/>
    </xf>
    <xf numFmtId="9" fontId="59" fillId="28" borderId="0" xfId="2" applyFont="1" applyFill="1" applyAlignment="1" applyProtection="1">
      <alignment vertical="center"/>
      <protection locked="0"/>
    </xf>
    <xf numFmtId="9" fontId="60" fillId="28" borderId="0" xfId="2" applyFont="1" applyFill="1" applyAlignment="1" applyProtection="1">
      <alignment vertical="center"/>
      <protection locked="0"/>
    </xf>
    <xf numFmtId="167" fontId="24" fillId="11" borderId="0" xfId="3" applyNumberFormat="1" applyFont="1" applyFill="1"/>
    <xf numFmtId="0" fontId="24" fillId="18" borderId="0" xfId="3" applyFont="1" applyFill="1"/>
    <xf numFmtId="0" fontId="36" fillId="18" borderId="0" xfId="3" applyFont="1" applyFill="1" applyAlignment="1">
      <alignment horizontal="center"/>
    </xf>
    <xf numFmtId="167" fontId="24" fillId="18" borderId="0" xfId="1" applyNumberFormat="1" applyFont="1" applyFill="1"/>
    <xf numFmtId="167" fontId="24" fillId="18" borderId="0" xfId="3" applyNumberFormat="1" applyFont="1" applyFill="1"/>
    <xf numFmtId="0" fontId="22" fillId="16" borderId="0" xfId="0" applyFont="1" applyFill="1" applyAlignment="1">
      <alignment horizontal="center"/>
    </xf>
    <xf numFmtId="0" fontId="14" fillId="16" borderId="0" xfId="0" applyFont="1" applyFill="1" applyAlignment="1">
      <alignment horizontal="center"/>
    </xf>
    <xf numFmtId="0" fontId="56" fillId="0" borderId="0" xfId="3" applyFont="1"/>
    <xf numFmtId="0" fontId="61" fillId="0" borderId="0" xfId="3" applyFont="1" applyAlignment="1">
      <alignment horizontal="center"/>
    </xf>
    <xf numFmtId="167" fontId="56" fillId="0" borderId="0" xfId="1" applyNumberFormat="1" applyFont="1" applyFill="1"/>
    <xf numFmtId="167" fontId="56" fillId="0" borderId="0" xfId="3" applyNumberFormat="1" applyFont="1"/>
    <xf numFmtId="167" fontId="56" fillId="0" borderId="0" xfId="0" applyNumberFormat="1" applyFont="1"/>
    <xf numFmtId="0" fontId="24" fillId="18" borderId="0" xfId="3" applyFont="1" applyFill="1" applyAlignment="1">
      <alignment horizontal="left" wrapText="1"/>
    </xf>
    <xf numFmtId="167" fontId="24" fillId="18" borderId="0" xfId="0" applyNumberFormat="1" applyFont="1" applyFill="1"/>
    <xf numFmtId="0" fontId="22" fillId="18" borderId="0" xfId="3" applyFont="1" applyFill="1"/>
    <xf numFmtId="167" fontId="22" fillId="18" borderId="0" xfId="0" applyNumberFormat="1" applyFont="1" applyFill="1"/>
    <xf numFmtId="0" fontId="24" fillId="0" borderId="0" xfId="3" applyFont="1" applyAlignment="1">
      <alignment horizontal="left" wrapText="1"/>
    </xf>
    <xf numFmtId="167" fontId="22" fillId="18" borderId="0" xfId="1" applyNumberFormat="1" applyFont="1" applyFill="1"/>
    <xf numFmtId="167" fontId="22" fillId="18" borderId="0" xfId="3" applyNumberFormat="1" applyFont="1" applyFill="1"/>
    <xf numFmtId="0" fontId="25" fillId="18" borderId="0" xfId="0" applyFont="1" applyFill="1"/>
    <xf numFmtId="14" fontId="0" fillId="0" borderId="0" xfId="0" applyNumberFormat="1"/>
    <xf numFmtId="38" fontId="0" fillId="0" borderId="0" xfId="0" applyNumberFormat="1"/>
    <xf numFmtId="0" fontId="62" fillId="0" borderId="0" xfId="0" applyFont="1"/>
    <xf numFmtId="14" fontId="62" fillId="0" borderId="0" xfId="0" applyNumberFormat="1" applyFont="1"/>
    <xf numFmtId="4" fontId="26" fillId="0" borderId="0" xfId="0" applyNumberFormat="1" applyFont="1"/>
    <xf numFmtId="0" fontId="24" fillId="0" borderId="0" xfId="0" quotePrefix="1" applyFont="1"/>
    <xf numFmtId="167" fontId="24" fillId="29" borderId="0" xfId="3" applyNumberFormat="1" applyFont="1" applyFill="1"/>
    <xf numFmtId="167" fontId="56" fillId="29" borderId="0" xfId="3" applyNumberFormat="1" applyFont="1" applyFill="1"/>
    <xf numFmtId="168" fontId="22" fillId="18" borderId="0" xfId="2" applyNumberFormat="1" applyFont="1" applyFill="1"/>
    <xf numFmtId="9" fontId="42" fillId="0" borderId="0" xfId="2" applyFont="1" applyAlignment="1">
      <alignment horizontal="center"/>
    </xf>
    <xf numFmtId="0" fontId="14" fillId="18" borderId="0" xfId="0" applyFont="1" applyFill="1" applyAlignment="1">
      <alignment horizontal="center"/>
    </xf>
    <xf numFmtId="169" fontId="14" fillId="18" borderId="0" xfId="0" applyNumberFormat="1" applyFont="1" applyFill="1"/>
    <xf numFmtId="0" fontId="63" fillId="0" borderId="0" xfId="0" applyFont="1"/>
    <xf numFmtId="0" fontId="14" fillId="18" borderId="0" xfId="0" applyFont="1" applyFill="1"/>
    <xf numFmtId="166" fontId="14" fillId="18" borderId="0" xfId="0" applyNumberFormat="1" applyFont="1" applyFill="1"/>
    <xf numFmtId="166" fontId="14" fillId="0" borderId="0" xfId="0" applyNumberFormat="1" applyFont="1"/>
    <xf numFmtId="166" fontId="42" fillId="18" borderId="0" xfId="2" applyNumberFormat="1" applyFont="1" applyFill="1" applyBorder="1" applyAlignment="1">
      <alignment horizontal="center"/>
    </xf>
    <xf numFmtId="166" fontId="42" fillId="0" borderId="0" xfId="2" applyNumberFormat="1" applyFont="1" applyBorder="1" applyAlignment="1">
      <alignment horizontal="center"/>
    </xf>
    <xf numFmtId="166" fontId="42" fillId="18" borderId="0" xfId="2" applyNumberFormat="1" applyFont="1" applyFill="1" applyAlignment="1">
      <alignment horizontal="center"/>
    </xf>
    <xf numFmtId="166" fontId="42" fillId="0" borderId="0" xfId="2" applyNumberFormat="1" applyFont="1" applyAlignment="1">
      <alignment horizontal="center"/>
    </xf>
    <xf numFmtId="166" fontId="38" fillId="18" borderId="0" xfId="0" applyNumberFormat="1" applyFont="1" applyFill="1"/>
    <xf numFmtId="166" fontId="38" fillId="0" borderId="0" xfId="0" applyNumberFormat="1" applyFont="1"/>
    <xf numFmtId="166" fontId="12" fillId="18" borderId="0" xfId="0" applyNumberFormat="1" applyFont="1" applyFill="1"/>
    <xf numFmtId="166" fontId="12" fillId="0" borderId="0" xfId="0" applyNumberFormat="1" applyFont="1"/>
    <xf numFmtId="166" fontId="12" fillId="0" borderId="0" xfId="0" applyNumberFormat="1" applyFont="1" applyAlignment="1">
      <alignment horizontal="right"/>
    </xf>
    <xf numFmtId="166" fontId="14" fillId="0" borderId="0" xfId="0" applyNumberFormat="1" applyFont="1" applyAlignment="1">
      <alignment horizontal="right"/>
    </xf>
    <xf numFmtId="166" fontId="42" fillId="0" borderId="0" xfId="2" applyNumberFormat="1" applyFont="1" applyAlignment="1">
      <alignment horizontal="right"/>
    </xf>
    <xf numFmtId="166" fontId="38" fillId="0" borderId="0" xfId="0" applyNumberFormat="1" applyFont="1" applyAlignment="1">
      <alignment horizontal="right"/>
    </xf>
    <xf numFmtId="166" fontId="14" fillId="18" borderId="0" xfId="0" applyNumberFormat="1" applyFont="1" applyFill="1" applyAlignment="1">
      <alignment horizontal="right"/>
    </xf>
    <xf numFmtId="166" fontId="12" fillId="18" borderId="0" xfId="0" applyNumberFormat="1" applyFont="1" applyFill="1" applyAlignment="1">
      <alignment horizontal="right"/>
    </xf>
    <xf numFmtId="166" fontId="42" fillId="18" borderId="0" xfId="2" applyNumberFormat="1" applyFont="1" applyFill="1" applyBorder="1" applyAlignment="1">
      <alignment horizontal="right"/>
    </xf>
    <xf numFmtId="166" fontId="42" fillId="0" borderId="0" xfId="2" applyNumberFormat="1" applyFont="1" applyBorder="1" applyAlignment="1">
      <alignment horizontal="right"/>
    </xf>
    <xf numFmtId="166" fontId="42" fillId="18" borderId="0" xfId="2" applyNumberFormat="1" applyFont="1" applyFill="1" applyAlignment="1">
      <alignment horizontal="right"/>
    </xf>
    <xf numFmtId="166" fontId="38" fillId="18" borderId="0" xfId="0" applyNumberFormat="1" applyFont="1" applyFill="1" applyAlignment="1">
      <alignment horizontal="right"/>
    </xf>
    <xf numFmtId="166" fontId="14" fillId="18" borderId="0" xfId="2" applyNumberFormat="1" applyFont="1" applyFill="1" applyBorder="1" applyAlignment="1">
      <alignment horizontal="right"/>
    </xf>
    <xf numFmtId="166" fontId="14" fillId="0" borderId="0" xfId="2" applyNumberFormat="1" applyFont="1" applyBorder="1" applyAlignment="1">
      <alignment horizontal="right"/>
    </xf>
    <xf numFmtId="166" fontId="14" fillId="18" borderId="0" xfId="2" applyNumberFormat="1" applyFont="1" applyFill="1" applyAlignment="1">
      <alignment horizontal="right"/>
    </xf>
    <xf numFmtId="166" fontId="14" fillId="0" borderId="0" xfId="2" applyNumberFormat="1" applyFont="1" applyAlignment="1">
      <alignment horizontal="right"/>
    </xf>
    <xf numFmtId="166" fontId="48" fillId="18" borderId="0" xfId="2" applyNumberFormat="1" applyFont="1" applyFill="1" applyBorder="1" applyAlignment="1">
      <alignment horizontal="right"/>
    </xf>
    <xf numFmtId="166" fontId="48" fillId="0" borderId="0" xfId="2" applyNumberFormat="1" applyFont="1" applyBorder="1" applyAlignment="1">
      <alignment horizontal="right"/>
    </xf>
    <xf numFmtId="166" fontId="48" fillId="18" borderId="0" xfId="2" applyNumberFormat="1" applyFont="1" applyFill="1" applyAlignment="1">
      <alignment horizontal="right"/>
    </xf>
    <xf numFmtId="166" fontId="48" fillId="0" borderId="0" xfId="2" applyNumberFormat="1" applyFont="1" applyAlignment="1">
      <alignment horizontal="right"/>
    </xf>
    <xf numFmtId="0" fontId="0" fillId="0" borderId="0" xfId="0" applyAlignment="1">
      <alignment horizontal="right"/>
    </xf>
    <xf numFmtId="166" fontId="0" fillId="0" borderId="0" xfId="0" applyNumberFormat="1"/>
    <xf numFmtId="166" fontId="53" fillId="0" borderId="0" xfId="0" applyNumberFormat="1" applyFont="1" applyAlignment="1">
      <alignment horizontal="right"/>
    </xf>
    <xf numFmtId="0" fontId="64" fillId="0" borderId="0" xfId="0" applyFont="1" applyAlignment="1">
      <alignment horizontal="left"/>
    </xf>
    <xf numFmtId="166" fontId="64" fillId="0" borderId="0" xfId="0" applyNumberFormat="1" applyFont="1"/>
    <xf numFmtId="17" fontId="49" fillId="0" borderId="0" xfId="1" applyNumberFormat="1" applyFont="1"/>
    <xf numFmtId="167" fontId="24" fillId="0" borderId="0" xfId="1" quotePrefix="1" applyNumberFormat="1" applyFont="1" applyFill="1"/>
    <xf numFmtId="166" fontId="42" fillId="0" borderId="0" xfId="2" applyNumberFormat="1" applyFont="1" applyFill="1" applyAlignment="1">
      <alignment horizontal="right"/>
    </xf>
    <xf numFmtId="166" fontId="14" fillId="0" borderId="0" xfId="2" applyNumberFormat="1" applyFont="1" applyFill="1" applyAlignment="1">
      <alignment horizontal="right"/>
    </xf>
    <xf numFmtId="166" fontId="48" fillId="0" borderId="0" xfId="2" applyNumberFormat="1" applyFont="1" applyFill="1" applyAlignment="1">
      <alignment horizontal="right"/>
    </xf>
    <xf numFmtId="0" fontId="14" fillId="18" borderId="0" xfId="0" applyFont="1" applyFill="1" applyAlignment="1">
      <alignment horizontal="right"/>
    </xf>
    <xf numFmtId="169" fontId="14" fillId="0" borderId="0" xfId="0" applyNumberFormat="1" applyFont="1" applyAlignment="1">
      <alignment horizontal="right"/>
    </xf>
    <xf numFmtId="0" fontId="14" fillId="0" borderId="0" xfId="0" applyFont="1" applyAlignment="1">
      <alignment horizontal="right"/>
    </xf>
    <xf numFmtId="169" fontId="14" fillId="18" borderId="0" xfId="0" applyNumberFormat="1" applyFont="1" applyFill="1" applyAlignment="1">
      <alignment horizontal="right"/>
    </xf>
    <xf numFmtId="166" fontId="0" fillId="0" borderId="0" xfId="0" applyNumberFormat="1" applyAlignment="1">
      <alignment horizontal="right"/>
    </xf>
    <xf numFmtId="0" fontId="22" fillId="18" borderId="0" xfId="0" applyFont="1" applyFill="1"/>
    <xf numFmtId="169" fontId="24" fillId="18" borderId="0" xfId="0" applyNumberFormat="1" applyFont="1" applyFill="1" applyAlignment="1">
      <alignment horizontal="center"/>
    </xf>
    <xf numFmtId="9" fontId="24" fillId="0" borderId="0" xfId="2" applyFont="1" applyFill="1"/>
    <xf numFmtId="165" fontId="24" fillId="0" borderId="0" xfId="1" applyFont="1" applyFill="1"/>
    <xf numFmtId="169" fontId="22" fillId="0" borderId="4" xfId="0" applyNumberFormat="1" applyFont="1" applyBorder="1" applyAlignment="1">
      <alignment horizontal="center"/>
    </xf>
    <xf numFmtId="165" fontId="24" fillId="18" borderId="0" xfId="1" applyFont="1" applyFill="1"/>
    <xf numFmtId="0" fontId="65" fillId="0" borderId="0" xfId="0" applyFont="1"/>
    <xf numFmtId="0" fontId="65" fillId="0" borderId="0" xfId="0" applyFont="1" applyAlignment="1">
      <alignment horizontal="center" vertical="center" wrapText="1"/>
    </xf>
    <xf numFmtId="0" fontId="66" fillId="0" borderId="0" xfId="0" applyFont="1"/>
    <xf numFmtId="169" fontId="12" fillId="10" borderId="0" xfId="0" applyNumberFormat="1" applyFont="1" applyFill="1" applyAlignment="1">
      <alignment horizontal="right"/>
    </xf>
    <xf numFmtId="167" fontId="56" fillId="0" borderId="0" xfId="1" applyNumberFormat="1" applyFont="1"/>
    <xf numFmtId="167" fontId="24" fillId="0" borderId="0" xfId="1" quotePrefix="1" applyNumberFormat="1" applyFont="1"/>
    <xf numFmtId="167" fontId="24" fillId="25" borderId="0" xfId="1" applyNumberFormat="1" applyFont="1" applyFill="1"/>
    <xf numFmtId="169" fontId="22" fillId="0" borderId="4" xfId="0" applyNumberFormat="1" applyFont="1" applyBorder="1" applyAlignment="1">
      <alignment horizontal="left"/>
    </xf>
    <xf numFmtId="0" fontId="22" fillId="18" borderId="0" xfId="0" applyFont="1" applyFill="1" applyAlignment="1">
      <alignment horizontal="center"/>
    </xf>
    <xf numFmtId="17" fontId="22" fillId="18" borderId="0" xfId="0" applyNumberFormat="1" applyFont="1" applyFill="1" applyAlignment="1">
      <alignment horizontal="center"/>
    </xf>
    <xf numFmtId="166" fontId="42" fillId="0" borderId="0" xfId="2" applyNumberFormat="1" applyFont="1" applyFill="1" applyAlignment="1">
      <alignment horizontal="center"/>
    </xf>
    <xf numFmtId="169" fontId="14" fillId="8" borderId="0" xfId="0" applyNumberFormat="1" applyFont="1" applyFill="1"/>
    <xf numFmtId="0" fontId="24" fillId="21" borderId="0" xfId="0" applyFont="1" applyFill="1"/>
    <xf numFmtId="0" fontId="0" fillId="0" borderId="0" xfId="0" applyAlignment="1">
      <alignment wrapText="1"/>
    </xf>
    <xf numFmtId="0" fontId="49" fillId="0" borderId="0" xfId="0" applyFont="1" applyAlignment="1">
      <alignment wrapText="1"/>
    </xf>
    <xf numFmtId="17" fontId="55" fillId="19" borderId="0" xfId="0" applyNumberFormat="1" applyFont="1" applyFill="1" applyAlignment="1">
      <alignment wrapText="1"/>
    </xf>
    <xf numFmtId="14" fontId="49" fillId="0" borderId="0" xfId="0" applyNumberFormat="1" applyFont="1"/>
    <xf numFmtId="0" fontId="24" fillId="0" borderId="0" xfId="0" applyFont="1" applyAlignment="1">
      <alignment wrapText="1"/>
    </xf>
    <xf numFmtId="169" fontId="61" fillId="0" borderId="0" xfId="0" applyNumberFormat="1" applyFont="1"/>
    <xf numFmtId="165" fontId="60" fillId="27" borderId="0" xfId="1" applyFont="1" applyFill="1" applyAlignment="1" applyProtection="1">
      <alignment readingOrder="1"/>
      <protection locked="0"/>
    </xf>
    <xf numFmtId="43" fontId="12" fillId="13" borderId="0" xfId="0" applyNumberFormat="1" applyFont="1" applyFill="1"/>
    <xf numFmtId="43" fontId="12" fillId="0" borderId="0" xfId="0" applyNumberFormat="1" applyFont="1"/>
    <xf numFmtId="43" fontId="14" fillId="13" borderId="0" xfId="0" applyNumberFormat="1" applyFont="1" applyFill="1"/>
    <xf numFmtId="169" fontId="14" fillId="10" borderId="1" xfId="0" applyNumberFormat="1" applyFont="1" applyFill="1" applyBorder="1" applyAlignment="1">
      <alignment horizontal="right"/>
    </xf>
    <xf numFmtId="169" fontId="38" fillId="10" borderId="0" xfId="0" applyNumberFormat="1" applyFont="1" applyFill="1" applyAlignment="1">
      <alignment horizontal="right"/>
    </xf>
    <xf numFmtId="0" fontId="12" fillId="10" borderId="0" xfId="0" applyFont="1" applyFill="1" applyAlignment="1">
      <alignment horizontal="right"/>
    </xf>
    <xf numFmtId="0" fontId="68" fillId="13" borderId="0" xfId="0" applyFont="1" applyFill="1"/>
    <xf numFmtId="10" fontId="68" fillId="13" borderId="0" xfId="0" applyNumberFormat="1" applyFont="1" applyFill="1"/>
    <xf numFmtId="169" fontId="69" fillId="13" borderId="0" xfId="0" applyNumberFormat="1" applyFont="1" applyFill="1"/>
    <xf numFmtId="165" fontId="68" fillId="13" borderId="0" xfId="0" applyNumberFormat="1" applyFont="1" applyFill="1"/>
    <xf numFmtId="9" fontId="68" fillId="13" borderId="0" xfId="0" applyNumberFormat="1" applyFont="1" applyFill="1"/>
    <xf numFmtId="3" fontId="68" fillId="13" borderId="0" xfId="0" applyNumberFormat="1" applyFont="1" applyFill="1"/>
    <xf numFmtId="3" fontId="70" fillId="0" borderId="0" xfId="0" applyNumberFormat="1" applyFont="1"/>
    <xf numFmtId="0" fontId="68" fillId="0" borderId="0" xfId="0" applyFont="1"/>
    <xf numFmtId="169" fontId="12" fillId="10" borderId="0" xfId="0" applyNumberFormat="1" applyFont="1" applyFill="1" applyAlignment="1">
      <alignment horizontal="right" wrapText="1"/>
    </xf>
    <xf numFmtId="169" fontId="14" fillId="10" borderId="1" xfId="0" applyNumberFormat="1" applyFont="1" applyFill="1" applyBorder="1" applyAlignment="1">
      <alignment horizontal="right" wrapText="1"/>
    </xf>
    <xf numFmtId="0" fontId="71" fillId="0" borderId="0" xfId="0" applyFont="1"/>
    <xf numFmtId="0" fontId="72" fillId="0" borderId="0" xfId="0" applyFont="1"/>
    <xf numFmtId="0" fontId="73" fillId="0" borderId="0" xfId="0" applyFont="1"/>
    <xf numFmtId="0" fontId="74" fillId="0" borderId="0" xfId="0" applyFont="1"/>
    <xf numFmtId="169" fontId="14" fillId="13" borderId="0" xfId="0" applyNumberFormat="1" applyFont="1" applyFill="1" applyAlignment="1">
      <alignment horizontal="right"/>
    </xf>
    <xf numFmtId="9" fontId="48" fillId="0" borderId="0" xfId="2" applyFont="1" applyFill="1" applyAlignment="1">
      <alignment horizontal="center"/>
    </xf>
    <xf numFmtId="169" fontId="12" fillId="15" borderId="0" xfId="0" applyNumberFormat="1" applyFont="1" applyFill="1"/>
    <xf numFmtId="169" fontId="12" fillId="0" borderId="1" xfId="0" applyNumberFormat="1" applyFont="1" applyBorder="1"/>
    <xf numFmtId="169" fontId="67" fillId="0" borderId="0" xfId="0" applyNumberFormat="1" applyFont="1"/>
    <xf numFmtId="169" fontId="12" fillId="0" borderId="0" xfId="0" applyNumberFormat="1" applyFont="1" applyAlignment="1">
      <alignment horizontal="right"/>
    </xf>
    <xf numFmtId="9" fontId="67" fillId="0" borderId="0" xfId="0" applyNumberFormat="1" applyFont="1"/>
    <xf numFmtId="169" fontId="12" fillId="0" borderId="1" xfId="0" applyNumberFormat="1" applyFont="1" applyBorder="1" applyAlignment="1">
      <alignment horizontal="right"/>
    </xf>
    <xf numFmtId="0" fontId="12" fillId="0" borderId="0" xfId="0" applyFont="1" applyAlignment="1">
      <alignment horizontal="right"/>
    </xf>
    <xf numFmtId="9" fontId="48" fillId="0" borderId="0" xfId="2" applyFont="1" applyFill="1" applyAlignment="1">
      <alignment horizontal="right"/>
    </xf>
    <xf numFmtId="0" fontId="14" fillId="13" borderId="0" xfId="0" applyFont="1" applyFill="1" applyAlignment="1">
      <alignment horizontal="center" wrapText="1"/>
    </xf>
    <xf numFmtId="0" fontId="12" fillId="13" borderId="0" xfId="0" applyFont="1" applyFill="1" applyAlignment="1">
      <alignment wrapText="1"/>
    </xf>
    <xf numFmtId="17" fontId="14" fillId="0" borderId="0" xfId="0" applyNumberFormat="1" applyFont="1" applyAlignment="1">
      <alignment horizontal="center" wrapText="1"/>
    </xf>
    <xf numFmtId="17" fontId="14" fillId="13" borderId="0" xfId="0" applyNumberFormat="1" applyFont="1" applyFill="1" applyAlignment="1">
      <alignment horizontal="center" wrapText="1"/>
    </xf>
    <xf numFmtId="9" fontId="67" fillId="0" borderId="0" xfId="2" applyFont="1"/>
    <xf numFmtId="166" fontId="56" fillId="0" borderId="0" xfId="0" applyNumberFormat="1" applyFont="1" applyAlignment="1">
      <alignment horizontal="right"/>
    </xf>
    <xf numFmtId="166" fontId="24" fillId="0" borderId="0" xfId="0" applyNumberFormat="1" applyFont="1" applyAlignment="1">
      <alignment horizontal="right"/>
    </xf>
    <xf numFmtId="9" fontId="24" fillId="0" borderId="0" xfId="0" applyNumberFormat="1" applyFont="1" applyAlignment="1">
      <alignment horizontal="right"/>
    </xf>
    <xf numFmtId="9" fontId="68" fillId="13" borderId="0" xfId="2" applyFont="1" applyFill="1"/>
    <xf numFmtId="9" fontId="69" fillId="13" borderId="0" xfId="2" applyFont="1" applyFill="1"/>
    <xf numFmtId="0" fontId="22" fillId="0" borderId="5" xfId="0" applyFont="1" applyBorder="1" applyAlignment="1">
      <alignment horizontal="center"/>
    </xf>
    <xf numFmtId="0" fontId="22" fillId="0" borderId="6" xfId="0" applyFont="1" applyBorder="1" applyAlignment="1">
      <alignment horizontal="center"/>
    </xf>
    <xf numFmtId="0" fontId="22" fillId="0" borderId="7" xfId="0" applyFont="1" applyBorder="1" applyAlignment="1">
      <alignment horizontal="center"/>
    </xf>
    <xf numFmtId="0" fontId="14" fillId="18" borderId="0" xfId="0" applyFont="1" applyFill="1" applyAlignment="1">
      <alignment horizontal="center"/>
    </xf>
    <xf numFmtId="169" fontId="14" fillId="25" borderId="0" xfId="0" applyNumberFormat="1" applyFont="1" applyFill="1" applyAlignment="1">
      <alignment horizontal="center"/>
    </xf>
    <xf numFmtId="169" fontId="14" fillId="18" borderId="0" xfId="0" applyNumberFormat="1" applyFont="1" applyFill="1" applyAlignment="1">
      <alignment horizontal="center"/>
    </xf>
    <xf numFmtId="0" fontId="24" fillId="15" borderId="0" xfId="0" applyFont="1" applyFill="1" applyAlignment="1">
      <alignment horizontal="center"/>
    </xf>
    <xf numFmtId="0" fontId="24" fillId="25" borderId="0" xfId="0" applyFont="1" applyFill="1" applyAlignment="1">
      <alignment horizontal="center"/>
    </xf>
    <xf numFmtId="0" fontId="24" fillId="22" borderId="0" xfId="0" applyFont="1" applyFill="1" applyAlignment="1">
      <alignment horizontal="center"/>
    </xf>
    <xf numFmtId="0" fontId="22" fillId="16" borderId="0" xfId="0" applyFont="1" applyFill="1" applyAlignment="1">
      <alignment horizontal="center"/>
    </xf>
    <xf numFmtId="0" fontId="14" fillId="16" borderId="0" xfId="0" applyFont="1" applyFill="1" applyAlignment="1">
      <alignment horizontal="center"/>
    </xf>
  </cellXfs>
  <cellStyles count="10">
    <cellStyle name="Comma" xfId="1" builtinId="3"/>
    <cellStyle name="Comma 2" xfId="8" xr:uid="{59415BCA-982A-4C47-B9D2-8AF5F5A8AE24}"/>
    <cellStyle name="Currency" xfId="6" builtinId="4"/>
    <cellStyle name="Currency 2" xfId="9" xr:uid="{17F35F56-5728-4892-80C4-C8DCD5CC5534}"/>
    <cellStyle name="Hyperlink" xfId="5" builtinId="8"/>
    <cellStyle name="Input" xfId="7" builtinId="20"/>
    <cellStyle name="Normal" xfId="0" builtinId="0"/>
    <cellStyle name="Normal 2" xfId="3" xr:uid="{D5C2CD75-CD37-4F1A-8F60-3FDAADB6FC0A}"/>
    <cellStyle name="Normal 3" xfId="4" xr:uid="{57ACDF9C-7E9C-4B9F-B8D6-5B620A1615E2}"/>
    <cellStyle name="Per cent" xfId="2" builtinId="5"/>
  </cellStyles>
  <dxfs count="10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FFCC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47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48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 Hughes" id="{A0696862-685E-402F-A148-1ABA3ED6C7F9}" userId="Tim Hughes" providerId="None"/>
  <person displayName="Natalie Lenkiewicz" id="{C7A7B6C8-84C5-4657-9937-811011A18DC5}" userId="Natalie Lenkiewicz" providerId="None"/>
  <person displayName="Chris Parkman" id="{F51BD12D-837A-47BD-9349-00579B2FC1B3}" userId="S::Chris@hairburst.com::98396fc9-9a3e-43ff-8a37-c92786558ad9" providerId="AD"/>
  <person displayName="Carlos Mor" id="{1B13F6D8-6FB7-41BD-96CA-6D018846A489}" userId="S::carlos@hairburst.com::8ff10a6e-079d-457d-a6de-40bb452008a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95" dT="2025-11-21T19:10:27.29" personId="{1B13F6D8-6FB7-41BD-96CA-6D018846A489}" id="{20A75B1D-5EDC-3C4F-9834-FCF9F792023E}">
    <text>Is this happening and realistic? what accounts are these?</text>
  </threadedComment>
  <threadedComment ref="R107" personId="{A0696862-685E-402F-A148-1ABA3ED6C7F9}" id="{89042B5F-4E53-4043-A693-DBD685DF5A8D}">
    <text/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C21" dT="2025-11-26T14:33:08.30" personId="{F51BD12D-837A-47BD-9349-00579B2FC1B3}" id="{5DE7F17C-149E-F34D-98F3-89935835618D}">
    <text>Gifting = +£180K</text>
  </threadedComment>
  <threadedComment ref="AC32" dT="2025-11-26T14:34:13.03" personId="{F51BD12D-837A-47BD-9349-00579B2FC1B3}" id="{93AC7C20-4DBB-7A4A-B2E4-ADC00B804BB0}">
    <text>Gifting +£20K</text>
  </threadedComment>
  <threadedComment ref="AC34" dT="2025-11-26T14:33:21.83" personId="{F51BD12D-837A-47BD-9349-00579B2FC1B3}" id="{A4DC5F10-3D76-D148-9303-33FA545186EA}">
    <text>Gifting = +£10K</text>
  </threadedComment>
  <threadedComment ref="AC35" dT="2025-11-26T14:33:21.83" personId="{F51BD12D-837A-47BD-9349-00579B2FC1B3}" id="{9B79C496-240E-3A4D-BC1F-897E61B59F46}">
    <text>Gifting = +£10K</text>
  </threadedComment>
  <threadedComment ref="AC41" dT="2025-11-26T14:35:09.25" personId="{F51BD12D-837A-47BD-9349-00579B2FC1B3}" id="{E9E64354-8467-D240-A417-EE2855C765C9}">
    <text>Gifting +£150K</text>
  </threadedComment>
  <threadedComment ref="AC57" dT="2025-11-26T14:44:47.72" personId="{F51BD12D-837A-47BD-9349-00579B2FC1B3}" id="{2F5F9F51-490C-AB43-AA0A-C948AEB2356E}">
    <text>Gifting 30K</text>
  </threadedComment>
  <threadedComment ref="AC58" dT="2025-11-26T14:43:58.17" personId="{F51BD12D-837A-47BD-9349-00579B2FC1B3}" id="{C084169C-A75C-E148-B36E-B347882547E3}">
    <text>Gifting 20K</text>
  </threadedComment>
  <threadedComment ref="AC62" dT="2025-11-26T14:39:03.07" personId="{F51BD12D-837A-47BD-9349-00579B2FC1B3}" id="{E4C63A40-6C2A-3447-9E90-86237EFB59C2}">
    <text>Gifting 25K</text>
  </threadedComment>
  <threadedComment ref="AC64" dT="2025-11-26T14:38:45.29" personId="{F51BD12D-837A-47BD-9349-00579B2FC1B3}" id="{A596E135-5682-A745-B6A4-FE957AF86B26}">
    <text>Gifting: £10K</text>
  </threadedComment>
  <threadedComment ref="AC69" dT="2025-11-26T14:37:29.07" personId="{F51BD12D-837A-47BD-9349-00579B2FC1B3}" id="{0D4A5B25-B433-4140-9D61-706762C187CF}">
    <text>£10K</text>
  </threadedComment>
  <threadedComment ref="AC82" dT="2025-11-26T14:36:30.14" personId="{F51BD12D-837A-47BD-9349-00579B2FC1B3}" id="{9280BFC4-F86A-F647-8CFE-37450D49A869}">
    <text>Gifting £60K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F113" personId="{C7A7B6C8-84C5-4657-9937-811011A18DC5}" id="{35C0194C-7F43-4BE5-81D1-8C488AEB09AC}">
    <text>124.46</text>
  </threadedComment>
</ThreadedComment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eb.steep.app/iJCBj22SsI2B/metrics/oQCbpnGQ_Pz2/slices/L4_FD0SJsZxx?breakdown=FB5qQGOBcEdp&amp;chart=rank&amp;dim-hP3OByFyFGSV=14-United+Kingdom&amp;dim-xWHh523TfZl2=9-Advanced%2B&amp;from=2025-05-01&amp;period=1m&amp;tab=explore" TargetMode="External"/><Relationship Id="rId4" Type="http://schemas.openxmlformats.org/officeDocument/2006/relationships/comments" Target="../comments5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hyperlink" Target="https://web.steep.app/iJCBj22SsI2B/metrics/oQCbpnGQ_Pz2/slices/L4_FD0SJsZxx?breakdown=FB5qQGOBcEdp&amp;chart=rank&amp;dim-hP3OByFyFGSV=14-United+Kingdom&amp;dim-xWHh523TfZl2=9-Advanced%2B&amp;from=2025-05-01&amp;period=1m&amp;tab=explore" TargetMode="External"/><Relationship Id="rId1" Type="http://schemas.openxmlformats.org/officeDocument/2006/relationships/hyperlink" Target="https://web.steep.app/iJCBj22SsI2B/metrics/oQCbpnGQ_Pz2/slices/L4_FD0SJsZxx?breakdown=FB5qQGOBcEdp&amp;chart=rank&amp;dim-hP3OByFyFGSV=14-United+Kingdom&amp;dim-xWHh523TfZl2=9-Advanced%2B&amp;from=2025-05-01&amp;period=1m&amp;tab=explore" TargetMode="External"/><Relationship Id="rId4" Type="http://schemas.openxmlformats.org/officeDocument/2006/relationships/comments" Target="../comments7.x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hyperlink" Target="https://web.steep.app/iJCBj22SsI2B/metrics/oQCbpnGQ_Pz2/slices/L4_FD0SJsZxx?breakdown=FB5qQGOBcEdp&amp;chart=rank&amp;dim-hP3OByFyFGSV=14-United+Kingdom&amp;dim-xWHh523TfZl2=9-Advanced%2B&amp;from=2025-05-01&amp;period=1m&amp;tab=explore" TargetMode="Externa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hyperlink" Target="https://web.steep.app/iJCBj22SsI2B/metrics/oQCbpnGQ_Pz2/slices/L4_FD0SJsZxx?breakdown=FB5qQGOBcEdp&amp;chart=rank&amp;dim-hP3OByFyFGSV=14-United+Kingdom&amp;dim-xWHh523TfZl2=9-Advanced%2B&amp;from=2025-05-01&amp;period=1m&amp;tab=explore" TargetMode="Externa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hyperlink" Target="https://web.steep.app/iJCBj22SsI2B/metrics/oQCbpnGQ_Pz2/slices/L4_FD0SJsZxx?breakdown=FB5qQGOBcEdp&amp;chart=rank&amp;dim-hP3OByFyFGSV=14-United+Kingdom&amp;dim-xWHh523TfZl2=9-Advanced%2B&amp;from=2025-05-01&amp;period=1m&amp;tab=explore" TargetMode="Externa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hyperlink" Target="https://web.steep.app/iJCBj22SsI2B/metrics/oQCbpnGQ_Pz2/slices/L4_FD0SJsZxx?breakdown=FB5qQGOBcEdp&amp;chart=rank&amp;dim-hP3OByFyFGSV=14-United+Kingdom&amp;dim-xWHh523TfZl2=9-Advanced%2B&amp;from=2025-05-01&amp;period=1m&amp;tab=explore" TargetMode="Externa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B485D-C845-436D-AE84-6C2A3210F1DE}">
  <sheetPr codeName="Sheet1"/>
  <dimension ref="A1:P58"/>
  <sheetViews>
    <sheetView workbookViewId="0">
      <selection activeCell="D24" sqref="D24"/>
    </sheetView>
  </sheetViews>
  <sheetFormatPr baseColWidth="10" defaultColWidth="8.83203125" defaultRowHeight="15"/>
  <cols>
    <col min="2" max="2" width="9" customWidth="1"/>
  </cols>
  <sheetData>
    <row r="1" spans="1:16">
      <c r="B1" s="4" t="s">
        <v>0</v>
      </c>
      <c r="P1" s="6"/>
    </row>
    <row r="5" spans="1:16">
      <c r="A5" t="s">
        <v>1</v>
      </c>
      <c r="B5" t="s">
        <v>2</v>
      </c>
    </row>
    <row r="6" spans="1:16">
      <c r="B6" t="s">
        <v>3</v>
      </c>
    </row>
    <row r="26" spans="1:2">
      <c r="A26" s="6" t="s">
        <v>4</v>
      </c>
    </row>
    <row r="28" spans="1:2">
      <c r="A28" t="s">
        <v>5</v>
      </c>
      <c r="B28" t="s">
        <v>6</v>
      </c>
    </row>
    <row r="29" spans="1:2">
      <c r="A29" t="s">
        <v>5</v>
      </c>
      <c r="B29" t="s">
        <v>7</v>
      </c>
    </row>
    <row r="30" spans="1:2">
      <c r="A30" t="s">
        <v>5</v>
      </c>
      <c r="B30" t="s">
        <v>8</v>
      </c>
    </row>
    <row r="31" spans="1:2">
      <c r="A31" t="s">
        <v>9</v>
      </c>
      <c r="B31" t="s">
        <v>10</v>
      </c>
    </row>
    <row r="32" spans="1:2">
      <c r="A32" t="s">
        <v>9</v>
      </c>
      <c r="B32" t="s">
        <v>11</v>
      </c>
    </row>
    <row r="33" spans="1:2">
      <c r="A33" t="s">
        <v>5</v>
      </c>
      <c r="B33" t="s">
        <v>12</v>
      </c>
    </row>
    <row r="34" spans="1:2">
      <c r="A34" t="s">
        <v>5</v>
      </c>
      <c r="B34" t="s">
        <v>13</v>
      </c>
    </row>
    <row r="35" spans="1:2">
      <c r="A35" s="24" t="s">
        <v>14</v>
      </c>
    </row>
    <row r="36" spans="1:2">
      <c r="A36" s="3"/>
    </row>
    <row r="37" spans="1:2">
      <c r="A37" s="25" t="s">
        <v>15</v>
      </c>
    </row>
    <row r="38" spans="1:2">
      <c r="A38" s="24" t="s">
        <v>16</v>
      </c>
    </row>
    <row r="39" spans="1:2">
      <c r="A39" s="24" t="s">
        <v>17</v>
      </c>
    </row>
    <row r="40" spans="1:2">
      <c r="A40" s="24" t="s">
        <v>18</v>
      </c>
    </row>
    <row r="41" spans="1:2">
      <c r="A41" s="3"/>
    </row>
    <row r="42" spans="1:2">
      <c r="A42" s="26" t="s">
        <v>19</v>
      </c>
    </row>
    <row r="43" spans="1:2">
      <c r="A43" s="3"/>
    </row>
    <row r="44" spans="1:2">
      <c r="A44" s="24" t="s">
        <v>20</v>
      </c>
    </row>
    <row r="45" spans="1:2">
      <c r="A45" s="27" t="s">
        <v>21</v>
      </c>
    </row>
    <row r="46" spans="1:2">
      <c r="A46" s="24" t="s">
        <v>22</v>
      </c>
    </row>
    <row r="47" spans="1:2">
      <c r="A47" s="3"/>
    </row>
    <row r="48" spans="1:2">
      <c r="A48" s="28" t="s">
        <v>23</v>
      </c>
    </row>
    <row r="49" spans="1:1">
      <c r="A49" s="3"/>
    </row>
    <row r="50" spans="1:1">
      <c r="A50" s="25" t="s">
        <v>24</v>
      </c>
    </row>
    <row r="51" spans="1:1">
      <c r="A51" s="3"/>
    </row>
    <row r="52" spans="1:1">
      <c r="A52" s="24" t="s">
        <v>25</v>
      </c>
    </row>
    <row r="53" spans="1:1">
      <c r="A53" s="3"/>
    </row>
    <row r="54" spans="1:1">
      <c r="A54" s="29" t="s">
        <v>26</v>
      </c>
    </row>
    <row r="55" spans="1:1">
      <c r="A55" s="27" t="s">
        <v>27</v>
      </c>
    </row>
    <row r="56" spans="1:1">
      <c r="A56" s="24" t="s">
        <v>28</v>
      </c>
    </row>
    <row r="57" spans="1:1">
      <c r="A57" s="3"/>
    </row>
    <row r="58" spans="1:1">
      <c r="A58" s="30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4FF26-2138-4065-9DFB-BF779A8533AB}">
  <sheetPr codeName="Sheet2"/>
  <dimension ref="A1:AA31"/>
  <sheetViews>
    <sheetView topLeftCell="A16" workbookViewId="0">
      <selection activeCell="O37" sqref="O37"/>
    </sheetView>
  </sheetViews>
  <sheetFormatPr baseColWidth="10" defaultColWidth="8.83203125" defaultRowHeight="15"/>
  <cols>
    <col min="1" max="1" width="26.83203125" bestFit="1" customWidth="1"/>
    <col min="2" max="2" width="7.83203125" bestFit="1" customWidth="1"/>
    <col min="3" max="3" width="8" bestFit="1" customWidth="1"/>
    <col min="4" max="4" width="6.1640625" bestFit="1" customWidth="1"/>
    <col min="5" max="5" width="7.5" bestFit="1" customWidth="1"/>
    <col min="6" max="6" width="8" bestFit="1" customWidth="1"/>
    <col min="7" max="7" width="6.5" bestFit="1" customWidth="1"/>
    <col min="8" max="8" width="7.5" bestFit="1" customWidth="1"/>
    <col min="9" max="9" width="8" bestFit="1" customWidth="1"/>
    <col min="10" max="12" width="6.5" bestFit="1" customWidth="1"/>
    <col min="13" max="13" width="6.1640625" bestFit="1" customWidth="1"/>
  </cols>
  <sheetData>
    <row r="1" spans="1:27">
      <c r="A1" s="4" t="s">
        <v>30</v>
      </c>
    </row>
    <row r="4" spans="1:27">
      <c r="A4" s="93" t="s">
        <v>31</v>
      </c>
      <c r="B4" s="2">
        <v>45689</v>
      </c>
      <c r="C4" s="2">
        <v>45717</v>
      </c>
      <c r="D4" s="2">
        <v>45748</v>
      </c>
      <c r="E4" s="2">
        <v>45778</v>
      </c>
      <c r="F4" s="2">
        <v>45809</v>
      </c>
      <c r="G4" s="2">
        <v>45839</v>
      </c>
      <c r="H4" s="2">
        <v>45870</v>
      </c>
      <c r="I4" s="2">
        <v>45901</v>
      </c>
      <c r="J4" s="2">
        <v>45931</v>
      </c>
      <c r="K4" s="2">
        <v>45962</v>
      </c>
      <c r="L4" s="2">
        <v>45992</v>
      </c>
      <c r="M4" s="2">
        <v>46023</v>
      </c>
      <c r="P4" s="6" t="s">
        <v>32</v>
      </c>
    </row>
    <row r="5" spans="1:27">
      <c r="A5" t="s">
        <v>10</v>
      </c>
      <c r="B5" s="1">
        <v>4640</v>
      </c>
      <c r="C5" s="1">
        <v>4492</v>
      </c>
      <c r="D5" s="1">
        <v>4668</v>
      </c>
      <c r="E5" s="1">
        <v>4562</v>
      </c>
      <c r="F5" s="1">
        <v>4204</v>
      </c>
      <c r="G5" s="1">
        <v>4481</v>
      </c>
      <c r="H5" s="1">
        <v>4274</v>
      </c>
      <c r="P5" t="s">
        <v>33</v>
      </c>
    </row>
    <row r="6" spans="1:27">
      <c r="A6" t="s">
        <v>34</v>
      </c>
      <c r="B6">
        <v>632</v>
      </c>
      <c r="C6">
        <v>579</v>
      </c>
      <c r="D6">
        <v>555</v>
      </c>
      <c r="E6">
        <v>549</v>
      </c>
      <c r="F6">
        <v>538</v>
      </c>
      <c r="G6">
        <v>753</v>
      </c>
      <c r="H6">
        <v>826</v>
      </c>
      <c r="P6" t="s">
        <v>35</v>
      </c>
    </row>
    <row r="7" spans="1:27">
      <c r="A7" t="s">
        <v>11</v>
      </c>
      <c r="B7" s="1">
        <v>7369</v>
      </c>
      <c r="C7" s="1">
        <v>15233</v>
      </c>
      <c r="D7" s="1">
        <v>16122</v>
      </c>
      <c r="E7" s="1">
        <v>13374</v>
      </c>
      <c r="F7" s="1">
        <v>9633</v>
      </c>
      <c r="G7" s="1">
        <v>19530</v>
      </c>
      <c r="H7" s="1">
        <v>8210</v>
      </c>
      <c r="P7" t="s">
        <v>36</v>
      </c>
    </row>
    <row r="10" spans="1:27">
      <c r="U10" s="2"/>
      <c r="V10" s="2"/>
      <c r="W10" s="2"/>
      <c r="X10" s="2"/>
      <c r="Y10" s="2"/>
      <c r="Z10" s="2"/>
      <c r="AA10" s="2"/>
    </row>
    <row r="11" spans="1:27">
      <c r="U11" s="1"/>
      <c r="V11" s="1"/>
      <c r="W11" s="1"/>
      <c r="X11" s="1"/>
      <c r="Y11" s="1"/>
      <c r="Z11" s="1"/>
      <c r="AA11" s="1"/>
    </row>
    <row r="12" spans="1:27">
      <c r="A12" s="4" t="s">
        <v>37</v>
      </c>
      <c r="B12" s="93" t="s">
        <v>38</v>
      </c>
      <c r="C12" s="93" t="s">
        <v>38</v>
      </c>
      <c r="E12" s="93" t="s">
        <v>39</v>
      </c>
      <c r="F12" s="93" t="s">
        <v>39</v>
      </c>
      <c r="H12" s="93" t="s">
        <v>40</v>
      </c>
      <c r="I12" s="93" t="s">
        <v>40</v>
      </c>
    </row>
    <row r="13" spans="1:27">
      <c r="B13" s="93" t="s">
        <v>41</v>
      </c>
      <c r="C13" t="s">
        <v>42</v>
      </c>
      <c r="E13" s="93" t="s">
        <v>41</v>
      </c>
      <c r="F13" t="s">
        <v>42</v>
      </c>
      <c r="H13" s="93" t="s">
        <v>41</v>
      </c>
      <c r="I13" t="s">
        <v>42</v>
      </c>
      <c r="S13" s="2"/>
      <c r="T13" s="2"/>
      <c r="U13" s="2"/>
      <c r="V13" s="2"/>
      <c r="W13" s="2"/>
      <c r="X13" s="2"/>
      <c r="Y13" s="2"/>
    </row>
    <row r="14" spans="1:27">
      <c r="A14" t="s">
        <v>43</v>
      </c>
      <c r="B14" s="95">
        <v>20.3</v>
      </c>
      <c r="C14" s="94">
        <f>'Combined P&amp;L'!Q12/1000000</f>
        <v>18.027702000000001</v>
      </c>
      <c r="E14" s="95">
        <v>27</v>
      </c>
      <c r="F14" s="94">
        <f ca="1">'Combined P&amp;L'!AF12/1000000</f>
        <v>23.399234688647034</v>
      </c>
      <c r="H14" s="95">
        <v>40.5</v>
      </c>
      <c r="I14" s="94">
        <f ca="1">'Combined P&amp;L'!AU12/1000000</f>
        <v>34.31541900121595</v>
      </c>
      <c r="O14" s="2"/>
      <c r="P14" s="2"/>
      <c r="Q14" s="2"/>
      <c r="R14" s="2"/>
      <c r="S14" s="1"/>
      <c r="T14" s="1"/>
      <c r="U14" s="1"/>
      <c r="V14" s="1"/>
      <c r="W14" s="1"/>
      <c r="X14" s="1"/>
      <c r="Y14" s="1"/>
    </row>
    <row r="15" spans="1:27">
      <c r="B15" s="95"/>
      <c r="C15" s="94"/>
      <c r="E15" s="95"/>
      <c r="F15" s="94"/>
      <c r="H15" s="95"/>
      <c r="I15" s="94"/>
      <c r="V15" s="2"/>
      <c r="W15" s="2"/>
      <c r="X15" s="2"/>
      <c r="Y15" s="2"/>
      <c r="Z15" s="2"/>
    </row>
    <row r="16" spans="1:27">
      <c r="A16" t="s">
        <v>44</v>
      </c>
      <c r="B16" s="96">
        <v>0.26</v>
      </c>
      <c r="C16" s="5">
        <f>C17/C14</f>
        <v>0.25921856263210918</v>
      </c>
      <c r="E16" s="96">
        <v>0.26</v>
      </c>
      <c r="F16" s="5">
        <f ca="1">F17/F14</f>
        <v>0.24416794076459702</v>
      </c>
      <c r="H16" s="96">
        <v>0.26</v>
      </c>
      <c r="I16" s="5">
        <f ca="1">I17/I14</f>
        <v>0.23657478014136038</v>
      </c>
    </row>
    <row r="17" spans="1:26">
      <c r="A17" t="s">
        <v>45</v>
      </c>
      <c r="B17" s="95">
        <f>B16*B14</f>
        <v>5.2780000000000005</v>
      </c>
      <c r="C17" s="94">
        <f>-'Combined P&amp;L'!Q21/1000000</f>
        <v>4.6731150000000001</v>
      </c>
      <c r="E17" s="95">
        <f>E16*E14</f>
        <v>7.0200000000000005</v>
      </c>
      <c r="F17" s="94">
        <f ca="1">-'Combined P&amp;L'!AF21/1000000</f>
        <v>5.7133429493944732</v>
      </c>
      <c r="H17" s="95">
        <f>H16*H14</f>
        <v>10.530000000000001</v>
      </c>
      <c r="I17" s="94">
        <f ca="1">-'Combined P&amp;L'!AU21/1000000</f>
        <v>8.1181627056713239</v>
      </c>
    </row>
    <row r="18" spans="1:26">
      <c r="B18" s="93"/>
      <c r="E18" s="93"/>
      <c r="H18" s="93"/>
    </row>
    <row r="19" spans="1:26">
      <c r="A19" t="s">
        <v>46</v>
      </c>
      <c r="B19" s="96">
        <v>0.17</v>
      </c>
      <c r="C19" s="5">
        <f>C20/C14</f>
        <v>0.18898520732148777</v>
      </c>
      <c r="E19" s="96">
        <v>0.17</v>
      </c>
      <c r="F19" s="5">
        <f ca="1">F20/F14</f>
        <v>0.17993976277068544</v>
      </c>
      <c r="H19" s="96">
        <v>0.16</v>
      </c>
      <c r="I19" s="5">
        <f ca="1">I20/I14</f>
        <v>0.17174307531025532</v>
      </c>
    </row>
    <row r="20" spans="1:26">
      <c r="A20" t="s">
        <v>47</v>
      </c>
      <c r="B20" s="95">
        <f>B19*B14</f>
        <v>3.4510000000000005</v>
      </c>
      <c r="C20" s="94">
        <f>-'Combined P&amp;L'!Q43/1000000</f>
        <v>3.4069690000000001</v>
      </c>
      <c r="E20" s="95">
        <f>E19*E14</f>
        <v>4.5900000000000007</v>
      </c>
      <c r="F20" s="94">
        <f ca="1">-'Combined P&amp;L'!AF43/1000000</f>
        <v>4.2104527388907407</v>
      </c>
      <c r="H20" s="95">
        <f>H19*H14</f>
        <v>6.48</v>
      </c>
      <c r="I20" s="94">
        <f ca="1">-'Combined P&amp;L'!AU43/1000000</f>
        <v>5.8934355898287976</v>
      </c>
    </row>
    <row r="21" spans="1:26">
      <c r="B21" s="93"/>
      <c r="E21" s="93"/>
      <c r="H21" s="93"/>
      <c r="T21" s="1"/>
      <c r="U21" s="1"/>
      <c r="V21" s="1"/>
      <c r="W21" s="1"/>
      <c r="X21" s="1"/>
      <c r="Y21" s="1"/>
      <c r="Z21" s="1"/>
    </row>
    <row r="22" spans="1:26">
      <c r="A22" t="s">
        <v>48</v>
      </c>
      <c r="B22" s="96">
        <v>0.28000000000000003</v>
      </c>
      <c r="C22" s="5">
        <f>C23/C14</f>
        <v>0.29363193378723479</v>
      </c>
      <c r="E22" s="96">
        <v>0.27</v>
      </c>
      <c r="F22" s="5">
        <f ca="1">F23/F14</f>
        <v>0.31740135335401792</v>
      </c>
      <c r="H22" s="96">
        <v>0.27</v>
      </c>
      <c r="I22" s="5">
        <f ca="1">I23/I14</f>
        <v>0.29669710174222558</v>
      </c>
    </row>
    <row r="23" spans="1:26">
      <c r="A23" t="s">
        <v>49</v>
      </c>
      <c r="B23" s="95">
        <f>B22*B14</f>
        <v>5.6840000000000011</v>
      </c>
      <c r="C23" s="94">
        <f>-'Combined P&amp;L'!Q71/1000000</f>
        <v>5.2935090000000002</v>
      </c>
      <c r="E23" s="95">
        <f>E22*E14</f>
        <v>7.2900000000000009</v>
      </c>
      <c r="F23" s="94">
        <f>-'Combined P&amp;L'!AF71/1000000</f>
        <v>7.4269487576248503</v>
      </c>
      <c r="H23" s="95">
        <f>H22*H14</f>
        <v>10.935</v>
      </c>
      <c r="I23" s="94">
        <f>-'Combined P&amp;L'!AU71/1000000</f>
        <v>10.18128536273087</v>
      </c>
    </row>
    <row r="24" spans="1:26">
      <c r="B24" s="93"/>
      <c r="E24" s="93"/>
      <c r="H24" s="93"/>
    </row>
    <row r="25" spans="1:26">
      <c r="A25" t="s">
        <v>50</v>
      </c>
      <c r="B25" s="96">
        <v>0.2</v>
      </c>
      <c r="C25" s="5">
        <f>C27/C14</f>
        <v>0.22738602512954781</v>
      </c>
      <c r="E25" s="96">
        <v>0.19</v>
      </c>
      <c r="F25" s="5">
        <f ca="1">F27/F14</f>
        <v>0.20693765271388798</v>
      </c>
      <c r="H25" s="96">
        <v>0.18</v>
      </c>
      <c r="I25" s="5">
        <f ca="1">I27/I14</f>
        <v>0.16228030967503526</v>
      </c>
    </row>
    <row r="26" spans="1:26">
      <c r="A26" t="s">
        <v>51</v>
      </c>
      <c r="B26" s="96">
        <v>0.14699999999999999</v>
      </c>
      <c r="C26" s="5">
        <f>C28/C14</f>
        <v>0.15779454308707785</v>
      </c>
      <c r="E26" s="96">
        <v>0.13</v>
      </c>
      <c r="F26" s="5">
        <f ca="1">F28/F14</f>
        <v>0.15035789283642714</v>
      </c>
      <c r="H26" s="96">
        <v>0.11</v>
      </c>
      <c r="I26" s="5">
        <f ca="1">I28/I14</f>
        <v>0.10388372966548018</v>
      </c>
    </row>
    <row r="27" spans="1:26">
      <c r="A27" t="s">
        <v>52</v>
      </c>
      <c r="B27" s="95">
        <f>B25*B14</f>
        <v>4.0600000000000005</v>
      </c>
      <c r="C27" s="94">
        <f>-'Combined P&amp;L'!Q99/1000000</f>
        <v>4.0992474999999997</v>
      </c>
      <c r="E27" s="95">
        <f>E25*E14</f>
        <v>5.13</v>
      </c>
      <c r="F27" s="94">
        <f>-'Combined P&amp;L'!AF99/1000000</f>
        <v>4.8421827017700005</v>
      </c>
      <c r="H27" s="95">
        <f>H25*H14</f>
        <v>7.29</v>
      </c>
      <c r="I27" s="94">
        <f ca="1">-'Combined P&amp;L'!AU99/1000000</f>
        <v>5.5687168221459133</v>
      </c>
    </row>
    <row r="28" spans="1:26">
      <c r="A28" t="s">
        <v>53</v>
      </c>
      <c r="B28" s="95">
        <f>B26*B14</f>
        <v>2.9840999999999998</v>
      </c>
      <c r="C28" s="94">
        <f>-('Combined P&amp;L'!Q89+'Combined P&amp;L'!Q90)/1000000</f>
        <v>2.8446729999999998</v>
      </c>
      <c r="E28" s="95">
        <f>E26*E14</f>
        <v>3.5100000000000002</v>
      </c>
      <c r="F28" s="94">
        <f>-('Combined P&amp;L'!AF89+'Combined P&amp;L'!AF90)/1000000</f>
        <v>3.5182596217699995</v>
      </c>
      <c r="H28" s="95">
        <f>H26*H14</f>
        <v>4.4550000000000001</v>
      </c>
      <c r="I28" s="94">
        <f>-('Combined P&amp;L'!AU89+'Combined P&amp;L'!AU90)/1000000</f>
        <v>3.5648137108799998</v>
      </c>
    </row>
    <row r="29" spans="1:26">
      <c r="B29" s="93"/>
      <c r="E29" s="93"/>
      <c r="H29" s="93"/>
    </row>
    <row r="30" spans="1:26">
      <c r="A30" t="s">
        <v>54</v>
      </c>
      <c r="B30" s="96">
        <v>0.09</v>
      </c>
      <c r="C30" s="5">
        <f>C31/C14</f>
        <v>3.0808373135965968E-2</v>
      </c>
      <c r="E30" s="96">
        <v>0.11</v>
      </c>
      <c r="F30" s="5">
        <f ca="1">F31/F14</f>
        <v>6.1491278761378956E-3</v>
      </c>
      <c r="H30" s="96">
        <v>0.13</v>
      </c>
      <c r="I30" s="5">
        <f ca="1">I31/I14</f>
        <v>0.13270473313112338</v>
      </c>
    </row>
    <row r="31" spans="1:26">
      <c r="A31" t="s">
        <v>55</v>
      </c>
      <c r="B31" s="95">
        <f>B30*B14</f>
        <v>1.827</v>
      </c>
      <c r="C31" s="94">
        <f>'Combined P&amp;L'!Q101/1000000</f>
        <v>0.55540416999999997</v>
      </c>
      <c r="E31" s="95">
        <f>E30*E14</f>
        <v>2.97</v>
      </c>
      <c r="F31" s="94">
        <f ca="1">'Combined P&amp;L'!T101/1000000</f>
        <v>0.14388488630425231</v>
      </c>
      <c r="H31" s="95">
        <f>H30*H14</f>
        <v>5.2650000000000006</v>
      </c>
      <c r="I31" s="94">
        <f ca="1">'Combined P&amp;L'!AU101/1000000</f>
        <v>4.5538185208390436</v>
      </c>
    </row>
  </sheetData>
  <sheetProtection algorithmName="SHA-512" hashValue="RzppGSkBBc85xOoGQoNKp9AGq2igOGRKcPDLoZzT/6l1QII//OZ9Wd82U1YQqr8goVUxU0TGFaX46Y7VQBkSdQ==" saltValue="l+KDVelbO4JBxFqdtBxp0w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ADEA5-5C1F-4FB7-B721-6A1927D26C55}">
  <sheetPr codeName="Sheet3"/>
  <dimension ref="A2:J17"/>
  <sheetViews>
    <sheetView workbookViewId="0">
      <selection activeCell="G26" sqref="G26"/>
    </sheetView>
  </sheetViews>
  <sheetFormatPr baseColWidth="10" defaultColWidth="8.83203125" defaultRowHeight="15"/>
  <cols>
    <col min="2" max="2" width="14.83203125" bestFit="1" customWidth="1"/>
    <col min="3" max="3" width="14.83203125" customWidth="1"/>
    <col min="4" max="4" width="5.83203125" bestFit="1" customWidth="1"/>
    <col min="5" max="5" width="5.83203125" customWidth="1"/>
    <col min="6" max="6" width="11.5" bestFit="1" customWidth="1"/>
    <col min="7" max="7" width="13.1640625" bestFit="1" customWidth="1"/>
    <col min="8" max="8" width="11.5" bestFit="1" customWidth="1"/>
    <col min="9" max="9" width="13.1640625" customWidth="1"/>
  </cols>
  <sheetData>
    <row r="2" spans="1:10">
      <c r="A2" s="6" t="s">
        <v>56</v>
      </c>
      <c r="B2" s="275" t="s">
        <v>57</v>
      </c>
      <c r="C2" s="276" t="s">
        <v>58</v>
      </c>
      <c r="D2" s="6" t="s">
        <v>59</v>
      </c>
      <c r="E2" s="6"/>
      <c r="F2" s="275" t="s">
        <v>60</v>
      </c>
      <c r="G2" s="275" t="s">
        <v>61</v>
      </c>
      <c r="H2" s="276" t="s">
        <v>62</v>
      </c>
      <c r="I2" s="276" t="s">
        <v>63</v>
      </c>
      <c r="J2" s="6" t="s">
        <v>59</v>
      </c>
    </row>
    <row r="3" spans="1:10">
      <c r="A3" t="s">
        <v>64</v>
      </c>
      <c r="B3" s="135">
        <f>'UK P&amp;L'!Q12</f>
        <v>8107166.4900000002</v>
      </c>
      <c r="C3" s="135">
        <f ca="1">'UK P&amp;L'!AF12</f>
        <v>11362149.397632819</v>
      </c>
      <c r="D3" s="274">
        <f ca="1">(C3-B3)/B3</f>
        <v>0.40149451866416752</v>
      </c>
      <c r="E3" s="274"/>
      <c r="F3" s="135">
        <f>'UK P&amp;L'!Q77</f>
        <v>1731349.5899999999</v>
      </c>
      <c r="G3" s="274">
        <f>'UK P&amp;L'!Q83</f>
        <v>0.21355791720024239</v>
      </c>
      <c r="H3" s="135">
        <f ca="1">'UK P&amp;L'!AF77</f>
        <v>2575624.8001448223</v>
      </c>
      <c r="I3" s="274">
        <f ca="1">'UK P&amp;L'!AF83</f>
        <v>0.22668464478045203</v>
      </c>
      <c r="J3" s="274">
        <f ca="1">(H3-F3)/F3</f>
        <v>0.48763993997585581</v>
      </c>
    </row>
    <row r="4" spans="1:10">
      <c r="A4" t="s">
        <v>65</v>
      </c>
      <c r="B4" s="135">
        <f>'CE P&amp;L'!Q12</f>
        <v>3001838</v>
      </c>
      <c r="C4" s="135">
        <f ca="1">'CE P&amp;L'!AF12</f>
        <v>4302007.5498439167</v>
      </c>
      <c r="D4" s="274">
        <f t="shared" ref="D4:D13" ca="1" si="0">(C4-B4)/B4</f>
        <v>0.43312448901103812</v>
      </c>
      <c r="E4" s="274"/>
      <c r="F4" s="135">
        <f>'CE P&amp;L'!Q77</f>
        <v>1051452.5</v>
      </c>
      <c r="G4" s="274">
        <f>'CE P&amp;L'!Q83</f>
        <v>0.35026956817789634</v>
      </c>
      <c r="H4" s="135">
        <f ca="1">'CE P&amp;L'!AF77</f>
        <v>1261552.0057606348</v>
      </c>
      <c r="I4" s="5">
        <f ca="1">'CE P&amp;L'!AF83</f>
        <v>0.29324727842618636</v>
      </c>
      <c r="J4" s="274">
        <f t="shared" ref="J4:J13" ca="1" si="1">(H4-F4)/F4</f>
        <v>0.19981835200414169</v>
      </c>
    </row>
    <row r="5" spans="1:10">
      <c r="A5" t="s">
        <v>66</v>
      </c>
      <c r="B5" s="135">
        <f>'EE P&amp;L'!Q12</f>
        <v>5593662.9800000004</v>
      </c>
      <c r="C5" s="135">
        <f ca="1">'EE P&amp;L'!AF12</f>
        <v>6840161.6731702983</v>
      </c>
      <c r="D5" s="274">
        <f t="shared" ca="1" si="0"/>
        <v>0.22284122186608707</v>
      </c>
      <c r="E5" s="274"/>
      <c r="F5" s="135">
        <f>'EE P&amp;L'!Q77</f>
        <v>1745506.9800000004</v>
      </c>
      <c r="G5" s="274">
        <f>'EE P&amp;L'!Q83</f>
        <v>0.3120507950230495</v>
      </c>
      <c r="H5" s="135">
        <f ca="1">'EE P&amp;L'!AF77</f>
        <v>2042799.8751915144</v>
      </c>
      <c r="I5" s="5">
        <f ca="1">'EE P&amp;L'!AF83</f>
        <v>0.29864789354382487</v>
      </c>
      <c r="J5" s="274">
        <f t="shared" ca="1" si="1"/>
        <v>0.17031893804945647</v>
      </c>
    </row>
    <row r="6" spans="1:10">
      <c r="A6" t="s">
        <v>67</v>
      </c>
      <c r="B6" s="135">
        <f>'ROW P&amp;L'!Q13</f>
        <v>1324326</v>
      </c>
      <c r="C6" s="135">
        <f ca="1">'ROW P&amp;L'!AF13</f>
        <v>894916.06800000009</v>
      </c>
      <c r="D6" s="274">
        <f t="shared" ca="1" si="0"/>
        <v>-0.32424790572713963</v>
      </c>
      <c r="E6" s="274"/>
      <c r="F6" s="135">
        <f>'ROW P&amp;L'!Q78</f>
        <v>614598</v>
      </c>
      <c r="G6" s="274">
        <f>'ROW P&amp;L'!Q84</f>
        <v>0.46408361687379091</v>
      </c>
      <c r="H6" s="135">
        <f ca="1">'ROW P&amp;L'!AF78</f>
        <v>468513.56164000003</v>
      </c>
      <c r="I6" s="5">
        <f ca="1">'ROW P&amp;L'!AF84</f>
        <v>0.52352793562759004</v>
      </c>
      <c r="J6" s="274">
        <f t="shared" ca="1" si="1"/>
        <v>-0.23769104090804066</v>
      </c>
    </row>
    <row r="7" spans="1:10">
      <c r="H7" s="135"/>
    </row>
    <row r="8" spans="1:10">
      <c r="A8" t="s">
        <v>68</v>
      </c>
      <c r="B8" s="135">
        <f ca="1">'HU P&amp;L'!Q12</f>
        <v>1566840.6600000001</v>
      </c>
      <c r="C8" s="135">
        <f ca="1">'HU P&amp;L'!AF12</f>
        <v>1837229.2733478369</v>
      </c>
      <c r="D8" s="274">
        <f t="shared" ca="1" si="0"/>
        <v>0.17256931113074175</v>
      </c>
      <c r="E8" s="274"/>
      <c r="F8" s="135">
        <f ca="1">'HU P&amp;L'!Q77</f>
        <v>477648.89000000025</v>
      </c>
      <c r="G8" s="5">
        <f ca="1">'HU P&amp;L'!Q83</f>
        <v>0.30484841387764355</v>
      </c>
      <c r="H8" s="135">
        <f ca="1">'HU P&amp;L'!AF77</f>
        <v>557044.65882036206</v>
      </c>
      <c r="I8" s="5">
        <f ca="1">'HU P&amp;L'!AF83</f>
        <v>0.30319822729871043</v>
      </c>
      <c r="J8" s="274">
        <f t="shared" ca="1" si="1"/>
        <v>0.16622203145989051</v>
      </c>
    </row>
    <row r="9" spans="1:10">
      <c r="A9" t="s">
        <v>69</v>
      </c>
      <c r="B9" s="135">
        <f>'IT P&amp;L'!Q11</f>
        <v>953134.98999999987</v>
      </c>
      <c r="C9" s="135">
        <f ca="1">'IT P&amp;L'!AF11</f>
        <v>1367809.6679805578</v>
      </c>
      <c r="D9" s="274">
        <f t="shared" ca="1" si="0"/>
        <v>0.43506395456173313</v>
      </c>
      <c r="E9" s="274"/>
      <c r="F9" s="135">
        <f>'IT P&amp;L'!Q76</f>
        <v>327049.53999999992</v>
      </c>
      <c r="G9" s="5">
        <f>'IT P&amp;L'!Q82</f>
        <v>0.34313034715051222</v>
      </c>
      <c r="H9" s="135">
        <f ca="1">'IT P&amp;L'!AF76</f>
        <v>453219.16174906911</v>
      </c>
      <c r="I9" s="5">
        <f ca="1">'IT P&amp;L'!AF82</f>
        <v>0.33134665762247795</v>
      </c>
      <c r="J9" s="274">
        <f t="shared" ca="1" si="1"/>
        <v>0.38578137657392586</v>
      </c>
    </row>
    <row r="10" spans="1:10">
      <c r="A10" t="s">
        <v>70</v>
      </c>
      <c r="B10" s="135">
        <f ca="1">'SK P&amp;L'!Q12</f>
        <v>1506094.1</v>
      </c>
      <c r="C10" s="135">
        <f ca="1">'SK P&amp;L'!AF12</f>
        <v>1607823.1372980708</v>
      </c>
      <c r="D10" s="274">
        <f t="shared" ca="1" si="0"/>
        <v>6.7544941114948076E-2</v>
      </c>
      <c r="E10" s="274"/>
      <c r="F10" s="135">
        <f ca="1">'SK P&amp;L'!Q77</f>
        <v>485906.66000000015</v>
      </c>
      <c r="G10" s="5">
        <f ca="1">'SK P&amp;L'!Q83</f>
        <v>0.32262702576153784</v>
      </c>
      <c r="H10" s="135">
        <f ca="1">'SK P&amp;L'!AF77</f>
        <v>525768.79814866337</v>
      </c>
      <c r="I10" s="5">
        <f ca="1">'SK P&amp;L'!AF83</f>
        <v>0.32700661282447524</v>
      </c>
      <c r="J10" s="274">
        <f t="shared" ca="1" si="1"/>
        <v>8.2036616144885124E-2</v>
      </c>
    </row>
    <row r="11" spans="1:10">
      <c r="A11" t="s">
        <v>71</v>
      </c>
      <c r="B11" s="135">
        <f ca="1">'CZ P&amp;L'!Q11</f>
        <v>1663108.47</v>
      </c>
      <c r="C11" s="135">
        <f ca="1">'CZ P&amp;L'!AF11</f>
        <v>2218111.4107905221</v>
      </c>
      <c r="D11" s="274">
        <f t="shared" ca="1" si="0"/>
        <v>0.33371421696296344</v>
      </c>
      <c r="E11" s="274"/>
      <c r="F11" s="135">
        <f ca="1">'CZ P&amp;L'!Q75</f>
        <v>578894.26</v>
      </c>
      <c r="G11" s="5">
        <f ca="1">'CZ P&amp;L'!Q81</f>
        <v>0.34807967756907643</v>
      </c>
      <c r="H11" s="135">
        <f ca="1">'CZ P&amp;L'!AF75</f>
        <v>777869.53459933912</v>
      </c>
      <c r="I11" s="5">
        <f ca="1">'CZ P&amp;L'!AF81</f>
        <v>0.35069001981379777</v>
      </c>
      <c r="J11" s="274">
        <f t="shared" ca="1" si="1"/>
        <v>0.34371609523186342</v>
      </c>
    </row>
    <row r="12" spans="1:10">
      <c r="A12" t="s">
        <v>72</v>
      </c>
      <c r="B12" s="135">
        <f ca="1">'RO P&amp;L'!Q12</f>
        <v>857524.78</v>
      </c>
      <c r="C12" s="135">
        <f ca="1">'RO P&amp;L'!AF12</f>
        <v>1068497.8517338685</v>
      </c>
      <c r="D12" s="274">
        <f t="shared" ca="1" si="0"/>
        <v>0.24602562707735215</v>
      </c>
      <c r="E12" s="274"/>
      <c r="F12" s="135">
        <f ca="1">'RO P&amp;L'!Q77</f>
        <v>201551.43000000017</v>
      </c>
      <c r="G12" s="5">
        <f ca="1">'RO P&amp;L'!Q83</f>
        <v>0.23503860728083001</v>
      </c>
      <c r="H12" s="135">
        <f ca="1">'RO P&amp;L'!AF77</f>
        <v>309885.62042909325</v>
      </c>
      <c r="I12" s="5">
        <f ca="1">'RO P&amp;L'!AF83</f>
        <v>0.29001988158070408</v>
      </c>
      <c r="J12" s="274">
        <f t="shared" ca="1" si="1"/>
        <v>0.53750147259730674</v>
      </c>
    </row>
    <row r="13" spans="1:10">
      <c r="A13" t="s">
        <v>73</v>
      </c>
      <c r="B13" s="135">
        <f>'ES P&amp;L'!Q12</f>
        <v>1038036.3200000001</v>
      </c>
      <c r="C13" s="135">
        <f ca="1">'ES P&amp;L'!AF12</f>
        <v>1417747.8562473438</v>
      </c>
      <c r="D13" s="274">
        <f t="shared" ca="1" si="0"/>
        <v>0.36579792915853249</v>
      </c>
      <c r="E13" s="274"/>
      <c r="F13" s="135">
        <f>'ES P&amp;L'!Q77</f>
        <v>308059.28999999998</v>
      </c>
      <c r="G13" s="5">
        <f>'ES P&amp;L'!Q83</f>
        <v>0.296771205462252</v>
      </c>
      <c r="H13" s="135">
        <f ca="1">'ES P&amp;L'!AF77</f>
        <v>328708.41665835027</v>
      </c>
      <c r="I13" s="5">
        <f ca="1">'ES P&amp;L'!AF83</f>
        <v>0.23185252244246948</v>
      </c>
      <c r="J13" s="274">
        <f t="shared" ca="1" si="1"/>
        <v>6.7029715800326253E-2</v>
      </c>
    </row>
    <row r="14" spans="1:10">
      <c r="F14" s="135"/>
      <c r="H14" s="135"/>
    </row>
    <row r="15" spans="1:10">
      <c r="F15" s="135"/>
      <c r="H15" s="135"/>
    </row>
    <row r="16" spans="1:10">
      <c r="H16" s="135"/>
    </row>
    <row r="17" spans="8:8">
      <c r="H17" s="135"/>
    </row>
  </sheetData>
  <sheetProtection algorithmName="SHA-512" hashValue="cy4Ld0Jlk/4IJtbng2LsjFHf8TT6W6nWNMvbWDOcuL0TX1Ky1Xq2ydDLTsT/PptldfXlzPHJHNGyWtr2Vp0a5w==" saltValue="RIz6ZHx0HfaKyo/gLlwEvg==" spinCount="100000" sheet="1" objects="1" scenarios="1"/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BB4DE-C457-4E3D-AAAE-0FC826073451}">
  <dimension ref="A1:AN110"/>
  <sheetViews>
    <sheetView workbookViewId="0">
      <pane ySplit="3" topLeftCell="A4" activePane="bottomLeft" state="frozen"/>
      <selection pane="bottomLeft" activeCell="R20" sqref="R20"/>
    </sheetView>
  </sheetViews>
  <sheetFormatPr baseColWidth="10" defaultColWidth="15.83203125" defaultRowHeight="15" outlineLevelRow="1"/>
  <cols>
    <col min="1" max="1" width="23.83203125" bestFit="1" customWidth="1"/>
    <col min="2" max="2" width="9.83203125" bestFit="1" customWidth="1"/>
    <col min="3" max="3" width="6.83203125" bestFit="1" customWidth="1"/>
    <col min="4" max="4" width="9.83203125" bestFit="1" customWidth="1"/>
    <col min="5" max="5" width="9" bestFit="1" customWidth="1"/>
    <col min="6" max="6" width="6.83203125" bestFit="1" customWidth="1"/>
    <col min="7" max="7" width="9" bestFit="1" customWidth="1"/>
    <col min="8" max="8" width="9.5" bestFit="1" customWidth="1"/>
    <col min="9" max="9" width="6.83203125" bestFit="1" customWidth="1"/>
    <col min="10" max="10" width="9.5" bestFit="1" customWidth="1"/>
    <col min="11" max="11" width="9" bestFit="1" customWidth="1"/>
    <col min="12" max="12" width="6.83203125" bestFit="1" customWidth="1"/>
    <col min="13" max="13" width="8.33203125" bestFit="1" customWidth="1"/>
    <col min="14" max="14" width="9.5" bestFit="1" customWidth="1"/>
    <col min="15" max="15" width="10.83203125" customWidth="1"/>
    <col min="16" max="16" width="9.5" bestFit="1" customWidth="1"/>
    <col min="17" max="17" width="9.83203125" bestFit="1" customWidth="1"/>
    <col min="18" max="18" width="9.1640625" customWidth="1"/>
    <col min="19" max="19" width="9.83203125" bestFit="1" customWidth="1"/>
    <col min="21" max="21" width="9.83203125" bestFit="1" customWidth="1"/>
    <col min="22" max="22" width="6.83203125" bestFit="1" customWidth="1"/>
    <col min="23" max="23" width="9.83203125" bestFit="1" customWidth="1"/>
    <col min="24" max="24" width="9" bestFit="1" customWidth="1"/>
    <col min="25" max="25" width="6.83203125" bestFit="1" customWidth="1"/>
    <col min="26" max="26" width="9" bestFit="1" customWidth="1"/>
    <col min="27" max="27" width="9.5" bestFit="1" customWidth="1"/>
    <col min="28" max="28" width="6.83203125" bestFit="1" customWidth="1"/>
    <col min="29" max="29" width="9.5" bestFit="1" customWidth="1"/>
    <col min="30" max="30" width="9" bestFit="1" customWidth="1"/>
    <col min="31" max="31" width="6.83203125" bestFit="1" customWidth="1"/>
    <col min="32" max="32" width="9" bestFit="1" customWidth="1"/>
    <col min="33" max="33" width="9.5" bestFit="1" customWidth="1"/>
    <col min="34" max="34" width="6.83203125" bestFit="1" customWidth="1"/>
    <col min="35" max="35" width="9.5" bestFit="1" customWidth="1"/>
    <col min="36" max="36" width="9.83203125" bestFit="1" customWidth="1"/>
    <col min="37" max="37" width="9.83203125" customWidth="1"/>
    <col min="38" max="38" width="9.83203125" bestFit="1" customWidth="1"/>
  </cols>
  <sheetData>
    <row r="1" spans="1:40" ht="16" thickBot="1">
      <c r="A1" s="426" t="s">
        <v>74</v>
      </c>
      <c r="B1" s="537" t="s">
        <v>75</v>
      </c>
      <c r="C1" s="538"/>
      <c r="D1" s="538"/>
      <c r="E1" s="538"/>
      <c r="F1" s="538"/>
      <c r="G1" s="538"/>
      <c r="H1" s="538"/>
      <c r="I1" s="538"/>
      <c r="J1" s="538"/>
      <c r="K1" s="538"/>
      <c r="L1" s="538"/>
      <c r="M1" s="538"/>
      <c r="N1" s="538"/>
      <c r="O1" s="538"/>
      <c r="P1" s="538"/>
      <c r="Q1" s="538"/>
      <c r="R1" s="538"/>
      <c r="S1" s="539"/>
      <c r="U1" s="537" t="s">
        <v>76</v>
      </c>
      <c r="V1" s="538"/>
      <c r="W1" s="538"/>
      <c r="X1" s="538"/>
      <c r="Y1" s="538"/>
      <c r="Z1" s="538"/>
      <c r="AA1" s="538"/>
      <c r="AB1" s="538"/>
      <c r="AC1" s="538"/>
      <c r="AD1" s="538"/>
      <c r="AE1" s="538"/>
      <c r="AF1" s="538"/>
      <c r="AG1" s="538"/>
      <c r="AH1" s="538"/>
      <c r="AI1" s="538"/>
      <c r="AJ1" s="538"/>
      <c r="AK1" s="538"/>
      <c r="AL1" s="539"/>
    </row>
    <row r="2" spans="1:40">
      <c r="A2" s="10"/>
      <c r="B2" s="540" t="s">
        <v>64</v>
      </c>
      <c r="C2" s="540"/>
      <c r="D2" s="540"/>
      <c r="E2" s="541" t="s">
        <v>65</v>
      </c>
      <c r="F2" s="541"/>
      <c r="G2" s="541"/>
      <c r="H2" s="542" t="s">
        <v>66</v>
      </c>
      <c r="I2" s="542"/>
      <c r="J2" s="542"/>
      <c r="K2" s="541" t="s">
        <v>67</v>
      </c>
      <c r="L2" s="541"/>
      <c r="M2" s="541"/>
      <c r="N2" s="542" t="s">
        <v>77</v>
      </c>
      <c r="O2" s="542"/>
      <c r="P2" s="542"/>
      <c r="Q2" s="541" t="s">
        <v>78</v>
      </c>
      <c r="R2" s="541"/>
      <c r="S2" s="541"/>
      <c r="U2" s="540" t="s">
        <v>64</v>
      </c>
      <c r="V2" s="540"/>
      <c r="W2" s="540"/>
      <c r="X2" s="541" t="s">
        <v>65</v>
      </c>
      <c r="Y2" s="541"/>
      <c r="Z2" s="541"/>
      <c r="AA2" s="542" t="s">
        <v>66</v>
      </c>
      <c r="AB2" s="542"/>
      <c r="AC2" s="542"/>
      <c r="AD2" s="541" t="s">
        <v>67</v>
      </c>
      <c r="AE2" s="541"/>
      <c r="AF2" s="541"/>
      <c r="AG2" s="542" t="s">
        <v>77</v>
      </c>
      <c r="AH2" s="542"/>
      <c r="AI2" s="542"/>
      <c r="AJ2" s="541" t="s">
        <v>78</v>
      </c>
      <c r="AK2" s="541"/>
      <c r="AL2" s="541"/>
    </row>
    <row r="3" spans="1:40">
      <c r="A3" s="7"/>
      <c r="B3" s="424" t="s">
        <v>75</v>
      </c>
      <c r="C3" s="424" t="s">
        <v>79</v>
      </c>
      <c r="D3" s="424" t="s">
        <v>80</v>
      </c>
      <c r="E3" s="90" t="s">
        <v>75</v>
      </c>
      <c r="F3" s="80" t="s">
        <v>79</v>
      </c>
      <c r="G3" s="80" t="s">
        <v>80</v>
      </c>
      <c r="H3" s="425" t="s">
        <v>75</v>
      </c>
      <c r="I3" s="424" t="s">
        <v>79</v>
      </c>
      <c r="J3" s="424" t="s">
        <v>80</v>
      </c>
      <c r="K3" s="90" t="s">
        <v>75</v>
      </c>
      <c r="L3" s="80" t="s">
        <v>79</v>
      </c>
      <c r="M3" s="80" t="s">
        <v>80</v>
      </c>
      <c r="N3" s="425" t="s">
        <v>75</v>
      </c>
      <c r="O3" s="424" t="s">
        <v>79</v>
      </c>
      <c r="P3" s="424" t="s">
        <v>80</v>
      </c>
      <c r="Q3" s="90" t="s">
        <v>75</v>
      </c>
      <c r="R3" s="80" t="s">
        <v>79</v>
      </c>
      <c r="S3" s="80" t="s">
        <v>80</v>
      </c>
      <c r="U3" s="424" t="s">
        <v>81</v>
      </c>
      <c r="V3" s="424" t="s">
        <v>79</v>
      </c>
      <c r="W3" s="424" t="s">
        <v>80</v>
      </c>
      <c r="X3" s="90" t="s">
        <v>81</v>
      </c>
      <c r="Y3" s="80" t="s">
        <v>79</v>
      </c>
      <c r="Z3" s="80" t="s">
        <v>80</v>
      </c>
      <c r="AA3" s="424" t="s">
        <v>81</v>
      </c>
      <c r="AB3" s="424" t="s">
        <v>79</v>
      </c>
      <c r="AC3" s="424" t="s">
        <v>80</v>
      </c>
      <c r="AD3" s="90" t="s">
        <v>81</v>
      </c>
      <c r="AE3" s="80" t="s">
        <v>79</v>
      </c>
      <c r="AF3" s="80" t="s">
        <v>80</v>
      </c>
      <c r="AG3" s="424" t="s">
        <v>81</v>
      </c>
      <c r="AH3" s="424" t="s">
        <v>79</v>
      </c>
      <c r="AI3" s="424" t="s">
        <v>80</v>
      </c>
      <c r="AJ3" s="90" t="s">
        <v>81</v>
      </c>
      <c r="AK3" s="80" t="s">
        <v>79</v>
      </c>
      <c r="AL3" s="80" t="s">
        <v>80</v>
      </c>
    </row>
    <row r="4" spans="1:40">
      <c r="A4" s="156" t="s">
        <v>82</v>
      </c>
      <c r="B4" s="427"/>
      <c r="C4" s="427"/>
      <c r="D4" s="427"/>
      <c r="E4" s="90"/>
      <c r="F4" s="10"/>
      <c r="G4" s="10"/>
      <c r="H4" s="425"/>
      <c r="I4" s="427"/>
      <c r="J4" s="427"/>
      <c r="K4" s="90"/>
      <c r="L4" s="10"/>
      <c r="M4" s="10"/>
      <c r="N4" s="425"/>
      <c r="O4" s="427"/>
      <c r="P4" s="427"/>
      <c r="Q4" s="90"/>
      <c r="R4" s="10"/>
      <c r="S4" s="10"/>
      <c r="U4" s="427"/>
      <c r="V4" s="427"/>
      <c r="W4" s="427"/>
      <c r="X4" s="90"/>
      <c r="Y4" s="10"/>
      <c r="Z4" s="10"/>
      <c r="AA4" s="425"/>
      <c r="AB4" s="427"/>
      <c r="AC4" s="427"/>
      <c r="AD4" s="90"/>
      <c r="AE4" s="10"/>
      <c r="AF4" s="10"/>
      <c r="AG4" s="425"/>
      <c r="AH4" s="427"/>
      <c r="AI4" s="427"/>
      <c r="AJ4" s="90"/>
      <c r="AK4" s="10"/>
      <c r="AL4" s="10"/>
    </row>
    <row r="5" spans="1:40">
      <c r="A5" s="7"/>
      <c r="B5" s="427"/>
      <c r="C5" s="427"/>
      <c r="D5" s="427"/>
      <c r="E5" s="90"/>
      <c r="F5" s="10"/>
      <c r="G5" s="10"/>
      <c r="H5" s="425"/>
      <c r="I5" s="427"/>
      <c r="J5" s="427"/>
      <c r="K5" s="90"/>
      <c r="L5" s="10"/>
      <c r="M5" s="10"/>
      <c r="N5" s="425"/>
      <c r="O5" s="427"/>
      <c r="P5" s="427"/>
      <c r="Q5" s="90"/>
      <c r="R5" s="10"/>
      <c r="S5" s="10"/>
      <c r="U5" s="466"/>
      <c r="V5" s="427"/>
      <c r="W5" s="466"/>
      <c r="X5" s="467"/>
      <c r="Y5" s="10"/>
      <c r="Z5" s="468"/>
      <c r="AA5" s="469"/>
      <c r="AB5" s="427"/>
      <c r="AC5" s="466"/>
      <c r="AD5" s="467"/>
      <c r="AE5" s="10"/>
      <c r="AF5" s="468"/>
      <c r="AG5" s="469"/>
      <c r="AH5" s="427"/>
      <c r="AI5" s="466"/>
      <c r="AJ5" s="467"/>
      <c r="AK5" s="10"/>
      <c r="AL5" s="468"/>
    </row>
    <row r="6" spans="1:40">
      <c r="A6" s="7" t="s">
        <v>83</v>
      </c>
      <c r="B6" s="436">
        <f>'UK P&amp;L'!AF7</f>
        <v>4837985.8318913663</v>
      </c>
      <c r="C6" s="436">
        <v>0</v>
      </c>
      <c r="D6" s="436">
        <f>B6+C6</f>
        <v>4837985.8318913663</v>
      </c>
      <c r="E6" s="437">
        <f>'CE P&amp;L'!AF7</f>
        <v>1666198.3103759601</v>
      </c>
      <c r="F6" s="437">
        <v>0</v>
      </c>
      <c r="G6" s="437">
        <f>E6+F6</f>
        <v>1666198.3103759601</v>
      </c>
      <c r="H6" s="436">
        <f>'EE P&amp;L'!AF7</f>
        <v>6022814.5092166699</v>
      </c>
      <c r="I6" s="436">
        <v>0</v>
      </c>
      <c r="J6" s="436">
        <f>H6+I6</f>
        <v>6022814.5092166699</v>
      </c>
      <c r="K6" s="437">
        <f>'ROW P&amp;L'!AF8</f>
        <v>0</v>
      </c>
      <c r="L6" s="437">
        <v>0</v>
      </c>
      <c r="M6" s="437">
        <f>K6+L6</f>
        <v>0</v>
      </c>
      <c r="N6" s="436"/>
      <c r="O6" s="436">
        <v>0</v>
      </c>
      <c r="P6" s="436">
        <f>N6+O6</f>
        <v>0</v>
      </c>
      <c r="Q6" s="438">
        <f t="shared" ref="Q6:Q9" si="0">B6+E6+H6+K6+N6</f>
        <v>12526998.651483996</v>
      </c>
      <c r="R6" s="437">
        <v>0</v>
      </c>
      <c r="S6" s="438">
        <f>Q6+R6</f>
        <v>12526998.651483996</v>
      </c>
      <c r="T6" s="457"/>
      <c r="U6" s="443">
        <f>'UK P&amp;L'!AU7</f>
        <v>11107766.291333536</v>
      </c>
      <c r="V6" s="436">
        <v>0</v>
      </c>
      <c r="W6" s="443">
        <f>U6+V6</f>
        <v>11107766.291333536</v>
      </c>
      <c r="X6" s="438">
        <f>'CE P&amp;L'!AU7</f>
        <v>3483235.1957481103</v>
      </c>
      <c r="Y6" s="437">
        <v>0</v>
      </c>
      <c r="Z6" s="438">
        <f>X6+Y6</f>
        <v>3483235.1957481103</v>
      </c>
      <c r="AA6" s="443">
        <f>'EE P&amp;L'!AU7</f>
        <v>6936063.2018761011</v>
      </c>
      <c r="AB6" s="436">
        <v>0</v>
      </c>
      <c r="AC6" s="443">
        <f>AA6+AB6</f>
        <v>6936063.2018761011</v>
      </c>
      <c r="AD6" s="438">
        <f>'ROW P&amp;L'!AU8</f>
        <v>0</v>
      </c>
      <c r="AE6" s="437">
        <v>0</v>
      </c>
      <c r="AF6" s="438">
        <f>AD6+AE6</f>
        <v>0</v>
      </c>
      <c r="AG6" s="443"/>
      <c r="AH6" s="436">
        <v>0</v>
      </c>
      <c r="AI6" s="443"/>
      <c r="AJ6" s="438">
        <f t="shared" ref="AJ6:AJ9" si="1">U6+X6+AA6+AD6+AG6</f>
        <v>21527064.688957747</v>
      </c>
      <c r="AK6" s="437">
        <v>0</v>
      </c>
      <c r="AL6" s="438">
        <f>AJ6+AK6</f>
        <v>21527064.688957747</v>
      </c>
      <c r="AM6" s="438"/>
      <c r="AN6" s="457"/>
    </row>
    <row r="7" spans="1:40">
      <c r="A7" s="7" t="s">
        <v>84</v>
      </c>
      <c r="B7" s="436">
        <f>'UK P&amp;L'!AF8</f>
        <v>4178100.7957414505</v>
      </c>
      <c r="C7" s="436">
        <v>0</v>
      </c>
      <c r="D7" s="436">
        <f>B7+C7</f>
        <v>4178100.7957414505</v>
      </c>
      <c r="E7" s="437">
        <f>'CE P&amp;L'!AF8</f>
        <v>1803733.2248296586</v>
      </c>
      <c r="F7" s="437">
        <v>0</v>
      </c>
      <c r="G7" s="437">
        <f>E7+F7</f>
        <v>1803733.2248296586</v>
      </c>
      <c r="H7" s="436">
        <f>'EE P&amp;L'!AF8</f>
        <v>817347.16395362793</v>
      </c>
      <c r="I7" s="436">
        <v>0</v>
      </c>
      <c r="J7" s="436">
        <f>H7+I7</f>
        <v>817347.16395362793</v>
      </c>
      <c r="K7" s="437">
        <f>'ROW P&amp;L'!AF9</f>
        <v>768617.30800000008</v>
      </c>
      <c r="L7" s="437">
        <v>0</v>
      </c>
      <c r="M7" s="437">
        <f>K7+L7</f>
        <v>768617.30800000008</v>
      </c>
      <c r="N7" s="436"/>
      <c r="O7" s="436">
        <v>0</v>
      </c>
      <c r="P7" s="436">
        <f>N7+O7</f>
        <v>0</v>
      </c>
      <c r="Q7" s="438">
        <f t="shared" si="0"/>
        <v>7567798.4925247375</v>
      </c>
      <c r="R7" s="437">
        <v>0</v>
      </c>
      <c r="S7" s="438">
        <f>Q7+R7</f>
        <v>7567798.4925247375</v>
      </c>
      <c r="T7" s="457"/>
      <c r="U7" s="443">
        <f>'UK P&amp;L'!AU8</f>
        <v>4971270.330919411</v>
      </c>
      <c r="V7" s="436">
        <v>0</v>
      </c>
      <c r="W7" s="443">
        <f>U7+V7</f>
        <v>4971270.330919411</v>
      </c>
      <c r="X7" s="438">
        <f>'CE P&amp;L'!AU8</f>
        <v>2592839.9005162674</v>
      </c>
      <c r="Y7" s="437">
        <v>0</v>
      </c>
      <c r="Z7" s="438">
        <f>X7+Y7</f>
        <v>2592839.9005162674</v>
      </c>
      <c r="AA7" s="443">
        <f>'EE P&amp;L'!AU8</f>
        <v>925414.5221513093</v>
      </c>
      <c r="AB7" s="436">
        <v>0</v>
      </c>
      <c r="AC7" s="443">
        <f>AA7+AB7</f>
        <v>925414.5221513093</v>
      </c>
      <c r="AD7" s="438">
        <f>'ROW P&amp;L'!AU9</f>
        <v>795421.62080000003</v>
      </c>
      <c r="AE7" s="437">
        <v>0</v>
      </c>
      <c r="AF7" s="438">
        <f>AD7+AE7</f>
        <v>795421.62080000003</v>
      </c>
      <c r="AG7" s="443"/>
      <c r="AH7" s="436">
        <v>0</v>
      </c>
      <c r="AI7" s="443"/>
      <c r="AJ7" s="438">
        <f t="shared" si="1"/>
        <v>9284946.3743869886</v>
      </c>
      <c r="AK7" s="437">
        <v>0</v>
      </c>
      <c r="AL7" s="438">
        <f>AJ7+AK7</f>
        <v>9284946.3743869886</v>
      </c>
      <c r="AM7" s="438"/>
      <c r="AN7" s="457"/>
    </row>
    <row r="8" spans="1:40">
      <c r="A8" s="7" t="s">
        <v>85</v>
      </c>
      <c r="B8" s="436">
        <f ca="1">'UK P&amp;L'!AF9</f>
        <v>2346062.77</v>
      </c>
      <c r="C8" s="436">
        <v>0</v>
      </c>
      <c r="D8" s="436">
        <f ca="1">B8+C8</f>
        <v>2346062.77</v>
      </c>
      <c r="E8" s="437">
        <f ca="1">'CE P&amp;L'!AF9</f>
        <v>832076.01463829796</v>
      </c>
      <c r="F8" s="437">
        <v>0</v>
      </c>
      <c r="G8" s="437">
        <f ca="1">E8+F8</f>
        <v>832076.01463829796</v>
      </c>
      <c r="H8" s="436">
        <f ca="1">'EE P&amp;L'!AF9</f>
        <v>0</v>
      </c>
      <c r="I8" s="436">
        <v>0</v>
      </c>
      <c r="J8" s="436">
        <f ca="1">H8+I8</f>
        <v>0</v>
      </c>
      <c r="K8" s="437">
        <f ca="1">'ROW P&amp;L'!AF10</f>
        <v>126298.76</v>
      </c>
      <c r="L8" s="437">
        <v>0</v>
      </c>
      <c r="M8" s="437">
        <f ca="1">K8+L8</f>
        <v>126298.76</v>
      </c>
      <c r="N8" s="436"/>
      <c r="O8" s="436">
        <v>0</v>
      </c>
      <c r="P8" s="436">
        <f>N8+O8</f>
        <v>0</v>
      </c>
      <c r="Q8" s="438">
        <f t="shared" ca="1" si="0"/>
        <v>3304437.5446382975</v>
      </c>
      <c r="R8" s="437">
        <v>0</v>
      </c>
      <c r="S8" s="438">
        <f ca="1">Q8+R8</f>
        <v>3304437.5446382975</v>
      </c>
      <c r="T8" s="457"/>
      <c r="U8" s="443">
        <f ca="1">'UK P&amp;L'!AU9</f>
        <v>2369523.3976999996</v>
      </c>
      <c r="V8" s="436">
        <v>0</v>
      </c>
      <c r="W8" s="443">
        <f ca="1">U8+V8</f>
        <v>2369523.3976999996</v>
      </c>
      <c r="X8" s="438">
        <f ca="1">'CE P&amp;L'!AU9</f>
        <v>1007585.7801712125</v>
      </c>
      <c r="Y8" s="437">
        <v>0</v>
      </c>
      <c r="Z8" s="438">
        <f ca="1">X8+Y8</f>
        <v>1007585.7801712125</v>
      </c>
      <c r="AA8" s="443">
        <f ca="1">'EE P&amp;L'!AU9</f>
        <v>0</v>
      </c>
      <c r="AB8" s="436">
        <v>0</v>
      </c>
      <c r="AC8" s="443">
        <f ca="1">AA8+AB8</f>
        <v>0</v>
      </c>
      <c r="AD8" s="438">
        <f ca="1">'ROW P&amp;L'!AU10</f>
        <v>126298.76</v>
      </c>
      <c r="AE8" s="437">
        <v>0</v>
      </c>
      <c r="AF8" s="438">
        <f ca="1">AD8+AE8</f>
        <v>126298.76</v>
      </c>
      <c r="AG8" s="443"/>
      <c r="AH8" s="436">
        <v>0</v>
      </c>
      <c r="AI8" s="443"/>
      <c r="AJ8" s="438">
        <f t="shared" ca="1" si="1"/>
        <v>3503407.9378712121</v>
      </c>
      <c r="AK8" s="437">
        <v>0</v>
      </c>
      <c r="AL8" s="438">
        <f ca="1">AJ8+AK8</f>
        <v>3503407.9378712121</v>
      </c>
      <c r="AM8" s="438"/>
      <c r="AN8" s="457"/>
    </row>
    <row r="9" spans="1:40">
      <c r="A9" s="7" t="s">
        <v>86</v>
      </c>
      <c r="B9" s="436">
        <f>'UK P&amp;L'!AF10</f>
        <v>0</v>
      </c>
      <c r="C9" s="436">
        <v>0</v>
      </c>
      <c r="D9" s="436">
        <f>B9+C9</f>
        <v>0</v>
      </c>
      <c r="E9" s="437">
        <f>'CE P&amp;L'!AF10</f>
        <v>0</v>
      </c>
      <c r="F9" s="437">
        <v>0</v>
      </c>
      <c r="G9" s="437">
        <f>E9+F9</f>
        <v>0</v>
      </c>
      <c r="H9" s="436">
        <f>'EE P&amp;L'!AF10</f>
        <v>0</v>
      </c>
      <c r="I9" s="436">
        <v>0</v>
      </c>
      <c r="J9" s="436">
        <f>H9+I9</f>
        <v>0</v>
      </c>
      <c r="K9" s="437">
        <f>'ROW P&amp;L'!AF11</f>
        <v>0</v>
      </c>
      <c r="L9" s="437">
        <v>0</v>
      </c>
      <c r="M9" s="437">
        <f>K9+L9</f>
        <v>0</v>
      </c>
      <c r="N9" s="436"/>
      <c r="O9" s="436">
        <v>0</v>
      </c>
      <c r="P9" s="436">
        <f>N9+O9</f>
        <v>0</v>
      </c>
      <c r="Q9" s="438">
        <f t="shared" si="0"/>
        <v>0</v>
      </c>
      <c r="R9" s="437">
        <v>0</v>
      </c>
      <c r="S9" s="438">
        <f>Q9+R9</f>
        <v>0</v>
      </c>
      <c r="T9" s="457"/>
      <c r="U9" s="443">
        <f>'UK P&amp;L'!AU10</f>
        <v>0</v>
      </c>
      <c r="V9" s="436">
        <v>0</v>
      </c>
      <c r="W9" s="443">
        <f>U9+V9</f>
        <v>0</v>
      </c>
      <c r="X9" s="438">
        <f>'CE P&amp;L'!AU10</f>
        <v>0</v>
      </c>
      <c r="Y9" s="437">
        <v>0</v>
      </c>
      <c r="Z9" s="438">
        <f>X9+Y9</f>
        <v>0</v>
      </c>
      <c r="AA9" s="443">
        <f>'EE P&amp;L'!AU10</f>
        <v>0</v>
      </c>
      <c r="AB9" s="436">
        <v>0</v>
      </c>
      <c r="AC9" s="443">
        <f>AA9+AB9</f>
        <v>0</v>
      </c>
      <c r="AD9" s="438">
        <f>'ROW P&amp;L'!AU11</f>
        <v>0</v>
      </c>
      <c r="AE9" s="437">
        <v>0</v>
      </c>
      <c r="AF9" s="438">
        <f>AD9+AE9</f>
        <v>0</v>
      </c>
      <c r="AG9" s="443"/>
      <c r="AH9" s="436">
        <v>0</v>
      </c>
      <c r="AI9" s="443"/>
      <c r="AJ9" s="438">
        <f t="shared" si="1"/>
        <v>0</v>
      </c>
      <c r="AK9" s="437">
        <v>0</v>
      </c>
      <c r="AL9" s="438">
        <f>AJ9+AK9</f>
        <v>0</v>
      </c>
      <c r="AM9" s="456"/>
    </row>
    <row r="10" spans="1:40">
      <c r="A10" s="7"/>
      <c r="B10" s="428"/>
      <c r="C10" s="428"/>
      <c r="D10" s="428"/>
      <c r="E10" s="429"/>
      <c r="F10" s="429"/>
      <c r="G10" s="429"/>
      <c r="H10" s="428"/>
      <c r="I10" s="428"/>
      <c r="J10" s="428"/>
      <c r="K10" s="429"/>
      <c r="L10" s="429"/>
      <c r="M10" s="429"/>
      <c r="N10" s="428"/>
      <c r="O10" s="428"/>
      <c r="P10" s="428"/>
      <c r="Q10" s="439"/>
      <c r="R10" s="429"/>
      <c r="S10" s="439"/>
      <c r="T10" s="457"/>
      <c r="U10" s="442"/>
      <c r="V10" s="428"/>
      <c r="W10" s="442"/>
      <c r="X10" s="439"/>
      <c r="Y10" s="429"/>
      <c r="Z10" s="439"/>
      <c r="AA10" s="442"/>
      <c r="AB10" s="428"/>
      <c r="AC10" s="442"/>
      <c r="AD10" s="439"/>
      <c r="AE10" s="429"/>
      <c r="AF10" s="439"/>
      <c r="AG10" s="442"/>
      <c r="AH10" s="428"/>
      <c r="AI10" s="442"/>
      <c r="AJ10" s="439"/>
      <c r="AK10" s="429"/>
      <c r="AL10" s="439"/>
      <c r="AM10" s="456"/>
    </row>
    <row r="11" spans="1:40">
      <c r="A11" s="10" t="s">
        <v>87</v>
      </c>
      <c r="B11" s="428">
        <f ca="1">'UK P&amp;L'!AF12</f>
        <v>11362149.397632819</v>
      </c>
      <c r="C11" s="428">
        <f>SUM(C6:C9)</f>
        <v>0</v>
      </c>
      <c r="D11" s="428">
        <f ca="1">B11+C11</f>
        <v>11362149.397632819</v>
      </c>
      <c r="E11" s="429">
        <f ca="1">'CE P&amp;L'!AF12</f>
        <v>4302007.5498439167</v>
      </c>
      <c r="F11" s="429">
        <f>SUM(F6:F9)</f>
        <v>0</v>
      </c>
      <c r="G11" s="429">
        <f ca="1">E11+F11</f>
        <v>4302007.5498439167</v>
      </c>
      <c r="H11" s="428">
        <f ca="1">'EE P&amp;L'!AF12</f>
        <v>6840161.6731702983</v>
      </c>
      <c r="I11" s="428">
        <f>SUM(I6:I9)</f>
        <v>0</v>
      </c>
      <c r="J11" s="428">
        <f ca="1">H11+I11</f>
        <v>6840161.6731702983</v>
      </c>
      <c r="K11" s="429">
        <f ca="1">'ROW P&amp;L'!AF13</f>
        <v>894916.06800000009</v>
      </c>
      <c r="L11" s="429">
        <f>SUM(L6:L9)</f>
        <v>0</v>
      </c>
      <c r="M11" s="429">
        <f ca="1">K11+L11</f>
        <v>894916.06800000009</v>
      </c>
      <c r="N11" s="428"/>
      <c r="O11" s="428">
        <f>SUM(O6:O9)</f>
        <v>0</v>
      </c>
      <c r="P11" s="428">
        <f>N11+O11</f>
        <v>0</v>
      </c>
      <c r="Q11" s="439">
        <f ca="1">B11+E11+H11+K11+N11</f>
        <v>23399234.688647036</v>
      </c>
      <c r="R11" s="429">
        <f>SUM(R6:R9)</f>
        <v>0</v>
      </c>
      <c r="S11" s="439">
        <f ca="1">Q11+R11</f>
        <v>23399234.688647036</v>
      </c>
      <c r="T11" s="457"/>
      <c r="U11" s="443">
        <f ca="1">'UK P&amp;L'!AU12</f>
        <v>18448560.019952949</v>
      </c>
      <c r="V11" s="428">
        <f>SUM(V6:V9)</f>
        <v>0</v>
      </c>
      <c r="W11" s="442">
        <f ca="1">U11+V11</f>
        <v>18448560.019952949</v>
      </c>
      <c r="X11" s="438">
        <f ca="1">'CE P&amp;L'!AU12</f>
        <v>7083660.8764355909</v>
      </c>
      <c r="Y11" s="429">
        <f>SUM(Y6:Y9)</f>
        <v>0</v>
      </c>
      <c r="Z11" s="439">
        <f ca="1">X11+Y11</f>
        <v>7083660.8764355909</v>
      </c>
      <c r="AA11" s="443">
        <f ca="1">'EE P&amp;L'!AU12</f>
        <v>7861477.7240274092</v>
      </c>
      <c r="AB11" s="428">
        <f>SUM(AB6:AB9)</f>
        <v>0</v>
      </c>
      <c r="AC11" s="442">
        <f ca="1">AA11+AB11</f>
        <v>7861477.7240274092</v>
      </c>
      <c r="AD11" s="439">
        <f ca="1">'ROW P&amp;L'!AU13</f>
        <v>921720.38080000016</v>
      </c>
      <c r="AE11" s="429">
        <f>SUM(AE6:AE9)</f>
        <v>0</v>
      </c>
      <c r="AF11" s="439">
        <f ca="1">AD11+AE11</f>
        <v>921720.38080000016</v>
      </c>
      <c r="AG11" s="442">
        <f>'Non Rev P&amp;L'!AU7</f>
        <v>0</v>
      </c>
      <c r="AH11" s="428">
        <f>SUM(AH6:AH9)</f>
        <v>0</v>
      </c>
      <c r="AI11" s="442">
        <f>AG11+AH11</f>
        <v>0</v>
      </c>
      <c r="AJ11" s="439">
        <f ca="1">U11+X11+AA11+AD11+AG11</f>
        <v>34315419.00121595</v>
      </c>
      <c r="AK11" s="429">
        <f>SUM(AK6:AK9)</f>
        <v>0</v>
      </c>
      <c r="AL11" s="439">
        <f ca="1">AJ11+AK11</f>
        <v>34315419.00121595</v>
      </c>
      <c r="AM11" s="438"/>
      <c r="AN11" s="457"/>
    </row>
    <row r="12" spans="1:40">
      <c r="A12" s="7"/>
      <c r="B12" s="428"/>
      <c r="C12" s="428"/>
      <c r="D12" s="428"/>
      <c r="E12" s="429"/>
      <c r="F12" s="429"/>
      <c r="G12" s="429"/>
      <c r="H12" s="428"/>
      <c r="I12" s="428"/>
      <c r="J12" s="428"/>
      <c r="K12" s="429"/>
      <c r="L12" s="429"/>
      <c r="M12" s="429"/>
      <c r="N12" s="428"/>
      <c r="O12" s="428"/>
      <c r="P12" s="428"/>
      <c r="Q12" s="439"/>
      <c r="R12" s="429"/>
      <c r="S12" s="439"/>
      <c r="T12" s="457"/>
      <c r="U12" s="442"/>
      <c r="V12" s="428"/>
      <c r="W12" s="442"/>
      <c r="X12" s="439"/>
      <c r="Y12" s="429"/>
      <c r="Z12" s="439"/>
      <c r="AA12" s="442"/>
      <c r="AB12" s="428"/>
      <c r="AC12" s="442"/>
      <c r="AD12" s="439"/>
      <c r="AE12" s="429"/>
      <c r="AF12" s="439"/>
      <c r="AG12" s="442"/>
      <c r="AH12" s="428"/>
      <c r="AI12" s="442"/>
      <c r="AJ12" s="439"/>
      <c r="AK12" s="429"/>
      <c r="AL12" s="439"/>
      <c r="AM12" s="456"/>
    </row>
    <row r="13" spans="1:40">
      <c r="A13" s="156" t="s">
        <v>88</v>
      </c>
      <c r="B13" s="428"/>
      <c r="C13" s="428"/>
      <c r="D13" s="428"/>
      <c r="E13" s="429"/>
      <c r="F13" s="429"/>
      <c r="G13" s="429"/>
      <c r="H13" s="428"/>
      <c r="I13" s="428"/>
      <c r="J13" s="428"/>
      <c r="K13" s="429"/>
      <c r="L13" s="429"/>
      <c r="M13" s="429"/>
      <c r="N13" s="428"/>
      <c r="O13" s="428"/>
      <c r="P13" s="428"/>
      <c r="Q13" s="439"/>
      <c r="R13" s="429"/>
      <c r="S13" s="439"/>
      <c r="T13" s="457"/>
      <c r="U13" s="442"/>
      <c r="V13" s="428"/>
      <c r="W13" s="442"/>
      <c r="X13" s="439"/>
      <c r="Y13" s="429"/>
      <c r="Z13" s="439"/>
      <c r="AA13" s="442"/>
      <c r="AB13" s="428"/>
      <c r="AC13" s="442"/>
      <c r="AD13" s="439"/>
      <c r="AE13" s="429"/>
      <c r="AF13" s="439"/>
      <c r="AG13" s="442"/>
      <c r="AH13" s="428"/>
      <c r="AI13" s="442"/>
      <c r="AJ13" s="439"/>
      <c r="AK13" s="429"/>
      <c r="AL13" s="439"/>
      <c r="AM13" s="456"/>
    </row>
    <row r="14" spans="1:40">
      <c r="A14" s="7"/>
      <c r="B14" s="428"/>
      <c r="C14" s="428"/>
      <c r="D14" s="428"/>
      <c r="E14" s="429"/>
      <c r="F14" s="429"/>
      <c r="G14" s="429"/>
      <c r="H14" s="428"/>
      <c r="I14" s="428"/>
      <c r="J14" s="428"/>
      <c r="K14" s="429"/>
      <c r="L14" s="429"/>
      <c r="M14" s="429"/>
      <c r="N14" s="428"/>
      <c r="O14" s="428"/>
      <c r="P14" s="428"/>
      <c r="Q14" s="439"/>
      <c r="R14" s="429"/>
      <c r="S14" s="439"/>
      <c r="T14" s="457"/>
      <c r="U14" s="442"/>
      <c r="V14" s="428"/>
      <c r="W14" s="442"/>
      <c r="X14" s="439"/>
      <c r="Y14" s="429"/>
      <c r="Z14" s="439"/>
      <c r="AA14" s="442"/>
      <c r="AB14" s="428"/>
      <c r="AC14" s="442"/>
      <c r="AD14" s="439"/>
      <c r="AE14" s="429"/>
      <c r="AF14" s="439"/>
      <c r="AG14" s="442"/>
      <c r="AH14" s="428"/>
      <c r="AI14" s="442"/>
      <c r="AJ14" s="439"/>
      <c r="AK14" s="429"/>
      <c r="AL14" s="439"/>
      <c r="AM14" s="456"/>
    </row>
    <row r="15" spans="1:40">
      <c r="A15" s="7" t="s">
        <v>89</v>
      </c>
      <c r="B15" s="436">
        <f>'UK P&amp;L'!AF16</f>
        <v>-1015977.024697187</v>
      </c>
      <c r="C15" s="436">
        <v>0</v>
      </c>
      <c r="D15" s="436">
        <f>B15+C15</f>
        <v>-1015977.024697187</v>
      </c>
      <c r="E15" s="437">
        <f>'CE P&amp;L'!AF16</f>
        <v>-399887.59449023049</v>
      </c>
      <c r="F15" s="437">
        <v>0</v>
      </c>
      <c r="G15" s="437">
        <f>E15+F15</f>
        <v>-399887.59449023049</v>
      </c>
      <c r="H15" s="436">
        <f>'EE P&amp;L'!AF16</f>
        <v>-1445475.4822120008</v>
      </c>
      <c r="I15" s="436">
        <v>0</v>
      </c>
      <c r="J15" s="436">
        <f>H15+I15</f>
        <v>-1445475.4822120008</v>
      </c>
      <c r="K15" s="437">
        <f>'ROW P&amp;L'!AF17</f>
        <v>0</v>
      </c>
      <c r="L15" s="437">
        <v>0</v>
      </c>
      <c r="M15" s="437">
        <f>K15+L15</f>
        <v>0</v>
      </c>
      <c r="N15" s="436"/>
      <c r="O15" s="436">
        <v>0</v>
      </c>
      <c r="P15" s="436">
        <f>N15+O15</f>
        <v>0</v>
      </c>
      <c r="Q15" s="438">
        <f t="shared" ref="Q15:Q18" si="2">B15+E15+H15+K15+N15</f>
        <v>-2861340.101399418</v>
      </c>
      <c r="R15" s="437">
        <v>300000</v>
      </c>
      <c r="S15" s="438">
        <f>Q15+R15</f>
        <v>-2561340.101399418</v>
      </c>
      <c r="T15" s="457"/>
      <c r="U15" s="443">
        <f>'UK P&amp;L'!AU16</f>
        <v>-2221553.2582667074</v>
      </c>
      <c r="V15" s="436">
        <v>0</v>
      </c>
      <c r="W15" s="443">
        <f>U15+V15</f>
        <v>-2221553.2582667074</v>
      </c>
      <c r="X15" s="438">
        <f>'CE P&amp;L'!AU16</f>
        <v>-835976.44697954645</v>
      </c>
      <c r="Y15" s="437">
        <v>0</v>
      </c>
      <c r="Z15" s="438">
        <f>X15+Y15</f>
        <v>-835976.44697954645</v>
      </c>
      <c r="AA15" s="443">
        <f>'EE P&amp;L'!AU16</f>
        <v>-1664655.168450264</v>
      </c>
      <c r="AB15" s="436">
        <v>0</v>
      </c>
      <c r="AC15" s="443">
        <f>AA15+AB15</f>
        <v>-1664655.168450264</v>
      </c>
      <c r="AD15" s="438">
        <f>'ROW P&amp;L'!AU17</f>
        <v>0</v>
      </c>
      <c r="AE15" s="437">
        <v>0</v>
      </c>
      <c r="AF15" s="438">
        <f>AD15+AE15</f>
        <v>0</v>
      </c>
      <c r="AG15" s="443"/>
      <c r="AH15" s="436">
        <v>0</v>
      </c>
      <c r="AI15" s="443"/>
      <c r="AJ15" s="438">
        <f t="shared" ref="AJ15:AJ18" si="3">U15+X15+AA15+AD15+AG15</f>
        <v>-4722184.8736965181</v>
      </c>
      <c r="AK15" s="437">
        <v>0</v>
      </c>
      <c r="AL15" s="438">
        <f>AJ15+AK15</f>
        <v>-4722184.8736965181</v>
      </c>
      <c r="AM15" s="438"/>
      <c r="AN15" s="457"/>
    </row>
    <row r="16" spans="1:40">
      <c r="A16" s="7" t="s">
        <v>90</v>
      </c>
      <c r="B16" s="436">
        <f>'UK P&amp;L'!AF17</f>
        <v>-1066251.3230732181</v>
      </c>
      <c r="C16" s="436">
        <v>0</v>
      </c>
      <c r="D16" s="436">
        <f>B16+C16</f>
        <v>-1066251.3230732181</v>
      </c>
      <c r="E16" s="437">
        <f>'CE P&amp;L'!AF17</f>
        <v>-577194.63194549072</v>
      </c>
      <c r="F16" s="437">
        <v>0</v>
      </c>
      <c r="G16" s="437">
        <f>E16+F16</f>
        <v>-577194.63194549072</v>
      </c>
      <c r="H16" s="436">
        <f>'EE P&amp;L'!AF17</f>
        <v>-326938.86558145122</v>
      </c>
      <c r="I16" s="436">
        <v>0</v>
      </c>
      <c r="J16" s="436">
        <f>H16+I16</f>
        <v>-326938.86558145122</v>
      </c>
      <c r="K16" s="437">
        <f>'ROW P&amp;L'!AF18</f>
        <v>-286819.26936000003</v>
      </c>
      <c r="L16" s="437">
        <v>0</v>
      </c>
      <c r="M16" s="437">
        <f>K16+L16</f>
        <v>-286819.26936000003</v>
      </c>
      <c r="N16" s="436"/>
      <c r="O16" s="436">
        <v>0</v>
      </c>
      <c r="P16" s="436">
        <f>N16+O16</f>
        <v>0</v>
      </c>
      <c r="Q16" s="438">
        <f t="shared" si="2"/>
        <v>-2257204.0899601602</v>
      </c>
      <c r="R16" s="437">
        <v>0</v>
      </c>
      <c r="S16" s="438">
        <f>Q16+R16</f>
        <v>-2257204.0899601602</v>
      </c>
      <c r="T16" s="457"/>
      <c r="U16" s="443">
        <f>'UK P&amp;L'!AU17</f>
        <v>-1268668.1884506338</v>
      </c>
      <c r="V16" s="436">
        <v>0</v>
      </c>
      <c r="W16" s="443">
        <f>U16+V16</f>
        <v>-1268668.1884506338</v>
      </c>
      <c r="X16" s="438">
        <f>'CE P&amp;L'!AU17</f>
        <v>-829708.76816520572</v>
      </c>
      <c r="Y16" s="437">
        <v>0</v>
      </c>
      <c r="Z16" s="438">
        <f>X16+Y16</f>
        <v>-829708.76816520572</v>
      </c>
      <c r="AA16" s="443">
        <f>'EE P&amp;L'!AU17</f>
        <v>-370165.80886052374</v>
      </c>
      <c r="AB16" s="436">
        <v>0</v>
      </c>
      <c r="AC16" s="443">
        <f>AA16+AB16</f>
        <v>-370165.80886052374</v>
      </c>
      <c r="AD16" s="438">
        <f>'ROW P&amp;L'!AU18</f>
        <v>-296821.63768162631</v>
      </c>
      <c r="AE16" s="437">
        <v>0</v>
      </c>
      <c r="AF16" s="438">
        <f>AD16+AE16</f>
        <v>-296821.63768162631</v>
      </c>
      <c r="AG16" s="443"/>
      <c r="AH16" s="436">
        <v>0</v>
      </c>
      <c r="AI16" s="443"/>
      <c r="AJ16" s="438">
        <f t="shared" si="3"/>
        <v>-2765364.4031579895</v>
      </c>
      <c r="AK16" s="437">
        <v>0</v>
      </c>
      <c r="AL16" s="438">
        <f>AJ16+AK16</f>
        <v>-2765364.4031579895</v>
      </c>
      <c r="AM16" s="438"/>
      <c r="AN16" s="457"/>
    </row>
    <row r="17" spans="1:40">
      <c r="A17" s="7" t="s">
        <v>91</v>
      </c>
      <c r="B17" s="436">
        <f ca="1">'UK P&amp;L'!AF18</f>
        <v>-422291.29859999992</v>
      </c>
      <c r="C17" s="436">
        <v>0</v>
      </c>
      <c r="D17" s="436">
        <f ca="1">B17+C17</f>
        <v>-422291.29859999992</v>
      </c>
      <c r="E17" s="437">
        <f ca="1">'CE P&amp;L'!AF18</f>
        <v>-149773.6826348936</v>
      </c>
      <c r="F17" s="437">
        <v>0</v>
      </c>
      <c r="G17" s="437">
        <f ca="1">E17+F17</f>
        <v>-149773.6826348936</v>
      </c>
      <c r="H17" s="436">
        <f ca="1">'EE P&amp;L'!AF18</f>
        <v>0</v>
      </c>
      <c r="I17" s="436">
        <v>0</v>
      </c>
      <c r="J17" s="436">
        <f ca="1">H17+I17</f>
        <v>0</v>
      </c>
      <c r="K17" s="437">
        <f ca="1">'ROW P&amp;L'!AF19</f>
        <v>-22733.776799999996</v>
      </c>
      <c r="L17" s="437">
        <v>0</v>
      </c>
      <c r="M17" s="437">
        <f ca="1">K17+L17</f>
        <v>-22733.776799999996</v>
      </c>
      <c r="N17" s="436"/>
      <c r="O17" s="436">
        <v>0</v>
      </c>
      <c r="P17" s="436">
        <f>N17+O17</f>
        <v>0</v>
      </c>
      <c r="Q17" s="438">
        <f t="shared" ca="1" si="2"/>
        <v>-594798.75803489354</v>
      </c>
      <c r="R17" s="437">
        <v>0</v>
      </c>
      <c r="S17" s="438">
        <f ca="1">Q17+R17</f>
        <v>-594798.75803489354</v>
      </c>
      <c r="T17" s="457"/>
      <c r="U17" s="443">
        <f ca="1">'UK P&amp;L'!AU18</f>
        <v>-426514.21158599993</v>
      </c>
      <c r="V17" s="436">
        <v>0</v>
      </c>
      <c r="W17" s="443">
        <f ca="1">U17+V17</f>
        <v>-426514.21158599993</v>
      </c>
      <c r="X17" s="438">
        <f ca="1">'CE P&amp;L'!AU18</f>
        <v>-181365.44043081824</v>
      </c>
      <c r="Y17" s="437">
        <v>0</v>
      </c>
      <c r="Z17" s="438">
        <f ca="1">X17+Y17</f>
        <v>-181365.44043081824</v>
      </c>
      <c r="AA17" s="443">
        <f ca="1">'EE P&amp;L'!AU18</f>
        <v>0</v>
      </c>
      <c r="AB17" s="436">
        <v>0</v>
      </c>
      <c r="AC17" s="443">
        <f ca="1">AA17+AB17</f>
        <v>0</v>
      </c>
      <c r="AD17" s="438">
        <f ca="1">'ROW P&amp;L'!AU19</f>
        <v>-22733.776799999996</v>
      </c>
      <c r="AE17" s="437">
        <v>0</v>
      </c>
      <c r="AF17" s="438">
        <f ca="1">AD17+AE17</f>
        <v>-22733.776799999996</v>
      </c>
      <c r="AG17" s="443"/>
      <c r="AH17" s="436">
        <v>0</v>
      </c>
      <c r="AI17" s="443"/>
      <c r="AJ17" s="438">
        <f t="shared" ca="1" si="3"/>
        <v>-630613.42881681817</v>
      </c>
      <c r="AK17" s="437">
        <v>0</v>
      </c>
      <c r="AL17" s="438">
        <f ca="1">AJ17+AK17</f>
        <v>-630613.42881681817</v>
      </c>
      <c r="AM17" s="438"/>
      <c r="AN17" s="457"/>
    </row>
    <row r="18" spans="1:40">
      <c r="A18" s="7" t="s">
        <v>92</v>
      </c>
      <c r="B18" s="436">
        <f>'UK P&amp;L'!AF19</f>
        <v>0</v>
      </c>
      <c r="C18" s="436">
        <v>0</v>
      </c>
      <c r="D18" s="436">
        <f>B18+C18</f>
        <v>0</v>
      </c>
      <c r="E18" s="437">
        <f>'CE P&amp;L'!AF19</f>
        <v>0</v>
      </c>
      <c r="F18" s="437">
        <v>0</v>
      </c>
      <c r="G18" s="437">
        <f>E18+F18</f>
        <v>0</v>
      </c>
      <c r="H18" s="436">
        <f>'EE P&amp;L'!AF19</f>
        <v>0</v>
      </c>
      <c r="I18" s="436">
        <v>0</v>
      </c>
      <c r="J18" s="436">
        <f>H18+I18</f>
        <v>0</v>
      </c>
      <c r="K18" s="437">
        <f>'ROW P&amp;L'!AF20</f>
        <v>0</v>
      </c>
      <c r="L18" s="437">
        <v>0</v>
      </c>
      <c r="M18" s="437">
        <f>K18+L18</f>
        <v>0</v>
      </c>
      <c r="N18" s="436"/>
      <c r="O18" s="436">
        <v>0</v>
      </c>
      <c r="P18" s="436">
        <f>N18+O18</f>
        <v>0</v>
      </c>
      <c r="Q18" s="438">
        <f t="shared" si="2"/>
        <v>0</v>
      </c>
      <c r="R18" s="437">
        <v>0</v>
      </c>
      <c r="S18" s="438">
        <f>Q18+R18</f>
        <v>0</v>
      </c>
      <c r="T18" s="457"/>
      <c r="U18" s="443">
        <f>'UK P&amp;L'!AU19</f>
        <v>0</v>
      </c>
      <c r="V18" s="436">
        <v>0</v>
      </c>
      <c r="W18" s="443">
        <f>U18+V18</f>
        <v>0</v>
      </c>
      <c r="X18" s="438">
        <f>'CE P&amp;L'!AU19</f>
        <v>0</v>
      </c>
      <c r="Y18" s="437">
        <v>0</v>
      </c>
      <c r="Z18" s="438">
        <f>X18+Y18</f>
        <v>0</v>
      </c>
      <c r="AA18" s="443">
        <f>'EE P&amp;L'!AU19</f>
        <v>0</v>
      </c>
      <c r="AB18" s="436">
        <v>0</v>
      </c>
      <c r="AC18" s="443">
        <f>AA18+AB18</f>
        <v>0</v>
      </c>
      <c r="AD18" s="438">
        <f>'ROW P&amp;L'!AU20</f>
        <v>0</v>
      </c>
      <c r="AE18" s="437">
        <v>0</v>
      </c>
      <c r="AF18" s="438">
        <f>AD18+AE18</f>
        <v>0</v>
      </c>
      <c r="AG18" s="443"/>
      <c r="AH18" s="436">
        <v>0</v>
      </c>
      <c r="AI18" s="443"/>
      <c r="AJ18" s="438">
        <f t="shared" si="3"/>
        <v>0</v>
      </c>
      <c r="AK18" s="437">
        <v>0</v>
      </c>
      <c r="AL18" s="438">
        <f>AJ18+AK18</f>
        <v>0</v>
      </c>
      <c r="AM18" s="438"/>
      <c r="AN18" s="457"/>
    </row>
    <row r="19" spans="1:40">
      <c r="A19" s="7"/>
      <c r="B19" s="428"/>
      <c r="C19" s="428"/>
      <c r="D19" s="428"/>
      <c r="E19" s="429"/>
      <c r="F19" s="429"/>
      <c r="G19" s="429"/>
      <c r="H19" s="428"/>
      <c r="I19" s="428"/>
      <c r="J19" s="428"/>
      <c r="K19" s="429"/>
      <c r="L19" s="429"/>
      <c r="M19" s="429"/>
      <c r="N19" s="428"/>
      <c r="O19" s="428"/>
      <c r="P19" s="428"/>
      <c r="Q19" s="439"/>
      <c r="R19" s="429"/>
      <c r="S19" s="439"/>
      <c r="T19" s="457"/>
      <c r="U19" s="442"/>
      <c r="V19" s="428"/>
      <c r="W19" s="442"/>
      <c r="X19" s="439"/>
      <c r="Y19" s="429"/>
      <c r="Z19" s="439"/>
      <c r="AA19" s="442"/>
      <c r="AB19" s="428"/>
      <c r="AC19" s="442"/>
      <c r="AD19" s="439"/>
      <c r="AE19" s="429"/>
      <c r="AF19" s="439"/>
      <c r="AG19" s="442"/>
      <c r="AH19" s="428"/>
      <c r="AI19" s="442"/>
      <c r="AJ19" s="439"/>
      <c r="AK19" s="429"/>
      <c r="AL19" s="439"/>
      <c r="AM19" s="456"/>
    </row>
    <row r="20" spans="1:40">
      <c r="A20" s="10" t="s">
        <v>93</v>
      </c>
      <c r="B20" s="428">
        <f ca="1">'UK P&amp;L'!AF21</f>
        <v>-2504519.6463704053</v>
      </c>
      <c r="C20" s="428">
        <f>SUM(C15:C18)</f>
        <v>0</v>
      </c>
      <c r="D20" s="428">
        <f ca="1">B20+C20</f>
        <v>-2504519.6463704053</v>
      </c>
      <c r="E20" s="429">
        <f ca="1">'CE P&amp;L'!AF21</f>
        <v>-1126855.9090706147</v>
      </c>
      <c r="F20" s="429">
        <f>SUM(F15:F18)</f>
        <v>0</v>
      </c>
      <c r="G20" s="429">
        <f ca="1">E20+F20</f>
        <v>-1126855.9090706147</v>
      </c>
      <c r="H20" s="428">
        <f ca="1">'EE P&amp;L'!AF21</f>
        <v>-1772414.347793452</v>
      </c>
      <c r="I20" s="428">
        <f>SUM(I15:I18)</f>
        <v>0</v>
      </c>
      <c r="J20" s="428">
        <f ca="1">H20+I20</f>
        <v>-1772414.347793452</v>
      </c>
      <c r="K20" s="429">
        <f ca="1">'ROW P&amp;L'!AF22</f>
        <v>-309553.04616000003</v>
      </c>
      <c r="L20" s="429">
        <f>SUM(L15:L18)</f>
        <v>0</v>
      </c>
      <c r="M20" s="429">
        <f ca="1">K20+L20</f>
        <v>-309553.04616000003</v>
      </c>
      <c r="N20" s="428">
        <f>'Non Rev P&amp;L'!AF12</f>
        <v>0</v>
      </c>
      <c r="O20" s="428">
        <f>SUM(O15:O18)</f>
        <v>0</v>
      </c>
      <c r="P20" s="428">
        <f>N20+O20</f>
        <v>0</v>
      </c>
      <c r="Q20" s="439">
        <f ca="1">B20+E20+H20+K20+N20</f>
        <v>-5713342.9493944729</v>
      </c>
      <c r="R20" s="429">
        <f>SUM(R15:R18)</f>
        <v>300000</v>
      </c>
      <c r="S20" s="439">
        <f ca="1">Q20+R20</f>
        <v>-5413342.9493944729</v>
      </c>
      <c r="T20" s="457"/>
      <c r="U20" s="443">
        <f ca="1">'UK P&amp;L'!AU21</f>
        <v>-3916735.6583033418</v>
      </c>
      <c r="V20" s="428">
        <f>SUM(V15:V18)</f>
        <v>0</v>
      </c>
      <c r="W20" s="442">
        <f ca="1">U20+V20</f>
        <v>-3916735.6583033418</v>
      </c>
      <c r="X20" s="438">
        <f ca="1">'CE P&amp;L'!AU21</f>
        <v>-1847050.6555755704</v>
      </c>
      <c r="Y20" s="429">
        <f>SUM(Y15:Y18)</f>
        <v>0</v>
      </c>
      <c r="Z20" s="439">
        <f ca="1">X20+Y20</f>
        <v>-1847050.6555755704</v>
      </c>
      <c r="AA20" s="443">
        <f ca="1">'EE P&amp;L'!AU21</f>
        <v>-2034820.9773107877</v>
      </c>
      <c r="AB20" s="428">
        <f>SUM(AB15:AB18)</f>
        <v>0</v>
      </c>
      <c r="AC20" s="442">
        <f ca="1">AA20+AB20</f>
        <v>-2034820.9773107877</v>
      </c>
      <c r="AD20" s="439">
        <f ca="1">'ROW P&amp;L'!AU22</f>
        <v>-319555.41448162636</v>
      </c>
      <c r="AE20" s="429">
        <f>SUM(AE15:AE18)</f>
        <v>0</v>
      </c>
      <c r="AF20" s="439">
        <f ca="1">AD20+AE20</f>
        <v>-319555.41448162636</v>
      </c>
      <c r="AG20" s="442">
        <f>'Non Rev P&amp;L'!AU12</f>
        <v>0</v>
      </c>
      <c r="AH20" s="428">
        <f>SUM(AH15:AH18)</f>
        <v>0</v>
      </c>
      <c r="AI20" s="442">
        <f>AG20+AH20</f>
        <v>0</v>
      </c>
      <c r="AJ20" s="439">
        <f ca="1">U20+X20+AA20+AD20+AG20</f>
        <v>-8118162.7056713272</v>
      </c>
      <c r="AK20" s="429">
        <f>SUM(AK15:AK18)</f>
        <v>0</v>
      </c>
      <c r="AL20" s="439">
        <f ca="1">AJ20+AK20</f>
        <v>-8118162.7056713272</v>
      </c>
      <c r="AM20" s="438"/>
      <c r="AN20" s="457"/>
    </row>
    <row r="21" spans="1:40">
      <c r="A21" s="7"/>
      <c r="B21" s="430"/>
      <c r="C21" s="430"/>
      <c r="D21" s="430"/>
      <c r="E21" s="429"/>
      <c r="F21" s="487"/>
      <c r="G21" s="431"/>
      <c r="H21" s="428"/>
      <c r="I21" s="432"/>
      <c r="J21" s="432"/>
      <c r="K21" s="429"/>
      <c r="L21" s="433"/>
      <c r="M21" s="433"/>
      <c r="N21" s="428"/>
      <c r="O21" s="432"/>
      <c r="P21" s="432"/>
      <c r="Q21" s="439"/>
      <c r="R21" s="433"/>
      <c r="S21" s="440"/>
      <c r="T21" s="457"/>
      <c r="U21" s="446"/>
      <c r="V21" s="432"/>
      <c r="W21" s="446"/>
      <c r="X21" s="439"/>
      <c r="Y21" s="433"/>
      <c r="Z21" s="463"/>
      <c r="AA21" s="442"/>
      <c r="AB21" s="432"/>
      <c r="AC21" s="446"/>
      <c r="AD21" s="439"/>
      <c r="AE21" s="433"/>
      <c r="AF21" s="440"/>
      <c r="AG21" s="442"/>
      <c r="AH21" s="432"/>
      <c r="AI21" s="446"/>
      <c r="AJ21" s="439"/>
      <c r="AK21" s="433"/>
      <c r="AL21" s="440"/>
      <c r="AM21" s="456"/>
    </row>
    <row r="22" spans="1:40" hidden="1" outlineLevel="1">
      <c r="A22" s="158" t="s">
        <v>94</v>
      </c>
      <c r="B22" s="434">
        <f>'UK P&amp;L'!AF23</f>
        <v>3822008.8071941794</v>
      </c>
      <c r="C22" s="434"/>
      <c r="D22" s="434"/>
      <c r="E22" s="429">
        <f>'UK P&amp;L'!AI23</f>
        <v>554524.82499639853</v>
      </c>
      <c r="F22" s="435"/>
      <c r="G22" s="435"/>
      <c r="H22" s="428">
        <f>'UK P&amp;L'!AL23</f>
        <v>667945.70025770296</v>
      </c>
      <c r="I22" s="434"/>
      <c r="J22" s="434"/>
      <c r="K22" s="429">
        <f>'UK P&amp;L'!AO23</f>
        <v>780594.41960393521</v>
      </c>
      <c r="L22" s="435"/>
      <c r="M22" s="435"/>
      <c r="N22" s="428">
        <f>'UK P&amp;L'!AR23</f>
        <v>908294.21341782273</v>
      </c>
      <c r="O22" s="434"/>
      <c r="P22" s="434"/>
      <c r="Q22" s="439">
        <f>'UK P&amp;L'!AU23</f>
        <v>8886213.0330668278</v>
      </c>
      <c r="R22" s="435"/>
      <c r="S22" s="441"/>
      <c r="T22" s="457"/>
      <c r="U22" s="447">
        <f>'UK P&amp;L'!AY23</f>
        <v>0</v>
      </c>
      <c r="V22" s="434"/>
      <c r="W22" s="447"/>
      <c r="X22" s="439">
        <f>'UK P&amp;L'!BB23</f>
        <v>0</v>
      </c>
      <c r="Y22" s="435"/>
      <c r="Z22" s="441"/>
      <c r="AA22" s="442">
        <f>'UK P&amp;L'!BE23</f>
        <v>0</v>
      </c>
      <c r="AB22" s="434"/>
      <c r="AC22" s="447"/>
      <c r="AD22" s="439">
        <f>'UK P&amp;L'!BH23</f>
        <v>0</v>
      </c>
      <c r="AE22" s="435"/>
      <c r="AF22" s="441"/>
      <c r="AG22" s="442">
        <f>'UK P&amp;L'!BK23</f>
        <v>0</v>
      </c>
      <c r="AH22" s="434"/>
      <c r="AI22" s="447"/>
      <c r="AJ22" s="439">
        <f>'UK P&amp;L'!BN23</f>
        <v>0</v>
      </c>
      <c r="AK22" s="435"/>
      <c r="AL22" s="441"/>
      <c r="AM22" s="456"/>
    </row>
    <row r="23" spans="1:40" hidden="1" outlineLevel="1">
      <c r="A23" s="158" t="s">
        <v>95</v>
      </c>
      <c r="B23" s="434">
        <f>'UK P&amp;L'!AF24</f>
        <v>3111849.4726682324</v>
      </c>
      <c r="C23" s="434"/>
      <c r="D23" s="434"/>
      <c r="E23" s="429">
        <f>'UK P&amp;L'!AI24</f>
        <v>225085.80019707605</v>
      </c>
      <c r="F23" s="435"/>
      <c r="G23" s="435"/>
      <c r="H23" s="428">
        <f>'UK P&amp;L'!AL24</f>
        <v>262000.55423359998</v>
      </c>
      <c r="I23" s="434"/>
      <c r="J23" s="434"/>
      <c r="K23" s="429">
        <f>'UK P&amp;L'!AO24</f>
        <v>726888.50127824</v>
      </c>
      <c r="L23" s="435"/>
      <c r="M23" s="435"/>
      <c r="N23" s="428">
        <f>'UK P&amp;L'!AR24</f>
        <v>295527.83698617312</v>
      </c>
      <c r="O23" s="434"/>
      <c r="P23" s="434"/>
      <c r="Q23" s="439">
        <f>'UK P&amp;L'!AU24</f>
        <v>3702602.1424687775</v>
      </c>
      <c r="R23" s="435"/>
      <c r="S23" s="441"/>
      <c r="T23" s="457"/>
      <c r="U23" s="447">
        <f>'UK P&amp;L'!AY24</f>
        <v>0</v>
      </c>
      <c r="V23" s="434"/>
      <c r="W23" s="447"/>
      <c r="X23" s="439">
        <f>'UK P&amp;L'!BB24</f>
        <v>0</v>
      </c>
      <c r="Y23" s="435"/>
      <c r="Z23" s="441"/>
      <c r="AA23" s="442">
        <f>'UK P&amp;L'!BE24</f>
        <v>0</v>
      </c>
      <c r="AB23" s="434"/>
      <c r="AC23" s="447"/>
      <c r="AD23" s="439">
        <f>'UK P&amp;L'!BH24</f>
        <v>0</v>
      </c>
      <c r="AE23" s="435"/>
      <c r="AF23" s="441"/>
      <c r="AG23" s="442">
        <f>'UK P&amp;L'!BK24</f>
        <v>0</v>
      </c>
      <c r="AH23" s="434"/>
      <c r="AI23" s="447"/>
      <c r="AJ23" s="439">
        <f>'UK P&amp;L'!BN24</f>
        <v>0</v>
      </c>
      <c r="AK23" s="435"/>
      <c r="AL23" s="441"/>
      <c r="AM23" s="456"/>
    </row>
    <row r="24" spans="1:40" hidden="1" outlineLevel="1">
      <c r="A24" s="158" t="s">
        <v>96</v>
      </c>
      <c r="B24" s="434">
        <f ca="1">'UK P&amp;L'!AF25</f>
        <v>1923771.4714000002</v>
      </c>
      <c r="C24" s="434"/>
      <c r="D24" s="434"/>
      <c r="E24" s="429">
        <f ca="1">'UK P&amp;L'!AI25</f>
        <v>157016.78159999999</v>
      </c>
      <c r="F24" s="435"/>
      <c r="G24" s="435"/>
      <c r="H24" s="428">
        <f ca="1">'UK P&amp;L'!AL25</f>
        <v>149512.66845</v>
      </c>
      <c r="I24" s="434"/>
      <c r="J24" s="434"/>
      <c r="K24" s="429">
        <f ca="1">'UK P&amp;L'!AO25</f>
        <v>160613.71217400001</v>
      </c>
      <c r="L24" s="435"/>
      <c r="M24" s="435"/>
      <c r="N24" s="428">
        <f ca="1">'UK P&amp;L'!AR25</f>
        <v>191028.94307399998</v>
      </c>
      <c r="O24" s="434"/>
      <c r="P24" s="434"/>
      <c r="Q24" s="439">
        <f ca="1">'UK P&amp;L'!AU25</f>
        <v>1943009.1861139997</v>
      </c>
      <c r="R24" s="435"/>
      <c r="S24" s="441"/>
      <c r="T24" s="457"/>
      <c r="U24" s="447">
        <f>'UK P&amp;L'!AY25</f>
        <v>0</v>
      </c>
      <c r="V24" s="434"/>
      <c r="W24" s="447"/>
      <c r="X24" s="439">
        <f>'UK P&amp;L'!BB25</f>
        <v>0</v>
      </c>
      <c r="Y24" s="435"/>
      <c r="Z24" s="441"/>
      <c r="AA24" s="442">
        <f>'UK P&amp;L'!BE25</f>
        <v>0</v>
      </c>
      <c r="AB24" s="434"/>
      <c r="AC24" s="447"/>
      <c r="AD24" s="439">
        <f>'UK P&amp;L'!BH25</f>
        <v>0</v>
      </c>
      <c r="AE24" s="435"/>
      <c r="AF24" s="441"/>
      <c r="AG24" s="442">
        <f>'UK P&amp;L'!BK25</f>
        <v>0</v>
      </c>
      <c r="AH24" s="434"/>
      <c r="AI24" s="447"/>
      <c r="AJ24" s="439">
        <f>'UK P&amp;L'!BN25</f>
        <v>0</v>
      </c>
      <c r="AK24" s="435"/>
      <c r="AL24" s="441"/>
      <c r="AM24" s="456"/>
    </row>
    <row r="25" spans="1:40" hidden="1" outlineLevel="1">
      <c r="A25" s="158" t="s">
        <v>97</v>
      </c>
      <c r="B25" s="434">
        <f>'UK P&amp;L'!AF26</f>
        <v>0</v>
      </c>
      <c r="C25" s="434"/>
      <c r="D25" s="434"/>
      <c r="E25" s="429">
        <f>'UK P&amp;L'!AI26</f>
        <v>0</v>
      </c>
      <c r="F25" s="435"/>
      <c r="G25" s="435"/>
      <c r="H25" s="428">
        <f>'UK P&amp;L'!AL26</f>
        <v>0</v>
      </c>
      <c r="I25" s="434"/>
      <c r="J25" s="434"/>
      <c r="K25" s="429">
        <f>'UK P&amp;L'!AO26</f>
        <v>0</v>
      </c>
      <c r="L25" s="435"/>
      <c r="M25" s="435"/>
      <c r="N25" s="428">
        <f>'UK P&amp;L'!AR26</f>
        <v>0</v>
      </c>
      <c r="O25" s="434"/>
      <c r="P25" s="434"/>
      <c r="Q25" s="439">
        <f>'UK P&amp;L'!AU26</f>
        <v>0</v>
      </c>
      <c r="R25" s="435"/>
      <c r="S25" s="441"/>
      <c r="T25" s="457"/>
      <c r="U25" s="447">
        <f>'UK P&amp;L'!AY26</f>
        <v>0</v>
      </c>
      <c r="V25" s="434"/>
      <c r="W25" s="447"/>
      <c r="X25" s="439">
        <f>'UK P&amp;L'!BB26</f>
        <v>0</v>
      </c>
      <c r="Y25" s="435"/>
      <c r="Z25" s="441"/>
      <c r="AA25" s="442">
        <f>'UK P&amp;L'!BE26</f>
        <v>0</v>
      </c>
      <c r="AB25" s="434"/>
      <c r="AC25" s="447"/>
      <c r="AD25" s="439">
        <f>'UK P&amp;L'!BH26</f>
        <v>0</v>
      </c>
      <c r="AE25" s="435"/>
      <c r="AF25" s="441"/>
      <c r="AG25" s="442">
        <f>'UK P&amp;L'!BK26</f>
        <v>0</v>
      </c>
      <c r="AH25" s="434"/>
      <c r="AI25" s="447"/>
      <c r="AJ25" s="439">
        <f>'UK P&amp;L'!BN26</f>
        <v>0</v>
      </c>
      <c r="AK25" s="435"/>
      <c r="AL25" s="441"/>
      <c r="AM25" s="456"/>
    </row>
    <row r="26" spans="1:40" hidden="1" outlineLevel="1">
      <c r="A26" s="158" t="s">
        <v>98</v>
      </c>
      <c r="B26" s="434">
        <f ca="1">'UK P&amp;L'!AF27</f>
        <v>8857629.7512624133</v>
      </c>
      <c r="C26" s="434"/>
      <c r="D26" s="434"/>
      <c r="E26" s="429">
        <f ca="1">'UK P&amp;L'!AI27</f>
        <v>936627.40679347469</v>
      </c>
      <c r="F26" s="435"/>
      <c r="G26" s="435"/>
      <c r="H26" s="428">
        <f ca="1">'UK P&amp;L'!AL27</f>
        <v>1079458.9229413029</v>
      </c>
      <c r="I26" s="434"/>
      <c r="J26" s="434"/>
      <c r="K26" s="429">
        <f ca="1">'UK P&amp;L'!AO27</f>
        <v>1668096.6330561752</v>
      </c>
      <c r="L26" s="435"/>
      <c r="M26" s="435"/>
      <c r="N26" s="428">
        <f ca="1">'UK P&amp;L'!AR27</f>
        <v>1394850.9934779957</v>
      </c>
      <c r="O26" s="434"/>
      <c r="P26" s="434"/>
      <c r="Q26" s="439">
        <f ca="1">'UK P&amp;L'!AU27</f>
        <v>14531824.361649606</v>
      </c>
      <c r="R26" s="435"/>
      <c r="S26" s="441"/>
      <c r="T26" s="457"/>
      <c r="U26" s="447">
        <f>'UK P&amp;L'!AY27</f>
        <v>0</v>
      </c>
      <c r="V26" s="434"/>
      <c r="W26" s="447"/>
      <c r="X26" s="439">
        <f>'UK P&amp;L'!BB27</f>
        <v>0</v>
      </c>
      <c r="Y26" s="435"/>
      <c r="Z26" s="441"/>
      <c r="AA26" s="442">
        <f>'UK P&amp;L'!BE27</f>
        <v>0</v>
      </c>
      <c r="AB26" s="434"/>
      <c r="AC26" s="447"/>
      <c r="AD26" s="439">
        <f>'UK P&amp;L'!BH27</f>
        <v>0</v>
      </c>
      <c r="AE26" s="435"/>
      <c r="AF26" s="441"/>
      <c r="AG26" s="442">
        <f>'UK P&amp;L'!BK27</f>
        <v>0</v>
      </c>
      <c r="AH26" s="434"/>
      <c r="AI26" s="447"/>
      <c r="AJ26" s="439">
        <f>'UK P&amp;L'!BN27</f>
        <v>0</v>
      </c>
      <c r="AK26" s="435"/>
      <c r="AL26" s="441"/>
      <c r="AM26" s="456"/>
    </row>
    <row r="27" spans="1:40" hidden="1" outlineLevel="1">
      <c r="A27" s="10"/>
      <c r="B27" s="428"/>
      <c r="C27" s="428"/>
      <c r="D27" s="428"/>
      <c r="E27" s="429"/>
      <c r="F27" s="429"/>
      <c r="G27" s="429"/>
      <c r="H27" s="428"/>
      <c r="I27" s="428"/>
      <c r="J27" s="428"/>
      <c r="K27" s="429"/>
      <c r="L27" s="429"/>
      <c r="M27" s="429"/>
      <c r="N27" s="428"/>
      <c r="O27" s="428"/>
      <c r="P27" s="428"/>
      <c r="Q27" s="439"/>
      <c r="R27" s="429"/>
      <c r="S27" s="439"/>
      <c r="T27" s="457"/>
      <c r="U27" s="442"/>
      <c r="V27" s="428"/>
      <c r="W27" s="442"/>
      <c r="X27" s="439"/>
      <c r="Y27" s="429"/>
      <c r="Z27" s="439"/>
      <c r="AA27" s="442"/>
      <c r="AB27" s="428"/>
      <c r="AC27" s="442"/>
      <c r="AD27" s="439"/>
      <c r="AE27" s="429"/>
      <c r="AF27" s="439"/>
      <c r="AG27" s="442"/>
      <c r="AH27" s="428"/>
      <c r="AI27" s="442"/>
      <c r="AJ27" s="439"/>
      <c r="AK27" s="429"/>
      <c r="AL27" s="439"/>
      <c r="AM27" s="456"/>
    </row>
    <row r="28" spans="1:40" hidden="1" outlineLevel="1">
      <c r="A28" s="158" t="s">
        <v>99</v>
      </c>
      <c r="B28" s="430">
        <f>'UK P&amp;L'!AF29</f>
        <v>0.79</v>
      </c>
      <c r="C28" s="430"/>
      <c r="D28" s="430"/>
      <c r="E28" s="429">
        <f>'UK P&amp;L'!AI29</f>
        <v>0.79999999999999993</v>
      </c>
      <c r="F28" s="487"/>
      <c r="G28" s="431"/>
      <c r="H28" s="428">
        <f>'UK P&amp;L'!AL29</f>
        <v>0.8</v>
      </c>
      <c r="I28" s="432"/>
      <c r="J28" s="432"/>
      <c r="K28" s="429">
        <f>'UK P&amp;L'!AO29</f>
        <v>0.8</v>
      </c>
      <c r="L28" s="433"/>
      <c r="M28" s="433"/>
      <c r="N28" s="428">
        <f>'UK P&amp;L'!AR29</f>
        <v>0.8</v>
      </c>
      <c r="O28" s="432"/>
      <c r="P28" s="432"/>
      <c r="Q28" s="439">
        <f>'UK P&amp;L'!AU29</f>
        <v>0.79999999999999993</v>
      </c>
      <c r="R28" s="433"/>
      <c r="S28" s="440"/>
      <c r="T28" s="457"/>
      <c r="U28" s="446">
        <f>'UK P&amp;L'!AY29</f>
        <v>0</v>
      </c>
      <c r="V28" s="432"/>
      <c r="W28" s="446"/>
      <c r="X28" s="439">
        <f>'UK P&amp;L'!BB29</f>
        <v>0</v>
      </c>
      <c r="Y28" s="433"/>
      <c r="Z28" s="463"/>
      <c r="AA28" s="442">
        <f>'UK P&amp;L'!BE29</f>
        <v>0</v>
      </c>
      <c r="AB28" s="432"/>
      <c r="AC28" s="446"/>
      <c r="AD28" s="439">
        <f>'UK P&amp;L'!BH29</f>
        <v>0</v>
      </c>
      <c r="AE28" s="433"/>
      <c r="AF28" s="440"/>
      <c r="AG28" s="442">
        <f>'UK P&amp;L'!BK29</f>
        <v>0</v>
      </c>
      <c r="AH28" s="432"/>
      <c r="AI28" s="446"/>
      <c r="AJ28" s="439">
        <f>'UK P&amp;L'!BN29</f>
        <v>0</v>
      </c>
      <c r="AK28" s="433"/>
      <c r="AL28" s="440"/>
      <c r="AM28" s="456"/>
    </row>
    <row r="29" spans="1:40" hidden="1" outlineLevel="1">
      <c r="A29" s="158" t="s">
        <v>100</v>
      </c>
      <c r="B29" s="430">
        <f>'UK P&amp;L'!AF30</f>
        <v>0.74480000000000002</v>
      </c>
      <c r="C29" s="430"/>
      <c r="D29" s="430"/>
      <c r="E29" s="429">
        <f>'UK P&amp;L'!AI30</f>
        <v>0.74480000000000013</v>
      </c>
      <c r="F29" s="487"/>
      <c r="G29" s="431"/>
      <c r="H29" s="428">
        <f>'UK P&amp;L'!AL30</f>
        <v>0.74480000000000002</v>
      </c>
      <c r="I29" s="432"/>
      <c r="J29" s="432"/>
      <c r="K29" s="429">
        <f>'UK P&amp;L'!AO30</f>
        <v>0.74479999999999991</v>
      </c>
      <c r="L29" s="433"/>
      <c r="M29" s="433"/>
      <c r="N29" s="428">
        <f>'UK P&amp;L'!AR30</f>
        <v>0.74480000000000002</v>
      </c>
      <c r="O29" s="432"/>
      <c r="P29" s="432"/>
      <c r="Q29" s="439">
        <f>'UK P&amp;L'!AU30</f>
        <v>0.74480000000000002</v>
      </c>
      <c r="R29" s="433"/>
      <c r="S29" s="440"/>
      <c r="T29" s="457"/>
      <c r="U29" s="446">
        <f>'UK P&amp;L'!AY30</f>
        <v>0</v>
      </c>
      <c r="V29" s="432"/>
      <c r="W29" s="446"/>
      <c r="X29" s="439">
        <f>'UK P&amp;L'!BB30</f>
        <v>0</v>
      </c>
      <c r="Y29" s="433"/>
      <c r="Z29" s="463"/>
      <c r="AA29" s="442">
        <f>'UK P&amp;L'!BE30</f>
        <v>0</v>
      </c>
      <c r="AB29" s="432"/>
      <c r="AC29" s="446"/>
      <c r="AD29" s="439">
        <f>'UK P&amp;L'!BH30</f>
        <v>0</v>
      </c>
      <c r="AE29" s="433"/>
      <c r="AF29" s="440"/>
      <c r="AG29" s="442">
        <f>'UK P&amp;L'!BK30</f>
        <v>0</v>
      </c>
      <c r="AH29" s="432"/>
      <c r="AI29" s="446"/>
      <c r="AJ29" s="439">
        <f>'UK P&amp;L'!BN30</f>
        <v>0</v>
      </c>
      <c r="AK29" s="433"/>
      <c r="AL29" s="440"/>
      <c r="AM29" s="456"/>
    </row>
    <row r="30" spans="1:40" hidden="1" outlineLevel="1">
      <c r="A30" s="158" t="s">
        <v>101</v>
      </c>
      <c r="B30" s="430">
        <f ca="1">'UK P&amp;L'!AF31</f>
        <v>0.82000000000000006</v>
      </c>
      <c r="C30" s="430"/>
      <c r="D30" s="430"/>
      <c r="E30" s="429">
        <f ca="1">'UK P&amp;L'!AI31</f>
        <v>0.82</v>
      </c>
      <c r="F30" s="487"/>
      <c r="G30" s="431"/>
      <c r="H30" s="428">
        <f ca="1">'UK P&amp;L'!AL31</f>
        <v>0.82000000000000006</v>
      </c>
      <c r="I30" s="432"/>
      <c r="J30" s="432"/>
      <c r="K30" s="429">
        <f ca="1">'UK P&amp;L'!AO31</f>
        <v>0.82000000000000006</v>
      </c>
      <c r="L30" s="433"/>
      <c r="M30" s="433"/>
      <c r="N30" s="428">
        <f ca="1">'UK P&amp;L'!AR31</f>
        <v>0.82</v>
      </c>
      <c r="O30" s="432"/>
      <c r="P30" s="432"/>
      <c r="Q30" s="439">
        <f ca="1">'UK P&amp;L'!AU31</f>
        <v>0.82</v>
      </c>
      <c r="R30" s="433"/>
      <c r="S30" s="440"/>
      <c r="T30" s="457"/>
      <c r="U30" s="446">
        <f>'UK P&amp;L'!AY31</f>
        <v>0</v>
      </c>
      <c r="V30" s="432"/>
      <c r="W30" s="446"/>
      <c r="X30" s="439">
        <f>'UK P&amp;L'!BB31</f>
        <v>0</v>
      </c>
      <c r="Y30" s="433"/>
      <c r="Z30" s="463"/>
      <c r="AA30" s="442">
        <f>'UK P&amp;L'!BE31</f>
        <v>0</v>
      </c>
      <c r="AB30" s="432"/>
      <c r="AC30" s="446"/>
      <c r="AD30" s="439">
        <f>'UK P&amp;L'!BH31</f>
        <v>0</v>
      </c>
      <c r="AE30" s="433"/>
      <c r="AF30" s="440"/>
      <c r="AG30" s="442">
        <f>'UK P&amp;L'!BK31</f>
        <v>0</v>
      </c>
      <c r="AH30" s="432"/>
      <c r="AI30" s="446"/>
      <c r="AJ30" s="439">
        <f>'UK P&amp;L'!BN31</f>
        <v>0</v>
      </c>
      <c r="AK30" s="433"/>
      <c r="AL30" s="440"/>
      <c r="AM30" s="456"/>
    </row>
    <row r="31" spans="1:40" hidden="1" outlineLevel="1">
      <c r="A31" s="158" t="s">
        <v>102</v>
      </c>
      <c r="B31" s="430">
        <f>'UK P&amp;L'!AF32</f>
        <v>0</v>
      </c>
      <c r="C31" s="430"/>
      <c r="D31" s="430"/>
      <c r="E31" s="429">
        <f>'UK P&amp;L'!AI32</f>
        <v>0</v>
      </c>
      <c r="F31" s="487"/>
      <c r="G31" s="431"/>
      <c r="H31" s="428">
        <f>'UK P&amp;L'!AL32</f>
        <v>0</v>
      </c>
      <c r="I31" s="432"/>
      <c r="J31" s="432"/>
      <c r="K31" s="429">
        <f>'UK P&amp;L'!AO32</f>
        <v>0</v>
      </c>
      <c r="L31" s="433"/>
      <c r="M31" s="433"/>
      <c r="N31" s="428">
        <f>'UK P&amp;L'!AR32</f>
        <v>0</v>
      </c>
      <c r="O31" s="432"/>
      <c r="P31" s="432"/>
      <c r="Q31" s="439">
        <f>'UK P&amp;L'!AU32</f>
        <v>0</v>
      </c>
      <c r="R31" s="433"/>
      <c r="S31" s="440"/>
      <c r="T31" s="457"/>
      <c r="U31" s="446">
        <f>'UK P&amp;L'!AY32</f>
        <v>0</v>
      </c>
      <c r="V31" s="432"/>
      <c r="W31" s="446"/>
      <c r="X31" s="439">
        <f>'UK P&amp;L'!BB32</f>
        <v>0</v>
      </c>
      <c r="Y31" s="433"/>
      <c r="Z31" s="463"/>
      <c r="AA31" s="442">
        <f>'UK P&amp;L'!BE32</f>
        <v>0</v>
      </c>
      <c r="AB31" s="432"/>
      <c r="AC31" s="446"/>
      <c r="AD31" s="439">
        <f>'UK P&amp;L'!BH32</f>
        <v>0</v>
      </c>
      <c r="AE31" s="433"/>
      <c r="AF31" s="440"/>
      <c r="AG31" s="442">
        <f>'UK P&amp;L'!BK32</f>
        <v>0</v>
      </c>
      <c r="AH31" s="432"/>
      <c r="AI31" s="446"/>
      <c r="AJ31" s="439">
        <f>'UK P&amp;L'!BN32</f>
        <v>0</v>
      </c>
      <c r="AK31" s="433"/>
      <c r="AL31" s="440"/>
      <c r="AM31" s="456"/>
    </row>
    <row r="32" spans="1:40" hidden="1" outlineLevel="1">
      <c r="A32" s="262" t="s">
        <v>103</v>
      </c>
      <c r="B32" s="430">
        <f ca="1">'UK P&amp;L'!AF33</f>
        <v>0.77957342763929904</v>
      </c>
      <c r="C32" s="430"/>
      <c r="D32" s="430"/>
      <c r="E32" s="429">
        <f ca="1">'UK P&amp;L'!AI33</f>
        <v>0.78917108060718533</v>
      </c>
      <c r="F32" s="487"/>
      <c r="G32" s="431"/>
      <c r="H32" s="428">
        <f ca="1">'UK P&amp;L'!AL33</f>
        <v>0.78848006804425652</v>
      </c>
      <c r="I32" s="432"/>
      <c r="J32" s="432"/>
      <c r="K32" s="429">
        <f ca="1">'UK P&amp;L'!AO33</f>
        <v>0.77673872043587544</v>
      </c>
      <c r="L32" s="433"/>
      <c r="M32" s="433"/>
      <c r="N32" s="428">
        <f ca="1">'UK P&amp;L'!AR33</f>
        <v>0.79023098492799437</v>
      </c>
      <c r="O32" s="432"/>
      <c r="P32" s="432"/>
      <c r="Q32" s="439">
        <f ca="1">'UK P&amp;L'!AU33</f>
        <v>0.78769423445151188</v>
      </c>
      <c r="R32" s="433"/>
      <c r="S32" s="440"/>
      <c r="T32" s="457"/>
      <c r="U32" s="446">
        <f>'UK P&amp;L'!AY33</f>
        <v>0</v>
      </c>
      <c r="V32" s="432"/>
      <c r="W32" s="446"/>
      <c r="X32" s="439">
        <f>'UK P&amp;L'!BB33</f>
        <v>0</v>
      </c>
      <c r="Y32" s="433"/>
      <c r="Z32" s="463"/>
      <c r="AA32" s="442">
        <f>'UK P&amp;L'!BE33</f>
        <v>0</v>
      </c>
      <c r="AB32" s="432"/>
      <c r="AC32" s="446"/>
      <c r="AD32" s="439">
        <f>'UK P&amp;L'!BH33</f>
        <v>0</v>
      </c>
      <c r="AE32" s="433"/>
      <c r="AF32" s="440"/>
      <c r="AG32" s="442">
        <f>'UK P&amp;L'!BK33</f>
        <v>0</v>
      </c>
      <c r="AH32" s="432"/>
      <c r="AI32" s="446"/>
      <c r="AJ32" s="439">
        <f>'UK P&amp;L'!BN33</f>
        <v>0</v>
      </c>
      <c r="AK32" s="433"/>
      <c r="AL32" s="440"/>
      <c r="AM32" s="456"/>
    </row>
    <row r="33" spans="1:40" collapsed="1">
      <c r="A33" s="7"/>
      <c r="B33" s="430"/>
      <c r="C33" s="430"/>
      <c r="D33" s="430"/>
      <c r="E33" s="429"/>
      <c r="F33" s="487"/>
      <c r="G33" s="431"/>
      <c r="H33" s="428"/>
      <c r="I33" s="432"/>
      <c r="J33" s="432"/>
      <c r="K33" s="429"/>
      <c r="L33" s="433"/>
      <c r="M33" s="433"/>
      <c r="N33" s="428"/>
      <c r="O33" s="432"/>
      <c r="P33" s="432"/>
      <c r="Q33" s="439"/>
      <c r="R33" s="433"/>
      <c r="S33" s="440"/>
      <c r="T33" s="457"/>
      <c r="U33" s="446"/>
      <c r="V33" s="432"/>
      <c r="W33" s="446"/>
      <c r="X33" s="439"/>
      <c r="Y33" s="433"/>
      <c r="Z33" s="463"/>
      <c r="AA33" s="442"/>
      <c r="AB33" s="432"/>
      <c r="AC33" s="446"/>
      <c r="AD33" s="439"/>
      <c r="AE33" s="433"/>
      <c r="AF33" s="440"/>
      <c r="AG33" s="442"/>
      <c r="AH33" s="432"/>
      <c r="AI33" s="446"/>
      <c r="AJ33" s="439"/>
      <c r="AK33" s="433"/>
      <c r="AL33" s="440"/>
      <c r="AM33" s="456"/>
    </row>
    <row r="34" spans="1:40">
      <c r="A34" s="156" t="s">
        <v>104</v>
      </c>
      <c r="B34" s="428"/>
      <c r="C34" s="428"/>
      <c r="D34" s="428"/>
      <c r="E34" s="429"/>
      <c r="F34" s="429"/>
      <c r="G34" s="429"/>
      <c r="H34" s="428"/>
      <c r="I34" s="428"/>
      <c r="J34" s="428"/>
      <c r="K34" s="429"/>
      <c r="L34" s="429"/>
      <c r="M34" s="429"/>
      <c r="N34" s="428"/>
      <c r="O34" s="428"/>
      <c r="P34" s="428"/>
      <c r="Q34" s="439"/>
      <c r="R34" s="429"/>
      <c r="S34" s="439"/>
      <c r="T34" s="457"/>
      <c r="U34" s="442"/>
      <c r="V34" s="428"/>
      <c r="W34" s="442"/>
      <c r="X34" s="439"/>
      <c r="Y34" s="429"/>
      <c r="Z34" s="439"/>
      <c r="AA34" s="442"/>
      <c r="AB34" s="428"/>
      <c r="AC34" s="442"/>
      <c r="AD34" s="439"/>
      <c r="AE34" s="429"/>
      <c r="AF34" s="439"/>
      <c r="AG34" s="442"/>
      <c r="AH34" s="428"/>
      <c r="AI34" s="442"/>
      <c r="AJ34" s="439"/>
      <c r="AK34" s="429"/>
      <c r="AL34" s="439"/>
      <c r="AM34" s="456"/>
    </row>
    <row r="35" spans="1:40">
      <c r="A35" s="7"/>
      <c r="B35" s="428"/>
      <c r="C35" s="428"/>
      <c r="D35" s="428"/>
      <c r="E35" s="429"/>
      <c r="F35" s="429"/>
      <c r="G35" s="429"/>
      <c r="H35" s="428"/>
      <c r="I35" s="428"/>
      <c r="J35" s="428"/>
      <c r="K35" s="429"/>
      <c r="L35" s="429"/>
      <c r="M35" s="429"/>
      <c r="N35" s="428"/>
      <c r="O35" s="428"/>
      <c r="P35" s="428"/>
      <c r="Q35" s="439"/>
      <c r="R35" s="429"/>
      <c r="S35" s="439"/>
      <c r="T35" s="457"/>
      <c r="U35" s="442"/>
      <c r="V35" s="428"/>
      <c r="W35" s="442"/>
      <c r="X35" s="439"/>
      <c r="Y35" s="429"/>
      <c r="Z35" s="439"/>
      <c r="AA35" s="442"/>
      <c r="AB35" s="428"/>
      <c r="AC35" s="442"/>
      <c r="AD35" s="439"/>
      <c r="AE35" s="429"/>
      <c r="AF35" s="439"/>
      <c r="AG35" s="442"/>
      <c r="AH35" s="428"/>
      <c r="AI35" s="442"/>
      <c r="AJ35" s="439"/>
      <c r="AK35" s="429"/>
      <c r="AL35" s="439"/>
      <c r="AM35" s="456"/>
    </row>
    <row r="36" spans="1:40">
      <c r="A36" s="7" t="s">
        <v>105</v>
      </c>
      <c r="B36" s="442">
        <f>'UK P&amp;L'!AF37</f>
        <v>0</v>
      </c>
      <c r="C36" s="442"/>
      <c r="D36" s="442"/>
      <c r="E36" s="439">
        <f>'CE P&amp;L'!AF37</f>
        <v>0</v>
      </c>
      <c r="F36" s="439">
        <v>75000</v>
      </c>
      <c r="G36" s="439"/>
      <c r="H36" s="442">
        <f>'EE P&amp;L'!AF37</f>
        <v>0</v>
      </c>
      <c r="I36" s="442"/>
      <c r="J36" s="442"/>
      <c r="K36" s="439">
        <f>'ROW P&amp;L'!AF38</f>
        <v>0</v>
      </c>
      <c r="L36" s="439"/>
      <c r="M36" s="439"/>
      <c r="N36" s="443">
        <f>'Non Rev P&amp;L'!AF19</f>
        <v>-300000</v>
      </c>
      <c r="O36" s="442">
        <v>0</v>
      </c>
      <c r="P36" s="443">
        <f>N36+O36</f>
        <v>-300000</v>
      </c>
      <c r="Q36" s="439">
        <f t="shared" ref="Q36:Q40" si="4">B36+E36+H36+K36+N36</f>
        <v>-300000</v>
      </c>
      <c r="R36" s="439">
        <v>30000</v>
      </c>
      <c r="S36" s="439"/>
      <c r="T36" s="457"/>
      <c r="U36" s="443">
        <f>'UK P&amp;L'!AU37</f>
        <v>0</v>
      </c>
      <c r="V36" s="442"/>
      <c r="W36" s="442"/>
      <c r="X36" s="438">
        <f>'CE P&amp;L'!AU37</f>
        <v>0</v>
      </c>
      <c r="Y36" s="439"/>
      <c r="Z36" s="439"/>
      <c r="AA36" s="443">
        <f>'EE P&amp;L'!AU37</f>
        <v>0</v>
      </c>
      <c r="AB36" s="442"/>
      <c r="AC36" s="442"/>
      <c r="AD36" s="438">
        <f>'ROW P&amp;L'!AU38</f>
        <v>0</v>
      </c>
      <c r="AE36" s="439"/>
      <c r="AF36" s="439"/>
      <c r="AG36" s="442">
        <f>'Non Rev P&amp;L'!AU19</f>
        <v>-300000</v>
      </c>
      <c r="AH36" s="442"/>
      <c r="AI36" s="442"/>
      <c r="AJ36" s="439">
        <f t="shared" ref="AJ36:AJ40" si="5">U36+X36+AA36+AD36+AG36</f>
        <v>-300000</v>
      </c>
      <c r="AK36" s="439"/>
      <c r="AL36" s="438">
        <f>AJ36+AK36</f>
        <v>-300000</v>
      </c>
      <c r="AM36" s="438"/>
      <c r="AN36" s="457"/>
    </row>
    <row r="37" spans="1:40">
      <c r="A37" s="7" t="s">
        <v>106</v>
      </c>
      <c r="B37" s="443">
        <f>'UK P&amp;L'!AF38</f>
        <v>-660990.96365134546</v>
      </c>
      <c r="C37" s="443">
        <v>0</v>
      </c>
      <c r="D37" s="443">
        <f>B37+C37</f>
        <v>-660990.96365134546</v>
      </c>
      <c r="E37" s="438">
        <f>'CE P&amp;L'!AF38</f>
        <v>-322094.41439929011</v>
      </c>
      <c r="F37" s="438">
        <v>0</v>
      </c>
      <c r="G37" s="438">
        <f>E37+F37</f>
        <v>-322094.41439929011</v>
      </c>
      <c r="H37" s="443">
        <f>'EE P&amp;L'!AF38</f>
        <v>-1164276.1250573886</v>
      </c>
      <c r="I37" s="443">
        <v>0</v>
      </c>
      <c r="J37" s="443">
        <f>H37+I37</f>
        <v>-1164276.1250573886</v>
      </c>
      <c r="K37" s="438">
        <f>'ROW P&amp;L'!AF39</f>
        <v>0</v>
      </c>
      <c r="L37" s="438">
        <v>0</v>
      </c>
      <c r="M37" s="438">
        <f>K37+L37</f>
        <v>0</v>
      </c>
      <c r="N37" s="443">
        <f>'Non Rev P&amp;L'!AF20</f>
        <v>0</v>
      </c>
      <c r="O37" s="442">
        <v>0</v>
      </c>
      <c r="P37" s="443">
        <f>N37+O37</f>
        <v>0</v>
      </c>
      <c r="Q37" s="438">
        <f t="shared" si="4"/>
        <v>-2147361.5031080241</v>
      </c>
      <c r="R37" s="438">
        <v>0</v>
      </c>
      <c r="S37" s="438">
        <f>Q37+R37</f>
        <v>-2147361.5031080241</v>
      </c>
      <c r="T37" s="457"/>
      <c r="U37" s="443">
        <f>'UK P&amp;L'!AU38</f>
        <v>-1517601.2084459006</v>
      </c>
      <c r="V37" s="443">
        <v>0</v>
      </c>
      <c r="W37" s="443">
        <f>U37+V37</f>
        <v>-1517601.2084459006</v>
      </c>
      <c r="X37" s="438">
        <f>'CE P&amp;L'!AU38</f>
        <v>-673347.58029872924</v>
      </c>
      <c r="Y37" s="438">
        <v>0</v>
      </c>
      <c r="Z37" s="438">
        <f>X37+Y37</f>
        <v>-673347.58029872924</v>
      </c>
      <c r="AA37" s="443">
        <f>'EE P&amp;L'!AU38</f>
        <v>-1340817.117225772</v>
      </c>
      <c r="AB37" s="443">
        <v>0</v>
      </c>
      <c r="AC37" s="443">
        <f>AA37+AB37</f>
        <v>-1340817.117225772</v>
      </c>
      <c r="AD37" s="438">
        <f>'ROW P&amp;L'!AU39</f>
        <v>0</v>
      </c>
      <c r="AE37" s="438">
        <v>0</v>
      </c>
      <c r="AF37" s="438">
        <f>AD37+AE37</f>
        <v>0</v>
      </c>
      <c r="AG37" s="442">
        <f>'Non Rev P&amp;L'!AU20</f>
        <v>0</v>
      </c>
      <c r="AH37" s="443">
        <v>0</v>
      </c>
      <c r="AI37" s="443">
        <f>AG37+AH37</f>
        <v>0</v>
      </c>
      <c r="AJ37" s="438">
        <f t="shared" si="5"/>
        <v>-3531765.9059704021</v>
      </c>
      <c r="AK37" s="438">
        <v>0</v>
      </c>
      <c r="AL37" s="438">
        <f>AJ37+AK37</f>
        <v>-3531765.9059704021</v>
      </c>
      <c r="AM37" s="438"/>
      <c r="AN37" s="457"/>
    </row>
    <row r="38" spans="1:40">
      <c r="A38" s="7" t="s">
        <v>107</v>
      </c>
      <c r="B38" s="443">
        <f>'UK P&amp;L'!AF39</f>
        <v>-217872.59916449699</v>
      </c>
      <c r="C38" s="443">
        <v>0</v>
      </c>
      <c r="D38" s="443">
        <f>B38+C38</f>
        <v>-217872.59916449699</v>
      </c>
      <c r="E38" s="438">
        <f>'CE P&amp;L'!AF39</f>
        <v>-125712.74360709397</v>
      </c>
      <c r="F38" s="438">
        <v>0</v>
      </c>
      <c r="G38" s="438">
        <f>E38+F38</f>
        <v>-125712.74360709397</v>
      </c>
      <c r="H38" s="443">
        <f>'EE P&amp;L'!AF39</f>
        <v>-49040.829837217672</v>
      </c>
      <c r="I38" s="443">
        <v>0</v>
      </c>
      <c r="J38" s="443">
        <f>H38+I38</f>
        <v>-49040.829837217672</v>
      </c>
      <c r="K38" s="438">
        <f>'ROW P&amp;L'!AF40</f>
        <v>0</v>
      </c>
      <c r="L38" s="438">
        <v>0</v>
      </c>
      <c r="M38" s="438">
        <f>K38+L38</f>
        <v>0</v>
      </c>
      <c r="N38" s="443">
        <f>'Non Rev P&amp;L'!AF21</f>
        <v>0</v>
      </c>
      <c r="O38" s="442">
        <v>0</v>
      </c>
      <c r="P38" s="443">
        <f>N38+O38</f>
        <v>0</v>
      </c>
      <c r="Q38" s="438">
        <f t="shared" si="4"/>
        <v>-392626.17260880867</v>
      </c>
      <c r="R38" s="438">
        <v>0</v>
      </c>
      <c r="S38" s="438">
        <f>Q38+R38</f>
        <v>-392626.17260880867</v>
      </c>
      <c r="T38" s="457"/>
      <c r="U38" s="443">
        <f>'UK P&amp;L'!AU39</f>
        <v>-259233.47499196755</v>
      </c>
      <c r="V38" s="443">
        <v>0</v>
      </c>
      <c r="W38" s="443">
        <f>U38+V38</f>
        <v>-259233.47499196755</v>
      </c>
      <c r="X38" s="438">
        <f>'CE P&amp;L'!AU39</f>
        <v>-180710.21431599287</v>
      </c>
      <c r="Y38" s="438">
        <v>0</v>
      </c>
      <c r="Z38" s="438">
        <f>X38+Y38</f>
        <v>-180710.21431599287</v>
      </c>
      <c r="AA38" s="443">
        <f>'EE P&amp;L'!AU39</f>
        <v>-55524.871329078545</v>
      </c>
      <c r="AB38" s="443">
        <v>0</v>
      </c>
      <c r="AC38" s="443">
        <f>AA38+AB38</f>
        <v>-55524.871329078545</v>
      </c>
      <c r="AD38" s="438">
        <f>'ROW P&amp;L'!AU40</f>
        <v>-110065.20017342101</v>
      </c>
      <c r="AE38" s="438">
        <v>0</v>
      </c>
      <c r="AF38" s="438">
        <f>AD38+AE38</f>
        <v>-110065.20017342101</v>
      </c>
      <c r="AG38" s="442">
        <f>'Non Rev P&amp;L'!AU21</f>
        <v>0</v>
      </c>
      <c r="AH38" s="443">
        <v>0</v>
      </c>
      <c r="AI38" s="443">
        <f>AG38+AH38</f>
        <v>0</v>
      </c>
      <c r="AJ38" s="438">
        <f t="shared" si="5"/>
        <v>-605533.76081045996</v>
      </c>
      <c r="AK38" s="438">
        <v>0</v>
      </c>
      <c r="AL38" s="438">
        <f>AJ38+AK38</f>
        <v>-605533.76081045996</v>
      </c>
      <c r="AM38" s="438"/>
      <c r="AN38" s="457"/>
    </row>
    <row r="39" spans="1:40">
      <c r="A39" s="7" t="s">
        <v>108</v>
      </c>
      <c r="B39" s="443">
        <f ca="1">'UK P&amp;L'!AF40</f>
        <v>-955288.10408506286</v>
      </c>
      <c r="C39" s="443">
        <v>0</v>
      </c>
      <c r="D39" s="443">
        <f ca="1">B39+C39</f>
        <v>-955288.10408506286</v>
      </c>
      <c r="E39" s="438">
        <f ca="1">'CE P&amp;L'!AF40</f>
        <v>-360868.49228884547</v>
      </c>
      <c r="F39" s="438">
        <v>0</v>
      </c>
      <c r="G39" s="438">
        <f ca="1">E39+F39</f>
        <v>-360868.49228884547</v>
      </c>
      <c r="H39" s="443">
        <f ca="1">'EE P&amp;L'!AF40</f>
        <v>0</v>
      </c>
      <c r="I39" s="443">
        <v>0</v>
      </c>
      <c r="J39" s="443">
        <f ca="1">H39+I39</f>
        <v>0</v>
      </c>
      <c r="K39" s="438">
        <f ca="1">'ROW P&amp;L'!AF41</f>
        <v>-54308.466800000002</v>
      </c>
      <c r="L39" s="438">
        <v>0</v>
      </c>
      <c r="M39" s="438">
        <f ca="1">K39+L39</f>
        <v>-54308.466800000002</v>
      </c>
      <c r="N39" s="443">
        <f>'Non Rev P&amp;L'!AF22</f>
        <v>0</v>
      </c>
      <c r="O39" s="442">
        <v>0</v>
      </c>
      <c r="P39" s="443">
        <f>N39+O39</f>
        <v>0</v>
      </c>
      <c r="Q39" s="438">
        <f t="shared" ca="1" si="4"/>
        <v>-1370465.0631739083</v>
      </c>
      <c r="R39" s="438">
        <v>0</v>
      </c>
      <c r="S39" s="438">
        <f ca="1">Q39+R39</f>
        <v>-1370465.0631739083</v>
      </c>
      <c r="T39" s="457"/>
      <c r="U39" s="443">
        <f ca="1">'UK P&amp;L'!AU40</f>
        <v>-964840.98512591352</v>
      </c>
      <c r="V39" s="443">
        <v>0</v>
      </c>
      <c r="W39" s="443">
        <f ca="1">U39+V39</f>
        <v>-964840.98512591352</v>
      </c>
      <c r="X39" s="438">
        <f ca="1">'CE P&amp;L'!AU40</f>
        <v>-436986.47112202179</v>
      </c>
      <c r="Y39" s="438">
        <v>0</v>
      </c>
      <c r="Z39" s="438">
        <f ca="1">X39+Y39</f>
        <v>-436986.47112202179</v>
      </c>
      <c r="AA39" s="443">
        <f ca="1">'EE P&amp;L'!AU40</f>
        <v>0</v>
      </c>
      <c r="AB39" s="443">
        <v>0</v>
      </c>
      <c r="AC39" s="443">
        <f ca="1">AA39+AB39</f>
        <v>0</v>
      </c>
      <c r="AD39" s="438">
        <f ca="1">'ROW P&amp;L'!AU41</f>
        <v>-54308.466800000002</v>
      </c>
      <c r="AE39" s="438">
        <v>0</v>
      </c>
      <c r="AF39" s="438">
        <f ca="1">AD39+AE39</f>
        <v>-54308.466800000002</v>
      </c>
      <c r="AG39" s="442">
        <f>'Non Rev P&amp;L'!AU22</f>
        <v>0</v>
      </c>
      <c r="AH39" s="443">
        <v>0</v>
      </c>
      <c r="AI39" s="443">
        <f>AG39+AH39</f>
        <v>0</v>
      </c>
      <c r="AJ39" s="438">
        <f t="shared" ca="1" si="5"/>
        <v>-1456135.9230479354</v>
      </c>
      <c r="AK39" s="438">
        <v>0</v>
      </c>
      <c r="AL39" s="438">
        <f ca="1">AJ39+AK39</f>
        <v>-1456135.9230479354</v>
      </c>
      <c r="AM39" s="438"/>
      <c r="AN39" s="457"/>
    </row>
    <row r="40" spans="1:40">
      <c r="A40" s="7" t="s">
        <v>109</v>
      </c>
      <c r="B40" s="443">
        <f>'UK P&amp;L'!AF41</f>
        <v>0</v>
      </c>
      <c r="C40" s="443">
        <v>0</v>
      </c>
      <c r="D40" s="443">
        <f>B40+C40</f>
        <v>0</v>
      </c>
      <c r="E40" s="438">
        <f>'CE P&amp;L'!AF41</f>
        <v>0</v>
      </c>
      <c r="F40" s="438">
        <v>0</v>
      </c>
      <c r="G40" s="438">
        <f>E40+F40</f>
        <v>0</v>
      </c>
      <c r="H40" s="443">
        <f>'EE P&amp;L'!AF41</f>
        <v>0</v>
      </c>
      <c r="I40" s="443">
        <v>0</v>
      </c>
      <c r="J40" s="443">
        <f>H40+I40</f>
        <v>0</v>
      </c>
      <c r="K40" s="438">
        <f>'ROW P&amp;L'!AF42</f>
        <v>0</v>
      </c>
      <c r="L40" s="438">
        <v>0</v>
      </c>
      <c r="M40" s="438">
        <f>K40+L40</f>
        <v>0</v>
      </c>
      <c r="N40" s="443">
        <f>'Non Rev P&amp;L'!AF23</f>
        <v>0</v>
      </c>
      <c r="O40" s="442">
        <v>0</v>
      </c>
      <c r="P40" s="443">
        <f>N40+O40</f>
        <v>0</v>
      </c>
      <c r="Q40" s="438">
        <f t="shared" si="4"/>
        <v>0</v>
      </c>
      <c r="R40" s="438">
        <v>0</v>
      </c>
      <c r="S40" s="438">
        <f>Q40+R40</f>
        <v>0</v>
      </c>
      <c r="T40" s="457"/>
      <c r="U40" s="443">
        <f>'UK P&amp;L'!AU41</f>
        <v>0</v>
      </c>
      <c r="V40" s="443">
        <v>0</v>
      </c>
      <c r="W40" s="443">
        <f>U40+V40</f>
        <v>0</v>
      </c>
      <c r="X40" s="438">
        <f>'CE P&amp;L'!AU41</f>
        <v>0</v>
      </c>
      <c r="Y40" s="438">
        <v>0</v>
      </c>
      <c r="Z40" s="438">
        <f>X40+Y40</f>
        <v>0</v>
      </c>
      <c r="AA40" s="443">
        <f>'EE P&amp;L'!AU41</f>
        <v>0</v>
      </c>
      <c r="AB40" s="443">
        <v>0</v>
      </c>
      <c r="AC40" s="443">
        <f>AA40+AB40</f>
        <v>0</v>
      </c>
      <c r="AD40" s="438">
        <f>'ROW P&amp;L'!AU42</f>
        <v>0</v>
      </c>
      <c r="AE40" s="438">
        <v>0</v>
      </c>
      <c r="AF40" s="438">
        <f>AD40+AE40</f>
        <v>0</v>
      </c>
      <c r="AG40" s="442">
        <f>'Non Rev P&amp;L'!AU23</f>
        <v>0</v>
      </c>
      <c r="AH40" s="443">
        <v>0</v>
      </c>
      <c r="AI40" s="443">
        <f>AG40+AH40</f>
        <v>0</v>
      </c>
      <c r="AJ40" s="438">
        <f t="shared" si="5"/>
        <v>0</v>
      </c>
      <c r="AK40" s="438">
        <v>0</v>
      </c>
      <c r="AL40" s="438">
        <f>AJ40+AK40</f>
        <v>0</v>
      </c>
      <c r="AM40" s="438"/>
      <c r="AN40" s="457"/>
    </row>
    <row r="41" spans="1:40">
      <c r="A41" s="7"/>
      <c r="B41" s="443"/>
      <c r="C41" s="443"/>
      <c r="D41" s="443"/>
      <c r="E41" s="438"/>
      <c r="F41" s="438"/>
      <c r="G41" s="438"/>
      <c r="H41" s="443"/>
      <c r="I41" s="443"/>
      <c r="J41" s="443"/>
      <c r="K41" s="438"/>
      <c r="L41" s="438"/>
      <c r="M41" s="438"/>
      <c r="N41" s="443"/>
      <c r="O41" s="443"/>
      <c r="P41" s="443"/>
      <c r="Q41" s="438"/>
      <c r="R41" s="438"/>
      <c r="S41" s="438"/>
      <c r="T41" s="457"/>
      <c r="U41" s="443"/>
      <c r="V41" s="443"/>
      <c r="W41" s="443"/>
      <c r="X41" s="438"/>
      <c r="Y41" s="438"/>
      <c r="Z41" s="438"/>
      <c r="AA41" s="443"/>
      <c r="AB41" s="443"/>
      <c r="AC41" s="443"/>
      <c r="AD41" s="438"/>
      <c r="AE41" s="438"/>
      <c r="AF41" s="438"/>
      <c r="AG41" s="443"/>
      <c r="AH41" s="443"/>
      <c r="AI41" s="443"/>
      <c r="AJ41" s="438"/>
      <c r="AK41" s="438"/>
      <c r="AL41" s="438"/>
      <c r="AM41" s="456"/>
    </row>
    <row r="42" spans="1:40">
      <c r="A42" s="10" t="s">
        <v>110</v>
      </c>
      <c r="B42" s="442">
        <f ca="1">'UK P&amp;L'!AF43</f>
        <v>-1834151.6669009053</v>
      </c>
      <c r="C42" s="428">
        <f>SUM(C36:C40)</f>
        <v>0</v>
      </c>
      <c r="D42" s="442">
        <f ca="1">B42+C42</f>
        <v>-1834151.6669009053</v>
      </c>
      <c r="E42" s="439">
        <f ca="1">'CE P&amp;L'!AF43</f>
        <v>-808675.65029522951</v>
      </c>
      <c r="F42" s="429">
        <f>SUM(F36:F40)</f>
        <v>75000</v>
      </c>
      <c r="G42" s="439">
        <f ca="1">E42+F42</f>
        <v>-733675.65029522951</v>
      </c>
      <c r="H42" s="442">
        <f ca="1">'EE P&amp;L'!AF43</f>
        <v>-1213316.9548946063</v>
      </c>
      <c r="I42" s="428">
        <f>SUM(I36:I40)</f>
        <v>0</v>
      </c>
      <c r="J42" s="442">
        <f ca="1">H42+I42</f>
        <v>-1213316.9548946063</v>
      </c>
      <c r="K42" s="439">
        <f ca="1">'ROW P&amp;L'!AF44</f>
        <v>-54308.466800000002</v>
      </c>
      <c r="L42" s="429">
        <f>SUM(L36:L40)</f>
        <v>0</v>
      </c>
      <c r="M42" s="439">
        <f ca="1">K42+L42</f>
        <v>-54308.466800000002</v>
      </c>
      <c r="N42" s="442">
        <f>'Non Rev P&amp;L'!AF24</f>
        <v>-300000</v>
      </c>
      <c r="O42" s="428">
        <f>SUM(O36:O40)</f>
        <v>0</v>
      </c>
      <c r="P42" s="442">
        <f>N42+O42</f>
        <v>-300000</v>
      </c>
      <c r="Q42" s="439">
        <f ca="1">B42+E42+H42+K42+N42</f>
        <v>-4210452.738890741</v>
      </c>
      <c r="R42" s="429">
        <f>SUM(R36:R40)</f>
        <v>30000</v>
      </c>
      <c r="S42" s="439">
        <f ca="1">Q42+R42</f>
        <v>-4180452.738890741</v>
      </c>
      <c r="T42" s="457"/>
      <c r="U42" s="442">
        <f ca="1">'UK P&amp;L'!AU43</f>
        <v>-2741675.6685637822</v>
      </c>
      <c r="V42" s="428">
        <f>SUM(V36:V40)</f>
        <v>0</v>
      </c>
      <c r="W42" s="442">
        <f ca="1">U42+V42</f>
        <v>-2741675.6685637822</v>
      </c>
      <c r="X42" s="439">
        <f ca="1">'CE P&amp;L'!AU43</f>
        <v>-1291044.265736744</v>
      </c>
      <c r="Y42" s="429">
        <f>SUM(Y36:Y40)</f>
        <v>0</v>
      </c>
      <c r="Z42" s="439">
        <f ca="1">X42+Y42</f>
        <v>-1291044.265736744</v>
      </c>
      <c r="AA42" s="443">
        <f ca="1">'EE P&amp;L'!AU43</f>
        <v>-1396341.9885548507</v>
      </c>
      <c r="AB42" s="428">
        <f>SUM(AB36:AB40)</f>
        <v>0</v>
      </c>
      <c r="AC42" s="442">
        <f ca="1">AA42+AB42</f>
        <v>-1396341.9885548507</v>
      </c>
      <c r="AD42" s="438">
        <f ca="1">'ROW P&amp;L'!AU44</f>
        <v>-164373.666973421</v>
      </c>
      <c r="AE42" s="429">
        <f>SUM(AE36:AE40)</f>
        <v>0</v>
      </c>
      <c r="AF42" s="439">
        <f ca="1">AD42+AE42</f>
        <v>-164373.666973421</v>
      </c>
      <c r="AG42" s="442">
        <f>'Non Rev P&amp;L'!AU24</f>
        <v>-300000</v>
      </c>
      <c r="AH42" s="428">
        <f>SUM(AH36:AH40)</f>
        <v>0</v>
      </c>
      <c r="AI42" s="442">
        <f>AG42+AH42</f>
        <v>-300000</v>
      </c>
      <c r="AJ42" s="439">
        <f ca="1">U42+X42+AA42+AD42+AG42</f>
        <v>-5893435.5898287985</v>
      </c>
      <c r="AK42" s="429">
        <f>SUM(AK36:AK40)</f>
        <v>0</v>
      </c>
      <c r="AL42" s="439">
        <f ca="1">AJ42+AK42</f>
        <v>-5893435.5898287985</v>
      </c>
      <c r="AM42" s="438"/>
      <c r="AN42" s="457"/>
    </row>
    <row r="43" spans="1:40">
      <c r="A43" s="7"/>
      <c r="B43" s="444"/>
      <c r="C43" s="444"/>
      <c r="D43" s="444"/>
      <c r="E43" s="439"/>
      <c r="F43" s="463"/>
      <c r="G43" s="445"/>
      <c r="H43" s="442"/>
      <c r="I43" s="446"/>
      <c r="J43" s="446"/>
      <c r="K43" s="439"/>
      <c r="L43" s="440"/>
      <c r="M43" s="440"/>
      <c r="N43" s="442"/>
      <c r="O43" s="446"/>
      <c r="P43" s="446"/>
      <c r="Q43" s="439"/>
      <c r="R43" s="440"/>
      <c r="S43" s="440"/>
      <c r="T43" s="457"/>
      <c r="U43" s="446"/>
      <c r="V43" s="446"/>
      <c r="W43" s="446"/>
      <c r="X43" s="439"/>
      <c r="Y43" s="440"/>
      <c r="Z43" s="463"/>
      <c r="AA43" s="442"/>
      <c r="AB43" s="446"/>
      <c r="AC43" s="446"/>
      <c r="AD43" s="439"/>
      <c r="AE43" s="440"/>
      <c r="AF43" s="440"/>
      <c r="AG43" s="442"/>
      <c r="AH43" s="446"/>
      <c r="AI43" s="446"/>
      <c r="AJ43" s="439"/>
      <c r="AK43" s="440"/>
      <c r="AL43" s="440"/>
      <c r="AM43" s="456"/>
    </row>
    <row r="44" spans="1:40" hidden="1" outlineLevel="1">
      <c r="A44" s="158" t="s">
        <v>111</v>
      </c>
      <c r="B44" s="447">
        <f>'UK P&amp;L'!AF45</f>
        <v>3161017.8435428338</v>
      </c>
      <c r="C44" s="447"/>
      <c r="D44" s="447"/>
      <c r="E44" s="439">
        <f>'UK P&amp;L'!AI45</f>
        <v>459822.21755312983</v>
      </c>
      <c r="F44" s="441"/>
      <c r="G44" s="441"/>
      <c r="H44" s="442">
        <f>'UK P&amp;L'!AL45</f>
        <v>553872.90027920739</v>
      </c>
      <c r="I44" s="447"/>
      <c r="J44" s="447"/>
      <c r="K44" s="439">
        <f>'UK P&amp;L'!AO45</f>
        <v>647283.29707188671</v>
      </c>
      <c r="L44" s="441"/>
      <c r="M44" s="441"/>
      <c r="N44" s="442">
        <f>'UK P&amp;L'!AR45</f>
        <v>753174.32255115279</v>
      </c>
      <c r="O44" s="447"/>
      <c r="P44" s="447"/>
      <c r="Q44" s="439">
        <f>'UK P&amp;L'!AU45</f>
        <v>7368611.8246209268</v>
      </c>
      <c r="R44" s="441"/>
      <c r="S44" s="441"/>
      <c r="T44" s="457"/>
      <c r="U44" s="447">
        <f>'UK P&amp;L'!AY45</f>
        <v>0</v>
      </c>
      <c r="V44" s="447"/>
      <c r="W44" s="447"/>
      <c r="X44" s="439">
        <f>'UK P&amp;L'!BB45</f>
        <v>0</v>
      </c>
      <c r="Y44" s="441"/>
      <c r="Z44" s="441"/>
      <c r="AA44" s="442">
        <f>'UK P&amp;L'!BE45</f>
        <v>0</v>
      </c>
      <c r="AB44" s="447"/>
      <c r="AC44" s="447"/>
      <c r="AD44" s="439">
        <f>'UK P&amp;L'!BH45</f>
        <v>0</v>
      </c>
      <c r="AE44" s="441"/>
      <c r="AF44" s="441"/>
      <c r="AG44" s="442">
        <f>'UK P&amp;L'!BK45</f>
        <v>0</v>
      </c>
      <c r="AH44" s="447"/>
      <c r="AI44" s="447"/>
      <c r="AJ44" s="439">
        <f>'UK P&amp;L'!BN45</f>
        <v>0</v>
      </c>
      <c r="AK44" s="441"/>
      <c r="AL44" s="441"/>
      <c r="AM44" s="456"/>
    </row>
    <row r="45" spans="1:40" hidden="1" outlineLevel="1">
      <c r="A45" s="158" t="s">
        <v>112</v>
      </c>
      <c r="B45" s="447">
        <f>'UK P&amp;L'!AF46</f>
        <v>2893976.8735037353</v>
      </c>
      <c r="C45" s="447"/>
      <c r="D45" s="447"/>
      <c r="E45" s="439">
        <f>'UK P&amp;L'!AI46</f>
        <v>209326.67407138058</v>
      </c>
      <c r="F45" s="441"/>
      <c r="G45" s="441"/>
      <c r="H45" s="442">
        <f>'UK P&amp;L'!AL46</f>
        <v>243656.88361753128</v>
      </c>
      <c r="I45" s="447"/>
      <c r="J45" s="447"/>
      <c r="K45" s="439">
        <f>'UK P&amp;L'!AO46</f>
        <v>675996.23014904442</v>
      </c>
      <c r="L45" s="441"/>
      <c r="M45" s="441"/>
      <c r="N45" s="442">
        <f>'UK P&amp;L'!AR46</f>
        <v>274836.79182632134</v>
      </c>
      <c r="O45" s="447"/>
      <c r="P45" s="447"/>
      <c r="Q45" s="439">
        <f>'UK P&amp;L'!AU46</f>
        <v>3443368.66747681</v>
      </c>
      <c r="R45" s="441"/>
      <c r="S45" s="441"/>
      <c r="T45" s="457"/>
      <c r="U45" s="447">
        <f>'UK P&amp;L'!AY46</f>
        <v>0</v>
      </c>
      <c r="V45" s="447"/>
      <c r="W45" s="447"/>
      <c r="X45" s="439">
        <f>'UK P&amp;L'!BB46</f>
        <v>0</v>
      </c>
      <c r="Y45" s="441"/>
      <c r="Z45" s="441"/>
      <c r="AA45" s="442">
        <f>'UK P&amp;L'!BE46</f>
        <v>0</v>
      </c>
      <c r="AB45" s="447"/>
      <c r="AC45" s="447"/>
      <c r="AD45" s="439">
        <f>'UK P&amp;L'!BH46</f>
        <v>0</v>
      </c>
      <c r="AE45" s="441"/>
      <c r="AF45" s="441"/>
      <c r="AG45" s="442">
        <f>'UK P&amp;L'!BK46</f>
        <v>0</v>
      </c>
      <c r="AH45" s="447"/>
      <c r="AI45" s="447"/>
      <c r="AJ45" s="439">
        <f>'UK P&amp;L'!BN46</f>
        <v>0</v>
      </c>
      <c r="AK45" s="441"/>
      <c r="AL45" s="441"/>
      <c r="AM45" s="456"/>
    </row>
    <row r="46" spans="1:40" hidden="1" outlineLevel="1">
      <c r="A46" s="158" t="s">
        <v>113</v>
      </c>
      <c r="B46" s="447">
        <f ca="1">'UK P&amp;L'!AF47</f>
        <v>968483.36731493729</v>
      </c>
      <c r="C46" s="447"/>
      <c r="D46" s="447"/>
      <c r="E46" s="439">
        <f ca="1">'UK P&amp;L'!AI47</f>
        <v>79046.884533668854</v>
      </c>
      <c r="F46" s="441"/>
      <c r="G46" s="441"/>
      <c r="H46" s="442">
        <f ca="1">'UK P&amp;L'!AL47</f>
        <v>75269.092378899368</v>
      </c>
      <c r="I46" s="447"/>
      <c r="J46" s="447"/>
      <c r="K46" s="439">
        <f ca="1">'UK P&amp;L'!AO47</f>
        <v>80857.685601308403</v>
      </c>
      <c r="L46" s="441"/>
      <c r="M46" s="441"/>
      <c r="N46" s="442">
        <f ca="1">'UK P&amp;L'!AR47</f>
        <v>96169.610992455084</v>
      </c>
      <c r="O46" s="447"/>
      <c r="P46" s="447"/>
      <c r="Q46" s="439">
        <f ca="1">'UK P&amp;L'!AU47</f>
        <v>978168.20098808617</v>
      </c>
      <c r="R46" s="441"/>
      <c r="S46" s="441"/>
      <c r="T46" s="457"/>
      <c r="U46" s="447">
        <f>'UK P&amp;L'!AY47</f>
        <v>0</v>
      </c>
      <c r="V46" s="447"/>
      <c r="W46" s="447"/>
      <c r="X46" s="439">
        <f>'UK P&amp;L'!BB47</f>
        <v>0</v>
      </c>
      <c r="Y46" s="441"/>
      <c r="Z46" s="441"/>
      <c r="AA46" s="442">
        <f>'UK P&amp;L'!BE47</f>
        <v>0</v>
      </c>
      <c r="AB46" s="447"/>
      <c r="AC46" s="447"/>
      <c r="AD46" s="439">
        <f>'UK P&amp;L'!BH47</f>
        <v>0</v>
      </c>
      <c r="AE46" s="441"/>
      <c r="AF46" s="441"/>
      <c r="AG46" s="442">
        <f>'UK P&amp;L'!BK47</f>
        <v>0</v>
      </c>
      <c r="AH46" s="447"/>
      <c r="AI46" s="447"/>
      <c r="AJ46" s="439">
        <f>'UK P&amp;L'!BN47</f>
        <v>0</v>
      </c>
      <c r="AK46" s="441"/>
      <c r="AL46" s="441"/>
      <c r="AM46" s="456"/>
    </row>
    <row r="47" spans="1:40" hidden="1" outlineLevel="1">
      <c r="A47" s="158" t="s">
        <v>114</v>
      </c>
      <c r="B47" s="447">
        <f>'UK P&amp;L'!AF48</f>
        <v>0</v>
      </c>
      <c r="C47" s="447"/>
      <c r="D47" s="447"/>
      <c r="E47" s="439">
        <f>'UK P&amp;L'!AI48</f>
        <v>0</v>
      </c>
      <c r="F47" s="441"/>
      <c r="G47" s="441"/>
      <c r="H47" s="442">
        <f>'UK P&amp;L'!AL48</f>
        <v>0</v>
      </c>
      <c r="I47" s="447"/>
      <c r="J47" s="447"/>
      <c r="K47" s="439">
        <f>'UK P&amp;L'!AO48</f>
        <v>0</v>
      </c>
      <c r="L47" s="441"/>
      <c r="M47" s="441"/>
      <c r="N47" s="442">
        <f>'UK P&amp;L'!AR48</f>
        <v>0</v>
      </c>
      <c r="O47" s="447"/>
      <c r="P47" s="447"/>
      <c r="Q47" s="439">
        <f>'UK P&amp;L'!AU48</f>
        <v>0</v>
      </c>
      <c r="R47" s="441"/>
      <c r="S47" s="441"/>
      <c r="T47" s="457"/>
      <c r="U47" s="447">
        <f>'UK P&amp;L'!AY48</f>
        <v>0</v>
      </c>
      <c r="V47" s="447"/>
      <c r="W47" s="447"/>
      <c r="X47" s="439">
        <f>'UK P&amp;L'!BB48</f>
        <v>0</v>
      </c>
      <c r="Y47" s="441"/>
      <c r="Z47" s="441"/>
      <c r="AA47" s="442">
        <f>'UK P&amp;L'!BE48</f>
        <v>0</v>
      </c>
      <c r="AB47" s="447"/>
      <c r="AC47" s="447"/>
      <c r="AD47" s="439">
        <f>'UK P&amp;L'!BH48</f>
        <v>0</v>
      </c>
      <c r="AE47" s="441"/>
      <c r="AF47" s="441"/>
      <c r="AG47" s="442">
        <f>'UK P&amp;L'!BK48</f>
        <v>0</v>
      </c>
      <c r="AH47" s="447"/>
      <c r="AI47" s="447"/>
      <c r="AJ47" s="439">
        <f>'UK P&amp;L'!BN48</f>
        <v>0</v>
      </c>
      <c r="AK47" s="441"/>
      <c r="AL47" s="441"/>
      <c r="AM47" s="456"/>
    </row>
    <row r="48" spans="1:40" hidden="1" outlineLevel="1">
      <c r="A48" s="158" t="s">
        <v>115</v>
      </c>
      <c r="B48" s="447">
        <f ca="1">'UK P&amp;L'!AF49</f>
        <v>7023478.0843615085</v>
      </c>
      <c r="C48" s="447"/>
      <c r="D48" s="447"/>
      <c r="E48" s="439">
        <f ca="1">'UK P&amp;L'!AI49</f>
        <v>748195.77615817939</v>
      </c>
      <c r="F48" s="441"/>
      <c r="G48" s="441"/>
      <c r="H48" s="442">
        <f ca="1">'UK P&amp;L'!AL49</f>
        <v>872798.87627563789</v>
      </c>
      <c r="I48" s="447"/>
      <c r="J48" s="447"/>
      <c r="K48" s="439">
        <f ca="1">'UK P&amp;L'!AO49</f>
        <v>1404137.2128222394</v>
      </c>
      <c r="L48" s="441"/>
      <c r="M48" s="441"/>
      <c r="N48" s="442">
        <f ca="1">'UK P&amp;L'!AR49</f>
        <v>1124180.7253699291</v>
      </c>
      <c r="O48" s="447"/>
      <c r="P48" s="447"/>
      <c r="Q48" s="439">
        <f ca="1">'UK P&amp;L'!AU49</f>
        <v>11790148.693085823</v>
      </c>
      <c r="R48" s="441"/>
      <c r="S48" s="441"/>
      <c r="T48" s="457"/>
      <c r="U48" s="447">
        <f>'UK P&amp;L'!AY49</f>
        <v>0</v>
      </c>
      <c r="V48" s="447"/>
      <c r="W48" s="447"/>
      <c r="X48" s="439">
        <f>'UK P&amp;L'!BB49</f>
        <v>0</v>
      </c>
      <c r="Y48" s="441"/>
      <c r="Z48" s="441"/>
      <c r="AA48" s="442">
        <f>'UK P&amp;L'!BE49</f>
        <v>0</v>
      </c>
      <c r="AB48" s="447"/>
      <c r="AC48" s="447"/>
      <c r="AD48" s="439">
        <f>'UK P&amp;L'!BH49</f>
        <v>0</v>
      </c>
      <c r="AE48" s="441"/>
      <c r="AF48" s="441"/>
      <c r="AG48" s="442">
        <f>'UK P&amp;L'!BK49</f>
        <v>0</v>
      </c>
      <c r="AH48" s="447"/>
      <c r="AI48" s="447"/>
      <c r="AJ48" s="439">
        <f>'UK P&amp;L'!BN49</f>
        <v>0</v>
      </c>
      <c r="AK48" s="441"/>
      <c r="AL48" s="441"/>
      <c r="AM48" s="456"/>
    </row>
    <row r="49" spans="1:40" hidden="1" outlineLevel="1">
      <c r="A49" s="10"/>
      <c r="B49" s="442"/>
      <c r="C49" s="442"/>
      <c r="D49" s="442"/>
      <c r="E49" s="439"/>
      <c r="F49" s="439"/>
      <c r="G49" s="439"/>
      <c r="H49" s="442"/>
      <c r="I49" s="442"/>
      <c r="J49" s="442"/>
      <c r="K49" s="439"/>
      <c r="L49" s="439"/>
      <c r="M49" s="439"/>
      <c r="N49" s="442"/>
      <c r="O49" s="442"/>
      <c r="P49" s="442"/>
      <c r="Q49" s="439"/>
      <c r="R49" s="439"/>
      <c r="S49" s="439"/>
      <c r="T49" s="457"/>
      <c r="U49" s="442"/>
      <c r="V49" s="442"/>
      <c r="W49" s="442"/>
      <c r="X49" s="439"/>
      <c r="Y49" s="439"/>
      <c r="Z49" s="439"/>
      <c r="AA49" s="442"/>
      <c r="AB49" s="442"/>
      <c r="AC49" s="442"/>
      <c r="AD49" s="439"/>
      <c r="AE49" s="439"/>
      <c r="AF49" s="439"/>
      <c r="AG49" s="442"/>
      <c r="AH49" s="442"/>
      <c r="AI49" s="442"/>
      <c r="AJ49" s="439"/>
      <c r="AK49" s="439"/>
      <c r="AL49" s="439"/>
      <c r="AM49" s="456"/>
    </row>
    <row r="50" spans="1:40" hidden="1" outlineLevel="1">
      <c r="A50" s="158" t="s">
        <v>116</v>
      </c>
      <c r="B50" s="444">
        <f>'UK P&amp;L'!AF51</f>
        <v>0.65337476242816173</v>
      </c>
      <c r="C50" s="444"/>
      <c r="D50" s="444"/>
      <c r="E50" s="439">
        <f>'UK P&amp;L'!AI51</f>
        <v>0.66337476242816173</v>
      </c>
      <c r="F50" s="463"/>
      <c r="G50" s="445"/>
      <c r="H50" s="442">
        <f>'UK P&amp;L'!AL51</f>
        <v>0.66337476242816185</v>
      </c>
      <c r="I50" s="446"/>
      <c r="J50" s="446"/>
      <c r="K50" s="439">
        <f>'UK P&amp;L'!AO51</f>
        <v>0.66337476242816185</v>
      </c>
      <c r="L50" s="440"/>
      <c r="M50" s="440"/>
      <c r="N50" s="442">
        <f>'UK P&amp;L'!AR51</f>
        <v>0.66337476242816185</v>
      </c>
      <c r="O50" s="446"/>
      <c r="P50" s="446"/>
      <c r="Q50" s="439">
        <f>'UK P&amp;L'!AU51</f>
        <v>0.66337476242816162</v>
      </c>
      <c r="R50" s="440"/>
      <c r="S50" s="440"/>
      <c r="T50" s="457"/>
      <c r="U50" s="446">
        <f>'UK P&amp;L'!AY51</f>
        <v>0</v>
      </c>
      <c r="V50" s="446"/>
      <c r="W50" s="446"/>
      <c r="X50" s="439">
        <f>'UK P&amp;L'!BB51</f>
        <v>0</v>
      </c>
      <c r="Y50" s="440"/>
      <c r="Z50" s="463"/>
      <c r="AA50" s="442">
        <f>'UK P&amp;L'!BE51</f>
        <v>0</v>
      </c>
      <c r="AB50" s="446"/>
      <c r="AC50" s="446"/>
      <c r="AD50" s="439">
        <f>'UK P&amp;L'!BH51</f>
        <v>0</v>
      </c>
      <c r="AE50" s="440"/>
      <c r="AF50" s="440"/>
      <c r="AG50" s="442">
        <f>'UK P&amp;L'!BK51</f>
        <v>0</v>
      </c>
      <c r="AH50" s="446"/>
      <c r="AI50" s="446"/>
      <c r="AJ50" s="439">
        <f>'UK P&amp;L'!BN51</f>
        <v>0</v>
      </c>
      <c r="AK50" s="440"/>
      <c r="AL50" s="440"/>
      <c r="AM50" s="456"/>
    </row>
    <row r="51" spans="1:40" hidden="1" outlineLevel="1">
      <c r="A51" s="158" t="s">
        <v>117</v>
      </c>
      <c r="B51" s="444">
        <f>'UK P&amp;L'!AF52</f>
        <v>0.6926536756732713</v>
      </c>
      <c r="C51" s="444"/>
      <c r="D51" s="444"/>
      <c r="E51" s="439">
        <f>'UK P&amp;L'!AI52</f>
        <v>0.6926536756732713</v>
      </c>
      <c r="F51" s="463"/>
      <c r="G51" s="445"/>
      <c r="H51" s="442">
        <f>'UK P&amp;L'!AL52</f>
        <v>0.69265367567327141</v>
      </c>
      <c r="I51" s="446"/>
      <c r="J51" s="446"/>
      <c r="K51" s="439">
        <f>'UK P&amp;L'!AO52</f>
        <v>0.69265367567327119</v>
      </c>
      <c r="L51" s="440"/>
      <c r="M51" s="440"/>
      <c r="N51" s="442">
        <f>'UK P&amp;L'!AR52</f>
        <v>0.6926536756732713</v>
      </c>
      <c r="O51" s="446"/>
      <c r="P51" s="446"/>
      <c r="Q51" s="439">
        <f>'UK P&amp;L'!AU52</f>
        <v>0.6926536756732713</v>
      </c>
      <c r="R51" s="440"/>
      <c r="S51" s="440"/>
      <c r="T51" s="457"/>
      <c r="U51" s="446">
        <f>'UK P&amp;L'!AY52</f>
        <v>0</v>
      </c>
      <c r="V51" s="446"/>
      <c r="W51" s="446"/>
      <c r="X51" s="439">
        <f>'UK P&amp;L'!BB52</f>
        <v>0</v>
      </c>
      <c r="Y51" s="440"/>
      <c r="Z51" s="463"/>
      <c r="AA51" s="442">
        <f>'UK P&amp;L'!BE52</f>
        <v>0</v>
      </c>
      <c r="AB51" s="446"/>
      <c r="AC51" s="446"/>
      <c r="AD51" s="439">
        <f>'UK P&amp;L'!BH52</f>
        <v>0</v>
      </c>
      <c r="AE51" s="440"/>
      <c r="AF51" s="440"/>
      <c r="AG51" s="442">
        <f>'UK P&amp;L'!BK52</f>
        <v>0</v>
      </c>
      <c r="AH51" s="446"/>
      <c r="AI51" s="446"/>
      <c r="AJ51" s="439">
        <f>'UK P&amp;L'!BN52</f>
        <v>0</v>
      </c>
      <c r="AK51" s="440"/>
      <c r="AL51" s="440"/>
      <c r="AM51" s="456"/>
    </row>
    <row r="52" spans="1:40" hidden="1" outlineLevel="1">
      <c r="A52" s="158" t="s">
        <v>118</v>
      </c>
      <c r="B52" s="444">
        <f ca="1">'UK P&amp;L'!AF53</f>
        <v>0.41281221444681859</v>
      </c>
      <c r="C52" s="444"/>
      <c r="D52" s="444"/>
      <c r="E52" s="439">
        <f ca="1">'UK P&amp;L'!AI53</f>
        <v>0.41281221444681848</v>
      </c>
      <c r="F52" s="463"/>
      <c r="G52" s="445"/>
      <c r="H52" s="442">
        <f ca="1">'UK P&amp;L'!AL53</f>
        <v>0.41281221444681859</v>
      </c>
      <c r="I52" s="446"/>
      <c r="J52" s="446"/>
      <c r="K52" s="439">
        <f ca="1">'UK P&amp;L'!AO53</f>
        <v>0.41281221444681859</v>
      </c>
      <c r="L52" s="440"/>
      <c r="M52" s="440"/>
      <c r="N52" s="442">
        <f ca="1">'UK P&amp;L'!AR53</f>
        <v>0.41281221444681854</v>
      </c>
      <c r="O52" s="446"/>
      <c r="P52" s="446"/>
      <c r="Q52" s="439">
        <f ca="1">'UK P&amp;L'!AU53</f>
        <v>0.41281221444681848</v>
      </c>
      <c r="R52" s="440"/>
      <c r="S52" s="440"/>
      <c r="T52" s="457"/>
      <c r="U52" s="446">
        <f>'UK P&amp;L'!AY53</f>
        <v>0</v>
      </c>
      <c r="V52" s="446"/>
      <c r="W52" s="446"/>
      <c r="X52" s="439">
        <f>'UK P&amp;L'!BB53</f>
        <v>0</v>
      </c>
      <c r="Y52" s="440"/>
      <c r="Z52" s="463"/>
      <c r="AA52" s="442">
        <f>'UK P&amp;L'!BE53</f>
        <v>0</v>
      </c>
      <c r="AB52" s="446"/>
      <c r="AC52" s="446"/>
      <c r="AD52" s="439">
        <f>'UK P&amp;L'!BH53</f>
        <v>0</v>
      </c>
      <c r="AE52" s="440"/>
      <c r="AF52" s="440"/>
      <c r="AG52" s="442">
        <f>'UK P&amp;L'!BK53</f>
        <v>0</v>
      </c>
      <c r="AH52" s="446"/>
      <c r="AI52" s="446"/>
      <c r="AJ52" s="439">
        <f>'UK P&amp;L'!BN53</f>
        <v>0</v>
      </c>
      <c r="AK52" s="440"/>
      <c r="AL52" s="440"/>
      <c r="AM52" s="456"/>
    </row>
    <row r="53" spans="1:40" hidden="1" outlineLevel="1">
      <c r="A53" s="158" t="s">
        <v>119</v>
      </c>
      <c r="B53" s="444">
        <f>'UK P&amp;L'!AF54</f>
        <v>0</v>
      </c>
      <c r="C53" s="444"/>
      <c r="D53" s="444"/>
      <c r="E53" s="439">
        <f>'UK P&amp;L'!AI54</f>
        <v>0</v>
      </c>
      <c r="F53" s="463"/>
      <c r="G53" s="445"/>
      <c r="H53" s="442">
        <f>'UK P&amp;L'!AL54</f>
        <v>0</v>
      </c>
      <c r="I53" s="446"/>
      <c r="J53" s="446"/>
      <c r="K53" s="439">
        <f>'UK P&amp;L'!AO54</f>
        <v>0</v>
      </c>
      <c r="L53" s="440"/>
      <c r="M53" s="440"/>
      <c r="N53" s="442">
        <f>'UK P&amp;L'!AR54</f>
        <v>0</v>
      </c>
      <c r="O53" s="446"/>
      <c r="P53" s="446"/>
      <c r="Q53" s="439">
        <f>'UK P&amp;L'!AU54</f>
        <v>0</v>
      </c>
      <c r="R53" s="440"/>
      <c r="S53" s="440"/>
      <c r="T53" s="457"/>
      <c r="U53" s="446">
        <f>'UK P&amp;L'!AY54</f>
        <v>0</v>
      </c>
      <c r="V53" s="446"/>
      <c r="W53" s="446"/>
      <c r="X53" s="439">
        <f>'UK P&amp;L'!BB54</f>
        <v>0</v>
      </c>
      <c r="Y53" s="440"/>
      <c r="Z53" s="463"/>
      <c r="AA53" s="442">
        <f>'UK P&amp;L'!BE54</f>
        <v>0</v>
      </c>
      <c r="AB53" s="446"/>
      <c r="AC53" s="446"/>
      <c r="AD53" s="439">
        <f>'UK P&amp;L'!BH54</f>
        <v>0</v>
      </c>
      <c r="AE53" s="440"/>
      <c r="AF53" s="440"/>
      <c r="AG53" s="442">
        <f>'UK P&amp;L'!BK54</f>
        <v>0</v>
      </c>
      <c r="AH53" s="446"/>
      <c r="AI53" s="446"/>
      <c r="AJ53" s="439">
        <f>'UK P&amp;L'!BN54</f>
        <v>0</v>
      </c>
      <c r="AK53" s="440"/>
      <c r="AL53" s="440"/>
      <c r="AM53" s="456"/>
    </row>
    <row r="54" spans="1:40" hidden="1" outlineLevel="1">
      <c r="A54" s="262" t="s">
        <v>120</v>
      </c>
      <c r="B54" s="444">
        <f ca="1">'UK P&amp;L'!AF55</f>
        <v>0.61814695781282147</v>
      </c>
      <c r="C54" s="444"/>
      <c r="D54" s="444"/>
      <c r="E54" s="439">
        <f ca="1">'UK P&amp;L'!AI55</f>
        <v>0.63040485991958251</v>
      </c>
      <c r="F54" s="463"/>
      <c r="G54" s="445"/>
      <c r="H54" s="442">
        <f ca="1">'UK P&amp;L'!AL55</f>
        <v>0.63752728587356033</v>
      </c>
      <c r="I54" s="446"/>
      <c r="J54" s="446"/>
      <c r="K54" s="439">
        <f ca="1">'UK P&amp;L'!AO55</f>
        <v>0.65382767424314669</v>
      </c>
      <c r="L54" s="440"/>
      <c r="M54" s="440"/>
      <c r="N54" s="442">
        <f ca="1">'UK P&amp;L'!AR55</f>
        <v>0.63688698362758878</v>
      </c>
      <c r="O54" s="446"/>
      <c r="P54" s="446"/>
      <c r="Q54" s="439">
        <f ca="1">'UK P&amp;L'!AU55</f>
        <v>0.6390823283949667</v>
      </c>
      <c r="R54" s="440"/>
      <c r="S54" s="440"/>
      <c r="T54" s="457"/>
      <c r="U54" s="446">
        <f>'UK P&amp;L'!AY55</f>
        <v>0</v>
      </c>
      <c r="V54" s="446"/>
      <c r="W54" s="446"/>
      <c r="X54" s="439">
        <f>'UK P&amp;L'!BB55</f>
        <v>0</v>
      </c>
      <c r="Y54" s="440"/>
      <c r="Z54" s="463"/>
      <c r="AA54" s="442">
        <f>'UK P&amp;L'!BE55</f>
        <v>0</v>
      </c>
      <c r="AB54" s="446"/>
      <c r="AC54" s="446"/>
      <c r="AD54" s="439">
        <f>'UK P&amp;L'!BH55</f>
        <v>0</v>
      </c>
      <c r="AE54" s="440"/>
      <c r="AF54" s="440"/>
      <c r="AG54" s="442">
        <f>'UK P&amp;L'!BK55</f>
        <v>0</v>
      </c>
      <c r="AH54" s="446"/>
      <c r="AI54" s="446"/>
      <c r="AJ54" s="439">
        <f>'UK P&amp;L'!BN55</f>
        <v>0</v>
      </c>
      <c r="AK54" s="440"/>
      <c r="AL54" s="440"/>
      <c r="AM54" s="456"/>
    </row>
    <row r="55" spans="1:40" collapsed="1">
      <c r="A55" s="7"/>
      <c r="B55" s="444"/>
      <c r="C55" s="444"/>
      <c r="D55" s="444"/>
      <c r="E55" s="439"/>
      <c r="F55" s="463"/>
      <c r="G55" s="445"/>
      <c r="H55" s="442"/>
      <c r="I55" s="446"/>
      <c r="J55" s="446"/>
      <c r="K55" s="439"/>
      <c r="L55" s="440"/>
      <c r="M55" s="440"/>
      <c r="N55" s="442"/>
      <c r="O55" s="446"/>
      <c r="P55" s="446"/>
      <c r="Q55" s="439"/>
      <c r="R55" s="440"/>
      <c r="S55" s="440"/>
      <c r="T55" s="457"/>
      <c r="U55" s="446"/>
      <c r="V55" s="446"/>
      <c r="W55" s="446"/>
      <c r="X55" s="439"/>
      <c r="Y55" s="440"/>
      <c r="Z55" s="463"/>
      <c r="AA55" s="442"/>
      <c r="AB55" s="446"/>
      <c r="AC55" s="446"/>
      <c r="AD55" s="439"/>
      <c r="AE55" s="440"/>
      <c r="AF55" s="440"/>
      <c r="AG55" s="442"/>
      <c r="AH55" s="446"/>
      <c r="AI55" s="446"/>
      <c r="AJ55" s="439"/>
      <c r="AK55" s="440"/>
      <c r="AL55" s="440"/>
      <c r="AM55" s="456"/>
    </row>
    <row r="56" spans="1:40">
      <c r="A56" s="156" t="s">
        <v>121</v>
      </c>
      <c r="B56" s="443"/>
      <c r="C56" s="443"/>
      <c r="D56" s="443"/>
      <c r="E56" s="439"/>
      <c r="F56" s="438"/>
      <c r="G56" s="438"/>
      <c r="H56" s="442"/>
      <c r="I56" s="443"/>
      <c r="J56" s="443"/>
      <c r="K56" s="439"/>
      <c r="L56" s="438"/>
      <c r="M56" s="438"/>
      <c r="N56" s="442"/>
      <c r="O56" s="443"/>
      <c r="P56" s="443"/>
      <c r="Q56" s="439"/>
      <c r="R56" s="438"/>
      <c r="S56" s="438"/>
      <c r="T56" s="457"/>
      <c r="U56" s="443"/>
      <c r="V56" s="443"/>
      <c r="W56" s="443"/>
      <c r="X56" s="439"/>
      <c r="Y56" s="438"/>
      <c r="Z56" s="438"/>
      <c r="AA56" s="442"/>
      <c r="AB56" s="443"/>
      <c r="AC56" s="443"/>
      <c r="AD56" s="439"/>
      <c r="AE56" s="438"/>
      <c r="AF56" s="438"/>
      <c r="AG56" s="442"/>
      <c r="AH56" s="443"/>
      <c r="AI56" s="443"/>
      <c r="AJ56" s="439"/>
      <c r="AK56" s="438"/>
      <c r="AL56" s="438"/>
      <c r="AM56" s="456"/>
    </row>
    <row r="57" spans="1:40">
      <c r="A57" s="7"/>
      <c r="B57" s="443"/>
      <c r="C57" s="443"/>
      <c r="D57" s="443"/>
      <c r="E57" s="439"/>
      <c r="F57" s="438"/>
      <c r="G57" s="438"/>
      <c r="H57" s="442"/>
      <c r="I57" s="443"/>
      <c r="J57" s="443"/>
      <c r="K57" s="439"/>
      <c r="L57" s="438"/>
      <c r="M57" s="438"/>
      <c r="N57" s="442"/>
      <c r="O57" s="443"/>
      <c r="P57" s="443"/>
      <c r="Q57" s="439"/>
      <c r="R57" s="438"/>
      <c r="S57" s="438"/>
      <c r="T57" s="457"/>
      <c r="U57" s="443"/>
      <c r="V57" s="443"/>
      <c r="W57" s="443"/>
      <c r="X57" s="439"/>
      <c r="Y57" s="438"/>
      <c r="Z57" s="438"/>
      <c r="AA57" s="442"/>
      <c r="AB57" s="443"/>
      <c r="AC57" s="443"/>
      <c r="AD57" s="439"/>
      <c r="AE57" s="438"/>
      <c r="AF57" s="438"/>
      <c r="AG57" s="442"/>
      <c r="AH57" s="443"/>
      <c r="AI57" s="443"/>
      <c r="AJ57" s="439"/>
      <c r="AK57" s="438"/>
      <c r="AL57" s="438"/>
      <c r="AM57" s="456"/>
    </row>
    <row r="58" spans="1:40">
      <c r="A58" s="7" t="s">
        <v>122</v>
      </c>
      <c r="B58" s="443">
        <f>'UK P&amp;L'!AF59</f>
        <v>-1983035.4616891164</v>
      </c>
      <c r="C58" s="443">
        <v>0</v>
      </c>
      <c r="D58" s="443">
        <f t="shared" ref="D58:D67" si="6">B58+C58</f>
        <v>-1983035.4616891164</v>
      </c>
      <c r="E58" s="438">
        <f>'CE P&amp;L'!AF59</f>
        <v>-454126.8</v>
      </c>
      <c r="F58" s="438">
        <v>0</v>
      </c>
      <c r="G58" s="438">
        <f t="shared" ref="G58:G67" si="7">E58+F58</f>
        <v>-454126.8</v>
      </c>
      <c r="H58" s="443">
        <f>'EE P&amp;L'!AF59</f>
        <v>-1668508.65</v>
      </c>
      <c r="I58" s="443">
        <v>0</v>
      </c>
      <c r="J58" s="443">
        <f t="shared" ref="J58:J67" si="8">H58+I58</f>
        <v>-1668508.65</v>
      </c>
      <c r="K58" s="438">
        <f>'ROW P&amp;L'!AF60</f>
        <v>0</v>
      </c>
      <c r="L58" s="438">
        <v>0</v>
      </c>
      <c r="M58" s="438">
        <f t="shared" ref="M58:M67" si="9">K58+L58</f>
        <v>0</v>
      </c>
      <c r="N58" s="443">
        <f>'Non Rev P&amp;L'!AF31</f>
        <v>0</v>
      </c>
      <c r="O58" s="443">
        <v>0</v>
      </c>
      <c r="P58" s="443">
        <f t="shared" ref="P58:P67" si="10">N58+O58</f>
        <v>0</v>
      </c>
      <c r="Q58" s="438">
        <f t="shared" ref="Q58:Q67" si="11">B58+E58+H58+K58+N58</f>
        <v>-4105670.9116891162</v>
      </c>
      <c r="R58" s="438">
        <v>0</v>
      </c>
      <c r="S58" s="438">
        <f t="shared" ref="S58:S67" si="12">Q58+R58</f>
        <v>-4105670.9116891162</v>
      </c>
      <c r="T58" s="457"/>
      <c r="U58" s="443">
        <f>'UK P&amp;L'!AU59</f>
        <v>-3631417.8711292949</v>
      </c>
      <c r="V58" s="443">
        <v>0</v>
      </c>
      <c r="W58" s="443">
        <f t="shared" ref="W58:W67" si="13">U58+V58</f>
        <v>-3631417.8711292949</v>
      </c>
      <c r="X58" s="438">
        <f>'CE P&amp;L'!AU59</f>
        <v>-894498</v>
      </c>
      <c r="Y58" s="438">
        <v>0</v>
      </c>
      <c r="Z58" s="438">
        <f t="shared" ref="Z58:Z67" si="14">X58+Y58</f>
        <v>-894498</v>
      </c>
      <c r="AA58" s="443">
        <f>'EE P&amp;L'!AU59</f>
        <v>-2010460.34</v>
      </c>
      <c r="AB58" s="443">
        <v>0</v>
      </c>
      <c r="AC58" s="443">
        <f t="shared" ref="AC58:AC67" si="15">AA58+AB58</f>
        <v>-2010460.34</v>
      </c>
      <c r="AD58" s="438">
        <f>'ROW P&amp;L'!AU60</f>
        <v>0</v>
      </c>
      <c r="AE58" s="438">
        <v>0</v>
      </c>
      <c r="AF58" s="438">
        <f t="shared" ref="AF58:AF67" si="16">AD58+AE58</f>
        <v>0</v>
      </c>
      <c r="AG58" s="443">
        <f>'Non Rev P&amp;L'!AU31</f>
        <v>0</v>
      </c>
      <c r="AH58" s="443">
        <v>0</v>
      </c>
      <c r="AI58" s="443">
        <f t="shared" ref="AI58:AI67" si="17">AG58+AH58</f>
        <v>0</v>
      </c>
      <c r="AJ58" s="438">
        <f t="shared" ref="AJ58:AJ67" si="18">U58+X58+AA58+AD58+AG58</f>
        <v>-6536376.2111292947</v>
      </c>
      <c r="AK58" s="438">
        <v>0</v>
      </c>
      <c r="AL58" s="438">
        <f t="shared" ref="AL58:AL67" si="19">AJ58+AK58</f>
        <v>-6536376.2111292947</v>
      </c>
      <c r="AM58" s="438"/>
      <c r="AN58" s="457"/>
    </row>
    <row r="59" spans="1:40">
      <c r="A59" s="7" t="s">
        <v>123</v>
      </c>
      <c r="B59" s="443">
        <f>'UK P&amp;L'!AF60</f>
        <v>-300000</v>
      </c>
      <c r="C59" s="443">
        <v>0</v>
      </c>
      <c r="D59" s="443">
        <f t="shared" si="6"/>
        <v>-300000</v>
      </c>
      <c r="E59" s="438">
        <f>'CE P&amp;L'!AF60</f>
        <v>-97500</v>
      </c>
      <c r="F59" s="438">
        <v>0</v>
      </c>
      <c r="G59" s="438">
        <f t="shared" si="7"/>
        <v>-97500</v>
      </c>
      <c r="H59" s="443">
        <f>'EE P&amp;L'!AF60</f>
        <v>-65000</v>
      </c>
      <c r="I59" s="443">
        <v>0</v>
      </c>
      <c r="J59" s="443">
        <f t="shared" si="8"/>
        <v>-65000</v>
      </c>
      <c r="K59" s="438">
        <f>'ROW P&amp;L'!AF61</f>
        <v>0</v>
      </c>
      <c r="L59" s="438">
        <v>0</v>
      </c>
      <c r="M59" s="438">
        <f t="shared" si="9"/>
        <v>0</v>
      </c>
      <c r="N59" s="443">
        <f>'Non Rev P&amp;L'!AF32</f>
        <v>0</v>
      </c>
      <c r="O59" s="443">
        <v>0</v>
      </c>
      <c r="P59" s="443">
        <f t="shared" si="10"/>
        <v>0</v>
      </c>
      <c r="Q59" s="438">
        <f t="shared" si="11"/>
        <v>-462500</v>
      </c>
      <c r="R59" s="438"/>
      <c r="S59" s="438">
        <f t="shared" si="12"/>
        <v>-462500</v>
      </c>
      <c r="T59" s="457"/>
      <c r="U59" s="443">
        <f>'UK P&amp;L'!AU60</f>
        <v>-300000</v>
      </c>
      <c r="V59" s="443">
        <v>0</v>
      </c>
      <c r="W59" s="443">
        <f t="shared" si="13"/>
        <v>-300000</v>
      </c>
      <c r="X59" s="438">
        <f>'CE P&amp;L'!AU60</f>
        <v>-50000</v>
      </c>
      <c r="Y59" s="438">
        <v>0</v>
      </c>
      <c r="Z59" s="438">
        <f t="shared" si="14"/>
        <v>-50000</v>
      </c>
      <c r="AA59" s="443">
        <f>'EE P&amp;L'!AU60</f>
        <v>-47500</v>
      </c>
      <c r="AB59" s="443">
        <v>0</v>
      </c>
      <c r="AC59" s="443">
        <f t="shared" si="15"/>
        <v>-47500</v>
      </c>
      <c r="AD59" s="438">
        <f>'ROW P&amp;L'!AU61</f>
        <v>0</v>
      </c>
      <c r="AE59" s="438">
        <v>0</v>
      </c>
      <c r="AF59" s="438">
        <f t="shared" si="16"/>
        <v>0</v>
      </c>
      <c r="AG59" s="443">
        <f>'Non Rev P&amp;L'!AU32</f>
        <v>0</v>
      </c>
      <c r="AH59" s="443">
        <v>0</v>
      </c>
      <c r="AI59" s="443">
        <f t="shared" si="17"/>
        <v>0</v>
      </c>
      <c r="AJ59" s="438">
        <f t="shared" si="18"/>
        <v>-397500</v>
      </c>
      <c r="AK59" s="438">
        <v>0</v>
      </c>
      <c r="AL59" s="438">
        <f t="shared" si="19"/>
        <v>-397500</v>
      </c>
      <c r="AM59" s="438"/>
      <c r="AN59" s="457"/>
    </row>
    <row r="60" spans="1:40">
      <c r="A60" s="7" t="s">
        <v>124</v>
      </c>
      <c r="B60" s="443">
        <f>'UK P&amp;L'!AF61</f>
        <v>0</v>
      </c>
      <c r="C60" s="443">
        <v>0</v>
      </c>
      <c r="D60" s="443">
        <f t="shared" si="6"/>
        <v>0</v>
      </c>
      <c r="E60" s="438">
        <f>'CE P&amp;L'!AF61</f>
        <v>0</v>
      </c>
      <c r="F60" s="438">
        <v>0</v>
      </c>
      <c r="G60" s="438">
        <f t="shared" si="7"/>
        <v>0</v>
      </c>
      <c r="H60" s="443">
        <f>'EE P&amp;L'!AF61</f>
        <v>0</v>
      </c>
      <c r="I60" s="443">
        <v>0</v>
      </c>
      <c r="J60" s="443">
        <f t="shared" si="8"/>
        <v>0</v>
      </c>
      <c r="K60" s="438">
        <f>'ROW P&amp;L'!AF62</f>
        <v>0</v>
      </c>
      <c r="L60" s="438">
        <v>0</v>
      </c>
      <c r="M60" s="438">
        <f t="shared" si="9"/>
        <v>0</v>
      </c>
      <c r="N60" s="443">
        <f>'Non Rev P&amp;L'!AF33</f>
        <v>0</v>
      </c>
      <c r="O60" s="443">
        <v>0</v>
      </c>
      <c r="P60" s="443">
        <f t="shared" si="10"/>
        <v>0</v>
      </c>
      <c r="Q60" s="438">
        <f t="shared" si="11"/>
        <v>0</v>
      </c>
      <c r="R60" s="438">
        <v>0</v>
      </c>
      <c r="S60" s="438">
        <f t="shared" si="12"/>
        <v>0</v>
      </c>
      <c r="T60" s="457"/>
      <c r="U60" s="443">
        <f>'UK P&amp;L'!AU61</f>
        <v>0</v>
      </c>
      <c r="V60" s="443">
        <v>0</v>
      </c>
      <c r="W60" s="443">
        <f t="shared" si="13"/>
        <v>0</v>
      </c>
      <c r="X60" s="438">
        <f>'CE P&amp;L'!AU61</f>
        <v>0</v>
      </c>
      <c r="Y60" s="438">
        <v>0</v>
      </c>
      <c r="Z60" s="438">
        <f t="shared" si="14"/>
        <v>0</v>
      </c>
      <c r="AA60" s="443">
        <f>'EE P&amp;L'!AU61</f>
        <v>0</v>
      </c>
      <c r="AB60" s="443">
        <v>0</v>
      </c>
      <c r="AC60" s="443">
        <f t="shared" si="15"/>
        <v>0</v>
      </c>
      <c r="AD60" s="438">
        <f>'ROW P&amp;L'!AU62</f>
        <v>0</v>
      </c>
      <c r="AE60" s="438">
        <v>0</v>
      </c>
      <c r="AF60" s="438">
        <f t="shared" si="16"/>
        <v>0</v>
      </c>
      <c r="AG60" s="443">
        <f>'Non Rev P&amp;L'!AU33</f>
        <v>0</v>
      </c>
      <c r="AH60" s="443">
        <v>0</v>
      </c>
      <c r="AI60" s="443">
        <f t="shared" si="17"/>
        <v>0</v>
      </c>
      <c r="AJ60" s="438">
        <f t="shared" si="18"/>
        <v>0</v>
      </c>
      <c r="AK60" s="438">
        <v>0</v>
      </c>
      <c r="AL60" s="438">
        <f t="shared" si="19"/>
        <v>0</v>
      </c>
      <c r="AM60" s="438"/>
      <c r="AN60" s="457"/>
    </row>
    <row r="61" spans="1:40">
      <c r="A61" s="7" t="s">
        <v>125</v>
      </c>
      <c r="B61" s="443">
        <f>'UK P&amp;L'!AF62</f>
        <v>0</v>
      </c>
      <c r="C61" s="443">
        <v>0</v>
      </c>
      <c r="D61" s="443">
        <f t="shared" si="6"/>
        <v>0</v>
      </c>
      <c r="E61" s="438">
        <f>'CE P&amp;L'!AF62</f>
        <v>0</v>
      </c>
      <c r="F61" s="438">
        <v>0</v>
      </c>
      <c r="G61" s="438">
        <f t="shared" si="7"/>
        <v>0</v>
      </c>
      <c r="H61" s="443">
        <f>'EE P&amp;L'!AF62</f>
        <v>0</v>
      </c>
      <c r="I61" s="443">
        <v>0</v>
      </c>
      <c r="J61" s="443">
        <f t="shared" si="8"/>
        <v>0</v>
      </c>
      <c r="K61" s="438">
        <f>'ROW P&amp;L'!AF63</f>
        <v>0</v>
      </c>
      <c r="L61" s="438">
        <v>0</v>
      </c>
      <c r="M61" s="438">
        <f t="shared" si="9"/>
        <v>0</v>
      </c>
      <c r="N61" s="443">
        <f>'Non Rev P&amp;L'!AF34</f>
        <v>0</v>
      </c>
      <c r="O61" s="443">
        <v>0</v>
      </c>
      <c r="P61" s="443">
        <f t="shared" si="10"/>
        <v>0</v>
      </c>
      <c r="Q61" s="438">
        <f t="shared" si="11"/>
        <v>0</v>
      </c>
      <c r="R61" s="438">
        <v>0</v>
      </c>
      <c r="S61" s="438">
        <f t="shared" si="12"/>
        <v>0</v>
      </c>
      <c r="T61" s="457"/>
      <c r="U61" s="443">
        <f>'UK P&amp;L'!AU62</f>
        <v>0</v>
      </c>
      <c r="V61" s="443">
        <v>0</v>
      </c>
      <c r="W61" s="443">
        <f t="shared" si="13"/>
        <v>0</v>
      </c>
      <c r="X61" s="438">
        <f>'CE P&amp;L'!AU62</f>
        <v>0</v>
      </c>
      <c r="Y61" s="438">
        <v>0</v>
      </c>
      <c r="Z61" s="438">
        <f t="shared" si="14"/>
        <v>0</v>
      </c>
      <c r="AA61" s="443">
        <f>'EE P&amp;L'!AU62</f>
        <v>0</v>
      </c>
      <c r="AB61" s="443">
        <v>0</v>
      </c>
      <c r="AC61" s="443">
        <f t="shared" si="15"/>
        <v>0</v>
      </c>
      <c r="AD61" s="438">
        <f>'ROW P&amp;L'!AU63</f>
        <v>0</v>
      </c>
      <c r="AE61" s="438">
        <v>0</v>
      </c>
      <c r="AF61" s="438">
        <f t="shared" si="16"/>
        <v>0</v>
      </c>
      <c r="AG61" s="443">
        <f>'Non Rev P&amp;L'!AU34</f>
        <v>0</v>
      </c>
      <c r="AH61" s="443">
        <v>0</v>
      </c>
      <c r="AI61" s="443">
        <f t="shared" si="17"/>
        <v>0</v>
      </c>
      <c r="AJ61" s="438">
        <f t="shared" si="18"/>
        <v>0</v>
      </c>
      <c r="AK61" s="438">
        <v>0</v>
      </c>
      <c r="AL61" s="438">
        <f t="shared" si="19"/>
        <v>0</v>
      </c>
      <c r="AM61" s="438"/>
      <c r="AN61" s="457"/>
    </row>
    <row r="62" spans="1:40">
      <c r="A62" s="7" t="s">
        <v>126</v>
      </c>
      <c r="B62" s="443">
        <f>'UK P&amp;L'!AF63</f>
        <v>0</v>
      </c>
      <c r="C62" s="443">
        <v>0</v>
      </c>
      <c r="D62" s="443">
        <f t="shared" si="6"/>
        <v>0</v>
      </c>
      <c r="E62" s="438">
        <f>'CE P&amp;L'!AF63</f>
        <v>0</v>
      </c>
      <c r="F62" s="438">
        <v>0</v>
      </c>
      <c r="G62" s="438">
        <f t="shared" si="7"/>
        <v>0</v>
      </c>
      <c r="H62" s="443">
        <f>'EE P&amp;L'!AF63</f>
        <v>0</v>
      </c>
      <c r="I62" s="443">
        <v>0</v>
      </c>
      <c r="J62" s="443">
        <f t="shared" si="8"/>
        <v>0</v>
      </c>
      <c r="K62" s="438">
        <f>'ROW P&amp;L'!AF64</f>
        <v>0</v>
      </c>
      <c r="L62" s="438">
        <v>0</v>
      </c>
      <c r="M62" s="438">
        <f t="shared" si="9"/>
        <v>0</v>
      </c>
      <c r="N62" s="443">
        <f>'Non Rev P&amp;L'!AF35</f>
        <v>0</v>
      </c>
      <c r="O62" s="443">
        <v>0</v>
      </c>
      <c r="P62" s="443">
        <f t="shared" si="10"/>
        <v>0</v>
      </c>
      <c r="Q62" s="438">
        <f t="shared" si="11"/>
        <v>0</v>
      </c>
      <c r="R62" s="438">
        <v>0</v>
      </c>
      <c r="S62" s="438">
        <f t="shared" si="12"/>
        <v>0</v>
      </c>
      <c r="T62" s="457"/>
      <c r="U62" s="443">
        <f>'UK P&amp;L'!AU63</f>
        <v>0</v>
      </c>
      <c r="V62" s="443">
        <v>0</v>
      </c>
      <c r="W62" s="443">
        <f t="shared" si="13"/>
        <v>0</v>
      </c>
      <c r="X62" s="438">
        <f>'CE P&amp;L'!AU63</f>
        <v>0</v>
      </c>
      <c r="Y62" s="438">
        <v>0</v>
      </c>
      <c r="Z62" s="438">
        <f t="shared" si="14"/>
        <v>0</v>
      </c>
      <c r="AA62" s="443">
        <f>'EE P&amp;L'!AU63</f>
        <v>0</v>
      </c>
      <c r="AB62" s="443">
        <v>0</v>
      </c>
      <c r="AC62" s="443">
        <f t="shared" si="15"/>
        <v>0</v>
      </c>
      <c r="AD62" s="438">
        <f>'ROW P&amp;L'!AU64</f>
        <v>0</v>
      </c>
      <c r="AE62" s="438">
        <v>0</v>
      </c>
      <c r="AF62" s="438">
        <f t="shared" si="16"/>
        <v>0</v>
      </c>
      <c r="AG62" s="443">
        <f>'Non Rev P&amp;L'!AU35</f>
        <v>0</v>
      </c>
      <c r="AH62" s="443">
        <v>0</v>
      </c>
      <c r="AI62" s="443">
        <f t="shared" si="17"/>
        <v>0</v>
      </c>
      <c r="AJ62" s="438">
        <f t="shared" si="18"/>
        <v>0</v>
      </c>
      <c r="AK62" s="438">
        <v>0</v>
      </c>
      <c r="AL62" s="438">
        <f t="shared" si="19"/>
        <v>0</v>
      </c>
      <c r="AM62" s="438"/>
      <c r="AN62" s="457"/>
    </row>
    <row r="63" spans="1:40">
      <c r="A63" s="7" t="s">
        <v>127</v>
      </c>
      <c r="B63" s="443">
        <f>'UK P&amp;L'!AF64</f>
        <v>-418980.68868100015</v>
      </c>
      <c r="C63" s="443">
        <v>0</v>
      </c>
      <c r="D63" s="443">
        <f t="shared" si="6"/>
        <v>-418980.68868100015</v>
      </c>
      <c r="E63" s="438">
        <f>'CE P&amp;L'!AF64</f>
        <v>-106918.73758797644</v>
      </c>
      <c r="F63" s="438">
        <v>0</v>
      </c>
      <c r="G63" s="438">
        <f t="shared" si="7"/>
        <v>-106918.73758797644</v>
      </c>
      <c r="H63" s="443">
        <f>'EE P&amp;L'!AF64</f>
        <v>-22359.666395362779</v>
      </c>
      <c r="I63" s="443">
        <v>0</v>
      </c>
      <c r="J63" s="443">
        <f t="shared" si="8"/>
        <v>-22359.666395362779</v>
      </c>
      <c r="K63" s="438">
        <f>'ROW P&amp;L'!AF65</f>
        <v>0</v>
      </c>
      <c r="L63" s="438">
        <v>0</v>
      </c>
      <c r="M63" s="438">
        <f t="shared" si="9"/>
        <v>0</v>
      </c>
      <c r="N63" s="443">
        <f>'Non Rev P&amp;L'!AF36</f>
        <v>0</v>
      </c>
      <c r="O63" s="443">
        <v>0</v>
      </c>
      <c r="P63" s="443">
        <f t="shared" si="10"/>
        <v>0</v>
      </c>
      <c r="Q63" s="438">
        <f t="shared" si="11"/>
        <v>-548259.09266433946</v>
      </c>
      <c r="R63" s="438">
        <v>0</v>
      </c>
      <c r="S63" s="438">
        <f t="shared" si="12"/>
        <v>-548259.09266433946</v>
      </c>
      <c r="T63" s="457"/>
      <c r="U63" s="443">
        <f>'UK P&amp;L'!AU64</f>
        <v>-609545.43931431812</v>
      </c>
      <c r="V63" s="443">
        <v>0</v>
      </c>
      <c r="W63" s="443">
        <f t="shared" si="13"/>
        <v>-609545.43931431812</v>
      </c>
      <c r="X63" s="438">
        <f>'CE P&amp;L'!AU64</f>
        <v>-170209.31237477</v>
      </c>
      <c r="Y63" s="438">
        <v>0</v>
      </c>
      <c r="Z63" s="438">
        <f t="shared" si="14"/>
        <v>-170209.31237477</v>
      </c>
      <c r="AA63" s="443">
        <f>'EE P&amp;L'!AU64</f>
        <v>-17450.64971513092</v>
      </c>
      <c r="AB63" s="443">
        <v>0</v>
      </c>
      <c r="AC63" s="443">
        <f t="shared" si="15"/>
        <v>-17450.64971513092</v>
      </c>
      <c r="AD63" s="438">
        <f>'ROW P&amp;L'!AU65</f>
        <v>0</v>
      </c>
      <c r="AE63" s="438">
        <v>0</v>
      </c>
      <c r="AF63" s="438">
        <f t="shared" si="16"/>
        <v>0</v>
      </c>
      <c r="AG63" s="443">
        <f>'Non Rev P&amp;L'!AU36</f>
        <v>0</v>
      </c>
      <c r="AH63" s="443">
        <v>0</v>
      </c>
      <c r="AI63" s="443">
        <f t="shared" si="17"/>
        <v>0</v>
      </c>
      <c r="AJ63" s="438">
        <f t="shared" si="18"/>
        <v>-797205.40140421898</v>
      </c>
      <c r="AK63" s="438">
        <v>0</v>
      </c>
      <c r="AL63" s="438">
        <f t="shared" si="19"/>
        <v>-797205.40140421898</v>
      </c>
      <c r="AM63" s="438"/>
      <c r="AN63" s="457"/>
    </row>
    <row r="64" spans="1:40">
      <c r="A64" s="7" t="s">
        <v>128</v>
      </c>
      <c r="B64" s="443">
        <f>'UK P&amp;L'!AF65</f>
        <v>-1202967.7153535029</v>
      </c>
      <c r="C64" s="443">
        <v>0</v>
      </c>
      <c r="D64" s="443">
        <f t="shared" si="6"/>
        <v>-1202967.7153535029</v>
      </c>
      <c r="E64" s="438">
        <f>'CE P&amp;L'!AF65</f>
        <v>-71789.991064730581</v>
      </c>
      <c r="F64" s="438">
        <v>0</v>
      </c>
      <c r="G64" s="438">
        <f t="shared" si="7"/>
        <v>-71789.991064730581</v>
      </c>
      <c r="H64" s="443">
        <f>'EE P&amp;L'!AF65</f>
        <v>-22359.666395362779</v>
      </c>
      <c r="I64" s="443">
        <v>0</v>
      </c>
      <c r="J64" s="443">
        <f t="shared" si="8"/>
        <v>-22359.666395362779</v>
      </c>
      <c r="K64" s="438">
        <f>'ROW P&amp;L'!AF66</f>
        <v>0</v>
      </c>
      <c r="L64" s="438">
        <v>0</v>
      </c>
      <c r="M64" s="438">
        <f t="shared" si="9"/>
        <v>0</v>
      </c>
      <c r="N64" s="443">
        <f>'Non Rev P&amp;L'!AF37</f>
        <v>0</v>
      </c>
      <c r="O64" s="443">
        <v>0</v>
      </c>
      <c r="P64" s="443">
        <f t="shared" si="10"/>
        <v>0</v>
      </c>
      <c r="Q64" s="438">
        <f t="shared" si="11"/>
        <v>-1297117.3728135962</v>
      </c>
      <c r="R64" s="438">
        <v>0</v>
      </c>
      <c r="S64" s="438">
        <f t="shared" si="12"/>
        <v>-1297117.3728135962</v>
      </c>
      <c r="T64" s="457"/>
      <c r="U64" s="443">
        <f>'UK P&amp;L'!AU65</f>
        <v>-1140003.6987688118</v>
      </c>
      <c r="V64" s="443">
        <v>0</v>
      </c>
      <c r="W64" s="443">
        <f t="shared" si="13"/>
        <v>-1140003.6987688118</v>
      </c>
      <c r="X64" s="438">
        <f>'CE P&amp;L'!AU65</f>
        <v>-100217.43457166449</v>
      </c>
      <c r="Y64" s="438">
        <v>0</v>
      </c>
      <c r="Z64" s="438">
        <f t="shared" si="14"/>
        <v>-100217.43457166449</v>
      </c>
      <c r="AA64" s="443">
        <f>'EE P&amp;L'!AU65</f>
        <v>-15873.199857565458</v>
      </c>
      <c r="AB64" s="443">
        <v>0</v>
      </c>
      <c r="AC64" s="443">
        <f t="shared" si="15"/>
        <v>-15873.199857565458</v>
      </c>
      <c r="AD64" s="438">
        <f>'ROW P&amp;L'!AU66</f>
        <v>0</v>
      </c>
      <c r="AE64" s="438">
        <v>0</v>
      </c>
      <c r="AF64" s="438">
        <f t="shared" si="16"/>
        <v>0</v>
      </c>
      <c r="AG64" s="443">
        <f>'Non Rev P&amp;L'!AU37</f>
        <v>0</v>
      </c>
      <c r="AH64" s="443">
        <v>0</v>
      </c>
      <c r="AI64" s="443">
        <f t="shared" si="17"/>
        <v>0</v>
      </c>
      <c r="AJ64" s="438">
        <f t="shared" si="18"/>
        <v>-1256094.3331980417</v>
      </c>
      <c r="AK64" s="438">
        <v>0</v>
      </c>
      <c r="AL64" s="438">
        <f t="shared" si="19"/>
        <v>-1256094.3331980417</v>
      </c>
      <c r="AM64" s="438"/>
      <c r="AN64" s="457"/>
    </row>
    <row r="65" spans="1:40">
      <c r="A65" s="7" t="s">
        <v>129</v>
      </c>
      <c r="B65" s="443">
        <f>'UK P&amp;L'!AF67</f>
        <v>0</v>
      </c>
      <c r="C65" s="443">
        <v>0</v>
      </c>
      <c r="D65" s="443">
        <f t="shared" si="6"/>
        <v>0</v>
      </c>
      <c r="E65" s="438">
        <f>'CE P&amp;L'!AF67</f>
        <v>-39500</v>
      </c>
      <c r="F65" s="438">
        <v>0</v>
      </c>
      <c r="G65" s="438">
        <f t="shared" si="7"/>
        <v>-39500</v>
      </c>
      <c r="H65" s="443">
        <f>'EE P&amp;L'!AF67</f>
        <v>0</v>
      </c>
      <c r="I65" s="443">
        <v>0</v>
      </c>
      <c r="J65" s="443">
        <f t="shared" si="8"/>
        <v>0</v>
      </c>
      <c r="K65" s="438">
        <f>'ROW P&amp;L'!AF68</f>
        <v>-15000</v>
      </c>
      <c r="L65" s="438">
        <v>0</v>
      </c>
      <c r="M65" s="438">
        <f t="shared" si="9"/>
        <v>-15000</v>
      </c>
      <c r="N65" s="443">
        <f>'Non Rev P&amp;L'!AF38</f>
        <v>0</v>
      </c>
      <c r="O65" s="443">
        <v>0</v>
      </c>
      <c r="P65" s="443">
        <f t="shared" si="10"/>
        <v>0</v>
      </c>
      <c r="Q65" s="438">
        <f t="shared" si="11"/>
        <v>-54500</v>
      </c>
      <c r="R65" s="438">
        <v>0</v>
      </c>
      <c r="S65" s="438">
        <f t="shared" si="12"/>
        <v>-54500</v>
      </c>
      <c r="T65" s="457"/>
      <c r="U65" s="443">
        <f>'UK P&amp;L'!AU67</f>
        <v>0</v>
      </c>
      <c r="V65" s="443">
        <v>0</v>
      </c>
      <c r="W65" s="443">
        <f t="shared" si="13"/>
        <v>0</v>
      </c>
      <c r="X65" s="438">
        <f>'CE P&amp;L'!AU67</f>
        <v>-39500</v>
      </c>
      <c r="Y65" s="438">
        <v>0</v>
      </c>
      <c r="Z65" s="438">
        <f t="shared" si="14"/>
        <v>-39500</v>
      </c>
      <c r="AA65" s="443">
        <f>'EE P&amp;L'!AU67</f>
        <v>0</v>
      </c>
      <c r="AB65" s="443">
        <v>0</v>
      </c>
      <c r="AC65" s="443">
        <f t="shared" si="15"/>
        <v>0</v>
      </c>
      <c r="AD65" s="438">
        <f>'ROW P&amp;L'!AU68</f>
        <v>-15000</v>
      </c>
      <c r="AE65" s="438">
        <v>0</v>
      </c>
      <c r="AF65" s="438">
        <f t="shared" si="16"/>
        <v>-15000</v>
      </c>
      <c r="AG65" s="443">
        <f>'Non Rev P&amp;L'!AU38</f>
        <v>0</v>
      </c>
      <c r="AH65" s="443">
        <v>0</v>
      </c>
      <c r="AI65" s="443">
        <f t="shared" si="17"/>
        <v>0</v>
      </c>
      <c r="AJ65" s="438">
        <f t="shared" si="18"/>
        <v>-54500</v>
      </c>
      <c r="AK65" s="438">
        <v>0</v>
      </c>
      <c r="AL65" s="438">
        <f t="shared" si="19"/>
        <v>-54500</v>
      </c>
      <c r="AM65" s="438"/>
      <c r="AN65" s="457"/>
    </row>
    <row r="66" spans="1:40">
      <c r="A66" s="7" t="s">
        <v>130</v>
      </c>
      <c r="B66" s="443">
        <f>'UK P&amp;L'!AF68</f>
        <v>-539594.43709999998</v>
      </c>
      <c r="C66" s="443">
        <v>0</v>
      </c>
      <c r="D66" s="443">
        <f t="shared" si="6"/>
        <v>-539594.43709999998</v>
      </c>
      <c r="E66" s="438">
        <f>'CE P&amp;L'!AF68</f>
        <v>-262885.96500000003</v>
      </c>
      <c r="F66" s="438">
        <v>0</v>
      </c>
      <c r="G66" s="438">
        <f t="shared" si="7"/>
        <v>-262885.96500000003</v>
      </c>
      <c r="H66" s="443">
        <f>'EE P&amp;L'!AF68</f>
        <v>0</v>
      </c>
      <c r="I66" s="443">
        <v>0</v>
      </c>
      <c r="J66" s="443">
        <f t="shared" si="8"/>
        <v>0</v>
      </c>
      <c r="K66" s="438">
        <f>'ROW P&amp;L'!AF69</f>
        <v>-10852.1224</v>
      </c>
      <c r="L66" s="438">
        <v>0</v>
      </c>
      <c r="M66" s="438">
        <f t="shared" si="9"/>
        <v>-10852.1224</v>
      </c>
      <c r="N66" s="443">
        <f>'Non Rev P&amp;L'!AF39</f>
        <v>0</v>
      </c>
      <c r="O66" s="443">
        <v>0</v>
      </c>
      <c r="P66" s="443">
        <f t="shared" si="10"/>
        <v>0</v>
      </c>
      <c r="Q66" s="438">
        <f t="shared" si="11"/>
        <v>-813332.52450000006</v>
      </c>
      <c r="R66" s="438">
        <v>0</v>
      </c>
      <c r="S66" s="438">
        <f t="shared" si="12"/>
        <v>-813332.52450000006</v>
      </c>
      <c r="T66" s="457"/>
      <c r="U66" s="443">
        <f>'UK P&amp;L'!AU68</f>
        <v>-523615.80308200006</v>
      </c>
      <c r="V66" s="443">
        <v>0</v>
      </c>
      <c r="W66" s="443">
        <f t="shared" si="13"/>
        <v>-523615.80308200006</v>
      </c>
      <c r="X66" s="438">
        <f>'CE P&amp;L'!AU68</f>
        <v>-261124</v>
      </c>
      <c r="Y66" s="438">
        <v>0</v>
      </c>
      <c r="Z66" s="438">
        <f t="shared" si="14"/>
        <v>-261124</v>
      </c>
      <c r="AA66" s="443">
        <f>'EE P&amp;L'!AU68</f>
        <v>0</v>
      </c>
      <c r="AB66" s="443">
        <v>0</v>
      </c>
      <c r="AC66" s="443">
        <f t="shared" si="15"/>
        <v>0</v>
      </c>
      <c r="AD66" s="438">
        <f>'ROW P&amp;L'!AU69</f>
        <v>-14790.781200000001</v>
      </c>
      <c r="AE66" s="438">
        <v>0</v>
      </c>
      <c r="AF66" s="438">
        <f t="shared" si="16"/>
        <v>-14790.781200000001</v>
      </c>
      <c r="AG66" s="443">
        <f>'Non Rev P&amp;L'!AU39</f>
        <v>0</v>
      </c>
      <c r="AH66" s="443">
        <v>0</v>
      </c>
      <c r="AI66" s="443">
        <f t="shared" si="17"/>
        <v>0</v>
      </c>
      <c r="AJ66" s="438">
        <f t="shared" si="18"/>
        <v>-799530.58428199997</v>
      </c>
      <c r="AK66" s="438">
        <v>0</v>
      </c>
      <c r="AL66" s="438">
        <f t="shared" si="19"/>
        <v>-799530.58428199997</v>
      </c>
      <c r="AM66" s="438"/>
      <c r="AN66" s="457"/>
    </row>
    <row r="67" spans="1:40">
      <c r="A67" s="7" t="s">
        <v>131</v>
      </c>
      <c r="B67" s="443">
        <f>'UK P&amp;L'!AF69</f>
        <v>0</v>
      </c>
      <c r="C67" s="443">
        <v>0</v>
      </c>
      <c r="D67" s="443">
        <f t="shared" si="6"/>
        <v>0</v>
      </c>
      <c r="E67" s="438">
        <f>'CE P&amp;L'!AF69</f>
        <v>0</v>
      </c>
      <c r="F67" s="438">
        <v>0</v>
      </c>
      <c r="G67" s="438">
        <f t="shared" si="7"/>
        <v>0</v>
      </c>
      <c r="H67" s="443">
        <f>'EE P&amp;L'!AF69</f>
        <v>0</v>
      </c>
      <c r="I67" s="443">
        <v>0</v>
      </c>
      <c r="J67" s="443">
        <f t="shared" si="8"/>
        <v>0</v>
      </c>
      <c r="K67" s="438">
        <f>'ROW P&amp;L'!AF70</f>
        <v>0</v>
      </c>
      <c r="L67" s="438">
        <v>0</v>
      </c>
      <c r="M67" s="438">
        <f t="shared" si="9"/>
        <v>0</v>
      </c>
      <c r="N67" s="443">
        <f>'Non Rev P&amp;L'!AF40</f>
        <v>0</v>
      </c>
      <c r="O67" s="443">
        <v>0</v>
      </c>
      <c r="P67" s="443">
        <f t="shared" si="10"/>
        <v>0</v>
      </c>
      <c r="Q67" s="438">
        <f t="shared" si="11"/>
        <v>0</v>
      </c>
      <c r="R67" s="438">
        <v>0</v>
      </c>
      <c r="S67" s="438">
        <f t="shared" si="12"/>
        <v>0</v>
      </c>
      <c r="T67" s="457"/>
      <c r="U67" s="443">
        <f>'UK P&amp;L'!AU69</f>
        <v>0</v>
      </c>
      <c r="V67" s="443">
        <v>0</v>
      </c>
      <c r="W67" s="443">
        <f t="shared" si="13"/>
        <v>0</v>
      </c>
      <c r="X67" s="438">
        <f>'CE P&amp;L'!AU69</f>
        <v>0</v>
      </c>
      <c r="Y67" s="438">
        <v>0</v>
      </c>
      <c r="Z67" s="438">
        <f t="shared" si="14"/>
        <v>0</v>
      </c>
      <c r="AA67" s="443">
        <f>'EE P&amp;L'!AU69</f>
        <v>0</v>
      </c>
      <c r="AB67" s="443">
        <v>0</v>
      </c>
      <c r="AC67" s="443">
        <f t="shared" si="15"/>
        <v>0</v>
      </c>
      <c r="AD67" s="438">
        <f>'ROW P&amp;L'!AU70</f>
        <v>0</v>
      </c>
      <c r="AE67" s="438">
        <v>0</v>
      </c>
      <c r="AF67" s="438">
        <f t="shared" si="16"/>
        <v>0</v>
      </c>
      <c r="AG67" s="443">
        <f>'Non Rev P&amp;L'!AU40</f>
        <v>0</v>
      </c>
      <c r="AH67" s="443">
        <v>0</v>
      </c>
      <c r="AI67" s="443">
        <f t="shared" si="17"/>
        <v>0</v>
      </c>
      <c r="AJ67" s="438">
        <f t="shared" si="18"/>
        <v>0</v>
      </c>
      <c r="AK67" s="438">
        <v>0</v>
      </c>
      <c r="AL67" s="438">
        <f t="shared" si="19"/>
        <v>0</v>
      </c>
      <c r="AM67" s="438"/>
      <c r="AN67" s="457"/>
    </row>
    <row r="68" spans="1:40">
      <c r="A68" s="7"/>
      <c r="B68" s="443"/>
      <c r="C68" s="443"/>
      <c r="D68" s="443"/>
      <c r="E68" s="438"/>
      <c r="F68" s="438"/>
      <c r="G68" s="438"/>
      <c r="H68" s="443"/>
      <c r="I68" s="443"/>
      <c r="J68" s="443"/>
      <c r="K68" s="438"/>
      <c r="L68" s="438"/>
      <c r="M68" s="438"/>
      <c r="N68" s="443"/>
      <c r="O68" s="443"/>
      <c r="P68" s="443"/>
      <c r="Q68" s="438"/>
      <c r="R68" s="438"/>
      <c r="S68" s="438"/>
      <c r="T68" s="457"/>
      <c r="U68" s="443"/>
      <c r="V68" s="443"/>
      <c r="W68" s="443"/>
      <c r="X68" s="438"/>
      <c r="Y68" s="438"/>
      <c r="Z68" s="438"/>
      <c r="AA68" s="443"/>
      <c r="AB68" s="443"/>
      <c r="AC68" s="443"/>
      <c r="AD68" s="438"/>
      <c r="AE68" s="438"/>
      <c r="AF68" s="438"/>
      <c r="AG68" s="443"/>
      <c r="AH68" s="443"/>
      <c r="AI68" s="443"/>
      <c r="AJ68" s="438"/>
      <c r="AK68" s="438"/>
      <c r="AL68" s="438"/>
      <c r="AM68" s="456"/>
    </row>
    <row r="69" spans="1:40">
      <c r="A69" s="10" t="s">
        <v>132</v>
      </c>
      <c r="B69" s="442">
        <f>'UK P&amp;L'!AF71</f>
        <v>-4447853.2842166862</v>
      </c>
      <c r="C69" s="428">
        <f>SUM(C58:C67)</f>
        <v>0</v>
      </c>
      <c r="D69" s="442">
        <f>B69+C69</f>
        <v>-4447853.2842166862</v>
      </c>
      <c r="E69" s="439">
        <f>'CE P&amp;L'!AF71</f>
        <v>-1104923.9847174375</v>
      </c>
      <c r="F69" s="429">
        <f>SUM(F58:F67)</f>
        <v>0</v>
      </c>
      <c r="G69" s="439">
        <f>E69+F69</f>
        <v>-1104923.9847174375</v>
      </c>
      <c r="H69" s="442">
        <f>'EE P&amp;L'!AF71</f>
        <v>-1811630.4952907255</v>
      </c>
      <c r="I69" s="428">
        <f>SUM(I58:I67)</f>
        <v>0</v>
      </c>
      <c r="J69" s="442">
        <f>H69+I69</f>
        <v>-1811630.4952907255</v>
      </c>
      <c r="K69" s="439">
        <f>'ROW P&amp;L'!AF72</f>
        <v>-62540.993399999999</v>
      </c>
      <c r="L69" s="429">
        <f>SUM(L58:L67)</f>
        <v>0</v>
      </c>
      <c r="M69" s="439">
        <f>K69+L69</f>
        <v>-62540.993399999999</v>
      </c>
      <c r="N69" s="442">
        <f>'Non Rev P&amp;L'!AF42</f>
        <v>0</v>
      </c>
      <c r="O69" s="428">
        <f>SUM(O58:O67)</f>
        <v>0</v>
      </c>
      <c r="P69" s="442">
        <f>N69+O69</f>
        <v>0</v>
      </c>
      <c r="Q69" s="439">
        <f>B69+E69+H69+K69+N69</f>
        <v>-7426948.7576248487</v>
      </c>
      <c r="R69" s="429">
        <f>SUM(R58:R67)</f>
        <v>0</v>
      </c>
      <c r="S69" s="439">
        <f>Q69+R69</f>
        <v>-7426948.7576248487</v>
      </c>
      <c r="T69" s="457"/>
      <c r="U69" s="442">
        <f>'UK P&amp;L'!AU71</f>
        <v>-6414989.1475730743</v>
      </c>
      <c r="V69" s="428">
        <f>SUM(V58:V67)</f>
        <v>0</v>
      </c>
      <c r="W69" s="442">
        <f>U69+V69</f>
        <v>-6414989.1475730743</v>
      </c>
      <c r="X69" s="439">
        <f>'CE P&amp;L'!AU71</f>
        <v>-1584146.4749600992</v>
      </c>
      <c r="Y69" s="429">
        <f>SUM(Y58:Y67)</f>
        <v>0</v>
      </c>
      <c r="Z69" s="439">
        <f>X69+Y69</f>
        <v>-1584146.4749600992</v>
      </c>
      <c r="AA69" s="443">
        <f>'EE P&amp;L'!AU71</f>
        <v>-2126356.8276976962</v>
      </c>
      <c r="AB69" s="428">
        <f>SUM(AB58:AB67)</f>
        <v>0</v>
      </c>
      <c r="AC69" s="442">
        <f>AA69+AB69</f>
        <v>-2126356.8276976962</v>
      </c>
      <c r="AD69" s="438">
        <f>'ROW P&amp;L'!AU72</f>
        <v>-55792.912499999991</v>
      </c>
      <c r="AE69" s="429">
        <f>SUM(AE58:AE67)</f>
        <v>0</v>
      </c>
      <c r="AF69" s="439">
        <f>AD69+AE69</f>
        <v>-55792.912499999991</v>
      </c>
      <c r="AG69" s="442">
        <f>'Non Rev P&amp;L'!AU42</f>
        <v>0</v>
      </c>
      <c r="AH69" s="428">
        <f>SUM(AH58:AH67)</f>
        <v>0</v>
      </c>
      <c r="AI69" s="442">
        <f>AG69+AH69</f>
        <v>0</v>
      </c>
      <c r="AJ69" s="439">
        <f>U69+X69+AA69+AD69+AG69</f>
        <v>-10181285.36273087</v>
      </c>
      <c r="AK69" s="429">
        <f>SUM(AK58:AK67)</f>
        <v>0</v>
      </c>
      <c r="AL69" s="439">
        <f>AJ69+AK69</f>
        <v>-10181285.36273087</v>
      </c>
      <c r="AM69" s="438"/>
      <c r="AN69" s="457"/>
    </row>
    <row r="70" spans="1:40">
      <c r="A70" s="7"/>
      <c r="B70" s="448"/>
      <c r="C70" s="448"/>
      <c r="D70" s="448"/>
      <c r="E70" s="439"/>
      <c r="F70" s="464"/>
      <c r="G70" s="449"/>
      <c r="H70" s="442"/>
      <c r="I70" s="450"/>
      <c r="J70" s="450"/>
      <c r="K70" s="439"/>
      <c r="L70" s="451"/>
      <c r="M70" s="451"/>
      <c r="N70" s="442"/>
      <c r="O70" s="450"/>
      <c r="P70" s="450"/>
      <c r="Q70" s="439"/>
      <c r="R70" s="451"/>
      <c r="S70" s="451"/>
      <c r="T70" s="457"/>
      <c r="U70" s="450"/>
      <c r="V70" s="450"/>
      <c r="W70" s="450"/>
      <c r="X70" s="439"/>
      <c r="Y70" s="451"/>
      <c r="Z70" s="464"/>
      <c r="AA70" s="442"/>
      <c r="AB70" s="450"/>
      <c r="AC70" s="450"/>
      <c r="AD70" s="439"/>
      <c r="AE70" s="451"/>
      <c r="AF70" s="451"/>
      <c r="AG70" s="442"/>
      <c r="AH70" s="450"/>
      <c r="AI70" s="450"/>
      <c r="AJ70" s="439"/>
      <c r="AK70" s="451"/>
      <c r="AL70" s="451"/>
      <c r="AM70" s="456"/>
    </row>
    <row r="71" spans="1:40" hidden="1" outlineLevel="1">
      <c r="A71" s="158" t="s">
        <v>133</v>
      </c>
      <c r="B71" s="447"/>
      <c r="C71" s="447"/>
      <c r="D71" s="447"/>
      <c r="E71" s="439"/>
      <c r="F71" s="441"/>
      <c r="G71" s="441"/>
      <c r="H71" s="442"/>
      <c r="I71" s="447"/>
      <c r="J71" s="447"/>
      <c r="K71" s="439"/>
      <c r="L71" s="441"/>
      <c r="M71" s="441"/>
      <c r="N71" s="442"/>
      <c r="O71" s="447"/>
      <c r="P71" s="447"/>
      <c r="Q71" s="439"/>
      <c r="R71" s="441"/>
      <c r="S71" s="441"/>
      <c r="T71" s="457"/>
      <c r="U71" s="447"/>
      <c r="V71" s="447"/>
      <c r="W71" s="447"/>
      <c r="X71" s="439"/>
      <c r="Y71" s="441"/>
      <c r="Z71" s="441"/>
      <c r="AA71" s="442"/>
      <c r="AB71" s="447"/>
      <c r="AC71" s="447"/>
      <c r="AD71" s="439"/>
      <c r="AE71" s="441"/>
      <c r="AF71" s="441"/>
      <c r="AG71" s="442"/>
      <c r="AH71" s="447"/>
      <c r="AI71" s="447"/>
      <c r="AJ71" s="439"/>
      <c r="AK71" s="441"/>
      <c r="AL71" s="441"/>
      <c r="AM71" s="456"/>
    </row>
    <row r="72" spans="1:40" hidden="1" outlineLevel="1">
      <c r="A72" s="158" t="s">
        <v>134</v>
      </c>
      <c r="B72" s="447"/>
      <c r="C72" s="447"/>
      <c r="D72" s="447"/>
      <c r="E72" s="439"/>
      <c r="F72" s="441"/>
      <c r="G72" s="441"/>
      <c r="H72" s="442"/>
      <c r="I72" s="447"/>
      <c r="J72" s="447"/>
      <c r="K72" s="439"/>
      <c r="L72" s="441"/>
      <c r="M72" s="441"/>
      <c r="N72" s="442"/>
      <c r="O72" s="447"/>
      <c r="P72" s="447"/>
      <c r="Q72" s="439"/>
      <c r="R72" s="441"/>
      <c r="S72" s="441"/>
      <c r="T72" s="457"/>
      <c r="U72" s="447"/>
      <c r="V72" s="447"/>
      <c r="W72" s="447"/>
      <c r="X72" s="439"/>
      <c r="Y72" s="441"/>
      <c r="Z72" s="441"/>
      <c r="AA72" s="442"/>
      <c r="AB72" s="447"/>
      <c r="AC72" s="447"/>
      <c r="AD72" s="439"/>
      <c r="AE72" s="441"/>
      <c r="AF72" s="441"/>
      <c r="AG72" s="442"/>
      <c r="AH72" s="447"/>
      <c r="AI72" s="447"/>
      <c r="AJ72" s="439"/>
      <c r="AK72" s="441"/>
      <c r="AL72" s="441"/>
      <c r="AM72" s="456"/>
    </row>
    <row r="73" spans="1:40" hidden="1" outlineLevel="1">
      <c r="A73" s="158" t="s">
        <v>135</v>
      </c>
      <c r="B73" s="447"/>
      <c r="C73" s="447"/>
      <c r="D73" s="447"/>
      <c r="E73" s="439"/>
      <c r="F73" s="441"/>
      <c r="G73" s="441"/>
      <c r="H73" s="442"/>
      <c r="I73" s="447"/>
      <c r="J73" s="447"/>
      <c r="K73" s="439"/>
      <c r="L73" s="441"/>
      <c r="M73" s="441"/>
      <c r="N73" s="442"/>
      <c r="O73" s="447"/>
      <c r="P73" s="447"/>
      <c r="Q73" s="439"/>
      <c r="R73" s="441"/>
      <c r="S73" s="441"/>
      <c r="T73" s="457"/>
      <c r="U73" s="447"/>
      <c r="V73" s="447"/>
      <c r="W73" s="447"/>
      <c r="X73" s="439"/>
      <c r="Y73" s="441"/>
      <c r="Z73" s="441"/>
      <c r="AA73" s="442"/>
      <c r="AB73" s="447"/>
      <c r="AC73" s="447"/>
      <c r="AD73" s="439"/>
      <c r="AE73" s="441"/>
      <c r="AF73" s="441"/>
      <c r="AG73" s="442"/>
      <c r="AH73" s="447"/>
      <c r="AI73" s="447"/>
      <c r="AJ73" s="439"/>
      <c r="AK73" s="441"/>
      <c r="AL73" s="441"/>
      <c r="AM73" s="456"/>
    </row>
    <row r="74" spans="1:40" hidden="1" outlineLevel="1">
      <c r="A74" s="158" t="s">
        <v>136</v>
      </c>
      <c r="B74" s="447"/>
      <c r="C74" s="447"/>
      <c r="D74" s="447"/>
      <c r="E74" s="439"/>
      <c r="F74" s="441"/>
      <c r="G74" s="441"/>
      <c r="H74" s="442"/>
      <c r="I74" s="447"/>
      <c r="J74" s="447"/>
      <c r="K74" s="439"/>
      <c r="L74" s="441"/>
      <c r="M74" s="441"/>
      <c r="N74" s="442"/>
      <c r="O74" s="447"/>
      <c r="P74" s="447"/>
      <c r="Q74" s="439"/>
      <c r="R74" s="441"/>
      <c r="S74" s="441"/>
      <c r="T74" s="457"/>
      <c r="U74" s="447"/>
      <c r="V74" s="447"/>
      <c r="W74" s="447"/>
      <c r="X74" s="439"/>
      <c r="Y74" s="441"/>
      <c r="Z74" s="441"/>
      <c r="AA74" s="442"/>
      <c r="AB74" s="447"/>
      <c r="AC74" s="447"/>
      <c r="AD74" s="439"/>
      <c r="AE74" s="441"/>
      <c r="AF74" s="441"/>
      <c r="AG74" s="442"/>
      <c r="AH74" s="447"/>
      <c r="AI74" s="447"/>
      <c r="AJ74" s="439"/>
      <c r="AK74" s="441"/>
      <c r="AL74" s="441"/>
      <c r="AM74" s="456"/>
    </row>
    <row r="75" spans="1:40" hidden="1" outlineLevel="1">
      <c r="A75" s="158" t="s">
        <v>137</v>
      </c>
      <c r="B75" s="447"/>
      <c r="C75" s="447"/>
      <c r="D75" s="447"/>
      <c r="E75" s="439"/>
      <c r="F75" s="441"/>
      <c r="G75" s="441"/>
      <c r="H75" s="442"/>
      <c r="I75" s="447"/>
      <c r="J75" s="447"/>
      <c r="K75" s="439"/>
      <c r="L75" s="441"/>
      <c r="M75" s="441"/>
      <c r="N75" s="442"/>
      <c r="O75" s="447"/>
      <c r="P75" s="447"/>
      <c r="Q75" s="439"/>
      <c r="R75" s="441"/>
      <c r="S75" s="441"/>
      <c r="T75" s="457"/>
      <c r="U75" s="447"/>
      <c r="V75" s="447"/>
      <c r="W75" s="447"/>
      <c r="X75" s="439"/>
      <c r="Y75" s="441"/>
      <c r="Z75" s="441"/>
      <c r="AA75" s="442"/>
      <c r="AB75" s="447"/>
      <c r="AC75" s="447"/>
      <c r="AD75" s="439"/>
      <c r="AE75" s="441"/>
      <c r="AF75" s="441"/>
      <c r="AG75" s="442"/>
      <c r="AH75" s="447"/>
      <c r="AI75" s="447"/>
      <c r="AJ75" s="439"/>
      <c r="AK75" s="441"/>
      <c r="AL75" s="441"/>
      <c r="AM75" s="456"/>
    </row>
    <row r="76" spans="1:40" hidden="1" outlineLevel="1">
      <c r="A76" s="10"/>
      <c r="B76" s="442"/>
      <c r="C76" s="442"/>
      <c r="D76" s="442"/>
      <c r="E76" s="439"/>
      <c r="F76" s="439"/>
      <c r="G76" s="439"/>
      <c r="H76" s="442"/>
      <c r="I76" s="442"/>
      <c r="J76" s="442"/>
      <c r="K76" s="439"/>
      <c r="L76" s="439"/>
      <c r="M76" s="439"/>
      <c r="N76" s="442"/>
      <c r="O76" s="442"/>
      <c r="P76" s="442"/>
      <c r="Q76" s="439"/>
      <c r="R76" s="439"/>
      <c r="S76" s="439"/>
      <c r="T76" s="457"/>
      <c r="U76" s="442"/>
      <c r="V76" s="442"/>
      <c r="W76" s="442"/>
      <c r="X76" s="439"/>
      <c r="Y76" s="439"/>
      <c r="Z76" s="439"/>
      <c r="AA76" s="442"/>
      <c r="AB76" s="442"/>
      <c r="AC76" s="442"/>
      <c r="AD76" s="439"/>
      <c r="AE76" s="439"/>
      <c r="AF76" s="439"/>
      <c r="AG76" s="442"/>
      <c r="AH76" s="442"/>
      <c r="AI76" s="442"/>
      <c r="AJ76" s="439"/>
      <c r="AK76" s="439"/>
      <c r="AL76" s="439"/>
      <c r="AM76" s="456"/>
    </row>
    <row r="77" spans="1:40" hidden="1" outlineLevel="1">
      <c r="A77" s="158" t="s">
        <v>138</v>
      </c>
      <c r="B77" s="444"/>
      <c r="C77" s="444"/>
      <c r="D77" s="444"/>
      <c r="E77" s="439"/>
      <c r="F77" s="463"/>
      <c r="G77" s="445"/>
      <c r="H77" s="442"/>
      <c r="I77" s="446"/>
      <c r="J77" s="446"/>
      <c r="K77" s="439"/>
      <c r="L77" s="440"/>
      <c r="M77" s="440"/>
      <c r="N77" s="442"/>
      <c r="O77" s="446"/>
      <c r="P77" s="446"/>
      <c r="Q77" s="439"/>
      <c r="R77" s="440"/>
      <c r="S77" s="440"/>
      <c r="T77" s="457"/>
      <c r="U77" s="446"/>
      <c r="V77" s="446"/>
      <c r="W77" s="446"/>
      <c r="X77" s="439"/>
      <c r="Y77" s="440"/>
      <c r="Z77" s="463"/>
      <c r="AA77" s="442"/>
      <c r="AB77" s="446"/>
      <c r="AC77" s="446"/>
      <c r="AD77" s="439"/>
      <c r="AE77" s="440"/>
      <c r="AF77" s="440"/>
      <c r="AG77" s="442"/>
      <c r="AH77" s="446"/>
      <c r="AI77" s="446"/>
      <c r="AJ77" s="439"/>
      <c r="AK77" s="440"/>
      <c r="AL77" s="440"/>
      <c r="AM77" s="456"/>
    </row>
    <row r="78" spans="1:40" hidden="1" outlineLevel="1">
      <c r="A78" s="158" t="s">
        <v>139</v>
      </c>
      <c r="B78" s="444"/>
      <c r="C78" s="444"/>
      <c r="D78" s="444"/>
      <c r="E78" s="439"/>
      <c r="F78" s="463"/>
      <c r="G78" s="445"/>
      <c r="H78" s="442"/>
      <c r="I78" s="446"/>
      <c r="J78" s="446"/>
      <c r="K78" s="439"/>
      <c r="L78" s="440"/>
      <c r="M78" s="440"/>
      <c r="N78" s="442"/>
      <c r="O78" s="446"/>
      <c r="P78" s="446"/>
      <c r="Q78" s="439"/>
      <c r="R78" s="440"/>
      <c r="S78" s="440"/>
      <c r="T78" s="457"/>
      <c r="U78" s="446"/>
      <c r="V78" s="446"/>
      <c r="W78" s="446"/>
      <c r="X78" s="439"/>
      <c r="Y78" s="440"/>
      <c r="Z78" s="463"/>
      <c r="AA78" s="442"/>
      <c r="AB78" s="446"/>
      <c r="AC78" s="446"/>
      <c r="AD78" s="439"/>
      <c r="AE78" s="440"/>
      <c r="AF78" s="440"/>
      <c r="AG78" s="442"/>
      <c r="AH78" s="446"/>
      <c r="AI78" s="446"/>
      <c r="AJ78" s="439"/>
      <c r="AK78" s="440"/>
      <c r="AL78" s="440"/>
      <c r="AM78" s="456"/>
    </row>
    <row r="79" spans="1:40" hidden="1" outlineLevel="1">
      <c r="A79" s="158" t="s">
        <v>140</v>
      </c>
      <c r="B79" s="444"/>
      <c r="C79" s="444"/>
      <c r="D79" s="444"/>
      <c r="E79" s="439"/>
      <c r="F79" s="463"/>
      <c r="G79" s="445"/>
      <c r="H79" s="442"/>
      <c r="I79" s="446"/>
      <c r="J79" s="446"/>
      <c r="K79" s="439"/>
      <c r="L79" s="440"/>
      <c r="M79" s="440"/>
      <c r="N79" s="442"/>
      <c r="O79" s="446"/>
      <c r="P79" s="446"/>
      <c r="Q79" s="439"/>
      <c r="R79" s="440"/>
      <c r="S79" s="440"/>
      <c r="T79" s="457"/>
      <c r="U79" s="446"/>
      <c r="V79" s="446"/>
      <c r="W79" s="446"/>
      <c r="X79" s="439"/>
      <c r="Y79" s="440"/>
      <c r="Z79" s="463"/>
      <c r="AA79" s="442"/>
      <c r="AB79" s="446"/>
      <c r="AC79" s="446"/>
      <c r="AD79" s="439"/>
      <c r="AE79" s="440"/>
      <c r="AF79" s="440"/>
      <c r="AG79" s="442"/>
      <c r="AH79" s="446"/>
      <c r="AI79" s="446"/>
      <c r="AJ79" s="439"/>
      <c r="AK79" s="440"/>
      <c r="AL79" s="440"/>
      <c r="AM79" s="456"/>
    </row>
    <row r="80" spans="1:40" hidden="1" outlineLevel="1">
      <c r="A80" s="158" t="s">
        <v>141</v>
      </c>
      <c r="B80" s="444"/>
      <c r="C80" s="444"/>
      <c r="D80" s="444"/>
      <c r="E80" s="439"/>
      <c r="F80" s="463"/>
      <c r="G80" s="445"/>
      <c r="H80" s="442"/>
      <c r="I80" s="446"/>
      <c r="J80" s="446"/>
      <c r="K80" s="439"/>
      <c r="L80" s="440"/>
      <c r="M80" s="440"/>
      <c r="N80" s="442"/>
      <c r="O80" s="446"/>
      <c r="P80" s="446"/>
      <c r="Q80" s="439"/>
      <c r="R80" s="440"/>
      <c r="S80" s="440"/>
      <c r="T80" s="457"/>
      <c r="U80" s="446"/>
      <c r="V80" s="446"/>
      <c r="W80" s="446"/>
      <c r="X80" s="439"/>
      <c r="Y80" s="440"/>
      <c r="Z80" s="463"/>
      <c r="AA80" s="442"/>
      <c r="AB80" s="446"/>
      <c r="AC80" s="446"/>
      <c r="AD80" s="439"/>
      <c r="AE80" s="440"/>
      <c r="AF80" s="440"/>
      <c r="AG80" s="442"/>
      <c r="AH80" s="446"/>
      <c r="AI80" s="446"/>
      <c r="AJ80" s="439"/>
      <c r="AK80" s="440"/>
      <c r="AL80" s="440"/>
      <c r="AM80" s="456"/>
    </row>
    <row r="81" spans="1:40" hidden="1" outlineLevel="1">
      <c r="A81" s="262" t="s">
        <v>142</v>
      </c>
      <c r="B81" s="444"/>
      <c r="C81" s="444"/>
      <c r="D81" s="444"/>
      <c r="E81" s="439"/>
      <c r="F81" s="463"/>
      <c r="G81" s="445"/>
      <c r="H81" s="442"/>
      <c r="I81" s="446"/>
      <c r="J81" s="446"/>
      <c r="K81" s="439"/>
      <c r="L81" s="440"/>
      <c r="M81" s="440"/>
      <c r="N81" s="442"/>
      <c r="O81" s="446"/>
      <c r="P81" s="446"/>
      <c r="Q81" s="439"/>
      <c r="R81" s="440"/>
      <c r="S81" s="440"/>
      <c r="T81" s="457"/>
      <c r="U81" s="446"/>
      <c r="V81" s="446"/>
      <c r="W81" s="446"/>
      <c r="X81" s="439"/>
      <c r="Y81" s="440"/>
      <c r="Z81" s="463"/>
      <c r="AA81" s="442"/>
      <c r="AB81" s="446"/>
      <c r="AC81" s="446"/>
      <c r="AD81" s="439"/>
      <c r="AE81" s="440"/>
      <c r="AF81" s="440"/>
      <c r="AG81" s="442"/>
      <c r="AH81" s="446"/>
      <c r="AI81" s="446"/>
      <c r="AJ81" s="439"/>
      <c r="AK81" s="440"/>
      <c r="AL81" s="440"/>
      <c r="AM81" s="456"/>
    </row>
    <row r="82" spans="1:40" hidden="1" outlineLevel="1">
      <c r="A82" s="7"/>
      <c r="B82" s="442"/>
      <c r="C82" s="442"/>
      <c r="D82" s="442"/>
      <c r="E82" s="439"/>
      <c r="F82" s="439"/>
      <c r="G82" s="439"/>
      <c r="H82" s="442"/>
      <c r="I82" s="442"/>
      <c r="J82" s="442"/>
      <c r="K82" s="439"/>
      <c r="L82" s="439"/>
      <c r="M82" s="439"/>
      <c r="N82" s="442"/>
      <c r="O82" s="442"/>
      <c r="P82" s="442"/>
      <c r="Q82" s="439"/>
      <c r="R82" s="439"/>
      <c r="S82" s="439"/>
      <c r="T82" s="457"/>
      <c r="U82" s="442"/>
      <c r="V82" s="442"/>
      <c r="W82" s="442"/>
      <c r="X82" s="439"/>
      <c r="Y82" s="439"/>
      <c r="Z82" s="439"/>
      <c r="AA82" s="442"/>
      <c r="AB82" s="442"/>
      <c r="AC82" s="442"/>
      <c r="AD82" s="439"/>
      <c r="AE82" s="439"/>
      <c r="AF82" s="439"/>
      <c r="AG82" s="442"/>
      <c r="AH82" s="442"/>
      <c r="AI82" s="442"/>
      <c r="AJ82" s="439"/>
      <c r="AK82" s="439"/>
      <c r="AL82" s="439"/>
      <c r="AM82" s="456"/>
    </row>
    <row r="83" spans="1:40" hidden="1" outlineLevel="1">
      <c r="A83" s="7"/>
      <c r="B83" s="442"/>
      <c r="C83" s="442"/>
      <c r="D83" s="442"/>
      <c r="E83" s="439"/>
      <c r="F83" s="439"/>
      <c r="G83" s="439"/>
      <c r="H83" s="442"/>
      <c r="I83" s="442"/>
      <c r="J83" s="442"/>
      <c r="K83" s="439"/>
      <c r="L83" s="439"/>
      <c r="M83" s="439"/>
      <c r="N83" s="442"/>
      <c r="O83" s="442"/>
      <c r="P83" s="442"/>
      <c r="Q83" s="439"/>
      <c r="R83" s="439"/>
      <c r="S83" s="439"/>
      <c r="T83" s="457"/>
      <c r="U83" s="442"/>
      <c r="V83" s="442"/>
      <c r="W83" s="442"/>
      <c r="X83" s="439"/>
      <c r="Y83" s="439"/>
      <c r="Z83" s="439"/>
      <c r="AA83" s="442"/>
      <c r="AB83" s="442"/>
      <c r="AC83" s="442"/>
      <c r="AD83" s="439"/>
      <c r="AE83" s="439"/>
      <c r="AF83" s="439"/>
      <c r="AG83" s="442"/>
      <c r="AH83" s="442"/>
      <c r="AI83" s="442"/>
      <c r="AJ83" s="439"/>
      <c r="AK83" s="439"/>
      <c r="AL83" s="439"/>
      <c r="AM83" s="456"/>
    </row>
    <row r="84" spans="1:40" collapsed="1">
      <c r="A84" s="7"/>
      <c r="B84" s="442"/>
      <c r="C84" s="442"/>
      <c r="D84" s="442"/>
      <c r="E84" s="439"/>
      <c r="F84" s="439"/>
      <c r="G84" s="439"/>
      <c r="H84" s="442"/>
      <c r="I84" s="442"/>
      <c r="J84" s="442"/>
      <c r="K84" s="439"/>
      <c r="L84" s="439"/>
      <c r="M84" s="439"/>
      <c r="N84" s="442"/>
      <c r="O84" s="442"/>
      <c r="P84" s="442"/>
      <c r="Q84" s="439"/>
      <c r="R84" s="439"/>
      <c r="S84" s="439"/>
      <c r="T84" s="457"/>
      <c r="U84" s="442"/>
      <c r="V84" s="442"/>
      <c r="W84" s="442"/>
      <c r="X84" s="439"/>
      <c r="Y84" s="439"/>
      <c r="Z84" s="439"/>
      <c r="AA84" s="442"/>
      <c r="AB84" s="442"/>
      <c r="AC84" s="442"/>
      <c r="AD84" s="439"/>
      <c r="AE84" s="439"/>
      <c r="AF84" s="439"/>
      <c r="AG84" s="442"/>
      <c r="AH84" s="442"/>
      <c r="AI84" s="442"/>
      <c r="AJ84" s="439"/>
      <c r="AK84" s="439"/>
      <c r="AL84" s="439"/>
      <c r="AM84" s="456"/>
    </row>
    <row r="85" spans="1:40">
      <c r="A85" s="156" t="s">
        <v>143</v>
      </c>
      <c r="B85" s="442"/>
      <c r="C85" s="442"/>
      <c r="D85" s="442"/>
      <c r="E85" s="439"/>
      <c r="F85" s="439"/>
      <c r="G85" s="439"/>
      <c r="H85" s="442"/>
      <c r="I85" s="442"/>
      <c r="J85" s="442"/>
      <c r="K85" s="439"/>
      <c r="L85" s="439"/>
      <c r="M85" s="439"/>
      <c r="N85" s="442"/>
      <c r="O85" s="442"/>
      <c r="P85" s="442"/>
      <c r="Q85" s="439"/>
      <c r="R85" s="439"/>
      <c r="S85" s="439"/>
      <c r="T85" s="457"/>
      <c r="U85" s="442"/>
      <c r="V85" s="442"/>
      <c r="W85" s="442"/>
      <c r="X85" s="439"/>
      <c r="Y85" s="439"/>
      <c r="Z85" s="439"/>
      <c r="AA85" s="442"/>
      <c r="AB85" s="442"/>
      <c r="AC85" s="442"/>
      <c r="AD85" s="439"/>
      <c r="AE85" s="439"/>
      <c r="AF85" s="439"/>
      <c r="AG85" s="442"/>
      <c r="AH85" s="442"/>
      <c r="AI85" s="442"/>
      <c r="AJ85" s="439"/>
      <c r="AK85" s="439"/>
      <c r="AL85" s="439"/>
      <c r="AM85" s="456"/>
    </row>
    <row r="86" spans="1:40">
      <c r="A86" s="156"/>
      <c r="B86" s="442"/>
      <c r="C86" s="442"/>
      <c r="D86" s="442"/>
      <c r="E86" s="439"/>
      <c r="F86" s="439"/>
      <c r="G86" s="439"/>
      <c r="H86" s="442"/>
      <c r="I86" s="442"/>
      <c r="J86" s="442"/>
      <c r="K86" s="439"/>
      <c r="L86" s="439"/>
      <c r="M86" s="439"/>
      <c r="N86" s="442"/>
      <c r="O86" s="442"/>
      <c r="P86" s="442"/>
      <c r="Q86" s="439"/>
      <c r="R86" s="439"/>
      <c r="S86" s="439"/>
      <c r="T86" s="457"/>
      <c r="U86" s="442"/>
      <c r="V86" s="442"/>
      <c r="W86" s="442"/>
      <c r="X86" s="439"/>
      <c r="Y86" s="439"/>
      <c r="Z86" s="439"/>
      <c r="AA86" s="442"/>
      <c r="AB86" s="442"/>
      <c r="AC86" s="442"/>
      <c r="AD86" s="439"/>
      <c r="AE86" s="439"/>
      <c r="AF86" s="439"/>
      <c r="AG86" s="442"/>
      <c r="AH86" s="442"/>
      <c r="AI86" s="442"/>
      <c r="AJ86" s="439"/>
      <c r="AK86" s="439"/>
      <c r="AL86" s="439"/>
      <c r="AM86" s="456"/>
    </row>
    <row r="87" spans="1:40">
      <c r="A87" s="7" t="s">
        <v>144</v>
      </c>
      <c r="B87" s="443">
        <f>'UK P&amp;L'!AF89</f>
        <v>0</v>
      </c>
      <c r="C87" s="443">
        <v>0</v>
      </c>
      <c r="D87" s="443">
        <f t="shared" ref="D87:D95" si="20">B87+C87</f>
        <v>0</v>
      </c>
      <c r="E87" s="438">
        <f>'CE P&amp;L'!AF89</f>
        <v>-82204.894067999994</v>
      </c>
      <c r="F87" s="438">
        <v>0</v>
      </c>
      <c r="G87" s="438">
        <f t="shared" ref="G87:G95" si="21">E87+F87</f>
        <v>-82204.894067999994</v>
      </c>
      <c r="H87" s="443">
        <f>'EE P&amp;L'!AF89</f>
        <v>-237812.41525199998</v>
      </c>
      <c r="I87" s="443">
        <v>0</v>
      </c>
      <c r="J87" s="443">
        <f t="shared" ref="J87:J95" si="22">H87+I87</f>
        <v>-237812.41525199998</v>
      </c>
      <c r="K87" s="438">
        <f>'ROW P&amp;L'!AF90</f>
        <v>0</v>
      </c>
      <c r="L87" s="438">
        <v>0</v>
      </c>
      <c r="M87" s="438">
        <f t="shared" ref="M87:M97" si="23">K87+L87</f>
        <v>0</v>
      </c>
      <c r="N87" s="443">
        <f>'Non Rev P&amp;L'!AF52</f>
        <v>-2788763.6690999996</v>
      </c>
      <c r="O87" s="443">
        <v>0</v>
      </c>
      <c r="P87" s="443">
        <f t="shared" ref="P87:P97" si="24">N87+O87</f>
        <v>-2788763.6690999996</v>
      </c>
      <c r="Q87" s="438">
        <f t="shared" ref="Q87:Q95" si="25">B87+E87+H87+K87+N87</f>
        <v>-3108780.9784199996</v>
      </c>
      <c r="R87" s="438"/>
      <c r="S87" s="438">
        <f t="shared" ref="S87:S95" si="26">Q87+R87</f>
        <v>-3108780.9784199996</v>
      </c>
      <c r="T87" s="457"/>
      <c r="U87" s="443">
        <f>'UK P&amp;L'!AU89</f>
        <v>0</v>
      </c>
      <c r="V87" s="443">
        <v>0</v>
      </c>
      <c r="W87" s="443">
        <f t="shared" ref="W87:W95" si="27">U87+V87</f>
        <v>0</v>
      </c>
      <c r="X87" s="438">
        <f>'CE P&amp;L'!AU89</f>
        <v>-156792.39406799997</v>
      </c>
      <c r="Y87" s="438">
        <v>0</v>
      </c>
      <c r="Z87" s="438">
        <f t="shared" ref="Z87:Z95" si="28">X87+Y87</f>
        <v>-156792.39406799997</v>
      </c>
      <c r="AA87" s="443">
        <f>'EE P&amp;L'!AU89</f>
        <v>-243662.41525199998</v>
      </c>
      <c r="AB87" s="443">
        <v>0</v>
      </c>
      <c r="AC87" s="443">
        <f t="shared" ref="AC87:AC95" si="29">AA87+AB87</f>
        <v>-243662.41525199998</v>
      </c>
      <c r="AD87" s="438">
        <f>'ROW P&amp;L'!AU88</f>
        <v>0</v>
      </c>
      <c r="AE87" s="438">
        <v>0</v>
      </c>
      <c r="AF87" s="438">
        <f t="shared" ref="AF87:AF97" si="30">AD87+AE87</f>
        <v>0</v>
      </c>
      <c r="AG87" s="443">
        <f>'Non Rev P&amp;L'!AU52</f>
        <v>-2765812.4616</v>
      </c>
      <c r="AH87" s="443">
        <v>0</v>
      </c>
      <c r="AI87" s="443">
        <f t="shared" ref="AI87:AI97" si="31">AG87+AH87</f>
        <v>-2765812.4616</v>
      </c>
      <c r="AJ87" s="438">
        <f t="shared" ref="AJ87:AJ95" si="32">U87+X87+AA87+AD87+AG87</f>
        <v>-3166267.27092</v>
      </c>
      <c r="AK87" s="438">
        <v>0</v>
      </c>
      <c r="AL87" s="438">
        <f t="shared" ref="AL87:AL95" si="33">AJ87+AK87</f>
        <v>-3166267.27092</v>
      </c>
      <c r="AM87" s="438"/>
      <c r="AN87" s="457"/>
    </row>
    <row r="88" spans="1:40">
      <c r="A88" s="7" t="s">
        <v>145</v>
      </c>
      <c r="B88" s="443">
        <f>'UK P&amp;L'!AF90</f>
        <v>-9000</v>
      </c>
      <c r="C88" s="443">
        <v>0</v>
      </c>
      <c r="D88" s="443">
        <f t="shared" si="20"/>
        <v>-9000</v>
      </c>
      <c r="E88" s="438">
        <f>'CE P&amp;L'!AF90</f>
        <v>0</v>
      </c>
      <c r="F88" s="438">
        <v>0</v>
      </c>
      <c r="G88" s="438">
        <f t="shared" si="21"/>
        <v>0</v>
      </c>
      <c r="H88" s="443">
        <f>'EE P&amp;L'!AF90</f>
        <v>-214056.69492000001</v>
      </c>
      <c r="I88" s="443">
        <v>0</v>
      </c>
      <c r="J88" s="443">
        <f t="shared" si="22"/>
        <v>-214056.69492000001</v>
      </c>
      <c r="K88" s="438">
        <f>'ROW P&amp;L'!AF91</f>
        <v>0</v>
      </c>
      <c r="L88" s="438">
        <v>0</v>
      </c>
      <c r="M88" s="438">
        <f t="shared" si="23"/>
        <v>0</v>
      </c>
      <c r="N88" s="443">
        <f>'Non Rev P&amp;L'!AF53</f>
        <v>-186421.94855000003</v>
      </c>
      <c r="O88" s="443">
        <v>0</v>
      </c>
      <c r="P88" s="443">
        <f t="shared" si="24"/>
        <v>-186421.94855000003</v>
      </c>
      <c r="Q88" s="438">
        <f t="shared" si="25"/>
        <v>-409478.64347000001</v>
      </c>
      <c r="R88" s="438">
        <v>0</v>
      </c>
      <c r="S88" s="438">
        <f t="shared" si="26"/>
        <v>-409478.64347000001</v>
      </c>
      <c r="T88" s="457"/>
      <c r="U88" s="443">
        <f>'UK P&amp;L'!AU90</f>
        <v>-9000</v>
      </c>
      <c r="V88" s="443">
        <v>0</v>
      </c>
      <c r="W88" s="443">
        <f t="shared" si="27"/>
        <v>-9000</v>
      </c>
      <c r="X88" s="438">
        <f>'CE P&amp;L'!AU90</f>
        <v>0</v>
      </c>
      <c r="Y88" s="438">
        <v>0</v>
      </c>
      <c r="Z88" s="438">
        <f t="shared" si="28"/>
        <v>0</v>
      </c>
      <c r="AA88" s="443">
        <f>'EE P&amp;L'!AU90</f>
        <v>-214056.69492000001</v>
      </c>
      <c r="AB88" s="443">
        <v>0</v>
      </c>
      <c r="AC88" s="443">
        <f t="shared" si="29"/>
        <v>-214056.69492000001</v>
      </c>
      <c r="AD88" s="438">
        <f>'ROW P&amp;L'!AU89</f>
        <v>0</v>
      </c>
      <c r="AE88" s="438">
        <v>0</v>
      </c>
      <c r="AF88" s="438">
        <f t="shared" si="30"/>
        <v>0</v>
      </c>
      <c r="AG88" s="443">
        <f>'Non Rev P&amp;L'!AU53</f>
        <v>-175489.74516000002</v>
      </c>
      <c r="AH88" s="443">
        <v>0</v>
      </c>
      <c r="AI88" s="443">
        <f t="shared" si="31"/>
        <v>-175489.74516000002</v>
      </c>
      <c r="AJ88" s="438">
        <f t="shared" si="32"/>
        <v>-398546.44008000003</v>
      </c>
      <c r="AK88" s="438">
        <v>0</v>
      </c>
      <c r="AL88" s="438">
        <f t="shared" si="33"/>
        <v>-398546.44008000003</v>
      </c>
      <c r="AM88" s="438"/>
      <c r="AN88" s="457"/>
    </row>
    <row r="89" spans="1:40">
      <c r="A89" s="7" t="s">
        <v>146</v>
      </c>
      <c r="B89" s="443">
        <f>'UK P&amp;L'!AF91</f>
        <v>0</v>
      </c>
      <c r="C89" s="443">
        <v>0</v>
      </c>
      <c r="D89" s="443">
        <f t="shared" si="20"/>
        <v>0</v>
      </c>
      <c r="E89" s="438">
        <f>'CE P&amp;L'!AF91</f>
        <v>0</v>
      </c>
      <c r="F89" s="438">
        <v>0</v>
      </c>
      <c r="G89" s="438">
        <f t="shared" si="21"/>
        <v>0</v>
      </c>
      <c r="H89" s="443">
        <f>'EE P&amp;L'!AF91</f>
        <v>0</v>
      </c>
      <c r="I89" s="443">
        <v>0</v>
      </c>
      <c r="J89" s="443">
        <f t="shared" si="22"/>
        <v>0</v>
      </c>
      <c r="K89" s="438">
        <f>'ROW P&amp;L'!AF92</f>
        <v>0</v>
      </c>
      <c r="L89" s="438">
        <v>0</v>
      </c>
      <c r="M89" s="438">
        <f t="shared" si="23"/>
        <v>0</v>
      </c>
      <c r="N89" s="443">
        <f>'Non Rev P&amp;L'!AF54</f>
        <v>0</v>
      </c>
      <c r="O89" s="443">
        <v>0</v>
      </c>
      <c r="P89" s="443">
        <f t="shared" si="24"/>
        <v>0</v>
      </c>
      <c r="Q89" s="438">
        <f t="shared" si="25"/>
        <v>0</v>
      </c>
      <c r="R89" s="438">
        <v>0</v>
      </c>
      <c r="S89" s="438">
        <f t="shared" si="26"/>
        <v>0</v>
      </c>
      <c r="T89" s="457"/>
      <c r="U89" s="443">
        <f>'UK P&amp;L'!AU91</f>
        <v>0</v>
      </c>
      <c r="V89" s="443">
        <v>0</v>
      </c>
      <c r="W89" s="443">
        <f t="shared" si="27"/>
        <v>0</v>
      </c>
      <c r="X89" s="438">
        <f>'CE P&amp;L'!AU91</f>
        <v>0</v>
      </c>
      <c r="Y89" s="438">
        <v>0</v>
      </c>
      <c r="Z89" s="438">
        <f t="shared" si="28"/>
        <v>0</v>
      </c>
      <c r="AA89" s="443">
        <f>'EE P&amp;L'!AU91</f>
        <v>0</v>
      </c>
      <c r="AB89" s="443">
        <v>0</v>
      </c>
      <c r="AC89" s="443">
        <f t="shared" si="29"/>
        <v>0</v>
      </c>
      <c r="AD89" s="438">
        <f>'ROW P&amp;L'!AU90</f>
        <v>0</v>
      </c>
      <c r="AE89" s="438">
        <v>0</v>
      </c>
      <c r="AF89" s="438">
        <f t="shared" si="30"/>
        <v>0</v>
      </c>
      <c r="AG89" s="443">
        <f>'Non Rev P&amp;L'!AU54</f>
        <v>0</v>
      </c>
      <c r="AH89" s="443">
        <v>0</v>
      </c>
      <c r="AI89" s="443">
        <f t="shared" si="31"/>
        <v>0</v>
      </c>
      <c r="AJ89" s="438">
        <f t="shared" si="32"/>
        <v>0</v>
      </c>
      <c r="AK89" s="438">
        <v>0</v>
      </c>
      <c r="AL89" s="438">
        <f t="shared" si="33"/>
        <v>0</v>
      </c>
      <c r="AM89" s="438"/>
      <c r="AN89" s="457"/>
    </row>
    <row r="90" spans="1:40">
      <c r="A90" s="7" t="s">
        <v>147</v>
      </c>
      <c r="B90" s="443">
        <f>'UK P&amp;L'!AF92</f>
        <v>0</v>
      </c>
      <c r="C90" s="443">
        <v>0</v>
      </c>
      <c r="D90" s="443">
        <f t="shared" si="20"/>
        <v>0</v>
      </c>
      <c r="E90" s="438">
        <f>'CE P&amp;L'!AF92</f>
        <v>0</v>
      </c>
      <c r="F90" s="438">
        <v>0</v>
      </c>
      <c r="G90" s="438">
        <f t="shared" si="21"/>
        <v>0</v>
      </c>
      <c r="H90" s="443">
        <f>'EE P&amp;L'!AF92</f>
        <v>0</v>
      </c>
      <c r="I90" s="443">
        <v>0</v>
      </c>
      <c r="J90" s="443">
        <f t="shared" si="22"/>
        <v>0</v>
      </c>
      <c r="K90" s="438">
        <f>'ROW P&amp;L'!AF93</f>
        <v>0</v>
      </c>
      <c r="L90" s="438">
        <v>0</v>
      </c>
      <c r="M90" s="438">
        <f t="shared" si="23"/>
        <v>0</v>
      </c>
      <c r="N90" s="443">
        <f>'Non Rev P&amp;L'!AF55</f>
        <v>0</v>
      </c>
      <c r="O90" s="443">
        <v>0</v>
      </c>
      <c r="P90" s="443">
        <f t="shared" si="24"/>
        <v>0</v>
      </c>
      <c r="Q90" s="438">
        <f t="shared" si="25"/>
        <v>0</v>
      </c>
      <c r="R90" s="438">
        <v>0</v>
      </c>
      <c r="S90" s="438">
        <f t="shared" si="26"/>
        <v>0</v>
      </c>
      <c r="T90" s="457"/>
      <c r="U90" s="443">
        <f>'UK P&amp;L'!AU92</f>
        <v>0</v>
      </c>
      <c r="V90" s="443">
        <v>0</v>
      </c>
      <c r="W90" s="443">
        <f t="shared" si="27"/>
        <v>0</v>
      </c>
      <c r="X90" s="438">
        <f>'CE P&amp;L'!AU92</f>
        <v>0</v>
      </c>
      <c r="Y90" s="438">
        <v>0</v>
      </c>
      <c r="Z90" s="438">
        <f t="shared" si="28"/>
        <v>0</v>
      </c>
      <c r="AA90" s="443">
        <f>'EE P&amp;L'!AU92</f>
        <v>0</v>
      </c>
      <c r="AB90" s="443">
        <v>0</v>
      </c>
      <c r="AC90" s="443">
        <f t="shared" si="29"/>
        <v>0</v>
      </c>
      <c r="AD90" s="438">
        <f>'ROW P&amp;L'!AU91</f>
        <v>0</v>
      </c>
      <c r="AE90" s="438">
        <v>0</v>
      </c>
      <c r="AF90" s="438">
        <f t="shared" si="30"/>
        <v>0</v>
      </c>
      <c r="AG90" s="443">
        <f>'Non Rev P&amp;L'!AU55</f>
        <v>0</v>
      </c>
      <c r="AH90" s="443">
        <v>0</v>
      </c>
      <c r="AI90" s="443">
        <f t="shared" si="31"/>
        <v>0</v>
      </c>
      <c r="AJ90" s="438">
        <f t="shared" si="32"/>
        <v>0</v>
      </c>
      <c r="AK90" s="438">
        <v>0</v>
      </c>
      <c r="AL90" s="438">
        <f t="shared" si="33"/>
        <v>0</v>
      </c>
      <c r="AM90" s="438"/>
      <c r="AN90" s="457"/>
    </row>
    <row r="91" spans="1:40">
      <c r="A91" s="7" t="s">
        <v>148</v>
      </c>
      <c r="B91" s="443">
        <f>'UK P&amp;L'!AF93</f>
        <v>0</v>
      </c>
      <c r="C91" s="443">
        <v>0</v>
      </c>
      <c r="D91" s="443">
        <f t="shared" si="20"/>
        <v>0</v>
      </c>
      <c r="E91" s="438">
        <f>'CE P&amp;L'!AF93</f>
        <v>0</v>
      </c>
      <c r="F91" s="438">
        <v>0</v>
      </c>
      <c r="G91" s="438">
        <f t="shared" si="21"/>
        <v>0</v>
      </c>
      <c r="H91" s="443">
        <f>'EE P&amp;L'!AF93</f>
        <v>0</v>
      </c>
      <c r="I91" s="443">
        <v>0</v>
      </c>
      <c r="J91" s="443">
        <f t="shared" si="22"/>
        <v>0</v>
      </c>
      <c r="K91" s="438">
        <f>'ROW P&amp;L'!AF94</f>
        <v>0</v>
      </c>
      <c r="L91" s="438">
        <v>0</v>
      </c>
      <c r="M91" s="438">
        <f t="shared" si="23"/>
        <v>0</v>
      </c>
      <c r="N91" s="443">
        <f>'Non Rev P&amp;L'!AF56</f>
        <v>0</v>
      </c>
      <c r="O91" s="443">
        <v>0</v>
      </c>
      <c r="P91" s="443">
        <f t="shared" si="24"/>
        <v>0</v>
      </c>
      <c r="Q91" s="438">
        <f t="shared" si="25"/>
        <v>0</v>
      </c>
      <c r="R91" s="438">
        <v>0</v>
      </c>
      <c r="S91" s="438">
        <f t="shared" si="26"/>
        <v>0</v>
      </c>
      <c r="T91" s="457"/>
      <c r="U91" s="443">
        <f>'UK P&amp;L'!AU93</f>
        <v>0</v>
      </c>
      <c r="V91" s="443">
        <v>0</v>
      </c>
      <c r="W91" s="443">
        <f t="shared" si="27"/>
        <v>0</v>
      </c>
      <c r="X91" s="438">
        <f>'CE P&amp;L'!AU93</f>
        <v>0</v>
      </c>
      <c r="Y91" s="438">
        <v>0</v>
      </c>
      <c r="Z91" s="438">
        <f t="shared" si="28"/>
        <v>0</v>
      </c>
      <c r="AA91" s="443">
        <f>'EE P&amp;L'!AU93</f>
        <v>0</v>
      </c>
      <c r="AB91" s="443">
        <v>0</v>
      </c>
      <c r="AC91" s="443">
        <f t="shared" si="29"/>
        <v>0</v>
      </c>
      <c r="AD91" s="438">
        <f>'ROW P&amp;L'!AU92</f>
        <v>0</v>
      </c>
      <c r="AE91" s="438">
        <v>0</v>
      </c>
      <c r="AF91" s="438">
        <f t="shared" si="30"/>
        <v>0</v>
      </c>
      <c r="AG91" s="443">
        <f>'Non Rev P&amp;L'!AU56</f>
        <v>0</v>
      </c>
      <c r="AH91" s="443">
        <v>0</v>
      </c>
      <c r="AI91" s="443">
        <f t="shared" si="31"/>
        <v>0</v>
      </c>
      <c r="AJ91" s="438">
        <f t="shared" si="32"/>
        <v>0</v>
      </c>
      <c r="AK91" s="438">
        <v>0</v>
      </c>
      <c r="AL91" s="438">
        <f t="shared" si="33"/>
        <v>0</v>
      </c>
      <c r="AM91" s="438"/>
      <c r="AN91" s="457"/>
    </row>
    <row r="92" spans="1:40">
      <c r="A92" s="7" t="s">
        <v>149</v>
      </c>
      <c r="B92" s="443">
        <f>'UK P&amp;L'!AF94</f>
        <v>0</v>
      </c>
      <c r="C92" s="443">
        <v>0</v>
      </c>
      <c r="D92" s="443">
        <f t="shared" si="20"/>
        <v>0</v>
      </c>
      <c r="E92" s="438">
        <f>'CE P&amp;L'!AF94</f>
        <v>0</v>
      </c>
      <c r="F92" s="438">
        <v>0</v>
      </c>
      <c r="G92" s="438">
        <f t="shared" si="21"/>
        <v>0</v>
      </c>
      <c r="H92" s="443">
        <f>'EE P&amp;L'!AF94</f>
        <v>0</v>
      </c>
      <c r="I92" s="443">
        <v>0</v>
      </c>
      <c r="J92" s="443">
        <f t="shared" si="22"/>
        <v>0</v>
      </c>
      <c r="K92" s="438">
        <f>'ROW P&amp;L'!AF95</f>
        <v>0</v>
      </c>
      <c r="L92" s="438">
        <v>0</v>
      </c>
      <c r="M92" s="438">
        <f t="shared" si="23"/>
        <v>0</v>
      </c>
      <c r="N92" s="443">
        <f>'Non Rev P&amp;L'!AF57</f>
        <v>0</v>
      </c>
      <c r="O92" s="443">
        <v>0</v>
      </c>
      <c r="P92" s="443">
        <f t="shared" si="24"/>
        <v>0</v>
      </c>
      <c r="Q92" s="438">
        <f t="shared" si="25"/>
        <v>0</v>
      </c>
      <c r="R92" s="438">
        <v>0</v>
      </c>
      <c r="S92" s="438">
        <f t="shared" si="26"/>
        <v>0</v>
      </c>
      <c r="T92" s="457"/>
      <c r="U92" s="443">
        <f>'UK P&amp;L'!AU94</f>
        <v>0</v>
      </c>
      <c r="V92" s="443">
        <v>0</v>
      </c>
      <c r="W92" s="443">
        <f t="shared" si="27"/>
        <v>0</v>
      </c>
      <c r="X92" s="438">
        <f>'CE P&amp;L'!AU94</f>
        <v>0</v>
      </c>
      <c r="Y92" s="438">
        <v>0</v>
      </c>
      <c r="Z92" s="438">
        <f t="shared" si="28"/>
        <v>0</v>
      </c>
      <c r="AA92" s="443">
        <f>'EE P&amp;L'!AU94</f>
        <v>0</v>
      </c>
      <c r="AB92" s="443">
        <v>0</v>
      </c>
      <c r="AC92" s="443">
        <f t="shared" si="29"/>
        <v>0</v>
      </c>
      <c r="AD92" s="438">
        <f>'ROW P&amp;L'!AU93</f>
        <v>0</v>
      </c>
      <c r="AE92" s="438">
        <v>0</v>
      </c>
      <c r="AF92" s="438">
        <f t="shared" si="30"/>
        <v>0</v>
      </c>
      <c r="AG92" s="443">
        <f>'Non Rev P&amp;L'!AU57</f>
        <v>0</v>
      </c>
      <c r="AH92" s="443">
        <v>0</v>
      </c>
      <c r="AI92" s="443">
        <f t="shared" si="31"/>
        <v>0</v>
      </c>
      <c r="AJ92" s="438">
        <f t="shared" si="32"/>
        <v>0</v>
      </c>
      <c r="AK92" s="438">
        <v>0</v>
      </c>
      <c r="AL92" s="438">
        <f t="shared" si="33"/>
        <v>0</v>
      </c>
      <c r="AM92" s="438"/>
      <c r="AN92" s="457"/>
    </row>
    <row r="93" spans="1:40">
      <c r="A93" s="7" t="s">
        <v>150</v>
      </c>
      <c r="B93" s="443">
        <f>'UK P&amp;L'!AF95</f>
        <v>0</v>
      </c>
      <c r="C93" s="443">
        <v>0</v>
      </c>
      <c r="D93" s="443">
        <f t="shared" si="20"/>
        <v>0</v>
      </c>
      <c r="E93" s="438">
        <f>'CE P&amp;L'!AF95</f>
        <v>0</v>
      </c>
      <c r="F93" s="438">
        <v>0</v>
      </c>
      <c r="G93" s="438">
        <f t="shared" si="21"/>
        <v>0</v>
      </c>
      <c r="H93" s="443">
        <f>'EE P&amp;L'!AF95</f>
        <v>0</v>
      </c>
      <c r="I93" s="443">
        <v>0</v>
      </c>
      <c r="J93" s="443">
        <f t="shared" si="22"/>
        <v>0</v>
      </c>
      <c r="K93" s="438">
        <v>0</v>
      </c>
      <c r="L93" s="438">
        <v>0</v>
      </c>
      <c r="M93" s="438">
        <f t="shared" si="23"/>
        <v>0</v>
      </c>
      <c r="N93" s="443">
        <f>'Non Rev P&amp;L'!AF58</f>
        <v>0</v>
      </c>
      <c r="O93" s="443">
        <v>0</v>
      </c>
      <c r="P93" s="443">
        <f t="shared" si="24"/>
        <v>0</v>
      </c>
      <c r="Q93" s="438">
        <f t="shared" si="25"/>
        <v>0</v>
      </c>
      <c r="R93" s="438">
        <v>0</v>
      </c>
      <c r="S93" s="438">
        <f t="shared" si="26"/>
        <v>0</v>
      </c>
      <c r="T93" s="457"/>
      <c r="U93" s="443">
        <f>'UK P&amp;L'!AU95</f>
        <v>0</v>
      </c>
      <c r="V93" s="443">
        <v>0</v>
      </c>
      <c r="W93" s="443">
        <f t="shared" si="27"/>
        <v>0</v>
      </c>
      <c r="X93" s="438">
        <f>'CE P&amp;L'!AU95</f>
        <v>0</v>
      </c>
      <c r="Y93" s="438">
        <v>0</v>
      </c>
      <c r="Z93" s="438">
        <f t="shared" si="28"/>
        <v>0</v>
      </c>
      <c r="AA93" s="443">
        <f>'EE P&amp;L'!AU95</f>
        <v>0</v>
      </c>
      <c r="AB93" s="443">
        <v>0</v>
      </c>
      <c r="AC93" s="443">
        <f t="shared" si="29"/>
        <v>0</v>
      </c>
      <c r="AD93" s="438">
        <f>'ROW P&amp;L'!AU94</f>
        <v>0</v>
      </c>
      <c r="AE93" s="438">
        <v>0</v>
      </c>
      <c r="AF93" s="438">
        <f t="shared" si="30"/>
        <v>0</v>
      </c>
      <c r="AG93" s="443">
        <f>'Non Rev P&amp;L'!AU58</f>
        <v>0</v>
      </c>
      <c r="AH93" s="443">
        <v>0</v>
      </c>
      <c r="AI93" s="443">
        <f t="shared" si="31"/>
        <v>0</v>
      </c>
      <c r="AJ93" s="438">
        <f t="shared" si="32"/>
        <v>0</v>
      </c>
      <c r="AK93" s="438">
        <v>0</v>
      </c>
      <c r="AL93" s="438">
        <f t="shared" si="33"/>
        <v>0</v>
      </c>
      <c r="AM93" s="438"/>
      <c r="AN93" s="457"/>
    </row>
    <row r="94" spans="1:40">
      <c r="A94" s="7" t="s">
        <v>151</v>
      </c>
      <c r="B94" s="443">
        <f>'UK P&amp;L'!AF96</f>
        <v>0</v>
      </c>
      <c r="C94" s="443">
        <v>0</v>
      </c>
      <c r="D94" s="443">
        <f t="shared" si="20"/>
        <v>0</v>
      </c>
      <c r="E94" s="438">
        <f>'CE P&amp;L'!AF96</f>
        <v>0</v>
      </c>
      <c r="F94" s="438">
        <v>0</v>
      </c>
      <c r="G94" s="438">
        <f t="shared" si="21"/>
        <v>0</v>
      </c>
      <c r="H94" s="443">
        <f>'EE P&amp;L'!AF96</f>
        <v>0</v>
      </c>
      <c r="I94" s="443">
        <v>0</v>
      </c>
      <c r="J94" s="443">
        <f t="shared" si="22"/>
        <v>0</v>
      </c>
      <c r="K94" s="438">
        <f>'ROW P&amp;L'!AF97</f>
        <v>0</v>
      </c>
      <c r="L94" s="438">
        <v>0</v>
      </c>
      <c r="M94" s="438">
        <f t="shared" si="23"/>
        <v>0</v>
      </c>
      <c r="N94" s="443">
        <f>'Non Rev P&amp;L'!AF59</f>
        <v>0</v>
      </c>
      <c r="O94" s="443">
        <v>0</v>
      </c>
      <c r="P94" s="443">
        <f t="shared" si="24"/>
        <v>0</v>
      </c>
      <c r="Q94" s="438">
        <f t="shared" si="25"/>
        <v>0</v>
      </c>
      <c r="R94" s="438">
        <v>0</v>
      </c>
      <c r="S94" s="438">
        <f t="shared" si="26"/>
        <v>0</v>
      </c>
      <c r="T94" s="457"/>
      <c r="U94" s="443">
        <f>'UK P&amp;L'!AU96</f>
        <v>0</v>
      </c>
      <c r="V94" s="443">
        <v>0</v>
      </c>
      <c r="W94" s="443">
        <f t="shared" si="27"/>
        <v>0</v>
      </c>
      <c r="X94" s="438">
        <f>'CE P&amp;L'!AU96</f>
        <v>0</v>
      </c>
      <c r="Y94" s="438">
        <v>0</v>
      </c>
      <c r="Z94" s="438">
        <f t="shared" si="28"/>
        <v>0</v>
      </c>
      <c r="AA94" s="443">
        <f>'EE P&amp;L'!AU96</f>
        <v>0</v>
      </c>
      <c r="AB94" s="443">
        <v>0</v>
      </c>
      <c r="AC94" s="443">
        <f t="shared" si="29"/>
        <v>0</v>
      </c>
      <c r="AD94" s="438">
        <f>'ROW P&amp;L'!AU95</f>
        <v>0</v>
      </c>
      <c r="AE94" s="438">
        <v>0</v>
      </c>
      <c r="AF94" s="438">
        <f t="shared" si="30"/>
        <v>0</v>
      </c>
      <c r="AG94" s="443">
        <f>'Non Rev P&amp;L'!AU59</f>
        <v>0</v>
      </c>
      <c r="AH94" s="443">
        <v>0</v>
      </c>
      <c r="AI94" s="443">
        <f t="shared" si="31"/>
        <v>0</v>
      </c>
      <c r="AJ94" s="438">
        <f t="shared" si="32"/>
        <v>0</v>
      </c>
      <c r="AK94" s="438">
        <v>0</v>
      </c>
      <c r="AL94" s="438">
        <f t="shared" si="33"/>
        <v>0</v>
      </c>
      <c r="AM94" s="438"/>
      <c r="AN94" s="457"/>
    </row>
    <row r="95" spans="1:40">
      <c r="A95" s="7" t="s">
        <v>143</v>
      </c>
      <c r="B95" s="443">
        <f>'UK P&amp;L'!AF97</f>
        <v>-659831.22040130175</v>
      </c>
      <c r="C95" s="443">
        <v>0</v>
      </c>
      <c r="D95" s="443">
        <f t="shared" si="20"/>
        <v>-659831.22040130175</v>
      </c>
      <c r="E95" s="438">
        <f>'CE P&amp;L'!AF97</f>
        <v>-149358.86780482266</v>
      </c>
      <c r="F95" s="438">
        <v>0</v>
      </c>
      <c r="G95" s="438">
        <f t="shared" si="21"/>
        <v>-149358.86780482266</v>
      </c>
      <c r="H95" s="443">
        <f>'EE P&amp;L'!AF97</f>
        <v>-422337.81167908094</v>
      </c>
      <c r="I95" s="443">
        <v>0</v>
      </c>
      <c r="J95" s="443">
        <f t="shared" si="22"/>
        <v>-422337.81167908094</v>
      </c>
      <c r="K95" s="438">
        <f>'ROW P&amp;L'!AF98</f>
        <v>-92395.18011479477</v>
      </c>
      <c r="L95" s="438">
        <v>0</v>
      </c>
      <c r="M95" s="438">
        <f t="shared" si="23"/>
        <v>-92395.18011479477</v>
      </c>
      <c r="N95" s="443">
        <f>'Non Rev P&amp;L'!AF60</f>
        <v>0</v>
      </c>
      <c r="O95" s="443">
        <v>0</v>
      </c>
      <c r="P95" s="443">
        <f t="shared" si="24"/>
        <v>0</v>
      </c>
      <c r="Q95" s="438">
        <f t="shared" si="25"/>
        <v>-1323923.08</v>
      </c>
      <c r="R95" s="438">
        <v>0</v>
      </c>
      <c r="S95" s="438">
        <f t="shared" si="26"/>
        <v>-1323923.08</v>
      </c>
      <c r="T95" s="457"/>
      <c r="U95" s="443">
        <f>'UK P&amp;L'!AU97</f>
        <v>-662720.79735338292</v>
      </c>
      <c r="V95" s="443">
        <v>0</v>
      </c>
      <c r="W95" s="443">
        <f t="shared" si="27"/>
        <v>-662720.79735338292</v>
      </c>
      <c r="X95" s="438">
        <f>'CE P&amp;L'!AU97</f>
        <v>-198522.94617742824</v>
      </c>
      <c r="Y95" s="438">
        <v>0</v>
      </c>
      <c r="Z95" s="438">
        <f t="shared" si="28"/>
        <v>-198522.94617742824</v>
      </c>
      <c r="AA95" s="443">
        <f>'EE P&amp;L'!AU97</f>
        <v>-440058.25203851756</v>
      </c>
      <c r="AB95" s="443">
        <v>0</v>
      </c>
      <c r="AC95" s="443">
        <f t="shared" si="29"/>
        <v>-440058.25203851756</v>
      </c>
      <c r="AD95" s="438">
        <f>'ROW P&amp;L'!AU96</f>
        <v>-149564.54643067127</v>
      </c>
      <c r="AE95" s="438">
        <v>0</v>
      </c>
      <c r="AF95" s="438">
        <f t="shared" si="30"/>
        <v>-149564.54643067127</v>
      </c>
      <c r="AG95" s="443">
        <f>'Non Rev P&amp;L'!AU60</f>
        <v>0</v>
      </c>
      <c r="AH95" s="443">
        <v>0</v>
      </c>
      <c r="AI95" s="443">
        <f t="shared" si="31"/>
        <v>0</v>
      </c>
      <c r="AJ95" s="438">
        <f t="shared" si="32"/>
        <v>-1450866.5420000001</v>
      </c>
      <c r="AK95" s="438">
        <v>0</v>
      </c>
      <c r="AL95" s="438">
        <f t="shared" si="33"/>
        <v>-1450866.5420000001</v>
      </c>
      <c r="AM95" s="438"/>
      <c r="AN95" s="457"/>
    </row>
    <row r="96" spans="1:40">
      <c r="A96" s="7"/>
      <c r="B96" s="443"/>
      <c r="C96" s="443"/>
      <c r="D96" s="443"/>
      <c r="E96" s="438"/>
      <c r="F96" s="438"/>
      <c r="G96" s="438"/>
      <c r="H96" s="443"/>
      <c r="I96" s="443"/>
      <c r="J96" s="443"/>
      <c r="K96" s="438">
        <f>'ROW P&amp;L'!AF97</f>
        <v>0</v>
      </c>
      <c r="L96" s="438"/>
      <c r="M96" s="438">
        <f t="shared" si="23"/>
        <v>0</v>
      </c>
      <c r="N96" s="443">
        <f>'Non Rev P&amp;L'!AF61</f>
        <v>0</v>
      </c>
      <c r="O96" s="443"/>
      <c r="P96" s="443">
        <f t="shared" si="24"/>
        <v>0</v>
      </c>
      <c r="Q96" s="438"/>
      <c r="R96" s="438"/>
      <c r="S96" s="438"/>
      <c r="T96" s="457"/>
      <c r="U96" s="443"/>
      <c r="V96" s="443"/>
      <c r="W96" s="443"/>
      <c r="X96" s="438"/>
      <c r="Y96" s="438"/>
      <c r="Z96" s="438"/>
      <c r="AA96" s="443"/>
      <c r="AB96" s="443"/>
      <c r="AC96" s="443"/>
      <c r="AD96" s="438">
        <f>'ROW P&amp;L'!AU97</f>
        <v>0</v>
      </c>
      <c r="AE96" s="438"/>
      <c r="AF96" s="438">
        <f t="shared" si="30"/>
        <v>0</v>
      </c>
      <c r="AG96" s="443">
        <f>'Non Rev P&amp;L'!AU61</f>
        <v>0</v>
      </c>
      <c r="AH96" s="443"/>
      <c r="AI96" s="443">
        <f t="shared" si="31"/>
        <v>0</v>
      </c>
      <c r="AJ96" s="438"/>
      <c r="AK96" s="438"/>
      <c r="AL96" s="438"/>
      <c r="AM96" s="456"/>
    </row>
    <row r="97" spans="1:39">
      <c r="A97" s="90" t="s">
        <v>152</v>
      </c>
      <c r="B97" s="443">
        <f>'UK P&amp;L'!AF99</f>
        <v>-668831.22040130175</v>
      </c>
      <c r="C97" s="428">
        <f>SUM(C86:C95)</f>
        <v>0</v>
      </c>
      <c r="D97" s="443">
        <f>B97+C97</f>
        <v>-668831.22040130175</v>
      </c>
      <c r="E97" s="438">
        <f>'CE P&amp;L'!AF99</f>
        <v>-231563.76187282265</v>
      </c>
      <c r="F97" s="429">
        <f>SUM(F86:F95)</f>
        <v>0</v>
      </c>
      <c r="G97" s="438">
        <f>E97+F97</f>
        <v>-231563.76187282265</v>
      </c>
      <c r="H97" s="443">
        <f>'EE P&amp;L'!AF99</f>
        <v>-874206.92185108108</v>
      </c>
      <c r="I97" s="428">
        <f>SUM(I86:I95)</f>
        <v>0</v>
      </c>
      <c r="J97" s="443">
        <f>H97+I97</f>
        <v>-874206.92185108108</v>
      </c>
      <c r="K97" s="438">
        <f>'ROW P&amp;L'!AF98</f>
        <v>-92395.18011479477</v>
      </c>
      <c r="L97" s="429">
        <f>SUM(L86:L95)</f>
        <v>0</v>
      </c>
      <c r="M97" s="438">
        <f t="shared" si="23"/>
        <v>-92395.18011479477</v>
      </c>
      <c r="N97" s="443">
        <f>'Non Rev P&amp;L'!AF62</f>
        <v>-2975185.6176499994</v>
      </c>
      <c r="O97" s="428">
        <f>SUM(O86:O95)</f>
        <v>0</v>
      </c>
      <c r="P97" s="443">
        <f t="shared" si="24"/>
        <v>-2975185.6176499994</v>
      </c>
      <c r="Q97" s="438">
        <f>B97+E97+H97+K97+N97</f>
        <v>-4842182.7018899992</v>
      </c>
      <c r="R97" s="429">
        <f>SUM(R86:R95)</f>
        <v>0</v>
      </c>
      <c r="S97" s="438">
        <f>Q97+R97</f>
        <v>-4842182.7018899992</v>
      </c>
      <c r="T97" s="457"/>
      <c r="U97" s="443">
        <f>'UK P&amp;L'!AU99</f>
        <v>-671720.79735338292</v>
      </c>
      <c r="V97" s="428">
        <f>SUM(V86:V95)</f>
        <v>0</v>
      </c>
      <c r="W97" s="443">
        <f>U97+V97</f>
        <v>-671720.79735338292</v>
      </c>
      <c r="X97" s="438">
        <f>'CE P&amp;L'!AU99</f>
        <v>-355315.34024542826</v>
      </c>
      <c r="Y97" s="429">
        <f>SUM(Y86:Y95)</f>
        <v>0</v>
      </c>
      <c r="Z97" s="438">
        <f>X97+Y97</f>
        <v>-355315.34024542826</v>
      </c>
      <c r="AA97" s="443">
        <f>'EE P&amp;L'!AU99</f>
        <v>-897777.36221051752</v>
      </c>
      <c r="AB97" s="428">
        <f>SUM(AB86:AB95)</f>
        <v>0</v>
      </c>
      <c r="AC97" s="443">
        <f>AA97+AB97</f>
        <v>-897777.36221051752</v>
      </c>
      <c r="AD97" s="438">
        <f>'ROW P&amp;L'!AU98</f>
        <v>-149564.54643067127</v>
      </c>
      <c r="AE97" s="429">
        <f>SUM(AE86:AE95)</f>
        <v>0</v>
      </c>
      <c r="AF97" s="438">
        <f t="shared" si="30"/>
        <v>-149564.54643067127</v>
      </c>
      <c r="AG97" s="443">
        <f>'Non Rev P&amp;L'!AU62</f>
        <v>-2941302.20676</v>
      </c>
      <c r="AH97" s="428">
        <f>SUM(AH86:AH95)</f>
        <v>0</v>
      </c>
      <c r="AI97" s="443">
        <f t="shared" si="31"/>
        <v>-2941302.20676</v>
      </c>
      <c r="AJ97" s="438">
        <f>U97+X97+AA97+AD97+AG97</f>
        <v>-5015680.2530000005</v>
      </c>
      <c r="AK97" s="429">
        <f>SUM(AK86:AK95)</f>
        <v>0</v>
      </c>
      <c r="AL97" s="438">
        <f>AJ97+AK97</f>
        <v>-5015680.2530000005</v>
      </c>
      <c r="AM97" s="456"/>
    </row>
    <row r="98" spans="1:39">
      <c r="A98" s="7"/>
      <c r="B98" s="452"/>
      <c r="C98" s="452"/>
      <c r="D98" s="452"/>
      <c r="E98" s="438"/>
      <c r="F98" s="465"/>
      <c r="G98" s="453"/>
      <c r="H98" s="443"/>
      <c r="I98" s="454"/>
      <c r="J98" s="454"/>
      <c r="K98" s="438"/>
      <c r="L98" s="455"/>
      <c r="M98" s="438"/>
      <c r="N98" s="443"/>
      <c r="O98" s="454"/>
      <c r="P98" s="443"/>
      <c r="Q98" s="438"/>
      <c r="R98" s="455"/>
      <c r="S98" s="455"/>
      <c r="T98" s="457"/>
      <c r="U98" s="454"/>
      <c r="V98" s="454"/>
      <c r="W98" s="454"/>
      <c r="X98" s="438"/>
      <c r="Y98" s="455"/>
      <c r="Z98" s="465"/>
      <c r="AA98" s="443"/>
      <c r="AB98" s="454"/>
      <c r="AC98" s="454"/>
      <c r="AD98" s="438"/>
      <c r="AE98" s="455"/>
      <c r="AF98" s="438"/>
      <c r="AG98" s="443"/>
      <c r="AH98" s="454"/>
      <c r="AI98" s="443"/>
      <c r="AJ98" s="438"/>
      <c r="AK98" s="455"/>
      <c r="AL98" s="455"/>
      <c r="AM98" s="456"/>
    </row>
    <row r="99" spans="1:39">
      <c r="A99" s="10" t="s">
        <v>153</v>
      </c>
      <c r="B99" s="442">
        <f ca="1">'UK P&amp;L'!AF101</f>
        <v>1906793.5797435206</v>
      </c>
      <c r="C99" s="442">
        <f ca="1">D99-B99</f>
        <v>0</v>
      </c>
      <c r="D99" s="442">
        <f ca="1">D11+D20+D42+D69+D97</f>
        <v>1906793.5797435206</v>
      </c>
      <c r="E99" s="439">
        <f ca="1">'CE P&amp;L'!AF101</f>
        <v>1029988.2438878121</v>
      </c>
      <c r="F99" s="439">
        <f ca="1">G99-E99</f>
        <v>75000</v>
      </c>
      <c r="G99" s="439">
        <f ca="1">G11+G20+G42+G69+G97</f>
        <v>1104988.2438878121</v>
      </c>
      <c r="H99" s="442">
        <f ca="1">'EE P&amp;L'!AF101</f>
        <v>1168592.9533404333</v>
      </c>
      <c r="I99" s="442">
        <f ca="1">J99-H99</f>
        <v>0</v>
      </c>
      <c r="J99" s="442">
        <f ca="1">J11+J20+J42+J69+J97</f>
        <v>1168592.9533404333</v>
      </c>
      <c r="K99" s="439">
        <f ca="1">'ROW P&amp;L'!AF100</f>
        <v>376118.38152520527</v>
      </c>
      <c r="L99" s="439">
        <f ca="1">M99-K99</f>
        <v>0</v>
      </c>
      <c r="M99" s="439">
        <f ca="1">M11+M20+M42+M69+M97</f>
        <v>376118.38152520527</v>
      </c>
      <c r="N99" s="442">
        <f>'Non Rev P&amp;L'!AF64</f>
        <v>-3275185.6176499994</v>
      </c>
      <c r="O99" s="442">
        <f>P99-N99</f>
        <v>0</v>
      </c>
      <c r="P99" s="442">
        <f>P11+P20+P42+P69+P97</f>
        <v>-3275185.6176499994</v>
      </c>
      <c r="Q99" s="439">
        <f ca="1">B99+E99+H99+K99+N99</f>
        <v>1206307.5408469718</v>
      </c>
      <c r="R99" s="439">
        <f ca="1">S99-Q99</f>
        <v>330000.00000000279</v>
      </c>
      <c r="S99" s="439">
        <f ca="1">S11+S20+S42+S69+S97</f>
        <v>1536307.5408469746</v>
      </c>
      <c r="T99" s="460"/>
      <c r="U99" s="443">
        <f ca="1">'UK P&amp;L'!AU101</f>
        <v>4703438.7481593657</v>
      </c>
      <c r="V99" s="442">
        <f ca="1">W99-U99</f>
        <v>0</v>
      </c>
      <c r="W99" s="442">
        <f ca="1">W11+W20+W42+W69+W97</f>
        <v>4703438.7481593657</v>
      </c>
      <c r="X99" s="439">
        <f ca="1">'CE P&amp;L'!AU101</f>
        <v>2006104.1399177492</v>
      </c>
      <c r="Y99" s="439">
        <f ca="1">Z99-X99</f>
        <v>0</v>
      </c>
      <c r="Z99" s="439">
        <f ca="1">Z11+Z20+Z42+Z69+Z97</f>
        <v>2006104.1399177492</v>
      </c>
      <c r="AA99" s="443">
        <f ca="1">'EE P&amp;L'!AU101</f>
        <v>1406180.5682535565</v>
      </c>
      <c r="AB99" s="442">
        <f ca="1">AC99-AA99</f>
        <v>0</v>
      </c>
      <c r="AC99" s="442">
        <f ca="1">AC11+AC20+AC42+AC69+AC97</f>
        <v>1406180.5682535565</v>
      </c>
      <c r="AD99" s="439">
        <f ca="1">'ROW P&amp;L'!AU100</f>
        <v>232433.84041428156</v>
      </c>
      <c r="AE99" s="439">
        <f ca="1">AF99-AD99</f>
        <v>0</v>
      </c>
      <c r="AF99" s="439">
        <f ca="1">AF11+AF20+AF42+AF69+AF97</f>
        <v>232433.84041428156</v>
      </c>
      <c r="AG99" s="442">
        <f>'Non Rev P&amp;L'!AU64</f>
        <v>-3241302.20676</v>
      </c>
      <c r="AH99" s="442">
        <f>AI99-AG99</f>
        <v>0</v>
      </c>
      <c r="AI99" s="442">
        <f>AI11+AI20+AI42+AI69+AI97</f>
        <v>-3241302.20676</v>
      </c>
      <c r="AJ99" s="439">
        <f ca="1">U99+X99+AA99+AD99+AG99</f>
        <v>5106855.0899849534</v>
      </c>
      <c r="AK99" s="439">
        <f ca="1">AL99-AJ99</f>
        <v>0</v>
      </c>
      <c r="AL99" s="439">
        <f ca="1">AL11+AL20+AL42+AL69+AL97</f>
        <v>5106855.0899849571</v>
      </c>
      <c r="AM99" s="456"/>
    </row>
    <row r="100" spans="1:39">
      <c r="B100" s="456"/>
      <c r="C100" s="456"/>
      <c r="D100" s="456"/>
      <c r="E100" s="456"/>
      <c r="F100" s="456"/>
      <c r="G100" s="456"/>
      <c r="H100" s="456"/>
      <c r="I100" s="456"/>
      <c r="J100" s="456"/>
      <c r="K100" s="456"/>
      <c r="L100" s="456"/>
      <c r="M100" s="456"/>
      <c r="N100" s="456"/>
      <c r="O100" s="456"/>
      <c r="P100" s="456"/>
      <c r="Q100" s="456"/>
      <c r="R100" s="456"/>
      <c r="S100" s="456"/>
      <c r="U100" s="456"/>
      <c r="V100" s="456"/>
      <c r="W100" s="456"/>
      <c r="X100" s="456"/>
      <c r="Y100" s="456"/>
      <c r="Z100" s="456"/>
      <c r="AA100" s="456"/>
      <c r="AB100" s="456"/>
      <c r="AC100" s="456"/>
      <c r="AD100" s="456"/>
      <c r="AE100" s="456"/>
      <c r="AF100" s="456"/>
      <c r="AG100" s="456"/>
      <c r="AH100" s="456"/>
      <c r="AI100" s="456"/>
      <c r="AJ100" s="456"/>
      <c r="AK100" s="456"/>
      <c r="AL100" s="456"/>
      <c r="AM100" s="456"/>
    </row>
    <row r="101" spans="1:39">
      <c r="B101" s="456"/>
      <c r="C101" s="456"/>
      <c r="D101" s="456"/>
      <c r="E101" s="456"/>
      <c r="F101" s="456"/>
      <c r="G101" s="456"/>
      <c r="H101" s="456"/>
      <c r="I101" s="456"/>
      <c r="J101" s="456"/>
      <c r="K101" s="456"/>
      <c r="L101" s="456"/>
      <c r="M101" s="456"/>
      <c r="N101" s="456"/>
      <c r="O101" s="456"/>
      <c r="P101" s="456"/>
      <c r="Q101" s="458"/>
      <c r="R101" s="459"/>
      <c r="S101" s="456"/>
      <c r="U101" s="456"/>
      <c r="V101" s="456"/>
      <c r="W101" s="456"/>
      <c r="X101" s="456"/>
      <c r="Y101" s="456"/>
      <c r="Z101" s="456"/>
      <c r="AA101" s="456"/>
      <c r="AB101" s="456"/>
      <c r="AC101" s="456"/>
      <c r="AD101" s="456"/>
      <c r="AE101" s="456"/>
      <c r="AF101" s="456"/>
      <c r="AG101" s="456"/>
      <c r="AH101" s="456"/>
      <c r="AI101" s="456"/>
      <c r="AJ101" s="458"/>
      <c r="AK101" s="459"/>
      <c r="AL101" s="456"/>
      <c r="AM101" s="456"/>
    </row>
    <row r="102" spans="1:39">
      <c r="B102" s="456"/>
      <c r="C102" s="456"/>
      <c r="D102" s="456"/>
      <c r="E102" s="456"/>
      <c r="F102" s="456"/>
      <c r="G102" s="456"/>
      <c r="H102" s="456"/>
      <c r="I102" s="456"/>
      <c r="J102" s="456"/>
      <c r="K102" s="456"/>
      <c r="L102" s="456"/>
      <c r="M102" s="456"/>
      <c r="N102" s="456"/>
      <c r="O102" s="456"/>
      <c r="P102" s="456"/>
      <c r="Q102" s="456"/>
      <c r="R102" s="456"/>
      <c r="S102" s="456"/>
      <c r="U102" s="456"/>
      <c r="V102" s="456"/>
      <c r="W102" s="456"/>
      <c r="X102" s="456"/>
      <c r="Y102" s="456"/>
      <c r="Z102" s="456"/>
      <c r="AA102" s="456"/>
      <c r="AB102" s="456"/>
      <c r="AC102" s="456"/>
      <c r="AD102" s="456"/>
      <c r="AE102" s="456"/>
      <c r="AF102" s="456"/>
      <c r="AG102" s="456"/>
      <c r="AH102" s="456"/>
      <c r="AI102" s="456"/>
      <c r="AJ102" s="456"/>
      <c r="AK102" s="459"/>
      <c r="AL102" s="456"/>
      <c r="AM102" s="456"/>
    </row>
    <row r="103" spans="1:39">
      <c r="B103" s="456"/>
      <c r="C103" s="456"/>
      <c r="D103" s="456"/>
      <c r="E103" s="456"/>
      <c r="F103" s="456"/>
      <c r="G103" s="456"/>
      <c r="H103" s="456"/>
      <c r="I103" s="456"/>
      <c r="J103" s="456"/>
      <c r="K103" s="456"/>
      <c r="L103" s="456"/>
      <c r="M103" s="456"/>
      <c r="N103" s="456"/>
      <c r="O103" s="456"/>
      <c r="P103" s="456"/>
      <c r="Q103" s="456"/>
      <c r="R103" s="456"/>
      <c r="S103" s="456"/>
      <c r="U103" s="456"/>
      <c r="V103" s="456"/>
      <c r="W103" s="456"/>
      <c r="X103" s="456"/>
      <c r="Y103" s="456"/>
      <c r="Z103" s="456"/>
      <c r="AA103" s="456"/>
      <c r="AB103" s="456"/>
      <c r="AC103" s="456"/>
      <c r="AD103" s="456"/>
      <c r="AE103" s="456"/>
      <c r="AF103" s="456"/>
      <c r="AG103" s="456"/>
      <c r="AH103" s="456"/>
      <c r="AI103" s="456"/>
      <c r="AJ103" s="470"/>
      <c r="AK103" s="151"/>
      <c r="AL103" s="456"/>
      <c r="AM103" s="456"/>
    </row>
    <row r="104" spans="1:39">
      <c r="B104" s="456"/>
      <c r="C104" s="456"/>
      <c r="D104" s="456"/>
      <c r="E104" s="456"/>
      <c r="F104" s="456"/>
      <c r="G104" s="456"/>
      <c r="H104" s="456"/>
      <c r="I104" s="456"/>
      <c r="J104" s="456"/>
      <c r="K104" s="456"/>
      <c r="L104" s="456"/>
      <c r="M104" s="456"/>
      <c r="N104" s="456"/>
      <c r="O104" s="456"/>
      <c r="P104" s="456"/>
      <c r="Q104" s="456"/>
      <c r="R104" s="456"/>
      <c r="S104" s="456"/>
      <c r="U104" s="456"/>
      <c r="V104" s="456"/>
      <c r="W104" s="456"/>
      <c r="X104" s="456"/>
      <c r="Y104" s="456"/>
      <c r="Z104" s="456"/>
      <c r="AA104" s="456"/>
      <c r="AB104" s="456"/>
      <c r="AC104" s="456"/>
      <c r="AD104" s="456"/>
      <c r="AE104" s="456"/>
      <c r="AF104" s="456"/>
      <c r="AG104" s="456"/>
      <c r="AH104" s="456"/>
      <c r="AI104" s="456"/>
      <c r="AJ104" s="456"/>
      <c r="AK104" s="456"/>
      <c r="AL104" s="456"/>
      <c r="AM104" s="456"/>
    </row>
    <row r="105" spans="1:39">
      <c r="B105" s="456"/>
      <c r="C105" s="456"/>
      <c r="D105" s="456"/>
      <c r="E105" s="456"/>
      <c r="F105" s="456"/>
      <c r="G105" s="456"/>
      <c r="H105" s="456"/>
      <c r="I105" s="456"/>
      <c r="J105" s="456"/>
      <c r="K105" s="456"/>
      <c r="L105" s="456"/>
      <c r="M105" s="456"/>
      <c r="N105" s="456"/>
      <c r="O105" s="456"/>
      <c r="P105" s="456"/>
      <c r="Q105" s="456"/>
      <c r="R105" s="456"/>
      <c r="S105" s="456"/>
      <c r="U105" s="456"/>
      <c r="V105" s="456"/>
      <c r="W105" s="456"/>
      <c r="X105" s="456"/>
      <c r="Y105" s="456"/>
      <c r="Z105" s="456"/>
      <c r="AA105" s="456"/>
      <c r="AB105" s="456"/>
      <c r="AC105" s="456"/>
      <c r="AD105" s="456"/>
      <c r="AE105" s="456"/>
      <c r="AF105" s="456"/>
      <c r="AG105" s="456"/>
      <c r="AH105" s="456"/>
      <c r="AI105" s="456"/>
      <c r="AJ105" s="456"/>
      <c r="AK105" s="456"/>
      <c r="AL105" s="456"/>
      <c r="AM105" s="456"/>
    </row>
    <row r="106" spans="1:39">
      <c r="B106" s="456"/>
      <c r="C106" s="456"/>
      <c r="D106" s="456"/>
      <c r="E106" s="456"/>
      <c r="F106" s="456"/>
      <c r="G106" s="456"/>
      <c r="H106" s="456"/>
      <c r="I106" s="456"/>
      <c r="J106" s="456"/>
      <c r="K106" s="456"/>
      <c r="L106" s="456"/>
      <c r="M106" s="456"/>
      <c r="N106" s="456"/>
      <c r="O106" s="456"/>
      <c r="P106" s="456"/>
      <c r="Q106" s="456"/>
      <c r="R106" s="456"/>
      <c r="S106" s="456"/>
      <c r="U106" s="456"/>
      <c r="V106" s="456"/>
      <c r="W106" s="456"/>
      <c r="X106" s="456"/>
      <c r="Y106" s="456"/>
      <c r="Z106" s="456"/>
      <c r="AA106" s="456"/>
      <c r="AB106" s="456"/>
      <c r="AC106" s="456"/>
      <c r="AD106" s="456"/>
      <c r="AE106" s="456"/>
      <c r="AF106" s="456"/>
      <c r="AG106" s="456"/>
      <c r="AH106" s="456"/>
      <c r="AI106" s="456"/>
      <c r="AJ106" s="456"/>
      <c r="AK106" s="456"/>
      <c r="AL106" s="456"/>
    </row>
    <row r="107" spans="1:39">
      <c r="B107" s="456"/>
      <c r="C107" s="456"/>
      <c r="D107" s="456"/>
      <c r="E107" s="456"/>
      <c r="F107" s="456"/>
      <c r="G107" s="456"/>
      <c r="H107" s="456"/>
      <c r="I107" s="456"/>
      <c r="J107" s="456"/>
      <c r="K107" s="456"/>
      <c r="L107" s="456"/>
      <c r="M107" s="456"/>
      <c r="N107" s="456"/>
      <c r="O107" s="456"/>
      <c r="P107" s="456"/>
      <c r="Q107" s="456"/>
      <c r="R107" s="456"/>
      <c r="S107" s="456"/>
      <c r="U107" s="456"/>
      <c r="V107" s="456"/>
      <c r="W107" s="456"/>
      <c r="X107" s="456"/>
      <c r="Y107" s="456"/>
      <c r="Z107" s="456"/>
      <c r="AA107" s="456"/>
      <c r="AB107" s="456"/>
      <c r="AC107" s="456"/>
      <c r="AD107" s="456"/>
      <c r="AE107" s="456"/>
      <c r="AF107" s="456"/>
      <c r="AG107" s="456"/>
      <c r="AH107" s="456"/>
      <c r="AI107" s="456"/>
      <c r="AJ107" s="456"/>
      <c r="AK107" s="456"/>
      <c r="AL107" s="456"/>
    </row>
    <row r="108" spans="1:39">
      <c r="B108" s="456"/>
      <c r="C108" s="456"/>
      <c r="D108" s="456"/>
      <c r="E108" s="456"/>
      <c r="F108" s="456"/>
      <c r="G108" s="456"/>
      <c r="H108" s="456"/>
      <c r="I108" s="456"/>
      <c r="J108" s="456"/>
      <c r="K108" s="456"/>
      <c r="L108" s="456"/>
      <c r="M108" s="456"/>
      <c r="N108" s="456"/>
      <c r="O108" s="456"/>
      <c r="P108" s="456"/>
      <c r="Q108" s="456"/>
      <c r="R108" s="456"/>
      <c r="S108" s="456"/>
      <c r="U108" s="456"/>
      <c r="V108" s="456"/>
      <c r="W108" s="456"/>
      <c r="X108" s="456"/>
      <c r="Y108" s="456"/>
      <c r="Z108" s="456"/>
      <c r="AA108" s="456"/>
      <c r="AB108" s="456"/>
      <c r="AC108" s="456"/>
      <c r="AD108" s="456"/>
      <c r="AE108" s="456"/>
      <c r="AF108" s="456"/>
      <c r="AG108" s="456"/>
      <c r="AH108" s="456"/>
      <c r="AI108" s="456"/>
      <c r="AJ108" s="456"/>
      <c r="AK108" s="456"/>
      <c r="AL108" s="456"/>
    </row>
    <row r="109" spans="1:39">
      <c r="B109" s="456"/>
      <c r="C109" s="456"/>
      <c r="D109" s="456"/>
      <c r="E109" s="456"/>
      <c r="F109" s="456"/>
      <c r="G109" s="456"/>
      <c r="H109" s="456"/>
      <c r="I109" s="456"/>
      <c r="J109" s="456"/>
      <c r="K109" s="456"/>
      <c r="L109" s="456"/>
      <c r="M109" s="456"/>
      <c r="N109" s="456"/>
      <c r="O109" s="456"/>
      <c r="P109" s="456"/>
      <c r="Q109" s="456"/>
      <c r="R109" s="456"/>
      <c r="S109" s="456"/>
      <c r="U109" s="456"/>
      <c r="V109" s="456"/>
      <c r="W109" s="456"/>
      <c r="X109" s="456"/>
      <c r="Y109" s="456"/>
      <c r="Z109" s="456"/>
      <c r="AA109" s="456"/>
      <c r="AB109" s="456"/>
      <c r="AC109" s="456"/>
      <c r="AD109" s="456"/>
      <c r="AE109" s="456"/>
      <c r="AF109" s="456"/>
      <c r="AG109" s="456"/>
      <c r="AH109" s="456"/>
      <c r="AI109" s="456"/>
      <c r="AJ109" s="456"/>
      <c r="AK109" s="456"/>
      <c r="AL109" s="456"/>
    </row>
    <row r="110" spans="1:39">
      <c r="B110" s="456"/>
      <c r="C110" s="456"/>
      <c r="D110" s="456"/>
      <c r="E110" s="456"/>
      <c r="F110" s="456"/>
      <c r="G110" s="456"/>
      <c r="H110" s="456"/>
      <c r="I110" s="456"/>
      <c r="J110" s="456"/>
      <c r="K110" s="456"/>
      <c r="L110" s="456"/>
      <c r="M110" s="456"/>
      <c r="N110" s="456"/>
      <c r="O110" s="456"/>
      <c r="P110" s="456"/>
      <c r="Q110" s="456"/>
      <c r="R110" s="456"/>
      <c r="S110" s="456"/>
      <c r="U110" s="456"/>
      <c r="V110" s="456"/>
      <c r="W110" s="456"/>
      <c r="X110" s="456"/>
      <c r="Y110" s="456"/>
      <c r="Z110" s="456"/>
      <c r="AA110" s="456"/>
      <c r="AB110" s="456"/>
      <c r="AC110" s="456"/>
      <c r="AD110" s="456"/>
      <c r="AE110" s="456"/>
      <c r="AF110" s="456"/>
      <c r="AG110" s="456"/>
      <c r="AH110" s="456"/>
      <c r="AI110" s="456"/>
      <c r="AJ110" s="456"/>
      <c r="AK110" s="456"/>
      <c r="AL110" s="456"/>
    </row>
  </sheetData>
  <mergeCells count="14">
    <mergeCell ref="B1:S1"/>
    <mergeCell ref="U1:AL1"/>
    <mergeCell ref="U2:W2"/>
    <mergeCell ref="X2:Z2"/>
    <mergeCell ref="AA2:AC2"/>
    <mergeCell ref="AD2:AF2"/>
    <mergeCell ref="AG2:AI2"/>
    <mergeCell ref="AJ2:AL2"/>
    <mergeCell ref="B2:D2"/>
    <mergeCell ref="E2:G2"/>
    <mergeCell ref="H2:J2"/>
    <mergeCell ref="K2:M2"/>
    <mergeCell ref="N2:P2"/>
    <mergeCell ref="Q2:S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8919A-0CB8-4CBA-812C-A00E5114B8F0}">
  <dimension ref="A1:BK111"/>
  <sheetViews>
    <sheetView showGridLines="0" zoomScale="136" workbookViewId="0">
      <pane ySplit="3" topLeftCell="A4" activePane="bottomLeft" state="frozen"/>
      <selection pane="bottomLeft" activeCell="A72" sqref="A72"/>
    </sheetView>
  </sheetViews>
  <sheetFormatPr baseColWidth="10" defaultColWidth="15.83203125" defaultRowHeight="12" outlineLevelRow="2" outlineLevelCol="2"/>
  <cols>
    <col min="1" max="1" width="22.33203125" style="513" customWidth="1"/>
    <col min="2" max="2" width="10.5" style="513" hidden="1" customWidth="1" outlineLevel="2"/>
    <col min="3" max="3" width="10" style="513" hidden="1" customWidth="1" outlineLevel="2"/>
    <col min="4" max="4" width="10.5" style="513" hidden="1" customWidth="1" outlineLevel="2"/>
    <col min="5" max="6" width="10" style="513" hidden="1" customWidth="1" outlineLevel="2"/>
    <col min="7" max="7" width="9.83203125" style="513" hidden="1" customWidth="1" outlineLevel="2"/>
    <col min="8" max="8" width="6.5" style="514" customWidth="1" outlineLevel="2"/>
    <col min="9" max="9" width="10.5" style="513" customWidth="1" outlineLevel="2"/>
    <col min="10" max="10" width="9.5" style="513" customWidth="1" outlineLevel="2"/>
    <col min="11" max="11" width="10.5" style="513" customWidth="1" outlineLevel="2"/>
    <col min="12" max="12" width="9" style="513" customWidth="1" outlineLevel="2"/>
    <col min="13" max="13" width="9.5" style="513" hidden="1" customWidth="1" outlineLevel="2"/>
    <col min="14" max="14" width="9.83203125" style="513" customWidth="1" outlineLevel="2"/>
    <col min="15" max="15" width="5.1640625" style="513" customWidth="1" outlineLevel="2"/>
    <col min="16" max="16" width="6.83203125" style="513" customWidth="1" outlineLevel="2"/>
    <col min="17" max="17" width="6" style="513" customWidth="1" outlineLevel="2"/>
    <col min="18" max="19" width="7.6640625" style="513" customWidth="1" outlineLevel="2"/>
    <col min="20" max="20" width="7.83203125" style="513" hidden="1" customWidth="1" outlineLevel="2"/>
    <col min="21" max="21" width="9" style="513" customWidth="1" outlineLevel="2"/>
    <col min="22" max="22" width="4" style="513" customWidth="1" outlineLevel="1"/>
    <col min="23" max="23" width="10.5" style="513" customWidth="1" outlineLevel="1"/>
    <col min="24" max="25" width="9.5" style="513" customWidth="1" outlineLevel="1"/>
    <col min="26" max="26" width="8" style="513" customWidth="1" outlineLevel="1"/>
    <col min="27" max="27" width="9.33203125" style="513" customWidth="1" outlineLevel="1"/>
    <col min="28" max="28" width="10.1640625" style="513" customWidth="1" outlineLevel="1"/>
    <col min="29" max="29" width="10.5" style="513" customWidth="1" outlineLevel="1"/>
    <col min="30" max="30" width="6" style="513" customWidth="1" outlineLevel="2"/>
    <col min="31" max="32" width="5.1640625" style="513" customWidth="1" outlineLevel="2"/>
    <col min="33" max="33" width="5.33203125" style="513" customWidth="1" outlineLevel="2"/>
    <col min="34" max="34" width="7.83203125" style="513" customWidth="1" outlineLevel="2"/>
    <col min="35" max="35" width="9" style="513" customWidth="1" outlineLevel="2"/>
    <col min="36" max="36" width="12" style="513" customWidth="1"/>
    <col min="37" max="37" width="9.83203125" style="513" bestFit="1" customWidth="1"/>
    <col min="38" max="39" width="9.5" style="513" bestFit="1" customWidth="1"/>
    <col min="40" max="40" width="8.33203125" style="513" bestFit="1" customWidth="1"/>
    <col min="41" max="41" width="9.5" style="513" bestFit="1" customWidth="1"/>
    <col min="42" max="42" width="9.83203125" style="513" bestFit="1" customWidth="1"/>
    <col min="43" max="43" width="8" style="513" customWidth="1"/>
    <col min="44" max="44" width="6" style="513" customWidth="1" outlineLevel="2"/>
    <col min="45" max="46" width="6" style="513" bestFit="1" customWidth="1" outlineLevel="2"/>
    <col min="47" max="47" width="5.33203125" style="513" customWidth="1" outlineLevel="2"/>
    <col min="48" max="48" width="7.83203125" style="513" customWidth="1" outlineLevel="2"/>
    <col min="49" max="49" width="9" style="513" customWidth="1" outlineLevel="2"/>
    <col min="50" max="50" width="11.83203125" style="513" customWidth="1"/>
    <col min="51" max="51" width="9.83203125" style="513" bestFit="1" customWidth="1"/>
    <col min="52" max="53" width="9.5" style="513" bestFit="1" customWidth="1"/>
    <col min="54" max="54" width="9" style="513" bestFit="1" customWidth="1"/>
    <col min="55" max="55" width="9.5" style="513" bestFit="1" customWidth="1"/>
    <col min="56" max="56" width="9.83203125" style="513" bestFit="1" customWidth="1"/>
    <col min="57" max="57" width="11.6640625" style="513" customWidth="1"/>
    <col min="58" max="61" width="5.6640625" style="513" bestFit="1" customWidth="1" outlineLevel="2"/>
    <col min="62" max="62" width="7.83203125" style="513" bestFit="1" customWidth="1" outlineLevel="2"/>
    <col min="63" max="63" width="9" style="513" bestFit="1" customWidth="1" outlineLevel="2"/>
    <col min="64" max="16384" width="15.83203125" style="513"/>
  </cols>
  <sheetData>
    <row r="1" spans="1:63" ht="16" customHeight="1">
      <c r="A1" s="11" t="s">
        <v>154</v>
      </c>
      <c r="B1" s="13"/>
      <c r="C1" s="13"/>
      <c r="D1" s="13"/>
      <c r="E1" s="13"/>
      <c r="F1" s="13"/>
      <c r="G1" s="13"/>
      <c r="H1" s="181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</row>
    <row r="2" spans="1:63">
      <c r="A2" s="11"/>
      <c r="B2" s="545" t="s">
        <v>155</v>
      </c>
      <c r="C2" s="545"/>
      <c r="D2" s="545"/>
      <c r="E2" s="545"/>
      <c r="F2" s="545"/>
      <c r="G2" s="545"/>
      <c r="H2" s="181"/>
      <c r="I2" s="545" t="s">
        <v>39</v>
      </c>
      <c r="J2" s="545"/>
      <c r="K2" s="545"/>
      <c r="L2" s="545"/>
      <c r="M2" s="545"/>
      <c r="N2" s="545"/>
      <c r="O2" s="13"/>
      <c r="P2" s="545" t="s">
        <v>156</v>
      </c>
      <c r="Q2" s="545"/>
      <c r="R2" s="545"/>
      <c r="S2" s="545"/>
      <c r="T2" s="545"/>
      <c r="U2" s="545"/>
      <c r="V2" s="13"/>
      <c r="W2" s="545" t="s">
        <v>81</v>
      </c>
      <c r="X2" s="545"/>
      <c r="Y2" s="545"/>
      <c r="Z2" s="545"/>
      <c r="AA2" s="545"/>
      <c r="AB2" s="545"/>
      <c r="AC2" s="13"/>
      <c r="AD2" s="545" t="s">
        <v>157</v>
      </c>
      <c r="AE2" s="545"/>
      <c r="AF2" s="545"/>
      <c r="AG2" s="545"/>
      <c r="AH2" s="545"/>
      <c r="AI2" s="545"/>
      <c r="AJ2" s="13"/>
      <c r="AK2" s="543" t="s">
        <v>158</v>
      </c>
      <c r="AL2" s="543"/>
      <c r="AM2" s="543"/>
      <c r="AN2" s="543"/>
      <c r="AO2" s="543"/>
      <c r="AP2" s="543"/>
      <c r="AQ2" s="13"/>
      <c r="AR2" s="543" t="s">
        <v>159</v>
      </c>
      <c r="AS2" s="543"/>
      <c r="AT2" s="543"/>
      <c r="AU2" s="543"/>
      <c r="AV2" s="543"/>
      <c r="AW2" s="543"/>
      <c r="AX2" s="13"/>
      <c r="AY2" s="544" t="s">
        <v>160</v>
      </c>
      <c r="AZ2" s="544"/>
      <c r="BA2" s="544"/>
      <c r="BB2" s="544"/>
      <c r="BC2" s="544"/>
      <c r="BD2" s="544"/>
      <c r="BE2" s="13"/>
      <c r="BF2" s="544" t="s">
        <v>161</v>
      </c>
      <c r="BG2" s="544"/>
      <c r="BH2" s="544"/>
      <c r="BI2" s="544"/>
      <c r="BJ2" s="544"/>
      <c r="BK2" s="544"/>
    </row>
    <row r="3" spans="1:63">
      <c r="A3" s="13"/>
      <c r="B3" s="13" t="s">
        <v>64</v>
      </c>
      <c r="C3" s="13" t="s">
        <v>65</v>
      </c>
      <c r="D3" s="13" t="s">
        <v>66</v>
      </c>
      <c r="E3" s="13" t="s">
        <v>67</v>
      </c>
      <c r="F3" s="13" t="s">
        <v>162</v>
      </c>
      <c r="G3" s="13" t="s">
        <v>78</v>
      </c>
      <c r="H3" s="181"/>
      <c r="I3" s="13" t="s">
        <v>64</v>
      </c>
      <c r="J3" s="13" t="s">
        <v>65</v>
      </c>
      <c r="K3" s="13" t="s">
        <v>66</v>
      </c>
      <c r="L3" s="13" t="s">
        <v>67</v>
      </c>
      <c r="M3" s="13" t="s">
        <v>162</v>
      </c>
      <c r="N3" s="13" t="s">
        <v>78</v>
      </c>
      <c r="O3" s="13"/>
      <c r="P3" s="13" t="s">
        <v>64</v>
      </c>
      <c r="Q3" s="13" t="s">
        <v>65</v>
      </c>
      <c r="R3" s="13" t="s">
        <v>66</v>
      </c>
      <c r="S3" s="13" t="s">
        <v>67</v>
      </c>
      <c r="T3" s="13" t="s">
        <v>162</v>
      </c>
      <c r="U3" s="13" t="s">
        <v>78</v>
      </c>
      <c r="V3" s="13"/>
      <c r="W3" s="13" t="s">
        <v>64</v>
      </c>
      <c r="X3" s="13" t="s">
        <v>65</v>
      </c>
      <c r="Y3" s="13" t="s">
        <v>66</v>
      </c>
      <c r="Z3" s="13" t="s">
        <v>67</v>
      </c>
      <c r="AA3" s="13" t="s">
        <v>162</v>
      </c>
      <c r="AB3" s="13" t="s">
        <v>78</v>
      </c>
      <c r="AC3" s="13"/>
      <c r="AD3" s="13" t="s">
        <v>64</v>
      </c>
      <c r="AE3" s="13" t="s">
        <v>65</v>
      </c>
      <c r="AF3" s="13" t="s">
        <v>66</v>
      </c>
      <c r="AG3" s="13" t="s">
        <v>67</v>
      </c>
      <c r="AH3" s="13" t="s">
        <v>162</v>
      </c>
      <c r="AI3" s="13" t="s">
        <v>78</v>
      </c>
      <c r="AJ3" s="13"/>
      <c r="AK3" s="13" t="s">
        <v>64</v>
      </c>
      <c r="AL3" s="13" t="s">
        <v>65</v>
      </c>
      <c r="AM3" s="13" t="s">
        <v>66</v>
      </c>
      <c r="AN3" s="13" t="s">
        <v>67</v>
      </c>
      <c r="AO3" s="13" t="s">
        <v>162</v>
      </c>
      <c r="AP3" s="13" t="s">
        <v>78</v>
      </c>
      <c r="AQ3" s="13"/>
      <c r="AR3" s="13" t="s">
        <v>64</v>
      </c>
      <c r="AS3" s="13" t="s">
        <v>65</v>
      </c>
      <c r="AT3" s="13" t="s">
        <v>66</v>
      </c>
      <c r="AU3" s="13" t="s">
        <v>67</v>
      </c>
      <c r="AV3" s="13" t="s">
        <v>162</v>
      </c>
      <c r="AW3" s="13" t="s">
        <v>78</v>
      </c>
      <c r="AX3" s="13"/>
      <c r="AY3" s="13" t="s">
        <v>64</v>
      </c>
      <c r="AZ3" s="13" t="s">
        <v>65</v>
      </c>
      <c r="BA3" s="13" t="s">
        <v>66</v>
      </c>
      <c r="BB3" s="13" t="s">
        <v>67</v>
      </c>
      <c r="BC3" s="13" t="s">
        <v>162</v>
      </c>
      <c r="BD3" s="13" t="s">
        <v>78</v>
      </c>
      <c r="BE3" s="13"/>
      <c r="BF3" s="13" t="s">
        <v>64</v>
      </c>
      <c r="BG3" s="13" t="s">
        <v>65</v>
      </c>
      <c r="BH3" s="13" t="s">
        <v>66</v>
      </c>
      <c r="BI3" s="13" t="s">
        <v>67</v>
      </c>
      <c r="BJ3" s="13" t="s">
        <v>162</v>
      </c>
      <c r="BK3" s="13" t="s">
        <v>78</v>
      </c>
    </row>
    <row r="4" spans="1:63" outlineLevel="1">
      <c r="A4" s="17" t="s">
        <v>82</v>
      </c>
      <c r="B4" s="13"/>
      <c r="C4" s="13"/>
      <c r="D4" s="13"/>
      <c r="E4" s="13"/>
      <c r="F4" s="13"/>
      <c r="G4" s="13"/>
      <c r="H4" s="181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</row>
    <row r="5" spans="1:63" outlineLevel="1">
      <c r="A5" s="13"/>
      <c r="B5" s="13"/>
      <c r="C5" s="13"/>
      <c r="D5" s="13"/>
      <c r="E5" s="13"/>
      <c r="F5" s="13"/>
      <c r="G5" s="13"/>
      <c r="H5" s="181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</row>
    <row r="6" spans="1:63" outlineLevel="1">
      <c r="A6" s="13" t="s">
        <v>83</v>
      </c>
      <c r="B6" s="83">
        <v>2202796</v>
      </c>
      <c r="C6" s="83">
        <v>1152910</v>
      </c>
      <c r="D6" s="83">
        <v>4950711</v>
      </c>
      <c r="E6" s="83">
        <v>46598</v>
      </c>
      <c r="F6" s="83"/>
      <c r="G6" s="83">
        <v>8353015</v>
      </c>
      <c r="H6" s="532"/>
      <c r="I6" s="83">
        <v>4837985.8318913663</v>
      </c>
      <c r="J6" s="83">
        <v>1666198.3103759601</v>
      </c>
      <c r="K6" s="83">
        <v>6022814.5092166699</v>
      </c>
      <c r="L6" s="83">
        <v>0</v>
      </c>
      <c r="M6" s="83"/>
      <c r="N6" s="83">
        <v>12526998.651483998</v>
      </c>
      <c r="O6" s="83"/>
      <c r="P6" s="89">
        <f>IFERROR((I6-B6)/B6,0)</f>
        <v>1.1962931800726742</v>
      </c>
      <c r="Q6" s="89">
        <f t="shared" ref="Q6:U9" si="0">IFERROR((J6-C6)/C6,0)</f>
        <v>0.44521108358498068</v>
      </c>
      <c r="R6" s="89">
        <f t="shared" si="0"/>
        <v>0.21655546227939176</v>
      </c>
      <c r="S6" s="89">
        <f t="shared" si="0"/>
        <v>-1</v>
      </c>
      <c r="T6" s="89">
        <f t="shared" si="0"/>
        <v>0</v>
      </c>
      <c r="U6" s="89">
        <f t="shared" si="0"/>
        <v>0.49969785179171805</v>
      </c>
      <c r="V6" s="89"/>
      <c r="W6" s="522">
        <v>11107766.291333536</v>
      </c>
      <c r="X6" s="522">
        <v>3483235.1957481103</v>
      </c>
      <c r="Y6" s="522">
        <v>6936063.2018761011</v>
      </c>
      <c r="Z6" s="522">
        <v>0</v>
      </c>
      <c r="AA6" s="533"/>
      <c r="AB6" s="522">
        <v>21527064.688957747</v>
      </c>
      <c r="AC6" s="13"/>
      <c r="AD6" s="89">
        <f t="shared" ref="AD6:AI9" si="1">IFERROR((W6-I6)/I6,0)</f>
        <v>1.2959484953661091</v>
      </c>
      <c r="AE6" s="89">
        <f t="shared" si="1"/>
        <v>1.0905285847770156</v>
      </c>
      <c r="AF6" s="89">
        <f t="shared" si="1"/>
        <v>0.15163154888165545</v>
      </c>
      <c r="AG6" s="89">
        <f t="shared" si="1"/>
        <v>0</v>
      </c>
      <c r="AH6" s="89">
        <f t="shared" si="1"/>
        <v>0</v>
      </c>
      <c r="AI6" s="89">
        <f t="shared" si="1"/>
        <v>0.71845350094354532</v>
      </c>
      <c r="AJ6" s="13"/>
      <c r="AK6" s="522">
        <v>5004917.5114043299</v>
      </c>
      <c r="AL6" s="522">
        <v>2163434.509009012</v>
      </c>
      <c r="AM6" s="522">
        <v>6437527.5690760305</v>
      </c>
      <c r="AN6" s="522">
        <v>0</v>
      </c>
      <c r="AO6" s="533"/>
      <c r="AP6" s="522">
        <v>13605879.589489374</v>
      </c>
      <c r="AQ6" s="13"/>
      <c r="AR6" s="89">
        <f t="shared" ref="AR6:AW9" si="2">IFERROR((AK6-B6)/B6,0)</f>
        <v>1.2720749045323898</v>
      </c>
      <c r="AS6" s="89">
        <f t="shared" si="2"/>
        <v>0.87649904069616191</v>
      </c>
      <c r="AT6" s="89">
        <f t="shared" si="2"/>
        <v>0.30032384622653807</v>
      </c>
      <c r="AU6" s="89">
        <f t="shared" si="2"/>
        <v>-1</v>
      </c>
      <c r="AV6" s="89">
        <f t="shared" si="2"/>
        <v>0</v>
      </c>
      <c r="AW6" s="89">
        <f t="shared" si="2"/>
        <v>0.62885851270342197</v>
      </c>
      <c r="AX6" s="13"/>
      <c r="AY6" s="522">
        <v>11345162.291333536</v>
      </c>
      <c r="AZ6" s="522">
        <v>5147771.5580842709</v>
      </c>
      <c r="BA6" s="522">
        <v>7466237.1808366887</v>
      </c>
      <c r="BB6" s="522">
        <v>0</v>
      </c>
      <c r="BC6" s="533"/>
      <c r="BD6" s="522">
        <v>23959171.030254502</v>
      </c>
      <c r="BE6" s="13"/>
      <c r="BF6" s="89">
        <f t="shared" ref="BF6:BK9" si="3">IFERROR((AY6-I6)/I6,0)</f>
        <v>1.345017675857527</v>
      </c>
      <c r="BG6" s="89">
        <f t="shared" si="3"/>
        <v>2.0895311356561934</v>
      </c>
      <c r="BH6" s="89">
        <f t="shared" si="3"/>
        <v>0.23965916091408085</v>
      </c>
      <c r="BI6" s="89">
        <f t="shared" si="3"/>
        <v>0</v>
      </c>
      <c r="BJ6" s="89">
        <f t="shared" si="3"/>
        <v>0</v>
      </c>
      <c r="BK6" s="89">
        <f t="shared" si="3"/>
        <v>0.91260266699367798</v>
      </c>
    </row>
    <row r="7" spans="1:63" outlineLevel="1">
      <c r="A7" s="13" t="s">
        <v>84</v>
      </c>
      <c r="B7" s="83">
        <v>3596822</v>
      </c>
      <c r="C7" s="83">
        <v>1243001</v>
      </c>
      <c r="D7" s="83">
        <v>642857</v>
      </c>
      <c r="E7" s="83">
        <v>1146191</v>
      </c>
      <c r="F7" s="83"/>
      <c r="G7" s="83">
        <v>6628963</v>
      </c>
      <c r="H7" s="532"/>
      <c r="I7" s="83">
        <v>4178100.7957414505</v>
      </c>
      <c r="J7" s="83">
        <v>1803733.2248296586</v>
      </c>
      <c r="K7" s="83">
        <v>817347.16395362793</v>
      </c>
      <c r="L7" s="83">
        <v>768617.30800000008</v>
      </c>
      <c r="M7" s="83"/>
      <c r="N7" s="83">
        <v>7567798.4925247375</v>
      </c>
      <c r="O7" s="83"/>
      <c r="P7" s="89">
        <f t="shared" ref="P7:P9" si="4">IFERROR((I7-B7)/B7,0)</f>
        <v>0.16160899698162726</v>
      </c>
      <c r="Q7" s="89">
        <f t="shared" si="0"/>
        <v>0.45111164418182981</v>
      </c>
      <c r="R7" s="89">
        <f t="shared" si="0"/>
        <v>0.27142920424546663</v>
      </c>
      <c r="S7" s="89">
        <f t="shared" si="0"/>
        <v>-0.32941603275544817</v>
      </c>
      <c r="T7" s="89">
        <f t="shared" si="0"/>
        <v>0</v>
      </c>
      <c r="U7" s="89">
        <f t="shared" si="0"/>
        <v>0.14162629849114219</v>
      </c>
      <c r="V7" s="533"/>
      <c r="W7" s="522">
        <v>4971270.330919411</v>
      </c>
      <c r="X7" s="522">
        <v>2592839.9005162674</v>
      </c>
      <c r="Y7" s="522">
        <v>925414.5221513093</v>
      </c>
      <c r="Z7" s="522">
        <v>795421.62080000003</v>
      </c>
      <c r="AA7" s="533"/>
      <c r="AB7" s="522">
        <v>9284946.3743869886</v>
      </c>
      <c r="AC7" s="13"/>
      <c r="AD7" s="89">
        <f t="shared" si="1"/>
        <v>0.18983973196300158</v>
      </c>
      <c r="AE7" s="89">
        <f t="shared" si="1"/>
        <v>0.43748524716626574</v>
      </c>
      <c r="AF7" s="89">
        <f t="shared" si="1"/>
        <v>0.13221720581367621</v>
      </c>
      <c r="AG7" s="89">
        <f t="shared" si="1"/>
        <v>3.4873418177046769E-2</v>
      </c>
      <c r="AH7" s="89">
        <f t="shared" si="1"/>
        <v>0</v>
      </c>
      <c r="AI7" s="89">
        <f t="shared" si="1"/>
        <v>0.22690190331552859</v>
      </c>
      <c r="AJ7" s="13"/>
      <c r="AK7" s="522">
        <v>4788173.5206093825</v>
      </c>
      <c r="AL7" s="522">
        <v>2353893.252822753</v>
      </c>
      <c r="AM7" s="522">
        <v>840943.39527866908</v>
      </c>
      <c r="AN7" s="522">
        <v>417314.65360025567</v>
      </c>
      <c r="AO7" s="533"/>
      <c r="AP7" s="522">
        <v>8371647.5760587137</v>
      </c>
      <c r="AQ7" s="13"/>
      <c r="AR7" s="89">
        <f t="shared" si="2"/>
        <v>0.33122337458161194</v>
      </c>
      <c r="AS7" s="89">
        <f t="shared" si="2"/>
        <v>0.89371790756624736</v>
      </c>
      <c r="AT7" s="89">
        <f t="shared" si="2"/>
        <v>0.30813446113003218</v>
      </c>
      <c r="AU7" s="89">
        <f t="shared" si="2"/>
        <v>-0.63591176898068846</v>
      </c>
      <c r="AV7" s="89">
        <f t="shared" si="2"/>
        <v>0</v>
      </c>
      <c r="AW7" s="89">
        <f t="shared" si="2"/>
        <v>0.2628894709562738</v>
      </c>
      <c r="AX7" s="13"/>
      <c r="AY7" s="522">
        <v>4662436.1832804792</v>
      </c>
      <c r="AZ7" s="522">
        <v>3911143.9824435087</v>
      </c>
      <c r="BA7" s="522">
        <v>919490.5650426026</v>
      </c>
      <c r="BB7" s="522">
        <v>1840320.5789600003</v>
      </c>
      <c r="BC7" s="533"/>
      <c r="BD7" s="522">
        <v>10438438.208883628</v>
      </c>
      <c r="BE7" s="13"/>
      <c r="BF7" s="89">
        <f t="shared" si="3"/>
        <v>0.11592237986041166</v>
      </c>
      <c r="BG7" s="89">
        <f t="shared" si="3"/>
        <v>1.1683605583153074</v>
      </c>
      <c r="BH7" s="89">
        <f t="shared" si="3"/>
        <v>0.1249694200869213</v>
      </c>
      <c r="BI7" s="89">
        <f t="shared" si="3"/>
        <v>1.3943262268561876</v>
      </c>
      <c r="BJ7" s="89">
        <f t="shared" si="3"/>
        <v>0</v>
      </c>
      <c r="BK7" s="89">
        <f t="shared" si="3"/>
        <v>0.37932295887561351</v>
      </c>
    </row>
    <row r="8" spans="1:63" outlineLevel="1">
      <c r="A8" s="13" t="s">
        <v>85</v>
      </c>
      <c r="B8" s="83">
        <v>2217136</v>
      </c>
      <c r="C8" s="83">
        <v>605926</v>
      </c>
      <c r="D8" s="83"/>
      <c r="E8" s="83">
        <v>131537</v>
      </c>
      <c r="F8" s="83"/>
      <c r="G8" s="83">
        <v>2955853</v>
      </c>
      <c r="H8" s="532"/>
      <c r="I8" s="83">
        <v>2346062.77</v>
      </c>
      <c r="J8" s="83">
        <v>832076.01463829796</v>
      </c>
      <c r="K8" s="83">
        <v>0</v>
      </c>
      <c r="L8" s="83">
        <v>126298.76</v>
      </c>
      <c r="M8" s="83"/>
      <c r="N8" s="83">
        <v>3304437.544638298</v>
      </c>
      <c r="O8" s="83"/>
      <c r="P8" s="89">
        <f t="shared" si="4"/>
        <v>5.8150140541671787E-2</v>
      </c>
      <c r="Q8" s="89">
        <f t="shared" si="0"/>
        <v>0.37323041862916917</v>
      </c>
      <c r="R8" s="89">
        <f t="shared" si="0"/>
        <v>0</v>
      </c>
      <c r="S8" s="89">
        <f t="shared" si="0"/>
        <v>-3.9823319674312213E-2</v>
      </c>
      <c r="T8" s="89">
        <f t="shared" si="0"/>
        <v>0</v>
      </c>
      <c r="U8" s="89">
        <f t="shared" si="0"/>
        <v>0.11793027076728714</v>
      </c>
      <c r="V8" s="533"/>
      <c r="W8" s="522">
        <v>2369523.3976999996</v>
      </c>
      <c r="X8" s="522">
        <v>1007585.7801712125</v>
      </c>
      <c r="Y8" s="522">
        <v>0</v>
      </c>
      <c r="Z8" s="522">
        <v>126298.76</v>
      </c>
      <c r="AA8" s="533"/>
      <c r="AB8" s="522">
        <v>3503407.9378712126</v>
      </c>
      <c r="AC8" s="13"/>
      <c r="AD8" s="89">
        <f t="shared" si="1"/>
        <v>9.9999999999998319E-3</v>
      </c>
      <c r="AE8" s="89">
        <f t="shared" si="1"/>
        <v>0.2109299660671127</v>
      </c>
      <c r="AF8" s="89">
        <f t="shared" si="1"/>
        <v>0</v>
      </c>
      <c r="AG8" s="89">
        <f t="shared" si="1"/>
        <v>0</v>
      </c>
      <c r="AH8" s="89">
        <f t="shared" si="1"/>
        <v>0</v>
      </c>
      <c r="AI8" s="89">
        <f t="shared" si="1"/>
        <v>6.0213089382112624E-2</v>
      </c>
      <c r="AJ8" s="13"/>
      <c r="AK8" s="522">
        <v>2551162</v>
      </c>
      <c r="AL8" s="522">
        <v>1334223.9200000002</v>
      </c>
      <c r="AM8" s="522">
        <v>0</v>
      </c>
      <c r="AN8" s="522">
        <v>126298.76</v>
      </c>
      <c r="AO8" s="533"/>
      <c r="AP8" s="522">
        <v>4011684.6799999997</v>
      </c>
      <c r="AQ8" s="13"/>
      <c r="AR8" s="89">
        <f t="shared" si="2"/>
        <v>0.15065652264903912</v>
      </c>
      <c r="AS8" s="89">
        <f t="shared" si="2"/>
        <v>1.2019585229879559</v>
      </c>
      <c r="AT8" s="89">
        <f t="shared" si="2"/>
        <v>0</v>
      </c>
      <c r="AU8" s="89">
        <f t="shared" si="2"/>
        <v>-3.9823319674312213E-2</v>
      </c>
      <c r="AV8" s="89">
        <f t="shared" si="2"/>
        <v>0</v>
      </c>
      <c r="AW8" s="89">
        <f t="shared" si="2"/>
        <v>0.35720033438740006</v>
      </c>
      <c r="AX8" s="13"/>
      <c r="AY8" s="522">
        <v>2576673.62</v>
      </c>
      <c r="AZ8" s="522">
        <v>2339971.85687334</v>
      </c>
      <c r="BA8" s="522">
        <v>0</v>
      </c>
      <c r="BB8" s="522">
        <v>126298.76</v>
      </c>
      <c r="BC8" s="533"/>
      <c r="BD8" s="522">
        <v>5042944.2368733399</v>
      </c>
      <c r="BE8" s="13"/>
      <c r="BF8" s="89">
        <f t="shared" si="3"/>
        <v>9.8296965004052342E-2</v>
      </c>
      <c r="BG8" s="89">
        <f t="shared" si="3"/>
        <v>1.8122092401503989</v>
      </c>
      <c r="BH8" s="89">
        <f t="shared" si="3"/>
        <v>0</v>
      </c>
      <c r="BI8" s="89">
        <f t="shared" si="3"/>
        <v>0</v>
      </c>
      <c r="BJ8" s="89">
        <f t="shared" si="3"/>
        <v>0</v>
      </c>
      <c r="BK8" s="89">
        <f t="shared" si="3"/>
        <v>0.52611274044380163</v>
      </c>
    </row>
    <row r="9" spans="1:63" outlineLevel="1">
      <c r="A9" s="13" t="s">
        <v>86</v>
      </c>
      <c r="B9" s="83">
        <v>89872</v>
      </c>
      <c r="C9" s="83"/>
      <c r="D9" s="83"/>
      <c r="E9" s="83"/>
      <c r="F9" s="83"/>
      <c r="G9" s="83">
        <v>89872</v>
      </c>
      <c r="H9" s="532"/>
      <c r="I9" s="83">
        <v>0</v>
      </c>
      <c r="J9" s="83">
        <v>0</v>
      </c>
      <c r="K9" s="83">
        <v>0</v>
      </c>
      <c r="L9" s="83">
        <v>0</v>
      </c>
      <c r="M9" s="83"/>
      <c r="N9" s="83">
        <v>0</v>
      </c>
      <c r="O9" s="83"/>
      <c r="P9" s="89">
        <f t="shared" si="4"/>
        <v>-1</v>
      </c>
      <c r="Q9" s="89">
        <f t="shared" si="0"/>
        <v>0</v>
      </c>
      <c r="R9" s="89">
        <f t="shared" si="0"/>
        <v>0</v>
      </c>
      <c r="S9" s="89">
        <f t="shared" si="0"/>
        <v>0</v>
      </c>
      <c r="T9" s="89">
        <f t="shared" si="0"/>
        <v>0</v>
      </c>
      <c r="U9" s="89">
        <f t="shared" si="0"/>
        <v>-1</v>
      </c>
      <c r="V9" s="533"/>
      <c r="W9" s="522">
        <v>0</v>
      </c>
      <c r="X9" s="522">
        <v>0</v>
      </c>
      <c r="Y9" s="522">
        <v>0</v>
      </c>
      <c r="Z9" s="522">
        <v>0</v>
      </c>
      <c r="AA9" s="533"/>
      <c r="AB9" s="522">
        <v>0</v>
      </c>
      <c r="AC9" s="13"/>
      <c r="AD9" s="89">
        <f t="shared" si="1"/>
        <v>0</v>
      </c>
      <c r="AE9" s="89">
        <f t="shared" si="1"/>
        <v>0</v>
      </c>
      <c r="AF9" s="89">
        <f t="shared" si="1"/>
        <v>0</v>
      </c>
      <c r="AG9" s="89">
        <f t="shared" si="1"/>
        <v>0</v>
      </c>
      <c r="AH9" s="89">
        <f t="shared" si="1"/>
        <v>0</v>
      </c>
      <c r="AI9" s="89">
        <f t="shared" si="1"/>
        <v>0</v>
      </c>
      <c r="AJ9" s="13"/>
      <c r="AK9" s="522">
        <v>0</v>
      </c>
      <c r="AL9" s="522">
        <v>0</v>
      </c>
      <c r="AM9" s="522">
        <v>0</v>
      </c>
      <c r="AN9" s="522">
        <v>0</v>
      </c>
      <c r="AO9" s="533"/>
      <c r="AP9" s="522">
        <v>0</v>
      </c>
      <c r="AQ9" s="13"/>
      <c r="AR9" s="89">
        <f t="shared" si="2"/>
        <v>-1</v>
      </c>
      <c r="AS9" s="89">
        <f t="shared" si="2"/>
        <v>0</v>
      </c>
      <c r="AT9" s="89">
        <f t="shared" si="2"/>
        <v>0</v>
      </c>
      <c r="AU9" s="89">
        <f t="shared" si="2"/>
        <v>0</v>
      </c>
      <c r="AV9" s="89">
        <f t="shared" si="2"/>
        <v>0</v>
      </c>
      <c r="AW9" s="89">
        <f t="shared" si="2"/>
        <v>-1</v>
      </c>
      <c r="AX9" s="13"/>
      <c r="AY9" s="522">
        <v>0</v>
      </c>
      <c r="AZ9" s="522">
        <v>0</v>
      </c>
      <c r="BA9" s="522">
        <v>0</v>
      </c>
      <c r="BB9" s="522">
        <v>0</v>
      </c>
      <c r="BC9" s="533"/>
      <c r="BD9" s="522">
        <v>0</v>
      </c>
      <c r="BE9" s="13"/>
      <c r="BF9" s="89">
        <f t="shared" si="3"/>
        <v>0</v>
      </c>
      <c r="BG9" s="89">
        <f t="shared" si="3"/>
        <v>0</v>
      </c>
      <c r="BH9" s="89">
        <f t="shared" si="3"/>
        <v>0</v>
      </c>
      <c r="BI9" s="89">
        <f t="shared" si="3"/>
        <v>0</v>
      </c>
      <c r="BJ9" s="89">
        <f t="shared" si="3"/>
        <v>0</v>
      </c>
      <c r="BK9" s="89">
        <f t="shared" si="3"/>
        <v>0</v>
      </c>
    </row>
    <row r="10" spans="1:63" outlineLevel="1">
      <c r="A10" s="13"/>
      <c r="B10" s="83"/>
      <c r="C10" s="83"/>
      <c r="D10" s="83"/>
      <c r="E10" s="83"/>
      <c r="F10" s="83"/>
      <c r="G10" s="83"/>
      <c r="H10" s="532"/>
      <c r="I10" s="83"/>
      <c r="J10" s="83"/>
      <c r="K10" s="83"/>
      <c r="L10" s="83"/>
      <c r="M10" s="83"/>
      <c r="N10" s="83"/>
      <c r="O10" s="83"/>
      <c r="P10" s="83"/>
      <c r="Q10" s="83"/>
      <c r="R10" s="533"/>
      <c r="S10" s="533"/>
      <c r="T10" s="533"/>
      <c r="U10" s="533"/>
      <c r="V10" s="533"/>
      <c r="W10" s="83"/>
      <c r="X10" s="83"/>
      <c r="Y10" s="83"/>
      <c r="Z10" s="83"/>
      <c r="AA10" s="533"/>
      <c r="AB10" s="83"/>
      <c r="AC10" s="13"/>
      <c r="AD10" s="83"/>
      <c r="AE10" s="83"/>
      <c r="AF10" s="533"/>
      <c r="AG10" s="533"/>
      <c r="AH10" s="533"/>
      <c r="AI10" s="533"/>
      <c r="AJ10" s="13"/>
      <c r="AK10" s="522"/>
      <c r="AL10" s="83"/>
      <c r="AM10" s="83"/>
      <c r="AN10" s="83"/>
      <c r="AO10" s="533"/>
      <c r="AP10" s="83"/>
      <c r="AQ10" s="13"/>
      <c r="AR10" s="83"/>
      <c r="AS10" s="83"/>
      <c r="AT10" s="533"/>
      <c r="AU10" s="533"/>
      <c r="AV10" s="533"/>
      <c r="AW10" s="533"/>
      <c r="AX10" s="13"/>
      <c r="AY10" s="522"/>
      <c r="AZ10" s="83"/>
      <c r="BA10" s="83"/>
      <c r="BB10" s="83"/>
      <c r="BC10" s="533"/>
      <c r="BD10" s="83"/>
      <c r="BE10" s="13"/>
      <c r="BF10" s="83"/>
      <c r="BG10" s="83"/>
      <c r="BH10" s="533"/>
      <c r="BI10" s="533"/>
      <c r="BJ10" s="533"/>
      <c r="BK10" s="533"/>
    </row>
    <row r="11" spans="1:63">
      <c r="A11" s="11" t="s">
        <v>87</v>
      </c>
      <c r="B11" s="520">
        <v>8106625</v>
      </c>
      <c r="C11" s="520">
        <v>3001838</v>
      </c>
      <c r="D11" s="520">
        <v>5593568</v>
      </c>
      <c r="E11" s="520">
        <v>1324326</v>
      </c>
      <c r="F11" s="520"/>
      <c r="G11" s="520">
        <v>18027702</v>
      </c>
      <c r="H11" s="532"/>
      <c r="I11" s="520">
        <v>11362149.397632819</v>
      </c>
      <c r="J11" s="520">
        <v>4302007.5498439167</v>
      </c>
      <c r="K11" s="520">
        <v>6840161.6731702983</v>
      </c>
      <c r="L11" s="520">
        <v>894916.06800000009</v>
      </c>
      <c r="M11" s="520">
        <f>'Non Rev P&amp;L'!AF7</f>
        <v>0</v>
      </c>
      <c r="N11" s="520">
        <v>23399234.688647036</v>
      </c>
      <c r="O11" s="83"/>
      <c r="P11" s="89">
        <f t="shared" ref="P11:U11" si="5">IFERROR((I11-B11)/B11,0)</f>
        <v>0.40158813287068523</v>
      </c>
      <c r="Q11" s="89">
        <f t="shared" si="5"/>
        <v>0.43312448901103812</v>
      </c>
      <c r="R11" s="89">
        <f t="shared" si="5"/>
        <v>0.22286198597573112</v>
      </c>
      <c r="S11" s="89">
        <f t="shared" si="5"/>
        <v>-0.32424790572713963</v>
      </c>
      <c r="T11" s="89">
        <f t="shared" si="5"/>
        <v>0</v>
      </c>
      <c r="U11" s="89">
        <f t="shared" si="5"/>
        <v>0.29795992238206709</v>
      </c>
      <c r="V11" s="533"/>
      <c r="W11" s="520">
        <v>18448560.019952949</v>
      </c>
      <c r="X11" s="520">
        <v>7083660.8764355909</v>
      </c>
      <c r="Y11" s="520">
        <v>7861477.7240274092</v>
      </c>
      <c r="Z11" s="520">
        <v>921720.38080000016</v>
      </c>
      <c r="AA11" s="533"/>
      <c r="AB11" s="520">
        <v>34315419.00121595</v>
      </c>
      <c r="AC11" s="13"/>
      <c r="AD11" s="89">
        <f t="shared" ref="AD11:AI11" si="6">IFERROR((W11-I11)/I11,0)</f>
        <v>0.62368574592026649</v>
      </c>
      <c r="AE11" s="89">
        <f t="shared" si="6"/>
        <v>0.64659424567783397</v>
      </c>
      <c r="AF11" s="89">
        <f t="shared" si="6"/>
        <v>0.14931168291870919</v>
      </c>
      <c r="AG11" s="89">
        <f t="shared" si="6"/>
        <v>2.9951761688561021E-2</v>
      </c>
      <c r="AH11" s="89">
        <f t="shared" si="6"/>
        <v>0</v>
      </c>
      <c r="AI11" s="89">
        <f t="shared" si="6"/>
        <v>0.46651886088673172</v>
      </c>
      <c r="AJ11" s="13"/>
      <c r="AK11" s="524">
        <v>12344253.032013714</v>
      </c>
      <c r="AL11" s="520">
        <v>5851551.6818317659</v>
      </c>
      <c r="AM11" s="520">
        <v>7278470.9643546995</v>
      </c>
      <c r="AN11" s="520">
        <v>543613.41360025562</v>
      </c>
      <c r="AO11" s="533"/>
      <c r="AP11" s="520">
        <v>25989211.845548086</v>
      </c>
      <c r="AQ11" s="13"/>
      <c r="AR11" s="89">
        <f t="shared" ref="AR11:AW11" si="7">IFERROR((AK11-B11)/B11,0)</f>
        <v>0.52273640781628783</v>
      </c>
      <c r="AS11" s="89">
        <f t="shared" si="7"/>
        <v>0.94932294208806933</v>
      </c>
      <c r="AT11" s="89">
        <f t="shared" si="7"/>
        <v>0.30122150376194579</v>
      </c>
      <c r="AU11" s="89">
        <f t="shared" si="7"/>
        <v>-0.58951692136206979</v>
      </c>
      <c r="AV11" s="89">
        <f t="shared" si="7"/>
        <v>0</v>
      </c>
      <c r="AW11" s="89">
        <f t="shared" si="7"/>
        <v>0.44162643944015084</v>
      </c>
      <c r="AX11" s="13"/>
      <c r="AY11" s="524">
        <v>18584272.094614018</v>
      </c>
      <c r="AZ11" s="520">
        <v>11398887.397401121</v>
      </c>
      <c r="BA11" s="520">
        <v>8385727.7458792897</v>
      </c>
      <c r="BB11" s="520">
        <v>1966619.3389600001</v>
      </c>
      <c r="BC11" s="533"/>
      <c r="BD11" s="520">
        <v>39440553.476011455</v>
      </c>
      <c r="BE11" s="13"/>
      <c r="BF11" s="89">
        <f t="shared" ref="BF11:BK11" si="8">IFERROR((AY11-I11)/I11,0)</f>
        <v>0.63562997142828015</v>
      </c>
      <c r="BG11" s="89">
        <f t="shared" si="8"/>
        <v>1.6496669904297796</v>
      </c>
      <c r="BH11" s="89">
        <f t="shared" si="8"/>
        <v>0.22595461139044215</v>
      </c>
      <c r="BI11" s="89">
        <f t="shared" si="8"/>
        <v>1.1975461267055938</v>
      </c>
      <c r="BJ11" s="89">
        <f t="shared" si="8"/>
        <v>0</v>
      </c>
      <c r="BK11" s="89">
        <f t="shared" si="8"/>
        <v>0.68554886520059699</v>
      </c>
    </row>
    <row r="12" spans="1:63">
      <c r="A12" s="13"/>
      <c r="B12" s="83"/>
      <c r="C12" s="83"/>
      <c r="D12" s="83"/>
      <c r="E12" s="83"/>
      <c r="F12" s="83"/>
      <c r="G12" s="83"/>
      <c r="H12" s="532"/>
      <c r="I12" s="83"/>
      <c r="J12" s="83"/>
      <c r="K12" s="83"/>
      <c r="L12" s="83"/>
      <c r="M12" s="83"/>
      <c r="N12" s="83"/>
      <c r="O12" s="83"/>
      <c r="P12" s="83"/>
      <c r="Q12" s="83"/>
      <c r="R12" s="533"/>
      <c r="S12" s="533"/>
      <c r="T12" s="533"/>
      <c r="U12" s="533"/>
      <c r="V12" s="533"/>
      <c r="W12" s="83"/>
      <c r="X12" s="83"/>
      <c r="Y12" s="83"/>
      <c r="Z12" s="83"/>
      <c r="AA12" s="533"/>
      <c r="AB12" s="83"/>
      <c r="AC12" s="13"/>
      <c r="AD12" s="83"/>
      <c r="AE12" s="83"/>
      <c r="AF12" s="533"/>
      <c r="AG12" s="533"/>
      <c r="AH12" s="533"/>
      <c r="AI12" s="533"/>
      <c r="AJ12" s="13"/>
      <c r="AK12" s="83"/>
      <c r="AL12" s="83"/>
      <c r="AM12" s="83"/>
      <c r="AN12" s="83"/>
      <c r="AO12" s="533"/>
      <c r="AP12" s="83"/>
      <c r="AQ12" s="13"/>
      <c r="AR12" s="83"/>
      <c r="AS12" s="83"/>
      <c r="AT12" s="533"/>
      <c r="AU12" s="533"/>
      <c r="AV12" s="533"/>
      <c r="AW12" s="533"/>
      <c r="AX12" s="13"/>
      <c r="AY12" s="83"/>
      <c r="AZ12" s="83"/>
      <c r="BA12" s="83"/>
      <c r="BB12" s="83"/>
      <c r="BC12" s="533"/>
      <c r="BD12" s="83"/>
      <c r="BE12" s="13"/>
      <c r="BF12" s="83"/>
      <c r="BG12" s="83"/>
      <c r="BH12" s="533"/>
      <c r="BI12" s="533"/>
      <c r="BJ12" s="533"/>
      <c r="BK12" s="533"/>
    </row>
    <row r="13" spans="1:63" hidden="1" outlineLevel="1">
      <c r="A13" s="17" t="s">
        <v>88</v>
      </c>
      <c r="B13" s="83"/>
      <c r="C13" s="83"/>
      <c r="D13" s="83"/>
      <c r="E13" s="83"/>
      <c r="F13" s="83"/>
      <c r="G13" s="83"/>
      <c r="H13" s="532"/>
      <c r="I13" s="83"/>
      <c r="J13" s="83"/>
      <c r="K13" s="83"/>
      <c r="L13" s="83"/>
      <c r="M13" s="83"/>
      <c r="N13" s="83"/>
      <c r="O13" s="83"/>
      <c r="P13" s="83"/>
      <c r="Q13" s="83"/>
      <c r="R13" s="533"/>
      <c r="S13" s="533"/>
      <c r="T13" s="533"/>
      <c r="U13" s="533"/>
      <c r="V13" s="533"/>
      <c r="W13" s="83"/>
      <c r="X13" s="83"/>
      <c r="Y13" s="83"/>
      <c r="Z13" s="83"/>
      <c r="AA13" s="533"/>
      <c r="AB13" s="83"/>
      <c r="AC13" s="13"/>
      <c r="AD13" s="83"/>
      <c r="AE13" s="83"/>
      <c r="AF13" s="533"/>
      <c r="AG13" s="533"/>
      <c r="AH13" s="533"/>
      <c r="AI13" s="533"/>
      <c r="AJ13" s="13"/>
      <c r="AK13" s="83"/>
      <c r="AL13" s="83"/>
      <c r="AM13" s="83"/>
      <c r="AN13" s="83"/>
      <c r="AO13" s="533"/>
      <c r="AP13" s="83"/>
      <c r="AQ13" s="13"/>
      <c r="AR13" s="83"/>
      <c r="AS13" s="83"/>
      <c r="AT13" s="533"/>
      <c r="AU13" s="533"/>
      <c r="AV13" s="533"/>
      <c r="AW13" s="533"/>
      <c r="AX13" s="13"/>
      <c r="AY13" s="83"/>
      <c r="AZ13" s="83"/>
      <c r="BA13" s="83"/>
      <c r="BB13" s="83"/>
      <c r="BC13" s="533"/>
      <c r="BD13" s="83"/>
      <c r="BE13" s="13"/>
      <c r="BF13" s="83"/>
      <c r="BG13" s="83"/>
      <c r="BH13" s="533"/>
      <c r="BI13" s="533"/>
      <c r="BJ13" s="533"/>
      <c r="BK13" s="533"/>
    </row>
    <row r="14" spans="1:63" hidden="1" outlineLevel="1">
      <c r="A14" s="13"/>
      <c r="B14" s="83"/>
      <c r="C14" s="83"/>
      <c r="D14" s="83"/>
      <c r="E14" s="83"/>
      <c r="F14" s="83"/>
      <c r="G14" s="83"/>
      <c r="H14" s="532"/>
      <c r="I14" s="83"/>
      <c r="J14" s="83"/>
      <c r="K14" s="83"/>
      <c r="L14" s="83"/>
      <c r="M14" s="83"/>
      <c r="N14" s="83"/>
      <c r="O14" s="83"/>
      <c r="P14" s="83"/>
      <c r="Q14" s="83"/>
      <c r="R14" s="533"/>
      <c r="S14" s="533"/>
      <c r="T14" s="533"/>
      <c r="U14" s="533"/>
      <c r="V14" s="533"/>
      <c r="W14" s="83"/>
      <c r="X14" s="83"/>
      <c r="Y14" s="83"/>
      <c r="Z14" s="83"/>
      <c r="AA14" s="533"/>
      <c r="AB14" s="83"/>
      <c r="AC14" s="13"/>
      <c r="AD14" s="83"/>
      <c r="AE14" s="83"/>
      <c r="AF14" s="533"/>
      <c r="AG14" s="533"/>
      <c r="AH14" s="533"/>
      <c r="AI14" s="533"/>
      <c r="AJ14" s="13"/>
      <c r="AK14" s="83"/>
      <c r="AL14" s="83"/>
      <c r="AM14" s="83"/>
      <c r="AN14" s="83"/>
      <c r="AO14" s="533"/>
      <c r="AP14" s="83"/>
      <c r="AQ14" s="13"/>
      <c r="AR14" s="83"/>
      <c r="AS14" s="83"/>
      <c r="AT14" s="533"/>
      <c r="AU14" s="533"/>
      <c r="AV14" s="533"/>
      <c r="AW14" s="533"/>
      <c r="AX14" s="13"/>
      <c r="AY14" s="83"/>
      <c r="AZ14" s="83"/>
      <c r="BA14" s="83"/>
      <c r="BB14" s="83"/>
      <c r="BC14" s="533"/>
      <c r="BD14" s="83"/>
      <c r="BE14" s="13"/>
      <c r="BF14" s="83"/>
      <c r="BG14" s="83"/>
      <c r="BH14" s="533"/>
      <c r="BI14" s="533"/>
      <c r="BJ14" s="533"/>
      <c r="BK14" s="533"/>
    </row>
    <row r="15" spans="1:63" hidden="1" outlineLevel="1">
      <c r="A15" s="13" t="s">
        <v>89</v>
      </c>
      <c r="B15" s="83">
        <v>-529860</v>
      </c>
      <c r="C15" s="83">
        <v>-280038</v>
      </c>
      <c r="D15" s="83">
        <v>-1269852</v>
      </c>
      <c r="E15" s="83">
        <v>-6423</v>
      </c>
      <c r="F15" s="83">
        <v>26112</v>
      </c>
      <c r="G15" s="522">
        <v>-2095277</v>
      </c>
      <c r="H15" s="532"/>
      <c r="I15" s="83">
        <v>-1015977.024697187</v>
      </c>
      <c r="J15" s="83">
        <v>-399887.59449023049</v>
      </c>
      <c r="K15" s="83">
        <v>-1445475.4822120008</v>
      </c>
      <c r="L15" s="83">
        <v>0</v>
      </c>
      <c r="M15" s="83"/>
      <c r="N15" s="522">
        <v>-2861340.1013994184</v>
      </c>
      <c r="O15" s="83"/>
      <c r="P15" s="89">
        <f t="shared" ref="P15:P18" si="9">IFERROR((I15-B15)/B15,0)</f>
        <v>0.91744427716224475</v>
      </c>
      <c r="Q15" s="89">
        <f t="shared" ref="Q15:Q18" si="10">IFERROR((J15-C15)/C15,0)</f>
        <v>0.42797618355448364</v>
      </c>
      <c r="R15" s="89">
        <f t="shared" ref="R15:R18" si="11">IFERROR((K15-D15)/D15,0)</f>
        <v>0.13830232358731628</v>
      </c>
      <c r="S15" s="89">
        <f t="shared" ref="S15:S18" si="12">IFERROR((L15-E15)/E15,0)</f>
        <v>-1</v>
      </c>
      <c r="T15" s="89">
        <f t="shared" ref="T15:T18" si="13">IFERROR((M15-F15)/F15,0)</f>
        <v>-1</v>
      </c>
      <c r="U15" s="89">
        <f t="shared" ref="U15:U18" si="14">IFERROR((N15-G15)/G15,0)</f>
        <v>0.36561423687627864</v>
      </c>
      <c r="V15" s="533"/>
      <c r="W15" s="83">
        <v>-2221553.2582667074</v>
      </c>
      <c r="X15" s="83">
        <v>-835976.44697954645</v>
      </c>
      <c r="Y15" s="83">
        <v>-1664655.168450264</v>
      </c>
      <c r="Z15" s="83">
        <v>0</v>
      </c>
      <c r="AA15" s="533"/>
      <c r="AB15" s="83">
        <v>-4722184.8736965172</v>
      </c>
      <c r="AC15" s="13"/>
      <c r="AD15" s="89">
        <f t="shared" ref="AD15:AI18" si="15">IFERROR((W15-I15)/I15,0)</f>
        <v>1.1866176146343896</v>
      </c>
      <c r="AE15" s="89">
        <f t="shared" si="15"/>
        <v>1.0905285847770152</v>
      </c>
      <c r="AF15" s="89">
        <f t="shared" si="15"/>
        <v>0.15163154888165531</v>
      </c>
      <c r="AG15" s="89">
        <f t="shared" si="15"/>
        <v>0</v>
      </c>
      <c r="AH15" s="89">
        <f t="shared" si="15"/>
        <v>0</v>
      </c>
      <c r="AI15" s="89">
        <f t="shared" si="15"/>
        <v>0.65034029732676679</v>
      </c>
      <c r="AJ15" s="13"/>
      <c r="AK15" s="83">
        <v>-1051032.6773949098</v>
      </c>
      <c r="AL15" s="83">
        <v>-519224.28216216288</v>
      </c>
      <c r="AM15" s="83">
        <v>-1545006.6165782469</v>
      </c>
      <c r="AN15" s="83">
        <v>0</v>
      </c>
      <c r="AO15" s="533"/>
      <c r="AP15" s="83">
        <v>-3115263.5761353192</v>
      </c>
      <c r="AQ15" s="13"/>
      <c r="AR15" s="89">
        <f t="shared" ref="AR15:AW18" si="16">IFERROR((AK15-B15)/B15,0)</f>
        <v>0.98360449438513908</v>
      </c>
      <c r="AS15" s="89">
        <f t="shared" si="16"/>
        <v>0.85412080561267711</v>
      </c>
      <c r="AT15" s="89">
        <f t="shared" si="16"/>
        <v>0.21668242958883943</v>
      </c>
      <c r="AU15" s="89">
        <f t="shared" si="16"/>
        <v>-1</v>
      </c>
      <c r="AV15" s="89">
        <f t="shared" si="16"/>
        <v>-1</v>
      </c>
      <c r="AW15" s="89">
        <f t="shared" si="16"/>
        <v>0.48680273593196471</v>
      </c>
      <c r="AX15" s="13"/>
      <c r="AY15" s="83">
        <v>-2269032.4582667076</v>
      </c>
      <c r="AZ15" s="83">
        <v>-1235465.1739402248</v>
      </c>
      <c r="BA15" s="83">
        <v>-1791896.9234008053</v>
      </c>
      <c r="BB15" s="83">
        <v>0</v>
      </c>
      <c r="BC15" s="533"/>
      <c r="BD15" s="83">
        <v>-5296394.5556077389</v>
      </c>
      <c r="BE15" s="13"/>
      <c r="BF15" s="89">
        <f t="shared" ref="BF15:BK18" si="17">IFERROR((AY15-I15)/I15,0)</f>
        <v>1.2333501674833593</v>
      </c>
      <c r="BG15" s="89">
        <f t="shared" si="17"/>
        <v>2.0895311356561925</v>
      </c>
      <c r="BH15" s="89">
        <f t="shared" si="17"/>
        <v>0.2396591609140809</v>
      </c>
      <c r="BI15" s="89">
        <f t="shared" si="17"/>
        <v>0</v>
      </c>
      <c r="BJ15" s="89">
        <f t="shared" si="17"/>
        <v>0</v>
      </c>
      <c r="BK15" s="89">
        <f t="shared" si="17"/>
        <v>0.85101888203271925</v>
      </c>
    </row>
    <row r="16" spans="1:63" hidden="1" outlineLevel="1">
      <c r="A16" s="13" t="s">
        <v>90</v>
      </c>
      <c r="B16" s="83">
        <v>-998660</v>
      </c>
      <c r="C16" s="83">
        <v>-404020</v>
      </c>
      <c r="D16" s="83">
        <v>-235555</v>
      </c>
      <c r="E16" s="83">
        <v>-466664</v>
      </c>
      <c r="F16" s="83"/>
      <c r="G16" s="522">
        <v>-2053505</v>
      </c>
      <c r="H16" s="532"/>
      <c r="I16" s="83">
        <v>-1066251.3230732181</v>
      </c>
      <c r="J16" s="83">
        <v>-577194.63194549072</v>
      </c>
      <c r="K16" s="83">
        <v>-326938.86558145122</v>
      </c>
      <c r="L16" s="83">
        <v>-286819.26936000003</v>
      </c>
      <c r="M16" s="83"/>
      <c r="N16" s="522">
        <v>-2257204.0899601602</v>
      </c>
      <c r="O16" s="83"/>
      <c r="P16" s="89">
        <f t="shared" si="9"/>
        <v>6.7682016975965903E-2</v>
      </c>
      <c r="Q16" s="89">
        <f t="shared" si="10"/>
        <v>0.42862885982251059</v>
      </c>
      <c r="R16" s="89">
        <f t="shared" si="11"/>
        <v>0.38795128773089604</v>
      </c>
      <c r="S16" s="89">
        <f t="shared" si="12"/>
        <v>-0.38538376785010192</v>
      </c>
      <c r="T16" s="89">
        <f t="shared" si="13"/>
        <v>0</v>
      </c>
      <c r="U16" s="89">
        <f t="shared" si="14"/>
        <v>9.9195809097207072E-2</v>
      </c>
      <c r="V16" s="533"/>
      <c r="W16" s="83">
        <v>-1268668.1884506338</v>
      </c>
      <c r="X16" s="83">
        <v>-829708.76816520572</v>
      </c>
      <c r="Y16" s="83">
        <v>-370165.80886052374</v>
      </c>
      <c r="Z16" s="83">
        <v>-296821.63768162631</v>
      </c>
      <c r="AA16" s="533"/>
      <c r="AB16" s="83">
        <v>-2765364.403157989</v>
      </c>
      <c r="AC16" s="13"/>
      <c r="AD16" s="89">
        <f t="shared" si="15"/>
        <v>0.18983973196300172</v>
      </c>
      <c r="AE16" s="89">
        <f t="shared" si="15"/>
        <v>0.43748524716626608</v>
      </c>
      <c r="AF16" s="89">
        <f t="shared" si="15"/>
        <v>0.1322172058136761</v>
      </c>
      <c r="AG16" s="89">
        <f t="shared" si="15"/>
        <v>3.4873418177046679E-2</v>
      </c>
      <c r="AH16" s="89">
        <f t="shared" si="15"/>
        <v>0</v>
      </c>
      <c r="AI16" s="89">
        <f t="shared" si="15"/>
        <v>0.22512820859136309</v>
      </c>
      <c r="AJ16" s="13"/>
      <c r="AK16" s="83">
        <v>-1221941.8824595143</v>
      </c>
      <c r="AL16" s="83">
        <v>-588473.31320568826</v>
      </c>
      <c r="AM16" s="83">
        <v>-252283.0185836007</v>
      </c>
      <c r="AN16" s="83">
        <v>-133540.68915208182</v>
      </c>
      <c r="AO16" s="533"/>
      <c r="AP16" s="83">
        <v>-2196238.9034008849</v>
      </c>
      <c r="AQ16" s="13"/>
      <c r="AR16" s="89">
        <f t="shared" si="16"/>
        <v>0.22358148164491851</v>
      </c>
      <c r="AS16" s="89">
        <f t="shared" si="16"/>
        <v>0.45654500570686662</v>
      </c>
      <c r="AT16" s="89">
        <f t="shared" si="16"/>
        <v>7.1015340721278256E-2</v>
      </c>
      <c r="AU16" s="89">
        <f t="shared" si="16"/>
        <v>-0.71383974518693993</v>
      </c>
      <c r="AV16" s="89">
        <f t="shared" si="16"/>
        <v>0</v>
      </c>
      <c r="AW16" s="89">
        <f t="shared" si="16"/>
        <v>6.9507453549363135E-2</v>
      </c>
      <c r="AX16" s="13"/>
      <c r="AY16" s="83">
        <v>-1189853.7139731785</v>
      </c>
      <c r="AZ16" s="83">
        <v>-977785.99561087717</v>
      </c>
      <c r="BA16" s="83">
        <v>-275847.16951278073</v>
      </c>
      <c r="BB16" s="83">
        <v>-588902.58526720002</v>
      </c>
      <c r="BC16" s="533"/>
      <c r="BD16" s="83">
        <v>-3032389.4643640365</v>
      </c>
      <c r="BE16" s="13"/>
      <c r="BF16" s="89">
        <f t="shared" si="17"/>
        <v>0.11592237986041196</v>
      </c>
      <c r="BG16" s="89">
        <f t="shared" si="17"/>
        <v>0.69403168618383415</v>
      </c>
      <c r="BH16" s="89">
        <f t="shared" si="17"/>
        <v>-0.15627293493480929</v>
      </c>
      <c r="BI16" s="89">
        <f t="shared" si="17"/>
        <v>1.0532183440159362</v>
      </c>
      <c r="BJ16" s="89">
        <f t="shared" si="17"/>
        <v>0</v>
      </c>
      <c r="BK16" s="89">
        <f t="shared" si="17"/>
        <v>0.34342724162685634</v>
      </c>
    </row>
    <row r="17" spans="1:63" hidden="1" outlineLevel="1">
      <c r="A17" s="13" t="s">
        <v>91</v>
      </c>
      <c r="B17" s="83">
        <v>-382302</v>
      </c>
      <c r="C17" s="83">
        <v>-106836</v>
      </c>
      <c r="D17" s="83"/>
      <c r="E17" s="83">
        <v>-16207</v>
      </c>
      <c r="F17" s="83"/>
      <c r="G17" s="522">
        <v>-505343</v>
      </c>
      <c r="H17" s="532"/>
      <c r="I17" s="83">
        <v>-422291.29859999992</v>
      </c>
      <c r="J17" s="83">
        <v>-149773.6826348936</v>
      </c>
      <c r="K17" s="83">
        <v>0</v>
      </c>
      <c r="L17" s="83">
        <v>-22733.776799999996</v>
      </c>
      <c r="M17" s="83"/>
      <c r="N17" s="522">
        <v>-594798.75803489366</v>
      </c>
      <c r="O17" s="83"/>
      <c r="P17" s="89">
        <f t="shared" si="9"/>
        <v>0.1046013324544468</v>
      </c>
      <c r="Q17" s="89">
        <f t="shared" si="10"/>
        <v>0.40190275408002546</v>
      </c>
      <c r="R17" s="89">
        <f t="shared" si="11"/>
        <v>0</v>
      </c>
      <c r="S17" s="89">
        <f t="shared" si="12"/>
        <v>0.40271344480779886</v>
      </c>
      <c r="T17" s="89">
        <f t="shared" si="13"/>
        <v>0</v>
      </c>
      <c r="U17" s="89">
        <f t="shared" si="14"/>
        <v>0.17701988161485102</v>
      </c>
      <c r="V17" s="533"/>
      <c r="W17" s="83">
        <v>-426514.21158599993</v>
      </c>
      <c r="X17" s="83">
        <v>-181365.44043081824</v>
      </c>
      <c r="Y17" s="83">
        <v>0</v>
      </c>
      <c r="Z17" s="83">
        <v>-22733.776799999996</v>
      </c>
      <c r="AA17" s="533"/>
      <c r="AB17" s="83">
        <v>-630613.42881681817</v>
      </c>
      <c r="AC17" s="13"/>
      <c r="AD17" s="89">
        <f t="shared" si="15"/>
        <v>1.0000000000000026E-2</v>
      </c>
      <c r="AE17" s="89">
        <f t="shared" si="15"/>
        <v>0.21092996606711287</v>
      </c>
      <c r="AF17" s="89">
        <f t="shared" si="15"/>
        <v>0</v>
      </c>
      <c r="AG17" s="89">
        <f t="shared" si="15"/>
        <v>0</v>
      </c>
      <c r="AH17" s="89">
        <f t="shared" si="15"/>
        <v>0</v>
      </c>
      <c r="AI17" s="89">
        <f t="shared" si="15"/>
        <v>6.0213089382112416E-2</v>
      </c>
      <c r="AJ17" s="13"/>
      <c r="AK17" s="83">
        <v>-459209.16</v>
      </c>
      <c r="AL17" s="83">
        <v>-240160.30559999999</v>
      </c>
      <c r="AM17" s="83">
        <v>0</v>
      </c>
      <c r="AN17" s="83">
        <v>-22733.776799999996</v>
      </c>
      <c r="AO17" s="533"/>
      <c r="AP17" s="83">
        <v>-722103.24239999999</v>
      </c>
      <c r="AQ17" s="13"/>
      <c r="AR17" s="89">
        <f t="shared" si="16"/>
        <v>0.20116860492490224</v>
      </c>
      <c r="AS17" s="89">
        <f t="shared" si="16"/>
        <v>1.2479342693474109</v>
      </c>
      <c r="AT17" s="89">
        <f t="shared" si="16"/>
        <v>0</v>
      </c>
      <c r="AU17" s="89">
        <f t="shared" si="16"/>
        <v>0.40271344480779886</v>
      </c>
      <c r="AV17" s="89">
        <f t="shared" si="16"/>
        <v>0</v>
      </c>
      <c r="AW17" s="89">
        <f t="shared" si="16"/>
        <v>0.42893686545573995</v>
      </c>
      <c r="AX17" s="13"/>
      <c r="AY17" s="83">
        <v>-463801.25159999996</v>
      </c>
      <c r="AZ17" s="83">
        <v>-421194.93423720123</v>
      </c>
      <c r="BA17" s="83">
        <v>0</v>
      </c>
      <c r="BB17" s="83">
        <v>-22733.776799999996</v>
      </c>
      <c r="BC17" s="533"/>
      <c r="BD17" s="83">
        <v>-907729.96263720118</v>
      </c>
      <c r="BE17" s="13"/>
      <c r="BF17" s="89">
        <f t="shared" si="17"/>
        <v>9.8296965004052411E-2</v>
      </c>
      <c r="BG17" s="89">
        <f t="shared" si="17"/>
        <v>1.8122092401503997</v>
      </c>
      <c r="BH17" s="89">
        <f t="shared" si="17"/>
        <v>0</v>
      </c>
      <c r="BI17" s="89">
        <f t="shared" si="17"/>
        <v>0</v>
      </c>
      <c r="BJ17" s="89">
        <f t="shared" si="17"/>
        <v>0</v>
      </c>
      <c r="BK17" s="89">
        <f t="shared" si="17"/>
        <v>0.52611274044380152</v>
      </c>
    </row>
    <row r="18" spans="1:63" hidden="1" outlineLevel="1">
      <c r="A18" s="13" t="s">
        <v>92</v>
      </c>
      <c r="B18" s="83">
        <v>-18989</v>
      </c>
      <c r="C18" s="83"/>
      <c r="D18" s="83"/>
      <c r="E18" s="83"/>
      <c r="F18" s="83"/>
      <c r="G18" s="522">
        <v>-18989</v>
      </c>
      <c r="H18" s="532"/>
      <c r="I18" s="83">
        <v>0</v>
      </c>
      <c r="J18" s="83">
        <v>0</v>
      </c>
      <c r="K18" s="83">
        <v>0</v>
      </c>
      <c r="L18" s="83">
        <v>0</v>
      </c>
      <c r="M18" s="83"/>
      <c r="N18" s="83">
        <v>0</v>
      </c>
      <c r="O18" s="83"/>
      <c r="P18" s="89">
        <f t="shared" si="9"/>
        <v>-1</v>
      </c>
      <c r="Q18" s="89">
        <f t="shared" si="10"/>
        <v>0</v>
      </c>
      <c r="R18" s="89">
        <f t="shared" si="11"/>
        <v>0</v>
      </c>
      <c r="S18" s="89">
        <f t="shared" si="12"/>
        <v>0</v>
      </c>
      <c r="T18" s="89">
        <f t="shared" si="13"/>
        <v>0</v>
      </c>
      <c r="U18" s="89">
        <f t="shared" si="14"/>
        <v>-1</v>
      </c>
      <c r="V18" s="533"/>
      <c r="W18" s="83">
        <v>0</v>
      </c>
      <c r="X18" s="83">
        <v>0</v>
      </c>
      <c r="Y18" s="83">
        <v>0</v>
      </c>
      <c r="Z18" s="83">
        <v>0</v>
      </c>
      <c r="AA18" s="533"/>
      <c r="AB18" s="83">
        <v>0</v>
      </c>
      <c r="AC18" s="13"/>
      <c r="AD18" s="89">
        <f t="shared" si="15"/>
        <v>0</v>
      </c>
      <c r="AE18" s="89">
        <f t="shared" si="15"/>
        <v>0</v>
      </c>
      <c r="AF18" s="89">
        <f t="shared" si="15"/>
        <v>0</v>
      </c>
      <c r="AG18" s="89">
        <f t="shared" si="15"/>
        <v>0</v>
      </c>
      <c r="AH18" s="89">
        <f t="shared" si="15"/>
        <v>0</v>
      </c>
      <c r="AI18" s="89">
        <f t="shared" si="15"/>
        <v>0</v>
      </c>
      <c r="AJ18" s="13"/>
      <c r="AK18" s="83">
        <v>0</v>
      </c>
      <c r="AL18" s="83">
        <v>0</v>
      </c>
      <c r="AM18" s="83">
        <v>0</v>
      </c>
      <c r="AN18" s="83">
        <v>0</v>
      </c>
      <c r="AO18" s="533"/>
      <c r="AP18" s="83">
        <v>0</v>
      </c>
      <c r="AQ18" s="13"/>
      <c r="AR18" s="89">
        <f t="shared" si="16"/>
        <v>-1</v>
      </c>
      <c r="AS18" s="89">
        <f t="shared" si="16"/>
        <v>0</v>
      </c>
      <c r="AT18" s="89">
        <f t="shared" si="16"/>
        <v>0</v>
      </c>
      <c r="AU18" s="89">
        <f t="shared" si="16"/>
        <v>0</v>
      </c>
      <c r="AV18" s="89">
        <f t="shared" si="16"/>
        <v>0</v>
      </c>
      <c r="AW18" s="89">
        <f t="shared" si="16"/>
        <v>-1</v>
      </c>
      <c r="AX18" s="13"/>
      <c r="AY18" s="83">
        <v>0</v>
      </c>
      <c r="AZ18" s="83">
        <v>0</v>
      </c>
      <c r="BA18" s="83">
        <v>0</v>
      </c>
      <c r="BB18" s="83">
        <v>0</v>
      </c>
      <c r="BC18" s="533"/>
      <c r="BD18" s="83">
        <v>0</v>
      </c>
      <c r="BE18" s="13"/>
      <c r="BF18" s="89">
        <f t="shared" si="17"/>
        <v>0</v>
      </c>
      <c r="BG18" s="89">
        <f t="shared" si="17"/>
        <v>0</v>
      </c>
      <c r="BH18" s="89">
        <f t="shared" si="17"/>
        <v>0</v>
      </c>
      <c r="BI18" s="89">
        <f t="shared" si="17"/>
        <v>0</v>
      </c>
      <c r="BJ18" s="89">
        <f t="shared" si="17"/>
        <v>0</v>
      </c>
      <c r="BK18" s="89">
        <f t="shared" si="17"/>
        <v>0</v>
      </c>
    </row>
    <row r="19" spans="1:63" hidden="1" outlineLevel="1">
      <c r="A19" s="13"/>
      <c r="B19" s="83"/>
      <c r="C19" s="83"/>
      <c r="D19" s="83"/>
      <c r="E19" s="83"/>
      <c r="F19" s="83"/>
      <c r="G19" s="83"/>
      <c r="H19" s="532"/>
      <c r="I19" s="83"/>
      <c r="J19" s="83"/>
      <c r="K19" s="83"/>
      <c r="L19" s="83"/>
      <c r="M19" s="83"/>
      <c r="N19" s="83"/>
      <c r="O19" s="83"/>
      <c r="P19" s="83"/>
      <c r="Q19" s="83"/>
      <c r="R19" s="533"/>
      <c r="S19" s="533"/>
      <c r="T19" s="533"/>
      <c r="U19" s="533"/>
      <c r="V19" s="533"/>
      <c r="W19" s="83"/>
      <c r="X19" s="83"/>
      <c r="Y19" s="83"/>
      <c r="Z19" s="83"/>
      <c r="AA19" s="533"/>
      <c r="AB19" s="83"/>
      <c r="AC19" s="13"/>
      <c r="AD19" s="83"/>
      <c r="AE19" s="83"/>
      <c r="AF19" s="533"/>
      <c r="AG19" s="533"/>
      <c r="AH19" s="533"/>
      <c r="AI19" s="533"/>
      <c r="AJ19" s="13"/>
      <c r="AK19" s="83"/>
      <c r="AL19" s="83"/>
      <c r="AM19" s="83"/>
      <c r="AN19" s="83"/>
      <c r="AO19" s="533"/>
      <c r="AP19" s="83"/>
      <c r="AQ19" s="13"/>
      <c r="AR19" s="83"/>
      <c r="AS19" s="83"/>
      <c r="AT19" s="533"/>
      <c r="AU19" s="533"/>
      <c r="AV19" s="533"/>
      <c r="AW19" s="533"/>
      <c r="AX19" s="13"/>
      <c r="AY19" s="83"/>
      <c r="AZ19" s="83"/>
      <c r="BA19" s="83"/>
      <c r="BB19" s="83"/>
      <c r="BC19" s="533"/>
      <c r="BD19" s="83"/>
      <c r="BE19" s="13"/>
      <c r="BF19" s="83"/>
      <c r="BG19" s="83"/>
      <c r="BH19" s="533"/>
      <c r="BI19" s="533"/>
      <c r="BJ19" s="533"/>
      <c r="BK19" s="533"/>
    </row>
    <row r="20" spans="1:63" collapsed="1">
      <c r="A20" s="11" t="s">
        <v>93</v>
      </c>
      <c r="B20" s="520">
        <v>-1929811</v>
      </c>
      <c r="C20" s="520">
        <v>-790895</v>
      </c>
      <c r="D20" s="520">
        <v>-1505406</v>
      </c>
      <c r="E20" s="520">
        <v>-489293</v>
      </c>
      <c r="F20" s="520">
        <v>26112</v>
      </c>
      <c r="G20" s="520">
        <v>-4673115</v>
      </c>
      <c r="H20" s="532"/>
      <c r="I20" s="520">
        <v>-2504519.6463704053</v>
      </c>
      <c r="J20" s="520">
        <v>-1126855.9090706147</v>
      </c>
      <c r="K20" s="520">
        <v>-1772414.347793452</v>
      </c>
      <c r="L20" s="520">
        <v>-309553.04616000003</v>
      </c>
      <c r="M20" s="520"/>
      <c r="N20" s="520">
        <v>-5713342.9493944729</v>
      </c>
      <c r="O20" s="83"/>
      <c r="P20" s="89">
        <f t="shared" ref="P20:U20" si="18">IFERROR((I20-B20)/B20,0)</f>
        <v>0.2978056640626493</v>
      </c>
      <c r="Q20" s="89">
        <f t="shared" si="18"/>
        <v>0.42478572891548783</v>
      </c>
      <c r="R20" s="89">
        <f t="shared" si="18"/>
        <v>0.1773663369173844</v>
      </c>
      <c r="S20" s="89">
        <f t="shared" si="18"/>
        <v>-0.36734626050239833</v>
      </c>
      <c r="T20" s="89">
        <f t="shared" si="18"/>
        <v>-1</v>
      </c>
      <c r="U20" s="89">
        <f t="shared" si="18"/>
        <v>0.22259840585872012</v>
      </c>
      <c r="V20" s="533"/>
      <c r="W20" s="520">
        <v>-3916735.6583033418</v>
      </c>
      <c r="X20" s="520">
        <v>-1847050.6555755704</v>
      </c>
      <c r="Y20" s="520">
        <v>-2034820.9773107877</v>
      </c>
      <c r="Z20" s="520">
        <v>-319555.41448162636</v>
      </c>
      <c r="AA20" s="533"/>
      <c r="AB20" s="520">
        <v>-8118162.7056713244</v>
      </c>
      <c r="AC20" s="13"/>
      <c r="AD20" s="89">
        <f t="shared" ref="AD20:AI20" si="19">IFERROR((W20-I20)/I20,0)</f>
        <v>0.56386701297374342</v>
      </c>
      <c r="AE20" s="89">
        <f t="shared" si="19"/>
        <v>0.6391187557413115</v>
      </c>
      <c r="AF20" s="89">
        <f t="shared" si="19"/>
        <v>0.14805038666269879</v>
      </c>
      <c r="AG20" s="89">
        <f t="shared" si="19"/>
        <v>3.2312291691861963E-2</v>
      </c>
      <c r="AH20" s="89">
        <f t="shared" si="19"/>
        <v>0</v>
      </c>
      <c r="AI20" s="89">
        <f t="shared" si="19"/>
        <v>0.42091290118191238</v>
      </c>
      <c r="AJ20" s="13"/>
      <c r="AK20" s="520">
        <v>-2732183.7198544242</v>
      </c>
      <c r="AL20" s="520">
        <v>-1347857.9009678513</v>
      </c>
      <c r="AM20" s="520">
        <v>-1797289.6351618478</v>
      </c>
      <c r="AN20" s="520">
        <v>-156274.46595208184</v>
      </c>
      <c r="AO20" s="533"/>
      <c r="AP20" s="520">
        <v>-6033605.7219362045</v>
      </c>
      <c r="AQ20" s="13"/>
      <c r="AR20" s="89">
        <f t="shared" ref="AR20:AW20" si="20">IFERROR((AK20-B20)/B20,0)</f>
        <v>0.41577787661818916</v>
      </c>
      <c r="AS20" s="89">
        <f t="shared" si="20"/>
        <v>0.70421851316274764</v>
      </c>
      <c r="AT20" s="89">
        <f t="shared" si="20"/>
        <v>0.19389030943270308</v>
      </c>
      <c r="AU20" s="89">
        <f t="shared" si="20"/>
        <v>-0.6806116867560299</v>
      </c>
      <c r="AV20" s="89">
        <f t="shared" si="20"/>
        <v>-1</v>
      </c>
      <c r="AW20" s="89">
        <f t="shared" si="20"/>
        <v>0.29113144485770293</v>
      </c>
      <c r="AX20" s="13"/>
      <c r="AY20" s="520">
        <v>-3922687.4238398857</v>
      </c>
      <c r="AZ20" s="520">
        <v>-2634446.1037883032</v>
      </c>
      <c r="BA20" s="520">
        <v>-2067744.0929135857</v>
      </c>
      <c r="BB20" s="520">
        <v>-611636.36206719989</v>
      </c>
      <c r="BC20" s="533"/>
      <c r="BD20" s="520">
        <v>-9236513.982608974</v>
      </c>
      <c r="BE20" s="13"/>
      <c r="BF20" s="89">
        <f t="shared" ref="BF20:BK20" si="21">IFERROR((AY20-I20)/I20,0)</f>
        <v>0.56624342297522579</v>
      </c>
      <c r="BG20" s="89">
        <f t="shared" si="21"/>
        <v>1.3378730879275311</v>
      </c>
      <c r="BH20" s="89">
        <f t="shared" si="21"/>
        <v>0.1666256795358271</v>
      </c>
      <c r="BI20" s="89">
        <f t="shared" si="21"/>
        <v>0.97586930464596611</v>
      </c>
      <c r="BJ20" s="89">
        <f t="shared" si="21"/>
        <v>0</v>
      </c>
      <c r="BK20" s="89">
        <f t="shared" si="21"/>
        <v>0.61665666920763151</v>
      </c>
    </row>
    <row r="21" spans="1:63">
      <c r="A21" s="13"/>
      <c r="B21" s="518"/>
      <c r="C21" s="518"/>
      <c r="D21" s="518"/>
      <c r="E21" s="518"/>
      <c r="F21" s="518"/>
      <c r="G21" s="518"/>
      <c r="H21" s="532"/>
      <c r="I21" s="518"/>
      <c r="J21" s="518"/>
      <c r="K21" s="518"/>
      <c r="L21" s="518"/>
      <c r="M21" s="518"/>
      <c r="N21" s="518"/>
      <c r="O21" s="518"/>
      <c r="P21" s="518"/>
      <c r="Q21" s="518"/>
      <c r="R21" s="533"/>
      <c r="S21" s="533"/>
      <c r="T21" s="533"/>
      <c r="U21" s="533"/>
      <c r="V21" s="533"/>
      <c r="W21" s="518">
        <v>-0.2123057655484881</v>
      </c>
      <c r="X21" s="518">
        <v>-0.26074803520308881</v>
      </c>
      <c r="Y21" s="518">
        <v>-0.25883441367411975</v>
      </c>
      <c r="Z21" s="518">
        <v>-0.34669453029157354</v>
      </c>
      <c r="AA21" s="533"/>
      <c r="AB21" s="518">
        <v>-0.23657478014136041</v>
      </c>
      <c r="AC21" s="13"/>
      <c r="AD21" s="518"/>
      <c r="AE21" s="518"/>
      <c r="AF21" s="533"/>
      <c r="AG21" s="533"/>
      <c r="AH21" s="533"/>
      <c r="AI21" s="533"/>
      <c r="AJ21" s="13"/>
      <c r="AK21" s="518">
        <v>-0.22133244618112985</v>
      </c>
      <c r="AL21" s="518">
        <v>-0.23034196299637205</v>
      </c>
      <c r="AM21" s="518">
        <v>-0.2469323081679963</v>
      </c>
      <c r="AN21" s="518">
        <v>-0.28747352814034455</v>
      </c>
      <c r="AO21" s="533"/>
      <c r="AP21" s="518">
        <v>-0.23215808766319909</v>
      </c>
      <c r="AQ21" s="13"/>
      <c r="AR21" s="518"/>
      <c r="AS21" s="518"/>
      <c r="AT21" s="533"/>
      <c r="AU21" s="533"/>
      <c r="AV21" s="533"/>
      <c r="AW21" s="533"/>
      <c r="AX21" s="13"/>
      <c r="AY21" s="518">
        <v>-0.21107565601004816</v>
      </c>
      <c r="AZ21" s="518">
        <v>-0.23111431948954433</v>
      </c>
      <c r="BA21" s="518">
        <v>-0.24657896792913009</v>
      </c>
      <c r="BB21" s="518">
        <v>-0.31100902444631162</v>
      </c>
      <c r="BC21" s="533"/>
      <c r="BD21" s="518">
        <v>-0.23418824454952969</v>
      </c>
      <c r="BE21" s="13"/>
      <c r="BF21" s="518"/>
      <c r="BG21" s="518"/>
      <c r="BH21" s="533"/>
      <c r="BI21" s="533"/>
      <c r="BJ21" s="533"/>
      <c r="BK21" s="533"/>
    </row>
    <row r="22" spans="1:63" hidden="1" outlineLevel="1">
      <c r="A22" s="515" t="s">
        <v>94</v>
      </c>
      <c r="B22" s="521">
        <f>B6+B15</f>
        <v>1672936</v>
      </c>
      <c r="C22" s="521">
        <f t="shared" ref="C22:G22" si="22">C6+C15</f>
        <v>872872</v>
      </c>
      <c r="D22" s="521">
        <f t="shared" si="22"/>
        <v>3680859</v>
      </c>
      <c r="E22" s="521">
        <f t="shared" si="22"/>
        <v>40175</v>
      </c>
      <c r="F22" s="521">
        <f t="shared" si="22"/>
        <v>26112</v>
      </c>
      <c r="G22" s="521">
        <f t="shared" si="22"/>
        <v>6257738</v>
      </c>
      <c r="H22" s="532"/>
      <c r="I22" s="521">
        <f>I6+I15</f>
        <v>3822008.8071941794</v>
      </c>
      <c r="J22" s="521">
        <f t="shared" ref="J22:N22" si="23">J6+J15</f>
        <v>1266310.7158857295</v>
      </c>
      <c r="K22" s="521">
        <f t="shared" si="23"/>
        <v>4577339.0270046694</v>
      </c>
      <c r="L22" s="521">
        <f t="shared" si="23"/>
        <v>0</v>
      </c>
      <c r="M22" s="521">
        <f t="shared" si="23"/>
        <v>0</v>
      </c>
      <c r="N22" s="521">
        <f t="shared" si="23"/>
        <v>9665658.5500845797</v>
      </c>
      <c r="O22" s="521"/>
      <c r="P22" s="521"/>
      <c r="Q22" s="521"/>
      <c r="R22" s="533"/>
      <c r="S22" s="533"/>
      <c r="T22" s="533"/>
      <c r="U22" s="533"/>
      <c r="V22" s="533"/>
      <c r="W22" s="521">
        <f>W6+W15</f>
        <v>8886213.0330668278</v>
      </c>
      <c r="X22" s="521">
        <f t="shared" ref="X22:AB23" si="24">X6+X15</f>
        <v>2647258.7487685638</v>
      </c>
      <c r="Y22" s="521">
        <f t="shared" si="24"/>
        <v>5271408.0334258368</v>
      </c>
      <c r="Z22" s="521">
        <f t="shared" si="24"/>
        <v>0</v>
      </c>
      <c r="AA22" s="521">
        <f t="shared" si="24"/>
        <v>0</v>
      </c>
      <c r="AB22" s="521">
        <f t="shared" si="24"/>
        <v>16804879.81526123</v>
      </c>
      <c r="AC22" s="13"/>
      <c r="AD22" s="521"/>
      <c r="AE22" s="521"/>
      <c r="AF22" s="533"/>
      <c r="AG22" s="533"/>
      <c r="AH22" s="533"/>
      <c r="AI22" s="533"/>
      <c r="AJ22" s="13"/>
      <c r="AK22" s="521">
        <v>3953884.834009422</v>
      </c>
      <c r="AL22" s="521">
        <v>1644210.2268468491</v>
      </c>
      <c r="AM22" s="521">
        <v>4892520.952497784</v>
      </c>
      <c r="AN22" s="521">
        <v>0</v>
      </c>
      <c r="AO22" s="521"/>
      <c r="AP22" s="521">
        <v>10490616.013354056</v>
      </c>
      <c r="AQ22" s="13"/>
      <c r="AR22" s="521"/>
      <c r="AS22" s="521"/>
      <c r="AT22" s="533"/>
      <c r="AU22" s="533"/>
      <c r="AV22" s="533"/>
      <c r="AW22" s="533"/>
      <c r="AX22" s="13"/>
      <c r="AY22" s="521">
        <v>9076129.8330668285</v>
      </c>
      <c r="AZ22" s="521">
        <v>3912306.3841440463</v>
      </c>
      <c r="BA22" s="521">
        <v>5674340.2574358834</v>
      </c>
      <c r="BB22" s="521">
        <v>0</v>
      </c>
      <c r="BC22" s="521"/>
      <c r="BD22" s="521">
        <v>18662776.474646762</v>
      </c>
      <c r="BE22" s="13"/>
      <c r="BF22" s="521"/>
      <c r="BG22" s="521"/>
      <c r="BH22" s="533"/>
      <c r="BI22" s="533"/>
      <c r="BJ22" s="533"/>
      <c r="BK22" s="533"/>
    </row>
    <row r="23" spans="1:63" hidden="1" outlineLevel="1">
      <c r="A23" s="515" t="s">
        <v>95</v>
      </c>
      <c r="B23" s="521">
        <f t="shared" ref="B23:G23" si="25">B7+B16</f>
        <v>2598162</v>
      </c>
      <c r="C23" s="521">
        <f t="shared" si="25"/>
        <v>838981</v>
      </c>
      <c r="D23" s="521">
        <f t="shared" si="25"/>
        <v>407302</v>
      </c>
      <c r="E23" s="521">
        <f t="shared" si="25"/>
        <v>679527</v>
      </c>
      <c r="F23" s="521">
        <f>F7+F16</f>
        <v>0</v>
      </c>
      <c r="G23" s="521">
        <f t="shared" si="25"/>
        <v>4575458</v>
      </c>
      <c r="H23" s="532"/>
      <c r="I23" s="521">
        <f t="shared" ref="I23:L23" si="26">I7+I16</f>
        <v>3111849.4726682324</v>
      </c>
      <c r="J23" s="521">
        <f t="shared" si="26"/>
        <v>1226538.592884168</v>
      </c>
      <c r="K23" s="521">
        <f t="shared" si="26"/>
        <v>490408.29837217671</v>
      </c>
      <c r="L23" s="521">
        <f t="shared" si="26"/>
        <v>481798.03864000004</v>
      </c>
      <c r="M23" s="521">
        <f>M7+M16</f>
        <v>0</v>
      </c>
      <c r="N23" s="521">
        <f t="shared" ref="N23" si="27">N7+N16</f>
        <v>5310594.4025645778</v>
      </c>
      <c r="O23" s="521"/>
      <c r="P23" s="521"/>
      <c r="Q23" s="521"/>
      <c r="R23" s="533"/>
      <c r="S23" s="533"/>
      <c r="T23" s="533"/>
      <c r="U23" s="533"/>
      <c r="V23" s="533"/>
      <c r="W23" s="521">
        <f t="shared" ref="W23:Z23" si="28">W7+W16</f>
        <v>3702602.1424687775</v>
      </c>
      <c r="X23" s="521">
        <f t="shared" si="28"/>
        <v>1763131.1323510618</v>
      </c>
      <c r="Y23" s="521">
        <f t="shared" si="28"/>
        <v>555248.71329078556</v>
      </c>
      <c r="Z23" s="521">
        <f t="shared" si="28"/>
        <v>498599.98311837373</v>
      </c>
      <c r="AA23" s="521">
        <f>AA7+AA16</f>
        <v>0</v>
      </c>
      <c r="AB23" s="521">
        <f t="shared" si="24"/>
        <v>6519581.971229</v>
      </c>
      <c r="AC23" s="13"/>
      <c r="AD23" s="521"/>
      <c r="AE23" s="521"/>
      <c r="AF23" s="533"/>
      <c r="AG23" s="533"/>
      <c r="AH23" s="533"/>
      <c r="AI23" s="533"/>
      <c r="AJ23" s="13"/>
      <c r="AK23" s="521">
        <v>3566231.6381498682</v>
      </c>
      <c r="AL23" s="521">
        <v>1765419.9396170648</v>
      </c>
      <c r="AM23" s="521">
        <v>588660.37669506832</v>
      </c>
      <c r="AN23" s="521">
        <v>283773.96444817388</v>
      </c>
      <c r="AO23" s="521"/>
      <c r="AP23" s="521">
        <v>6175408.6726578288</v>
      </c>
      <c r="AQ23" s="13"/>
      <c r="AR23" s="521"/>
      <c r="AS23" s="521"/>
      <c r="AT23" s="533"/>
      <c r="AU23" s="533"/>
      <c r="AV23" s="533"/>
      <c r="AW23" s="533"/>
      <c r="AX23" s="13"/>
      <c r="AY23" s="521">
        <v>3472582.4693073006</v>
      </c>
      <c r="AZ23" s="521">
        <v>2933357.9868326318</v>
      </c>
      <c r="BA23" s="521">
        <v>643643.39552982186</v>
      </c>
      <c r="BB23" s="521">
        <v>1251417.9936928004</v>
      </c>
      <c r="BC23" s="521"/>
      <c r="BD23" s="521">
        <v>7406048.7445195913</v>
      </c>
      <c r="BE23" s="13"/>
      <c r="BF23" s="521"/>
      <c r="BG23" s="521"/>
      <c r="BH23" s="533"/>
      <c r="BI23" s="533"/>
      <c r="BJ23" s="533"/>
      <c r="BK23" s="533"/>
    </row>
    <row r="24" spans="1:63" hidden="1" outlineLevel="1">
      <c r="A24" s="515" t="s">
        <v>96</v>
      </c>
      <c r="B24" s="521">
        <f t="shared" ref="B24:G24" si="29">B8+B17</f>
        <v>1834834</v>
      </c>
      <c r="C24" s="521">
        <f t="shared" si="29"/>
        <v>499090</v>
      </c>
      <c r="D24" s="521">
        <f t="shared" si="29"/>
        <v>0</v>
      </c>
      <c r="E24" s="521">
        <f t="shared" si="29"/>
        <v>115330</v>
      </c>
      <c r="F24" s="521">
        <f t="shared" si="29"/>
        <v>0</v>
      </c>
      <c r="G24" s="521">
        <f t="shared" si="29"/>
        <v>2450510</v>
      </c>
      <c r="H24" s="532"/>
      <c r="I24" s="521">
        <f t="shared" ref="I24:N24" si="30">I8+I17</f>
        <v>1923771.4714000002</v>
      </c>
      <c r="J24" s="521">
        <f t="shared" si="30"/>
        <v>682302.33200340439</v>
      </c>
      <c r="K24" s="521">
        <f t="shared" si="30"/>
        <v>0</v>
      </c>
      <c r="L24" s="521">
        <f t="shared" si="30"/>
        <v>103564.9832</v>
      </c>
      <c r="M24" s="521">
        <f t="shared" si="30"/>
        <v>0</v>
      </c>
      <c r="N24" s="521">
        <f t="shared" si="30"/>
        <v>2709638.7866034042</v>
      </c>
      <c r="O24" s="521"/>
      <c r="P24" s="521"/>
      <c r="Q24" s="521"/>
      <c r="R24" s="533"/>
      <c r="S24" s="533"/>
      <c r="T24" s="533"/>
      <c r="U24" s="533"/>
      <c r="V24" s="533"/>
      <c r="W24" s="521">
        <f t="shared" ref="W24:AB24" si="31">W8+W17</f>
        <v>1943009.1861139997</v>
      </c>
      <c r="X24" s="521">
        <f t="shared" si="31"/>
        <v>826220.33974039427</v>
      </c>
      <c r="Y24" s="521">
        <f t="shared" si="31"/>
        <v>0</v>
      </c>
      <c r="Z24" s="521">
        <f t="shared" si="31"/>
        <v>103564.9832</v>
      </c>
      <c r="AA24" s="521">
        <f t="shared" si="31"/>
        <v>0</v>
      </c>
      <c r="AB24" s="521">
        <f t="shared" si="31"/>
        <v>2872794.5090543944</v>
      </c>
      <c r="AC24" s="13"/>
      <c r="AD24" s="521"/>
      <c r="AE24" s="521"/>
      <c r="AF24" s="533"/>
      <c r="AG24" s="533"/>
      <c r="AH24" s="533"/>
      <c r="AI24" s="533"/>
      <c r="AJ24" s="13"/>
      <c r="AK24" s="521">
        <v>2091952.84</v>
      </c>
      <c r="AL24" s="521">
        <v>1094063.6144000001</v>
      </c>
      <c r="AM24" s="521">
        <v>0</v>
      </c>
      <c r="AN24" s="521">
        <v>103564.9832</v>
      </c>
      <c r="AO24" s="521"/>
      <c r="AP24" s="521">
        <v>3289581.4375999998</v>
      </c>
      <c r="AQ24" s="13"/>
      <c r="AR24" s="521"/>
      <c r="AS24" s="521"/>
      <c r="AT24" s="533"/>
      <c r="AU24" s="533"/>
      <c r="AV24" s="533"/>
      <c r="AW24" s="533"/>
      <c r="AX24" s="13"/>
      <c r="AY24" s="521">
        <v>2112872.3684</v>
      </c>
      <c r="AZ24" s="521">
        <v>1918776.9226361387</v>
      </c>
      <c r="BA24" s="521">
        <v>0</v>
      </c>
      <c r="BB24" s="521">
        <v>103564.9832</v>
      </c>
      <c r="BC24" s="521"/>
      <c r="BD24" s="521">
        <v>4135214.2742361389</v>
      </c>
      <c r="BE24" s="13"/>
      <c r="BF24" s="521"/>
      <c r="BG24" s="521"/>
      <c r="BH24" s="533"/>
      <c r="BI24" s="533"/>
      <c r="BJ24" s="533"/>
      <c r="BK24" s="533"/>
    </row>
    <row r="25" spans="1:63" hidden="1" outlineLevel="1">
      <c r="A25" s="515" t="s">
        <v>97</v>
      </c>
      <c r="B25" s="521">
        <f t="shared" ref="B25:G25" si="32">B9+B18</f>
        <v>70883</v>
      </c>
      <c r="C25" s="521">
        <f t="shared" si="32"/>
        <v>0</v>
      </c>
      <c r="D25" s="521">
        <f t="shared" si="32"/>
        <v>0</v>
      </c>
      <c r="E25" s="521">
        <f t="shared" si="32"/>
        <v>0</v>
      </c>
      <c r="F25" s="521">
        <f t="shared" si="32"/>
        <v>0</v>
      </c>
      <c r="G25" s="521">
        <f t="shared" si="32"/>
        <v>70883</v>
      </c>
      <c r="H25" s="532"/>
      <c r="I25" s="521">
        <f t="shared" ref="I25:N25" si="33">I9+I18</f>
        <v>0</v>
      </c>
      <c r="J25" s="521">
        <f t="shared" si="33"/>
        <v>0</v>
      </c>
      <c r="K25" s="521">
        <f t="shared" si="33"/>
        <v>0</v>
      </c>
      <c r="L25" s="521">
        <f t="shared" si="33"/>
        <v>0</v>
      </c>
      <c r="M25" s="521">
        <f t="shared" si="33"/>
        <v>0</v>
      </c>
      <c r="N25" s="521">
        <f t="shared" si="33"/>
        <v>0</v>
      </c>
      <c r="O25" s="521"/>
      <c r="P25" s="521"/>
      <c r="Q25" s="521"/>
      <c r="R25" s="533"/>
      <c r="S25" s="533"/>
      <c r="T25" s="533"/>
      <c r="U25" s="533"/>
      <c r="V25" s="533"/>
      <c r="W25" s="521">
        <f t="shared" ref="W25:AB25" si="34">W9+W18</f>
        <v>0</v>
      </c>
      <c r="X25" s="521">
        <f t="shared" si="34"/>
        <v>0</v>
      </c>
      <c r="Y25" s="521">
        <f t="shared" si="34"/>
        <v>0</v>
      </c>
      <c r="Z25" s="521">
        <f t="shared" si="34"/>
        <v>0</v>
      </c>
      <c r="AA25" s="521">
        <f t="shared" si="34"/>
        <v>0</v>
      </c>
      <c r="AB25" s="521">
        <f t="shared" si="34"/>
        <v>0</v>
      </c>
      <c r="AC25" s="13"/>
      <c r="AD25" s="521"/>
      <c r="AE25" s="521"/>
      <c r="AF25" s="533"/>
      <c r="AG25" s="533"/>
      <c r="AH25" s="533"/>
      <c r="AI25" s="533"/>
      <c r="AJ25" s="13"/>
      <c r="AK25" s="521">
        <v>0</v>
      </c>
      <c r="AL25" s="521">
        <v>0</v>
      </c>
      <c r="AM25" s="521">
        <v>0</v>
      </c>
      <c r="AN25" s="521">
        <v>0</v>
      </c>
      <c r="AO25" s="521"/>
      <c r="AP25" s="521">
        <v>0</v>
      </c>
      <c r="AQ25" s="13"/>
      <c r="AR25" s="521"/>
      <c r="AS25" s="521"/>
      <c r="AT25" s="533"/>
      <c r="AU25" s="533"/>
      <c r="AV25" s="533"/>
      <c r="AW25" s="533"/>
      <c r="AX25" s="13"/>
      <c r="AY25" s="521">
        <v>0</v>
      </c>
      <c r="AZ25" s="521">
        <v>0</v>
      </c>
      <c r="BA25" s="521">
        <v>0</v>
      </c>
      <c r="BB25" s="521">
        <v>0</v>
      </c>
      <c r="BC25" s="521"/>
      <c r="BD25" s="521">
        <v>0</v>
      </c>
      <c r="BE25" s="13"/>
      <c r="BF25" s="521"/>
      <c r="BG25" s="521"/>
      <c r="BH25" s="533"/>
      <c r="BI25" s="533"/>
      <c r="BJ25" s="533"/>
      <c r="BK25" s="533"/>
    </row>
    <row r="26" spans="1:63" hidden="1" outlineLevel="1">
      <c r="A26" s="515" t="s">
        <v>98</v>
      </c>
      <c r="B26" s="521">
        <f>B11+B20</f>
        <v>6176814</v>
      </c>
      <c r="C26" s="521">
        <f t="shared" ref="C26:G26" si="35">C11+C20</f>
        <v>2210943</v>
      </c>
      <c r="D26" s="521">
        <f t="shared" si="35"/>
        <v>4088162</v>
      </c>
      <c r="E26" s="521">
        <f t="shared" si="35"/>
        <v>835033</v>
      </c>
      <c r="F26" s="521">
        <f t="shared" si="35"/>
        <v>26112</v>
      </c>
      <c r="G26" s="521">
        <f t="shared" si="35"/>
        <v>13354587</v>
      </c>
      <c r="H26" s="532"/>
      <c r="I26" s="521">
        <f>I11+I20</f>
        <v>8857629.7512624133</v>
      </c>
      <c r="J26" s="521">
        <f t="shared" ref="J26:N26" si="36">J11+J20</f>
        <v>3175151.6407733019</v>
      </c>
      <c r="K26" s="521">
        <f t="shared" si="36"/>
        <v>5067747.3253768459</v>
      </c>
      <c r="L26" s="521">
        <f t="shared" si="36"/>
        <v>585363.02184000006</v>
      </c>
      <c r="M26" s="521">
        <f t="shared" si="36"/>
        <v>0</v>
      </c>
      <c r="N26" s="521">
        <f t="shared" si="36"/>
        <v>17685891.739252564</v>
      </c>
      <c r="O26" s="521"/>
      <c r="P26" s="521"/>
      <c r="Q26" s="521"/>
      <c r="R26" s="533"/>
      <c r="S26" s="533"/>
      <c r="T26" s="533"/>
      <c r="U26" s="533"/>
      <c r="V26" s="533"/>
      <c r="W26" s="521">
        <f>W11+W20</f>
        <v>14531824.361649606</v>
      </c>
      <c r="X26" s="521">
        <f t="shared" ref="X26:AB26" si="37">X11+X20</f>
        <v>5236610.2208600203</v>
      </c>
      <c r="Y26" s="521">
        <f t="shared" si="37"/>
        <v>5826656.7467166213</v>
      </c>
      <c r="Z26" s="521">
        <f t="shared" si="37"/>
        <v>602164.9663183738</v>
      </c>
      <c r="AA26" s="521">
        <f t="shared" si="37"/>
        <v>0</v>
      </c>
      <c r="AB26" s="521">
        <f t="shared" si="37"/>
        <v>26197256.295544624</v>
      </c>
      <c r="AC26" s="13"/>
      <c r="AD26" s="521"/>
      <c r="AE26" s="521"/>
      <c r="AF26" s="533"/>
      <c r="AG26" s="533"/>
      <c r="AH26" s="533"/>
      <c r="AI26" s="533"/>
      <c r="AJ26" s="13"/>
      <c r="AK26" s="521">
        <v>9612069.3121592905</v>
      </c>
      <c r="AL26" s="521">
        <v>4503693.7808639146</v>
      </c>
      <c r="AM26" s="521">
        <v>5481181.3291928517</v>
      </c>
      <c r="AN26" s="521">
        <v>387338.94764817378</v>
      </c>
      <c r="AO26" s="521"/>
      <c r="AP26" s="521">
        <v>19955606.123611882</v>
      </c>
      <c r="AQ26" s="13"/>
      <c r="AR26" s="521"/>
      <c r="AS26" s="521"/>
      <c r="AT26" s="533"/>
      <c r="AU26" s="533"/>
      <c r="AV26" s="533"/>
      <c r="AW26" s="533"/>
      <c r="AX26" s="13"/>
      <c r="AY26" s="521">
        <v>14661584.670774132</v>
      </c>
      <c r="AZ26" s="521">
        <v>8764441.2936128173</v>
      </c>
      <c r="BA26" s="521">
        <v>6317983.652965704</v>
      </c>
      <c r="BB26" s="521">
        <v>1354982.9768928001</v>
      </c>
      <c r="BC26" s="521"/>
      <c r="BD26" s="521">
        <v>30204039.493402481</v>
      </c>
      <c r="BE26" s="13"/>
      <c r="BF26" s="521"/>
      <c r="BG26" s="521"/>
      <c r="BH26" s="533"/>
      <c r="BI26" s="533"/>
      <c r="BJ26" s="533"/>
      <c r="BK26" s="533"/>
    </row>
    <row r="27" spans="1:63" hidden="1" outlineLevel="1">
      <c r="A27" s="11"/>
      <c r="B27" s="7"/>
      <c r="C27" s="7"/>
      <c r="D27" s="7"/>
      <c r="E27" s="7"/>
      <c r="F27" s="7"/>
      <c r="G27" s="7" t="s">
        <v>163</v>
      </c>
      <c r="H27" s="532"/>
      <c r="I27" s="7"/>
      <c r="J27" s="7"/>
      <c r="K27" s="7"/>
      <c r="L27" s="7"/>
      <c r="M27" s="7"/>
      <c r="N27" s="7" t="s">
        <v>163</v>
      </c>
      <c r="O27" s="7"/>
      <c r="P27" s="7"/>
      <c r="Q27" s="7"/>
      <c r="R27" s="533"/>
      <c r="S27" s="533"/>
      <c r="T27" s="533"/>
      <c r="U27" s="533"/>
      <c r="V27" s="533"/>
      <c r="W27" s="7"/>
      <c r="X27" s="7"/>
      <c r="Y27" s="7"/>
      <c r="Z27" s="7"/>
      <c r="AA27" s="7"/>
      <c r="AB27" s="7" t="s">
        <v>163</v>
      </c>
      <c r="AC27" s="13"/>
      <c r="AD27" s="7"/>
      <c r="AE27" s="7"/>
      <c r="AF27" s="533"/>
      <c r="AG27" s="533"/>
      <c r="AH27" s="533"/>
      <c r="AI27" s="533"/>
      <c r="AJ27" s="13"/>
      <c r="AK27" s="7"/>
      <c r="AL27" s="7"/>
      <c r="AM27" s="7"/>
      <c r="AN27" s="7"/>
      <c r="AO27" s="7"/>
      <c r="AP27" s="7"/>
      <c r="AQ27" s="13"/>
      <c r="AR27" s="7"/>
      <c r="AS27" s="7"/>
      <c r="AT27" s="533"/>
      <c r="AU27" s="533"/>
      <c r="AV27" s="533"/>
      <c r="AW27" s="533"/>
      <c r="AX27" s="13"/>
      <c r="AY27" s="7"/>
      <c r="AZ27" s="7"/>
      <c r="BA27" s="7"/>
      <c r="BB27" s="7"/>
      <c r="BC27" s="7"/>
      <c r="BD27" s="7"/>
      <c r="BE27" s="13"/>
      <c r="BF27" s="7"/>
      <c r="BG27" s="7"/>
      <c r="BH27" s="533"/>
      <c r="BI27" s="533"/>
      <c r="BJ27" s="533"/>
      <c r="BK27" s="533"/>
    </row>
    <row r="28" spans="1:63" hidden="1" outlineLevel="1">
      <c r="A28" s="515" t="s">
        <v>99</v>
      </c>
      <c r="B28" s="518">
        <f>IFERROR(B22/B6,0)</f>
        <v>0.7594602496100411</v>
      </c>
      <c r="C28" s="518">
        <f t="shared" ref="C28:G28" si="38">IFERROR(C22/C6,0)</f>
        <v>0.75710332983493944</v>
      </c>
      <c r="D28" s="518">
        <f t="shared" si="38"/>
        <v>0.74350108499567036</v>
      </c>
      <c r="E28" s="518">
        <f t="shared" si="38"/>
        <v>0.86216146615734579</v>
      </c>
      <c r="F28" s="518">
        <f t="shared" si="38"/>
        <v>0</v>
      </c>
      <c r="G28" s="518">
        <f t="shared" si="38"/>
        <v>0.74915919581133283</v>
      </c>
      <c r="H28" s="532"/>
      <c r="I28" s="518">
        <f>IFERROR(I22/I6,0)</f>
        <v>0.79</v>
      </c>
      <c r="J28" s="518">
        <f t="shared" ref="J28:N28" si="39">IFERROR(J22/J6,0)</f>
        <v>0.7599999999999999</v>
      </c>
      <c r="K28" s="518">
        <f t="shared" si="39"/>
        <v>0.76</v>
      </c>
      <c r="L28" s="518">
        <f t="shared" si="39"/>
        <v>0</v>
      </c>
      <c r="M28" s="518">
        <f t="shared" si="39"/>
        <v>0</v>
      </c>
      <c r="N28" s="518">
        <f t="shared" si="39"/>
        <v>0.77158614118151503</v>
      </c>
      <c r="O28" s="518"/>
      <c r="P28" s="518"/>
      <c r="Q28" s="518"/>
      <c r="R28" s="533"/>
      <c r="S28" s="533"/>
      <c r="T28" s="533"/>
      <c r="U28" s="533"/>
      <c r="V28" s="533"/>
      <c r="W28" s="518">
        <f>IFERROR(W22/W6,0)</f>
        <v>0.79999999999999993</v>
      </c>
      <c r="X28" s="518">
        <f t="shared" ref="X28:AB28" si="40">IFERROR(X22/X6,0)</f>
        <v>0.76</v>
      </c>
      <c r="Y28" s="518">
        <f t="shared" si="40"/>
        <v>0.76</v>
      </c>
      <c r="Z28" s="518">
        <f t="shared" si="40"/>
        <v>0</v>
      </c>
      <c r="AA28" s="518">
        <f t="shared" si="40"/>
        <v>0</v>
      </c>
      <c r="AB28" s="518">
        <f t="shared" si="40"/>
        <v>0.78063963006908466</v>
      </c>
      <c r="AC28" s="13"/>
      <c r="AD28" s="518"/>
      <c r="AE28" s="518"/>
      <c r="AF28" s="533"/>
      <c r="AG28" s="533"/>
      <c r="AH28" s="533"/>
      <c r="AI28" s="533"/>
      <c r="AJ28" s="13"/>
      <c r="AK28" s="518">
        <v>0.78999999999999992</v>
      </c>
      <c r="AL28" s="518">
        <v>0.76</v>
      </c>
      <c r="AM28" s="518">
        <v>0.76000000000000012</v>
      </c>
      <c r="AN28" s="518">
        <v>0</v>
      </c>
      <c r="AO28" s="518"/>
      <c r="AP28" s="518">
        <v>0.77103548832360103</v>
      </c>
      <c r="AQ28" s="13"/>
      <c r="AR28" s="518"/>
      <c r="AS28" s="518"/>
      <c r="AT28" s="533"/>
      <c r="AU28" s="533"/>
      <c r="AV28" s="533"/>
      <c r="AW28" s="533"/>
      <c r="AX28" s="13"/>
      <c r="AY28" s="518">
        <v>0.8</v>
      </c>
      <c r="AZ28" s="518">
        <v>0.76000000000000012</v>
      </c>
      <c r="BA28" s="518">
        <v>0.76</v>
      </c>
      <c r="BB28" s="518">
        <v>0</v>
      </c>
      <c r="BC28" s="518"/>
      <c r="BD28" s="518">
        <v>0.77894082608619031</v>
      </c>
      <c r="BE28" s="13"/>
      <c r="BF28" s="518"/>
      <c r="BG28" s="518"/>
      <c r="BH28" s="533"/>
      <c r="BI28" s="533"/>
      <c r="BJ28" s="533"/>
      <c r="BK28" s="533"/>
    </row>
    <row r="29" spans="1:63" hidden="1" outlineLevel="1">
      <c r="A29" s="515" t="s">
        <v>100</v>
      </c>
      <c r="B29" s="518">
        <f t="shared" ref="B29:G29" si="41">IFERROR(B23/B7,0)</f>
        <v>0.72234934061235168</v>
      </c>
      <c r="C29" s="518">
        <f t="shared" si="41"/>
        <v>0.67496405875779664</v>
      </c>
      <c r="D29" s="518">
        <f t="shared" si="41"/>
        <v>0.63358102968467322</v>
      </c>
      <c r="E29" s="518">
        <f t="shared" si="41"/>
        <v>0.59285668793420987</v>
      </c>
      <c r="F29" s="518">
        <f t="shared" si="41"/>
        <v>0</v>
      </c>
      <c r="G29" s="518">
        <f t="shared" si="41"/>
        <v>0.690222286653282</v>
      </c>
      <c r="H29" s="532"/>
      <c r="I29" s="518">
        <f t="shared" ref="I29:N29" si="42">IFERROR(I23/I7,0)</f>
        <v>0.74480000000000002</v>
      </c>
      <c r="J29" s="518">
        <f t="shared" si="42"/>
        <v>0.68</v>
      </c>
      <c r="K29" s="518">
        <f t="shared" si="42"/>
        <v>0.6</v>
      </c>
      <c r="L29" s="518">
        <f t="shared" si="42"/>
        <v>0.62683735277009922</v>
      </c>
      <c r="M29" s="518">
        <f t="shared" si="42"/>
        <v>0</v>
      </c>
      <c r="N29" s="518">
        <f t="shared" si="42"/>
        <v>0.70173570395805818</v>
      </c>
      <c r="O29" s="518"/>
      <c r="P29" s="518"/>
      <c r="Q29" s="518"/>
      <c r="R29" s="533"/>
      <c r="S29" s="533"/>
      <c r="T29" s="533"/>
      <c r="U29" s="533"/>
      <c r="V29" s="533"/>
      <c r="W29" s="518">
        <f t="shared" ref="W29:AB29" si="43">IFERROR(W23/W7,0)</f>
        <v>0.74480000000000002</v>
      </c>
      <c r="X29" s="518">
        <f t="shared" si="43"/>
        <v>0.67999999999999994</v>
      </c>
      <c r="Y29" s="518">
        <f t="shared" si="43"/>
        <v>0.6</v>
      </c>
      <c r="Z29" s="518">
        <f t="shared" si="43"/>
        <v>0.62683735277009922</v>
      </c>
      <c r="AA29" s="518">
        <f t="shared" si="43"/>
        <v>0</v>
      </c>
      <c r="AB29" s="518">
        <f t="shared" si="43"/>
        <v>0.70216689556911271</v>
      </c>
      <c r="AC29" s="13"/>
      <c r="AD29" s="518"/>
      <c r="AE29" s="518"/>
      <c r="AF29" s="533"/>
      <c r="AG29" s="533"/>
      <c r="AH29" s="533"/>
      <c r="AI29" s="533"/>
      <c r="AJ29" s="13"/>
      <c r="AK29" s="518">
        <v>0.74480000000000002</v>
      </c>
      <c r="AL29" s="518">
        <v>0.75</v>
      </c>
      <c r="AM29" s="518">
        <v>0.7</v>
      </c>
      <c r="AN29" s="518">
        <v>0.68</v>
      </c>
      <c r="AO29" s="518"/>
      <c r="AP29" s="518">
        <v>0.73765750607064473</v>
      </c>
      <c r="AQ29" s="13"/>
      <c r="AR29" s="518"/>
      <c r="AS29" s="518"/>
      <c r="AT29" s="533"/>
      <c r="AU29" s="533"/>
      <c r="AV29" s="533"/>
      <c r="AW29" s="533"/>
      <c r="AX29" s="13"/>
      <c r="AY29" s="518">
        <v>0.74479999999999991</v>
      </c>
      <c r="AZ29" s="518">
        <v>0.75000000000000011</v>
      </c>
      <c r="BA29" s="518">
        <v>0.70000000000000007</v>
      </c>
      <c r="BB29" s="518">
        <v>0.68000000000000016</v>
      </c>
      <c r="BC29" s="518"/>
      <c r="BD29" s="518">
        <v>0.70949778082861825</v>
      </c>
      <c r="BE29" s="13"/>
      <c r="BF29" s="518"/>
      <c r="BG29" s="518"/>
      <c r="BH29" s="533"/>
      <c r="BI29" s="533"/>
      <c r="BJ29" s="533"/>
      <c r="BK29" s="533"/>
    </row>
    <row r="30" spans="1:63" hidden="1" outlineLevel="1">
      <c r="A30" s="515" t="s">
        <v>101</v>
      </c>
      <c r="B30" s="518">
        <f t="shared" ref="B30:G30" si="44">IFERROR(B24/B8,0)</f>
        <v>0.82756944093641527</v>
      </c>
      <c r="C30" s="518">
        <f t="shared" si="44"/>
        <v>0.82368143964774576</v>
      </c>
      <c r="D30" s="518">
        <f t="shared" si="44"/>
        <v>0</v>
      </c>
      <c r="E30" s="518">
        <f t="shared" si="44"/>
        <v>0.87678751986133174</v>
      </c>
      <c r="F30" s="518">
        <f t="shared" si="44"/>
        <v>0</v>
      </c>
      <c r="G30" s="518">
        <f t="shared" si="44"/>
        <v>0.82903649132754575</v>
      </c>
      <c r="H30" s="532"/>
      <c r="I30" s="518">
        <f t="shared" ref="I30:N30" si="45">IFERROR(I24/I8,0)</f>
        <v>0.82000000000000006</v>
      </c>
      <c r="J30" s="518">
        <f t="shared" si="45"/>
        <v>0.82000000000000006</v>
      </c>
      <c r="K30" s="518">
        <f t="shared" si="45"/>
        <v>0</v>
      </c>
      <c r="L30" s="518">
        <f t="shared" si="45"/>
        <v>0.82000000000000006</v>
      </c>
      <c r="M30" s="518">
        <f t="shared" si="45"/>
        <v>0</v>
      </c>
      <c r="N30" s="518">
        <f t="shared" si="45"/>
        <v>0.82</v>
      </c>
      <c r="O30" s="518"/>
      <c r="P30" s="518"/>
      <c r="Q30" s="518"/>
      <c r="R30" s="533"/>
      <c r="S30" s="533"/>
      <c r="T30" s="533"/>
      <c r="U30" s="533"/>
      <c r="V30" s="533"/>
      <c r="W30" s="518">
        <f t="shared" ref="W30:AB30" si="46">IFERROR(W24/W8,0)</f>
        <v>0.82</v>
      </c>
      <c r="X30" s="518">
        <f t="shared" si="46"/>
        <v>0.82000000000000006</v>
      </c>
      <c r="Y30" s="518">
        <f t="shared" si="46"/>
        <v>0</v>
      </c>
      <c r="Z30" s="518">
        <f t="shared" si="46"/>
        <v>0.82000000000000006</v>
      </c>
      <c r="AA30" s="518">
        <f t="shared" si="46"/>
        <v>0</v>
      </c>
      <c r="AB30" s="518">
        <f t="shared" si="46"/>
        <v>0.82000000000000006</v>
      </c>
      <c r="AC30" s="13"/>
      <c r="AD30" s="518"/>
      <c r="AE30" s="518"/>
      <c r="AF30" s="533"/>
      <c r="AG30" s="533"/>
      <c r="AH30" s="533"/>
      <c r="AI30" s="533"/>
      <c r="AJ30" s="13"/>
      <c r="AK30" s="518">
        <v>0.82000000000000006</v>
      </c>
      <c r="AL30" s="518">
        <v>0.82</v>
      </c>
      <c r="AM30" s="518">
        <v>0</v>
      </c>
      <c r="AN30" s="518">
        <v>0.82000000000000006</v>
      </c>
      <c r="AO30" s="518"/>
      <c r="AP30" s="518">
        <v>0.82000000000000006</v>
      </c>
      <c r="AQ30" s="13"/>
      <c r="AR30" s="518"/>
      <c r="AS30" s="518"/>
      <c r="AT30" s="533"/>
      <c r="AU30" s="533"/>
      <c r="AV30" s="533"/>
      <c r="AW30" s="533"/>
      <c r="AX30" s="13"/>
      <c r="AY30" s="518">
        <v>0.82</v>
      </c>
      <c r="AZ30" s="518">
        <v>0.82</v>
      </c>
      <c r="BA30" s="518">
        <v>0</v>
      </c>
      <c r="BB30" s="518">
        <v>0.82000000000000006</v>
      </c>
      <c r="BC30" s="518"/>
      <c r="BD30" s="518">
        <v>0.82000000000000006</v>
      </c>
      <c r="BE30" s="13"/>
      <c r="BF30" s="518"/>
      <c r="BG30" s="518"/>
      <c r="BH30" s="533"/>
      <c r="BI30" s="533"/>
      <c r="BJ30" s="533"/>
      <c r="BK30" s="533"/>
    </row>
    <row r="31" spans="1:63" hidden="1" outlineLevel="1">
      <c r="A31" s="515" t="s">
        <v>102</v>
      </c>
      <c r="B31" s="518">
        <f t="shared" ref="B31:G31" si="47">IFERROR(B25/B9,0)</f>
        <v>0.78871061064625247</v>
      </c>
      <c r="C31" s="518">
        <f t="shared" si="47"/>
        <v>0</v>
      </c>
      <c r="D31" s="518">
        <f t="shared" si="47"/>
        <v>0</v>
      </c>
      <c r="E31" s="518">
        <f t="shared" si="47"/>
        <v>0</v>
      </c>
      <c r="F31" s="518">
        <f t="shared" si="47"/>
        <v>0</v>
      </c>
      <c r="G31" s="518">
        <f t="shared" si="47"/>
        <v>0.78871061064625247</v>
      </c>
      <c r="H31" s="532"/>
      <c r="I31" s="518">
        <f t="shared" ref="I31:N31" si="48">IFERROR(I25/I9,0)</f>
        <v>0</v>
      </c>
      <c r="J31" s="518">
        <f t="shared" si="48"/>
        <v>0</v>
      </c>
      <c r="K31" s="518">
        <f t="shared" si="48"/>
        <v>0</v>
      </c>
      <c r="L31" s="518">
        <f t="shared" si="48"/>
        <v>0</v>
      </c>
      <c r="M31" s="518">
        <f t="shared" si="48"/>
        <v>0</v>
      </c>
      <c r="N31" s="518">
        <f t="shared" si="48"/>
        <v>0</v>
      </c>
      <c r="O31" s="518"/>
      <c r="P31" s="518"/>
      <c r="Q31" s="518"/>
      <c r="R31" s="533"/>
      <c r="S31" s="533"/>
      <c r="T31" s="533"/>
      <c r="U31" s="533"/>
      <c r="V31" s="533"/>
      <c r="W31" s="518">
        <f t="shared" ref="W31:AB31" si="49">IFERROR(W25/W9,0)</f>
        <v>0</v>
      </c>
      <c r="X31" s="518">
        <f t="shared" si="49"/>
        <v>0</v>
      </c>
      <c r="Y31" s="518">
        <f t="shared" si="49"/>
        <v>0</v>
      </c>
      <c r="Z31" s="518">
        <f t="shared" si="49"/>
        <v>0</v>
      </c>
      <c r="AA31" s="518">
        <f t="shared" si="49"/>
        <v>0</v>
      </c>
      <c r="AB31" s="518">
        <f t="shared" si="49"/>
        <v>0</v>
      </c>
      <c r="AC31" s="13"/>
      <c r="AD31" s="518"/>
      <c r="AE31" s="518"/>
      <c r="AF31" s="533"/>
      <c r="AG31" s="533"/>
      <c r="AH31" s="533"/>
      <c r="AI31" s="533"/>
      <c r="AJ31" s="13"/>
      <c r="AK31" s="518">
        <v>0</v>
      </c>
      <c r="AL31" s="518">
        <v>0</v>
      </c>
      <c r="AM31" s="518">
        <v>0</v>
      </c>
      <c r="AN31" s="518">
        <v>0</v>
      </c>
      <c r="AO31" s="518"/>
      <c r="AP31" s="518">
        <v>0</v>
      </c>
      <c r="AQ31" s="13"/>
      <c r="AR31" s="518"/>
      <c r="AS31" s="518"/>
      <c r="AT31" s="533"/>
      <c r="AU31" s="533"/>
      <c r="AV31" s="533"/>
      <c r="AW31" s="533"/>
      <c r="AX31" s="13"/>
      <c r="AY31" s="518">
        <v>0</v>
      </c>
      <c r="AZ31" s="518">
        <v>0</v>
      </c>
      <c r="BA31" s="518">
        <v>0</v>
      </c>
      <c r="BB31" s="518">
        <v>0</v>
      </c>
      <c r="BC31" s="518"/>
      <c r="BD31" s="518">
        <v>0</v>
      </c>
      <c r="BE31" s="13"/>
      <c r="BF31" s="518"/>
      <c r="BG31" s="518"/>
      <c r="BH31" s="533"/>
      <c r="BI31" s="533"/>
      <c r="BJ31" s="533"/>
      <c r="BK31" s="533"/>
    </row>
    <row r="32" spans="1:63" hidden="1" outlineLevel="1">
      <c r="A32" s="516" t="s">
        <v>103</v>
      </c>
      <c r="B32" s="518">
        <f>IFERROR(B26/B11,0)</f>
        <v>0.7619464327016483</v>
      </c>
      <c r="C32" s="518">
        <f t="shared" ref="C32:G32" si="50">IFERROR(C26/C10,0)</f>
        <v>0</v>
      </c>
      <c r="D32" s="518">
        <f t="shared" si="50"/>
        <v>0</v>
      </c>
      <c r="E32" s="518">
        <f t="shared" si="50"/>
        <v>0</v>
      </c>
      <c r="F32" s="518">
        <f t="shared" si="50"/>
        <v>0</v>
      </c>
      <c r="G32" s="518">
        <f t="shared" si="50"/>
        <v>0</v>
      </c>
      <c r="H32" s="532"/>
      <c r="I32" s="518">
        <f>IFERROR(I26/I11,0)</f>
        <v>0.77957342763929904</v>
      </c>
      <c r="J32" s="518">
        <f t="shared" ref="J32:N32" si="51">IFERROR(J26/J10,0)</f>
        <v>0</v>
      </c>
      <c r="K32" s="518">
        <f t="shared" si="51"/>
        <v>0</v>
      </c>
      <c r="L32" s="518">
        <f t="shared" si="51"/>
        <v>0</v>
      </c>
      <c r="M32" s="518">
        <f t="shared" si="51"/>
        <v>0</v>
      </c>
      <c r="N32" s="518">
        <f t="shared" si="51"/>
        <v>0</v>
      </c>
      <c r="O32" s="518"/>
      <c r="P32" s="518"/>
      <c r="Q32" s="518"/>
      <c r="R32" s="533"/>
      <c r="S32" s="533"/>
      <c r="T32" s="533"/>
      <c r="U32" s="533"/>
      <c r="V32" s="533"/>
      <c r="W32" s="518">
        <f>IFERROR(W26/W11,0)</f>
        <v>0.78769423445151188</v>
      </c>
      <c r="X32" s="518">
        <f t="shared" ref="X32:AB32" si="52">IFERROR(X26/X10,0)</f>
        <v>0</v>
      </c>
      <c r="Y32" s="518">
        <f t="shared" si="52"/>
        <v>0</v>
      </c>
      <c r="Z32" s="518">
        <f t="shared" si="52"/>
        <v>0</v>
      </c>
      <c r="AA32" s="518">
        <f t="shared" si="52"/>
        <v>0</v>
      </c>
      <c r="AB32" s="518">
        <f t="shared" si="52"/>
        <v>0</v>
      </c>
      <c r="AC32" s="13"/>
      <c r="AD32" s="518"/>
      <c r="AE32" s="518"/>
      <c r="AF32" s="533"/>
      <c r="AG32" s="533"/>
      <c r="AH32" s="533"/>
      <c r="AI32" s="533"/>
      <c r="AJ32" s="13"/>
      <c r="AK32" s="518">
        <v>0.77866755381887021</v>
      </c>
      <c r="AL32" s="518">
        <v>0.76965803700362789</v>
      </c>
      <c r="AM32" s="518">
        <v>0.75306769183200373</v>
      </c>
      <c r="AN32" s="518">
        <v>0.71252647185965545</v>
      </c>
      <c r="AO32" s="518"/>
      <c r="AP32" s="518">
        <v>0.76784191233680099</v>
      </c>
      <c r="AQ32" s="13"/>
      <c r="AR32" s="518"/>
      <c r="AS32" s="518"/>
      <c r="AT32" s="533"/>
      <c r="AU32" s="533"/>
      <c r="AV32" s="533"/>
      <c r="AW32" s="533"/>
      <c r="AX32" s="13"/>
      <c r="AY32" s="518">
        <v>0.78892434398995182</v>
      </c>
      <c r="AZ32" s="518">
        <v>0.76888568051045569</v>
      </c>
      <c r="BA32" s="518">
        <v>0.75342103207086997</v>
      </c>
      <c r="BB32" s="518">
        <v>0.68899097555368827</v>
      </c>
      <c r="BC32" s="518"/>
      <c r="BD32" s="518">
        <v>0.76581175545047031</v>
      </c>
      <c r="BE32" s="13"/>
      <c r="BF32" s="518"/>
      <c r="BG32" s="518"/>
      <c r="BH32" s="533"/>
      <c r="BI32" s="533"/>
      <c r="BJ32" s="533"/>
      <c r="BK32" s="533"/>
    </row>
    <row r="33" spans="1:63" hidden="1" outlineLevel="1" collapsed="1">
      <c r="A33" s="13"/>
      <c r="B33" s="7"/>
      <c r="C33" s="7"/>
      <c r="D33" s="7"/>
      <c r="E33" s="7"/>
      <c r="F33" s="7"/>
      <c r="G33" s="7"/>
      <c r="H33" s="532"/>
      <c r="I33" s="7"/>
      <c r="J33" s="518"/>
      <c r="K33" s="518"/>
      <c r="L33" s="518"/>
      <c r="M33" s="518"/>
      <c r="N33" s="518"/>
      <c r="O33" s="518"/>
      <c r="P33" s="518"/>
      <c r="Q33" s="518"/>
      <c r="R33" s="533"/>
      <c r="S33" s="533"/>
      <c r="T33" s="533"/>
      <c r="U33" s="533"/>
      <c r="V33" s="533"/>
      <c r="W33" s="7"/>
      <c r="X33" s="7"/>
      <c r="Y33" s="7"/>
      <c r="Z33" s="7"/>
      <c r="AA33" s="533"/>
      <c r="AB33" s="7"/>
      <c r="AC33" s="13"/>
      <c r="AD33" s="518"/>
      <c r="AE33" s="518"/>
      <c r="AF33" s="533"/>
      <c r="AG33" s="533"/>
      <c r="AH33" s="533"/>
      <c r="AI33" s="533"/>
      <c r="AJ33" s="13"/>
      <c r="AK33" s="7"/>
      <c r="AL33" s="7"/>
      <c r="AM33" s="7"/>
      <c r="AN33" s="7"/>
      <c r="AO33" s="533"/>
      <c r="AP33" s="7"/>
      <c r="AQ33" s="13"/>
      <c r="AR33" s="518"/>
      <c r="AS33" s="518"/>
      <c r="AT33" s="533"/>
      <c r="AU33" s="533"/>
      <c r="AV33" s="533"/>
      <c r="AW33" s="533"/>
      <c r="AX33" s="13"/>
      <c r="AY33" s="7"/>
      <c r="AZ33" s="7"/>
      <c r="BA33" s="7"/>
      <c r="BB33" s="7"/>
      <c r="BC33" s="533"/>
      <c r="BD33" s="7"/>
      <c r="BE33" s="13"/>
      <c r="BF33" s="518"/>
      <c r="BG33" s="518"/>
      <c r="BH33" s="533"/>
      <c r="BI33" s="533"/>
      <c r="BJ33" s="533"/>
      <c r="BK33" s="533"/>
    </row>
    <row r="34" spans="1:63" hidden="1" outlineLevel="2">
      <c r="A34" s="17" t="s">
        <v>104</v>
      </c>
      <c r="B34" s="7"/>
      <c r="C34" s="7"/>
      <c r="D34" s="7"/>
      <c r="E34" s="7"/>
      <c r="F34" s="7"/>
      <c r="G34" s="7"/>
      <c r="H34" s="532"/>
      <c r="I34" s="7"/>
      <c r="J34" s="7"/>
      <c r="K34" s="7"/>
      <c r="L34" s="7"/>
      <c r="M34" s="7"/>
      <c r="N34" s="7"/>
      <c r="O34" s="7"/>
      <c r="P34" s="7"/>
      <c r="Q34" s="7"/>
      <c r="R34" s="533"/>
      <c r="S34" s="533"/>
      <c r="T34" s="533"/>
      <c r="U34" s="533"/>
      <c r="V34" s="533"/>
      <c r="W34" s="7"/>
      <c r="X34" s="7"/>
      <c r="Y34" s="7"/>
      <c r="Z34" s="7"/>
      <c r="AA34" s="533"/>
      <c r="AB34" s="7"/>
      <c r="AC34" s="13"/>
      <c r="AD34" s="7"/>
      <c r="AE34" s="7"/>
      <c r="AF34" s="533"/>
      <c r="AG34" s="533"/>
      <c r="AH34" s="533"/>
      <c r="AI34" s="533"/>
      <c r="AJ34" s="13"/>
      <c r="AK34" s="7"/>
      <c r="AL34" s="7"/>
      <c r="AM34" s="7"/>
      <c r="AN34" s="7"/>
      <c r="AO34" s="533"/>
      <c r="AP34" s="7"/>
      <c r="AQ34" s="13"/>
      <c r="AR34" s="7"/>
      <c r="AS34" s="7"/>
      <c r="AT34" s="533"/>
      <c r="AU34" s="533"/>
      <c r="AV34" s="533"/>
      <c r="AW34" s="533"/>
      <c r="AX34" s="13"/>
      <c r="AY34" s="7"/>
      <c r="AZ34" s="7"/>
      <c r="BA34" s="7"/>
      <c r="BB34" s="7"/>
      <c r="BC34" s="533"/>
      <c r="BD34" s="7"/>
      <c r="BE34" s="13"/>
      <c r="BF34" s="7"/>
      <c r="BG34" s="7"/>
      <c r="BH34" s="533"/>
      <c r="BI34" s="533"/>
      <c r="BJ34" s="533"/>
      <c r="BK34" s="533"/>
    </row>
    <row r="35" spans="1:63" hidden="1" outlineLevel="2">
      <c r="A35" s="13"/>
      <c r="B35" s="7"/>
      <c r="C35" s="7"/>
      <c r="D35" s="7"/>
      <c r="E35" s="7"/>
      <c r="F35" s="7"/>
      <c r="G35" s="7"/>
      <c r="H35" s="532"/>
      <c r="I35" s="7"/>
      <c r="J35" s="7"/>
      <c r="K35" s="7"/>
      <c r="L35" s="7"/>
      <c r="M35" s="7"/>
      <c r="N35" s="7"/>
      <c r="O35" s="7"/>
      <c r="P35" s="7"/>
      <c r="Q35" s="7"/>
      <c r="R35" s="533"/>
      <c r="S35" s="533"/>
      <c r="T35" s="533"/>
      <c r="U35" s="533"/>
      <c r="V35" s="533"/>
      <c r="W35" s="7"/>
      <c r="X35" s="7"/>
      <c r="Y35" s="7"/>
      <c r="Z35" s="7"/>
      <c r="AA35" s="533"/>
      <c r="AB35" s="7"/>
      <c r="AC35" s="13"/>
      <c r="AD35" s="7"/>
      <c r="AE35" s="7"/>
      <c r="AF35" s="533"/>
      <c r="AG35" s="533"/>
      <c r="AH35" s="533"/>
      <c r="AI35" s="533"/>
      <c r="AJ35" s="13"/>
      <c r="AK35" s="7"/>
      <c r="AL35" s="7"/>
      <c r="AM35" s="7"/>
      <c r="AN35" s="7"/>
      <c r="AO35" s="533"/>
      <c r="AP35" s="7"/>
      <c r="AQ35" s="13"/>
      <c r="AR35" s="7"/>
      <c r="AS35" s="7"/>
      <c r="AT35" s="533"/>
      <c r="AU35" s="533"/>
      <c r="AV35" s="533"/>
      <c r="AW35" s="533"/>
      <c r="AX35" s="13"/>
      <c r="AY35" s="7"/>
      <c r="AZ35" s="7"/>
      <c r="BA35" s="7"/>
      <c r="BB35" s="7"/>
      <c r="BC35" s="533"/>
      <c r="BD35" s="7"/>
      <c r="BE35" s="13"/>
      <c r="BF35" s="7"/>
      <c r="BG35" s="7"/>
      <c r="BH35" s="533"/>
      <c r="BI35" s="533"/>
      <c r="BJ35" s="533"/>
      <c r="BK35" s="533"/>
    </row>
    <row r="36" spans="1:63" hidden="1" outlineLevel="2">
      <c r="A36" s="13" t="s">
        <v>105</v>
      </c>
      <c r="B36" s="522">
        <v>-8901</v>
      </c>
      <c r="C36" s="522">
        <v>14198</v>
      </c>
      <c r="D36" s="522" t="s">
        <v>164</v>
      </c>
      <c r="E36" s="522">
        <v>-128</v>
      </c>
      <c r="F36" s="522">
        <v>-340393</v>
      </c>
      <c r="G36" s="522">
        <v>-350589</v>
      </c>
      <c r="H36" s="532"/>
      <c r="I36" s="83">
        <v>0</v>
      </c>
      <c r="J36" s="83">
        <v>0</v>
      </c>
      <c r="K36" s="83">
        <v>0</v>
      </c>
      <c r="L36" s="83">
        <v>0</v>
      </c>
      <c r="M36" s="83"/>
      <c r="N36" s="83">
        <v>-300000</v>
      </c>
      <c r="O36" s="83"/>
      <c r="P36" s="89">
        <f t="shared" ref="P36:P40" si="53">IFERROR((I36-B36)/B36,0)</f>
        <v>-1</v>
      </c>
      <c r="Q36" s="89">
        <f t="shared" ref="Q36:Q40" si="54">IFERROR((J36-C36)/C36,0)</f>
        <v>-1</v>
      </c>
      <c r="R36" s="89">
        <f t="shared" ref="R36:R40" si="55">IFERROR((K36-D36)/D36,0)</f>
        <v>0</v>
      </c>
      <c r="S36" s="89">
        <f t="shared" ref="S36:S40" si="56">IFERROR((L36-E36)/E36,0)</f>
        <v>-1</v>
      </c>
      <c r="T36" s="89">
        <f t="shared" ref="T36:T40" si="57">IFERROR((M36-F36)/F36,0)</f>
        <v>-1</v>
      </c>
      <c r="U36" s="89">
        <f t="shared" ref="U36:U40" si="58">IFERROR((N36-G36)/G36,0)</f>
        <v>-0.1442971684793305</v>
      </c>
      <c r="V36" s="533"/>
      <c r="W36" s="83">
        <v>0</v>
      </c>
      <c r="X36" s="83">
        <v>0</v>
      </c>
      <c r="Y36" s="83">
        <v>0</v>
      </c>
      <c r="Z36" s="83">
        <v>0</v>
      </c>
      <c r="AA36" s="13"/>
      <c r="AB36" s="83">
        <v>-300000</v>
      </c>
      <c r="AC36" s="13"/>
      <c r="AD36" s="89">
        <f t="shared" ref="AD36:AI40" si="59">IFERROR((W36-I36)/I36,0)</f>
        <v>0</v>
      </c>
      <c r="AE36" s="89">
        <f t="shared" si="59"/>
        <v>0</v>
      </c>
      <c r="AF36" s="89">
        <f t="shared" si="59"/>
        <v>0</v>
      </c>
      <c r="AG36" s="89">
        <f t="shared" si="59"/>
        <v>0</v>
      </c>
      <c r="AH36" s="89">
        <f t="shared" si="59"/>
        <v>0</v>
      </c>
      <c r="AI36" s="89">
        <f t="shared" si="59"/>
        <v>0</v>
      </c>
      <c r="AJ36" s="13"/>
      <c r="AK36" s="83">
        <v>0</v>
      </c>
      <c r="AL36" s="83">
        <v>0</v>
      </c>
      <c r="AM36" s="83">
        <v>0</v>
      </c>
      <c r="AN36" s="83">
        <v>0</v>
      </c>
      <c r="AO36" s="13"/>
      <c r="AP36" s="83">
        <v>-300000</v>
      </c>
      <c r="AQ36" s="13"/>
      <c r="AR36" s="89">
        <f t="shared" ref="AR36:AW40" si="60">IFERROR((AK36-B36)/B36,0)</f>
        <v>-1</v>
      </c>
      <c r="AS36" s="89">
        <f t="shared" si="60"/>
        <v>-1</v>
      </c>
      <c r="AT36" s="89">
        <f t="shared" si="60"/>
        <v>0</v>
      </c>
      <c r="AU36" s="89">
        <f t="shared" si="60"/>
        <v>-1</v>
      </c>
      <c r="AV36" s="89">
        <f t="shared" si="60"/>
        <v>-1</v>
      </c>
      <c r="AW36" s="89">
        <f t="shared" si="60"/>
        <v>-0.1442971684793305</v>
      </c>
      <c r="AX36" s="13"/>
      <c r="AY36" s="83">
        <v>0</v>
      </c>
      <c r="AZ36" s="83">
        <v>0</v>
      </c>
      <c r="BA36" s="83">
        <v>0</v>
      </c>
      <c r="BB36" s="83">
        <v>0</v>
      </c>
      <c r="BC36" s="13"/>
      <c r="BD36" s="83">
        <v>-300000</v>
      </c>
      <c r="BE36" s="13"/>
      <c r="BF36" s="89">
        <f t="shared" ref="BF36:BK40" si="61">IFERROR((AY36-I36)/I36,0)</f>
        <v>0</v>
      </c>
      <c r="BG36" s="89">
        <f t="shared" si="61"/>
        <v>0</v>
      </c>
      <c r="BH36" s="89">
        <f t="shared" si="61"/>
        <v>0</v>
      </c>
      <c r="BI36" s="89">
        <f t="shared" si="61"/>
        <v>0</v>
      </c>
      <c r="BJ36" s="89">
        <f t="shared" si="61"/>
        <v>0</v>
      </c>
      <c r="BK36" s="89">
        <f t="shared" si="61"/>
        <v>0</v>
      </c>
    </row>
    <row r="37" spans="1:63" hidden="1" outlineLevel="2">
      <c r="A37" s="13" t="s">
        <v>106</v>
      </c>
      <c r="B37" s="522">
        <v>-263146</v>
      </c>
      <c r="C37" s="522">
        <v>-242539</v>
      </c>
      <c r="D37" s="522">
        <v>-833420</v>
      </c>
      <c r="E37" s="522">
        <v>-27005</v>
      </c>
      <c r="F37" s="522">
        <v>-42154</v>
      </c>
      <c r="G37" s="522">
        <v>-1407620</v>
      </c>
      <c r="H37" s="532"/>
      <c r="I37" s="83">
        <v>-660990.96365134546</v>
      </c>
      <c r="J37" s="83">
        <v>-322094.41439929011</v>
      </c>
      <c r="K37" s="83">
        <v>-1164276.1250573886</v>
      </c>
      <c r="L37" s="83">
        <v>0</v>
      </c>
      <c r="M37" s="83">
        <v>-300000</v>
      </c>
      <c r="N37" s="83">
        <v>-2147361.5031080237</v>
      </c>
      <c r="O37" s="83"/>
      <c r="P37" s="89">
        <f t="shared" si="53"/>
        <v>1.5118791988148992</v>
      </c>
      <c r="Q37" s="89">
        <f t="shared" si="54"/>
        <v>0.32801081227880924</v>
      </c>
      <c r="R37" s="89">
        <f t="shared" si="55"/>
        <v>0.39698606351826038</v>
      </c>
      <c r="S37" s="89">
        <f t="shared" si="56"/>
        <v>-1</v>
      </c>
      <c r="T37" s="89">
        <f t="shared" si="57"/>
        <v>6.1167623475826733</v>
      </c>
      <c r="U37" s="89">
        <f t="shared" si="58"/>
        <v>0.52552642269079985</v>
      </c>
      <c r="V37" s="533"/>
      <c r="W37" s="83">
        <v>-1517601.2084459006</v>
      </c>
      <c r="X37" s="83">
        <v>-673347.58029872924</v>
      </c>
      <c r="Y37" s="83">
        <v>-1340817.117225772</v>
      </c>
      <c r="Z37" s="83">
        <v>0</v>
      </c>
      <c r="AA37" s="83">
        <v>-300000</v>
      </c>
      <c r="AB37" s="83">
        <v>-3531765.9059704025</v>
      </c>
      <c r="AC37" s="13"/>
      <c r="AD37" s="89">
        <f t="shared" si="59"/>
        <v>1.2959484953661082</v>
      </c>
      <c r="AE37" s="89">
        <f t="shared" si="59"/>
        <v>1.0905285847770148</v>
      </c>
      <c r="AF37" s="89">
        <f t="shared" si="59"/>
        <v>0.15163154888165514</v>
      </c>
      <c r="AG37" s="89">
        <f t="shared" si="59"/>
        <v>0</v>
      </c>
      <c r="AH37" s="89">
        <f t="shared" si="59"/>
        <v>0</v>
      </c>
      <c r="AI37" s="89">
        <f t="shared" si="59"/>
        <v>0.64470020574488063</v>
      </c>
      <c r="AJ37" s="13"/>
      <c r="AK37" s="83">
        <v>-683798.04402307025</v>
      </c>
      <c r="AL37" s="83">
        <v>-418215.6271141824</v>
      </c>
      <c r="AM37" s="83">
        <v>-1244444.709629412</v>
      </c>
      <c r="AN37" s="83">
        <v>0</v>
      </c>
      <c r="AO37" s="83">
        <v>-300000</v>
      </c>
      <c r="AP37" s="83">
        <v>-2346458.3807666646</v>
      </c>
      <c r="AQ37" s="13"/>
      <c r="AR37" s="89">
        <f t="shared" si="60"/>
        <v>1.5985500217486499</v>
      </c>
      <c r="AS37" s="89">
        <f t="shared" si="60"/>
        <v>0.72432321034630476</v>
      </c>
      <c r="AT37" s="89">
        <f t="shared" si="60"/>
        <v>0.49317836100574985</v>
      </c>
      <c r="AU37" s="89">
        <f t="shared" si="60"/>
        <v>-1</v>
      </c>
      <c r="AV37" s="89">
        <f t="shared" si="60"/>
        <v>6.1167623475826733</v>
      </c>
      <c r="AW37" s="89">
        <f t="shared" si="60"/>
        <v>0.6669686284413866</v>
      </c>
      <c r="AX37" s="13"/>
      <c r="AY37" s="83">
        <v>-1550035.4933445053</v>
      </c>
      <c r="AZ37" s="83">
        <v>-995120.72190755513</v>
      </c>
      <c r="BA37" s="83">
        <v>-1443305.5642609396</v>
      </c>
      <c r="BB37" s="83">
        <v>0</v>
      </c>
      <c r="BC37" s="83">
        <v>-300000</v>
      </c>
      <c r="BD37" s="83">
        <v>-3988461.7795129996</v>
      </c>
      <c r="BE37" s="13"/>
      <c r="BF37" s="89">
        <f t="shared" si="61"/>
        <v>1.3450176758575272</v>
      </c>
      <c r="BG37" s="89">
        <f t="shared" si="61"/>
        <v>2.0895311356561925</v>
      </c>
      <c r="BH37" s="89">
        <f t="shared" si="61"/>
        <v>0.23965916091408071</v>
      </c>
      <c r="BI37" s="89">
        <f t="shared" si="61"/>
        <v>0</v>
      </c>
      <c r="BJ37" s="89">
        <f t="shared" si="61"/>
        <v>0</v>
      </c>
      <c r="BK37" s="89">
        <f t="shared" si="61"/>
        <v>0.85737789083963045</v>
      </c>
    </row>
    <row r="38" spans="1:63" hidden="1" outlineLevel="2">
      <c r="A38" s="13" t="s">
        <v>107</v>
      </c>
      <c r="B38" s="522">
        <v>-203593</v>
      </c>
      <c r="C38" s="522">
        <v>-94006</v>
      </c>
      <c r="D38" s="522">
        <v>-36834</v>
      </c>
      <c r="E38" s="522">
        <v>-77593</v>
      </c>
      <c r="F38" s="522">
        <v>5673</v>
      </c>
      <c r="G38" s="522">
        <v>-406351</v>
      </c>
      <c r="H38" s="532"/>
      <c r="I38" s="83">
        <v>-217872.59916449699</v>
      </c>
      <c r="J38" s="83">
        <v>-125712.74360709397</v>
      </c>
      <c r="K38" s="83">
        <v>-49040.829837217672</v>
      </c>
      <c r="L38" s="83">
        <v>0</v>
      </c>
      <c r="M38" s="83"/>
      <c r="N38" s="83">
        <v>-392626.17260880861</v>
      </c>
      <c r="O38" s="83"/>
      <c r="P38" s="89">
        <f t="shared" si="53"/>
        <v>7.0137967241000382E-2</v>
      </c>
      <c r="Q38" s="89">
        <f t="shared" si="54"/>
        <v>0.33728425427200365</v>
      </c>
      <c r="R38" s="89">
        <f t="shared" si="55"/>
        <v>0.33140114669103743</v>
      </c>
      <c r="S38" s="89">
        <f t="shared" si="56"/>
        <v>-1</v>
      </c>
      <c r="T38" s="89">
        <f t="shared" si="57"/>
        <v>-1</v>
      </c>
      <c r="U38" s="89">
        <f t="shared" si="58"/>
        <v>-3.3775793319547352E-2</v>
      </c>
      <c r="V38" s="533"/>
      <c r="W38" s="83">
        <v>-259233.47499196755</v>
      </c>
      <c r="X38" s="83">
        <v>-180710.21431599287</v>
      </c>
      <c r="Y38" s="83">
        <v>-55524.871329078545</v>
      </c>
      <c r="Z38" s="83">
        <v>-110065.20017342101</v>
      </c>
      <c r="AA38" s="83"/>
      <c r="AB38" s="83">
        <v>-605533.76081045996</v>
      </c>
      <c r="AC38" s="13"/>
      <c r="AD38" s="89">
        <f t="shared" si="59"/>
        <v>0.18983973196300144</v>
      </c>
      <c r="AE38" s="89">
        <f t="shared" si="59"/>
        <v>0.43748524716626569</v>
      </c>
      <c r="AF38" s="89">
        <f t="shared" si="59"/>
        <v>0.13221720581367602</v>
      </c>
      <c r="AG38" s="89">
        <f t="shared" si="59"/>
        <v>0</v>
      </c>
      <c r="AH38" s="89">
        <f t="shared" si="59"/>
        <v>0</v>
      </c>
      <c r="AI38" s="89">
        <f t="shared" si="59"/>
        <v>0.54226539913777194</v>
      </c>
      <c r="AJ38" s="13"/>
      <c r="AK38" s="83">
        <v>-249685.6493383513</v>
      </c>
      <c r="AL38" s="83">
        <v>-164056.62150982488</v>
      </c>
      <c r="AM38" s="83">
        <v>-50456.603716720143</v>
      </c>
      <c r="AN38" s="83">
        <v>-29673.807405743839</v>
      </c>
      <c r="AO38" s="83"/>
      <c r="AP38" s="83">
        <v>-493872.68197064014</v>
      </c>
      <c r="AQ38" s="13"/>
      <c r="AR38" s="89">
        <f t="shared" si="60"/>
        <v>0.22639604180080505</v>
      </c>
      <c r="AS38" s="89">
        <f t="shared" si="60"/>
        <v>0.74517181360577922</v>
      </c>
      <c r="AT38" s="89">
        <f t="shared" si="60"/>
        <v>0.36983775090188803</v>
      </c>
      <c r="AU38" s="89">
        <f t="shared" si="60"/>
        <v>-0.6175710772138745</v>
      </c>
      <c r="AV38" s="89">
        <f t="shared" si="60"/>
        <v>-1</v>
      </c>
      <c r="AW38" s="89">
        <f t="shared" si="60"/>
        <v>0.21538443850424915</v>
      </c>
      <c r="AX38" s="13"/>
      <c r="AY38" s="83">
        <v>-243128.90936601901</v>
      </c>
      <c r="AZ38" s="83">
        <v>-272590.55491522746</v>
      </c>
      <c r="BA38" s="83">
        <v>-55169.433902556142</v>
      </c>
      <c r="BB38" s="83">
        <v>-184032.05789599998</v>
      </c>
      <c r="BC38" s="83"/>
      <c r="BD38" s="83">
        <v>-754920.95607980259</v>
      </c>
      <c r="BE38" s="13"/>
      <c r="BF38" s="89">
        <f t="shared" si="61"/>
        <v>0.11592237986041162</v>
      </c>
      <c r="BG38" s="89">
        <f t="shared" si="61"/>
        <v>1.1683605583153081</v>
      </c>
      <c r="BH38" s="89">
        <f t="shared" si="61"/>
        <v>0.12496942008692111</v>
      </c>
      <c r="BI38" s="89">
        <f t="shared" si="61"/>
        <v>0</v>
      </c>
      <c r="BJ38" s="89">
        <f t="shared" si="61"/>
        <v>0</v>
      </c>
      <c r="BK38" s="89">
        <f t="shared" si="61"/>
        <v>0.92274740897613261</v>
      </c>
    </row>
    <row r="39" spans="1:63" hidden="1" outlineLevel="2">
      <c r="A39" s="13" t="s">
        <v>108</v>
      </c>
      <c r="B39" s="522">
        <v>-900844</v>
      </c>
      <c r="C39" s="522">
        <v>-234691</v>
      </c>
      <c r="D39" s="522" t="s">
        <v>164</v>
      </c>
      <c r="E39" s="522">
        <v>-76999</v>
      </c>
      <c r="F39" s="522">
        <v>-176</v>
      </c>
      <c r="G39" s="522">
        <v>-1213145</v>
      </c>
      <c r="H39" s="532"/>
      <c r="I39" s="83">
        <v>-955288.10408506286</v>
      </c>
      <c r="J39" s="83">
        <v>-360868.49228884547</v>
      </c>
      <c r="K39" s="83">
        <v>0</v>
      </c>
      <c r="L39" s="83">
        <v>-54308.466800000002</v>
      </c>
      <c r="M39" s="83"/>
      <c r="N39" s="83">
        <v>-1370465.0631739083</v>
      </c>
      <c r="O39" s="83"/>
      <c r="P39" s="89">
        <f t="shared" si="53"/>
        <v>6.0436772720984834E-2</v>
      </c>
      <c r="Q39" s="89">
        <f t="shared" si="54"/>
        <v>0.5376324285500742</v>
      </c>
      <c r="R39" s="89">
        <f t="shared" si="55"/>
        <v>0</v>
      </c>
      <c r="S39" s="89">
        <f t="shared" si="56"/>
        <v>-0.29468607644255118</v>
      </c>
      <c r="T39" s="89">
        <f t="shared" si="57"/>
        <v>-1</v>
      </c>
      <c r="U39" s="89">
        <f t="shared" si="58"/>
        <v>0.12967952155258297</v>
      </c>
      <c r="V39" s="533"/>
      <c r="W39" s="83">
        <v>-964840.98512591352</v>
      </c>
      <c r="X39" s="83">
        <v>-436986.47112202179</v>
      </c>
      <c r="Y39" s="83">
        <v>0</v>
      </c>
      <c r="Z39" s="83">
        <v>-54308.466800000002</v>
      </c>
      <c r="AA39" s="83"/>
      <c r="AB39" s="83">
        <v>-1456135.9230479356</v>
      </c>
      <c r="AC39" s="13"/>
      <c r="AD39" s="89">
        <f t="shared" si="59"/>
        <v>1.0000000000000026E-2</v>
      </c>
      <c r="AE39" s="89">
        <f t="shared" si="59"/>
        <v>0.21092996606711273</v>
      </c>
      <c r="AF39" s="89">
        <f t="shared" si="59"/>
        <v>0</v>
      </c>
      <c r="AG39" s="89">
        <f t="shared" si="59"/>
        <v>0</v>
      </c>
      <c r="AH39" s="89">
        <f t="shared" si="59"/>
        <v>0</v>
      </c>
      <c r="AI39" s="89">
        <f t="shared" si="59"/>
        <v>6.2512253815226168E-2</v>
      </c>
      <c r="AJ39" s="13"/>
      <c r="AK39" s="83">
        <v>-1038802.0053674257</v>
      </c>
      <c r="AL39" s="83">
        <v>-578648.30365938577</v>
      </c>
      <c r="AM39" s="83">
        <v>0</v>
      </c>
      <c r="AN39" s="83">
        <v>-54308.466800000002</v>
      </c>
      <c r="AO39" s="83"/>
      <c r="AP39" s="83">
        <v>-1671758.7758268116</v>
      </c>
      <c r="AQ39" s="13"/>
      <c r="AR39" s="89">
        <f t="shared" si="60"/>
        <v>0.15314305847341575</v>
      </c>
      <c r="AS39" s="89">
        <f t="shared" si="60"/>
        <v>1.4655751761225857</v>
      </c>
      <c r="AT39" s="89">
        <f t="shared" si="60"/>
        <v>0</v>
      </c>
      <c r="AU39" s="89">
        <f t="shared" si="60"/>
        <v>-0.29468607644255118</v>
      </c>
      <c r="AV39" s="89">
        <f t="shared" si="60"/>
        <v>-1</v>
      </c>
      <c r="AW39" s="89">
        <f t="shared" si="60"/>
        <v>0.37803706550067101</v>
      </c>
      <c r="AX39" s="13"/>
      <c r="AY39" s="83">
        <v>-1049190.0254210997</v>
      </c>
      <c r="AZ39" s="83">
        <v>-1014837.7084938345</v>
      </c>
      <c r="BA39" s="83">
        <v>0</v>
      </c>
      <c r="BB39" s="83">
        <v>-54308.466800000002</v>
      </c>
      <c r="BC39" s="83"/>
      <c r="BD39" s="83">
        <v>-2118336.2007149342</v>
      </c>
      <c r="BE39" s="13"/>
      <c r="BF39" s="89">
        <f t="shared" si="61"/>
        <v>9.8296965004052272E-2</v>
      </c>
      <c r="BG39" s="89">
        <f t="shared" si="61"/>
        <v>1.8122092401503995</v>
      </c>
      <c r="BH39" s="89">
        <f t="shared" si="61"/>
        <v>0</v>
      </c>
      <c r="BI39" s="89">
        <f t="shared" si="61"/>
        <v>0</v>
      </c>
      <c r="BJ39" s="89">
        <f t="shared" si="61"/>
        <v>0</v>
      </c>
      <c r="BK39" s="89">
        <f t="shared" si="61"/>
        <v>0.54570609469533271</v>
      </c>
    </row>
    <row r="40" spans="1:63" hidden="1" outlineLevel="2">
      <c r="A40" s="13" t="s">
        <v>109</v>
      </c>
      <c r="B40" s="522">
        <v>-27114</v>
      </c>
      <c r="C40" s="522">
        <v>-1531</v>
      </c>
      <c r="D40" s="522">
        <v>-6</v>
      </c>
      <c r="E40" s="522">
        <v>-87</v>
      </c>
      <c r="F40" s="522">
        <v>-526</v>
      </c>
      <c r="G40" s="522">
        <v>-29264</v>
      </c>
      <c r="H40" s="532"/>
      <c r="I40" s="83">
        <v>0</v>
      </c>
      <c r="J40" s="83">
        <v>0</v>
      </c>
      <c r="K40" s="83">
        <v>0</v>
      </c>
      <c r="L40" s="83">
        <v>0</v>
      </c>
      <c r="M40" s="83"/>
      <c r="N40" s="83">
        <v>0</v>
      </c>
      <c r="O40" s="83"/>
      <c r="P40" s="89">
        <f t="shared" si="53"/>
        <v>-1</v>
      </c>
      <c r="Q40" s="89">
        <f t="shared" si="54"/>
        <v>-1</v>
      </c>
      <c r="R40" s="89">
        <f t="shared" si="55"/>
        <v>-1</v>
      </c>
      <c r="S40" s="89">
        <f t="shared" si="56"/>
        <v>-1</v>
      </c>
      <c r="T40" s="89">
        <f t="shared" si="57"/>
        <v>-1</v>
      </c>
      <c r="U40" s="89">
        <f t="shared" si="58"/>
        <v>-1</v>
      </c>
      <c r="V40" s="533"/>
      <c r="W40" s="83">
        <v>0</v>
      </c>
      <c r="X40" s="83">
        <v>0</v>
      </c>
      <c r="Y40" s="83">
        <v>0</v>
      </c>
      <c r="Z40" s="83">
        <v>0</v>
      </c>
      <c r="AA40" s="83"/>
      <c r="AB40" s="83">
        <v>0</v>
      </c>
      <c r="AC40" s="13"/>
      <c r="AD40" s="89">
        <f t="shared" si="59"/>
        <v>0</v>
      </c>
      <c r="AE40" s="89">
        <f t="shared" si="59"/>
        <v>0</v>
      </c>
      <c r="AF40" s="89">
        <f t="shared" si="59"/>
        <v>0</v>
      </c>
      <c r="AG40" s="89">
        <f t="shared" si="59"/>
        <v>0</v>
      </c>
      <c r="AH40" s="89">
        <f t="shared" si="59"/>
        <v>0</v>
      </c>
      <c r="AI40" s="89">
        <f t="shared" si="59"/>
        <v>0</v>
      </c>
      <c r="AJ40" s="13"/>
      <c r="AK40" s="83">
        <v>0</v>
      </c>
      <c r="AL40" s="83">
        <v>0</v>
      </c>
      <c r="AM40" s="83">
        <v>0</v>
      </c>
      <c r="AN40" s="83">
        <v>0</v>
      </c>
      <c r="AO40" s="83"/>
      <c r="AP40" s="83">
        <v>0</v>
      </c>
      <c r="AQ40" s="13"/>
      <c r="AR40" s="89">
        <f t="shared" si="60"/>
        <v>-1</v>
      </c>
      <c r="AS40" s="89">
        <f t="shared" si="60"/>
        <v>-1</v>
      </c>
      <c r="AT40" s="89">
        <f t="shared" si="60"/>
        <v>-1</v>
      </c>
      <c r="AU40" s="89">
        <f t="shared" si="60"/>
        <v>-1</v>
      </c>
      <c r="AV40" s="89">
        <f t="shared" si="60"/>
        <v>-1</v>
      </c>
      <c r="AW40" s="89">
        <f t="shared" si="60"/>
        <v>-1</v>
      </c>
      <c r="AX40" s="13"/>
      <c r="AY40" s="83">
        <v>0</v>
      </c>
      <c r="AZ40" s="83">
        <v>0</v>
      </c>
      <c r="BA40" s="83">
        <v>0</v>
      </c>
      <c r="BB40" s="83">
        <v>0</v>
      </c>
      <c r="BC40" s="83"/>
      <c r="BD40" s="83">
        <v>0</v>
      </c>
      <c r="BE40" s="13"/>
      <c r="BF40" s="89">
        <f t="shared" si="61"/>
        <v>0</v>
      </c>
      <c r="BG40" s="89">
        <f t="shared" si="61"/>
        <v>0</v>
      </c>
      <c r="BH40" s="89">
        <f t="shared" si="61"/>
        <v>0</v>
      </c>
      <c r="BI40" s="89">
        <f t="shared" si="61"/>
        <v>0</v>
      </c>
      <c r="BJ40" s="89">
        <f t="shared" si="61"/>
        <v>0</v>
      </c>
      <c r="BK40" s="89">
        <f t="shared" si="61"/>
        <v>0</v>
      </c>
    </row>
    <row r="41" spans="1:63" hidden="1" outlineLevel="2">
      <c r="A41" s="13"/>
      <c r="B41" s="7"/>
      <c r="C41" s="7"/>
      <c r="D41" s="7"/>
      <c r="E41" s="7"/>
      <c r="F41" s="7"/>
      <c r="G41" s="7" t="s">
        <v>163</v>
      </c>
      <c r="H41" s="532"/>
      <c r="I41" s="7"/>
      <c r="J41" s="7"/>
      <c r="K41" s="7"/>
      <c r="L41" s="7"/>
      <c r="M41" s="7"/>
      <c r="N41" s="7"/>
      <c r="O41" s="7"/>
      <c r="P41" s="7"/>
      <c r="Q41" s="7"/>
      <c r="R41" s="533"/>
      <c r="S41" s="533"/>
      <c r="T41" s="533"/>
      <c r="U41" s="533"/>
      <c r="V41" s="533"/>
      <c r="W41" s="7"/>
      <c r="X41" s="7"/>
      <c r="Y41" s="7"/>
      <c r="Z41" s="7"/>
      <c r="AA41" s="83"/>
      <c r="AB41" s="7"/>
      <c r="AC41" s="13"/>
      <c r="AD41" s="7"/>
      <c r="AE41" s="7"/>
      <c r="AF41" s="533"/>
      <c r="AG41" s="533"/>
      <c r="AH41" s="533"/>
      <c r="AI41" s="533"/>
      <c r="AJ41" s="13"/>
      <c r="AK41" s="7"/>
      <c r="AL41" s="7"/>
      <c r="AM41" s="7"/>
      <c r="AN41" s="7"/>
      <c r="AO41" s="83"/>
      <c r="AP41" s="7"/>
      <c r="AQ41" s="13"/>
      <c r="AR41" s="7"/>
      <c r="AS41" s="7"/>
      <c r="AT41" s="533"/>
      <c r="AU41" s="533"/>
      <c r="AV41" s="533"/>
      <c r="AW41" s="533"/>
      <c r="AX41" s="13"/>
      <c r="AY41" s="7"/>
      <c r="AZ41" s="7"/>
      <c r="BA41" s="7"/>
      <c r="BB41" s="7"/>
      <c r="BC41" s="83"/>
      <c r="BD41" s="7"/>
      <c r="BE41" s="13"/>
      <c r="BF41" s="7"/>
      <c r="BG41" s="7"/>
      <c r="BH41" s="533"/>
      <c r="BI41" s="533"/>
      <c r="BJ41" s="533"/>
      <c r="BK41" s="533"/>
    </row>
    <row r="42" spans="1:63" collapsed="1">
      <c r="A42" s="11" t="s">
        <v>110</v>
      </c>
      <c r="B42" s="520">
        <f>SUM(B36:B41)</f>
        <v>-1403598</v>
      </c>
      <c r="C42" s="520">
        <f t="shared" ref="C42:G42" si="62">SUM(C36:C41)</f>
        <v>-558569</v>
      </c>
      <c r="D42" s="520">
        <f t="shared" si="62"/>
        <v>-870260</v>
      </c>
      <c r="E42" s="520">
        <f t="shared" si="62"/>
        <v>-181812</v>
      </c>
      <c r="F42" s="520">
        <f t="shared" si="62"/>
        <v>-377576</v>
      </c>
      <c r="G42" s="520">
        <f t="shared" si="62"/>
        <v>-3406969</v>
      </c>
      <c r="H42" s="532"/>
      <c r="I42" s="520">
        <v>-1834151.6669009053</v>
      </c>
      <c r="J42" s="520">
        <v>-808675.65029522951</v>
      </c>
      <c r="K42" s="520">
        <v>-1213316.9548946063</v>
      </c>
      <c r="L42" s="520">
        <v>-54308.466800000002</v>
      </c>
      <c r="M42" s="520">
        <v>-300000</v>
      </c>
      <c r="N42" s="520">
        <v>-4210452.738890741</v>
      </c>
      <c r="O42" s="83"/>
      <c r="P42" s="89"/>
      <c r="Q42" s="89"/>
      <c r="R42" s="89"/>
      <c r="S42" s="89"/>
      <c r="T42" s="89"/>
      <c r="U42" s="89"/>
      <c r="V42" s="533"/>
      <c r="W42" s="520">
        <v>-2741675.6685637822</v>
      </c>
      <c r="X42" s="520">
        <v>-1291044.265736744</v>
      </c>
      <c r="Y42" s="520">
        <v>-1396341.9885548507</v>
      </c>
      <c r="Z42" s="520">
        <v>-164373.666973421</v>
      </c>
      <c r="AA42" s="520">
        <v>-300000</v>
      </c>
      <c r="AB42" s="520">
        <v>-5893435.5898287976</v>
      </c>
      <c r="AC42" s="13"/>
      <c r="AD42" s="89">
        <f t="shared" ref="AD42:AI42" si="63">IFERROR((W42-I42)/I42,0)</f>
        <v>0.49479223449186449</v>
      </c>
      <c r="AE42" s="89">
        <f t="shared" si="63"/>
        <v>0.59649207350983358</v>
      </c>
      <c r="AF42" s="89">
        <f t="shared" si="63"/>
        <v>0.15084684420003242</v>
      </c>
      <c r="AG42" s="89">
        <f t="shared" si="63"/>
        <v>2.0266674177850477</v>
      </c>
      <c r="AH42" s="89">
        <f t="shared" si="63"/>
        <v>0</v>
      </c>
      <c r="AI42" s="89">
        <f t="shared" si="63"/>
        <v>0.39971541193012999</v>
      </c>
      <c r="AJ42" s="13"/>
      <c r="AK42" s="520">
        <v>-1972285.6987288471</v>
      </c>
      <c r="AL42" s="520">
        <v>-1160920.552283393</v>
      </c>
      <c r="AM42" s="520">
        <v>-1294901.3133461324</v>
      </c>
      <c r="AN42" s="520">
        <v>-83982.27420574383</v>
      </c>
      <c r="AO42" s="520">
        <v>-300000</v>
      </c>
      <c r="AP42" s="520">
        <v>-4812089.8385641165</v>
      </c>
      <c r="AQ42" s="13"/>
      <c r="AR42" s="89">
        <f t="shared" ref="AR42:AW42" si="64">IFERROR((AK42-B42)/B42,0)</f>
        <v>0.40516422702857019</v>
      </c>
      <c r="AS42" s="89">
        <f t="shared" si="64"/>
        <v>1.0783834267268555</v>
      </c>
      <c r="AT42" s="89">
        <f t="shared" si="64"/>
        <v>0.48794764018354558</v>
      </c>
      <c r="AU42" s="89">
        <f t="shared" si="64"/>
        <v>-0.53808178664915496</v>
      </c>
      <c r="AV42" s="89">
        <f t="shared" si="64"/>
        <v>-0.20545797402377269</v>
      </c>
      <c r="AW42" s="89">
        <f t="shared" si="64"/>
        <v>0.41242548393135264</v>
      </c>
      <c r="AX42" s="13"/>
      <c r="AY42" s="520">
        <v>-2842354.4281316241</v>
      </c>
      <c r="AZ42" s="520">
        <v>-2282548.9853166174</v>
      </c>
      <c r="BA42" s="520">
        <v>-1498474.9981634957</v>
      </c>
      <c r="BB42" s="520">
        <v>-238340.52469600001</v>
      </c>
      <c r="BC42" s="520">
        <v>-300000</v>
      </c>
      <c r="BD42" s="520">
        <v>-7161718.9363077367</v>
      </c>
      <c r="BE42" s="13"/>
      <c r="BF42" s="89">
        <f t="shared" ref="BF42:BK42" si="65">IFERROR((AY42-I42)/I42,0)</f>
        <v>0.54968342009264681</v>
      </c>
      <c r="BG42" s="89">
        <f t="shared" si="65"/>
        <v>1.8225766220156492</v>
      </c>
      <c r="BH42" s="89">
        <f t="shared" si="65"/>
        <v>0.23502353784684352</v>
      </c>
      <c r="BI42" s="89">
        <f t="shared" si="65"/>
        <v>3.3886439581093093</v>
      </c>
      <c r="BJ42" s="89">
        <f t="shared" si="65"/>
        <v>0</v>
      </c>
      <c r="BK42" s="89">
        <f t="shared" si="65"/>
        <v>0.70093797043652784</v>
      </c>
    </row>
    <row r="43" spans="1:63" hidden="1" outlineLevel="1">
      <c r="A43" s="11" t="s">
        <v>165</v>
      </c>
      <c r="B43" s="89">
        <f>B42/B11</f>
        <v>-0.17314209057406751</v>
      </c>
      <c r="C43" s="89">
        <f>C42/C11</f>
        <v>-0.18607566430966627</v>
      </c>
      <c r="D43" s="89">
        <f>D42/D11</f>
        <v>-0.15558226877728135</v>
      </c>
      <c r="E43" s="89">
        <f>E42/E11</f>
        <v>-0.13728643853552674</v>
      </c>
      <c r="F43" s="89"/>
      <c r="G43" s="89">
        <f>G42/G11</f>
        <v>-0.1889852073214878</v>
      </c>
      <c r="H43" s="238"/>
      <c r="I43" s="89">
        <f>I42/I11</f>
        <v>-0.16142646982647765</v>
      </c>
      <c r="J43" s="89">
        <f>J42/J11</f>
        <v>-0.18797634381756709</v>
      </c>
      <c r="K43" s="89">
        <f>K42/K11</f>
        <v>-0.177381327060396</v>
      </c>
      <c r="L43" s="89">
        <f>L42/L11</f>
        <v>-6.068554218874523E-2</v>
      </c>
      <c r="M43" s="89"/>
      <c r="N43" s="89">
        <f>N42/N11</f>
        <v>-0.17993976277068544</v>
      </c>
      <c r="O43" s="518"/>
      <c r="P43" s="518"/>
      <c r="Q43" s="518"/>
      <c r="R43" s="533"/>
      <c r="S43" s="533"/>
      <c r="T43" s="533"/>
      <c r="U43" s="533"/>
      <c r="V43" s="533"/>
      <c r="W43" s="518"/>
      <c r="X43" s="518"/>
      <c r="Y43" s="518"/>
      <c r="Z43" s="518"/>
      <c r="AA43" s="533"/>
      <c r="AB43" s="518"/>
      <c r="AC43" s="13"/>
      <c r="AD43" s="518"/>
      <c r="AE43" s="518"/>
      <c r="AF43" s="533"/>
      <c r="AG43" s="533"/>
      <c r="AH43" s="533"/>
      <c r="AI43" s="533"/>
      <c r="AJ43" s="13"/>
      <c r="AK43" s="518">
        <v>0.15977359615149664</v>
      </c>
      <c r="AL43" s="518">
        <v>0.19839533433292333</v>
      </c>
      <c r="AM43" s="518">
        <v>0.17790842605373186</v>
      </c>
      <c r="AN43" s="518">
        <v>0.15448896606421844</v>
      </c>
      <c r="AO43" s="533"/>
      <c r="AP43" s="518">
        <v>0.18515720550365286</v>
      </c>
      <c r="AQ43" s="13"/>
      <c r="AR43" s="518"/>
      <c r="AS43" s="518"/>
      <c r="AT43" s="533"/>
      <c r="AU43" s="533"/>
      <c r="AV43" s="533"/>
      <c r="AW43" s="533"/>
      <c r="AX43" s="13"/>
      <c r="AY43" s="518">
        <v>0.15294408162240469</v>
      </c>
      <c r="AZ43" s="518">
        <v>0.20024313827655016</v>
      </c>
      <c r="BA43" s="518">
        <v>0.17869349489671182</v>
      </c>
      <c r="BB43" s="518">
        <v>0.12119301380512242</v>
      </c>
      <c r="BC43" s="533"/>
      <c r="BD43" s="518">
        <v>0.18158261751229327</v>
      </c>
      <c r="BE43" s="13"/>
      <c r="BF43" s="518"/>
      <c r="BG43" s="518"/>
      <c r="BH43" s="533"/>
      <c r="BI43" s="533"/>
      <c r="BJ43" s="533"/>
      <c r="BK43" s="533"/>
    </row>
    <row r="44" spans="1:63" hidden="1" outlineLevel="1">
      <c r="A44" s="13"/>
      <c r="B44" s="518"/>
      <c r="C44" s="518"/>
      <c r="D44" s="518"/>
      <c r="E44" s="518"/>
      <c r="F44" s="518"/>
      <c r="G44" s="518"/>
      <c r="H44" s="532"/>
      <c r="I44" s="518"/>
      <c r="J44" s="518"/>
      <c r="K44" s="518"/>
      <c r="L44" s="518"/>
      <c r="M44" s="518"/>
      <c r="N44" s="518"/>
      <c r="O44" s="518"/>
      <c r="P44" s="518"/>
      <c r="Q44" s="518"/>
      <c r="R44" s="533"/>
      <c r="S44" s="533"/>
      <c r="T44" s="533"/>
      <c r="U44" s="533"/>
      <c r="V44" s="533"/>
      <c r="W44" s="518"/>
      <c r="X44" s="518"/>
      <c r="Y44" s="518"/>
      <c r="Z44" s="518"/>
      <c r="AA44" s="533"/>
      <c r="AB44" s="518"/>
      <c r="AC44" s="13"/>
      <c r="AD44" s="518"/>
      <c r="AE44" s="518"/>
      <c r="AF44" s="533"/>
      <c r="AG44" s="533"/>
      <c r="AH44" s="533"/>
      <c r="AI44" s="533"/>
      <c r="AJ44" s="13"/>
      <c r="AK44" s="518"/>
      <c r="AL44" s="518"/>
      <c r="AM44" s="518"/>
      <c r="AN44" s="518"/>
      <c r="AO44" s="533"/>
      <c r="AP44" s="518"/>
      <c r="AQ44" s="13"/>
      <c r="AR44" s="518"/>
      <c r="AS44" s="518"/>
      <c r="AT44" s="533"/>
      <c r="AU44" s="533"/>
      <c r="AV44" s="533"/>
      <c r="AW44" s="533"/>
      <c r="AX44" s="13"/>
      <c r="AY44" s="518"/>
      <c r="AZ44" s="518"/>
      <c r="BA44" s="518"/>
      <c r="BB44" s="518"/>
      <c r="BC44" s="533"/>
      <c r="BD44" s="518"/>
      <c r="BE44" s="13"/>
      <c r="BF44" s="518"/>
      <c r="BG44" s="518"/>
      <c r="BH44" s="533"/>
      <c r="BI44" s="533"/>
      <c r="BJ44" s="533"/>
      <c r="BK44" s="533"/>
    </row>
    <row r="45" spans="1:63" hidden="1" outlineLevel="1">
      <c r="A45" s="515" t="s">
        <v>111</v>
      </c>
      <c r="B45" s="521">
        <f>IFERROR(B22+B37,0)</f>
        <v>1409790</v>
      </c>
      <c r="C45" s="521">
        <f t="shared" ref="C45:G45" si="66">IFERROR(C22+C37,0)</f>
        <v>630333</v>
      </c>
      <c r="D45" s="521">
        <f t="shared" si="66"/>
        <v>2847439</v>
      </c>
      <c r="E45" s="521">
        <f t="shared" si="66"/>
        <v>13170</v>
      </c>
      <c r="F45" s="521">
        <f t="shared" si="66"/>
        <v>-16042</v>
      </c>
      <c r="G45" s="521">
        <f t="shared" si="66"/>
        <v>4850118</v>
      </c>
      <c r="H45" s="532"/>
      <c r="I45" s="521">
        <f>IFERROR(I22+I37,0)</f>
        <v>3161017.8435428338</v>
      </c>
      <c r="J45" s="521">
        <f t="shared" ref="J45:N45" si="67">IFERROR(J22+J37,0)</f>
        <v>944216.30148643942</v>
      </c>
      <c r="K45" s="521">
        <f t="shared" si="67"/>
        <v>3413062.9019472809</v>
      </c>
      <c r="L45" s="521">
        <f t="shared" si="67"/>
        <v>0</v>
      </c>
      <c r="M45" s="521">
        <f t="shared" si="67"/>
        <v>-300000</v>
      </c>
      <c r="N45" s="521">
        <f t="shared" si="67"/>
        <v>7518297.0469765561</v>
      </c>
      <c r="O45" s="521"/>
      <c r="P45" s="521"/>
      <c r="Q45" s="521"/>
      <c r="R45" s="533"/>
      <c r="S45" s="533"/>
      <c r="T45" s="533"/>
      <c r="U45" s="533"/>
      <c r="V45" s="533"/>
      <c r="W45" s="521">
        <f>IFERROR(W22+W37,0)</f>
        <v>7368611.8246209268</v>
      </c>
      <c r="X45" s="521">
        <f t="shared" ref="X45:AB45" si="68">IFERROR(X22+X37,0)</f>
        <v>1973911.1684698346</v>
      </c>
      <c r="Y45" s="521">
        <f t="shared" si="68"/>
        <v>3930590.9162000651</v>
      </c>
      <c r="Z45" s="521">
        <f t="shared" si="68"/>
        <v>0</v>
      </c>
      <c r="AA45" s="521">
        <f t="shared" si="68"/>
        <v>-300000</v>
      </c>
      <c r="AB45" s="521">
        <f t="shared" si="68"/>
        <v>13273113.909290828</v>
      </c>
      <c r="AC45" s="13"/>
      <c r="AD45" s="521"/>
      <c r="AE45" s="521"/>
      <c r="AF45" s="533"/>
      <c r="AG45" s="533"/>
      <c r="AH45" s="533"/>
      <c r="AI45" s="533"/>
      <c r="AJ45" s="13"/>
      <c r="AK45" s="521">
        <v>3270086.7899863515</v>
      </c>
      <c r="AL45" s="521">
        <v>1225994.5997326667</v>
      </c>
      <c r="AM45" s="521">
        <v>3648076.2428683722</v>
      </c>
      <c r="AN45" s="521">
        <v>0</v>
      </c>
      <c r="AO45" s="521">
        <f t="shared" ref="AO45" si="69">IFERROR(AO22+AO37,0)</f>
        <v>-300000</v>
      </c>
      <c r="AP45" s="521">
        <v>8144157.632587391</v>
      </c>
      <c r="AQ45" s="13"/>
      <c r="AR45" s="521"/>
      <c r="AS45" s="521"/>
      <c r="AT45" s="533"/>
      <c r="AU45" s="533"/>
      <c r="AV45" s="533"/>
      <c r="AW45" s="533"/>
      <c r="AX45" s="13"/>
      <c r="AY45" s="521">
        <v>7526094.3397223232</v>
      </c>
      <c r="AZ45" s="521">
        <v>2917185.6622364912</v>
      </c>
      <c r="BA45" s="521">
        <v>4231034.6931749433</v>
      </c>
      <c r="BB45" s="521">
        <v>0</v>
      </c>
      <c r="BC45" s="521">
        <f t="shared" ref="BC45:BC48" si="70">IFERROR(BC22+BC37,0)</f>
        <v>-300000</v>
      </c>
      <c r="BD45" s="521">
        <v>14674314.695133762</v>
      </c>
      <c r="BE45" s="13"/>
      <c r="BF45" s="521"/>
      <c r="BG45" s="521"/>
      <c r="BH45" s="533"/>
      <c r="BI45" s="533"/>
      <c r="BJ45" s="533"/>
      <c r="BK45" s="533"/>
    </row>
    <row r="46" spans="1:63" hidden="1" outlineLevel="1">
      <c r="A46" s="515" t="s">
        <v>112</v>
      </c>
      <c r="B46" s="521">
        <f t="shared" ref="B46:G46" si="71">IFERROR(B23+B38,0)</f>
        <v>2394569</v>
      </c>
      <c r="C46" s="521">
        <f t="shared" si="71"/>
        <v>744975</v>
      </c>
      <c r="D46" s="521">
        <f t="shared" si="71"/>
        <v>370468</v>
      </c>
      <c r="E46" s="521">
        <f t="shared" si="71"/>
        <v>601934</v>
      </c>
      <c r="F46" s="521">
        <f t="shared" si="71"/>
        <v>5673</v>
      </c>
      <c r="G46" s="521">
        <f t="shared" si="71"/>
        <v>4169107</v>
      </c>
      <c r="H46" s="532"/>
      <c r="I46" s="521">
        <f t="shared" ref="I46:N46" si="72">IFERROR(I23+I38,0)</f>
        <v>2893976.8735037353</v>
      </c>
      <c r="J46" s="521">
        <f t="shared" si="72"/>
        <v>1100825.849277074</v>
      </c>
      <c r="K46" s="521">
        <f t="shared" si="72"/>
        <v>441367.46853495901</v>
      </c>
      <c r="L46" s="521">
        <f t="shared" si="72"/>
        <v>481798.03864000004</v>
      </c>
      <c r="M46" s="521">
        <f t="shared" si="72"/>
        <v>0</v>
      </c>
      <c r="N46" s="521">
        <f t="shared" si="72"/>
        <v>4917968.2299557691</v>
      </c>
      <c r="O46" s="521"/>
      <c r="P46" s="521"/>
      <c r="Q46" s="521"/>
      <c r="R46" s="533"/>
      <c r="S46" s="533"/>
      <c r="T46" s="533"/>
      <c r="U46" s="533"/>
      <c r="V46" s="533"/>
      <c r="W46" s="521">
        <f t="shared" ref="W46:AB46" si="73">IFERROR(W23+W38,0)</f>
        <v>3443368.66747681</v>
      </c>
      <c r="X46" s="521">
        <f t="shared" si="73"/>
        <v>1582420.918035069</v>
      </c>
      <c r="Y46" s="521">
        <f t="shared" si="73"/>
        <v>499723.84196170699</v>
      </c>
      <c r="Z46" s="521">
        <f t="shared" si="73"/>
        <v>388534.78294495272</v>
      </c>
      <c r="AA46" s="521">
        <f t="shared" si="73"/>
        <v>0</v>
      </c>
      <c r="AB46" s="521">
        <f t="shared" si="73"/>
        <v>5914048.2104185401</v>
      </c>
      <c r="AC46" s="13"/>
      <c r="AD46" s="521"/>
      <c r="AE46" s="521"/>
      <c r="AF46" s="533"/>
      <c r="AG46" s="533"/>
      <c r="AH46" s="533"/>
      <c r="AI46" s="533"/>
      <c r="AJ46" s="13"/>
      <c r="AK46" s="521">
        <v>3316545.9888115171</v>
      </c>
      <c r="AL46" s="521">
        <v>1601363.3181072399</v>
      </c>
      <c r="AM46" s="521">
        <v>538203.77297834819</v>
      </c>
      <c r="AN46" s="521">
        <v>254100.15704243004</v>
      </c>
      <c r="AO46" s="521">
        <f t="shared" ref="AO46" si="74">IFERROR(AO23+AO38,0)</f>
        <v>0</v>
      </c>
      <c r="AP46" s="521">
        <v>5681535.9906871887</v>
      </c>
      <c r="AQ46" s="13"/>
      <c r="AR46" s="521"/>
      <c r="AS46" s="521"/>
      <c r="AT46" s="533"/>
      <c r="AU46" s="533"/>
      <c r="AV46" s="533"/>
      <c r="AW46" s="533"/>
      <c r="AX46" s="13"/>
      <c r="AY46" s="521">
        <v>3229453.5599412816</v>
      </c>
      <c r="AZ46" s="521">
        <v>2660767.4319174043</v>
      </c>
      <c r="BA46" s="521">
        <v>588473.96162726567</v>
      </c>
      <c r="BB46" s="521">
        <v>1067385.9357968005</v>
      </c>
      <c r="BC46" s="521">
        <f t="shared" si="70"/>
        <v>0</v>
      </c>
      <c r="BD46" s="521">
        <v>6651127.7884397889</v>
      </c>
      <c r="BE46" s="13"/>
      <c r="BF46" s="521"/>
      <c r="BG46" s="521"/>
      <c r="BH46" s="533"/>
      <c r="BI46" s="533"/>
      <c r="BJ46" s="533"/>
      <c r="BK46" s="533"/>
    </row>
    <row r="47" spans="1:63" hidden="1" outlineLevel="1">
      <c r="A47" s="515" t="s">
        <v>113</v>
      </c>
      <c r="B47" s="521">
        <f t="shared" ref="B47:G47" si="75">IFERROR(B24+B39,0)</f>
        <v>933990</v>
      </c>
      <c r="C47" s="521">
        <f t="shared" si="75"/>
        <v>264399</v>
      </c>
      <c r="D47" s="521">
        <f t="shared" si="75"/>
        <v>0</v>
      </c>
      <c r="E47" s="521">
        <f t="shared" si="75"/>
        <v>38331</v>
      </c>
      <c r="F47" s="521">
        <f t="shared" si="75"/>
        <v>-176</v>
      </c>
      <c r="G47" s="521">
        <f t="shared" si="75"/>
        <v>1237365</v>
      </c>
      <c r="H47" s="532"/>
      <c r="I47" s="521">
        <f t="shared" ref="I47:N47" si="76">IFERROR(I24+I39,0)</f>
        <v>968483.36731493729</v>
      </c>
      <c r="J47" s="521">
        <f t="shared" si="76"/>
        <v>321433.83971455891</v>
      </c>
      <c r="K47" s="521">
        <f t="shared" si="76"/>
        <v>0</v>
      </c>
      <c r="L47" s="521">
        <f t="shared" si="76"/>
        <v>49256.5164</v>
      </c>
      <c r="M47" s="521">
        <f t="shared" si="76"/>
        <v>0</v>
      </c>
      <c r="N47" s="521">
        <f t="shared" si="76"/>
        <v>1339173.7234294959</v>
      </c>
      <c r="O47" s="521"/>
      <c r="P47" s="521"/>
      <c r="Q47" s="521"/>
      <c r="R47" s="533"/>
      <c r="S47" s="533"/>
      <c r="T47" s="533"/>
      <c r="U47" s="533"/>
      <c r="V47" s="533"/>
      <c r="W47" s="521">
        <f t="shared" ref="W47:AB47" si="77">IFERROR(W24+W39,0)</f>
        <v>978168.20098808617</v>
      </c>
      <c r="X47" s="521">
        <f t="shared" si="77"/>
        <v>389233.86861837248</v>
      </c>
      <c r="Y47" s="521">
        <f t="shared" si="77"/>
        <v>0</v>
      </c>
      <c r="Z47" s="521">
        <f t="shared" si="77"/>
        <v>49256.5164</v>
      </c>
      <c r="AA47" s="521">
        <f t="shared" si="77"/>
        <v>0</v>
      </c>
      <c r="AB47" s="521">
        <f t="shared" si="77"/>
        <v>1416658.5860064588</v>
      </c>
      <c r="AC47" s="13"/>
      <c r="AD47" s="521"/>
      <c r="AE47" s="521"/>
      <c r="AF47" s="533"/>
      <c r="AG47" s="533"/>
      <c r="AH47" s="533"/>
      <c r="AI47" s="533"/>
      <c r="AJ47" s="13"/>
      <c r="AK47" s="521">
        <v>1053150.8346325743</v>
      </c>
      <c r="AL47" s="521">
        <v>515415.31074061431</v>
      </c>
      <c r="AM47" s="521">
        <v>0</v>
      </c>
      <c r="AN47" s="521">
        <v>49256.5164</v>
      </c>
      <c r="AO47" s="521">
        <f t="shared" ref="AO47" si="78">IFERROR(AO24+AO39,0)</f>
        <v>0</v>
      </c>
      <c r="AP47" s="521">
        <v>1617822.6617731883</v>
      </c>
      <c r="AQ47" s="13"/>
      <c r="AR47" s="521"/>
      <c r="AS47" s="521"/>
      <c r="AT47" s="533"/>
      <c r="AU47" s="533"/>
      <c r="AV47" s="533"/>
      <c r="AW47" s="533"/>
      <c r="AX47" s="13"/>
      <c r="AY47" s="521">
        <v>1063682.3429789003</v>
      </c>
      <c r="AZ47" s="521">
        <v>903939.21414230426</v>
      </c>
      <c r="BA47" s="521">
        <v>0</v>
      </c>
      <c r="BB47" s="521">
        <v>49256.5164</v>
      </c>
      <c r="BC47" s="521">
        <f t="shared" si="70"/>
        <v>0</v>
      </c>
      <c r="BD47" s="521">
        <v>2016878.0735212048</v>
      </c>
      <c r="BE47" s="13"/>
      <c r="BF47" s="521"/>
      <c r="BG47" s="521"/>
      <c r="BH47" s="533"/>
      <c r="BI47" s="533"/>
      <c r="BJ47" s="533"/>
      <c r="BK47" s="533"/>
    </row>
    <row r="48" spans="1:63" hidden="1" outlineLevel="1">
      <c r="A48" s="515" t="s">
        <v>114</v>
      </c>
      <c r="B48" s="521">
        <f t="shared" ref="B48:G48" si="79">IFERROR(B25+B40,0)</f>
        <v>43769</v>
      </c>
      <c r="C48" s="521">
        <f t="shared" si="79"/>
        <v>-1531</v>
      </c>
      <c r="D48" s="521">
        <f t="shared" si="79"/>
        <v>-6</v>
      </c>
      <c r="E48" s="521">
        <f t="shared" si="79"/>
        <v>-87</v>
      </c>
      <c r="F48" s="521">
        <f t="shared" si="79"/>
        <v>-526</v>
      </c>
      <c r="G48" s="521">
        <f t="shared" si="79"/>
        <v>41619</v>
      </c>
      <c r="H48" s="532"/>
      <c r="I48" s="521">
        <f t="shared" ref="I48:N48" si="80">IFERROR(I25+I40,0)</f>
        <v>0</v>
      </c>
      <c r="J48" s="521">
        <f t="shared" si="80"/>
        <v>0</v>
      </c>
      <c r="K48" s="521">
        <f t="shared" si="80"/>
        <v>0</v>
      </c>
      <c r="L48" s="521">
        <f t="shared" si="80"/>
        <v>0</v>
      </c>
      <c r="M48" s="521">
        <f t="shared" si="80"/>
        <v>0</v>
      </c>
      <c r="N48" s="521">
        <f t="shared" si="80"/>
        <v>0</v>
      </c>
      <c r="O48" s="521"/>
      <c r="P48" s="521"/>
      <c r="Q48" s="521"/>
      <c r="R48" s="533"/>
      <c r="S48" s="533"/>
      <c r="T48" s="533"/>
      <c r="U48" s="533"/>
      <c r="V48" s="533"/>
      <c r="W48" s="521">
        <f t="shared" ref="W48:AB48" si="81">IFERROR(W25+W40,0)</f>
        <v>0</v>
      </c>
      <c r="X48" s="521">
        <f t="shared" si="81"/>
        <v>0</v>
      </c>
      <c r="Y48" s="521">
        <f t="shared" si="81"/>
        <v>0</v>
      </c>
      <c r="Z48" s="521">
        <f t="shared" si="81"/>
        <v>0</v>
      </c>
      <c r="AA48" s="521">
        <f t="shared" si="81"/>
        <v>0</v>
      </c>
      <c r="AB48" s="521">
        <f t="shared" si="81"/>
        <v>0</v>
      </c>
      <c r="AC48" s="13"/>
      <c r="AD48" s="521"/>
      <c r="AE48" s="521"/>
      <c r="AF48" s="533"/>
      <c r="AG48" s="533"/>
      <c r="AH48" s="533"/>
      <c r="AI48" s="533"/>
      <c r="AJ48" s="13"/>
      <c r="AK48" s="521">
        <v>0</v>
      </c>
      <c r="AL48" s="521">
        <v>0</v>
      </c>
      <c r="AM48" s="521">
        <v>0</v>
      </c>
      <c r="AN48" s="521">
        <v>0</v>
      </c>
      <c r="AO48" s="521">
        <f t="shared" ref="AO48" si="82">IFERROR(AO25+AO40,0)</f>
        <v>0</v>
      </c>
      <c r="AP48" s="521">
        <v>0</v>
      </c>
      <c r="AQ48" s="13"/>
      <c r="AR48" s="521"/>
      <c r="AS48" s="521"/>
      <c r="AT48" s="533"/>
      <c r="AU48" s="533"/>
      <c r="AV48" s="533"/>
      <c r="AW48" s="533"/>
      <c r="AX48" s="13"/>
      <c r="AY48" s="521">
        <v>0</v>
      </c>
      <c r="AZ48" s="521">
        <v>0</v>
      </c>
      <c r="BA48" s="521">
        <v>0</v>
      </c>
      <c r="BB48" s="521">
        <v>0</v>
      </c>
      <c r="BC48" s="521">
        <f t="shared" si="70"/>
        <v>0</v>
      </c>
      <c r="BD48" s="521">
        <v>0</v>
      </c>
      <c r="BE48" s="13"/>
      <c r="BF48" s="521"/>
      <c r="BG48" s="521"/>
      <c r="BH48" s="533"/>
      <c r="BI48" s="533"/>
      <c r="BJ48" s="533"/>
      <c r="BK48" s="533"/>
    </row>
    <row r="49" spans="1:63" hidden="1" outlineLevel="1">
      <c r="A49" s="515" t="s">
        <v>115</v>
      </c>
      <c r="B49" s="521">
        <f>IFERROR(B26+B42,0)</f>
        <v>4773216</v>
      </c>
      <c r="C49" s="521">
        <f t="shared" ref="C49:G49" si="83">IFERROR(C26+C42,0)</f>
        <v>1652374</v>
      </c>
      <c r="D49" s="521">
        <f t="shared" si="83"/>
        <v>3217902</v>
      </c>
      <c r="E49" s="521">
        <f t="shared" si="83"/>
        <v>653221</v>
      </c>
      <c r="F49" s="521">
        <f t="shared" si="83"/>
        <v>-351464</v>
      </c>
      <c r="G49" s="521">
        <f t="shared" si="83"/>
        <v>9947618</v>
      </c>
      <c r="H49" s="532"/>
      <c r="I49" s="521">
        <f>IFERROR(I26+I42,0)</f>
        <v>7023478.0843615085</v>
      </c>
      <c r="J49" s="521">
        <f t="shared" ref="J49:N49" si="84">IFERROR(J26+J42,0)</f>
        <v>2366475.9904780723</v>
      </c>
      <c r="K49" s="521">
        <f t="shared" si="84"/>
        <v>3854430.3704822399</v>
      </c>
      <c r="L49" s="521">
        <f t="shared" si="84"/>
        <v>531054.55504000001</v>
      </c>
      <c r="M49" s="521">
        <f t="shared" si="84"/>
        <v>-300000</v>
      </c>
      <c r="N49" s="521">
        <f t="shared" si="84"/>
        <v>13475439.000361823</v>
      </c>
      <c r="O49" s="521"/>
      <c r="P49" s="521"/>
      <c r="Q49" s="521"/>
      <c r="R49" s="533"/>
      <c r="S49" s="533"/>
      <c r="T49" s="533"/>
      <c r="U49" s="533"/>
      <c r="V49" s="533"/>
      <c r="W49" s="521">
        <f>IFERROR(W26+W42,0)</f>
        <v>11790148.693085823</v>
      </c>
      <c r="X49" s="521">
        <f t="shared" ref="X49:AB49" si="85">IFERROR(X26+X42,0)</f>
        <v>3945565.9551232764</v>
      </c>
      <c r="Y49" s="521">
        <f t="shared" si="85"/>
        <v>4430314.7581617702</v>
      </c>
      <c r="Z49" s="521">
        <f t="shared" si="85"/>
        <v>437791.2993449528</v>
      </c>
      <c r="AA49" s="521">
        <f t="shared" si="85"/>
        <v>-300000</v>
      </c>
      <c r="AB49" s="521">
        <f t="shared" si="85"/>
        <v>20303820.705715828</v>
      </c>
      <c r="AC49" s="13"/>
      <c r="AD49" s="521"/>
      <c r="AE49" s="521"/>
      <c r="AF49" s="533"/>
      <c r="AG49" s="533"/>
      <c r="AH49" s="533"/>
      <c r="AI49" s="533"/>
      <c r="AJ49" s="13"/>
      <c r="AK49" s="521">
        <v>7639783.6134304432</v>
      </c>
      <c r="AL49" s="521">
        <v>3342773.2285805214</v>
      </c>
      <c r="AM49" s="521">
        <v>4186280.015846719</v>
      </c>
      <c r="AN49" s="521">
        <v>303356.67344242998</v>
      </c>
      <c r="AO49" s="521">
        <f t="shared" ref="AO49" si="86">IFERROR(AO26+AO42,0)</f>
        <v>-300000</v>
      </c>
      <c r="AP49" s="521">
        <v>15143516.285047766</v>
      </c>
      <c r="AQ49" s="13"/>
      <c r="AR49" s="521"/>
      <c r="AS49" s="521"/>
      <c r="AT49" s="533"/>
      <c r="AU49" s="533"/>
      <c r="AV49" s="533"/>
      <c r="AW49" s="533"/>
      <c r="AX49" s="13"/>
      <c r="AY49" s="521">
        <v>11819230.242642507</v>
      </c>
      <c r="AZ49" s="521">
        <v>6481892.3082961999</v>
      </c>
      <c r="BA49" s="521">
        <v>4819508.6548022088</v>
      </c>
      <c r="BB49" s="521">
        <v>1116642.4521968001</v>
      </c>
      <c r="BC49" s="521">
        <f t="shared" ref="BC49" si="87">IFERROR(BC26+BC42,0)</f>
        <v>-300000</v>
      </c>
      <c r="BD49" s="521">
        <v>23042320.557094745</v>
      </c>
      <c r="BE49" s="13"/>
      <c r="BF49" s="521"/>
      <c r="BG49" s="521"/>
      <c r="BH49" s="533"/>
      <c r="BI49" s="533"/>
      <c r="BJ49" s="533"/>
      <c r="BK49" s="533"/>
    </row>
    <row r="50" spans="1:63" hidden="1" outlineLevel="1">
      <c r="A50" s="11"/>
      <c r="B50" s="7"/>
      <c r="C50" s="7"/>
      <c r="D50" s="7"/>
      <c r="E50" s="7"/>
      <c r="F50" s="7"/>
      <c r="G50" s="7" t="s">
        <v>163</v>
      </c>
      <c r="H50" s="532"/>
      <c r="I50" s="7"/>
      <c r="J50" s="7"/>
      <c r="K50" s="7"/>
      <c r="L50" s="7"/>
      <c r="M50" s="7"/>
      <c r="N50" s="7" t="s">
        <v>163</v>
      </c>
      <c r="O50" s="7"/>
      <c r="P50" s="7"/>
      <c r="Q50" s="7"/>
      <c r="R50" s="533"/>
      <c r="S50" s="533"/>
      <c r="T50" s="533"/>
      <c r="U50" s="533"/>
      <c r="V50" s="533"/>
      <c r="W50" s="7"/>
      <c r="X50" s="7"/>
      <c r="Y50" s="7"/>
      <c r="Z50" s="7"/>
      <c r="AA50" s="7"/>
      <c r="AB50" s="7" t="s">
        <v>163</v>
      </c>
      <c r="AC50" s="13"/>
      <c r="AD50" s="7"/>
      <c r="AE50" s="7"/>
      <c r="AF50" s="533"/>
      <c r="AG50" s="533"/>
      <c r="AH50" s="533"/>
      <c r="AI50" s="533"/>
      <c r="AJ50" s="13"/>
      <c r="AK50" s="7"/>
      <c r="AL50" s="7"/>
      <c r="AM50" s="7"/>
      <c r="AN50" s="7"/>
      <c r="AO50" s="7"/>
      <c r="AP50" s="7"/>
      <c r="AQ50" s="13"/>
      <c r="AR50" s="7"/>
      <c r="AS50" s="7"/>
      <c r="AT50" s="533"/>
      <c r="AU50" s="533"/>
      <c r="AV50" s="533"/>
      <c r="AW50" s="533"/>
      <c r="AX50" s="13"/>
      <c r="AY50" s="7"/>
      <c r="AZ50" s="7"/>
      <c r="BA50" s="7"/>
      <c r="BB50" s="7"/>
      <c r="BC50" s="7"/>
      <c r="BD50" s="7"/>
      <c r="BE50" s="13"/>
      <c r="BF50" s="7"/>
      <c r="BG50" s="7"/>
      <c r="BH50" s="533"/>
      <c r="BI50" s="533"/>
      <c r="BJ50" s="533"/>
      <c r="BK50" s="533"/>
    </row>
    <row r="51" spans="1:63" hidden="1" outlineLevel="1">
      <c r="A51" s="515" t="s">
        <v>116</v>
      </c>
      <c r="B51" s="518">
        <f>IFERROR(B45/B6,0)</f>
        <v>0.64000025422236106</v>
      </c>
      <c r="C51" s="518">
        <f t="shared" ref="C51:G51" si="88">IFERROR(C45/C6,0)</f>
        <v>0.54673218204369811</v>
      </c>
      <c r="D51" s="518">
        <f t="shared" si="88"/>
        <v>0.57515758847567555</v>
      </c>
      <c r="E51" s="518">
        <f t="shared" si="88"/>
        <v>0.28263015580067813</v>
      </c>
      <c r="F51" s="518">
        <f t="shared" si="88"/>
        <v>0</v>
      </c>
      <c r="G51" s="518">
        <f t="shared" si="88"/>
        <v>0.58064279784006134</v>
      </c>
      <c r="H51" s="532"/>
      <c r="I51" s="518">
        <f>IFERROR(I45/I6,0)</f>
        <v>0.65337476242816173</v>
      </c>
      <c r="J51" s="518">
        <f t="shared" ref="J51:N51" si="89">IFERROR(J45/J6,0)</f>
        <v>0.56668902831463497</v>
      </c>
      <c r="K51" s="518">
        <f t="shared" si="89"/>
        <v>0.56668902831463519</v>
      </c>
      <c r="L51" s="518">
        <f t="shared" si="89"/>
        <v>0</v>
      </c>
      <c r="M51" s="518">
        <f t="shared" si="89"/>
        <v>0</v>
      </c>
      <c r="N51" s="518">
        <f t="shared" si="89"/>
        <v>0.60016746677672139</v>
      </c>
      <c r="O51" s="518"/>
      <c r="P51" s="518"/>
      <c r="Q51" s="518"/>
      <c r="R51" s="533"/>
      <c r="S51" s="533"/>
      <c r="T51" s="533"/>
      <c r="U51" s="533"/>
      <c r="V51" s="533"/>
      <c r="W51" s="518">
        <f>IFERROR(W45/W6,0)</f>
        <v>0.66337476242816162</v>
      </c>
      <c r="X51" s="518">
        <f t="shared" ref="X51:AB51" si="90">IFERROR(X45/X6,0)</f>
        <v>0.56668902831463519</v>
      </c>
      <c r="Y51" s="518">
        <f t="shared" si="90"/>
        <v>0.56668902831463519</v>
      </c>
      <c r="Z51" s="518">
        <f t="shared" si="90"/>
        <v>0</v>
      </c>
      <c r="AA51" s="518">
        <f t="shared" si="90"/>
        <v>0</v>
      </c>
      <c r="AB51" s="518">
        <f t="shared" si="90"/>
        <v>0.61657797294116168</v>
      </c>
      <c r="AC51" s="13"/>
      <c r="AD51" s="518"/>
      <c r="AE51" s="518"/>
      <c r="AF51" s="533"/>
      <c r="AG51" s="533"/>
      <c r="AH51" s="533"/>
      <c r="AI51" s="533"/>
      <c r="AJ51" s="13"/>
      <c r="AK51" s="518">
        <v>0.65337476242816173</v>
      </c>
      <c r="AL51" s="518">
        <v>0.56668902831463508</v>
      </c>
      <c r="AM51" s="518">
        <v>0.5666890283146353</v>
      </c>
      <c r="AN51" s="518">
        <v>0</v>
      </c>
      <c r="AO51" s="518">
        <f t="shared" ref="AO51" si="91">IFERROR(AO45/AO6,0)</f>
        <v>0</v>
      </c>
      <c r="AP51" s="518">
        <v>0.59857634186905506</v>
      </c>
      <c r="AQ51" s="13"/>
      <c r="AR51" s="518"/>
      <c r="AS51" s="518"/>
      <c r="AT51" s="533"/>
      <c r="AU51" s="533"/>
      <c r="AV51" s="533"/>
      <c r="AW51" s="533"/>
      <c r="AX51" s="13"/>
      <c r="AY51" s="518">
        <v>0.66337476242816173</v>
      </c>
      <c r="AZ51" s="518">
        <v>0.56668902831463519</v>
      </c>
      <c r="BA51" s="518">
        <v>0.56668902831463508</v>
      </c>
      <c r="BB51" s="518">
        <v>0</v>
      </c>
      <c r="BC51" s="518">
        <f>IFERROR(BC45/BC6,0)</f>
        <v>0</v>
      </c>
      <c r="BD51" s="518">
        <v>0.61247172018613394</v>
      </c>
      <c r="BE51" s="13"/>
      <c r="BF51" s="518"/>
      <c r="BG51" s="518"/>
      <c r="BH51" s="533"/>
      <c r="BI51" s="533"/>
      <c r="BJ51" s="533"/>
      <c r="BK51" s="533"/>
    </row>
    <row r="52" spans="1:63" hidden="1" outlineLevel="1">
      <c r="A52" s="515" t="s">
        <v>117</v>
      </c>
      <c r="B52" s="518">
        <f t="shared" ref="B52:G52" si="92">IFERROR(B46/B7,0)</f>
        <v>0.66574576111912132</v>
      </c>
      <c r="C52" s="518">
        <f t="shared" si="92"/>
        <v>0.59933580101705475</v>
      </c>
      <c r="D52" s="518">
        <f t="shared" si="92"/>
        <v>0.57628368361859639</v>
      </c>
      <c r="E52" s="518">
        <f t="shared" si="92"/>
        <v>0.52516029178383006</v>
      </c>
      <c r="F52" s="518">
        <f t="shared" si="92"/>
        <v>0</v>
      </c>
      <c r="G52" s="518">
        <f t="shared" si="92"/>
        <v>0.62892295521939101</v>
      </c>
      <c r="H52" s="532"/>
      <c r="I52" s="518">
        <f t="shared" ref="I52:N52" si="93">IFERROR(I46/I7,0)</f>
        <v>0.6926536756732713</v>
      </c>
      <c r="J52" s="518">
        <f t="shared" si="93"/>
        <v>0.61030413706607534</v>
      </c>
      <c r="K52" s="518">
        <f t="shared" si="93"/>
        <v>0.53999999999999992</v>
      </c>
      <c r="L52" s="518">
        <f t="shared" si="93"/>
        <v>0.62683735277009922</v>
      </c>
      <c r="M52" s="518">
        <f t="shared" si="93"/>
        <v>0</v>
      </c>
      <c r="N52" s="518">
        <f t="shared" si="93"/>
        <v>0.64985454287843447</v>
      </c>
      <c r="O52" s="518"/>
      <c r="P52" s="518"/>
      <c r="Q52" s="518"/>
      <c r="R52" s="533"/>
      <c r="S52" s="533"/>
      <c r="T52" s="533"/>
      <c r="U52" s="533"/>
      <c r="V52" s="533"/>
      <c r="W52" s="518">
        <f t="shared" ref="W52:AB52" si="94">IFERROR(W46/W7,0)</f>
        <v>0.6926536756732713</v>
      </c>
      <c r="X52" s="518">
        <f t="shared" si="94"/>
        <v>0.61030413706607523</v>
      </c>
      <c r="Y52" s="518">
        <f t="shared" si="94"/>
        <v>0.53999999999999992</v>
      </c>
      <c r="Z52" s="518">
        <f t="shared" si="94"/>
        <v>0.48846394513915969</v>
      </c>
      <c r="AA52" s="518">
        <f t="shared" si="94"/>
        <v>0</v>
      </c>
      <c r="AB52" s="518">
        <f t="shared" si="94"/>
        <v>0.63695017418008493</v>
      </c>
      <c r="AC52" s="13"/>
      <c r="AD52" s="518"/>
      <c r="AE52" s="518"/>
      <c r="AF52" s="533"/>
      <c r="AG52" s="533"/>
      <c r="AH52" s="533"/>
      <c r="AI52" s="533"/>
      <c r="AJ52" s="13"/>
      <c r="AK52" s="518">
        <v>0.69265367567327141</v>
      </c>
      <c r="AL52" s="518">
        <v>0.68030413706607529</v>
      </c>
      <c r="AM52" s="518">
        <v>0.64</v>
      </c>
      <c r="AN52" s="518">
        <v>0.60889344491083164</v>
      </c>
      <c r="AO52" s="518">
        <f t="shared" ref="AO52" si="95">IFERROR(AO46/AO7,0)</f>
        <v>0</v>
      </c>
      <c r="AP52" s="518">
        <v>0.6786640191275225</v>
      </c>
      <c r="AQ52" s="13"/>
      <c r="AR52" s="518"/>
      <c r="AS52" s="518"/>
      <c r="AT52" s="533"/>
      <c r="AU52" s="533"/>
      <c r="AV52" s="533"/>
      <c r="AW52" s="533"/>
      <c r="AX52" s="13"/>
      <c r="AY52" s="518">
        <v>0.69265367567327119</v>
      </c>
      <c r="AZ52" s="518">
        <v>0.68030413706607529</v>
      </c>
      <c r="BA52" s="518">
        <v>0.64</v>
      </c>
      <c r="BB52" s="518">
        <v>0.58000000000000018</v>
      </c>
      <c r="BC52" s="518">
        <f>IFERROR(BC46/BC7,0)</f>
        <v>0</v>
      </c>
      <c r="BD52" s="518">
        <v>0.63717652539048897</v>
      </c>
      <c r="BE52" s="13"/>
      <c r="BF52" s="518"/>
      <c r="BG52" s="518"/>
      <c r="BH52" s="533"/>
      <c r="BI52" s="533"/>
      <c r="BJ52" s="533"/>
      <c r="BK52" s="533"/>
    </row>
    <row r="53" spans="1:63" hidden="1" outlineLevel="1">
      <c r="A53" s="515" t="s">
        <v>118</v>
      </c>
      <c r="B53" s="518">
        <f t="shared" ref="B53:G53" si="96">IFERROR(B47/B8,0)</f>
        <v>0.42125967915364687</v>
      </c>
      <c r="C53" s="518">
        <f t="shared" si="96"/>
        <v>0.43635526450424639</v>
      </c>
      <c r="D53" s="518">
        <f t="shared" si="96"/>
        <v>0</v>
      </c>
      <c r="E53" s="518">
        <f t="shared" si="96"/>
        <v>0.29140850103012839</v>
      </c>
      <c r="F53" s="518">
        <f t="shared" si="96"/>
        <v>0</v>
      </c>
      <c r="G53" s="518">
        <f t="shared" si="96"/>
        <v>0.41861520177085937</v>
      </c>
      <c r="H53" s="532"/>
      <c r="I53" s="518">
        <f t="shared" ref="I53:N53" si="97">IFERROR(I47/I8,0)</f>
        <v>0.41281221444681859</v>
      </c>
      <c r="J53" s="518">
        <f t="shared" si="97"/>
        <v>0.38630345552537726</v>
      </c>
      <c r="K53" s="518">
        <f t="shared" si="97"/>
        <v>0</v>
      </c>
      <c r="L53" s="518">
        <f t="shared" si="97"/>
        <v>0.39</v>
      </c>
      <c r="M53" s="518">
        <f t="shared" si="97"/>
        <v>0</v>
      </c>
      <c r="N53" s="518">
        <f t="shared" si="97"/>
        <v>0.40526525477910985</v>
      </c>
      <c r="O53" s="518"/>
      <c r="P53" s="518"/>
      <c r="Q53" s="518"/>
      <c r="R53" s="533"/>
      <c r="S53" s="533"/>
      <c r="T53" s="533"/>
      <c r="U53" s="533"/>
      <c r="V53" s="533"/>
      <c r="W53" s="518">
        <f t="shared" ref="W53:AB53" si="98">IFERROR(W47/W8,0)</f>
        <v>0.41281221444681848</v>
      </c>
      <c r="X53" s="518">
        <f t="shared" si="98"/>
        <v>0.3863034555253772</v>
      </c>
      <c r="Y53" s="518">
        <f t="shared" si="98"/>
        <v>0</v>
      </c>
      <c r="Z53" s="518">
        <f t="shared" si="98"/>
        <v>0.39</v>
      </c>
      <c r="AA53" s="518">
        <f t="shared" si="98"/>
        <v>0</v>
      </c>
      <c r="AB53" s="518">
        <f t="shared" si="98"/>
        <v>0.40436586635904803</v>
      </c>
      <c r="AC53" s="13"/>
      <c r="AD53" s="518"/>
      <c r="AE53" s="518"/>
      <c r="AF53" s="533"/>
      <c r="AG53" s="533"/>
      <c r="AH53" s="533"/>
      <c r="AI53" s="533"/>
      <c r="AJ53" s="13"/>
      <c r="AK53" s="518">
        <v>0.41281221444681848</v>
      </c>
      <c r="AL53" s="518">
        <v>0.38630345552537709</v>
      </c>
      <c r="AM53" s="518">
        <v>0</v>
      </c>
      <c r="AN53" s="518">
        <v>0.39</v>
      </c>
      <c r="AO53" s="518">
        <f t="shared" ref="AO53" si="99">IFERROR(AO47/AO8,0)</f>
        <v>0</v>
      </c>
      <c r="AP53" s="518">
        <v>0.40327762294946579</v>
      </c>
      <c r="AQ53" s="13"/>
      <c r="AR53" s="518"/>
      <c r="AS53" s="518"/>
      <c r="AT53" s="533"/>
      <c r="AU53" s="533"/>
      <c r="AV53" s="533"/>
      <c r="AW53" s="533"/>
      <c r="AX53" s="13"/>
      <c r="AY53" s="518">
        <v>0.41281221444681854</v>
      </c>
      <c r="AZ53" s="518">
        <v>0.38630345552537704</v>
      </c>
      <c r="BA53" s="518">
        <v>0</v>
      </c>
      <c r="BB53" s="518">
        <v>0.39</v>
      </c>
      <c r="BC53" s="518">
        <f>IFERROR(BC47/BC8,0)</f>
        <v>0</v>
      </c>
      <c r="BD53" s="518">
        <v>0.39994058605170757</v>
      </c>
      <c r="BE53" s="13"/>
      <c r="BF53" s="518"/>
      <c r="BG53" s="518"/>
      <c r="BH53" s="533"/>
      <c r="BI53" s="533"/>
      <c r="BJ53" s="533"/>
      <c r="BK53" s="533"/>
    </row>
    <row r="54" spans="1:63" hidden="1" outlineLevel="1">
      <c r="A54" s="515" t="s">
        <v>119</v>
      </c>
      <c r="B54" s="518">
        <f t="shared" ref="B54:G54" si="100">IFERROR(B48/B9,0)</f>
        <v>0.48701486558661206</v>
      </c>
      <c r="C54" s="518">
        <f t="shared" si="100"/>
        <v>0</v>
      </c>
      <c r="D54" s="518">
        <f t="shared" si="100"/>
        <v>0</v>
      </c>
      <c r="E54" s="518">
        <f t="shared" si="100"/>
        <v>0</v>
      </c>
      <c r="F54" s="518">
        <f t="shared" si="100"/>
        <v>0</v>
      </c>
      <c r="G54" s="518">
        <f t="shared" si="100"/>
        <v>0.46309195299982198</v>
      </c>
      <c r="H54" s="532"/>
      <c r="I54" s="518">
        <f t="shared" ref="I54:N54" si="101">IFERROR(I48/I9,0)</f>
        <v>0</v>
      </c>
      <c r="J54" s="518">
        <f t="shared" si="101"/>
        <v>0</v>
      </c>
      <c r="K54" s="518">
        <f t="shared" si="101"/>
        <v>0</v>
      </c>
      <c r="L54" s="518">
        <f t="shared" si="101"/>
        <v>0</v>
      </c>
      <c r="M54" s="518">
        <f t="shared" si="101"/>
        <v>0</v>
      </c>
      <c r="N54" s="518">
        <f t="shared" si="101"/>
        <v>0</v>
      </c>
      <c r="O54" s="518"/>
      <c r="P54" s="518"/>
      <c r="Q54" s="518"/>
      <c r="R54" s="533"/>
      <c r="S54" s="533"/>
      <c r="T54" s="533"/>
      <c r="U54" s="533"/>
      <c r="V54" s="533"/>
      <c r="W54" s="518">
        <f t="shared" ref="W54:AB54" si="102">IFERROR(W48/W9,0)</f>
        <v>0</v>
      </c>
      <c r="X54" s="518">
        <f t="shared" si="102"/>
        <v>0</v>
      </c>
      <c r="Y54" s="518">
        <f t="shared" si="102"/>
        <v>0</v>
      </c>
      <c r="Z54" s="518">
        <f t="shared" si="102"/>
        <v>0</v>
      </c>
      <c r="AA54" s="518">
        <f t="shared" si="102"/>
        <v>0</v>
      </c>
      <c r="AB54" s="518">
        <f t="shared" si="102"/>
        <v>0</v>
      </c>
      <c r="AC54" s="13"/>
      <c r="AD54" s="518"/>
      <c r="AE54" s="518"/>
      <c r="AF54" s="533"/>
      <c r="AG54" s="533"/>
      <c r="AH54" s="533"/>
      <c r="AI54" s="533"/>
      <c r="AJ54" s="13"/>
      <c r="AK54" s="518">
        <v>0</v>
      </c>
      <c r="AL54" s="518">
        <v>0</v>
      </c>
      <c r="AM54" s="518">
        <v>0</v>
      </c>
      <c r="AN54" s="518">
        <v>0</v>
      </c>
      <c r="AO54" s="518">
        <f t="shared" ref="AO54" si="103">IFERROR(AO48/AO9,0)</f>
        <v>0</v>
      </c>
      <c r="AP54" s="518">
        <v>0</v>
      </c>
      <c r="AQ54" s="13"/>
      <c r="AR54" s="518"/>
      <c r="AS54" s="518"/>
      <c r="AT54" s="533"/>
      <c r="AU54" s="533"/>
      <c r="AV54" s="533"/>
      <c r="AW54" s="533"/>
      <c r="AX54" s="13"/>
      <c r="AY54" s="518">
        <v>0</v>
      </c>
      <c r="AZ54" s="518">
        <v>0</v>
      </c>
      <c r="BA54" s="518">
        <v>0</v>
      </c>
      <c r="BB54" s="518">
        <v>0</v>
      </c>
      <c r="BC54" s="518">
        <f>IFERROR(BC48/BC9,0)</f>
        <v>0</v>
      </c>
      <c r="BD54" s="518">
        <v>0</v>
      </c>
      <c r="BE54" s="13"/>
      <c r="BF54" s="518"/>
      <c r="BG54" s="518"/>
      <c r="BH54" s="533"/>
      <c r="BI54" s="533"/>
      <c r="BJ54" s="533"/>
      <c r="BK54" s="533"/>
    </row>
    <row r="55" spans="1:63" hidden="1" outlineLevel="1">
      <c r="A55" s="516" t="s">
        <v>120</v>
      </c>
      <c r="B55" s="518">
        <f>IFERROR(B49/B11,0)</f>
        <v>0.58880434212758082</v>
      </c>
      <c r="C55" s="518">
        <f t="shared" ref="C55:G55" si="104">IFERROR(C49/C11,0)</f>
        <v>0.55045408846180244</v>
      </c>
      <c r="D55" s="518">
        <f t="shared" si="104"/>
        <v>0.57528611433703858</v>
      </c>
      <c r="E55" s="518">
        <f t="shared" si="104"/>
        <v>0.49324788609451148</v>
      </c>
      <c r="F55" s="518">
        <f t="shared" si="104"/>
        <v>0</v>
      </c>
      <c r="G55" s="518">
        <f t="shared" si="104"/>
        <v>0.55179623004640299</v>
      </c>
      <c r="H55" s="532"/>
      <c r="I55" s="518">
        <f>IFERROR(I49/I11,0)</f>
        <v>0.61814695781282147</v>
      </c>
      <c r="J55" s="518">
        <f t="shared" ref="J55:N55" si="105">IFERROR(J49/J11,0)</f>
        <v>0.55008643361491349</v>
      </c>
      <c r="K55" s="518">
        <f t="shared" si="105"/>
        <v>0.56349989293393077</v>
      </c>
      <c r="L55" s="518">
        <f t="shared" si="105"/>
        <v>0.59341269425056287</v>
      </c>
      <c r="M55" s="518">
        <f t="shared" si="105"/>
        <v>0</v>
      </c>
      <c r="N55" s="518">
        <f t="shared" si="105"/>
        <v>0.57589229646471762</v>
      </c>
      <c r="O55" s="518"/>
      <c r="P55" s="518"/>
      <c r="Q55" s="518"/>
      <c r="R55" s="533"/>
      <c r="S55" s="533"/>
      <c r="T55" s="533"/>
      <c r="U55" s="533"/>
      <c r="V55" s="533"/>
      <c r="W55" s="518">
        <f>IFERROR(W49/W11,0)</f>
        <v>0.6390823283949667</v>
      </c>
      <c r="X55" s="518">
        <f t="shared" ref="X55:AB55" si="106">IFERROR(X49/X11,0)</f>
        <v>0.5569953197856411</v>
      </c>
      <c r="Y55" s="518">
        <f t="shared" si="106"/>
        <v>0.5635473270656467</v>
      </c>
      <c r="Z55" s="518">
        <f t="shared" si="106"/>
        <v>0.47497192040494451</v>
      </c>
      <c r="AA55" s="518">
        <f t="shared" si="106"/>
        <v>0</v>
      </c>
      <c r="AB55" s="518">
        <f t="shared" si="106"/>
        <v>0.5916821445483843</v>
      </c>
      <c r="AC55" s="13"/>
      <c r="AD55" s="518"/>
      <c r="AE55" s="518"/>
      <c r="AF55" s="533"/>
      <c r="AG55" s="533"/>
      <c r="AH55" s="533"/>
      <c r="AI55" s="533"/>
      <c r="AJ55" s="13"/>
      <c r="AK55" s="518">
        <v>0.61889395766737354</v>
      </c>
      <c r="AL55" s="518">
        <v>0.57126270267070456</v>
      </c>
      <c r="AM55" s="518">
        <v>0.57515926577827181</v>
      </c>
      <c r="AN55" s="518">
        <v>0.55803750579543709</v>
      </c>
      <c r="AO55" s="518">
        <f t="shared" ref="AO55" si="107">IFERROR(AO49/AO11,0)</f>
        <v>0</v>
      </c>
      <c r="AP55" s="518">
        <v>0.5826847068331481</v>
      </c>
      <c r="AQ55" s="13"/>
      <c r="AR55" s="518"/>
      <c r="AS55" s="518"/>
      <c r="AT55" s="533"/>
      <c r="AU55" s="533"/>
      <c r="AV55" s="533"/>
      <c r="AW55" s="533"/>
      <c r="AX55" s="13"/>
      <c r="AY55" s="518">
        <v>0.63598026236754712</v>
      </c>
      <c r="AZ55" s="518">
        <v>0.56864254223390553</v>
      </c>
      <c r="BA55" s="518">
        <v>0.57472753717415814</v>
      </c>
      <c r="BB55" s="518">
        <v>0.56779796174856589</v>
      </c>
      <c r="BC55" s="518">
        <f t="shared" ref="BC55" si="108">IFERROR(BC49/BC11,0)</f>
        <v>0</v>
      </c>
      <c r="BD55" s="518">
        <v>0.5842291379381771</v>
      </c>
      <c r="BE55" s="13"/>
      <c r="BF55" s="518"/>
      <c r="BG55" s="518"/>
      <c r="BH55" s="533"/>
      <c r="BI55" s="533"/>
      <c r="BJ55" s="533"/>
      <c r="BK55" s="533"/>
    </row>
    <row r="56" spans="1:63" hidden="1" outlineLevel="1">
      <c r="A56" s="13"/>
      <c r="B56" s="7"/>
      <c r="C56" s="7"/>
      <c r="D56" s="7"/>
      <c r="E56" s="7"/>
      <c r="F56" s="7"/>
      <c r="G56" s="7"/>
      <c r="H56" s="532"/>
      <c r="I56" s="7"/>
      <c r="J56" s="518"/>
      <c r="K56" s="518"/>
      <c r="L56" s="518"/>
      <c r="M56" s="518"/>
      <c r="N56" s="518"/>
      <c r="O56" s="518"/>
      <c r="P56" s="518"/>
      <c r="Q56" s="518"/>
      <c r="R56" s="533"/>
      <c r="S56" s="533"/>
      <c r="T56" s="533"/>
      <c r="U56" s="533"/>
      <c r="V56" s="533"/>
      <c r="W56" s="7"/>
      <c r="X56" s="7"/>
      <c r="Y56" s="7"/>
      <c r="Z56" s="7"/>
      <c r="AA56" s="533"/>
      <c r="AB56" s="7"/>
      <c r="AC56" s="13"/>
      <c r="AD56" s="518"/>
      <c r="AE56" s="518"/>
      <c r="AF56" s="533"/>
      <c r="AG56" s="533"/>
      <c r="AH56" s="533"/>
      <c r="AI56" s="533"/>
      <c r="AJ56" s="13"/>
      <c r="AK56" s="7"/>
      <c r="AL56" s="7"/>
      <c r="AM56" s="7"/>
      <c r="AN56" s="7"/>
      <c r="AO56" s="533"/>
      <c r="AP56" s="7"/>
      <c r="AQ56" s="13"/>
      <c r="AR56" s="518"/>
      <c r="AS56" s="518"/>
      <c r="AT56" s="533"/>
      <c r="AU56" s="533"/>
      <c r="AV56" s="533"/>
      <c r="AW56" s="533"/>
      <c r="AX56" s="13"/>
      <c r="AY56" s="7"/>
      <c r="AZ56" s="7"/>
      <c r="BA56" s="7"/>
      <c r="BB56" s="7"/>
      <c r="BC56" s="533"/>
      <c r="BD56" s="7"/>
      <c r="BE56" s="13"/>
      <c r="BF56" s="518"/>
      <c r="BG56" s="518"/>
      <c r="BH56" s="533"/>
      <c r="BI56" s="533"/>
      <c r="BJ56" s="533"/>
      <c r="BK56" s="533"/>
    </row>
    <row r="57" spans="1:63" hidden="1" outlineLevel="1">
      <c r="A57" s="17" t="s">
        <v>121</v>
      </c>
      <c r="B57" s="7"/>
      <c r="C57" s="7"/>
      <c r="D57" s="7"/>
      <c r="E57" s="7"/>
      <c r="F57" s="7"/>
      <c r="G57" s="7"/>
      <c r="H57" s="532"/>
      <c r="I57" s="7"/>
      <c r="J57" s="7"/>
      <c r="K57" s="7"/>
      <c r="L57" s="7"/>
      <c r="M57" s="7"/>
      <c r="N57" s="7"/>
      <c r="O57" s="7"/>
      <c r="P57" s="7"/>
      <c r="Q57" s="7"/>
      <c r="R57" s="533"/>
      <c r="S57" s="533"/>
      <c r="T57" s="533"/>
      <c r="U57" s="533"/>
      <c r="V57" s="533"/>
      <c r="W57" s="7"/>
      <c r="X57" s="7"/>
      <c r="Y57" s="7"/>
      <c r="Z57" s="7"/>
      <c r="AA57" s="533"/>
      <c r="AB57" s="7"/>
      <c r="AC57" s="13"/>
      <c r="AD57" s="7"/>
      <c r="AE57" s="7"/>
      <c r="AF57" s="533"/>
      <c r="AG57" s="533"/>
      <c r="AH57" s="533"/>
      <c r="AI57" s="533"/>
      <c r="AJ57" s="13"/>
      <c r="AK57" s="7"/>
      <c r="AL57" s="7"/>
      <c r="AM57" s="7"/>
      <c r="AN57" s="7"/>
      <c r="AO57" s="533"/>
      <c r="AP57" s="7"/>
      <c r="AQ57" s="13"/>
      <c r="AR57" s="7"/>
      <c r="AS57" s="7"/>
      <c r="AT57" s="533"/>
      <c r="AU57" s="533"/>
      <c r="AV57" s="533"/>
      <c r="AW57" s="533"/>
      <c r="AX57" s="13"/>
      <c r="AY57" s="7"/>
      <c r="AZ57" s="7"/>
      <c r="BA57" s="7"/>
      <c r="BB57" s="7"/>
      <c r="BC57" s="533"/>
      <c r="BD57" s="7"/>
      <c r="BE57" s="13"/>
      <c r="BF57" s="7"/>
      <c r="BG57" s="7"/>
      <c r="BH57" s="533"/>
      <c r="BI57" s="533"/>
      <c r="BJ57" s="533"/>
      <c r="BK57" s="533"/>
    </row>
    <row r="58" spans="1:63" hidden="1" outlineLevel="1">
      <c r="A58" s="13"/>
      <c r="B58" s="7"/>
      <c r="C58" s="7"/>
      <c r="D58" s="7"/>
      <c r="E58" s="7"/>
      <c r="F58" s="7"/>
      <c r="G58" s="7"/>
      <c r="H58" s="532"/>
      <c r="I58" s="7"/>
      <c r="J58" s="7"/>
      <c r="K58" s="7"/>
      <c r="L58" s="7"/>
      <c r="M58" s="7"/>
      <c r="N58" s="7"/>
      <c r="O58" s="7"/>
      <c r="P58" s="7"/>
      <c r="Q58" s="7"/>
      <c r="R58" s="533"/>
      <c r="S58" s="533"/>
      <c r="T58" s="533"/>
      <c r="U58" s="533"/>
      <c r="V58" s="533"/>
      <c r="W58" s="7"/>
      <c r="X58" s="7"/>
      <c r="Y58" s="7"/>
      <c r="Z58" s="7"/>
      <c r="AA58" s="533"/>
      <c r="AB58" s="7"/>
      <c r="AC58" s="13"/>
      <c r="AD58" s="7"/>
      <c r="AE58" s="7"/>
      <c r="AF58" s="533"/>
      <c r="AG58" s="533"/>
      <c r="AH58" s="533"/>
      <c r="AI58" s="533"/>
      <c r="AJ58" s="13"/>
      <c r="AK58" s="7"/>
      <c r="AL58" s="7"/>
      <c r="AM58" s="7"/>
      <c r="AN58" s="7"/>
      <c r="AO58" s="533"/>
      <c r="AP58" s="7"/>
      <c r="AQ58" s="13"/>
      <c r="AR58" s="7"/>
      <c r="AS58" s="7"/>
      <c r="AT58" s="533"/>
      <c r="AU58" s="533"/>
      <c r="AV58" s="533"/>
      <c r="AW58" s="533"/>
      <c r="AX58" s="13"/>
      <c r="AY58" s="7"/>
      <c r="AZ58" s="7"/>
      <c r="BA58" s="7"/>
      <c r="BB58" s="7"/>
      <c r="BC58" s="533"/>
      <c r="BD58" s="7"/>
      <c r="BE58" s="13"/>
      <c r="BF58" s="7"/>
      <c r="BG58" s="7"/>
      <c r="BH58" s="533"/>
      <c r="BI58" s="533"/>
      <c r="BJ58" s="533"/>
      <c r="BK58" s="533"/>
    </row>
    <row r="59" spans="1:63" hidden="1" outlineLevel="1">
      <c r="A59" s="13" t="s">
        <v>122</v>
      </c>
      <c r="B59" s="522">
        <v>-29357</v>
      </c>
      <c r="C59" s="522">
        <v>-22170</v>
      </c>
      <c r="D59" s="522">
        <v>-45584</v>
      </c>
      <c r="E59" s="522">
        <v>-1803</v>
      </c>
      <c r="F59" s="522" t="s">
        <v>164</v>
      </c>
      <c r="G59" s="522">
        <v>-102084</v>
      </c>
      <c r="H59" s="532"/>
      <c r="I59" s="83">
        <v>-1983035.4616891164</v>
      </c>
      <c r="J59" s="83">
        <v>-454126.8</v>
      </c>
      <c r="K59" s="83">
        <v>-1668508.65</v>
      </c>
      <c r="L59" s="83">
        <v>0</v>
      </c>
      <c r="M59" s="83"/>
      <c r="N59" s="83">
        <v>-4105670.9116891166</v>
      </c>
      <c r="O59" s="83"/>
      <c r="P59" s="89">
        <f t="shared" ref="P59:P69" si="109">IFERROR((I59-B59)/B59,0)</f>
        <v>66.548981901730983</v>
      </c>
      <c r="Q59" s="89">
        <f t="shared" ref="Q59:Q69" si="110">IFERROR((J59-C59)/C59,0)</f>
        <v>19.48384303112314</v>
      </c>
      <c r="R59" s="89">
        <f t="shared" ref="R59:R69" si="111">IFERROR((K59-D59)/D59,0)</f>
        <v>35.602945112320107</v>
      </c>
      <c r="S59" s="89">
        <f t="shared" ref="S59:S69" si="112">IFERROR((L59-E59)/E59,0)</f>
        <v>-1</v>
      </c>
      <c r="T59" s="89">
        <f t="shared" ref="T59:T69" si="113">IFERROR((M59-F59)/F59,0)</f>
        <v>0</v>
      </c>
      <c r="U59" s="89">
        <f t="shared" ref="U59:U69" si="114">IFERROR((N59-G59)/G59,0)</f>
        <v>39.218554442313355</v>
      </c>
      <c r="V59" s="533"/>
      <c r="W59" s="83">
        <v>-3631417.8711292949</v>
      </c>
      <c r="X59" s="83">
        <v>-894498</v>
      </c>
      <c r="Y59" s="83">
        <v>-2010460.34</v>
      </c>
      <c r="Z59" s="83">
        <v>0</v>
      </c>
      <c r="AA59" s="533"/>
      <c r="AB59" s="83">
        <v>-6536376.2111292938</v>
      </c>
      <c r="AC59" s="13"/>
      <c r="AD59" s="89">
        <f t="shared" ref="AD59:AD69" si="115">IFERROR((W59-I59)/I59,0)</f>
        <v>0.83124202329499131</v>
      </c>
      <c r="AE59" s="89">
        <f t="shared" ref="AE59:AE69" si="116">IFERROR((X59-J59)/J59,0)</f>
        <v>0.96970978149715015</v>
      </c>
      <c r="AF59" s="89">
        <f t="shared" ref="AF59:AF69" si="117">IFERROR((Y59-K59)/K59,0)</f>
        <v>0.20494451137547307</v>
      </c>
      <c r="AG59" s="89">
        <f t="shared" ref="AG59:AG69" si="118">IFERROR((Z59-L59)/L59,0)</f>
        <v>0</v>
      </c>
      <c r="AH59" s="89">
        <f t="shared" ref="AH59:AH69" si="119">IFERROR((AA59-M59)/M59,0)</f>
        <v>0</v>
      </c>
      <c r="AI59" s="89">
        <f t="shared" ref="AI59:AI69" si="120">IFERROR((AB59-N59)/N59,0)</f>
        <v>0.59203607686134763</v>
      </c>
      <c r="AJ59" s="13"/>
      <c r="AK59" s="83">
        <v>-2012017.8885278665</v>
      </c>
      <c r="AL59" s="83">
        <v>-528569</v>
      </c>
      <c r="AM59" s="83">
        <v>-1826611.15</v>
      </c>
      <c r="AN59" s="83">
        <v>0</v>
      </c>
      <c r="AO59" s="533"/>
      <c r="AP59" s="83">
        <v>-4367198.0385278668</v>
      </c>
      <c r="AQ59" s="13"/>
      <c r="AR59" s="89">
        <f t="shared" ref="AR59:AR69" si="121">IFERROR((AK59-B59)/B59,0)</f>
        <v>67.536222656533923</v>
      </c>
      <c r="AS59" s="89">
        <f t="shared" ref="AS59:AS69" si="122">IFERROR((AL59-C59)/C59,0)</f>
        <v>22.841632837167342</v>
      </c>
      <c r="AT59" s="89">
        <f t="shared" ref="AT59:AT69" si="123">IFERROR((AM59-D59)/D59,0)</f>
        <v>39.071322174447175</v>
      </c>
      <c r="AU59" s="89">
        <f t="shared" ref="AU59:AU69" si="124">IFERROR((AN59-E59)/E59,0)</f>
        <v>-1</v>
      </c>
      <c r="AV59" s="89">
        <f t="shared" ref="AV59:AV69" si="125">IFERROR((AO59-F59)/F59,0)</f>
        <v>0</v>
      </c>
      <c r="AW59" s="89">
        <f t="shared" ref="AW59:AW69" si="126">IFERROR((AP59-G59)/G59,0)</f>
        <v>41.780436097016839</v>
      </c>
      <c r="AX59" s="13"/>
      <c r="AY59" s="83">
        <v>-3631417.8711292949</v>
      </c>
      <c r="AZ59" s="83">
        <v>-1043382.4</v>
      </c>
      <c r="BA59" s="83">
        <v>-2198601.7350000003</v>
      </c>
      <c r="BB59" s="83">
        <v>0</v>
      </c>
      <c r="BC59" s="533"/>
      <c r="BD59" s="83">
        <v>-6873402.0061292946</v>
      </c>
      <c r="BE59" s="13"/>
      <c r="BF59" s="89">
        <f t="shared" ref="BF59:BF69" si="127">IFERROR((AY59-I59)/I59,0)</f>
        <v>0.83124202329499131</v>
      </c>
      <c r="BG59" s="89">
        <f t="shared" ref="BG59:BG69" si="128">IFERROR((AZ59-J59)/J59,0)</f>
        <v>1.2975574222882247</v>
      </c>
      <c r="BH59" s="89">
        <f t="shared" ref="BH59:BH69" si="129">IFERROR((BA59-K59)/K59,0)</f>
        <v>0.31770472691286344</v>
      </c>
      <c r="BI59" s="89">
        <f t="shared" ref="BI59:BI69" si="130">IFERROR((BB59-L59)/L59,0)</f>
        <v>0</v>
      </c>
      <c r="BJ59" s="89">
        <f t="shared" ref="BJ59:BJ69" si="131">IFERROR((BC59-M59)/M59,0)</f>
        <v>0</v>
      </c>
      <c r="BK59" s="89">
        <f t="shared" ref="BK59:BK69" si="132">IFERROR((BD59-N59)/N59,0)</f>
        <v>0.67412395049984752</v>
      </c>
    </row>
    <row r="60" spans="1:63" hidden="1" outlineLevel="1">
      <c r="A60" s="13" t="s">
        <v>123</v>
      </c>
      <c r="B60" s="522">
        <v>-157532</v>
      </c>
      <c r="C60" s="522">
        <v>-6667</v>
      </c>
      <c r="D60" s="522">
        <v>-38669</v>
      </c>
      <c r="E60" s="522">
        <v>-141</v>
      </c>
      <c r="F60" s="522">
        <v>-33062</v>
      </c>
      <c r="G60" s="522">
        <v>-238036</v>
      </c>
      <c r="H60" s="532"/>
      <c r="I60" s="83">
        <v>-300000</v>
      </c>
      <c r="J60" s="83">
        <v>-97500</v>
      </c>
      <c r="K60" s="83">
        <v>-65000</v>
      </c>
      <c r="L60" s="83">
        <v>0</v>
      </c>
      <c r="M60" s="83"/>
      <c r="N60" s="83">
        <v>-462500</v>
      </c>
      <c r="O60" s="83"/>
      <c r="P60" s="89">
        <f t="shared" si="109"/>
        <v>0.90437498413020845</v>
      </c>
      <c r="Q60" s="89">
        <f t="shared" si="110"/>
        <v>13.624268786560672</v>
      </c>
      <c r="R60" s="89">
        <f t="shared" si="111"/>
        <v>0.68093304714370684</v>
      </c>
      <c r="S60" s="89">
        <f t="shared" si="112"/>
        <v>-1</v>
      </c>
      <c r="T60" s="89">
        <f t="shared" si="113"/>
        <v>-1</v>
      </c>
      <c r="U60" s="89">
        <f t="shared" si="114"/>
        <v>0.94298341427347121</v>
      </c>
      <c r="V60" s="533"/>
      <c r="W60" s="83">
        <v>-300000</v>
      </c>
      <c r="X60" s="83">
        <v>-50000</v>
      </c>
      <c r="Y60" s="83">
        <v>-47500</v>
      </c>
      <c r="Z60" s="83">
        <v>0</v>
      </c>
      <c r="AA60" s="533"/>
      <c r="AB60" s="83">
        <v>-397500</v>
      </c>
      <c r="AC60" s="13"/>
      <c r="AD60" s="89">
        <f t="shared" si="115"/>
        <v>0</v>
      </c>
      <c r="AE60" s="89">
        <f t="shared" si="116"/>
        <v>-0.48717948717948717</v>
      </c>
      <c r="AF60" s="89">
        <f t="shared" si="117"/>
        <v>-0.26923076923076922</v>
      </c>
      <c r="AG60" s="89">
        <f t="shared" si="118"/>
        <v>0</v>
      </c>
      <c r="AH60" s="89">
        <f t="shared" si="119"/>
        <v>0</v>
      </c>
      <c r="AI60" s="89">
        <f t="shared" si="120"/>
        <v>-0.14054054054054055</v>
      </c>
      <c r="AJ60" s="13"/>
      <c r="AK60" s="83">
        <v>-300000</v>
      </c>
      <c r="AL60" s="83">
        <v>-46000</v>
      </c>
      <c r="AM60" s="83">
        <v>-36600</v>
      </c>
      <c r="AN60" s="83">
        <v>0</v>
      </c>
      <c r="AO60" s="533"/>
      <c r="AP60" s="83">
        <v>-382600</v>
      </c>
      <c r="AQ60" s="13"/>
      <c r="AR60" s="89">
        <f t="shared" si="121"/>
        <v>0.90437498413020845</v>
      </c>
      <c r="AS60" s="89">
        <f t="shared" si="122"/>
        <v>5.8996550172491373</v>
      </c>
      <c r="AT60" s="89">
        <f t="shared" si="123"/>
        <v>-5.350539191600507E-2</v>
      </c>
      <c r="AU60" s="89">
        <f t="shared" si="124"/>
        <v>-1</v>
      </c>
      <c r="AV60" s="89">
        <f t="shared" si="125"/>
        <v>-1</v>
      </c>
      <c r="AW60" s="89">
        <f t="shared" si="126"/>
        <v>0.60731990119141643</v>
      </c>
      <c r="AX60" s="13"/>
      <c r="AY60" s="83">
        <v>-300000</v>
      </c>
      <c r="AZ60" s="83">
        <v>-50000</v>
      </c>
      <c r="BA60" s="83">
        <v>-47500</v>
      </c>
      <c r="BB60" s="83">
        <v>0</v>
      </c>
      <c r="BC60" s="533"/>
      <c r="BD60" s="83">
        <v>-397500</v>
      </c>
      <c r="BE60" s="13"/>
      <c r="BF60" s="89">
        <f t="shared" si="127"/>
        <v>0</v>
      </c>
      <c r="BG60" s="89">
        <f t="shared" si="128"/>
        <v>-0.48717948717948717</v>
      </c>
      <c r="BH60" s="89">
        <f t="shared" si="129"/>
        <v>-0.26923076923076922</v>
      </c>
      <c r="BI60" s="89">
        <f t="shared" si="130"/>
        <v>0</v>
      </c>
      <c r="BJ60" s="89">
        <f t="shared" si="131"/>
        <v>0</v>
      </c>
      <c r="BK60" s="89">
        <f t="shared" si="132"/>
        <v>-0.14054054054054055</v>
      </c>
    </row>
    <row r="61" spans="1:63" hidden="1" outlineLevel="1">
      <c r="A61" s="13" t="s">
        <v>124</v>
      </c>
      <c r="B61" s="522">
        <v>-384535</v>
      </c>
      <c r="C61" s="522">
        <v>-171284</v>
      </c>
      <c r="D61" s="522">
        <v>-550373</v>
      </c>
      <c r="E61" s="522">
        <v>-875</v>
      </c>
      <c r="F61" s="522">
        <v>-2788</v>
      </c>
      <c r="G61" s="522">
        <v>-1291522</v>
      </c>
      <c r="H61" s="532"/>
      <c r="I61" s="83">
        <v>0</v>
      </c>
      <c r="J61" s="83">
        <v>0</v>
      </c>
      <c r="K61" s="83">
        <v>0</v>
      </c>
      <c r="L61" s="83">
        <v>0</v>
      </c>
      <c r="M61" s="83"/>
      <c r="N61" s="83">
        <v>0</v>
      </c>
      <c r="O61" s="83"/>
      <c r="P61" s="89">
        <f t="shared" si="109"/>
        <v>-1</v>
      </c>
      <c r="Q61" s="89">
        <f t="shared" si="110"/>
        <v>-1</v>
      </c>
      <c r="R61" s="89">
        <f t="shared" si="111"/>
        <v>-1</v>
      </c>
      <c r="S61" s="89">
        <f t="shared" si="112"/>
        <v>-1</v>
      </c>
      <c r="T61" s="89">
        <f t="shared" si="113"/>
        <v>-1</v>
      </c>
      <c r="U61" s="89">
        <f t="shared" si="114"/>
        <v>-1</v>
      </c>
      <c r="V61" s="533"/>
      <c r="W61" s="83">
        <v>0</v>
      </c>
      <c r="X61" s="83">
        <v>0</v>
      </c>
      <c r="Y61" s="83">
        <v>0</v>
      </c>
      <c r="Z61" s="83">
        <v>0</v>
      </c>
      <c r="AA61" s="533"/>
      <c r="AB61" s="83">
        <v>0</v>
      </c>
      <c r="AC61" s="13"/>
      <c r="AD61" s="89">
        <f t="shared" si="115"/>
        <v>0</v>
      </c>
      <c r="AE61" s="89">
        <f t="shared" si="116"/>
        <v>0</v>
      </c>
      <c r="AF61" s="89">
        <f t="shared" si="117"/>
        <v>0</v>
      </c>
      <c r="AG61" s="89">
        <f t="shared" si="118"/>
        <v>0</v>
      </c>
      <c r="AH61" s="89">
        <f t="shared" si="119"/>
        <v>0</v>
      </c>
      <c r="AI61" s="89">
        <f t="shared" si="120"/>
        <v>0</v>
      </c>
      <c r="AJ61" s="13"/>
      <c r="AK61" s="83">
        <v>0</v>
      </c>
      <c r="AL61" s="83">
        <v>0</v>
      </c>
      <c r="AM61" s="83">
        <v>0</v>
      </c>
      <c r="AN61" s="83">
        <v>0</v>
      </c>
      <c r="AO61" s="533"/>
      <c r="AP61" s="83">
        <v>0</v>
      </c>
      <c r="AQ61" s="13"/>
      <c r="AR61" s="89">
        <f t="shared" si="121"/>
        <v>-1</v>
      </c>
      <c r="AS61" s="89">
        <f t="shared" si="122"/>
        <v>-1</v>
      </c>
      <c r="AT61" s="89">
        <f t="shared" si="123"/>
        <v>-1</v>
      </c>
      <c r="AU61" s="89">
        <f t="shared" si="124"/>
        <v>-1</v>
      </c>
      <c r="AV61" s="89">
        <f t="shared" si="125"/>
        <v>-1</v>
      </c>
      <c r="AW61" s="89">
        <f t="shared" si="126"/>
        <v>-1</v>
      </c>
      <c r="AX61" s="13"/>
      <c r="AY61" s="83">
        <v>0</v>
      </c>
      <c r="AZ61" s="83">
        <v>0</v>
      </c>
      <c r="BA61" s="83">
        <v>0</v>
      </c>
      <c r="BB61" s="83">
        <v>0</v>
      </c>
      <c r="BC61" s="533"/>
      <c r="BD61" s="83">
        <v>0</v>
      </c>
      <c r="BE61" s="13"/>
      <c r="BF61" s="89">
        <f t="shared" si="127"/>
        <v>0</v>
      </c>
      <c r="BG61" s="89">
        <f t="shared" si="128"/>
        <v>0</v>
      </c>
      <c r="BH61" s="89">
        <f t="shared" si="129"/>
        <v>0</v>
      </c>
      <c r="BI61" s="89">
        <f t="shared" si="130"/>
        <v>0</v>
      </c>
      <c r="BJ61" s="89">
        <f t="shared" si="131"/>
        <v>0</v>
      </c>
      <c r="BK61" s="89">
        <f t="shared" si="132"/>
        <v>0</v>
      </c>
    </row>
    <row r="62" spans="1:63" hidden="1" outlineLevel="1">
      <c r="A62" s="13" t="s">
        <v>125</v>
      </c>
      <c r="B62" s="522">
        <v>-98264</v>
      </c>
      <c r="C62" s="522">
        <v>-128238</v>
      </c>
      <c r="D62" s="522">
        <v>-291773</v>
      </c>
      <c r="E62" s="522">
        <v>-4670</v>
      </c>
      <c r="F62" s="522">
        <v>-1111</v>
      </c>
      <c r="G62" s="522">
        <v>-390858</v>
      </c>
      <c r="H62" s="532"/>
      <c r="I62" s="83">
        <v>0</v>
      </c>
      <c r="J62" s="83">
        <v>0</v>
      </c>
      <c r="K62" s="83">
        <v>0</v>
      </c>
      <c r="L62" s="83">
        <v>0</v>
      </c>
      <c r="M62" s="83"/>
      <c r="N62" s="83">
        <v>0</v>
      </c>
      <c r="O62" s="83"/>
      <c r="P62" s="89">
        <f t="shared" si="109"/>
        <v>-1</v>
      </c>
      <c r="Q62" s="89">
        <f t="shared" si="110"/>
        <v>-1</v>
      </c>
      <c r="R62" s="89">
        <f t="shared" si="111"/>
        <v>-1</v>
      </c>
      <c r="S62" s="89">
        <f t="shared" si="112"/>
        <v>-1</v>
      </c>
      <c r="T62" s="89">
        <f t="shared" si="113"/>
        <v>-1</v>
      </c>
      <c r="U62" s="89">
        <f t="shared" si="114"/>
        <v>-1</v>
      </c>
      <c r="V62" s="533"/>
      <c r="W62" s="83">
        <v>0</v>
      </c>
      <c r="X62" s="83">
        <v>0</v>
      </c>
      <c r="Y62" s="83">
        <v>0</v>
      </c>
      <c r="Z62" s="83">
        <v>0</v>
      </c>
      <c r="AA62" s="533"/>
      <c r="AB62" s="83">
        <v>0</v>
      </c>
      <c r="AC62" s="13"/>
      <c r="AD62" s="89">
        <f t="shared" si="115"/>
        <v>0</v>
      </c>
      <c r="AE62" s="89">
        <f t="shared" si="116"/>
        <v>0</v>
      </c>
      <c r="AF62" s="89">
        <f t="shared" si="117"/>
        <v>0</v>
      </c>
      <c r="AG62" s="89">
        <f t="shared" si="118"/>
        <v>0</v>
      </c>
      <c r="AH62" s="89">
        <f t="shared" si="119"/>
        <v>0</v>
      </c>
      <c r="AI62" s="89">
        <f t="shared" si="120"/>
        <v>0</v>
      </c>
      <c r="AJ62" s="13"/>
      <c r="AK62" s="83">
        <v>0</v>
      </c>
      <c r="AL62" s="83">
        <v>0</v>
      </c>
      <c r="AM62" s="83">
        <v>0</v>
      </c>
      <c r="AN62" s="83">
        <v>0</v>
      </c>
      <c r="AO62" s="533"/>
      <c r="AP62" s="83">
        <v>0</v>
      </c>
      <c r="AQ62" s="13"/>
      <c r="AR62" s="89">
        <f t="shared" si="121"/>
        <v>-1</v>
      </c>
      <c r="AS62" s="89">
        <f t="shared" si="122"/>
        <v>-1</v>
      </c>
      <c r="AT62" s="89">
        <f t="shared" si="123"/>
        <v>-1</v>
      </c>
      <c r="AU62" s="89">
        <f t="shared" si="124"/>
        <v>-1</v>
      </c>
      <c r="AV62" s="89">
        <f t="shared" si="125"/>
        <v>-1</v>
      </c>
      <c r="AW62" s="89">
        <f t="shared" si="126"/>
        <v>-1</v>
      </c>
      <c r="AX62" s="13"/>
      <c r="AY62" s="83">
        <v>0</v>
      </c>
      <c r="AZ62" s="83">
        <v>0</v>
      </c>
      <c r="BA62" s="83">
        <v>0</v>
      </c>
      <c r="BB62" s="83">
        <v>0</v>
      </c>
      <c r="BC62" s="533"/>
      <c r="BD62" s="83">
        <v>0</v>
      </c>
      <c r="BE62" s="13"/>
      <c r="BF62" s="89">
        <f t="shared" si="127"/>
        <v>0</v>
      </c>
      <c r="BG62" s="89">
        <f t="shared" si="128"/>
        <v>0</v>
      </c>
      <c r="BH62" s="89">
        <f t="shared" si="129"/>
        <v>0</v>
      </c>
      <c r="BI62" s="89">
        <f t="shared" si="130"/>
        <v>0</v>
      </c>
      <c r="BJ62" s="89">
        <f t="shared" si="131"/>
        <v>0</v>
      </c>
      <c r="BK62" s="89">
        <f t="shared" si="132"/>
        <v>0</v>
      </c>
    </row>
    <row r="63" spans="1:63" hidden="1" outlineLevel="1">
      <c r="A63" s="13" t="s">
        <v>126</v>
      </c>
      <c r="B63" s="522">
        <v>-471592</v>
      </c>
      <c r="C63" s="522">
        <v>-36523</v>
      </c>
      <c r="D63" s="522">
        <v>-473860</v>
      </c>
      <c r="E63" s="522" t="s">
        <v>164</v>
      </c>
      <c r="F63" s="522">
        <v>-7048</v>
      </c>
      <c r="G63" s="522">
        <v>-1037672</v>
      </c>
      <c r="H63" s="532"/>
      <c r="I63" s="83">
        <v>0</v>
      </c>
      <c r="J63" s="83">
        <v>0</v>
      </c>
      <c r="K63" s="83">
        <v>0</v>
      </c>
      <c r="L63" s="83">
        <v>0</v>
      </c>
      <c r="M63" s="83"/>
      <c r="N63" s="83">
        <v>0</v>
      </c>
      <c r="O63" s="83"/>
      <c r="P63" s="89">
        <f t="shared" si="109"/>
        <v>-1</v>
      </c>
      <c r="Q63" s="89">
        <f t="shared" si="110"/>
        <v>-1</v>
      </c>
      <c r="R63" s="89">
        <f t="shared" si="111"/>
        <v>-1</v>
      </c>
      <c r="S63" s="89">
        <f t="shared" si="112"/>
        <v>0</v>
      </c>
      <c r="T63" s="89">
        <f t="shared" si="113"/>
        <v>-1</v>
      </c>
      <c r="U63" s="89">
        <f t="shared" si="114"/>
        <v>-1</v>
      </c>
      <c r="V63" s="533"/>
      <c r="W63" s="83">
        <v>0</v>
      </c>
      <c r="X63" s="83">
        <v>0</v>
      </c>
      <c r="Y63" s="83">
        <v>0</v>
      </c>
      <c r="Z63" s="83">
        <v>0</v>
      </c>
      <c r="AA63" s="533"/>
      <c r="AB63" s="83">
        <v>0</v>
      </c>
      <c r="AC63" s="13"/>
      <c r="AD63" s="89">
        <f t="shared" si="115"/>
        <v>0</v>
      </c>
      <c r="AE63" s="89">
        <f t="shared" si="116"/>
        <v>0</v>
      </c>
      <c r="AF63" s="89">
        <f t="shared" si="117"/>
        <v>0</v>
      </c>
      <c r="AG63" s="89">
        <f t="shared" si="118"/>
        <v>0</v>
      </c>
      <c r="AH63" s="89">
        <f t="shared" si="119"/>
        <v>0</v>
      </c>
      <c r="AI63" s="89">
        <f t="shared" si="120"/>
        <v>0</v>
      </c>
      <c r="AJ63" s="13"/>
      <c r="AK63" s="83">
        <v>0</v>
      </c>
      <c r="AL63" s="83">
        <v>0</v>
      </c>
      <c r="AM63" s="83">
        <v>0</v>
      </c>
      <c r="AN63" s="83">
        <v>0</v>
      </c>
      <c r="AO63" s="533"/>
      <c r="AP63" s="83">
        <v>0</v>
      </c>
      <c r="AQ63" s="13"/>
      <c r="AR63" s="89">
        <f t="shared" si="121"/>
        <v>-1</v>
      </c>
      <c r="AS63" s="89">
        <f t="shared" si="122"/>
        <v>-1</v>
      </c>
      <c r="AT63" s="89">
        <f t="shared" si="123"/>
        <v>-1</v>
      </c>
      <c r="AU63" s="89">
        <f t="shared" si="124"/>
        <v>0</v>
      </c>
      <c r="AV63" s="89">
        <f t="shared" si="125"/>
        <v>-1</v>
      </c>
      <c r="AW63" s="89">
        <f t="shared" si="126"/>
        <v>-1</v>
      </c>
      <c r="AX63" s="13"/>
      <c r="AY63" s="83">
        <v>0</v>
      </c>
      <c r="AZ63" s="83">
        <v>0</v>
      </c>
      <c r="BA63" s="83">
        <v>0</v>
      </c>
      <c r="BB63" s="83">
        <v>0</v>
      </c>
      <c r="BC63" s="533"/>
      <c r="BD63" s="83">
        <v>0</v>
      </c>
      <c r="BE63" s="13"/>
      <c r="BF63" s="89">
        <f t="shared" si="127"/>
        <v>0</v>
      </c>
      <c r="BG63" s="89">
        <f t="shared" si="128"/>
        <v>0</v>
      </c>
      <c r="BH63" s="89">
        <f t="shared" si="129"/>
        <v>0</v>
      </c>
      <c r="BI63" s="89">
        <f t="shared" si="130"/>
        <v>0</v>
      </c>
      <c r="BJ63" s="89">
        <f t="shared" si="131"/>
        <v>0</v>
      </c>
      <c r="BK63" s="89">
        <f t="shared" si="132"/>
        <v>0</v>
      </c>
    </row>
    <row r="64" spans="1:63" hidden="1" outlineLevel="1">
      <c r="A64" s="13" t="s">
        <v>127</v>
      </c>
      <c r="B64" s="522">
        <v>-304795</v>
      </c>
      <c r="C64" s="522">
        <v>-19396</v>
      </c>
      <c r="D64" s="522">
        <v>-71770</v>
      </c>
      <c r="E64" s="522">
        <v>-12882</v>
      </c>
      <c r="F64" s="522">
        <v>-16852</v>
      </c>
      <c r="G64" s="522">
        <v>-399083</v>
      </c>
      <c r="H64" s="532"/>
      <c r="I64" s="83">
        <v>-418980.68868100015</v>
      </c>
      <c r="J64" s="83">
        <v>-106918.73758797644</v>
      </c>
      <c r="K64" s="83">
        <v>-22359.666395362779</v>
      </c>
      <c r="L64" s="83">
        <v>0</v>
      </c>
      <c r="M64" s="83"/>
      <c r="N64" s="83">
        <v>-548259.09266433935</v>
      </c>
      <c r="O64" s="83"/>
      <c r="P64" s="89">
        <f t="shared" si="109"/>
        <v>0.37463110838760527</v>
      </c>
      <c r="Q64" s="89">
        <f t="shared" si="110"/>
        <v>4.5124117131355144</v>
      </c>
      <c r="R64" s="89">
        <f t="shared" si="111"/>
        <v>-0.68845386100929662</v>
      </c>
      <c r="S64" s="89">
        <f t="shared" si="112"/>
        <v>-1</v>
      </c>
      <c r="T64" s="89">
        <f t="shared" si="113"/>
        <v>-1</v>
      </c>
      <c r="U64" s="89">
        <f t="shared" si="114"/>
        <v>0.37379716165394</v>
      </c>
      <c r="V64" s="533"/>
      <c r="W64" s="83">
        <v>-609545.43931431812</v>
      </c>
      <c r="X64" s="83">
        <v>-170209.31237477</v>
      </c>
      <c r="Y64" s="83">
        <v>-17450.64971513092</v>
      </c>
      <c r="Z64" s="83">
        <v>0</v>
      </c>
      <c r="AA64" s="533"/>
      <c r="AB64" s="83">
        <v>-797205.40140421921</v>
      </c>
      <c r="AC64" s="13"/>
      <c r="AD64" s="89">
        <f t="shared" si="115"/>
        <v>0.45482943672950166</v>
      </c>
      <c r="AE64" s="89">
        <f t="shared" si="116"/>
        <v>0.59195026255071403</v>
      </c>
      <c r="AF64" s="89">
        <f t="shared" si="117"/>
        <v>-0.21954784983956432</v>
      </c>
      <c r="AG64" s="89">
        <f t="shared" si="118"/>
        <v>0</v>
      </c>
      <c r="AH64" s="89">
        <f t="shared" si="119"/>
        <v>0</v>
      </c>
      <c r="AI64" s="89">
        <f t="shared" si="120"/>
        <v>0.45406690389773846</v>
      </c>
      <c r="AJ64" s="13"/>
      <c r="AK64" s="83">
        <v>-460809.50494929025</v>
      </c>
      <c r="AL64" s="83">
        <v>-156938.61589630143</v>
      </c>
      <c r="AM64" s="83">
        <v>-22214.786220391881</v>
      </c>
      <c r="AN64" s="83">
        <v>0</v>
      </c>
      <c r="AO64" s="533"/>
      <c r="AP64" s="83">
        <v>-639962.90706598363</v>
      </c>
      <c r="AQ64" s="13"/>
      <c r="AR64" s="89">
        <f t="shared" si="121"/>
        <v>0.51186700880687097</v>
      </c>
      <c r="AS64" s="89">
        <f t="shared" si="122"/>
        <v>7.0912876828367413</v>
      </c>
      <c r="AT64" s="89">
        <f t="shared" si="123"/>
        <v>-0.69047253420103283</v>
      </c>
      <c r="AU64" s="89">
        <f t="shared" si="124"/>
        <v>-1</v>
      </c>
      <c r="AV64" s="89">
        <f t="shared" si="125"/>
        <v>-1</v>
      </c>
      <c r="AW64" s="89">
        <f t="shared" si="126"/>
        <v>0.60358348279927643</v>
      </c>
      <c r="AX64" s="13"/>
      <c r="AY64" s="83">
        <v>-610077.18044013903</v>
      </c>
      <c r="AZ64" s="83">
        <v>-236845.70416127832</v>
      </c>
      <c r="BA64" s="83">
        <v>-15820.196739537059</v>
      </c>
      <c r="BB64" s="83">
        <v>0</v>
      </c>
      <c r="BC64" s="533"/>
      <c r="BD64" s="83">
        <v>-862743.08134095429</v>
      </c>
      <c r="BE64" s="13"/>
      <c r="BF64" s="89">
        <f t="shared" si="127"/>
        <v>0.45609856712187102</v>
      </c>
      <c r="BG64" s="89">
        <f t="shared" si="128"/>
        <v>1.2151936087572439</v>
      </c>
      <c r="BH64" s="89">
        <f t="shared" si="129"/>
        <v>-0.29246722827590821</v>
      </c>
      <c r="BI64" s="89">
        <f t="shared" si="130"/>
        <v>0</v>
      </c>
      <c r="BJ64" s="89">
        <f t="shared" si="131"/>
        <v>0</v>
      </c>
      <c r="BK64" s="89">
        <f t="shared" si="132"/>
        <v>0.57360469326343022</v>
      </c>
    </row>
    <row r="65" spans="1:63" hidden="1" outlineLevel="1">
      <c r="A65" s="13" t="s">
        <v>128</v>
      </c>
      <c r="B65" s="522">
        <v>-1067456</v>
      </c>
      <c r="C65" s="522">
        <v>-37303</v>
      </c>
      <c r="D65" s="522" t="s">
        <v>164</v>
      </c>
      <c r="E65" s="522" t="s">
        <v>164</v>
      </c>
      <c r="F65" s="522" t="s">
        <v>164</v>
      </c>
      <c r="G65" s="522">
        <v>-1096909</v>
      </c>
      <c r="H65" s="532"/>
      <c r="I65" s="83">
        <v>-1202967.7153535029</v>
      </c>
      <c r="J65" s="83">
        <v>-71789.991064730581</v>
      </c>
      <c r="K65" s="83">
        <v>-22359.666395362779</v>
      </c>
      <c r="L65" s="83">
        <v>0</v>
      </c>
      <c r="M65" s="83"/>
      <c r="N65" s="83">
        <v>-1297117.3728135962</v>
      </c>
      <c r="O65" s="83"/>
      <c r="P65" s="89">
        <f t="shared" si="109"/>
        <v>0.12694829140826686</v>
      </c>
      <c r="Q65" s="89">
        <f t="shared" si="110"/>
        <v>0.92450985348981529</v>
      </c>
      <c r="R65" s="89">
        <f t="shared" si="111"/>
        <v>0</v>
      </c>
      <c r="S65" s="89">
        <f t="shared" si="112"/>
        <v>0</v>
      </c>
      <c r="T65" s="89">
        <f t="shared" si="113"/>
        <v>0</v>
      </c>
      <c r="U65" s="89">
        <f t="shared" si="114"/>
        <v>0.18252049423753125</v>
      </c>
      <c r="V65" s="533"/>
      <c r="W65" s="83">
        <v>-1140003.6987688118</v>
      </c>
      <c r="X65" s="83">
        <v>-100217.43457166449</v>
      </c>
      <c r="Y65" s="83">
        <v>-15873.199857565458</v>
      </c>
      <c r="Z65" s="83">
        <v>0</v>
      </c>
      <c r="AA65" s="533"/>
      <c r="AB65" s="83">
        <v>-1256094.3331980417</v>
      </c>
      <c r="AC65" s="13"/>
      <c r="AD65" s="89">
        <f t="shared" si="115"/>
        <v>-5.2340570558195389E-2</v>
      </c>
      <c r="AE65" s="89">
        <f t="shared" si="116"/>
        <v>0.39598059681191289</v>
      </c>
      <c r="AF65" s="89">
        <f t="shared" si="117"/>
        <v>-0.29009674934785984</v>
      </c>
      <c r="AG65" s="89">
        <f t="shared" si="118"/>
        <v>0</v>
      </c>
      <c r="AH65" s="89">
        <f t="shared" si="119"/>
        <v>0</v>
      </c>
      <c r="AI65" s="89">
        <f t="shared" si="120"/>
        <v>-3.162631268022479E-2</v>
      </c>
      <c r="AJ65" s="13"/>
      <c r="AK65" s="83">
        <v>-1222235.5355647802</v>
      </c>
      <c r="AL65" s="83">
        <v>-98364.130151767997</v>
      </c>
      <c r="AM65" s="83">
        <v>-16041.854037654346</v>
      </c>
      <c r="AN65" s="83">
        <v>0</v>
      </c>
      <c r="AO65" s="533"/>
      <c r="AP65" s="83">
        <v>-1336641.5197542026</v>
      </c>
      <c r="AQ65" s="13"/>
      <c r="AR65" s="89">
        <f t="shared" si="121"/>
        <v>0.14499851569037059</v>
      </c>
      <c r="AS65" s="89">
        <f t="shared" si="122"/>
        <v>1.6368959641789667</v>
      </c>
      <c r="AT65" s="89">
        <f t="shared" si="123"/>
        <v>0</v>
      </c>
      <c r="AU65" s="89">
        <f t="shared" si="124"/>
        <v>0</v>
      </c>
      <c r="AV65" s="89">
        <f t="shared" si="125"/>
        <v>0</v>
      </c>
      <c r="AW65" s="89">
        <f t="shared" si="126"/>
        <v>0.21855278765531377</v>
      </c>
      <c r="AX65" s="13"/>
      <c r="AY65" s="83">
        <v>-1124167.6728061882</v>
      </c>
      <c r="AZ65" s="83">
        <v>-135178.04039443732</v>
      </c>
      <c r="BA65" s="83">
        <v>-14242.746881971601</v>
      </c>
      <c r="BB65" s="83">
        <v>0</v>
      </c>
      <c r="BC65" s="533"/>
      <c r="BD65" s="83">
        <v>-1273588.4600825973</v>
      </c>
      <c r="BE65" s="13"/>
      <c r="BF65" s="89">
        <f t="shared" si="127"/>
        <v>-6.5504702696163847E-2</v>
      </c>
      <c r="BG65" s="89">
        <f t="shared" si="128"/>
        <v>0.88296499817853313</v>
      </c>
      <c r="BH65" s="89">
        <f t="shared" si="129"/>
        <v>-0.36301612778420361</v>
      </c>
      <c r="BI65" s="89">
        <f t="shared" si="130"/>
        <v>0</v>
      </c>
      <c r="BJ65" s="89">
        <f t="shared" si="131"/>
        <v>0</v>
      </c>
      <c r="BK65" s="89">
        <f t="shared" si="132"/>
        <v>-1.8139386014052003E-2</v>
      </c>
    </row>
    <row r="66" spans="1:63" hidden="1" outlineLevel="1">
      <c r="A66" s="13" t="s">
        <v>166</v>
      </c>
      <c r="B66" s="522"/>
      <c r="C66" s="522"/>
      <c r="D66" s="522"/>
      <c r="E66" s="522"/>
      <c r="F66" s="522"/>
      <c r="G66" s="522"/>
      <c r="H66" s="532"/>
      <c r="I66" s="83">
        <v>-3274.9813930664063</v>
      </c>
      <c r="J66" s="83">
        <v>-72202.491064730581</v>
      </c>
      <c r="K66" s="83">
        <v>-33402.512499999997</v>
      </c>
      <c r="L66" s="83">
        <v>-36688.870999999999</v>
      </c>
      <c r="M66" s="83"/>
      <c r="N66" s="83">
        <v>-145568.855957797</v>
      </c>
      <c r="O66" s="83"/>
      <c r="P66" s="89">
        <f t="shared" si="109"/>
        <v>0</v>
      </c>
      <c r="Q66" s="89">
        <f t="shared" si="110"/>
        <v>0</v>
      </c>
      <c r="R66" s="89">
        <f t="shared" si="111"/>
        <v>0</v>
      </c>
      <c r="S66" s="89">
        <f t="shared" si="112"/>
        <v>0</v>
      </c>
      <c r="T66" s="89">
        <f t="shared" si="113"/>
        <v>0</v>
      </c>
      <c r="U66" s="89">
        <f t="shared" si="114"/>
        <v>0</v>
      </c>
      <c r="V66" s="533"/>
      <c r="W66" s="83">
        <v>-210406.33527865025</v>
      </c>
      <c r="X66" s="83">
        <v>-68597.728013664484</v>
      </c>
      <c r="Y66" s="83">
        <v>-35072.638124999998</v>
      </c>
      <c r="Z66" s="83">
        <v>-26002.131300000001</v>
      </c>
      <c r="AA66" s="533"/>
      <c r="AB66" s="83">
        <v>-340078.83271731471</v>
      </c>
      <c r="AC66" s="13"/>
      <c r="AD66" s="89">
        <f t="shared" si="115"/>
        <v>63.246574262714866</v>
      </c>
      <c r="AE66" s="89">
        <f t="shared" si="116"/>
        <v>-4.992574352918619E-2</v>
      </c>
      <c r="AF66" s="89">
        <f t="shared" si="117"/>
        <v>5.0000000000000024E-2</v>
      </c>
      <c r="AG66" s="89">
        <f t="shared" si="118"/>
        <v>-0.29128014596033763</v>
      </c>
      <c r="AH66" s="89">
        <f t="shared" si="119"/>
        <v>0</v>
      </c>
      <c r="AI66" s="89">
        <f t="shared" si="120"/>
        <v>1.336205986367782</v>
      </c>
      <c r="AJ66" s="13"/>
      <c r="AK66" s="83">
        <v>0</v>
      </c>
      <c r="AL66" s="83"/>
      <c r="AM66" s="83"/>
      <c r="AN66" s="83"/>
      <c r="AO66" s="533"/>
      <c r="AP66" s="83"/>
      <c r="AQ66" s="13"/>
      <c r="AR66" s="89">
        <f t="shared" si="121"/>
        <v>0</v>
      </c>
      <c r="AS66" s="89">
        <f t="shared" si="122"/>
        <v>0</v>
      </c>
      <c r="AT66" s="89">
        <f t="shared" si="123"/>
        <v>0</v>
      </c>
      <c r="AU66" s="89">
        <f t="shared" si="124"/>
        <v>0</v>
      </c>
      <c r="AV66" s="89">
        <f t="shared" si="125"/>
        <v>0</v>
      </c>
      <c r="AW66" s="89">
        <f t="shared" si="126"/>
        <v>0</v>
      </c>
      <c r="AX66" s="13"/>
      <c r="AY66" s="83">
        <v>0</v>
      </c>
      <c r="AZ66" s="83"/>
      <c r="BA66" s="83"/>
      <c r="BB66" s="83"/>
      <c r="BC66" s="533"/>
      <c r="BD66" s="83"/>
      <c r="BE66" s="13"/>
      <c r="BF66" s="89">
        <f t="shared" si="127"/>
        <v>-1</v>
      </c>
      <c r="BG66" s="89">
        <f t="shared" si="128"/>
        <v>-1</v>
      </c>
      <c r="BH66" s="89">
        <f t="shared" si="129"/>
        <v>-1</v>
      </c>
      <c r="BI66" s="89">
        <f t="shared" si="130"/>
        <v>-1</v>
      </c>
      <c r="BJ66" s="89">
        <f t="shared" si="131"/>
        <v>0</v>
      </c>
      <c r="BK66" s="89">
        <f t="shared" si="132"/>
        <v>-1</v>
      </c>
    </row>
    <row r="67" spans="1:63" hidden="1" outlineLevel="1">
      <c r="A67" s="13" t="s">
        <v>129</v>
      </c>
      <c r="B67" s="522">
        <v>-187</v>
      </c>
      <c r="C67" s="522">
        <v>-32114</v>
      </c>
      <c r="D67" s="522">
        <v>-441</v>
      </c>
      <c r="E67" s="522">
        <v>-8024</v>
      </c>
      <c r="F67" s="522">
        <v>-32935</v>
      </c>
      <c r="G67" s="522">
        <v>-47333</v>
      </c>
      <c r="H67" s="532"/>
      <c r="I67" s="83">
        <v>0</v>
      </c>
      <c r="J67" s="83">
        <v>-39500</v>
      </c>
      <c r="K67" s="83">
        <v>0</v>
      </c>
      <c r="L67" s="83">
        <v>-15000</v>
      </c>
      <c r="M67" s="83"/>
      <c r="N67" s="83">
        <v>-54500</v>
      </c>
      <c r="O67" s="83"/>
      <c r="P67" s="89">
        <f t="shared" si="109"/>
        <v>-1</v>
      </c>
      <c r="Q67" s="89">
        <f t="shared" si="110"/>
        <v>0.22999314940524382</v>
      </c>
      <c r="R67" s="89">
        <f t="shared" si="111"/>
        <v>-1</v>
      </c>
      <c r="S67" s="89">
        <f t="shared" si="112"/>
        <v>0.86939182452642072</v>
      </c>
      <c r="T67" s="89">
        <f t="shared" si="113"/>
        <v>-1</v>
      </c>
      <c r="U67" s="89">
        <f t="shared" si="114"/>
        <v>0.15141655927154415</v>
      </c>
      <c r="V67" s="533"/>
      <c r="W67" s="83">
        <v>0</v>
      </c>
      <c r="X67" s="83">
        <v>-39500</v>
      </c>
      <c r="Y67" s="83">
        <v>0</v>
      </c>
      <c r="Z67" s="83">
        <v>-15000</v>
      </c>
      <c r="AA67" s="533"/>
      <c r="AB67" s="83">
        <v>-54500</v>
      </c>
      <c r="AC67" s="13"/>
      <c r="AD67" s="89">
        <f t="shared" si="115"/>
        <v>0</v>
      </c>
      <c r="AE67" s="89">
        <f t="shared" si="116"/>
        <v>0</v>
      </c>
      <c r="AF67" s="89">
        <f t="shared" si="117"/>
        <v>0</v>
      </c>
      <c r="AG67" s="89">
        <f t="shared" si="118"/>
        <v>0</v>
      </c>
      <c r="AH67" s="89">
        <f t="shared" si="119"/>
        <v>0</v>
      </c>
      <c r="AI67" s="89">
        <f t="shared" si="120"/>
        <v>0</v>
      </c>
      <c r="AJ67" s="13"/>
      <c r="AK67" s="83">
        <v>0</v>
      </c>
      <c r="AL67" s="83">
        <v>0</v>
      </c>
      <c r="AM67" s="83">
        <v>0</v>
      </c>
      <c r="AN67" s="83">
        <v>-15000</v>
      </c>
      <c r="AO67" s="533"/>
      <c r="AP67" s="83">
        <v>-15000</v>
      </c>
      <c r="AQ67" s="13"/>
      <c r="AR67" s="89">
        <f t="shared" si="121"/>
        <v>-1</v>
      </c>
      <c r="AS67" s="89">
        <f t="shared" si="122"/>
        <v>-1</v>
      </c>
      <c r="AT67" s="89">
        <f t="shared" si="123"/>
        <v>-1</v>
      </c>
      <c r="AU67" s="89">
        <f t="shared" si="124"/>
        <v>0.86939182452642072</v>
      </c>
      <c r="AV67" s="89">
        <f t="shared" si="125"/>
        <v>-1</v>
      </c>
      <c r="AW67" s="89">
        <f t="shared" si="126"/>
        <v>-0.68309635983351991</v>
      </c>
      <c r="AX67" s="13"/>
      <c r="AY67" s="83">
        <v>0</v>
      </c>
      <c r="AZ67" s="83">
        <v>0</v>
      </c>
      <c r="BA67" s="83">
        <v>0</v>
      </c>
      <c r="BB67" s="83">
        <v>-15000</v>
      </c>
      <c r="BC67" s="533"/>
      <c r="BD67" s="83">
        <v>-15000</v>
      </c>
      <c r="BE67" s="13"/>
      <c r="BF67" s="89">
        <f t="shared" si="127"/>
        <v>0</v>
      </c>
      <c r="BG67" s="89">
        <f t="shared" si="128"/>
        <v>-1</v>
      </c>
      <c r="BH67" s="89">
        <f t="shared" si="129"/>
        <v>0</v>
      </c>
      <c r="BI67" s="89">
        <f t="shared" si="130"/>
        <v>0</v>
      </c>
      <c r="BJ67" s="89">
        <f t="shared" si="131"/>
        <v>0</v>
      </c>
      <c r="BK67" s="89">
        <f t="shared" si="132"/>
        <v>-0.72477064220183485</v>
      </c>
    </row>
    <row r="68" spans="1:63" hidden="1" outlineLevel="1">
      <c r="A68" s="13" t="s">
        <v>130</v>
      </c>
      <c r="B68" s="522">
        <v>-526944</v>
      </c>
      <c r="C68" s="522">
        <v>-131693</v>
      </c>
      <c r="D68" s="522">
        <v>-18</v>
      </c>
      <c r="E68" s="522">
        <v>-10227</v>
      </c>
      <c r="F68" s="522">
        <v>-2309</v>
      </c>
      <c r="G68" s="522">
        <v>-688261</v>
      </c>
      <c r="H68" s="532"/>
      <c r="I68" s="83">
        <v>-539594.43709999998</v>
      </c>
      <c r="J68" s="83">
        <v>-262885.96500000003</v>
      </c>
      <c r="K68" s="83">
        <v>0</v>
      </c>
      <c r="L68" s="83">
        <v>-10852.1224</v>
      </c>
      <c r="M68" s="83"/>
      <c r="N68" s="83">
        <v>-813332.52450000006</v>
      </c>
      <c r="O68" s="83"/>
      <c r="P68" s="89">
        <f t="shared" si="109"/>
        <v>2.4007175525292974E-2</v>
      </c>
      <c r="Q68" s="89">
        <f t="shared" si="110"/>
        <v>0.99620302521774151</v>
      </c>
      <c r="R68" s="89">
        <f t="shared" si="111"/>
        <v>-1</v>
      </c>
      <c r="S68" s="89">
        <f t="shared" si="112"/>
        <v>6.1124709103353887E-2</v>
      </c>
      <c r="T68" s="89">
        <f t="shared" si="113"/>
        <v>-1</v>
      </c>
      <c r="U68" s="89">
        <f t="shared" si="114"/>
        <v>0.18172106875153474</v>
      </c>
      <c r="V68" s="533"/>
      <c r="W68" s="83">
        <v>-523615.80308200006</v>
      </c>
      <c r="X68" s="83">
        <v>-261124</v>
      </c>
      <c r="Y68" s="83">
        <v>0</v>
      </c>
      <c r="Z68" s="83">
        <v>-14790.781200000001</v>
      </c>
      <c r="AA68" s="533"/>
      <c r="AB68" s="83">
        <v>-799530.58428199997</v>
      </c>
      <c r="AC68" s="13"/>
      <c r="AD68" s="89">
        <f t="shared" si="115"/>
        <v>-2.9612303091699023E-2</v>
      </c>
      <c r="AE68" s="89">
        <f t="shared" si="116"/>
        <v>-6.7023928036630846E-3</v>
      </c>
      <c r="AF68" s="89">
        <f t="shared" si="117"/>
        <v>0</v>
      </c>
      <c r="AG68" s="89">
        <f t="shared" si="118"/>
        <v>0.36293903209200817</v>
      </c>
      <c r="AH68" s="89">
        <f t="shared" si="119"/>
        <v>0</v>
      </c>
      <c r="AI68" s="89">
        <f t="shared" si="120"/>
        <v>-1.6969615504414875E-2</v>
      </c>
      <c r="AJ68" s="13"/>
      <c r="AK68" s="83">
        <v>-649895</v>
      </c>
      <c r="AL68" s="83">
        <v>-556385.96500000008</v>
      </c>
      <c r="AM68" s="83">
        <v>0</v>
      </c>
      <c r="AN68" s="83">
        <v>-10852.1224</v>
      </c>
      <c r="AO68" s="533"/>
      <c r="AP68" s="83">
        <v>-1217133.0873999998</v>
      </c>
      <c r="AQ68" s="13"/>
      <c r="AR68" s="89">
        <f t="shared" si="121"/>
        <v>0.2333283992226878</v>
      </c>
      <c r="AS68" s="89">
        <f t="shared" si="122"/>
        <v>3.2248712156302921</v>
      </c>
      <c r="AT68" s="89">
        <f t="shared" si="123"/>
        <v>-1</v>
      </c>
      <c r="AU68" s="89">
        <f t="shared" si="124"/>
        <v>6.1124709103353887E-2</v>
      </c>
      <c r="AV68" s="89">
        <f t="shared" si="125"/>
        <v>-1</v>
      </c>
      <c r="AW68" s="89">
        <f t="shared" si="126"/>
        <v>0.76841792198017878</v>
      </c>
      <c r="AX68" s="13"/>
      <c r="AY68" s="83">
        <v>-569930.84970000014</v>
      </c>
      <c r="AZ68" s="83">
        <v>-735124</v>
      </c>
      <c r="BA68" s="83">
        <v>0</v>
      </c>
      <c r="BB68" s="83">
        <v>-14790.781200000001</v>
      </c>
      <c r="BC68" s="533"/>
      <c r="BD68" s="83">
        <v>-1319845.6309</v>
      </c>
      <c r="BE68" s="13"/>
      <c r="BF68" s="89">
        <f t="shared" si="127"/>
        <v>5.6220766031318592E-2</v>
      </c>
      <c r="BG68" s="89">
        <f t="shared" si="128"/>
        <v>1.7963607718654737</v>
      </c>
      <c r="BH68" s="89">
        <f t="shared" si="129"/>
        <v>0</v>
      </c>
      <c r="BI68" s="89">
        <f t="shared" si="130"/>
        <v>0.36293903209200817</v>
      </c>
      <c r="BJ68" s="89">
        <f t="shared" si="131"/>
        <v>0</v>
      </c>
      <c r="BK68" s="89">
        <f t="shared" si="132"/>
        <v>0.62276263538259613</v>
      </c>
    </row>
    <row r="69" spans="1:63" hidden="1" outlineLevel="1">
      <c r="A69" s="13" t="s">
        <v>131</v>
      </c>
      <c r="B69" s="522">
        <v>-1747</v>
      </c>
      <c r="C69" s="522">
        <v>-15535</v>
      </c>
      <c r="D69" s="522" t="s">
        <v>164</v>
      </c>
      <c r="E69" s="522" t="s">
        <v>164</v>
      </c>
      <c r="F69" s="522" t="s">
        <v>164</v>
      </c>
      <c r="G69" s="522">
        <v>-1752</v>
      </c>
      <c r="H69" s="532"/>
      <c r="I69" s="83">
        <v>0</v>
      </c>
      <c r="J69" s="83">
        <v>0</v>
      </c>
      <c r="K69" s="83">
        <v>0</v>
      </c>
      <c r="L69" s="83">
        <v>0</v>
      </c>
      <c r="M69" s="83"/>
      <c r="N69" s="83">
        <v>0</v>
      </c>
      <c r="O69" s="83"/>
      <c r="P69" s="89">
        <f t="shared" si="109"/>
        <v>-1</v>
      </c>
      <c r="Q69" s="89">
        <f t="shared" si="110"/>
        <v>-1</v>
      </c>
      <c r="R69" s="89">
        <f t="shared" si="111"/>
        <v>0</v>
      </c>
      <c r="S69" s="89">
        <f t="shared" si="112"/>
        <v>0</v>
      </c>
      <c r="T69" s="89">
        <f t="shared" si="113"/>
        <v>0</v>
      </c>
      <c r="U69" s="89">
        <f t="shared" si="114"/>
        <v>-1</v>
      </c>
      <c r="V69" s="533"/>
      <c r="W69" s="83">
        <v>0</v>
      </c>
      <c r="X69" s="83">
        <v>0</v>
      </c>
      <c r="Y69" s="83">
        <v>0</v>
      </c>
      <c r="Z69" s="83">
        <v>0</v>
      </c>
      <c r="AA69" s="533"/>
      <c r="AB69" s="83">
        <v>0</v>
      </c>
      <c r="AC69" s="13"/>
      <c r="AD69" s="89">
        <f t="shared" si="115"/>
        <v>0</v>
      </c>
      <c r="AE69" s="89">
        <f t="shared" si="116"/>
        <v>0</v>
      </c>
      <c r="AF69" s="89">
        <f t="shared" si="117"/>
        <v>0</v>
      </c>
      <c r="AG69" s="89">
        <f t="shared" si="118"/>
        <v>0</v>
      </c>
      <c r="AH69" s="89">
        <f t="shared" si="119"/>
        <v>0</v>
      </c>
      <c r="AI69" s="89">
        <f t="shared" si="120"/>
        <v>0</v>
      </c>
      <c r="AJ69" s="13"/>
      <c r="AK69" s="83">
        <v>0</v>
      </c>
      <c r="AL69" s="83">
        <v>0</v>
      </c>
      <c r="AM69" s="83">
        <v>0</v>
      </c>
      <c r="AN69" s="83">
        <v>0</v>
      </c>
      <c r="AO69" s="533"/>
      <c r="AP69" s="83">
        <v>0</v>
      </c>
      <c r="AQ69" s="13"/>
      <c r="AR69" s="89">
        <f t="shared" si="121"/>
        <v>-1</v>
      </c>
      <c r="AS69" s="89">
        <f t="shared" si="122"/>
        <v>-1</v>
      </c>
      <c r="AT69" s="89">
        <f t="shared" si="123"/>
        <v>0</v>
      </c>
      <c r="AU69" s="89">
        <f t="shared" si="124"/>
        <v>0</v>
      </c>
      <c r="AV69" s="89">
        <f t="shared" si="125"/>
        <v>0</v>
      </c>
      <c r="AW69" s="89">
        <f t="shared" si="126"/>
        <v>-1</v>
      </c>
      <c r="AX69" s="13"/>
      <c r="AY69" s="83">
        <v>0</v>
      </c>
      <c r="AZ69" s="83">
        <v>0</v>
      </c>
      <c r="BA69" s="83">
        <v>0</v>
      </c>
      <c r="BB69" s="83">
        <v>0</v>
      </c>
      <c r="BC69" s="533"/>
      <c r="BD69" s="83">
        <v>0</v>
      </c>
      <c r="BE69" s="13"/>
      <c r="BF69" s="89">
        <f t="shared" si="127"/>
        <v>0</v>
      </c>
      <c r="BG69" s="89">
        <f t="shared" si="128"/>
        <v>0</v>
      </c>
      <c r="BH69" s="89">
        <f t="shared" si="129"/>
        <v>0</v>
      </c>
      <c r="BI69" s="89">
        <f t="shared" si="130"/>
        <v>0</v>
      </c>
      <c r="BJ69" s="89">
        <f t="shared" si="131"/>
        <v>0</v>
      </c>
      <c r="BK69" s="89">
        <f t="shared" si="132"/>
        <v>0</v>
      </c>
    </row>
    <row r="70" spans="1:63" collapsed="1">
      <c r="A70" s="13"/>
      <c r="B70" s="7"/>
      <c r="C70" s="7"/>
      <c r="D70" s="7"/>
      <c r="E70" s="7"/>
      <c r="F70" s="7"/>
      <c r="G70" s="7" t="s">
        <v>163</v>
      </c>
      <c r="H70" s="532"/>
      <c r="I70" s="7"/>
      <c r="J70" s="7"/>
      <c r="K70" s="7"/>
      <c r="L70" s="7"/>
      <c r="M70" s="7"/>
      <c r="N70" s="7"/>
      <c r="O70" s="7"/>
      <c r="P70" s="7"/>
      <c r="Q70" s="7"/>
      <c r="R70" s="533"/>
      <c r="S70" s="533"/>
      <c r="T70" s="533"/>
      <c r="U70" s="533"/>
      <c r="V70" s="533"/>
      <c r="W70" s="7"/>
      <c r="X70" s="7"/>
      <c r="Y70" s="7"/>
      <c r="Z70" s="7"/>
      <c r="AA70" s="533"/>
      <c r="AB70" s="7"/>
      <c r="AC70" s="13"/>
      <c r="AD70" s="7"/>
      <c r="AE70" s="7"/>
      <c r="AF70" s="533"/>
      <c r="AG70" s="533"/>
      <c r="AH70" s="533"/>
      <c r="AI70" s="533"/>
      <c r="AJ70" s="13"/>
      <c r="AK70" s="7"/>
      <c r="AL70" s="7"/>
      <c r="AM70" s="7"/>
      <c r="AN70" s="7"/>
      <c r="AO70" s="533"/>
      <c r="AP70" s="7"/>
      <c r="AQ70" s="13"/>
      <c r="AR70" s="7"/>
      <c r="AS70" s="7"/>
      <c r="AT70" s="533"/>
      <c r="AU70" s="533"/>
      <c r="AV70" s="533"/>
      <c r="AW70" s="533"/>
      <c r="AX70" s="13"/>
      <c r="AY70" s="7"/>
      <c r="AZ70" s="7"/>
      <c r="BA70" s="7"/>
      <c r="BB70" s="7"/>
      <c r="BC70" s="533"/>
      <c r="BD70" s="7"/>
      <c r="BE70" s="13"/>
      <c r="BF70" s="7"/>
      <c r="BG70" s="7"/>
      <c r="BH70" s="533"/>
      <c r="BI70" s="533"/>
      <c r="BJ70" s="533"/>
      <c r="BK70" s="533"/>
    </row>
    <row r="71" spans="1:63">
      <c r="A71" s="11" t="s">
        <v>132</v>
      </c>
      <c r="B71" s="524">
        <f>SUM(B59:B69)</f>
        <v>-3042409</v>
      </c>
      <c r="C71" s="524">
        <f t="shared" ref="C71:G71" si="133">SUM(C59:C69)</f>
        <v>-600923</v>
      </c>
      <c r="D71" s="524">
        <f t="shared" si="133"/>
        <v>-1472488</v>
      </c>
      <c r="E71" s="524">
        <f>SUM(E59:E69)</f>
        <v>-38622</v>
      </c>
      <c r="F71" s="524">
        <f t="shared" si="133"/>
        <v>-96105</v>
      </c>
      <c r="G71" s="524">
        <f t="shared" si="133"/>
        <v>-5293510</v>
      </c>
      <c r="H71" s="532"/>
      <c r="I71" s="520">
        <v>-4447853.2842166862</v>
      </c>
      <c r="J71" s="520">
        <v>-1104923.9847174375</v>
      </c>
      <c r="K71" s="520">
        <v>-1811630.4952907255</v>
      </c>
      <c r="L71" s="520">
        <v>-62540.993399999999</v>
      </c>
      <c r="M71" s="520"/>
      <c r="N71" s="520">
        <v>-7426948.7576248506</v>
      </c>
      <c r="O71" s="83"/>
      <c r="P71" s="89">
        <f t="shared" ref="P71" si="134">IFERROR((I71-B71)/B71,0)</f>
        <v>0.46195113287420797</v>
      </c>
      <c r="Q71" s="89">
        <f t="shared" ref="Q71" si="135">IFERROR((J71-C71)/C71,0)</f>
        <v>0.83871142345597949</v>
      </c>
      <c r="R71" s="89">
        <f t="shared" ref="R71" si="136">IFERROR((K71-D71)/D71,0)</f>
        <v>0.23031936103433473</v>
      </c>
      <c r="S71" s="89">
        <f t="shared" ref="S71" si="137">IFERROR((L71-E71)/E71,0)</f>
        <v>0.61931006680130496</v>
      </c>
      <c r="T71" s="89">
        <f t="shared" ref="T71" si="138">IFERROR((M71-F71)/F71,0)</f>
        <v>-1</v>
      </c>
      <c r="U71" s="89">
        <f t="shared" ref="U71" si="139">IFERROR((N71-G71)/G71,0)</f>
        <v>0.40302913522877082</v>
      </c>
      <c r="V71" s="533"/>
      <c r="W71" s="520">
        <v>-6414989.1475730743</v>
      </c>
      <c r="X71" s="520">
        <v>-1584146.4749600992</v>
      </c>
      <c r="Y71" s="520">
        <v>-2126356.8276976962</v>
      </c>
      <c r="Z71" s="520">
        <v>-55792.912499999991</v>
      </c>
      <c r="AA71" s="533"/>
      <c r="AB71" s="520">
        <v>-10181285.36273087</v>
      </c>
      <c r="AC71" s="13"/>
      <c r="AD71" s="89">
        <f t="shared" ref="AD71:AI71" si="140">IFERROR((W71-I71)/I71,0)</f>
        <v>0.44226635584784618</v>
      </c>
      <c r="AE71" s="89">
        <f t="shared" si="140"/>
        <v>0.43371534772612735</v>
      </c>
      <c r="AF71" s="89">
        <f t="shared" si="140"/>
        <v>0.17372545517703059</v>
      </c>
      <c r="AG71" s="89">
        <f t="shared" si="140"/>
        <v>-0.10789852436210276</v>
      </c>
      <c r="AH71" s="89">
        <f t="shared" si="140"/>
        <v>0</v>
      </c>
      <c r="AI71" s="89">
        <f t="shared" si="140"/>
        <v>0.37085709017155793</v>
      </c>
      <c r="AJ71" s="13"/>
      <c r="AK71" s="520">
        <v>-4644957.929041937</v>
      </c>
      <c r="AL71" s="520">
        <v>-1386257.7110480694</v>
      </c>
      <c r="AM71" s="520">
        <v>-1901467.790258046</v>
      </c>
      <c r="AN71" s="520">
        <v>-25852.122400000004</v>
      </c>
      <c r="AO71" s="533"/>
      <c r="AP71" s="520">
        <v>-7958535.5527480533</v>
      </c>
      <c r="AQ71" s="13"/>
      <c r="AR71" s="89">
        <f t="shared" ref="AR71:AW71" si="141">IFERROR((AK71-B71)/B71,0)</f>
        <v>0.52673684867548609</v>
      </c>
      <c r="AS71" s="89">
        <f t="shared" si="141"/>
        <v>1.3068807668338029</v>
      </c>
      <c r="AT71" s="89">
        <f t="shared" si="141"/>
        <v>0.29132990575002715</v>
      </c>
      <c r="AU71" s="89">
        <f t="shared" si="141"/>
        <v>-0.33063739837398365</v>
      </c>
      <c r="AV71" s="89">
        <f t="shared" si="141"/>
        <v>-1</v>
      </c>
      <c r="AW71" s="89">
        <f t="shared" si="141"/>
        <v>0.50345150056353027</v>
      </c>
      <c r="AX71" s="13"/>
      <c r="AY71" s="520">
        <v>-6235593.5740756216</v>
      </c>
      <c r="AZ71" s="520">
        <v>-2200530.1445557154</v>
      </c>
      <c r="BA71" s="520">
        <v>-2276164.6786215086</v>
      </c>
      <c r="BB71" s="520">
        <v>-29790.781200000001</v>
      </c>
      <c r="BC71" s="533"/>
      <c r="BD71" s="520">
        <v>-10742079.178452846</v>
      </c>
      <c r="BE71" s="13"/>
      <c r="BF71" s="89">
        <f t="shared" ref="BF71:BK71" si="142">IFERROR((AY71-I71)/I71,0)</f>
        <v>0.40193328682912599</v>
      </c>
      <c r="BG71" s="89">
        <f t="shared" si="142"/>
        <v>0.9915669991709497</v>
      </c>
      <c r="BH71" s="89">
        <f t="shared" si="142"/>
        <v>0.25641773227947123</v>
      </c>
      <c r="BI71" s="89">
        <f t="shared" si="142"/>
        <v>-0.52365992958468099</v>
      </c>
      <c r="BJ71" s="89">
        <f t="shared" si="142"/>
        <v>0</v>
      </c>
      <c r="BK71" s="89">
        <f t="shared" si="142"/>
        <v>0.4463650590593517</v>
      </c>
    </row>
    <row r="72" spans="1:63">
      <c r="A72" s="11" t="s">
        <v>167</v>
      </c>
      <c r="B72" s="89">
        <f>B71/B11</f>
        <v>-0.375299091792207</v>
      </c>
      <c r="C72" s="89">
        <f>C71/C11</f>
        <v>-0.20018501997776028</v>
      </c>
      <c r="D72" s="89">
        <f>D71/D11</f>
        <v>-0.26324664328743297</v>
      </c>
      <c r="E72" s="89">
        <f>E71/E11</f>
        <v>-2.9163514119635196E-2</v>
      </c>
      <c r="F72" s="89"/>
      <c r="G72" s="89">
        <f>G71/G11</f>
        <v>-0.29363198925742173</v>
      </c>
      <c r="H72" s="238"/>
      <c r="I72" s="89">
        <f>I71/I11</f>
        <v>-0.39146231303236945</v>
      </c>
      <c r="J72" s="89">
        <f>J71/J11</f>
        <v>-0.25683915518872713</v>
      </c>
      <c r="K72" s="89">
        <f>K71/K11</f>
        <v>-0.2648519993901059</v>
      </c>
      <c r="L72" s="89">
        <f>L71/L11</f>
        <v>-6.9884758622972887E-2</v>
      </c>
      <c r="M72" s="89"/>
      <c r="N72" s="89">
        <f>N71/N11</f>
        <v>-0.31740135335401787</v>
      </c>
      <c r="O72" s="83"/>
      <c r="P72" s="89"/>
      <c r="Q72" s="89"/>
      <c r="R72" s="89"/>
      <c r="S72" s="89"/>
      <c r="T72" s="89"/>
      <c r="U72" s="89"/>
      <c r="V72" s="533"/>
      <c r="W72" s="83"/>
      <c r="X72" s="83"/>
      <c r="Y72" s="83"/>
      <c r="Z72" s="83"/>
      <c r="AA72" s="533"/>
      <c r="AB72" s="83"/>
      <c r="AC72" s="13"/>
      <c r="AD72" s="89"/>
      <c r="AE72" s="89"/>
      <c r="AF72" s="89"/>
      <c r="AG72" s="89"/>
      <c r="AH72" s="89"/>
      <c r="AI72" s="89"/>
      <c r="AJ72" s="13"/>
      <c r="AK72" s="83">
        <v>-0.37628505483447677</v>
      </c>
      <c r="AL72" s="83"/>
      <c r="AM72" s="83">
        <v>-0.26124550054128409</v>
      </c>
      <c r="AN72" s="83"/>
      <c r="AO72" s="533"/>
      <c r="AP72" s="83">
        <v>-0.30622458272474851</v>
      </c>
      <c r="AQ72" s="13"/>
      <c r="AR72" s="89"/>
      <c r="AS72" s="89"/>
      <c r="AT72" s="89"/>
      <c r="AU72" s="89"/>
      <c r="AV72" s="89"/>
      <c r="AW72" s="89"/>
      <c r="AX72" s="13"/>
      <c r="AY72" s="83"/>
      <c r="AZ72" s="83"/>
      <c r="BA72" s="83"/>
      <c r="BB72" s="83"/>
      <c r="BC72" s="533"/>
      <c r="BD72" s="83"/>
      <c r="BE72" s="13"/>
      <c r="BF72" s="89"/>
      <c r="BG72" s="89"/>
      <c r="BH72" s="89"/>
      <c r="BI72" s="89"/>
      <c r="BJ72" s="89"/>
      <c r="BK72" s="89"/>
    </row>
    <row r="73" spans="1:63" hidden="1" outlineLevel="1">
      <c r="A73" s="515" t="s">
        <v>133</v>
      </c>
      <c r="B73" s="521">
        <f>IFERROR(B45+SUM(B59:B63),0)</f>
        <v>268510</v>
      </c>
      <c r="C73" s="521">
        <f t="shared" ref="C73:G73" si="143">IFERROR(C45+SUM(C59:C63),0)</f>
        <v>265451</v>
      </c>
      <c r="D73" s="521">
        <f t="shared" si="143"/>
        <v>1447180</v>
      </c>
      <c r="E73" s="521">
        <f t="shared" si="143"/>
        <v>5681</v>
      </c>
      <c r="F73" s="521">
        <f t="shared" si="143"/>
        <v>-60051</v>
      </c>
      <c r="G73" s="521">
        <f t="shared" si="143"/>
        <v>1789946</v>
      </c>
      <c r="H73" s="532"/>
      <c r="I73" s="521">
        <f>IFERROR(I45+SUM(I59:I63),0)</f>
        <v>877982.38185371738</v>
      </c>
      <c r="J73" s="521">
        <f t="shared" ref="J73:N73" si="144">IFERROR(J45+SUM(J59:J63),0)</f>
        <v>392589.50148643937</v>
      </c>
      <c r="K73" s="521">
        <f t="shared" si="144"/>
        <v>1679554.251947281</v>
      </c>
      <c r="L73" s="521">
        <f t="shared" si="144"/>
        <v>0</v>
      </c>
      <c r="M73" s="521">
        <f t="shared" si="144"/>
        <v>-300000</v>
      </c>
      <c r="N73" s="521">
        <f t="shared" si="144"/>
        <v>2950126.1352874395</v>
      </c>
      <c r="O73" s="518"/>
      <c r="P73" s="518"/>
      <c r="Q73" s="518"/>
      <c r="R73" s="533"/>
      <c r="S73" s="533"/>
      <c r="T73" s="533"/>
      <c r="U73" s="533"/>
      <c r="V73" s="533"/>
      <c r="W73" s="521">
        <f>IFERROR(W45+SUM(W59:W63),0)</f>
        <v>3437193.9534916319</v>
      </c>
      <c r="X73" s="521">
        <f t="shared" ref="X73:AB73" si="145">IFERROR(X45+SUM(X59:X63),0)</f>
        <v>1029413.1684698346</v>
      </c>
      <c r="Y73" s="521">
        <f t="shared" si="145"/>
        <v>1872630.576200065</v>
      </c>
      <c r="Z73" s="521">
        <f t="shared" si="145"/>
        <v>0</v>
      </c>
      <c r="AA73" s="521">
        <f t="shared" si="145"/>
        <v>-300000</v>
      </c>
      <c r="AB73" s="521">
        <f t="shared" si="145"/>
        <v>6339237.698161534</v>
      </c>
      <c r="AC73" s="13"/>
      <c r="AD73" s="518"/>
      <c r="AE73" s="518"/>
      <c r="AF73" s="533"/>
      <c r="AG73" s="533"/>
      <c r="AH73" s="533"/>
      <c r="AI73" s="533"/>
      <c r="AJ73" s="13"/>
      <c r="AK73" s="521">
        <v>958068.90145848505</v>
      </c>
      <c r="AL73" s="521">
        <v>651425.59973266674</v>
      </c>
      <c r="AM73" s="521">
        <v>1784865.0928683723</v>
      </c>
      <c r="AN73" s="521">
        <v>0</v>
      </c>
      <c r="AO73" s="521"/>
      <c r="AP73" s="521">
        <v>3394359.5940595241</v>
      </c>
      <c r="AQ73" s="13"/>
      <c r="AR73" s="518"/>
      <c r="AS73" s="518"/>
      <c r="AT73" s="533"/>
      <c r="AU73" s="533"/>
      <c r="AV73" s="533"/>
      <c r="AW73" s="533"/>
      <c r="AX73" s="13"/>
      <c r="AY73" s="521">
        <v>3594676.4685930284</v>
      </c>
      <c r="AZ73" s="521">
        <v>1823803.2622364913</v>
      </c>
      <c r="BA73" s="521">
        <v>1984932.958174943</v>
      </c>
      <c r="BB73" s="521">
        <v>0</v>
      </c>
      <c r="BC73" s="521"/>
      <c r="BD73" s="521">
        <v>7403412.6890044678</v>
      </c>
      <c r="BE73" s="13"/>
      <c r="BF73" s="518"/>
      <c r="BG73" s="518"/>
      <c r="BH73" s="533"/>
      <c r="BI73" s="533"/>
      <c r="BJ73" s="533"/>
      <c r="BK73" s="533"/>
    </row>
    <row r="74" spans="1:63" hidden="1" outlineLevel="1">
      <c r="A74" s="515" t="s">
        <v>134</v>
      </c>
      <c r="B74" s="521">
        <f>IFERROR(B46+SUM(B64:B66),0)</f>
        <v>1022318</v>
      </c>
      <c r="C74" s="521">
        <f t="shared" ref="C74:G74" si="146">IFERROR(C46+SUM(C64:C66),0)</f>
        <v>688276</v>
      </c>
      <c r="D74" s="521">
        <f t="shared" si="146"/>
        <v>298698</v>
      </c>
      <c r="E74" s="521">
        <f t="shared" si="146"/>
        <v>589052</v>
      </c>
      <c r="F74" s="521">
        <f t="shared" si="146"/>
        <v>-11179</v>
      </c>
      <c r="G74" s="521">
        <f t="shared" si="146"/>
        <v>2673115</v>
      </c>
      <c r="H74" s="532"/>
      <c r="I74" s="521">
        <f>IFERROR(I46+SUM(I64:I66),0)</f>
        <v>1268753.4880761658</v>
      </c>
      <c r="J74" s="521">
        <f t="shared" ref="J74:N74" si="147">IFERROR(J46+SUM(J64:J66),0)</f>
        <v>849914.62955963635</v>
      </c>
      <c r="K74" s="521">
        <f t="shared" si="147"/>
        <v>363245.62324423343</v>
      </c>
      <c r="L74" s="521">
        <f t="shared" si="147"/>
        <v>445109.16764000006</v>
      </c>
      <c r="M74" s="521">
        <f t="shared" si="147"/>
        <v>0</v>
      </c>
      <c r="N74" s="521">
        <f t="shared" si="147"/>
        <v>2927022.9085200364</v>
      </c>
      <c r="O74" s="521"/>
      <c r="P74" s="521"/>
      <c r="Q74" s="521"/>
      <c r="R74" s="533"/>
      <c r="S74" s="533"/>
      <c r="T74" s="533"/>
      <c r="U74" s="533"/>
      <c r="V74" s="533"/>
      <c r="W74" s="521">
        <f>IFERROR(W46+SUM(W64:W66),0)</f>
        <v>1483413.1941150299</v>
      </c>
      <c r="X74" s="521">
        <f t="shared" ref="X74:AB74" si="148">IFERROR(X46+SUM(X64:X66),0)</f>
        <v>1243396.44307497</v>
      </c>
      <c r="Y74" s="521">
        <f t="shared" si="148"/>
        <v>431327.35426401062</v>
      </c>
      <c r="Z74" s="521">
        <f t="shared" si="148"/>
        <v>362532.65164495271</v>
      </c>
      <c r="AA74" s="521">
        <f t="shared" si="148"/>
        <v>0</v>
      </c>
      <c r="AB74" s="521">
        <f t="shared" si="148"/>
        <v>3520669.6430989644</v>
      </c>
      <c r="AC74" s="13"/>
      <c r="AD74" s="521"/>
      <c r="AE74" s="521"/>
      <c r="AF74" s="533"/>
      <c r="AG74" s="533"/>
      <c r="AH74" s="533"/>
      <c r="AI74" s="533"/>
      <c r="AJ74" s="13"/>
      <c r="AK74" s="521">
        <v>1633500.9482974466</v>
      </c>
      <c r="AL74" s="521">
        <v>1346060.5720591703</v>
      </c>
      <c r="AM74" s="521">
        <v>499947.13272030198</v>
      </c>
      <c r="AN74" s="521">
        <v>239100.15704243004</v>
      </c>
      <c r="AO74" s="521"/>
      <c r="AP74" s="521">
        <v>3689931.5638670027</v>
      </c>
      <c r="AQ74" s="13"/>
      <c r="AR74" s="521"/>
      <c r="AS74" s="521"/>
      <c r="AT74" s="533"/>
      <c r="AU74" s="533"/>
      <c r="AV74" s="533"/>
      <c r="AW74" s="533"/>
      <c r="AX74" s="13"/>
      <c r="AY74" s="521">
        <v>1495208.7066949543</v>
      </c>
      <c r="AZ74" s="521">
        <v>2288743.6873616888</v>
      </c>
      <c r="BA74" s="521">
        <v>558411.01800575701</v>
      </c>
      <c r="BB74" s="521">
        <v>1052385.9357968005</v>
      </c>
      <c r="BC74" s="521"/>
      <c r="BD74" s="521">
        <v>4499796.2470162371</v>
      </c>
      <c r="BE74" s="13"/>
      <c r="BF74" s="521"/>
      <c r="BG74" s="521"/>
      <c r="BH74" s="533"/>
      <c r="BI74" s="533"/>
      <c r="BJ74" s="533"/>
      <c r="BK74" s="533"/>
    </row>
    <row r="75" spans="1:63" hidden="1" outlineLevel="1">
      <c r="A75" s="515" t="s">
        <v>135</v>
      </c>
      <c r="B75" s="521">
        <f>IFERROR(B47+SUM(B68),0)</f>
        <v>407046</v>
      </c>
      <c r="C75" s="521">
        <f t="shared" ref="C75:G75" si="149">IFERROR(C47+SUM(C68),0)</f>
        <v>132706</v>
      </c>
      <c r="D75" s="521">
        <f t="shared" si="149"/>
        <v>-18</v>
      </c>
      <c r="E75" s="521">
        <f t="shared" si="149"/>
        <v>28104</v>
      </c>
      <c r="F75" s="521">
        <f t="shared" si="149"/>
        <v>-2485</v>
      </c>
      <c r="G75" s="521">
        <f t="shared" si="149"/>
        <v>549104</v>
      </c>
      <c r="H75" s="532"/>
      <c r="I75" s="521">
        <f>IFERROR(I47+SUM(I68),0)</f>
        <v>428888.93021493731</v>
      </c>
      <c r="J75" s="521">
        <f t="shared" ref="J75:N75" si="150">IFERROR(J47+SUM(J68),0)</f>
        <v>58547.874714558886</v>
      </c>
      <c r="K75" s="521">
        <f t="shared" si="150"/>
        <v>0</v>
      </c>
      <c r="L75" s="521">
        <f t="shared" si="150"/>
        <v>38404.394</v>
      </c>
      <c r="M75" s="521">
        <f t="shared" si="150"/>
        <v>0</v>
      </c>
      <c r="N75" s="521">
        <f t="shared" si="150"/>
        <v>525841.19892949588</v>
      </c>
      <c r="O75" s="521"/>
      <c r="P75" s="521"/>
      <c r="Q75" s="521"/>
      <c r="R75" s="533"/>
      <c r="S75" s="533"/>
      <c r="T75" s="533"/>
      <c r="U75" s="533"/>
      <c r="V75" s="533"/>
      <c r="W75" s="521">
        <f>IFERROR(W47+SUM(W68),0)</f>
        <v>454552.39790608612</v>
      </c>
      <c r="X75" s="521">
        <f t="shared" ref="X75:AB75" si="151">IFERROR(X47+SUM(X68),0)</f>
        <v>128109.86861837248</v>
      </c>
      <c r="Y75" s="521">
        <f t="shared" si="151"/>
        <v>0</v>
      </c>
      <c r="Z75" s="521">
        <f t="shared" si="151"/>
        <v>34465.735199999996</v>
      </c>
      <c r="AA75" s="521">
        <f t="shared" si="151"/>
        <v>0</v>
      </c>
      <c r="AB75" s="521">
        <f t="shared" si="151"/>
        <v>617128.00172445888</v>
      </c>
      <c r="AC75" s="13"/>
      <c r="AD75" s="521"/>
      <c r="AE75" s="521"/>
      <c r="AF75" s="533"/>
      <c r="AG75" s="533"/>
      <c r="AH75" s="533"/>
      <c r="AI75" s="533"/>
      <c r="AJ75" s="13"/>
      <c r="AK75" s="521">
        <v>403255.83463257435</v>
      </c>
      <c r="AL75" s="521">
        <v>-40970.654259385774</v>
      </c>
      <c r="AM75" s="521">
        <v>0</v>
      </c>
      <c r="AN75" s="521">
        <v>38404.394</v>
      </c>
      <c r="AO75" s="521"/>
      <c r="AP75" s="521">
        <v>400689.57437318843</v>
      </c>
      <c r="AQ75" s="13"/>
      <c r="AR75" s="521"/>
      <c r="AS75" s="521"/>
      <c r="AT75" s="533"/>
      <c r="AU75" s="533"/>
      <c r="AV75" s="533"/>
      <c r="AW75" s="533"/>
      <c r="AX75" s="13"/>
      <c r="AY75" s="521">
        <v>493751.49327890016</v>
      </c>
      <c r="AZ75" s="521">
        <v>168815.21414230426</v>
      </c>
      <c r="BA75" s="521">
        <v>0</v>
      </c>
      <c r="BB75" s="521">
        <v>34465.735199999996</v>
      </c>
      <c r="BC75" s="521"/>
      <c r="BD75" s="521">
        <v>697032.44262120477</v>
      </c>
      <c r="BE75" s="13"/>
      <c r="BF75" s="521"/>
      <c r="BG75" s="521"/>
      <c r="BH75" s="533"/>
      <c r="BI75" s="533"/>
      <c r="BJ75" s="533"/>
      <c r="BK75" s="533"/>
    </row>
    <row r="76" spans="1:63" hidden="1" outlineLevel="1">
      <c r="A76" s="515" t="s">
        <v>136</v>
      </c>
      <c r="B76" s="521">
        <f>IFERROR(B48+SUM(B69),0)</f>
        <v>42022</v>
      </c>
      <c r="C76" s="521">
        <f t="shared" ref="C76:G76" si="152">IFERROR(C48+SUM(C69),0)</f>
        <v>-17066</v>
      </c>
      <c r="D76" s="521">
        <f t="shared" si="152"/>
        <v>-6</v>
      </c>
      <c r="E76" s="521">
        <f t="shared" si="152"/>
        <v>-87</v>
      </c>
      <c r="F76" s="521">
        <f t="shared" si="152"/>
        <v>-526</v>
      </c>
      <c r="G76" s="521">
        <f t="shared" si="152"/>
        <v>39867</v>
      </c>
      <c r="H76" s="532"/>
      <c r="I76" s="521">
        <f>IFERROR(I48+SUM(I69),0)</f>
        <v>0</v>
      </c>
      <c r="J76" s="521">
        <f t="shared" ref="J76:N76" si="153">IFERROR(J48+SUM(J69),0)</f>
        <v>0</v>
      </c>
      <c r="K76" s="521">
        <f t="shared" si="153"/>
        <v>0</v>
      </c>
      <c r="L76" s="521">
        <f t="shared" si="153"/>
        <v>0</v>
      </c>
      <c r="M76" s="521">
        <f t="shared" si="153"/>
        <v>0</v>
      </c>
      <c r="N76" s="521">
        <f t="shared" si="153"/>
        <v>0</v>
      </c>
      <c r="O76" s="521"/>
      <c r="P76" s="521"/>
      <c r="Q76" s="521"/>
      <c r="R76" s="533"/>
      <c r="S76" s="533"/>
      <c r="T76" s="533"/>
      <c r="U76" s="533"/>
      <c r="V76" s="533"/>
      <c r="W76" s="521">
        <f>IFERROR(W48+SUM(W69),0)</f>
        <v>0</v>
      </c>
      <c r="X76" s="521">
        <f t="shared" ref="X76:AB76" si="154">IFERROR(X48+SUM(X69),0)</f>
        <v>0</v>
      </c>
      <c r="Y76" s="521">
        <f t="shared" si="154"/>
        <v>0</v>
      </c>
      <c r="Z76" s="521">
        <f t="shared" si="154"/>
        <v>0</v>
      </c>
      <c r="AA76" s="521">
        <f t="shared" si="154"/>
        <v>0</v>
      </c>
      <c r="AB76" s="521">
        <f t="shared" si="154"/>
        <v>0</v>
      </c>
      <c r="AC76" s="13"/>
      <c r="AD76" s="521"/>
      <c r="AE76" s="521"/>
      <c r="AF76" s="533"/>
      <c r="AG76" s="533"/>
      <c r="AH76" s="533"/>
      <c r="AI76" s="533"/>
      <c r="AJ76" s="13"/>
      <c r="AK76" s="521">
        <v>0</v>
      </c>
      <c r="AL76" s="521">
        <v>0</v>
      </c>
      <c r="AM76" s="521">
        <v>0</v>
      </c>
      <c r="AN76" s="521">
        <v>0</v>
      </c>
      <c r="AO76" s="521"/>
      <c r="AP76" s="521">
        <v>0</v>
      </c>
      <c r="AQ76" s="13"/>
      <c r="AR76" s="521"/>
      <c r="AS76" s="521"/>
      <c r="AT76" s="533"/>
      <c r="AU76" s="533"/>
      <c r="AV76" s="533"/>
      <c r="AW76" s="533"/>
      <c r="AX76" s="13"/>
      <c r="AY76" s="521">
        <v>0</v>
      </c>
      <c r="AZ76" s="521">
        <v>0</v>
      </c>
      <c r="BA76" s="521">
        <v>0</v>
      </c>
      <c r="BB76" s="521">
        <v>0</v>
      </c>
      <c r="BC76" s="521"/>
      <c r="BD76" s="521">
        <v>0</v>
      </c>
      <c r="BE76" s="13"/>
      <c r="BF76" s="521"/>
      <c r="BG76" s="521"/>
      <c r="BH76" s="533"/>
      <c r="BI76" s="533"/>
      <c r="BJ76" s="533"/>
      <c r="BK76" s="533"/>
    </row>
    <row r="77" spans="1:63" collapsed="1">
      <c r="A77" s="515" t="s">
        <v>137</v>
      </c>
      <c r="B77" s="521">
        <f>IFERROR(B49+SUM(B71),0)</f>
        <v>1730807</v>
      </c>
      <c r="C77" s="521">
        <f t="shared" ref="C77:G77" si="155">IFERROR(C49+SUM(C71),0)</f>
        <v>1051451</v>
      </c>
      <c r="D77" s="521">
        <f t="shared" si="155"/>
        <v>1745414</v>
      </c>
      <c r="E77" s="521">
        <f t="shared" si="155"/>
        <v>614599</v>
      </c>
      <c r="F77" s="521">
        <f t="shared" si="155"/>
        <v>-447569</v>
      </c>
      <c r="G77" s="521">
        <f t="shared" si="155"/>
        <v>4654108</v>
      </c>
      <c r="H77" s="532"/>
      <c r="I77" s="521">
        <f>IFERROR(I49+SUM(I71),0)</f>
        <v>2575624.8001448223</v>
      </c>
      <c r="J77" s="521">
        <f t="shared" ref="J77:N77" si="156">IFERROR(J49+SUM(J71),0)</f>
        <v>1261552.0057606348</v>
      </c>
      <c r="K77" s="521">
        <f t="shared" si="156"/>
        <v>2042799.8751915144</v>
      </c>
      <c r="L77" s="521">
        <f t="shared" si="156"/>
        <v>468513.56164000003</v>
      </c>
      <c r="M77" s="521">
        <f t="shared" si="156"/>
        <v>-300000</v>
      </c>
      <c r="N77" s="521">
        <f t="shared" si="156"/>
        <v>6048490.2427369719</v>
      </c>
      <c r="O77" s="521"/>
      <c r="P77" s="521"/>
      <c r="Q77" s="521"/>
      <c r="R77" s="533"/>
      <c r="S77" s="533"/>
      <c r="T77" s="533"/>
      <c r="U77" s="533"/>
      <c r="V77" s="533"/>
      <c r="W77" s="521">
        <f>IFERROR(W49+SUM(W71),0)</f>
        <v>5375159.5455127489</v>
      </c>
      <c r="X77" s="521">
        <f t="shared" ref="X77:AB77" si="157">IFERROR(X49+SUM(X71),0)</f>
        <v>2361419.4801631775</v>
      </c>
      <c r="Y77" s="521">
        <f t="shared" si="157"/>
        <v>2303957.930464074</v>
      </c>
      <c r="Z77" s="521">
        <f t="shared" si="157"/>
        <v>381998.38684495282</v>
      </c>
      <c r="AA77" s="521">
        <f t="shared" si="157"/>
        <v>-300000</v>
      </c>
      <c r="AB77" s="521">
        <f t="shared" si="157"/>
        <v>10122535.342984958</v>
      </c>
      <c r="AC77" s="13"/>
      <c r="AD77" s="521"/>
      <c r="AE77" s="521"/>
      <c r="AF77" s="533"/>
      <c r="AG77" s="533"/>
      <c r="AH77" s="533"/>
      <c r="AI77" s="533"/>
      <c r="AJ77" s="13"/>
      <c r="AK77" s="521">
        <v>2994825.6843885062</v>
      </c>
      <c r="AL77" s="521">
        <v>1956515.517532452</v>
      </c>
      <c r="AM77" s="521">
        <v>2284812.2255886728</v>
      </c>
      <c r="AN77" s="521">
        <v>277504.55104242999</v>
      </c>
      <c r="AO77" s="521"/>
      <c r="AP77" s="521">
        <v>7184980.7322997125</v>
      </c>
      <c r="AQ77" s="13"/>
      <c r="AR77" s="521"/>
      <c r="AS77" s="521"/>
      <c r="AT77" s="533"/>
      <c r="AU77" s="533"/>
      <c r="AV77" s="533"/>
      <c r="AW77" s="533"/>
      <c r="AX77" s="13"/>
      <c r="AY77" s="521">
        <v>5583636.6685668854</v>
      </c>
      <c r="AZ77" s="521">
        <v>4281362.163740484</v>
      </c>
      <c r="BA77" s="521">
        <v>2543343.9761807001</v>
      </c>
      <c r="BB77" s="521">
        <v>1086851.6709968001</v>
      </c>
      <c r="BC77" s="521"/>
      <c r="BD77" s="521">
        <v>12300241.3786419</v>
      </c>
      <c r="BE77" s="13"/>
      <c r="BF77" s="521"/>
      <c r="BG77" s="521"/>
      <c r="BH77" s="533"/>
      <c r="BI77" s="533"/>
      <c r="BJ77" s="533"/>
      <c r="BK77" s="533"/>
    </row>
    <row r="78" spans="1:63" hidden="1" outlineLevel="1">
      <c r="A78" s="11"/>
      <c r="B78" s="521"/>
      <c r="C78" s="521"/>
      <c r="D78" s="521"/>
      <c r="E78" s="521"/>
      <c r="F78" s="521"/>
      <c r="G78" s="521" t="s">
        <v>163</v>
      </c>
      <c r="H78" s="532"/>
      <c r="I78" s="521"/>
      <c r="J78" s="521"/>
      <c r="K78" s="521"/>
      <c r="L78" s="521"/>
      <c r="M78" s="521"/>
      <c r="N78" s="521" t="s">
        <v>163</v>
      </c>
      <c r="O78" s="521"/>
      <c r="P78" s="521"/>
      <c r="Q78" s="521"/>
      <c r="R78" s="533"/>
      <c r="S78" s="533"/>
      <c r="T78" s="533"/>
      <c r="U78" s="533"/>
      <c r="V78" s="533"/>
      <c r="W78" s="521"/>
      <c r="X78" s="521"/>
      <c r="Y78" s="521"/>
      <c r="Z78" s="521"/>
      <c r="AA78" s="521"/>
      <c r="AB78" s="521" t="s">
        <v>163</v>
      </c>
      <c r="AC78" s="13"/>
      <c r="AD78" s="521"/>
      <c r="AE78" s="521"/>
      <c r="AF78" s="533"/>
      <c r="AG78" s="533"/>
      <c r="AH78" s="533"/>
      <c r="AI78" s="533"/>
      <c r="AJ78" s="13"/>
      <c r="AK78" s="521"/>
      <c r="AL78" s="521"/>
      <c r="AM78" s="521"/>
      <c r="AN78" s="521"/>
      <c r="AO78" s="521"/>
      <c r="AP78" s="521"/>
      <c r="AQ78" s="13"/>
      <c r="AR78" s="521"/>
      <c r="AS78" s="521"/>
      <c r="AT78" s="533"/>
      <c r="AU78" s="533"/>
      <c r="AV78" s="533"/>
      <c r="AW78" s="533"/>
      <c r="AX78" s="13"/>
      <c r="AY78" s="521"/>
      <c r="AZ78" s="521"/>
      <c r="BA78" s="521"/>
      <c r="BB78" s="521"/>
      <c r="BC78" s="521"/>
      <c r="BD78" s="521"/>
      <c r="BE78" s="13"/>
      <c r="BF78" s="521"/>
      <c r="BG78" s="521"/>
      <c r="BH78" s="533"/>
      <c r="BI78" s="533"/>
      <c r="BJ78" s="533"/>
      <c r="BK78" s="533"/>
    </row>
    <row r="79" spans="1:63" hidden="1" outlineLevel="1">
      <c r="A79" s="515" t="s">
        <v>138</v>
      </c>
      <c r="B79" s="518">
        <f>IFERROR(B73/B6,0)</f>
        <v>0.12189508243160056</v>
      </c>
      <c r="C79" s="518">
        <f t="shared" ref="C79:G79" si="158">IFERROR(C73/C6,0)</f>
        <v>0.23024433823975851</v>
      </c>
      <c r="D79" s="518">
        <f t="shared" si="158"/>
        <v>0.29231760852128108</v>
      </c>
      <c r="E79" s="518">
        <f t="shared" si="158"/>
        <v>0.12191510365251727</v>
      </c>
      <c r="F79" s="518">
        <f t="shared" si="158"/>
        <v>0</v>
      </c>
      <c r="G79" s="518">
        <f t="shared" si="158"/>
        <v>0.21428741598093623</v>
      </c>
      <c r="H79" s="532"/>
      <c r="I79" s="518">
        <f>IFERROR(I73/I6,0)</f>
        <v>0.18147684023094343</v>
      </c>
      <c r="J79" s="518">
        <f t="shared" ref="J79:N79" si="159">IFERROR(J73/J6,0)</f>
        <v>0.23561991333303878</v>
      </c>
      <c r="K79" s="518">
        <f t="shared" si="159"/>
        <v>0.2788653459901631</v>
      </c>
      <c r="L79" s="518">
        <f t="shared" si="159"/>
        <v>0</v>
      </c>
      <c r="M79" s="518">
        <f t="shared" si="159"/>
        <v>0</v>
      </c>
      <c r="N79" s="518">
        <f t="shared" si="159"/>
        <v>0.23550143313362262</v>
      </c>
      <c r="O79" s="7"/>
      <c r="P79" s="7"/>
      <c r="Q79" s="7"/>
      <c r="R79" s="533"/>
      <c r="S79" s="533"/>
      <c r="T79" s="533"/>
      <c r="U79" s="533"/>
      <c r="V79" s="533"/>
      <c r="W79" s="518">
        <f>IFERROR(W73/W6,0)</f>
        <v>0.3094406078901199</v>
      </c>
      <c r="X79" s="518">
        <f t="shared" ref="X79:AB79" si="160">IFERROR(X73/X6,0)</f>
        <v>0.29553363773035224</v>
      </c>
      <c r="Y79" s="518">
        <f t="shared" si="160"/>
        <v>0.2699846471545338</v>
      </c>
      <c r="Z79" s="518">
        <f t="shared" si="160"/>
        <v>0</v>
      </c>
      <c r="AA79" s="518">
        <f t="shared" si="160"/>
        <v>0</v>
      </c>
      <c r="AB79" s="518">
        <f t="shared" si="160"/>
        <v>0.29447756996861862</v>
      </c>
      <c r="AC79" s="13"/>
      <c r="AD79" s="7"/>
      <c r="AE79" s="7"/>
      <c r="AF79" s="533"/>
      <c r="AG79" s="533"/>
      <c r="AH79" s="533"/>
      <c r="AI79" s="533"/>
      <c r="AJ79" s="13"/>
      <c r="AK79" s="518">
        <v>0.19142551286318005</v>
      </c>
      <c r="AL79" s="518">
        <v>0.30110715023726803</v>
      </c>
      <c r="AM79" s="518">
        <v>0.27725940956623374</v>
      </c>
      <c r="AN79" s="518">
        <v>0</v>
      </c>
      <c r="AO79" s="518"/>
      <c r="AP79" s="518">
        <v>0.24947740950770195</v>
      </c>
      <c r="AQ79" s="13"/>
      <c r="AR79" s="7"/>
      <c r="AS79" s="7"/>
      <c r="AT79" s="533"/>
      <c r="AU79" s="533"/>
      <c r="AV79" s="533"/>
      <c r="AW79" s="533"/>
      <c r="AX79" s="13"/>
      <c r="AY79" s="518">
        <v>0.31684663262498841</v>
      </c>
      <c r="AZ79" s="518">
        <v>0.35428985953588327</v>
      </c>
      <c r="BA79" s="518">
        <v>0.26585452753491357</v>
      </c>
      <c r="BB79" s="518">
        <v>0</v>
      </c>
      <c r="BC79" s="518"/>
      <c r="BD79" s="518">
        <v>0.30900120374180684</v>
      </c>
      <c r="BE79" s="13"/>
      <c r="BF79" s="7"/>
      <c r="BG79" s="7"/>
      <c r="BH79" s="533"/>
      <c r="BI79" s="533"/>
      <c r="BJ79" s="533"/>
      <c r="BK79" s="533"/>
    </row>
    <row r="80" spans="1:63" hidden="1" outlineLevel="1">
      <c r="A80" s="515" t="s">
        <v>139</v>
      </c>
      <c r="B80" s="518">
        <f t="shared" ref="B80:G80" si="161">IFERROR(B74/B7,0)</f>
        <v>0.28422813250141377</v>
      </c>
      <c r="C80" s="518">
        <f t="shared" si="161"/>
        <v>0.55372119571907019</v>
      </c>
      <c r="D80" s="518">
        <f t="shared" si="161"/>
        <v>0.46464143658698592</v>
      </c>
      <c r="E80" s="518">
        <f t="shared" si="161"/>
        <v>0.5139213272482509</v>
      </c>
      <c r="F80" s="518">
        <f t="shared" si="161"/>
        <v>0</v>
      </c>
      <c r="G80" s="518">
        <f t="shared" si="161"/>
        <v>0.40324783831196526</v>
      </c>
      <c r="H80" s="532"/>
      <c r="I80" s="518">
        <f t="shared" ref="I80:N80" si="162">IFERROR(I74/I7,0)</f>
        <v>0.30366751548199816</v>
      </c>
      <c r="J80" s="518">
        <f t="shared" si="162"/>
        <v>0.47119752403513043</v>
      </c>
      <c r="K80" s="518">
        <f t="shared" si="162"/>
        <v>0.44442024058315827</v>
      </c>
      <c r="L80" s="518">
        <f t="shared" si="162"/>
        <v>0.57910375294333083</v>
      </c>
      <c r="M80" s="518">
        <f t="shared" si="162"/>
        <v>0</v>
      </c>
      <c r="N80" s="518">
        <f t="shared" si="162"/>
        <v>0.38677336763277576</v>
      </c>
      <c r="O80" s="518"/>
      <c r="P80" s="518"/>
      <c r="Q80" s="518"/>
      <c r="R80" s="533"/>
      <c r="S80" s="533"/>
      <c r="T80" s="533"/>
      <c r="U80" s="533"/>
      <c r="V80" s="533"/>
      <c r="W80" s="518">
        <f t="shared" ref="W80:AB80" si="163">IFERROR(W74/W7,0)</f>
        <v>0.29839720943935877</v>
      </c>
      <c r="X80" s="518">
        <f t="shared" si="163"/>
        <v>0.47955002652782147</v>
      </c>
      <c r="Y80" s="518">
        <f t="shared" si="163"/>
        <v>0.46609097214219719</v>
      </c>
      <c r="Z80" s="518">
        <f t="shared" si="163"/>
        <v>0.45577419844375533</v>
      </c>
      <c r="AA80" s="518">
        <f t="shared" si="163"/>
        <v>0</v>
      </c>
      <c r="AB80" s="518">
        <f t="shared" si="163"/>
        <v>0.3791803960021693</v>
      </c>
      <c r="AC80" s="13"/>
      <c r="AD80" s="518"/>
      <c r="AE80" s="518"/>
      <c r="AF80" s="533"/>
      <c r="AG80" s="533"/>
      <c r="AH80" s="533"/>
      <c r="AI80" s="533"/>
      <c r="AJ80" s="13"/>
      <c r="AK80" s="518">
        <v>0.34115324794861523</v>
      </c>
      <c r="AL80" s="518">
        <v>0.5718443563424106</v>
      </c>
      <c r="AM80" s="518">
        <v>0.59450747283011973</v>
      </c>
      <c r="AN80" s="518">
        <v>0.57294934404930653</v>
      </c>
      <c r="AO80" s="518"/>
      <c r="AP80" s="518">
        <v>0.44076527712651098</v>
      </c>
      <c r="AQ80" s="13"/>
      <c r="AR80" s="518"/>
      <c r="AS80" s="518"/>
      <c r="AT80" s="533"/>
      <c r="AU80" s="533"/>
      <c r="AV80" s="533"/>
      <c r="AW80" s="533"/>
      <c r="AX80" s="13"/>
      <c r="AY80" s="518">
        <v>0.32069258385922378</v>
      </c>
      <c r="AZ80" s="518">
        <v>0.58518522908782911</v>
      </c>
      <c r="BA80" s="518">
        <v>0.60730478292605894</v>
      </c>
      <c r="BB80" s="518">
        <v>0.57184924617401367</v>
      </c>
      <c r="BC80" s="518"/>
      <c r="BD80" s="518">
        <v>0.43107945431785832</v>
      </c>
      <c r="BE80" s="13"/>
      <c r="BF80" s="518"/>
      <c r="BG80" s="518"/>
      <c r="BH80" s="533"/>
      <c r="BI80" s="533"/>
      <c r="BJ80" s="533"/>
      <c r="BK80" s="533"/>
    </row>
    <row r="81" spans="1:63" hidden="1" outlineLevel="1">
      <c r="A81" s="515" t="s">
        <v>140</v>
      </c>
      <c r="B81" s="518">
        <f t="shared" ref="B81:G81" si="164">IFERROR(B75/B8,0)</f>
        <v>0.18359090285846244</v>
      </c>
      <c r="C81" s="518">
        <f t="shared" si="164"/>
        <v>0.21901354290787983</v>
      </c>
      <c r="D81" s="518">
        <f t="shared" si="164"/>
        <v>0</v>
      </c>
      <c r="E81" s="518">
        <f t="shared" si="164"/>
        <v>0.2136585143343698</v>
      </c>
      <c r="F81" s="518">
        <f t="shared" si="164"/>
        <v>0</v>
      </c>
      <c r="G81" s="518">
        <f t="shared" si="164"/>
        <v>0.18576837210781455</v>
      </c>
      <c r="H81" s="532"/>
      <c r="I81" s="518">
        <f t="shared" ref="I81:N81" si="165">IFERROR(I75/I8,0)</f>
        <v>0.18281221444681861</v>
      </c>
      <c r="J81" s="518">
        <f t="shared" si="165"/>
        <v>7.036361304082242E-2</v>
      </c>
      <c r="K81" s="518">
        <f t="shared" si="165"/>
        <v>0</v>
      </c>
      <c r="L81" s="518">
        <f t="shared" si="165"/>
        <v>0.30407578031644966</v>
      </c>
      <c r="M81" s="518">
        <f t="shared" si="165"/>
        <v>0</v>
      </c>
      <c r="N81" s="518">
        <f t="shared" si="165"/>
        <v>0.15913183161313288</v>
      </c>
      <c r="O81" s="518"/>
      <c r="P81" s="518"/>
      <c r="Q81" s="518"/>
      <c r="R81" s="533"/>
      <c r="S81" s="533"/>
      <c r="T81" s="533"/>
      <c r="U81" s="533"/>
      <c r="V81" s="533"/>
      <c r="W81" s="518">
        <f t="shared" ref="W81:AB81" si="166">IFERROR(W75/W8,0)</f>
        <v>0.19183283792314595</v>
      </c>
      <c r="X81" s="518">
        <f t="shared" si="166"/>
        <v>0.1271453717782754</v>
      </c>
      <c r="Y81" s="518">
        <f t="shared" si="166"/>
        <v>0</v>
      </c>
      <c r="Z81" s="518">
        <f t="shared" si="166"/>
        <v>0.27289052719124079</v>
      </c>
      <c r="AA81" s="518">
        <f t="shared" si="166"/>
        <v>0</v>
      </c>
      <c r="AB81" s="518">
        <f t="shared" si="166"/>
        <v>0.17615076881382144</v>
      </c>
      <c r="AC81" s="13"/>
      <c r="AD81" s="518"/>
      <c r="AE81" s="518"/>
      <c r="AF81" s="533"/>
      <c r="AG81" s="533"/>
      <c r="AH81" s="533"/>
      <c r="AI81" s="533"/>
      <c r="AJ81" s="13"/>
      <c r="AK81" s="518">
        <v>0.15806751379668338</v>
      </c>
      <c r="AL81" s="518">
        <v>-3.0707479940387944E-2</v>
      </c>
      <c r="AM81" s="518">
        <v>0</v>
      </c>
      <c r="AN81" s="518">
        <v>0.30407578031644966</v>
      </c>
      <c r="AO81" s="518"/>
      <c r="AP81" s="518">
        <v>9.9880625307068871E-2</v>
      </c>
      <c r="AQ81" s="13"/>
      <c r="AR81" s="518"/>
      <c r="AS81" s="518"/>
      <c r="AT81" s="533"/>
      <c r="AU81" s="533"/>
      <c r="AV81" s="533"/>
      <c r="AW81" s="533"/>
      <c r="AX81" s="13"/>
      <c r="AY81" s="518">
        <v>0.19162360705928294</v>
      </c>
      <c r="AZ81" s="518">
        <v>7.2144121582673387E-2</v>
      </c>
      <c r="BA81" s="518">
        <v>0</v>
      </c>
      <c r="BB81" s="518">
        <v>0.27289052719124079</v>
      </c>
      <c r="BC81" s="518"/>
      <c r="BD81" s="518">
        <v>0.13821934367717095</v>
      </c>
      <c r="BE81" s="13"/>
      <c r="BF81" s="518"/>
      <c r="BG81" s="518"/>
      <c r="BH81" s="533"/>
      <c r="BI81" s="533"/>
      <c r="BJ81" s="533"/>
      <c r="BK81" s="533"/>
    </row>
    <row r="82" spans="1:63" hidden="1" outlineLevel="1">
      <c r="A82" s="515" t="s">
        <v>141</v>
      </c>
      <c r="B82" s="518">
        <f t="shared" ref="B82:G82" si="167">IFERROR(B76/B9,0)</f>
        <v>0.46757610824283424</v>
      </c>
      <c r="C82" s="518">
        <f t="shared" si="167"/>
        <v>0</v>
      </c>
      <c r="D82" s="518">
        <f t="shared" si="167"/>
        <v>0</v>
      </c>
      <c r="E82" s="518">
        <f t="shared" si="167"/>
        <v>0</v>
      </c>
      <c r="F82" s="518">
        <f t="shared" si="167"/>
        <v>0</v>
      </c>
      <c r="G82" s="518">
        <f t="shared" si="167"/>
        <v>0.44359756097560976</v>
      </c>
      <c r="H82" s="532"/>
      <c r="I82" s="518">
        <f t="shared" ref="I82:N82" si="168">IFERROR(I76/I9,0)</f>
        <v>0</v>
      </c>
      <c r="J82" s="518">
        <f t="shared" si="168"/>
        <v>0</v>
      </c>
      <c r="K82" s="518">
        <f t="shared" si="168"/>
        <v>0</v>
      </c>
      <c r="L82" s="518">
        <f t="shared" si="168"/>
        <v>0</v>
      </c>
      <c r="M82" s="518">
        <f t="shared" si="168"/>
        <v>0</v>
      </c>
      <c r="N82" s="518">
        <f t="shared" si="168"/>
        <v>0</v>
      </c>
      <c r="O82" s="518"/>
      <c r="P82" s="518"/>
      <c r="Q82" s="518"/>
      <c r="R82" s="533"/>
      <c r="S82" s="533"/>
      <c r="T82" s="533"/>
      <c r="U82" s="533"/>
      <c r="V82" s="533"/>
      <c r="W82" s="518">
        <f t="shared" ref="W82:AB82" si="169">IFERROR(W76/W9,0)</f>
        <v>0</v>
      </c>
      <c r="X82" s="518">
        <f t="shared" si="169"/>
        <v>0</v>
      </c>
      <c r="Y82" s="518">
        <f t="shared" si="169"/>
        <v>0</v>
      </c>
      <c r="Z82" s="518">
        <f t="shared" si="169"/>
        <v>0</v>
      </c>
      <c r="AA82" s="518">
        <f t="shared" si="169"/>
        <v>0</v>
      </c>
      <c r="AB82" s="518">
        <f t="shared" si="169"/>
        <v>0</v>
      </c>
      <c r="AC82" s="13"/>
      <c r="AD82" s="518"/>
      <c r="AE82" s="518"/>
      <c r="AF82" s="533"/>
      <c r="AG82" s="533"/>
      <c r="AH82" s="533"/>
      <c r="AI82" s="533"/>
      <c r="AJ82" s="13"/>
      <c r="AK82" s="518">
        <v>0</v>
      </c>
      <c r="AL82" s="518">
        <v>0</v>
      </c>
      <c r="AM82" s="518">
        <v>0</v>
      </c>
      <c r="AN82" s="518">
        <v>0</v>
      </c>
      <c r="AO82" s="518"/>
      <c r="AP82" s="518">
        <v>0</v>
      </c>
      <c r="AQ82" s="13"/>
      <c r="AR82" s="518"/>
      <c r="AS82" s="518"/>
      <c r="AT82" s="533"/>
      <c r="AU82" s="533"/>
      <c r="AV82" s="533"/>
      <c r="AW82" s="533"/>
      <c r="AX82" s="13"/>
      <c r="AY82" s="518">
        <v>0</v>
      </c>
      <c r="AZ82" s="518">
        <v>0</v>
      </c>
      <c r="BA82" s="518">
        <v>0</v>
      </c>
      <c r="BB82" s="518">
        <v>0</v>
      </c>
      <c r="BC82" s="518"/>
      <c r="BD82" s="518">
        <v>0</v>
      </c>
      <c r="BE82" s="13"/>
      <c r="BF82" s="518"/>
      <c r="BG82" s="518"/>
      <c r="BH82" s="533"/>
      <c r="BI82" s="533"/>
      <c r="BJ82" s="533"/>
      <c r="BK82" s="533"/>
    </row>
    <row r="83" spans="1:63" collapsed="1">
      <c r="A83" s="516" t="s">
        <v>142</v>
      </c>
      <c r="B83" s="518">
        <f>IFERROR(B77/B11,0)</f>
        <v>0.21350525033537385</v>
      </c>
      <c r="C83" s="518">
        <f t="shared" ref="C83:G83" si="170">IFERROR(C77/C11,0)</f>
        <v>0.3502690684840421</v>
      </c>
      <c r="D83" s="518">
        <f t="shared" si="170"/>
        <v>0.31203947104960555</v>
      </c>
      <c r="E83" s="518">
        <f t="shared" si="170"/>
        <v>0.46408437197487629</v>
      </c>
      <c r="F83" s="518">
        <f t="shared" si="170"/>
        <v>0</v>
      </c>
      <c r="G83" s="518">
        <f t="shared" si="170"/>
        <v>0.25816424078898131</v>
      </c>
      <c r="H83" s="532"/>
      <c r="I83" s="518">
        <f>IFERROR(I77/I11,0)</f>
        <v>0.22668464478045203</v>
      </c>
      <c r="J83" s="518">
        <f t="shared" ref="J83:N83" si="171">IFERROR(J77/J11,0)</f>
        <v>0.29324727842618636</v>
      </c>
      <c r="K83" s="518">
        <f t="shared" si="171"/>
        <v>0.29864789354382487</v>
      </c>
      <c r="L83" s="518">
        <f t="shared" si="171"/>
        <v>0.52352793562759004</v>
      </c>
      <c r="M83" s="518">
        <f t="shared" si="171"/>
        <v>0</v>
      </c>
      <c r="N83" s="518">
        <f t="shared" si="171"/>
        <v>0.2584909431106997</v>
      </c>
      <c r="O83" s="518"/>
      <c r="P83" s="518"/>
      <c r="Q83" s="518"/>
      <c r="R83" s="533"/>
      <c r="S83" s="533"/>
      <c r="T83" s="533"/>
      <c r="U83" s="533"/>
      <c r="V83" s="533"/>
      <c r="W83" s="518">
        <f>IFERROR(W77/W11,0)</f>
        <v>0.29135930065540461</v>
      </c>
      <c r="X83" s="518">
        <f t="shared" ref="X83:AB83" si="172">IFERROR(X77/X11,0)</f>
        <v>0.33336145269441725</v>
      </c>
      <c r="Y83" s="518">
        <f t="shared" si="172"/>
        <v>0.29306931996033997</v>
      </c>
      <c r="Z83" s="518">
        <f t="shared" si="172"/>
        <v>0.41444064252262736</v>
      </c>
      <c r="AA83" s="518">
        <f t="shared" si="172"/>
        <v>0</v>
      </c>
      <c r="AB83" s="518">
        <f t="shared" si="172"/>
        <v>0.29498504280615867</v>
      </c>
      <c r="AC83" s="13"/>
      <c r="AD83" s="518"/>
      <c r="AE83" s="518"/>
      <c r="AF83" s="533"/>
      <c r="AG83" s="533"/>
      <c r="AH83" s="533"/>
      <c r="AI83" s="533"/>
      <c r="AJ83" s="13"/>
      <c r="AK83" s="518">
        <v>0.24260890283289674</v>
      </c>
      <c r="AL83" s="518">
        <v>0.33435841019864082</v>
      </c>
      <c r="AM83" s="518">
        <v>0.31391376523698772</v>
      </c>
      <c r="AN83" s="518">
        <v>0.51048142687386311</v>
      </c>
      <c r="AO83" s="518"/>
      <c r="AP83" s="518">
        <v>0.2764601241083996</v>
      </c>
      <c r="AQ83" s="13"/>
      <c r="AR83" s="518"/>
      <c r="AS83" s="518"/>
      <c r="AT83" s="533"/>
      <c r="AU83" s="533"/>
      <c r="AV83" s="533"/>
      <c r="AW83" s="533"/>
      <c r="AX83" s="13"/>
      <c r="AY83" s="518">
        <v>0.30044957586394255</v>
      </c>
      <c r="AZ83" s="518">
        <v>0.37559474135314375</v>
      </c>
      <c r="BA83" s="518">
        <v>0.30329436552844069</v>
      </c>
      <c r="BB83" s="518">
        <v>0.55264974236018438</v>
      </c>
      <c r="BC83" s="518"/>
      <c r="BD83" s="518">
        <v>0.31186786935236993</v>
      </c>
      <c r="BE83" s="13"/>
      <c r="BF83" s="518"/>
      <c r="BG83" s="518"/>
      <c r="BH83" s="533"/>
      <c r="BI83" s="533"/>
      <c r="BJ83" s="533"/>
      <c r="BK83" s="533"/>
    </row>
    <row r="84" spans="1:63" hidden="1" outlineLevel="1">
      <c r="A84" s="13"/>
      <c r="B84" s="518"/>
      <c r="C84" s="518"/>
      <c r="D84" s="518"/>
      <c r="E84" s="518"/>
      <c r="F84" s="518"/>
      <c r="G84" s="518"/>
      <c r="H84" s="532"/>
      <c r="I84" s="518"/>
      <c r="J84" s="518"/>
      <c r="K84" s="518"/>
      <c r="L84" s="518"/>
      <c r="M84" s="518"/>
      <c r="N84" s="518"/>
      <c r="O84" s="518"/>
      <c r="P84" s="518"/>
      <c r="Q84" s="518"/>
      <c r="R84" s="533"/>
      <c r="S84" s="533"/>
      <c r="T84" s="533"/>
      <c r="U84" s="533"/>
      <c r="V84" s="533"/>
      <c r="W84" s="518"/>
      <c r="X84" s="518"/>
      <c r="Y84" s="518"/>
      <c r="Z84" s="518"/>
      <c r="AA84" s="533"/>
      <c r="AB84" s="518"/>
      <c r="AC84" s="13"/>
      <c r="AD84" s="518"/>
      <c r="AE84" s="518"/>
      <c r="AF84" s="533"/>
      <c r="AG84" s="533"/>
      <c r="AH84" s="533"/>
      <c r="AI84" s="533"/>
      <c r="AJ84" s="13"/>
      <c r="AK84" s="518"/>
      <c r="AL84" s="518"/>
      <c r="AM84" s="518"/>
      <c r="AN84" s="518"/>
      <c r="AO84" s="533"/>
      <c r="AP84" s="518"/>
      <c r="AQ84" s="13"/>
      <c r="AR84" s="518"/>
      <c r="AS84" s="518"/>
      <c r="AT84" s="533"/>
      <c r="AU84" s="533"/>
      <c r="AV84" s="533"/>
      <c r="AW84" s="533"/>
      <c r="AX84" s="13"/>
      <c r="AY84" s="518"/>
      <c r="AZ84" s="518"/>
      <c r="BA84" s="518"/>
      <c r="BB84" s="518"/>
      <c r="BC84" s="533"/>
      <c r="BD84" s="518"/>
      <c r="BE84" s="13"/>
      <c r="BF84" s="518"/>
      <c r="BG84" s="518"/>
      <c r="BH84" s="533"/>
      <c r="BI84" s="533"/>
      <c r="BJ84" s="533"/>
      <c r="BK84" s="533"/>
    </row>
    <row r="85" spans="1:63" hidden="1" outlineLevel="1">
      <c r="A85" s="13" t="s">
        <v>168</v>
      </c>
      <c r="B85" s="7">
        <v>504</v>
      </c>
      <c r="C85" s="7">
        <f>'CE P&amp;L'!Q84</f>
        <v>0</v>
      </c>
      <c r="D85" s="7">
        <f>'EE P&amp;L'!Q84</f>
        <v>0</v>
      </c>
      <c r="E85" s="7">
        <f>'ROW P&amp;L'!Q85</f>
        <v>0</v>
      </c>
      <c r="F85" s="7"/>
      <c r="G85" s="7">
        <f>SUM(B85:F85)</f>
        <v>504</v>
      </c>
      <c r="H85" s="532"/>
      <c r="I85" s="7"/>
      <c r="J85" s="7"/>
      <c r="K85" s="7"/>
      <c r="L85" s="7"/>
      <c r="M85" s="7"/>
      <c r="N85" s="7"/>
      <c r="O85" s="7"/>
      <c r="P85" s="7"/>
      <c r="Q85" s="7"/>
      <c r="R85" s="533"/>
      <c r="S85" s="533"/>
      <c r="T85" s="533"/>
      <c r="U85" s="533"/>
      <c r="V85" s="533"/>
      <c r="W85" s="7"/>
      <c r="X85" s="7"/>
      <c r="Y85" s="7"/>
      <c r="Z85" s="7"/>
      <c r="AA85" s="533"/>
      <c r="AB85" s="7"/>
      <c r="AC85" s="13"/>
      <c r="AD85" s="7"/>
      <c r="AE85" s="7"/>
      <c r="AF85" s="533"/>
      <c r="AG85" s="533"/>
      <c r="AH85" s="533"/>
      <c r="AI85" s="533"/>
      <c r="AJ85" s="13"/>
      <c r="AK85" s="7"/>
      <c r="AL85" s="7"/>
      <c r="AM85" s="7"/>
      <c r="AN85" s="7"/>
      <c r="AO85" s="533"/>
      <c r="AP85" s="7"/>
      <c r="AQ85" s="13"/>
      <c r="AR85" s="7"/>
      <c r="AS85" s="7"/>
      <c r="AT85" s="533"/>
      <c r="AU85" s="533"/>
      <c r="AV85" s="533"/>
      <c r="AW85" s="533"/>
      <c r="AX85" s="13"/>
      <c r="AY85" s="7"/>
      <c r="AZ85" s="7"/>
      <c r="BA85" s="7"/>
      <c r="BB85" s="7"/>
      <c r="BC85" s="533"/>
      <c r="BD85" s="7"/>
      <c r="BE85" s="13"/>
      <c r="BF85" s="7"/>
      <c r="BG85" s="7"/>
      <c r="BH85" s="533"/>
      <c r="BI85" s="533"/>
      <c r="BJ85" s="533"/>
      <c r="BK85" s="533"/>
    </row>
    <row r="86" spans="1:63" collapsed="1">
      <c r="A86" s="13"/>
      <c r="B86" s="83"/>
      <c r="C86" s="83"/>
      <c r="D86" s="83"/>
      <c r="E86" s="83"/>
      <c r="F86" s="83"/>
      <c r="G86" s="83"/>
      <c r="H86" s="532"/>
      <c r="I86" s="83"/>
      <c r="J86" s="83"/>
      <c r="K86" s="83"/>
      <c r="L86" s="7"/>
      <c r="M86" s="7"/>
      <c r="N86" s="83">
        <v>0</v>
      </c>
      <c r="O86" s="83"/>
      <c r="P86" s="83"/>
      <c r="Q86" s="83"/>
      <c r="R86" s="533"/>
      <c r="S86" s="533"/>
      <c r="T86" s="533"/>
      <c r="U86" s="533"/>
      <c r="V86" s="533"/>
      <c r="W86" s="83"/>
      <c r="X86" s="83"/>
      <c r="Y86" s="83"/>
      <c r="Z86" s="7"/>
      <c r="AA86" s="533"/>
      <c r="AB86" s="83">
        <v>0</v>
      </c>
      <c r="AC86" s="13"/>
      <c r="AD86" s="83"/>
      <c r="AE86" s="83"/>
      <c r="AF86" s="533"/>
      <c r="AG86" s="533"/>
      <c r="AH86" s="533"/>
      <c r="AI86" s="533"/>
      <c r="AJ86" s="13"/>
      <c r="AK86" s="83"/>
      <c r="AL86" s="83"/>
      <c r="AM86" s="83"/>
      <c r="AN86" s="7"/>
      <c r="AO86" s="533"/>
      <c r="AP86" s="83"/>
      <c r="AQ86" s="13"/>
      <c r="AR86" s="83"/>
      <c r="AS86" s="83"/>
      <c r="AT86" s="533"/>
      <c r="AU86" s="533"/>
      <c r="AV86" s="533"/>
      <c r="AW86" s="533"/>
      <c r="AX86" s="13"/>
      <c r="AY86" s="83"/>
      <c r="AZ86" s="83"/>
      <c r="BA86" s="83"/>
      <c r="BB86" s="7"/>
      <c r="BC86" s="533"/>
      <c r="BD86" s="83"/>
      <c r="BE86" s="13"/>
      <c r="BF86" s="83"/>
      <c r="BG86" s="83"/>
      <c r="BH86" s="533"/>
      <c r="BI86" s="533"/>
      <c r="BJ86" s="533"/>
      <c r="BK86" s="533"/>
    </row>
    <row r="87" spans="1:63" hidden="1" outlineLevel="1">
      <c r="A87" s="17" t="s">
        <v>143</v>
      </c>
      <c r="B87" s="7"/>
      <c r="C87" s="7"/>
      <c r="D87" s="7"/>
      <c r="E87" s="7"/>
      <c r="F87" s="7"/>
      <c r="G87" s="7"/>
      <c r="H87" s="532"/>
      <c r="I87" s="7"/>
      <c r="J87" s="7"/>
      <c r="K87" s="7"/>
      <c r="L87" s="7"/>
      <c r="M87" s="7"/>
      <c r="N87" s="7"/>
      <c r="O87" s="7"/>
      <c r="P87" s="7"/>
      <c r="Q87" s="7"/>
      <c r="R87" s="533"/>
      <c r="S87" s="533"/>
      <c r="T87" s="533"/>
      <c r="U87" s="533"/>
      <c r="V87" s="533"/>
      <c r="W87" s="7"/>
      <c r="X87" s="7"/>
      <c r="Y87" s="7"/>
      <c r="Z87" s="7"/>
      <c r="AA87" s="533"/>
      <c r="AB87" s="7"/>
      <c r="AC87" s="13"/>
      <c r="AD87" s="7"/>
      <c r="AE87" s="7"/>
      <c r="AF87" s="533"/>
      <c r="AG87" s="533"/>
      <c r="AH87" s="533"/>
      <c r="AI87" s="533"/>
      <c r="AJ87" s="13"/>
      <c r="AK87" s="7"/>
      <c r="AL87" s="7"/>
      <c r="AM87" s="7"/>
      <c r="AN87" s="7"/>
      <c r="AO87" s="533"/>
      <c r="AP87" s="7"/>
      <c r="AQ87" s="13"/>
      <c r="AR87" s="7"/>
      <c r="AS87" s="7"/>
      <c r="AT87" s="533"/>
      <c r="AU87" s="533"/>
      <c r="AV87" s="533"/>
      <c r="AW87" s="533"/>
      <c r="AX87" s="13"/>
      <c r="AY87" s="7"/>
      <c r="AZ87" s="7"/>
      <c r="BA87" s="7"/>
      <c r="BB87" s="7"/>
      <c r="BC87" s="533"/>
      <c r="BD87" s="7"/>
      <c r="BE87" s="13"/>
      <c r="BF87" s="7"/>
      <c r="BG87" s="7"/>
      <c r="BH87" s="533"/>
      <c r="BI87" s="533"/>
      <c r="BJ87" s="533"/>
      <c r="BK87" s="533"/>
    </row>
    <row r="88" spans="1:63" hidden="1" outlineLevel="1">
      <c r="A88" s="17"/>
      <c r="B88" s="7"/>
      <c r="C88" s="7"/>
      <c r="D88" s="7"/>
      <c r="E88" s="7"/>
      <c r="F88" s="7"/>
      <c r="G88" s="7"/>
      <c r="H88" s="532"/>
      <c r="I88" s="7"/>
      <c r="J88" s="7"/>
      <c r="K88" s="7"/>
      <c r="L88" s="13"/>
      <c r="M88" s="13"/>
      <c r="N88" s="7"/>
      <c r="O88" s="7"/>
      <c r="P88" s="7"/>
      <c r="Q88" s="7"/>
      <c r="R88" s="533"/>
      <c r="S88" s="533"/>
      <c r="T88" s="533"/>
      <c r="U88" s="533"/>
      <c r="V88" s="533"/>
      <c r="W88" s="7"/>
      <c r="X88" s="7"/>
      <c r="Y88" s="7"/>
      <c r="Z88" s="13"/>
      <c r="AA88" s="533"/>
      <c r="AB88" s="7"/>
      <c r="AC88" s="13"/>
      <c r="AD88" s="7"/>
      <c r="AE88" s="7"/>
      <c r="AF88" s="533"/>
      <c r="AG88" s="533"/>
      <c r="AH88" s="533"/>
      <c r="AI88" s="533"/>
      <c r="AJ88" s="13"/>
      <c r="AK88" s="7"/>
      <c r="AL88" s="7"/>
      <c r="AM88" s="7"/>
      <c r="AN88" s="13"/>
      <c r="AO88" s="533"/>
      <c r="AP88" s="7"/>
      <c r="AQ88" s="13"/>
      <c r="AR88" s="7"/>
      <c r="AS88" s="7"/>
      <c r="AT88" s="533"/>
      <c r="AU88" s="533"/>
      <c r="AV88" s="533"/>
      <c r="AW88" s="533"/>
      <c r="AX88" s="13"/>
      <c r="AY88" s="7"/>
      <c r="AZ88" s="7"/>
      <c r="BA88" s="7"/>
      <c r="BB88" s="13"/>
      <c r="BC88" s="533"/>
      <c r="BD88" s="7"/>
      <c r="BE88" s="13"/>
      <c r="BF88" s="7"/>
      <c r="BG88" s="7"/>
      <c r="BH88" s="533"/>
      <c r="BI88" s="533"/>
      <c r="BJ88" s="533"/>
      <c r="BK88" s="533"/>
    </row>
    <row r="89" spans="1:63" hidden="1" outlineLevel="1">
      <c r="A89" s="13" t="s">
        <v>144</v>
      </c>
      <c r="B89" s="83">
        <v>-25039</v>
      </c>
      <c r="C89" s="83">
        <v>-57608</v>
      </c>
      <c r="D89" s="83">
        <v>-58594</v>
      </c>
      <c r="E89" s="83">
        <v>-201</v>
      </c>
      <c r="F89" s="83">
        <v>-2111149</v>
      </c>
      <c r="G89" s="522">
        <v>-2240925</v>
      </c>
      <c r="H89" s="532"/>
      <c r="I89" s="522">
        <v>0</v>
      </c>
      <c r="J89" s="522">
        <v>-82204.894067999994</v>
      </c>
      <c r="K89" s="522">
        <v>-237812.41525199998</v>
      </c>
      <c r="L89" s="522">
        <v>0</v>
      </c>
      <c r="M89" s="522">
        <v>-2788763.6690999996</v>
      </c>
      <c r="N89" s="522">
        <v>-3108780.9782999996</v>
      </c>
      <c r="O89" s="83"/>
      <c r="P89" s="89">
        <f t="shared" ref="P89:P97" si="173">IFERROR((I89-B89)/B89,0)</f>
        <v>-1</v>
      </c>
      <c r="Q89" s="89">
        <f t="shared" ref="Q89:Q97" si="174">IFERROR((J89-C89)/C89,0)</f>
        <v>0.42697010949868064</v>
      </c>
      <c r="R89" s="89">
        <f t="shared" ref="R89:R97" si="175">IFERROR((K89-D89)/D89,0)</f>
        <v>3.0586479034030782</v>
      </c>
      <c r="S89" s="89">
        <f t="shared" ref="S89:S97" si="176">IFERROR((L89-E89)/E89,0)</f>
        <v>-1</v>
      </c>
      <c r="T89" s="89">
        <f t="shared" ref="T89:T97" si="177">IFERROR((M89-F89)/F89,0)</f>
        <v>0.32096960901385907</v>
      </c>
      <c r="U89" s="89">
        <f t="shared" ref="U89:U97" si="178">IFERROR((N89-G89)/G89,0)</f>
        <v>0.38727578044780597</v>
      </c>
      <c r="V89" s="533"/>
      <c r="W89" s="83">
        <v>0</v>
      </c>
      <c r="X89" s="83">
        <v>-156792.39406799997</v>
      </c>
      <c r="Y89" s="83">
        <v>-243662.41525199998</v>
      </c>
      <c r="Z89" s="83">
        <v>0</v>
      </c>
      <c r="AA89" s="83">
        <v>-2765812.4616</v>
      </c>
      <c r="AB89" s="83">
        <v>-3166267.2707999996</v>
      </c>
      <c r="AC89" s="13"/>
      <c r="AD89" s="89">
        <f t="shared" ref="AD89:AD97" si="179">IFERROR((W89-I89)/I89,0)</f>
        <v>0</v>
      </c>
      <c r="AE89" s="89">
        <f t="shared" ref="AE89:AE97" si="180">IFERROR((X89-J89)/J89,0)</f>
        <v>0.90733648945890122</v>
      </c>
      <c r="AF89" s="89">
        <f t="shared" ref="AF89:AF97" si="181">IFERROR((Y89-K89)/K89,0)</f>
        <v>2.4599220330027753E-2</v>
      </c>
      <c r="AG89" s="89">
        <f t="shared" ref="AG89:AG97" si="182">IFERROR((Z89-L89)/L89,0)</f>
        <v>0</v>
      </c>
      <c r="AH89" s="89">
        <f t="shared" ref="AH89:AH97" si="183">IFERROR((AA89-M89)/M89,0)</f>
        <v>-8.2298861514523581E-3</v>
      </c>
      <c r="AI89" s="89">
        <f t="shared" ref="AI89:AI97" si="184">IFERROR((AB89-N89)/N89,0)</f>
        <v>1.8491586541884878E-2</v>
      </c>
      <c r="AJ89" s="13"/>
      <c r="AK89" s="522">
        <v>0</v>
      </c>
      <c r="AL89" s="522">
        <v>-82204.894067999994</v>
      </c>
      <c r="AM89" s="522">
        <v>-237812.41525199998</v>
      </c>
      <c r="AN89" s="522"/>
      <c r="AO89" s="522">
        <v>-2788763.6690999996</v>
      </c>
      <c r="AP89" s="522">
        <v>-3108780.9782999996</v>
      </c>
      <c r="AQ89" s="13"/>
      <c r="AR89" s="89">
        <f t="shared" ref="AR89:AR97" si="185">IFERROR((AK89-B89)/B89,0)</f>
        <v>-1</v>
      </c>
      <c r="AS89" s="89">
        <f t="shared" ref="AS89:AS97" si="186">IFERROR((AL89-C89)/C89,0)</f>
        <v>0.42697010949868064</v>
      </c>
      <c r="AT89" s="89">
        <f t="shared" ref="AT89:AT97" si="187">IFERROR((AM89-D89)/D89,0)</f>
        <v>3.0586479034030782</v>
      </c>
      <c r="AU89" s="89">
        <f t="shared" ref="AU89:AU97" si="188">IFERROR((AN89-E89)/E89,0)</f>
        <v>-1</v>
      </c>
      <c r="AV89" s="89">
        <f t="shared" ref="AV89:AV97" si="189">IFERROR((AO89-F89)/F89,0)</f>
        <v>0.32096960901385907</v>
      </c>
      <c r="AW89" s="89">
        <f t="shared" ref="AW89:AW97" si="190">IFERROR((AP89-G89)/G89,0)</f>
        <v>0.38727578044780597</v>
      </c>
      <c r="AX89" s="13"/>
      <c r="AY89" s="522">
        <v>0</v>
      </c>
      <c r="AZ89" s="522">
        <v>-156792.39406799997</v>
      </c>
      <c r="BA89" s="522">
        <v>-243662.41525199998</v>
      </c>
      <c r="BB89" s="522"/>
      <c r="BC89" s="522">
        <v>-2765812.4616</v>
      </c>
      <c r="BD89" s="522">
        <v>-3166267.2707999996</v>
      </c>
      <c r="BE89" s="13"/>
      <c r="BF89" s="89">
        <f t="shared" ref="BF89:BF97" si="191">IFERROR((AY89-I89)/I89,0)</f>
        <v>0</v>
      </c>
      <c r="BG89" s="89">
        <f t="shared" ref="BG89:BG97" si="192">IFERROR((AZ89-J89)/J89,0)</f>
        <v>0.90733648945890122</v>
      </c>
      <c r="BH89" s="89">
        <f t="shared" ref="BH89:BH97" si="193">IFERROR((BA89-K89)/K89,0)</f>
        <v>2.4599220330027753E-2</v>
      </c>
      <c r="BI89" s="89">
        <f t="shared" ref="BI89:BI97" si="194">IFERROR((BB89-L89)/L89,0)</f>
        <v>0</v>
      </c>
      <c r="BJ89" s="89">
        <f t="shared" ref="BJ89:BJ97" si="195">IFERROR((BC89-M89)/M89,0)</f>
        <v>-8.2298861514523581E-3</v>
      </c>
      <c r="BK89" s="89">
        <f t="shared" ref="BK89:BK97" si="196">IFERROR((BD89-N89)/N89,0)</f>
        <v>1.8491586541884878E-2</v>
      </c>
    </row>
    <row r="90" spans="1:63" hidden="1" outlineLevel="1">
      <c r="A90" s="13" t="s">
        <v>145</v>
      </c>
      <c r="B90" s="83">
        <v>-7275</v>
      </c>
      <c r="C90" s="83" t="s">
        <v>164</v>
      </c>
      <c r="D90" s="83">
        <v>-100866</v>
      </c>
      <c r="E90" s="83" t="s">
        <v>164</v>
      </c>
      <c r="F90" s="83">
        <v>-495610</v>
      </c>
      <c r="G90" s="522">
        <v>-603748</v>
      </c>
      <c r="H90" s="532"/>
      <c r="I90" s="522">
        <v>-9000</v>
      </c>
      <c r="J90" s="522">
        <v>0</v>
      </c>
      <c r="K90" s="522">
        <v>-214056.69492000001</v>
      </c>
      <c r="L90" s="522">
        <v>0</v>
      </c>
      <c r="M90" s="522">
        <v>-186421.94855000003</v>
      </c>
      <c r="N90" s="522">
        <v>-409478.64347000007</v>
      </c>
      <c r="O90" s="83"/>
      <c r="P90" s="89">
        <f t="shared" si="173"/>
        <v>0.23711340206185566</v>
      </c>
      <c r="Q90" s="89">
        <f t="shared" si="174"/>
        <v>0</v>
      </c>
      <c r="R90" s="89">
        <f t="shared" si="175"/>
        <v>1.1221887942418656</v>
      </c>
      <c r="S90" s="89">
        <f t="shared" si="176"/>
        <v>0</v>
      </c>
      <c r="T90" s="89">
        <f t="shared" si="177"/>
        <v>-0.62385353695446011</v>
      </c>
      <c r="U90" s="89">
        <f t="shared" si="178"/>
        <v>-0.32177225685219651</v>
      </c>
      <c r="V90" s="533"/>
      <c r="W90" s="83">
        <v>-9000</v>
      </c>
      <c r="X90" s="83">
        <v>0</v>
      </c>
      <c r="Y90" s="83">
        <v>-214056.69492000001</v>
      </c>
      <c r="Z90" s="83">
        <v>0</v>
      </c>
      <c r="AA90" s="83">
        <v>-175489.74516000002</v>
      </c>
      <c r="AB90" s="83">
        <v>-398546.44008000003</v>
      </c>
      <c r="AC90" s="13"/>
      <c r="AD90" s="89">
        <f t="shared" si="179"/>
        <v>0</v>
      </c>
      <c r="AE90" s="89">
        <f t="shared" si="180"/>
        <v>0</v>
      </c>
      <c r="AF90" s="89">
        <f t="shared" si="181"/>
        <v>0</v>
      </c>
      <c r="AG90" s="89">
        <f t="shared" si="182"/>
        <v>0</v>
      </c>
      <c r="AH90" s="89">
        <f t="shared" si="183"/>
        <v>-5.8642254707834983E-2</v>
      </c>
      <c r="AI90" s="89">
        <f t="shared" si="184"/>
        <v>-2.6697859740274762E-2</v>
      </c>
      <c r="AJ90" s="13"/>
      <c r="AK90" s="522">
        <v>-9000</v>
      </c>
      <c r="AL90" s="522">
        <v>0</v>
      </c>
      <c r="AM90" s="522">
        <v>-214056.69492000001</v>
      </c>
      <c r="AN90" s="522"/>
      <c r="AO90" s="522">
        <v>-186421.94855000003</v>
      </c>
      <c r="AP90" s="522">
        <v>-409478.64347000007</v>
      </c>
      <c r="AQ90" s="13"/>
      <c r="AR90" s="89">
        <f t="shared" si="185"/>
        <v>0.23711340206185566</v>
      </c>
      <c r="AS90" s="89">
        <f t="shared" si="186"/>
        <v>0</v>
      </c>
      <c r="AT90" s="89">
        <f t="shared" si="187"/>
        <v>1.1221887942418656</v>
      </c>
      <c r="AU90" s="89">
        <f t="shared" si="188"/>
        <v>0</v>
      </c>
      <c r="AV90" s="89">
        <f t="shared" si="189"/>
        <v>-0.62385353695446011</v>
      </c>
      <c r="AW90" s="89">
        <f t="shared" si="190"/>
        <v>-0.32177225685219651</v>
      </c>
      <c r="AX90" s="13"/>
      <c r="AY90" s="522">
        <v>-9000</v>
      </c>
      <c r="AZ90" s="522">
        <v>0</v>
      </c>
      <c r="BA90" s="522">
        <v>-214056.69492000001</v>
      </c>
      <c r="BB90" s="522"/>
      <c r="BC90" s="522">
        <v>-175489.74516000002</v>
      </c>
      <c r="BD90" s="522">
        <v>-398546.44008000003</v>
      </c>
      <c r="BE90" s="13"/>
      <c r="BF90" s="89">
        <f t="shared" si="191"/>
        <v>0</v>
      </c>
      <c r="BG90" s="89">
        <f t="shared" si="192"/>
        <v>0</v>
      </c>
      <c r="BH90" s="89">
        <f t="shared" si="193"/>
        <v>0</v>
      </c>
      <c r="BI90" s="89">
        <f t="shared" si="194"/>
        <v>0</v>
      </c>
      <c r="BJ90" s="89">
        <f t="shared" si="195"/>
        <v>-5.8642254707834983E-2</v>
      </c>
      <c r="BK90" s="89">
        <f t="shared" si="196"/>
        <v>-2.6697859740274762E-2</v>
      </c>
    </row>
    <row r="91" spans="1:63" hidden="1" outlineLevel="1">
      <c r="A91" s="13" t="s">
        <v>146</v>
      </c>
      <c r="B91" s="83"/>
      <c r="C91" s="83"/>
      <c r="D91" s="83"/>
      <c r="E91" s="83"/>
      <c r="F91" s="83"/>
      <c r="G91" s="522"/>
      <c r="H91" s="532"/>
      <c r="I91" s="522">
        <v>0</v>
      </c>
      <c r="J91" s="522"/>
      <c r="K91" s="522"/>
      <c r="L91" s="522"/>
      <c r="M91" s="522"/>
      <c r="N91" s="522">
        <v>0</v>
      </c>
      <c r="O91" s="83"/>
      <c r="P91" s="89">
        <f t="shared" si="173"/>
        <v>0</v>
      </c>
      <c r="Q91" s="89">
        <f t="shared" si="174"/>
        <v>0</v>
      </c>
      <c r="R91" s="89">
        <f t="shared" si="175"/>
        <v>0</v>
      </c>
      <c r="S91" s="89">
        <f t="shared" si="176"/>
        <v>0</v>
      </c>
      <c r="T91" s="89">
        <f t="shared" si="177"/>
        <v>0</v>
      </c>
      <c r="U91" s="89">
        <f t="shared" si="178"/>
        <v>0</v>
      </c>
      <c r="V91" s="533"/>
      <c r="W91" s="83">
        <v>0</v>
      </c>
      <c r="X91" s="83">
        <v>0</v>
      </c>
      <c r="Y91" s="83">
        <v>0</v>
      </c>
      <c r="Z91" s="83">
        <v>0</v>
      </c>
      <c r="AA91" s="83">
        <v>0</v>
      </c>
      <c r="AB91" s="83">
        <v>-553036.56926591403</v>
      </c>
      <c r="AC91" s="13"/>
      <c r="AD91" s="89">
        <f t="shared" si="179"/>
        <v>0</v>
      </c>
      <c r="AE91" s="89">
        <f t="shared" si="180"/>
        <v>0</v>
      </c>
      <c r="AF91" s="89">
        <f t="shared" si="181"/>
        <v>0</v>
      </c>
      <c r="AG91" s="89">
        <f t="shared" si="182"/>
        <v>0</v>
      </c>
      <c r="AH91" s="89">
        <f t="shared" si="183"/>
        <v>0</v>
      </c>
      <c r="AI91" s="89">
        <f t="shared" si="184"/>
        <v>0</v>
      </c>
      <c r="AJ91" s="13"/>
      <c r="AK91" s="522">
        <v>0</v>
      </c>
      <c r="AL91" s="522"/>
      <c r="AM91" s="522"/>
      <c r="AN91" s="522"/>
      <c r="AO91" s="522"/>
      <c r="AP91" s="522">
        <v>0</v>
      </c>
      <c r="AQ91" s="13"/>
      <c r="AR91" s="89">
        <f t="shared" si="185"/>
        <v>0</v>
      </c>
      <c r="AS91" s="89">
        <f t="shared" si="186"/>
        <v>0</v>
      </c>
      <c r="AT91" s="89">
        <f t="shared" si="187"/>
        <v>0</v>
      </c>
      <c r="AU91" s="89">
        <f t="shared" si="188"/>
        <v>0</v>
      </c>
      <c r="AV91" s="89">
        <f t="shared" si="189"/>
        <v>0</v>
      </c>
      <c r="AW91" s="89">
        <f t="shared" si="190"/>
        <v>0</v>
      </c>
      <c r="AX91" s="13"/>
      <c r="AY91" s="522">
        <v>0</v>
      </c>
      <c r="AZ91" s="522">
        <v>0</v>
      </c>
      <c r="BA91" s="522">
        <v>0</v>
      </c>
      <c r="BB91" s="522"/>
      <c r="BC91" s="522"/>
      <c r="BD91" s="522">
        <v>-1168052.7062413744</v>
      </c>
      <c r="BE91" s="13"/>
      <c r="BF91" s="89">
        <f t="shared" si="191"/>
        <v>0</v>
      </c>
      <c r="BG91" s="89">
        <f t="shared" si="192"/>
        <v>0</v>
      </c>
      <c r="BH91" s="89">
        <f t="shared" si="193"/>
        <v>0</v>
      </c>
      <c r="BI91" s="89">
        <f t="shared" si="194"/>
        <v>0</v>
      </c>
      <c r="BJ91" s="89">
        <f t="shared" si="195"/>
        <v>0</v>
      </c>
      <c r="BK91" s="89">
        <f t="shared" si="196"/>
        <v>0</v>
      </c>
    </row>
    <row r="92" spans="1:63" hidden="1" outlineLevel="1">
      <c r="A92" s="13" t="s">
        <v>147</v>
      </c>
      <c r="B92" s="83"/>
      <c r="C92" s="83"/>
      <c r="D92" s="83"/>
      <c r="E92" s="83"/>
      <c r="F92" s="83"/>
      <c r="G92" s="522"/>
      <c r="H92" s="532"/>
      <c r="I92" s="522">
        <v>0</v>
      </c>
      <c r="J92" s="522"/>
      <c r="K92" s="522"/>
      <c r="L92" s="522"/>
      <c r="M92" s="522"/>
      <c r="N92" s="522">
        <v>0</v>
      </c>
      <c r="O92" s="83"/>
      <c r="P92" s="89">
        <f t="shared" si="173"/>
        <v>0</v>
      </c>
      <c r="Q92" s="89">
        <f t="shared" si="174"/>
        <v>0</v>
      </c>
      <c r="R92" s="89">
        <f t="shared" si="175"/>
        <v>0</v>
      </c>
      <c r="S92" s="89">
        <f t="shared" si="176"/>
        <v>0</v>
      </c>
      <c r="T92" s="89">
        <f t="shared" si="177"/>
        <v>0</v>
      </c>
      <c r="U92" s="89">
        <f t="shared" si="178"/>
        <v>0</v>
      </c>
      <c r="V92" s="533"/>
      <c r="W92" s="83">
        <v>0</v>
      </c>
      <c r="X92" s="83">
        <v>0</v>
      </c>
      <c r="Y92" s="83">
        <v>0</v>
      </c>
      <c r="Z92" s="83">
        <v>0</v>
      </c>
      <c r="AA92" s="83">
        <v>0</v>
      </c>
      <c r="AB92" s="83">
        <v>0</v>
      </c>
      <c r="AC92" s="13"/>
      <c r="AD92" s="89">
        <f t="shared" si="179"/>
        <v>0</v>
      </c>
      <c r="AE92" s="89">
        <f t="shared" si="180"/>
        <v>0</v>
      </c>
      <c r="AF92" s="89">
        <f t="shared" si="181"/>
        <v>0</v>
      </c>
      <c r="AG92" s="89">
        <f t="shared" si="182"/>
        <v>0</v>
      </c>
      <c r="AH92" s="89">
        <f t="shared" si="183"/>
        <v>0</v>
      </c>
      <c r="AI92" s="89">
        <f t="shared" si="184"/>
        <v>0</v>
      </c>
      <c r="AJ92" s="13"/>
      <c r="AK92" s="522">
        <v>0</v>
      </c>
      <c r="AL92" s="522"/>
      <c r="AM92" s="522"/>
      <c r="AN92" s="522"/>
      <c r="AO92" s="522"/>
      <c r="AP92" s="522">
        <v>0</v>
      </c>
      <c r="AQ92" s="13"/>
      <c r="AR92" s="89">
        <f t="shared" si="185"/>
        <v>0</v>
      </c>
      <c r="AS92" s="89">
        <f t="shared" si="186"/>
        <v>0</v>
      </c>
      <c r="AT92" s="89">
        <f t="shared" si="187"/>
        <v>0</v>
      </c>
      <c r="AU92" s="89">
        <f t="shared" si="188"/>
        <v>0</v>
      </c>
      <c r="AV92" s="89">
        <f t="shared" si="189"/>
        <v>0</v>
      </c>
      <c r="AW92" s="89">
        <f t="shared" si="190"/>
        <v>0</v>
      </c>
      <c r="AX92" s="13"/>
      <c r="AY92" s="522">
        <v>0</v>
      </c>
      <c r="AZ92" s="522">
        <v>0</v>
      </c>
      <c r="BA92" s="522">
        <v>0</v>
      </c>
      <c r="BB92" s="522"/>
      <c r="BC92" s="522"/>
      <c r="BD92" s="522">
        <v>0</v>
      </c>
      <c r="BE92" s="13"/>
      <c r="BF92" s="89">
        <f t="shared" si="191"/>
        <v>0</v>
      </c>
      <c r="BG92" s="89">
        <f t="shared" si="192"/>
        <v>0</v>
      </c>
      <c r="BH92" s="89">
        <f t="shared" si="193"/>
        <v>0</v>
      </c>
      <c r="BI92" s="89">
        <f t="shared" si="194"/>
        <v>0</v>
      </c>
      <c r="BJ92" s="89">
        <f t="shared" si="195"/>
        <v>0</v>
      </c>
      <c r="BK92" s="89">
        <f t="shared" si="196"/>
        <v>0</v>
      </c>
    </row>
    <row r="93" spans="1:63" hidden="1" outlineLevel="1">
      <c r="A93" s="13" t="s">
        <v>148</v>
      </c>
      <c r="B93" s="83"/>
      <c r="C93" s="83"/>
      <c r="D93" s="83"/>
      <c r="E93" s="83"/>
      <c r="F93" s="83"/>
      <c r="G93" s="522"/>
      <c r="H93" s="532"/>
      <c r="I93" s="522">
        <v>0</v>
      </c>
      <c r="J93" s="522"/>
      <c r="K93" s="522"/>
      <c r="L93" s="522"/>
      <c r="M93" s="522"/>
      <c r="N93" s="522">
        <v>0</v>
      </c>
      <c r="O93" s="83"/>
      <c r="P93" s="89">
        <f t="shared" si="173"/>
        <v>0</v>
      </c>
      <c r="Q93" s="89">
        <f t="shared" si="174"/>
        <v>0</v>
      </c>
      <c r="R93" s="89">
        <f t="shared" si="175"/>
        <v>0</v>
      </c>
      <c r="S93" s="89">
        <f t="shared" si="176"/>
        <v>0</v>
      </c>
      <c r="T93" s="89">
        <f t="shared" si="177"/>
        <v>0</v>
      </c>
      <c r="U93" s="89">
        <f t="shared" si="178"/>
        <v>0</v>
      </c>
      <c r="V93" s="533"/>
      <c r="W93" s="83">
        <v>0</v>
      </c>
      <c r="X93" s="83">
        <v>0</v>
      </c>
      <c r="Y93" s="83">
        <v>0</v>
      </c>
      <c r="Z93" s="83">
        <v>0</v>
      </c>
      <c r="AA93" s="83">
        <v>0</v>
      </c>
      <c r="AB93" s="83">
        <v>0</v>
      </c>
      <c r="AC93" s="13"/>
      <c r="AD93" s="89">
        <f t="shared" si="179"/>
        <v>0</v>
      </c>
      <c r="AE93" s="89">
        <f t="shared" si="180"/>
        <v>0</v>
      </c>
      <c r="AF93" s="89">
        <f t="shared" si="181"/>
        <v>0</v>
      </c>
      <c r="AG93" s="89">
        <f t="shared" si="182"/>
        <v>0</v>
      </c>
      <c r="AH93" s="89">
        <f t="shared" si="183"/>
        <v>0</v>
      </c>
      <c r="AI93" s="89">
        <f t="shared" si="184"/>
        <v>0</v>
      </c>
      <c r="AJ93" s="13"/>
      <c r="AK93" s="522">
        <v>0</v>
      </c>
      <c r="AL93" s="522"/>
      <c r="AM93" s="522"/>
      <c r="AN93" s="522"/>
      <c r="AO93" s="522"/>
      <c r="AP93" s="522">
        <v>0</v>
      </c>
      <c r="AQ93" s="13"/>
      <c r="AR93" s="89">
        <f t="shared" si="185"/>
        <v>0</v>
      </c>
      <c r="AS93" s="89">
        <f t="shared" si="186"/>
        <v>0</v>
      </c>
      <c r="AT93" s="89">
        <f t="shared" si="187"/>
        <v>0</v>
      </c>
      <c r="AU93" s="89">
        <f t="shared" si="188"/>
        <v>0</v>
      </c>
      <c r="AV93" s="89">
        <f t="shared" si="189"/>
        <v>0</v>
      </c>
      <c r="AW93" s="89">
        <f t="shared" si="190"/>
        <v>0</v>
      </c>
      <c r="AX93" s="13"/>
      <c r="AY93" s="522">
        <v>0</v>
      </c>
      <c r="AZ93" s="522">
        <v>0</v>
      </c>
      <c r="BA93" s="522">
        <v>0</v>
      </c>
      <c r="BB93" s="522"/>
      <c r="BC93" s="522"/>
      <c r="BD93" s="522">
        <v>0</v>
      </c>
      <c r="BE93" s="13"/>
      <c r="BF93" s="89">
        <f t="shared" si="191"/>
        <v>0</v>
      </c>
      <c r="BG93" s="89">
        <f t="shared" si="192"/>
        <v>0</v>
      </c>
      <c r="BH93" s="89">
        <f t="shared" si="193"/>
        <v>0</v>
      </c>
      <c r="BI93" s="89">
        <f t="shared" si="194"/>
        <v>0</v>
      </c>
      <c r="BJ93" s="89">
        <f t="shared" si="195"/>
        <v>0</v>
      </c>
      <c r="BK93" s="89">
        <f t="shared" si="196"/>
        <v>0</v>
      </c>
    </row>
    <row r="94" spans="1:63" hidden="1" outlineLevel="1">
      <c r="A94" s="13" t="s">
        <v>149</v>
      </c>
      <c r="B94" s="83"/>
      <c r="C94" s="83"/>
      <c r="D94" s="83"/>
      <c r="E94" s="83"/>
      <c r="F94" s="83"/>
      <c r="G94" s="522"/>
      <c r="H94" s="532"/>
      <c r="I94" s="522">
        <v>0</v>
      </c>
      <c r="J94" s="522"/>
      <c r="K94" s="522"/>
      <c r="L94" s="522"/>
      <c r="M94" s="522"/>
      <c r="N94" s="522">
        <v>0</v>
      </c>
      <c r="O94" s="83"/>
      <c r="P94" s="89">
        <f t="shared" si="173"/>
        <v>0</v>
      </c>
      <c r="Q94" s="89">
        <f t="shared" si="174"/>
        <v>0</v>
      </c>
      <c r="R94" s="89">
        <f t="shared" si="175"/>
        <v>0</v>
      </c>
      <c r="S94" s="89">
        <f t="shared" si="176"/>
        <v>0</v>
      </c>
      <c r="T94" s="89">
        <f t="shared" si="177"/>
        <v>0</v>
      </c>
      <c r="U94" s="89">
        <f t="shared" si="178"/>
        <v>0</v>
      </c>
      <c r="V94" s="533"/>
      <c r="W94" s="83">
        <v>0</v>
      </c>
      <c r="X94" s="83">
        <v>0</v>
      </c>
      <c r="Y94" s="83">
        <v>0</v>
      </c>
      <c r="Z94" s="83">
        <v>0</v>
      </c>
      <c r="AA94" s="83">
        <v>0</v>
      </c>
      <c r="AB94" s="83">
        <v>0</v>
      </c>
      <c r="AC94" s="13"/>
      <c r="AD94" s="89">
        <f t="shared" si="179"/>
        <v>0</v>
      </c>
      <c r="AE94" s="89">
        <f t="shared" si="180"/>
        <v>0</v>
      </c>
      <c r="AF94" s="89">
        <f t="shared" si="181"/>
        <v>0</v>
      </c>
      <c r="AG94" s="89">
        <f t="shared" si="182"/>
        <v>0</v>
      </c>
      <c r="AH94" s="89">
        <f t="shared" si="183"/>
        <v>0</v>
      </c>
      <c r="AI94" s="89">
        <f t="shared" si="184"/>
        <v>0</v>
      </c>
      <c r="AJ94" s="13"/>
      <c r="AK94" s="522">
        <v>0</v>
      </c>
      <c r="AL94" s="522"/>
      <c r="AM94" s="522"/>
      <c r="AN94" s="522"/>
      <c r="AO94" s="522"/>
      <c r="AP94" s="522">
        <v>0</v>
      </c>
      <c r="AQ94" s="13"/>
      <c r="AR94" s="89">
        <f t="shared" si="185"/>
        <v>0</v>
      </c>
      <c r="AS94" s="89">
        <f t="shared" si="186"/>
        <v>0</v>
      </c>
      <c r="AT94" s="89">
        <f t="shared" si="187"/>
        <v>0</v>
      </c>
      <c r="AU94" s="89">
        <f t="shared" si="188"/>
        <v>0</v>
      </c>
      <c r="AV94" s="89">
        <f t="shared" si="189"/>
        <v>0</v>
      </c>
      <c r="AW94" s="89">
        <f t="shared" si="190"/>
        <v>0</v>
      </c>
      <c r="AX94" s="13"/>
      <c r="AY94" s="522">
        <v>0</v>
      </c>
      <c r="AZ94" s="522">
        <v>0</v>
      </c>
      <c r="BA94" s="522">
        <v>0</v>
      </c>
      <c r="BB94" s="522"/>
      <c r="BC94" s="522"/>
      <c r="BD94" s="522">
        <v>0</v>
      </c>
      <c r="BE94" s="13"/>
      <c r="BF94" s="89">
        <f t="shared" si="191"/>
        <v>0</v>
      </c>
      <c r="BG94" s="89">
        <f t="shared" si="192"/>
        <v>0</v>
      </c>
      <c r="BH94" s="89">
        <f t="shared" si="193"/>
        <v>0</v>
      </c>
      <c r="BI94" s="89">
        <f t="shared" si="194"/>
        <v>0</v>
      </c>
      <c r="BJ94" s="89">
        <f t="shared" si="195"/>
        <v>0</v>
      </c>
      <c r="BK94" s="89">
        <f t="shared" si="196"/>
        <v>0</v>
      </c>
    </row>
    <row r="95" spans="1:63" hidden="1" outlineLevel="1">
      <c r="A95" s="13" t="s">
        <v>150</v>
      </c>
      <c r="B95" s="83"/>
      <c r="C95" s="83"/>
      <c r="D95" s="83"/>
      <c r="E95" s="83"/>
      <c r="F95" s="83"/>
      <c r="G95" s="522"/>
      <c r="H95" s="532"/>
      <c r="I95" s="522">
        <v>0</v>
      </c>
      <c r="J95" s="522"/>
      <c r="K95" s="522"/>
      <c r="L95" s="522"/>
      <c r="M95" s="522"/>
      <c r="N95" s="522">
        <v>0</v>
      </c>
      <c r="O95" s="83"/>
      <c r="P95" s="89">
        <f t="shared" si="173"/>
        <v>0</v>
      </c>
      <c r="Q95" s="89">
        <f t="shared" si="174"/>
        <v>0</v>
      </c>
      <c r="R95" s="89">
        <f t="shared" si="175"/>
        <v>0</v>
      </c>
      <c r="S95" s="89">
        <f t="shared" si="176"/>
        <v>0</v>
      </c>
      <c r="T95" s="89">
        <f t="shared" si="177"/>
        <v>0</v>
      </c>
      <c r="U95" s="89">
        <f t="shared" si="178"/>
        <v>0</v>
      </c>
      <c r="V95" s="533"/>
      <c r="W95" s="83">
        <v>0</v>
      </c>
      <c r="X95" s="83">
        <v>0</v>
      </c>
      <c r="Y95" s="83">
        <v>0</v>
      </c>
      <c r="Z95" s="83">
        <v>0</v>
      </c>
      <c r="AA95" s="83">
        <v>0</v>
      </c>
      <c r="AB95" s="83">
        <v>0</v>
      </c>
      <c r="AC95" s="13"/>
      <c r="AD95" s="89">
        <f t="shared" si="179"/>
        <v>0</v>
      </c>
      <c r="AE95" s="89">
        <f t="shared" si="180"/>
        <v>0</v>
      </c>
      <c r="AF95" s="89">
        <f t="shared" si="181"/>
        <v>0</v>
      </c>
      <c r="AG95" s="89">
        <f t="shared" si="182"/>
        <v>0</v>
      </c>
      <c r="AH95" s="89">
        <f t="shared" si="183"/>
        <v>0</v>
      </c>
      <c r="AI95" s="89">
        <f t="shared" si="184"/>
        <v>0</v>
      </c>
      <c r="AJ95" s="13"/>
      <c r="AK95" s="522">
        <v>0</v>
      </c>
      <c r="AL95" s="522"/>
      <c r="AM95" s="522"/>
      <c r="AN95" s="522"/>
      <c r="AO95" s="522"/>
      <c r="AP95" s="522">
        <v>0</v>
      </c>
      <c r="AQ95" s="13"/>
      <c r="AR95" s="89">
        <f t="shared" si="185"/>
        <v>0</v>
      </c>
      <c r="AS95" s="89">
        <f t="shared" si="186"/>
        <v>0</v>
      </c>
      <c r="AT95" s="89">
        <f t="shared" si="187"/>
        <v>0</v>
      </c>
      <c r="AU95" s="89">
        <f t="shared" si="188"/>
        <v>0</v>
      </c>
      <c r="AV95" s="89">
        <f t="shared" si="189"/>
        <v>0</v>
      </c>
      <c r="AW95" s="89">
        <f t="shared" si="190"/>
        <v>0</v>
      </c>
      <c r="AX95" s="13"/>
      <c r="AY95" s="522">
        <v>0</v>
      </c>
      <c r="AZ95" s="522">
        <v>0</v>
      </c>
      <c r="BA95" s="522">
        <v>0</v>
      </c>
      <c r="BB95" s="522"/>
      <c r="BC95" s="522"/>
      <c r="BD95" s="522">
        <v>0</v>
      </c>
      <c r="BE95" s="13"/>
      <c r="BF95" s="89">
        <f t="shared" si="191"/>
        <v>0</v>
      </c>
      <c r="BG95" s="89">
        <f t="shared" si="192"/>
        <v>0</v>
      </c>
      <c r="BH95" s="89">
        <f t="shared" si="193"/>
        <v>0</v>
      </c>
      <c r="BI95" s="89">
        <f t="shared" si="194"/>
        <v>0</v>
      </c>
      <c r="BJ95" s="89">
        <f t="shared" si="195"/>
        <v>0</v>
      </c>
      <c r="BK95" s="89">
        <f t="shared" si="196"/>
        <v>0</v>
      </c>
    </row>
    <row r="96" spans="1:63" hidden="1" outlineLevel="1">
      <c r="A96" s="13" t="s">
        <v>151</v>
      </c>
      <c r="B96" s="83"/>
      <c r="C96" s="83"/>
      <c r="D96" s="83"/>
      <c r="E96" s="83"/>
      <c r="F96" s="83"/>
      <c r="G96" s="522"/>
      <c r="H96" s="532"/>
      <c r="I96" s="522">
        <v>0</v>
      </c>
      <c r="J96" s="522"/>
      <c r="K96" s="522"/>
      <c r="L96" s="522"/>
      <c r="M96" s="522"/>
      <c r="N96" s="522">
        <v>0</v>
      </c>
      <c r="O96" s="83"/>
      <c r="P96" s="89">
        <f t="shared" si="173"/>
        <v>0</v>
      </c>
      <c r="Q96" s="89">
        <f t="shared" si="174"/>
        <v>0</v>
      </c>
      <c r="R96" s="89">
        <f t="shared" si="175"/>
        <v>0</v>
      </c>
      <c r="S96" s="89">
        <f t="shared" si="176"/>
        <v>0</v>
      </c>
      <c r="T96" s="89">
        <f t="shared" si="177"/>
        <v>0</v>
      </c>
      <c r="U96" s="89">
        <f t="shared" si="178"/>
        <v>0</v>
      </c>
      <c r="V96" s="533"/>
      <c r="W96" s="83">
        <v>0</v>
      </c>
      <c r="X96" s="83">
        <v>0</v>
      </c>
      <c r="Y96" s="83">
        <v>0</v>
      </c>
      <c r="Z96" s="83">
        <v>0</v>
      </c>
      <c r="AA96" s="83">
        <v>0</v>
      </c>
      <c r="AB96" s="83">
        <v>0</v>
      </c>
      <c r="AC96" s="13"/>
      <c r="AD96" s="89">
        <f t="shared" si="179"/>
        <v>0</v>
      </c>
      <c r="AE96" s="89">
        <f t="shared" si="180"/>
        <v>0</v>
      </c>
      <c r="AF96" s="89">
        <f t="shared" si="181"/>
        <v>0</v>
      </c>
      <c r="AG96" s="89">
        <f t="shared" si="182"/>
        <v>0</v>
      </c>
      <c r="AH96" s="89">
        <f t="shared" si="183"/>
        <v>0</v>
      </c>
      <c r="AI96" s="89">
        <f t="shared" si="184"/>
        <v>0</v>
      </c>
      <c r="AJ96" s="13"/>
      <c r="AK96" s="522">
        <v>0</v>
      </c>
      <c r="AL96" s="522"/>
      <c r="AM96" s="522"/>
      <c r="AN96" s="522"/>
      <c r="AO96" s="522"/>
      <c r="AP96" s="522">
        <v>0</v>
      </c>
      <c r="AQ96" s="13"/>
      <c r="AR96" s="89">
        <f t="shared" si="185"/>
        <v>0</v>
      </c>
      <c r="AS96" s="89">
        <f t="shared" si="186"/>
        <v>0</v>
      </c>
      <c r="AT96" s="89">
        <f t="shared" si="187"/>
        <v>0</v>
      </c>
      <c r="AU96" s="89">
        <f t="shared" si="188"/>
        <v>0</v>
      </c>
      <c r="AV96" s="89">
        <f t="shared" si="189"/>
        <v>0</v>
      </c>
      <c r="AW96" s="89">
        <f t="shared" si="190"/>
        <v>0</v>
      </c>
      <c r="AX96" s="13"/>
      <c r="AY96" s="522">
        <v>0</v>
      </c>
      <c r="AZ96" s="522">
        <v>0</v>
      </c>
      <c r="BA96" s="522">
        <v>0</v>
      </c>
      <c r="BB96" s="522"/>
      <c r="BC96" s="522"/>
      <c r="BD96" s="522">
        <v>0</v>
      </c>
      <c r="BE96" s="13"/>
      <c r="BF96" s="89">
        <f t="shared" si="191"/>
        <v>0</v>
      </c>
      <c r="BG96" s="89">
        <f t="shared" si="192"/>
        <v>0</v>
      </c>
      <c r="BH96" s="89">
        <f t="shared" si="193"/>
        <v>0</v>
      </c>
      <c r="BI96" s="89">
        <f t="shared" si="194"/>
        <v>0</v>
      </c>
      <c r="BJ96" s="89">
        <f t="shared" si="195"/>
        <v>0</v>
      </c>
      <c r="BK96" s="89">
        <f t="shared" si="196"/>
        <v>0</v>
      </c>
    </row>
    <row r="97" spans="1:63" hidden="1" outlineLevel="1">
      <c r="A97" s="13" t="s">
        <v>143</v>
      </c>
      <c r="B97" s="83">
        <v>-564152.27295054018</v>
      </c>
      <c r="C97" s="83">
        <v>-208902.43852766146</v>
      </c>
      <c r="D97" s="83">
        <v>-389264.84216346598</v>
      </c>
      <c r="E97" s="83">
        <v>-92161.84577768149</v>
      </c>
      <c r="F97" s="83">
        <v>0</v>
      </c>
      <c r="G97" s="522">
        <f>SUM(B97:E97)</f>
        <v>-1254481.3994193492</v>
      </c>
      <c r="H97" s="532"/>
      <c r="I97" s="522">
        <v>-659831.22040130175</v>
      </c>
      <c r="J97" s="522">
        <v>-149358.86780482266</v>
      </c>
      <c r="K97" s="522">
        <v>-422337.81167908094</v>
      </c>
      <c r="L97" s="522">
        <v>-92395.18011479477</v>
      </c>
      <c r="M97" s="522">
        <v>0</v>
      </c>
      <c r="N97" s="522">
        <v>-1323923.08</v>
      </c>
      <c r="O97" s="83"/>
      <c r="P97" s="89">
        <f t="shared" si="173"/>
        <v>0.16959773458034058</v>
      </c>
      <c r="Q97" s="89">
        <f t="shared" si="174"/>
        <v>-0.28503052019162739</v>
      </c>
      <c r="R97" s="89">
        <f t="shared" si="175"/>
        <v>8.4962642225280827E-2</v>
      </c>
      <c r="S97" s="89">
        <f t="shared" si="176"/>
        <v>2.5317888888222047E-3</v>
      </c>
      <c r="T97" s="89">
        <f t="shared" si="177"/>
        <v>0</v>
      </c>
      <c r="U97" s="89">
        <f t="shared" si="178"/>
        <v>5.5354890564971934E-2</v>
      </c>
      <c r="V97" s="533"/>
      <c r="W97" s="83">
        <v>-662720.79735338292</v>
      </c>
      <c r="X97" s="83">
        <v>-198522.94617742824</v>
      </c>
      <c r="Y97" s="83">
        <v>-440058.25203851756</v>
      </c>
      <c r="Z97" s="83">
        <v>-149564.54643067127</v>
      </c>
      <c r="AA97" s="83">
        <v>0</v>
      </c>
      <c r="AB97" s="83">
        <v>-1450866.5420000004</v>
      </c>
      <c r="AC97" s="13"/>
      <c r="AD97" s="89">
        <f t="shared" si="179"/>
        <v>4.3792667923833097E-3</v>
      </c>
      <c r="AE97" s="89">
        <f t="shared" si="180"/>
        <v>0.32916745483670651</v>
      </c>
      <c r="AF97" s="89">
        <f t="shared" si="181"/>
        <v>4.1957977404357368E-2</v>
      </c>
      <c r="AG97" s="89">
        <f t="shared" si="182"/>
        <v>0.61874836160119417</v>
      </c>
      <c r="AH97" s="89">
        <f t="shared" si="183"/>
        <v>0</v>
      </c>
      <c r="AI97" s="89">
        <f t="shared" si="184"/>
        <v>9.5884318294383306E-2</v>
      </c>
      <c r="AJ97" s="13"/>
      <c r="AK97" s="522">
        <v>-659831.22040130175</v>
      </c>
      <c r="AL97" s="522">
        <v>-149358.86780482266</v>
      </c>
      <c r="AM97" s="522">
        <v>-422337.81167908094</v>
      </c>
      <c r="AN97" s="522">
        <v>-92395.18011479477</v>
      </c>
      <c r="AO97" s="522"/>
      <c r="AP97" s="522">
        <v>-1323923.08</v>
      </c>
      <c r="AQ97" s="13"/>
      <c r="AR97" s="89">
        <f t="shared" si="185"/>
        <v>0.16959773458034058</v>
      </c>
      <c r="AS97" s="89">
        <f t="shared" si="186"/>
        <v>-0.28503052019162739</v>
      </c>
      <c r="AT97" s="89">
        <f t="shared" si="187"/>
        <v>8.4962642225280827E-2</v>
      </c>
      <c r="AU97" s="89">
        <f t="shared" si="188"/>
        <v>2.5317888888222047E-3</v>
      </c>
      <c r="AV97" s="89">
        <f t="shared" si="189"/>
        <v>0</v>
      </c>
      <c r="AW97" s="89">
        <f t="shared" si="190"/>
        <v>5.5354890564971934E-2</v>
      </c>
      <c r="AX97" s="13"/>
      <c r="AY97" s="522">
        <v>-627599.75735685718</v>
      </c>
      <c r="AZ97" s="522">
        <v>-186755.05026095337</v>
      </c>
      <c r="BA97" s="522">
        <v>-412993.13549996325</v>
      </c>
      <c r="BB97" s="522">
        <v>-140593.7268822263</v>
      </c>
      <c r="BC97" s="522"/>
      <c r="BD97" s="522">
        <v>-1367941.6700000002</v>
      </c>
      <c r="BE97" s="13"/>
      <c r="BF97" s="89">
        <f t="shared" si="191"/>
        <v>-4.8848041814150228E-2</v>
      </c>
      <c r="BG97" s="89">
        <f t="shared" si="192"/>
        <v>0.25037805257735912</v>
      </c>
      <c r="BH97" s="89">
        <f t="shared" si="193"/>
        <v>-2.2126070459962451E-2</v>
      </c>
      <c r="BI97" s="89">
        <f t="shared" si="194"/>
        <v>0.52165650532363372</v>
      </c>
      <c r="BJ97" s="89">
        <f t="shared" si="195"/>
        <v>0</v>
      </c>
      <c r="BK97" s="89">
        <f t="shared" si="196"/>
        <v>3.3248600817503748E-2</v>
      </c>
    </row>
    <row r="98" spans="1:63" hidden="1" outlineLevel="1">
      <c r="A98" s="13"/>
      <c r="B98" s="7"/>
      <c r="C98" s="7"/>
      <c r="D98" s="7"/>
      <c r="E98" s="7"/>
      <c r="F98" s="7"/>
      <c r="G98" s="525" t="s">
        <v>163</v>
      </c>
      <c r="H98" s="532"/>
      <c r="I98" s="7"/>
      <c r="J98" s="7"/>
      <c r="K98" s="7"/>
      <c r="L98" s="7"/>
      <c r="M98" s="7"/>
      <c r="N98" s="7"/>
      <c r="O98" s="7"/>
      <c r="P98" s="7"/>
      <c r="Q98" s="7"/>
      <c r="R98" s="533"/>
      <c r="S98" s="533"/>
      <c r="T98" s="533"/>
      <c r="U98" s="533"/>
      <c r="V98" s="533"/>
      <c r="W98" s="7"/>
      <c r="X98" s="7"/>
      <c r="Y98" s="7"/>
      <c r="Z98" s="7"/>
      <c r="AA98" s="7"/>
      <c r="AB98" s="7"/>
      <c r="AC98" s="13"/>
      <c r="AD98" s="7"/>
      <c r="AE98" s="7"/>
      <c r="AF98" s="533"/>
      <c r="AG98" s="533"/>
      <c r="AH98" s="533"/>
      <c r="AI98" s="533"/>
      <c r="AJ98" s="13"/>
      <c r="AK98" s="525"/>
      <c r="AL98" s="525"/>
      <c r="AM98" s="525"/>
      <c r="AN98" s="525"/>
      <c r="AO98" s="525"/>
      <c r="AP98" s="525"/>
      <c r="AQ98" s="13"/>
      <c r="AR98" s="7"/>
      <c r="AS98" s="7"/>
      <c r="AT98" s="533"/>
      <c r="AU98" s="533"/>
      <c r="AV98" s="533"/>
      <c r="AW98" s="533"/>
      <c r="AX98" s="13"/>
      <c r="AY98" s="525"/>
      <c r="AZ98" s="525"/>
      <c r="BA98" s="525"/>
      <c r="BB98" s="525"/>
      <c r="BC98" s="525"/>
      <c r="BD98" s="525"/>
      <c r="BE98" s="13"/>
      <c r="BF98" s="7"/>
      <c r="BG98" s="7"/>
      <c r="BH98" s="533"/>
      <c r="BI98" s="533"/>
      <c r="BJ98" s="533"/>
      <c r="BK98" s="533"/>
    </row>
    <row r="99" spans="1:63" collapsed="1">
      <c r="A99" s="20" t="s">
        <v>152</v>
      </c>
      <c r="B99" s="520">
        <v>-81523</v>
      </c>
      <c r="C99" s="520">
        <v>-80265</v>
      </c>
      <c r="D99" s="520">
        <v>-180350</v>
      </c>
      <c r="E99" s="520">
        <v>-2150</v>
      </c>
      <c r="F99" s="520">
        <v>-3771505</v>
      </c>
      <c r="G99" s="524">
        <v>-4099247</v>
      </c>
      <c r="H99" s="532"/>
      <c r="I99" s="520">
        <v>-668831.22040130175</v>
      </c>
      <c r="J99" s="520">
        <v>-231563.76187282265</v>
      </c>
      <c r="K99" s="520">
        <v>-874206.92185108108</v>
      </c>
      <c r="L99" s="520">
        <v>-92395.18011479477</v>
      </c>
      <c r="M99" s="520">
        <v>-2975185.6176499994</v>
      </c>
      <c r="N99" s="520">
        <v>-4842182.7017700002</v>
      </c>
      <c r="O99" s="83"/>
      <c r="P99" s="89">
        <f t="shared" ref="P99" si="197">IFERROR((I99-B99)/B99,0)</f>
        <v>7.2042027452535082</v>
      </c>
      <c r="Q99" s="89">
        <f t="shared" ref="Q99" si="198">IFERROR((J99-C99)/C99,0)</f>
        <v>1.8849904924041943</v>
      </c>
      <c r="R99" s="89">
        <f t="shared" ref="R99" si="199">IFERROR((K99-D99)/D99,0)</f>
        <v>3.8472798550101528</v>
      </c>
      <c r="S99" s="89">
        <f t="shared" ref="S99" si="200">IFERROR((L99-E99)/E99,0)</f>
        <v>41.974502378974314</v>
      </c>
      <c r="T99" s="89">
        <f t="shared" ref="T99" si="201">IFERROR((M99-F99)/F99,0)</f>
        <v>-0.21114101197002272</v>
      </c>
      <c r="U99" s="89">
        <f t="shared" ref="U99" si="202">IFERROR((N99-G99)/G99,0)</f>
        <v>0.18123711544339732</v>
      </c>
      <c r="V99" s="533"/>
      <c r="W99" s="520">
        <v>-671720.79735338292</v>
      </c>
      <c r="X99" s="520">
        <v>-355315.34024542826</v>
      </c>
      <c r="Y99" s="520">
        <v>-897777.36221051752</v>
      </c>
      <c r="Z99" s="520">
        <v>-149564.54643067127</v>
      </c>
      <c r="AA99" s="520">
        <v>-2941302.20676</v>
      </c>
      <c r="AB99" s="520">
        <v>-5568716.8221459137</v>
      </c>
      <c r="AC99" s="13"/>
      <c r="AD99" s="89">
        <f t="shared" ref="AD99:AI99" si="203">IFERROR((W99-I99)/I99,0)</f>
        <v>4.3203380224197882E-3</v>
      </c>
      <c r="AE99" s="89">
        <f t="shared" si="203"/>
        <v>0.5344168594072648</v>
      </c>
      <c r="AF99" s="89">
        <f t="shared" si="203"/>
        <v>2.6962083884588144E-2</v>
      </c>
      <c r="AG99" s="89">
        <f t="shared" si="203"/>
        <v>0.61874836160119417</v>
      </c>
      <c r="AH99" s="89">
        <f t="shared" si="203"/>
        <v>-1.138867124423748E-2</v>
      </c>
      <c r="AI99" s="89">
        <f t="shared" si="203"/>
        <v>0.15004269048136865</v>
      </c>
      <c r="AJ99" s="13"/>
      <c r="AK99" s="520">
        <v>-668831.22040130175</v>
      </c>
      <c r="AL99" s="520">
        <v>-231563.76187282265</v>
      </c>
      <c r="AM99" s="520">
        <v>-874206.92185108108</v>
      </c>
      <c r="AN99" s="520">
        <v>-92395.18011479477</v>
      </c>
      <c r="AO99" s="520">
        <v>-2975185.6176499994</v>
      </c>
      <c r="AP99" s="520">
        <v>-4842182.7017700002</v>
      </c>
      <c r="AQ99" s="13"/>
      <c r="AR99" s="89">
        <f t="shared" ref="AR99:AW99" si="204">IFERROR((AK99-B99)/B99,0)</f>
        <v>7.2042027452535082</v>
      </c>
      <c r="AS99" s="89">
        <f t="shared" si="204"/>
        <v>1.8849904924041943</v>
      </c>
      <c r="AT99" s="89">
        <f t="shared" si="204"/>
        <v>3.8472798550101528</v>
      </c>
      <c r="AU99" s="89">
        <f t="shared" si="204"/>
        <v>41.974502378974314</v>
      </c>
      <c r="AV99" s="89">
        <f t="shared" si="204"/>
        <v>-0.21114101197002272</v>
      </c>
      <c r="AW99" s="89">
        <f t="shared" si="204"/>
        <v>0.18123711544339732</v>
      </c>
      <c r="AX99" s="13"/>
      <c r="AY99" s="520">
        <v>-636599.75735685718</v>
      </c>
      <c r="AZ99" s="520">
        <v>-343547.4443289534</v>
      </c>
      <c r="BA99" s="520">
        <v>-870712.24567196332</v>
      </c>
      <c r="BB99" s="520">
        <v>-140593.7268822263</v>
      </c>
      <c r="BC99" s="520">
        <v>-2941302.20676</v>
      </c>
      <c r="BD99" s="520">
        <v>-6100808.0871213758</v>
      </c>
      <c r="BE99" s="13"/>
      <c r="BF99" s="89">
        <f t="shared" ref="BF99:BK99" si="205">IFERROR((AY99-I99)/I99,0)</f>
        <v>-4.8190727438090497E-2</v>
      </c>
      <c r="BG99" s="89">
        <f t="shared" si="205"/>
        <v>0.48359761281488167</v>
      </c>
      <c r="BH99" s="89">
        <f t="shared" si="205"/>
        <v>-3.9975389027096554E-3</v>
      </c>
      <c r="BI99" s="89">
        <f t="shared" si="205"/>
        <v>0.52165650532363372</v>
      </c>
      <c r="BJ99" s="89">
        <f t="shared" si="205"/>
        <v>-1.138867124423748E-2</v>
      </c>
      <c r="BK99" s="89">
        <f t="shared" si="205"/>
        <v>0.25992934650964339</v>
      </c>
    </row>
    <row r="100" spans="1:63">
      <c r="A100" s="13"/>
      <c r="B100" s="518"/>
      <c r="C100" s="518"/>
      <c r="D100" s="518"/>
      <c r="E100" s="518"/>
      <c r="F100" s="518"/>
      <c r="G100" s="526" t="s">
        <v>163</v>
      </c>
      <c r="H100" s="532"/>
      <c r="I100" s="518"/>
      <c r="J100" s="518"/>
      <c r="K100" s="518"/>
      <c r="L100" s="518"/>
      <c r="M100" s="518"/>
      <c r="N100" s="518"/>
      <c r="O100" s="518"/>
      <c r="P100" s="518"/>
      <c r="Q100" s="518"/>
      <c r="R100" s="533"/>
      <c r="S100" s="533"/>
      <c r="T100" s="533"/>
      <c r="U100" s="533"/>
      <c r="V100" s="533"/>
      <c r="W100" s="518">
        <v>3.6410473046508053E-2</v>
      </c>
      <c r="X100" s="518">
        <v>5.0159846221240686E-2</v>
      </c>
      <c r="Y100" s="518">
        <v>0.11419956829065327</v>
      </c>
      <c r="Z100" s="518">
        <v>0.16226672377674656</v>
      </c>
      <c r="AA100" s="89"/>
      <c r="AB100" s="518">
        <v>0.16228030967503526</v>
      </c>
      <c r="AC100" s="13"/>
      <c r="AD100" s="518"/>
      <c r="AE100" s="518"/>
      <c r="AF100" s="533"/>
      <c r="AG100" s="533"/>
      <c r="AH100" s="533"/>
      <c r="AI100" s="533"/>
      <c r="AJ100" s="13"/>
      <c r="AK100" s="518">
        <v>5.4181587064583647E-2</v>
      </c>
      <c r="AL100" s="518">
        <v>3.9573052493374561E-2</v>
      </c>
      <c r="AM100" s="518">
        <v>0.12010859507888237</v>
      </c>
      <c r="AN100" s="518">
        <v>0.16996486437462574</v>
      </c>
      <c r="AO100" s="89"/>
      <c r="AP100" s="518">
        <v>0.18631510376485153</v>
      </c>
      <c r="AQ100" s="13"/>
      <c r="AR100" s="518"/>
      <c r="AS100" s="518"/>
      <c r="AT100" s="533"/>
      <c r="AU100" s="533"/>
      <c r="AV100" s="533"/>
      <c r="AW100" s="533"/>
      <c r="AX100" s="13"/>
      <c r="AY100" s="518">
        <v>3.425475876138042E-2</v>
      </c>
      <c r="AZ100" s="518">
        <v>3.0138682167110468E-2</v>
      </c>
      <c r="BA100" s="518">
        <v>0.103832639462905</v>
      </c>
      <c r="BB100" s="518">
        <v>7.1490056106422686E-2</v>
      </c>
      <c r="BC100" s="89"/>
      <c r="BD100" s="518">
        <v>0.1546836326937453</v>
      </c>
      <c r="BE100" s="13"/>
      <c r="BF100" s="518"/>
      <c r="BG100" s="518"/>
      <c r="BH100" s="533"/>
      <c r="BI100" s="533"/>
      <c r="BJ100" s="533"/>
      <c r="BK100" s="533"/>
    </row>
    <row r="101" spans="1:63">
      <c r="A101" s="11" t="s">
        <v>153</v>
      </c>
      <c r="B101" s="519">
        <f>B11+B20+B42+B71+B99+B85</f>
        <v>1649788</v>
      </c>
      <c r="C101" s="519">
        <f t="shared" ref="C101:N101" si="206">C11+C20+C42+C71+C99+C85</f>
        <v>971186</v>
      </c>
      <c r="D101" s="519">
        <f t="shared" si="206"/>
        <v>1565064</v>
      </c>
      <c r="E101" s="519">
        <f t="shared" si="206"/>
        <v>612449</v>
      </c>
      <c r="F101" s="519">
        <f t="shared" si="206"/>
        <v>-4219074</v>
      </c>
      <c r="G101" s="519">
        <f t="shared" si="206"/>
        <v>555365</v>
      </c>
      <c r="H101" s="532"/>
      <c r="I101" s="519">
        <f t="shared" si="206"/>
        <v>1906793.5797435206</v>
      </c>
      <c r="J101" s="519">
        <f t="shared" si="206"/>
        <v>1029988.2438878121</v>
      </c>
      <c r="K101" s="519">
        <f t="shared" si="206"/>
        <v>1168592.9533404333</v>
      </c>
      <c r="L101" s="519">
        <f t="shared" si="206"/>
        <v>376118.38152520527</v>
      </c>
      <c r="M101" s="519">
        <f t="shared" si="206"/>
        <v>-3275185.6176499994</v>
      </c>
      <c r="N101" s="519">
        <f t="shared" si="206"/>
        <v>1206307.5409669718</v>
      </c>
      <c r="O101" s="83"/>
      <c r="P101" s="89">
        <f t="shared" ref="P101" si="207">IFERROR((I101-B101)/B101,0)</f>
        <v>0.15578097291501733</v>
      </c>
      <c r="Q101" s="89">
        <f t="shared" ref="Q101" si="208">IFERROR((J101-C101)/C101,0)</f>
        <v>6.0546840551461957E-2</v>
      </c>
      <c r="R101" s="89">
        <f t="shared" ref="R101" si="209">IFERROR((K101-D101)/D101,0)</f>
        <v>-0.25332577240264087</v>
      </c>
      <c r="S101" s="89">
        <f t="shared" ref="S101" si="210">IFERROR((L101-E101)/E101,0)</f>
        <v>-0.38587803796690784</v>
      </c>
      <c r="T101" s="89">
        <f t="shared" ref="T101" si="211">IFERROR((M101-F101)/F101,0)</f>
        <v>-0.22371932380185808</v>
      </c>
      <c r="U101" s="89">
        <f t="shared" ref="U101" si="212">IFERROR((N101-G101)/G101,0)</f>
        <v>1.1720986035615708</v>
      </c>
      <c r="V101" s="533"/>
      <c r="W101" s="519">
        <v>4703438.7481593657</v>
      </c>
      <c r="X101" s="519">
        <v>2006104.1399177492</v>
      </c>
      <c r="Y101" s="519">
        <v>1406180.5682535565</v>
      </c>
      <c r="Z101" s="519">
        <v>232433.84041428156</v>
      </c>
      <c r="AA101" s="519">
        <v>-3241302.20676</v>
      </c>
      <c r="AB101" s="519">
        <v>4553818.5208390439</v>
      </c>
      <c r="AC101" s="13"/>
      <c r="AD101" s="89">
        <f t="shared" ref="AD101:AI101" si="213">IFERROR((W101-I101)/I101,0)</f>
        <v>1.4666743155239788</v>
      </c>
      <c r="AE101" s="89">
        <f t="shared" si="213"/>
        <v>0.94769615267206597</v>
      </c>
      <c r="AF101" s="89">
        <f t="shared" si="213"/>
        <v>0.20331083995841057</v>
      </c>
      <c r="AG101" s="89">
        <f t="shared" si="213"/>
        <v>-0.38201946027807954</v>
      </c>
      <c r="AH101" s="89">
        <f t="shared" si="213"/>
        <v>-1.0345493308043833E-2</v>
      </c>
      <c r="AI101" s="89">
        <f t="shared" si="213"/>
        <v>2.7750062618266642</v>
      </c>
      <c r="AJ101" s="13"/>
      <c r="AK101" s="519">
        <v>2325994.4639872042</v>
      </c>
      <c r="AL101" s="519">
        <v>1724951.7556596294</v>
      </c>
      <c r="AM101" s="519">
        <v>1410605.3037375917</v>
      </c>
      <c r="AN101" s="519">
        <v>185109.37092763523</v>
      </c>
      <c r="AO101" s="519">
        <v>-3275185.6176499994</v>
      </c>
      <c r="AP101" s="519">
        <v>2342798.0305297123</v>
      </c>
      <c r="AQ101" s="13"/>
      <c r="AR101" s="89">
        <f t="shared" ref="AR101:AW101" si="214">IFERROR((AK101-B101)/B101,0)</f>
        <v>0.40987476208288837</v>
      </c>
      <c r="AS101" s="89">
        <f t="shared" si="214"/>
        <v>0.77612914072034545</v>
      </c>
      <c r="AT101" s="89">
        <f t="shared" si="214"/>
        <v>-9.8691616612744448E-2</v>
      </c>
      <c r="AU101" s="89">
        <f t="shared" si="214"/>
        <v>-0.69775545240887771</v>
      </c>
      <c r="AV101" s="89">
        <f t="shared" si="214"/>
        <v>-0.22371932380185808</v>
      </c>
      <c r="AW101" s="89">
        <f t="shared" si="214"/>
        <v>3.2184833947578841</v>
      </c>
      <c r="AX101" s="13"/>
      <c r="AY101" s="519">
        <v>4947036.9112100285</v>
      </c>
      <c r="AZ101" s="519">
        <v>3937814.7194115305</v>
      </c>
      <c r="BA101" s="519">
        <v>1672631.7305087368</v>
      </c>
      <c r="BB101" s="519">
        <v>946257.94411457377</v>
      </c>
      <c r="BC101" s="519">
        <v>-3241302.20676</v>
      </c>
      <c r="BD101" s="519">
        <v>6199433.2915205238</v>
      </c>
      <c r="BE101" s="13"/>
      <c r="BF101" s="89">
        <f t="shared" ref="BF101:BK101" si="215">IFERROR((AY101-I101)/I101,0)</f>
        <v>1.5944270862687957</v>
      </c>
      <c r="BG101" s="89">
        <f t="shared" si="215"/>
        <v>2.8231647232669226</v>
      </c>
      <c r="BH101" s="89">
        <f t="shared" si="215"/>
        <v>0.43132108209920672</v>
      </c>
      <c r="BI101" s="89">
        <f t="shared" si="215"/>
        <v>1.5158513664697377</v>
      </c>
      <c r="BJ101" s="89">
        <f t="shared" si="215"/>
        <v>-1.0345493308043833E-2</v>
      </c>
      <c r="BK101" s="89">
        <f t="shared" si="215"/>
        <v>4.1391814118571126</v>
      </c>
    </row>
    <row r="102" spans="1:63">
      <c r="A102" s="13"/>
      <c r="B102" s="532"/>
      <c r="C102" s="532"/>
      <c r="D102" s="532"/>
      <c r="E102" s="532"/>
      <c r="F102" s="532"/>
      <c r="G102" s="532"/>
      <c r="H102" s="532"/>
      <c r="I102" s="518"/>
      <c r="J102" s="518"/>
      <c r="K102" s="518"/>
      <c r="L102" s="518"/>
      <c r="M102" s="518"/>
      <c r="N102" s="518"/>
      <c r="O102" s="518"/>
      <c r="P102" s="518"/>
      <c r="Q102" s="518"/>
      <c r="R102" s="533"/>
      <c r="S102" s="533"/>
      <c r="T102" s="533"/>
      <c r="U102" s="533"/>
      <c r="V102" s="533"/>
      <c r="W102" s="518">
        <v>0.25494882760889653</v>
      </c>
      <c r="X102" s="518">
        <v>0.28320160647317655</v>
      </c>
      <c r="Y102" s="518">
        <v>0.17886975166968672</v>
      </c>
      <c r="Z102" s="518">
        <v>0.2521739187458808</v>
      </c>
      <c r="AA102" s="523">
        <v>0</v>
      </c>
      <c r="AB102" s="518">
        <v>0.13270473313112341</v>
      </c>
      <c r="AC102" s="13"/>
      <c r="AD102" s="518"/>
      <c r="AE102" s="518"/>
      <c r="AF102" s="533"/>
      <c r="AG102" s="533"/>
      <c r="AH102" s="533"/>
      <c r="AI102" s="533"/>
      <c r="AJ102" s="13"/>
      <c r="AK102" s="518">
        <v>0.18842731576831306</v>
      </c>
      <c r="AL102" s="518">
        <v>0.29478535770526626</v>
      </c>
      <c r="AM102" s="518">
        <v>0.19380517015810536</v>
      </c>
      <c r="AN102" s="518">
        <v>0.3405165624992374</v>
      </c>
      <c r="AO102" s="523">
        <v>0</v>
      </c>
      <c r="AP102" s="518">
        <v>9.0145020343548057E-2</v>
      </c>
      <c r="AQ102" s="13"/>
      <c r="AR102" s="518"/>
      <c r="AS102" s="518"/>
      <c r="AT102" s="533"/>
      <c r="AU102" s="533"/>
      <c r="AV102" s="533"/>
      <c r="AW102" s="533"/>
      <c r="AX102" s="13"/>
      <c r="AY102" s="518">
        <v>0.26619481710256215</v>
      </c>
      <c r="AZ102" s="518">
        <v>0.34545605918603328</v>
      </c>
      <c r="BA102" s="518">
        <v>0.19946172606553567</v>
      </c>
      <c r="BB102" s="518">
        <v>0.48115968625376165</v>
      </c>
      <c r="BC102" s="523">
        <v>0</v>
      </c>
      <c r="BD102" s="518">
        <v>0.1571842366586246</v>
      </c>
      <c r="BE102" s="13"/>
      <c r="BF102" s="518"/>
      <c r="BG102" s="518"/>
      <c r="BH102" s="533"/>
      <c r="BI102" s="533"/>
      <c r="BJ102" s="533"/>
      <c r="BK102" s="533"/>
    </row>
    <row r="103" spans="1:63">
      <c r="A103" s="13"/>
      <c r="B103" s="533"/>
      <c r="C103" s="533"/>
      <c r="D103" s="533"/>
      <c r="E103" s="533"/>
      <c r="F103" s="533"/>
      <c r="G103" s="533"/>
      <c r="H103" s="532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533"/>
      <c r="AA103" s="53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533"/>
      <c r="AO103" s="53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533"/>
      <c r="BC103" s="533"/>
      <c r="BD103" s="13"/>
      <c r="BE103" s="13"/>
      <c r="BF103" s="13"/>
      <c r="BG103" s="13"/>
      <c r="BH103" s="13"/>
      <c r="BI103" s="13"/>
      <c r="BJ103" s="13"/>
      <c r="BK103" s="13"/>
    </row>
    <row r="104" spans="1:63" hidden="1">
      <c r="A104" s="13"/>
      <c r="B104" s="533"/>
      <c r="C104" s="533"/>
      <c r="D104" s="533"/>
      <c r="E104" s="533"/>
      <c r="F104" s="533"/>
      <c r="G104" s="533"/>
      <c r="H104" s="532"/>
      <c r="I104" s="533"/>
      <c r="J104" s="533"/>
      <c r="K104" s="533"/>
      <c r="L104" s="13"/>
      <c r="M104" s="90"/>
      <c r="N104" s="533"/>
      <c r="O104" s="533"/>
      <c r="P104" s="533"/>
      <c r="Q104" s="533"/>
      <c r="R104" s="533"/>
      <c r="S104" s="533"/>
      <c r="T104" s="533"/>
      <c r="U104" s="533"/>
      <c r="V104" s="533"/>
      <c r="W104" s="533"/>
      <c r="X104" s="533"/>
      <c r="Y104" s="533"/>
      <c r="Z104" s="533"/>
      <c r="AA104" s="533"/>
      <c r="AB104" s="13"/>
      <c r="AC104" s="13"/>
      <c r="AD104" s="533"/>
      <c r="AE104" s="533"/>
      <c r="AF104" s="533"/>
      <c r="AG104" s="533"/>
      <c r="AH104" s="533"/>
      <c r="AI104" s="533"/>
      <c r="AJ104" s="13"/>
      <c r="AK104" s="533"/>
      <c r="AL104" s="533"/>
      <c r="AM104" s="533"/>
      <c r="AN104" s="533"/>
      <c r="AO104" s="533"/>
      <c r="AP104" s="13"/>
      <c r="AQ104" s="13"/>
      <c r="AR104" s="533"/>
      <c r="AS104" s="533"/>
      <c r="AT104" s="533"/>
      <c r="AU104" s="533"/>
      <c r="AV104" s="533"/>
      <c r="AW104" s="533"/>
      <c r="AX104" s="13"/>
      <c r="AY104" s="533"/>
      <c r="AZ104" s="533"/>
      <c r="BA104" s="533"/>
      <c r="BB104" s="533"/>
      <c r="BC104" s="533">
        <v>-9015.6</v>
      </c>
      <c r="BD104" s="13"/>
      <c r="BE104" s="13"/>
      <c r="BF104" s="533"/>
      <c r="BG104" s="533"/>
      <c r="BH104" s="533"/>
      <c r="BI104" s="533"/>
      <c r="BJ104" s="533"/>
      <c r="BK104" s="533"/>
    </row>
    <row r="105" spans="1:63" hidden="1">
      <c r="A105" s="13" t="s">
        <v>169</v>
      </c>
      <c r="B105" s="534">
        <f>B11/$G$11</f>
        <v>0.44967600418511466</v>
      </c>
      <c r="C105" s="534">
        <f t="shared" ref="C105:F105" si="216">C11/$G$11</f>
        <v>0.16651251501716635</v>
      </c>
      <c r="D105" s="534">
        <f t="shared" si="216"/>
        <v>0.31027626260962154</v>
      </c>
      <c r="E105" s="534">
        <f t="shared" si="216"/>
        <v>7.3460610786665992E-2</v>
      </c>
      <c r="F105" s="534">
        <f t="shared" si="216"/>
        <v>0</v>
      </c>
      <c r="G105" s="533"/>
      <c r="H105" s="532"/>
      <c r="I105" s="534">
        <f>I11/$G$11</f>
        <v>0.63026055110256529</v>
      </c>
      <c r="J105" s="534">
        <f t="shared" ref="J105:M105" si="217">J11/$G$11</f>
        <v>0.23863316299791934</v>
      </c>
      <c r="K105" s="534">
        <f t="shared" si="217"/>
        <v>0.3794250466959293</v>
      </c>
      <c r="L105" s="534">
        <f t="shared" si="217"/>
        <v>4.9641161585653015E-2</v>
      </c>
      <c r="M105" s="534">
        <f t="shared" si="217"/>
        <v>0</v>
      </c>
      <c r="N105" s="533"/>
      <c r="O105" s="533"/>
      <c r="P105" s="533"/>
      <c r="Q105" s="533"/>
      <c r="R105" s="533"/>
      <c r="S105" s="533"/>
      <c r="T105" s="533"/>
      <c r="U105" s="533"/>
      <c r="V105" s="533"/>
      <c r="W105" s="533"/>
      <c r="X105" s="533"/>
      <c r="Y105" s="533"/>
      <c r="Z105" s="533"/>
      <c r="AA105" s="533"/>
      <c r="AB105" s="13"/>
      <c r="AC105" s="13"/>
      <c r="AD105" s="533"/>
      <c r="AE105" s="533"/>
      <c r="AF105" s="533"/>
      <c r="AG105" s="533"/>
      <c r="AH105" s="533"/>
      <c r="AI105" s="533"/>
      <c r="AJ105" s="13"/>
      <c r="AK105" s="534"/>
      <c r="AL105" s="533"/>
      <c r="AM105" s="533"/>
      <c r="AN105" s="533"/>
      <c r="AO105" s="533"/>
      <c r="AP105" s="13"/>
      <c r="AQ105" s="13"/>
      <c r="AR105" s="533"/>
      <c r="AS105" s="533"/>
      <c r="AT105" s="533"/>
      <c r="AU105" s="533"/>
      <c r="AV105" s="533"/>
      <c r="AW105" s="533"/>
      <c r="AX105" s="13"/>
      <c r="AY105" s="534"/>
      <c r="AZ105" s="533"/>
      <c r="BA105" s="533"/>
      <c r="BB105" s="533"/>
      <c r="BC105" s="533">
        <v>0</v>
      </c>
      <c r="BD105" s="13"/>
      <c r="BE105" s="13"/>
      <c r="BF105" s="533"/>
      <c r="BG105" s="533"/>
      <c r="BH105" s="533"/>
      <c r="BI105" s="533"/>
      <c r="BJ105" s="533"/>
      <c r="BK105" s="533"/>
    </row>
    <row r="106" spans="1:63" hidden="1">
      <c r="A106" s="13"/>
      <c r="B106" s="533">
        <f>SUM(G91:G97)*B105</f>
        <v>-564110.18301544373</v>
      </c>
      <c r="C106" s="533">
        <f>SUM(G91:G97)*C105</f>
        <v>-208886.85285957024</v>
      </c>
      <c r="D106" s="533">
        <f>SUM(G91:G97)*D105</f>
        <v>-389235.80012512353</v>
      </c>
      <c r="E106" s="533">
        <f>SUM(G91:G97)*E105</f>
        <v>-92154.969821856896</v>
      </c>
      <c r="F106" s="533">
        <f>$G$99*F105</f>
        <v>0</v>
      </c>
      <c r="G106" s="533"/>
      <c r="H106" s="532"/>
      <c r="I106" s="533">
        <f t="shared" ref="I106" si="218">$G$99*I105</f>
        <v>-2583593.6733255372</v>
      </c>
      <c r="J106" s="533">
        <f t="shared" ref="J106" si="219">$G$99*J105</f>
        <v>-978216.2775197319</v>
      </c>
      <c r="K106" s="533">
        <f t="shared" ref="K106" si="220">$G$99*K105</f>
        <v>-1555356.9843931482</v>
      </c>
      <c r="L106" s="533">
        <f t="shared" ref="L106" si="221">$G$99*L105</f>
        <v>-203491.38270650335</v>
      </c>
      <c r="M106" s="533">
        <f>$G$99*M105</f>
        <v>0</v>
      </c>
      <c r="N106" s="533"/>
      <c r="O106" s="533"/>
      <c r="P106" s="533"/>
      <c r="Q106" s="533"/>
      <c r="R106" s="533"/>
      <c r="S106" s="533"/>
      <c r="T106" s="533"/>
      <c r="U106" s="533"/>
      <c r="V106" s="533"/>
      <c r="W106" s="533"/>
      <c r="X106" s="533"/>
      <c r="Y106" s="533"/>
      <c r="Z106" s="533"/>
      <c r="AA106" s="533"/>
      <c r="AB106" s="13"/>
      <c r="AC106" s="13"/>
      <c r="AD106" s="533"/>
      <c r="AE106" s="533"/>
      <c r="AF106" s="533"/>
      <c r="AG106" s="533"/>
      <c r="AH106" s="533"/>
      <c r="AI106" s="533"/>
      <c r="AJ106" s="13"/>
      <c r="AK106" s="533"/>
      <c r="AL106" s="533"/>
      <c r="AM106" s="533"/>
      <c r="AN106" s="533"/>
      <c r="AO106" s="533"/>
      <c r="AP106" s="13"/>
      <c r="AQ106" s="13"/>
      <c r="AR106" s="533"/>
      <c r="AS106" s="533"/>
      <c r="AT106" s="533"/>
      <c r="AU106" s="533"/>
      <c r="AV106" s="533"/>
      <c r="AW106" s="533"/>
      <c r="AX106" s="13"/>
      <c r="AY106" s="533"/>
      <c r="AZ106" s="533"/>
      <c r="BA106" s="533"/>
      <c r="BB106" s="533"/>
      <c r="BC106" s="533"/>
      <c r="BD106" s="13"/>
      <c r="BE106" s="13"/>
      <c r="BF106" s="533"/>
      <c r="BG106" s="533"/>
      <c r="BH106" s="533"/>
      <c r="BI106" s="533"/>
      <c r="BJ106" s="533"/>
      <c r="BK106" s="533"/>
    </row>
    <row r="107" spans="1:63" hidden="1">
      <c r="A107" s="13"/>
      <c r="B107" s="533"/>
      <c r="C107" s="533"/>
      <c r="D107" s="533"/>
      <c r="E107" s="533"/>
      <c r="F107" s="533"/>
      <c r="G107" s="533"/>
      <c r="H107" s="532"/>
      <c r="I107" s="533"/>
      <c r="J107" s="533"/>
      <c r="K107" s="533"/>
      <c r="L107" s="533"/>
      <c r="M107" s="533"/>
      <c r="N107" s="533"/>
      <c r="O107" s="533"/>
      <c r="P107" s="533"/>
      <c r="Q107" s="533"/>
      <c r="R107" s="533"/>
      <c r="S107" s="533"/>
      <c r="T107" s="533"/>
      <c r="U107" s="533"/>
      <c r="V107" s="533"/>
      <c r="W107" s="533"/>
      <c r="X107" s="533"/>
      <c r="Y107" s="533"/>
      <c r="Z107" s="533"/>
      <c r="AA107" s="533"/>
      <c r="AB107" s="13"/>
      <c r="AC107" s="13"/>
      <c r="AD107" s="533"/>
      <c r="AE107" s="533"/>
      <c r="AF107" s="533"/>
      <c r="AG107" s="533"/>
      <c r="AH107" s="533"/>
      <c r="AI107" s="533"/>
      <c r="AJ107" s="13"/>
      <c r="AK107" s="533"/>
      <c r="AL107" s="533"/>
      <c r="AM107" s="533"/>
      <c r="AN107" s="533"/>
      <c r="AO107" s="533"/>
      <c r="AP107" s="13"/>
      <c r="AQ107" s="13"/>
      <c r="AR107" s="533"/>
      <c r="AS107" s="533"/>
      <c r="AT107" s="533"/>
      <c r="AU107" s="533"/>
      <c r="AV107" s="533"/>
      <c r="AW107" s="533"/>
      <c r="AX107" s="13"/>
      <c r="AY107" s="533"/>
      <c r="AZ107" s="533"/>
      <c r="BA107" s="533"/>
      <c r="BB107" s="533"/>
      <c r="BC107" s="533"/>
      <c r="BD107" s="13"/>
      <c r="BE107" s="13"/>
      <c r="BF107" s="533"/>
      <c r="BG107" s="533"/>
      <c r="BH107" s="533"/>
      <c r="BI107" s="533"/>
      <c r="BJ107" s="533"/>
      <c r="BK107" s="533"/>
    </row>
    <row r="108" spans="1:63">
      <c r="A108" s="13"/>
      <c r="B108" s="13"/>
      <c r="C108" s="13"/>
      <c r="D108" s="13"/>
      <c r="E108" s="13"/>
      <c r="F108" s="13"/>
      <c r="G108" s="533"/>
      <c r="H108" s="181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</row>
    <row r="109" spans="1:63">
      <c r="A109" s="11" t="s">
        <v>170</v>
      </c>
      <c r="B109" s="83">
        <f t="shared" ref="B109:G109" si="222">SUM(B59:B63)</f>
        <v>-1141280</v>
      </c>
      <c r="C109" s="83">
        <f t="shared" si="222"/>
        <v>-364882</v>
      </c>
      <c r="D109" s="83">
        <f t="shared" si="222"/>
        <v>-1400259</v>
      </c>
      <c r="E109" s="83">
        <f t="shared" si="222"/>
        <v>-7489</v>
      </c>
      <c r="F109" s="83">
        <f t="shared" si="222"/>
        <v>-44009</v>
      </c>
      <c r="G109" s="83">
        <f t="shared" si="222"/>
        <v>-3060172</v>
      </c>
      <c r="H109" s="532"/>
      <c r="I109" s="83">
        <f t="shared" ref="I109:N109" si="223">SUM(I59:I63)</f>
        <v>-2283035.4616891164</v>
      </c>
      <c r="J109" s="83">
        <f t="shared" si="223"/>
        <v>-551626.80000000005</v>
      </c>
      <c r="K109" s="83">
        <f t="shared" si="223"/>
        <v>-1733508.65</v>
      </c>
      <c r="L109" s="83">
        <f t="shared" si="223"/>
        <v>0</v>
      </c>
      <c r="M109" s="83">
        <f t="shared" si="223"/>
        <v>0</v>
      </c>
      <c r="N109" s="83">
        <f t="shared" si="223"/>
        <v>-4568170.9116891166</v>
      </c>
      <c r="O109" s="13"/>
      <c r="P109" s="13"/>
      <c r="Q109" s="13"/>
      <c r="R109" s="13"/>
      <c r="S109" s="13"/>
      <c r="T109" s="13"/>
      <c r="U109" s="13"/>
      <c r="V109" s="13"/>
      <c r="W109" s="83">
        <f t="shared" ref="W109:AB109" si="224">SUM(W59:W63)</f>
        <v>-3931417.8711292949</v>
      </c>
      <c r="X109" s="83">
        <f t="shared" si="224"/>
        <v>-944498</v>
      </c>
      <c r="Y109" s="83">
        <f t="shared" si="224"/>
        <v>-2057960.34</v>
      </c>
      <c r="Z109" s="83">
        <f t="shared" si="224"/>
        <v>0</v>
      </c>
      <c r="AA109" s="83">
        <f t="shared" si="224"/>
        <v>0</v>
      </c>
      <c r="AB109" s="83">
        <f t="shared" si="224"/>
        <v>-6933876.2111292938</v>
      </c>
      <c r="AC109" s="13"/>
      <c r="AD109" s="13"/>
      <c r="AE109" s="13"/>
      <c r="AF109" s="13"/>
      <c r="AG109" s="13"/>
      <c r="AH109" s="13"/>
      <c r="AI109" s="13"/>
      <c r="AJ109" s="13"/>
      <c r="AK109" s="83">
        <f t="shared" ref="AK109:AP109" si="225">SUM(AK59:AK63)</f>
        <v>-2312017.8885278665</v>
      </c>
      <c r="AL109" s="83">
        <f t="shared" si="225"/>
        <v>-574569</v>
      </c>
      <c r="AM109" s="83">
        <f t="shared" si="225"/>
        <v>-1863211.15</v>
      </c>
      <c r="AN109" s="83">
        <f t="shared" si="225"/>
        <v>0</v>
      </c>
      <c r="AO109" s="83">
        <f t="shared" si="225"/>
        <v>0</v>
      </c>
      <c r="AP109" s="83">
        <f t="shared" si="225"/>
        <v>-4749798.0385278668</v>
      </c>
      <c r="AQ109" s="13"/>
      <c r="AR109" s="13"/>
      <c r="AS109" s="13"/>
      <c r="AT109" s="13"/>
      <c r="AU109" s="13"/>
      <c r="AV109" s="13"/>
      <c r="AW109" s="13"/>
      <c r="AX109" s="13"/>
      <c r="AY109" s="83">
        <f t="shared" ref="AY109:BD109" si="226">SUM(AY59:AY63)</f>
        <v>-3931417.8711292949</v>
      </c>
      <c r="AZ109" s="83">
        <f t="shared" si="226"/>
        <v>-1093382.3999999999</v>
      </c>
      <c r="BA109" s="83">
        <f t="shared" si="226"/>
        <v>-2246101.7350000003</v>
      </c>
      <c r="BB109" s="83">
        <f t="shared" si="226"/>
        <v>0</v>
      </c>
      <c r="BC109" s="83">
        <f t="shared" si="226"/>
        <v>0</v>
      </c>
      <c r="BD109" s="83">
        <f t="shared" si="226"/>
        <v>-7270902.0061292946</v>
      </c>
      <c r="BE109" s="13"/>
      <c r="BF109" s="13"/>
      <c r="BG109" s="13"/>
      <c r="BH109" s="13"/>
      <c r="BI109" s="13"/>
      <c r="BJ109" s="13"/>
      <c r="BK109" s="13"/>
    </row>
    <row r="110" spans="1:63">
      <c r="A110" s="11" t="s">
        <v>171</v>
      </c>
      <c r="B110" s="83">
        <f>SUM(B64:B67)</f>
        <v>-1372438</v>
      </c>
      <c r="C110" s="83">
        <f t="shared" ref="C110:G110" si="227">SUM(C64:C67)</f>
        <v>-88813</v>
      </c>
      <c r="D110" s="83">
        <f t="shared" si="227"/>
        <v>-72211</v>
      </c>
      <c r="E110" s="83">
        <f t="shared" si="227"/>
        <v>-20906</v>
      </c>
      <c r="F110" s="83">
        <f t="shared" si="227"/>
        <v>-49787</v>
      </c>
      <c r="G110" s="83">
        <f t="shared" si="227"/>
        <v>-1543325</v>
      </c>
      <c r="H110" s="181"/>
      <c r="I110" s="83">
        <f>SUM(I64:I67)</f>
        <v>-1625223.3854275695</v>
      </c>
      <c r="J110" s="83">
        <f t="shared" ref="J110:N110" si="228">SUM(J64:J67)</f>
        <v>-290411.21971743758</v>
      </c>
      <c r="K110" s="83">
        <f t="shared" si="228"/>
        <v>-78121.845290725556</v>
      </c>
      <c r="L110" s="83">
        <f t="shared" si="228"/>
        <v>-51688.870999999999</v>
      </c>
      <c r="M110" s="83">
        <f t="shared" si="228"/>
        <v>0</v>
      </c>
      <c r="N110" s="83">
        <f t="shared" si="228"/>
        <v>-2045445.3214357325</v>
      </c>
      <c r="O110" s="13"/>
      <c r="P110" s="13"/>
      <c r="Q110" s="13"/>
      <c r="R110" s="13"/>
      <c r="S110" s="13"/>
      <c r="T110" s="13"/>
      <c r="U110" s="13"/>
      <c r="V110" s="13"/>
      <c r="W110" s="83">
        <f>SUM(W64:W67)</f>
        <v>-1959955.4733617802</v>
      </c>
      <c r="X110" s="83">
        <f t="shared" ref="X110:AB110" si="229">SUM(X64:X67)</f>
        <v>-378524.47496009897</v>
      </c>
      <c r="Y110" s="83">
        <f t="shared" si="229"/>
        <v>-68396.487697696371</v>
      </c>
      <c r="Z110" s="83">
        <f t="shared" si="229"/>
        <v>-41002.131300000001</v>
      </c>
      <c r="AA110" s="83">
        <f t="shared" si="229"/>
        <v>0</v>
      </c>
      <c r="AB110" s="83">
        <f t="shared" si="229"/>
        <v>-2447878.5673195757</v>
      </c>
      <c r="AC110" s="13"/>
      <c r="AD110" s="13"/>
      <c r="AE110" s="13"/>
      <c r="AF110" s="13"/>
      <c r="AG110" s="13"/>
      <c r="AH110" s="13"/>
      <c r="AI110" s="13"/>
      <c r="AJ110" s="13"/>
      <c r="AK110" s="83">
        <f>SUM(AK64:AK67)</f>
        <v>-1683045.0405140705</v>
      </c>
      <c r="AL110" s="83">
        <f t="shared" ref="AL110:AP110" si="230">SUM(AL64:AL67)</f>
        <v>-255302.74604806944</v>
      </c>
      <c r="AM110" s="83">
        <f t="shared" si="230"/>
        <v>-38256.640258046231</v>
      </c>
      <c r="AN110" s="83">
        <f t="shared" si="230"/>
        <v>-15000</v>
      </c>
      <c r="AO110" s="83">
        <f t="shared" si="230"/>
        <v>0</v>
      </c>
      <c r="AP110" s="83">
        <f t="shared" si="230"/>
        <v>-1991604.4268201862</v>
      </c>
      <c r="AQ110" s="13"/>
      <c r="AR110" s="13"/>
      <c r="AS110" s="13"/>
      <c r="AT110" s="13"/>
      <c r="AU110" s="13"/>
      <c r="AV110" s="13"/>
      <c r="AW110" s="13"/>
      <c r="AX110" s="13"/>
      <c r="AY110" s="83">
        <f>SUM(AY64:AY67)</f>
        <v>-1734244.8532463273</v>
      </c>
      <c r="AZ110" s="83">
        <f t="shared" ref="AZ110:BD110" si="231">SUM(AZ64:AZ67)</f>
        <v>-372023.74455571565</v>
      </c>
      <c r="BA110" s="83">
        <f t="shared" si="231"/>
        <v>-30062.943621508661</v>
      </c>
      <c r="BB110" s="83">
        <f t="shared" si="231"/>
        <v>-15000</v>
      </c>
      <c r="BC110" s="83">
        <f t="shared" si="231"/>
        <v>0</v>
      </c>
      <c r="BD110" s="83">
        <f t="shared" si="231"/>
        <v>-2151331.5414235517</v>
      </c>
      <c r="BE110" s="13"/>
      <c r="BF110" s="13"/>
      <c r="BG110" s="13"/>
      <c r="BH110" s="13"/>
      <c r="BI110" s="13"/>
      <c r="BJ110" s="13"/>
      <c r="BK110" s="13"/>
    </row>
    <row r="111" spans="1:63">
      <c r="A111" s="11" t="s">
        <v>172</v>
      </c>
      <c r="B111" s="83">
        <f>SUM(B68)</f>
        <v>-526944</v>
      </c>
      <c r="C111" s="83">
        <f t="shared" ref="C111:G111" si="232">SUM(C68)</f>
        <v>-131693</v>
      </c>
      <c r="D111" s="83">
        <f t="shared" si="232"/>
        <v>-18</v>
      </c>
      <c r="E111" s="83">
        <f t="shared" si="232"/>
        <v>-10227</v>
      </c>
      <c r="F111" s="83">
        <f t="shared" si="232"/>
        <v>-2309</v>
      </c>
      <c r="G111" s="83">
        <f t="shared" si="232"/>
        <v>-688261</v>
      </c>
      <c r="H111" s="181"/>
      <c r="I111" s="83">
        <f>SUM(I68)</f>
        <v>-539594.43709999998</v>
      </c>
      <c r="J111" s="83">
        <f t="shared" ref="J111:N111" si="233">SUM(J68)</f>
        <v>-262885.96500000003</v>
      </c>
      <c r="K111" s="83">
        <f t="shared" si="233"/>
        <v>0</v>
      </c>
      <c r="L111" s="83">
        <f t="shared" si="233"/>
        <v>-10852.1224</v>
      </c>
      <c r="M111" s="83">
        <f t="shared" si="233"/>
        <v>0</v>
      </c>
      <c r="N111" s="83">
        <f t="shared" si="233"/>
        <v>-813332.52450000006</v>
      </c>
      <c r="O111" s="13"/>
      <c r="P111" s="13"/>
      <c r="Q111" s="13"/>
      <c r="R111" s="13"/>
      <c r="S111" s="13"/>
      <c r="T111" s="13"/>
      <c r="U111" s="13"/>
      <c r="V111" s="13"/>
      <c r="W111" s="83">
        <f>SUM(W68)</f>
        <v>-523615.80308200006</v>
      </c>
      <c r="X111" s="83">
        <f t="shared" ref="X111:AB111" si="234">SUM(X68)</f>
        <v>-261124</v>
      </c>
      <c r="Y111" s="83">
        <f t="shared" si="234"/>
        <v>0</v>
      </c>
      <c r="Z111" s="83">
        <f t="shared" si="234"/>
        <v>-14790.781200000001</v>
      </c>
      <c r="AA111" s="83">
        <f t="shared" si="234"/>
        <v>0</v>
      </c>
      <c r="AB111" s="83">
        <f t="shared" si="234"/>
        <v>-799530.58428199997</v>
      </c>
      <c r="AC111" s="13"/>
      <c r="AD111" s="13"/>
      <c r="AE111" s="13"/>
      <c r="AF111" s="13"/>
      <c r="AG111" s="13"/>
      <c r="AH111" s="13"/>
      <c r="AI111" s="13"/>
      <c r="AJ111" s="13"/>
      <c r="AK111" s="83">
        <f>SUM(AK68)</f>
        <v>-649895</v>
      </c>
      <c r="AL111" s="83">
        <f t="shared" ref="AL111:AP111" si="235">SUM(AL68)</f>
        <v>-556385.96500000008</v>
      </c>
      <c r="AM111" s="83">
        <f t="shared" si="235"/>
        <v>0</v>
      </c>
      <c r="AN111" s="83">
        <f t="shared" si="235"/>
        <v>-10852.1224</v>
      </c>
      <c r="AO111" s="83">
        <f t="shared" si="235"/>
        <v>0</v>
      </c>
      <c r="AP111" s="83">
        <f t="shared" si="235"/>
        <v>-1217133.0873999998</v>
      </c>
      <c r="AQ111" s="13"/>
      <c r="AR111" s="13"/>
      <c r="AS111" s="13"/>
      <c r="AT111" s="13"/>
      <c r="AU111" s="13"/>
      <c r="AV111" s="13"/>
      <c r="AW111" s="13"/>
      <c r="AX111" s="13"/>
      <c r="AY111" s="83">
        <f>SUM(AY68)</f>
        <v>-569930.84970000014</v>
      </c>
      <c r="AZ111" s="83">
        <f t="shared" ref="AZ111:BD111" si="236">SUM(AZ68)</f>
        <v>-735124</v>
      </c>
      <c r="BA111" s="83">
        <f t="shared" si="236"/>
        <v>0</v>
      </c>
      <c r="BB111" s="83">
        <f t="shared" si="236"/>
        <v>-14790.781200000001</v>
      </c>
      <c r="BC111" s="83">
        <f t="shared" si="236"/>
        <v>0</v>
      </c>
      <c r="BD111" s="83">
        <f t="shared" si="236"/>
        <v>-1319845.6309</v>
      </c>
      <c r="BE111" s="13"/>
      <c r="BF111" s="13"/>
      <c r="BG111" s="13"/>
      <c r="BH111" s="13"/>
      <c r="BI111" s="13"/>
      <c r="BJ111" s="13"/>
      <c r="BK111" s="13"/>
    </row>
  </sheetData>
  <mergeCells count="9">
    <mergeCell ref="AK2:AP2"/>
    <mergeCell ref="AR2:AW2"/>
    <mergeCell ref="AY2:BD2"/>
    <mergeCell ref="BF2:BK2"/>
    <mergeCell ref="B2:G2"/>
    <mergeCell ref="I2:N2"/>
    <mergeCell ref="W2:AB2"/>
    <mergeCell ref="P2:U2"/>
    <mergeCell ref="AD2:AI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0A326-4794-41DE-9850-9FD7057D6D02}">
  <sheetPr codeName="Sheet4">
    <tabColor theme="9"/>
  </sheetPr>
  <dimension ref="A2:AX111"/>
  <sheetViews>
    <sheetView showGridLines="0" zoomScale="143" zoomScaleNormal="100" workbookViewId="0">
      <pane xSplit="4" topLeftCell="Q1" activePane="topRight" state="frozen"/>
      <selection pane="topRight" activeCell="AF8" sqref="AF8"/>
    </sheetView>
  </sheetViews>
  <sheetFormatPr baseColWidth="10" defaultColWidth="8.5" defaultRowHeight="11" outlineLevelRow="1" outlineLevelCol="1"/>
  <cols>
    <col min="1" max="1" width="9.5" style="51" customWidth="1"/>
    <col min="2" max="2" width="22.5" style="51" bestFit="1" customWidth="1"/>
    <col min="3" max="3" width="5" style="51" customWidth="1"/>
    <col min="4" max="4" width="8.5" style="7" hidden="1" customWidth="1" outlineLevel="1"/>
    <col min="5" max="5" width="9.1640625" style="7" hidden="1" customWidth="1" outlineLevel="1"/>
    <col min="6" max="6" width="8.5" style="7" hidden="1" customWidth="1" outlineLevel="1"/>
    <col min="7" max="7" width="9.1640625" style="7" hidden="1" customWidth="1" outlineLevel="1"/>
    <col min="8" max="8" width="8.5" style="7" hidden="1" customWidth="1" outlineLevel="1"/>
    <col min="9" max="11" width="8.83203125" style="51" hidden="1" customWidth="1" outlineLevel="1"/>
    <col min="12" max="12" width="9" style="51" hidden="1" customWidth="1" outlineLevel="1" collapsed="1"/>
    <col min="13" max="13" width="9.1640625" style="51" hidden="1" customWidth="1" outlineLevel="1"/>
    <col min="14" max="15" width="9" style="51" hidden="1" customWidth="1" outlineLevel="1"/>
    <col min="16" max="16" width="3.1640625" style="51" hidden="1" customWidth="1" outlineLevel="1"/>
    <col min="17" max="17" width="9.5" style="52" bestFit="1" customWidth="1" collapsed="1"/>
    <col min="18" max="18" width="2.33203125" style="51" customWidth="1"/>
    <col min="19" max="19" width="9.1640625" style="7" hidden="1" customWidth="1" outlineLevel="1"/>
    <col min="20" max="22" width="8.83203125" style="7" hidden="1" customWidth="1" outlineLevel="1"/>
    <col min="23" max="23" width="9.1640625" style="7" hidden="1" customWidth="1" outlineLevel="1"/>
    <col min="24" max="30" width="8.83203125" style="51" hidden="1" customWidth="1" outlineLevel="1"/>
    <col min="31" max="31" width="3.1640625" style="51" hidden="1" customWidth="1" outlineLevel="1"/>
    <col min="32" max="32" width="10.5" style="52" bestFit="1" customWidth="1" collapsed="1"/>
    <col min="33" max="33" width="6.33203125" style="7" customWidth="1"/>
    <col min="34" max="38" width="8.83203125" style="7" hidden="1" customWidth="1" outlineLevel="1"/>
    <col min="39" max="43" width="8.83203125" style="51" hidden="1" customWidth="1" outlineLevel="1"/>
    <col min="44" max="45" width="9.5" style="51" hidden="1" customWidth="1" outlineLevel="1"/>
    <col min="46" max="46" width="3.1640625" style="51" hidden="1" customWidth="1" outlineLevel="1"/>
    <col min="47" max="47" width="10.5" style="52" bestFit="1" customWidth="1" collapsed="1"/>
    <col min="48" max="48" width="6.33203125" style="7" customWidth="1"/>
    <col min="49" max="49" width="12.5" style="7" bestFit="1" customWidth="1"/>
    <col min="50" max="16384" width="8.5" style="7"/>
  </cols>
  <sheetData>
    <row r="2" spans="1:49" ht="16">
      <c r="B2" s="143" t="s">
        <v>173</v>
      </c>
      <c r="D2" s="546" t="s">
        <v>174</v>
      </c>
      <c r="E2" s="546"/>
      <c r="F2" s="546"/>
      <c r="G2" s="546"/>
      <c r="H2" s="546"/>
      <c r="I2" s="546"/>
      <c r="J2" s="546"/>
      <c r="K2" s="546"/>
      <c r="L2" s="546"/>
      <c r="M2" s="546"/>
      <c r="N2" s="546"/>
      <c r="O2" s="546"/>
      <c r="P2" s="546"/>
      <c r="Q2" s="546"/>
      <c r="S2" s="546" t="s">
        <v>75</v>
      </c>
      <c r="T2" s="546"/>
      <c r="U2" s="546"/>
      <c r="V2" s="546"/>
      <c r="W2" s="546"/>
      <c r="X2" s="546"/>
      <c r="Y2" s="546"/>
      <c r="Z2" s="546"/>
      <c r="AA2" s="546"/>
      <c r="AB2" s="546"/>
      <c r="AC2" s="546"/>
      <c r="AD2" s="546"/>
      <c r="AE2" s="546"/>
      <c r="AF2" s="546"/>
      <c r="AH2" s="546" t="s">
        <v>81</v>
      </c>
      <c r="AI2" s="546"/>
      <c r="AJ2" s="546"/>
      <c r="AK2" s="546"/>
      <c r="AL2" s="546"/>
      <c r="AM2" s="546"/>
      <c r="AN2" s="546"/>
      <c r="AO2" s="546"/>
      <c r="AP2" s="546"/>
      <c r="AQ2" s="546"/>
      <c r="AR2" s="546"/>
      <c r="AS2" s="546"/>
      <c r="AT2" s="546"/>
      <c r="AU2" s="546"/>
    </row>
    <row r="3" spans="1:49">
      <c r="B3" s="52"/>
      <c r="D3" s="54" t="s">
        <v>175</v>
      </c>
      <c r="E3" s="54" t="s">
        <v>175</v>
      </c>
      <c r="F3" s="54" t="s">
        <v>175</v>
      </c>
      <c r="G3" s="54" t="s">
        <v>176</v>
      </c>
      <c r="H3" s="54" t="s">
        <v>176</v>
      </c>
      <c r="I3" s="54" t="s">
        <v>176</v>
      </c>
      <c r="J3" s="54" t="s">
        <v>177</v>
      </c>
      <c r="K3" s="54" t="s">
        <v>177</v>
      </c>
      <c r="L3" s="54" t="s">
        <v>177</v>
      </c>
      <c r="M3" s="55" t="s">
        <v>178</v>
      </c>
      <c r="N3" s="55" t="s">
        <v>178</v>
      </c>
      <c r="O3" s="55" t="s">
        <v>178</v>
      </c>
      <c r="S3" s="80" t="s">
        <v>175</v>
      </c>
      <c r="T3" s="80" t="s">
        <v>175</v>
      </c>
      <c r="U3" s="80" t="s">
        <v>175</v>
      </c>
      <c r="V3" s="80" t="s">
        <v>176</v>
      </c>
      <c r="W3" s="80" t="s">
        <v>176</v>
      </c>
      <c r="X3" s="55" t="s">
        <v>176</v>
      </c>
      <c r="Y3" s="55" t="s">
        <v>177</v>
      </c>
      <c r="Z3" s="55" t="s">
        <v>177</v>
      </c>
      <c r="AA3" s="55" t="s">
        <v>177</v>
      </c>
      <c r="AB3" s="55" t="s">
        <v>178</v>
      </c>
      <c r="AC3" s="55" t="s">
        <v>178</v>
      </c>
      <c r="AD3" s="55" t="s">
        <v>178</v>
      </c>
      <c r="AH3" s="80" t="s">
        <v>175</v>
      </c>
      <c r="AI3" s="80" t="s">
        <v>175</v>
      </c>
      <c r="AJ3" s="80" t="s">
        <v>175</v>
      </c>
      <c r="AK3" s="80" t="s">
        <v>176</v>
      </c>
      <c r="AL3" s="80" t="s">
        <v>176</v>
      </c>
      <c r="AM3" s="55" t="s">
        <v>176</v>
      </c>
      <c r="AN3" s="55" t="s">
        <v>177</v>
      </c>
      <c r="AO3" s="55" t="s">
        <v>177</v>
      </c>
      <c r="AP3" s="55" t="s">
        <v>177</v>
      </c>
      <c r="AQ3" s="55" t="s">
        <v>178</v>
      </c>
      <c r="AR3" s="55" t="s">
        <v>178</v>
      </c>
      <c r="AS3" s="55" t="s">
        <v>178</v>
      </c>
    </row>
    <row r="4" spans="1:49" ht="36">
      <c r="D4" s="56">
        <v>45716</v>
      </c>
      <c r="E4" s="56">
        <v>45747</v>
      </c>
      <c r="F4" s="56">
        <v>45777</v>
      </c>
      <c r="G4" s="56">
        <v>45808</v>
      </c>
      <c r="H4" s="56">
        <v>45838</v>
      </c>
      <c r="I4" s="56">
        <f t="shared" ref="I4:O4" si="0">EOMONTH(H4,1)</f>
        <v>45869</v>
      </c>
      <c r="J4" s="56">
        <f t="shared" si="0"/>
        <v>45900</v>
      </c>
      <c r="K4" s="56">
        <f t="shared" si="0"/>
        <v>45930</v>
      </c>
      <c r="L4" s="56">
        <f t="shared" si="0"/>
        <v>45961</v>
      </c>
      <c r="M4" s="57">
        <f t="shared" si="0"/>
        <v>45991</v>
      </c>
      <c r="N4" s="57">
        <f t="shared" si="0"/>
        <v>46022</v>
      </c>
      <c r="O4" s="57">
        <f t="shared" si="0"/>
        <v>46053</v>
      </c>
      <c r="P4" s="57"/>
      <c r="Q4" s="55" t="s">
        <v>174</v>
      </c>
      <c r="S4" s="81">
        <v>46081</v>
      </c>
      <c r="T4" s="81">
        <f>EOMONTH(S4,1)</f>
        <v>46112</v>
      </c>
      <c r="U4" s="81">
        <f>EOMONTH(T4,1)</f>
        <v>46142</v>
      </c>
      <c r="V4" s="81">
        <f>EOMONTH(U4,1)</f>
        <v>46173</v>
      </c>
      <c r="W4" s="81">
        <f>EOMONTH(V4,1)</f>
        <v>46203</v>
      </c>
      <c r="X4" s="57">
        <f t="shared" ref="X4" si="1">EOMONTH(W4,1)</f>
        <v>46234</v>
      </c>
      <c r="Y4" s="57">
        <f t="shared" ref="Y4" si="2">EOMONTH(X4,1)</f>
        <v>46265</v>
      </c>
      <c r="Z4" s="57">
        <f t="shared" ref="Z4" si="3">EOMONTH(Y4,1)</f>
        <v>46295</v>
      </c>
      <c r="AA4" s="57">
        <f t="shared" ref="AA4" si="4">EOMONTH(Z4,1)</f>
        <v>46326</v>
      </c>
      <c r="AB4" s="57">
        <f t="shared" ref="AB4" si="5">EOMONTH(AA4,1)</f>
        <v>46356</v>
      </c>
      <c r="AC4" s="57">
        <f t="shared" ref="AC4" si="6">EOMONTH(AB4,1)</f>
        <v>46387</v>
      </c>
      <c r="AD4" s="57">
        <f t="shared" ref="AD4" si="7">EOMONTH(AC4,1)</f>
        <v>46418</v>
      </c>
      <c r="AE4" s="57"/>
      <c r="AF4" s="55" t="s">
        <v>75</v>
      </c>
      <c r="AG4" s="527" t="s">
        <v>179</v>
      </c>
      <c r="AH4" s="81">
        <v>46446</v>
      </c>
      <c r="AI4" s="81">
        <f>EOMONTH(AH4,1)</f>
        <v>46477</v>
      </c>
      <c r="AJ4" s="81">
        <f>EOMONTH(AI4,1)</f>
        <v>46507</v>
      </c>
      <c r="AK4" s="81">
        <f>EOMONTH(AJ4,1)</f>
        <v>46538</v>
      </c>
      <c r="AL4" s="81">
        <f>EOMONTH(AK4,1)</f>
        <v>46568</v>
      </c>
      <c r="AM4" s="57">
        <f t="shared" ref="AM4" si="8">EOMONTH(AL4,1)</f>
        <v>46599</v>
      </c>
      <c r="AN4" s="57">
        <f t="shared" ref="AN4" si="9">EOMONTH(AM4,1)</f>
        <v>46630</v>
      </c>
      <c r="AO4" s="57">
        <f t="shared" ref="AO4" si="10">EOMONTH(AN4,1)</f>
        <v>46660</v>
      </c>
      <c r="AP4" s="57">
        <f t="shared" ref="AP4" si="11">EOMONTH(AO4,1)</f>
        <v>46691</v>
      </c>
      <c r="AQ4" s="57">
        <f t="shared" ref="AQ4" si="12">EOMONTH(AP4,1)</f>
        <v>46721</v>
      </c>
      <c r="AR4" s="57">
        <f t="shared" ref="AR4" si="13">EOMONTH(AQ4,1)</f>
        <v>46752</v>
      </c>
      <c r="AS4" s="57">
        <f t="shared" ref="AS4" si="14">EOMONTH(AR4,1)</f>
        <v>46783</v>
      </c>
      <c r="AT4" s="57"/>
      <c r="AU4" s="55" t="s">
        <v>81</v>
      </c>
      <c r="AV4" s="527" t="s">
        <v>179</v>
      </c>
    </row>
    <row r="5" spans="1:49">
      <c r="B5" s="58" t="s">
        <v>82</v>
      </c>
      <c r="D5" s="46" t="s">
        <v>180</v>
      </c>
      <c r="E5" s="46" t="s">
        <v>180</v>
      </c>
      <c r="F5" s="46" t="s">
        <v>180</v>
      </c>
      <c r="G5" s="46" t="s">
        <v>180</v>
      </c>
      <c r="H5" s="46" t="s">
        <v>180</v>
      </c>
      <c r="I5" s="46" t="s">
        <v>180</v>
      </c>
      <c r="J5" s="46" t="s">
        <v>180</v>
      </c>
      <c r="K5" s="46" t="s">
        <v>180</v>
      </c>
      <c r="L5" s="46" t="s">
        <v>180</v>
      </c>
      <c r="M5" s="48" t="s">
        <v>42</v>
      </c>
      <c r="N5" s="48" t="s">
        <v>42</v>
      </c>
      <c r="O5" s="48" t="s">
        <v>42</v>
      </c>
      <c r="S5" s="82" t="s">
        <v>42</v>
      </c>
      <c r="T5" s="82" t="s">
        <v>42</v>
      </c>
      <c r="U5" s="82" t="s">
        <v>42</v>
      </c>
      <c r="V5" s="82" t="s">
        <v>42</v>
      </c>
      <c r="W5" s="82" t="s">
        <v>42</v>
      </c>
      <c r="X5" s="48" t="s">
        <v>42</v>
      </c>
      <c r="Y5" s="48" t="s">
        <v>42</v>
      </c>
      <c r="Z5" s="48" t="s">
        <v>42</v>
      </c>
      <c r="AA5" s="48" t="s">
        <v>42</v>
      </c>
      <c r="AB5" s="48" t="s">
        <v>42</v>
      </c>
      <c r="AC5" s="48" t="s">
        <v>42</v>
      </c>
      <c r="AD5" s="48" t="s">
        <v>42</v>
      </c>
      <c r="AG5" s="527"/>
      <c r="AH5" s="82" t="s">
        <v>42</v>
      </c>
      <c r="AI5" s="82" t="s">
        <v>42</v>
      </c>
      <c r="AJ5" s="82" t="s">
        <v>42</v>
      </c>
      <c r="AK5" s="82" t="s">
        <v>42</v>
      </c>
      <c r="AL5" s="82" t="s">
        <v>42</v>
      </c>
      <c r="AM5" s="48" t="s">
        <v>42</v>
      </c>
      <c r="AN5" s="48" t="s">
        <v>42</v>
      </c>
      <c r="AO5" s="48" t="s">
        <v>42</v>
      </c>
      <c r="AP5" s="48" t="s">
        <v>42</v>
      </c>
      <c r="AQ5" s="48" t="s">
        <v>42</v>
      </c>
      <c r="AR5" s="48" t="s">
        <v>42</v>
      </c>
      <c r="AS5" s="48" t="s">
        <v>42</v>
      </c>
    </row>
    <row r="6" spans="1:49">
      <c r="D6" s="53"/>
      <c r="E6" s="53"/>
      <c r="F6" s="53"/>
      <c r="G6" s="53"/>
      <c r="H6" s="53"/>
      <c r="I6" s="53"/>
      <c r="J6" s="53"/>
      <c r="K6" s="53"/>
      <c r="L6" s="53"/>
    </row>
    <row r="7" spans="1:49">
      <c r="B7" s="51" t="s">
        <v>83</v>
      </c>
      <c r="D7" s="511">
        <v>202799</v>
      </c>
      <c r="E7" s="480">
        <v>601303</v>
      </c>
      <c r="F7" s="511">
        <v>631785</v>
      </c>
      <c r="G7" s="480">
        <v>566075</v>
      </c>
      <c r="H7" s="511">
        <v>263390</v>
      </c>
      <c r="I7" s="480">
        <v>864744</v>
      </c>
      <c r="J7" s="480">
        <v>821520</v>
      </c>
      <c r="K7" s="480">
        <v>235662</v>
      </c>
      <c r="L7" s="480">
        <v>1394453</v>
      </c>
      <c r="M7" s="60">
        <v>1634636</v>
      </c>
      <c r="N7" s="60">
        <v>667657</v>
      </c>
      <c r="O7" s="60">
        <v>468991</v>
      </c>
      <c r="P7" s="60"/>
      <c r="Q7" s="61">
        <f>SUM(D7:O7)</f>
        <v>8353015</v>
      </c>
      <c r="R7" s="77"/>
      <c r="S7" s="60">
        <f>'UK P&amp;L'!S7+'CE P&amp;L'!S7+'EE P&amp;L'!S7+'ROW P&amp;L'!S8</f>
        <v>587493.49187849485</v>
      </c>
      <c r="T7" s="60">
        <f>'UK P&amp;L'!T7+'CE P&amp;L'!T7+'EE P&amp;L'!T7+'ROW P&amp;L'!T8</f>
        <v>1054223.3508569333</v>
      </c>
      <c r="U7" s="60">
        <f>'UK P&amp;L'!U7+'CE P&amp;L'!U7+'EE P&amp;L'!U7+'ROW P&amp;L'!U8</f>
        <v>957195.8762871963</v>
      </c>
      <c r="V7" s="60">
        <f>'UK P&amp;L'!V7+'CE P&amp;L'!V7+'EE P&amp;L'!V7+'ROW P&amp;L'!V8</f>
        <v>694824.40721202525</v>
      </c>
      <c r="W7" s="60">
        <f>'UK P&amp;L'!W7+'CE P&amp;L'!W7+'EE P&amp;L'!W7+'ROW P&amp;L'!W8</f>
        <v>683629.95890520152</v>
      </c>
      <c r="X7" s="60">
        <f>'UK P&amp;L'!X7+'CE P&amp;L'!X7+'EE P&amp;L'!X7+'ROW P&amp;L'!X8</f>
        <v>1434325.01110494</v>
      </c>
      <c r="Y7" s="60">
        <f>'UK P&amp;L'!Y7+'CE P&amp;L'!Y7+'EE P&amp;L'!Y7+'ROW P&amp;L'!Y8</f>
        <v>847776.86132878286</v>
      </c>
      <c r="Z7" s="60">
        <f>'UK P&amp;L'!Z7+'CE P&amp;L'!Z7+'EE P&amp;L'!Z7+'ROW P&amp;L'!Z8</f>
        <v>823954.7585194197</v>
      </c>
      <c r="AA7" s="60">
        <f>'UK P&amp;L'!AA7+'CE P&amp;L'!AA7+'EE P&amp;L'!AA7+'ROW P&amp;L'!AA8</f>
        <v>1761070.8446429353</v>
      </c>
      <c r="AB7" s="60">
        <f>'UK P&amp;L'!AB7+'CE P&amp;L'!AB7+'EE P&amp;L'!AB7+'ROW P&amp;L'!AB8</f>
        <v>1680907.4787705885</v>
      </c>
      <c r="AC7" s="60">
        <f>'UK P&amp;L'!AC7+'CE P&amp;L'!AC7+'EE P&amp;L'!AC7+'ROW P&amp;L'!AC8</f>
        <v>956254.00936507911</v>
      </c>
      <c r="AD7" s="60">
        <f>'UK P&amp;L'!AD7+'CE P&amp;L'!AD7+'EE P&amp;L'!AD7+'ROW P&amp;L'!AD8</f>
        <v>1045342.6026124014</v>
      </c>
      <c r="AE7" s="60"/>
      <c r="AF7" s="61">
        <f>SUM(S7:AD7)</f>
        <v>12526998.651483998</v>
      </c>
      <c r="AG7" s="531">
        <f>IFERROR(AF7/Q7-1,0)</f>
        <v>0.49969785179171811</v>
      </c>
      <c r="AH7" s="60">
        <f>'UK P&amp;L'!AH7+'CE P&amp;L'!AH7+'EE P&amp;L'!AH7+'ROW P&amp;L'!AH8</f>
        <v>1133474.868377019</v>
      </c>
      <c r="AI7" s="60">
        <f>'UK P&amp;L'!AI7+'CE P&amp;L'!AI7+'EE P&amp;L'!AI7+'ROW P&amp;L'!AI8</f>
        <v>1806900.2249114977</v>
      </c>
      <c r="AJ7" s="60">
        <f>'UK P&amp;L'!AJ7+'CE P&amp;L'!AJ7+'EE P&amp;L'!AJ7+'ROW P&amp;L'!AJ8</f>
        <v>1644187.330257148</v>
      </c>
      <c r="AK7" s="60">
        <f>'UK P&amp;L'!AK7+'CE P&amp;L'!AK7+'EE P&amp;L'!AK7+'ROW P&amp;L'!AK8</f>
        <v>1390501.9958159116</v>
      </c>
      <c r="AL7" s="60">
        <f>'UK P&amp;L'!AL7+'CE P&amp;L'!AL7+'EE P&amp;L'!AL7+'ROW P&amp;L'!AL8</f>
        <v>1402973.3995909812</v>
      </c>
      <c r="AM7" s="60">
        <f>'UK P&amp;L'!AM7+'CE P&amp;L'!AM7+'EE P&amp;L'!AM7+'ROW P&amp;L'!AM8</f>
        <v>2408517.775555403</v>
      </c>
      <c r="AN7" s="60">
        <f>'UK P&amp;L'!AN7+'CE P&amp;L'!AN7+'EE P&amp;L'!AN7+'ROW P&amp;L'!AN8</f>
        <v>1529521.6423613694</v>
      </c>
      <c r="AO7" s="60">
        <f>'UK P&amp;L'!AO7+'CE P&amp;L'!AO7+'EE P&amp;L'!AO7+'ROW P&amp;L'!AO8</f>
        <v>1526304.8009344977</v>
      </c>
      <c r="AP7" s="60">
        <f>'UK P&amp;L'!AP7+'CE P&amp;L'!AP7+'EE P&amp;L'!AP7+'ROW P&amp;L'!AP8</f>
        <v>2683353.6691791741</v>
      </c>
      <c r="AQ7" s="60">
        <f>'UK P&amp;L'!AQ7+'CE P&amp;L'!AQ7+'EE P&amp;L'!AQ7+'ROW P&amp;L'!AQ8</f>
        <v>2542355.5791876838</v>
      </c>
      <c r="AR7" s="60">
        <f>'UK P&amp;L'!AR7+'CE P&amp;L'!AR7+'EE P&amp;L'!AR7+'ROW P&amp;L'!AR8</f>
        <v>1663927.6583566689</v>
      </c>
      <c r="AS7" s="60">
        <f>'UK P&amp;L'!AS7+'CE P&amp;L'!AS7+'EE P&amp;L'!AS7+'ROW P&amp;L'!AS8</f>
        <v>1795045.7444303932</v>
      </c>
      <c r="AT7" s="60"/>
      <c r="AU7" s="61">
        <f>SUM(AH7:AS7)</f>
        <v>21527064.688957747</v>
      </c>
      <c r="AV7" s="531">
        <f>IFERROR(AU7/AF7-1,0)</f>
        <v>0.71845350094354532</v>
      </c>
    </row>
    <row r="8" spans="1:49">
      <c r="B8" s="51" t="s">
        <v>84</v>
      </c>
      <c r="D8" s="511">
        <v>664598</v>
      </c>
      <c r="E8" s="480">
        <v>511858</v>
      </c>
      <c r="F8" s="511">
        <v>289271</v>
      </c>
      <c r="G8" s="480">
        <v>509722</v>
      </c>
      <c r="H8" s="511">
        <v>591785</v>
      </c>
      <c r="I8" s="480">
        <v>418370</v>
      </c>
      <c r="J8" s="480">
        <v>329766</v>
      </c>
      <c r="K8" s="480">
        <v>506223</v>
      </c>
      <c r="L8" s="480">
        <v>705912</v>
      </c>
      <c r="M8" s="60">
        <v>764505</v>
      </c>
      <c r="N8" s="60">
        <v>767320</v>
      </c>
      <c r="O8" s="60">
        <v>569633</v>
      </c>
      <c r="P8" s="60"/>
      <c r="Q8" s="61">
        <f>SUM(D8:O8)</f>
        <v>6628963</v>
      </c>
      <c r="R8" s="77"/>
      <c r="S8" s="60">
        <f>B2B!V113</f>
        <v>449360.45440000005</v>
      </c>
      <c r="T8" s="60">
        <f>B2B!W113</f>
        <v>705870.75789999997</v>
      </c>
      <c r="U8" s="60">
        <f>B2B!X113</f>
        <v>560120.97219999996</v>
      </c>
      <c r="V8" s="60">
        <f>B2B!Y113</f>
        <v>588909.58830000018</v>
      </c>
      <c r="W8" s="60">
        <f>B2B!Z113</f>
        <v>651637.06967358082</v>
      </c>
      <c r="X8" s="60">
        <f>B2B!AA113</f>
        <v>438387.90211179043</v>
      </c>
      <c r="Y8" s="60">
        <f>B2B!AB113</f>
        <v>565869.50146572059</v>
      </c>
      <c r="Z8" s="60">
        <f>B2B!AC113</f>
        <v>1138090.4923578603</v>
      </c>
      <c r="AA8" s="60">
        <f>B2B!AD113</f>
        <v>807242.71266572049</v>
      </c>
      <c r="AB8" s="60">
        <f>B2B!AE113</f>
        <v>659561.0254246603</v>
      </c>
      <c r="AC8" s="60">
        <f>B2B!AF113</f>
        <v>488057.04544844799</v>
      </c>
      <c r="AD8" s="60">
        <f>B2B!AG113</f>
        <v>514690.9705769564</v>
      </c>
      <c r="AE8" s="60"/>
      <c r="AF8" s="61">
        <f>SUM(S8:AD8)</f>
        <v>7567798.4925247375</v>
      </c>
      <c r="AG8" s="531">
        <f>IFERROR(AF8/Q8-1,0)</f>
        <v>0.14162629849114228</v>
      </c>
      <c r="AH8" s="60">
        <f>B2B!AK113</f>
        <v>550368.75819000008</v>
      </c>
      <c r="AI8" s="60">
        <f>B2B!AL113</f>
        <v>623444.76433499996</v>
      </c>
      <c r="AJ8" s="60">
        <f>B2B!AM113</f>
        <v>708143.05111</v>
      </c>
      <c r="AK8" s="60">
        <f>B2B!AN113</f>
        <v>747837.52592355572</v>
      </c>
      <c r="AL8" s="60">
        <f>B2B!AO113</f>
        <v>781870.60221594677</v>
      </c>
      <c r="AM8" s="60">
        <f>B2B!AP113</f>
        <v>539331.01733192941</v>
      </c>
      <c r="AN8" s="60">
        <f>B2B!AQ113</f>
        <v>685093.44234472816</v>
      </c>
      <c r="AO8" s="60">
        <f>B2B!AR113</f>
        <v>1446716.7982789194</v>
      </c>
      <c r="AP8" s="60">
        <f>B2B!AS113</f>
        <v>1045207.881400248</v>
      </c>
      <c r="AQ8" s="60">
        <f>B2B!AT113</f>
        <v>872848.13788983005</v>
      </c>
      <c r="AR8" s="60">
        <f>B2B!AU113</f>
        <v>657853.84730337106</v>
      </c>
      <c r="AS8" s="60">
        <f>B2B!AV113</f>
        <v>626230.54806345818</v>
      </c>
      <c r="AT8" s="60"/>
      <c r="AU8" s="61">
        <f>SUM(AH8:AS8)</f>
        <v>9284946.3743869886</v>
      </c>
      <c r="AV8" s="531">
        <f>IFERROR(AU8/AF8-1,0)</f>
        <v>0.22690190331552862</v>
      </c>
      <c r="AW8" s="83"/>
    </row>
    <row r="9" spans="1:49">
      <c r="B9" s="51" t="s">
        <v>85</v>
      </c>
      <c r="D9" s="511">
        <v>176029</v>
      </c>
      <c r="E9" s="480">
        <v>241390</v>
      </c>
      <c r="F9" s="511">
        <v>224283</v>
      </c>
      <c r="G9" s="480">
        <v>226436</v>
      </c>
      <c r="H9" s="511">
        <v>202175</v>
      </c>
      <c r="I9" s="480">
        <v>269729</v>
      </c>
      <c r="J9" s="480">
        <v>219995</v>
      </c>
      <c r="K9" s="480">
        <v>239633</v>
      </c>
      <c r="L9" s="480">
        <v>286625</v>
      </c>
      <c r="M9" s="60">
        <v>313378</v>
      </c>
      <c r="N9" s="60">
        <v>313378</v>
      </c>
      <c r="O9" s="60">
        <v>242801</v>
      </c>
      <c r="P9" s="60"/>
      <c r="Q9" s="61">
        <f>SUM(D9:O9)</f>
        <v>2955852</v>
      </c>
      <c r="R9" s="77"/>
      <c r="S9" s="60">
        <f ca="1">'UK P&amp;L'!S9+'CE P&amp;L'!S9+'EE P&amp;L'!S9+'ROW P&amp;L'!S10</f>
        <v>195081.19999999998</v>
      </c>
      <c r="T9" s="60">
        <f ca="1">'UK P&amp;L'!T9+'CE P&amp;L'!T9+'EE P&amp;L'!T9+'ROW P&amp;L'!T10</f>
        <v>269204</v>
      </c>
      <c r="U9" s="60">
        <f ca="1">'UK P&amp;L'!U9+'CE P&amp;L'!U9+'EE P&amp;L'!U9+'ROW P&amp;L'!U10</f>
        <v>252712.41</v>
      </c>
      <c r="V9" s="60">
        <f ca="1">'UK P&amp;L'!V9+'CE P&amp;L'!V9+'EE P&amp;L'!V9+'ROW P&amp;L'!V10</f>
        <v>250097.03999999998</v>
      </c>
      <c r="W9" s="60">
        <f ca="1">'UK P&amp;L'!W9+'CE P&amp;L'!W9+'EE P&amp;L'!W9+'ROW P&amp;L'!W10</f>
        <v>242723.35574468086</v>
      </c>
      <c r="X9" s="60">
        <f ca="1">'UK P&amp;L'!X9+'CE P&amp;L'!X9+'EE P&amp;L'!X9+'ROW P&amp;L'!X10</f>
        <v>310707.82</v>
      </c>
      <c r="Y9" s="60">
        <f ca="1">'UK P&amp;L'!Y9+'CE P&amp;L'!Y9+'EE P&amp;L'!Y9+'ROW P&amp;L'!Y10</f>
        <v>245213.40000000002</v>
      </c>
      <c r="Z9" s="60">
        <f ca="1">'UK P&amp;L'!Z9+'CE P&amp;L'!Z9+'EE P&amp;L'!Z9+'ROW P&amp;L'!Z10</f>
        <v>269938.19489361701</v>
      </c>
      <c r="AA9" s="60">
        <f ca="1">'UK P&amp;L'!AA9+'CE P&amp;L'!AA9+'EE P&amp;L'!AA9+'ROW P&amp;L'!AA10</f>
        <v>324600.74000000005</v>
      </c>
      <c r="AB9" s="60">
        <f ca="1">'UK P&amp;L'!AB9+'CE P&amp;L'!AB9+'EE P&amp;L'!AB9+'ROW P&amp;L'!AB10</f>
        <v>342182.81</v>
      </c>
      <c r="AC9" s="60">
        <f ca="1">'UK P&amp;L'!AC9+'CE P&amp;L'!AC9+'EE P&amp;L'!AC9+'ROW P&amp;L'!AC10</f>
        <v>337235.86199999996</v>
      </c>
      <c r="AD9" s="60">
        <f ca="1">'UK P&amp;L'!AD9+'CE P&amp;L'!AD9+'EE P&amp;L'!AD9+'ROW P&amp;L'!AD10</f>
        <v>264740.712</v>
      </c>
      <c r="AE9" s="60"/>
      <c r="AF9" s="61">
        <f ca="1">SUM(S9:AD9)</f>
        <v>3304437.544638298</v>
      </c>
      <c r="AG9" s="531">
        <f ca="1">IFERROR(AF9/Q9-1,0)</f>
        <v>0.11793064897643646</v>
      </c>
      <c r="AH9" s="60">
        <f ca="1">'UK P&amp;L'!AH9+'CE P&amp;L'!AH9+'EE P&amp;L'!AH9+'ROW P&amp;L'!AH10</f>
        <v>225060.34799999997</v>
      </c>
      <c r="AI9" s="60">
        <f ca="1">'UK P&amp;L'!AI9+'CE P&amp;L'!AI9+'EE P&amp;L'!AI9+'ROW P&amp;L'!AI10</f>
        <v>284724.43400000001</v>
      </c>
      <c r="AJ9" s="60">
        <f ca="1">'UK P&amp;L'!AJ9+'CE P&amp;L'!AJ9+'EE P&amp;L'!AJ9+'ROW P&amp;L'!AJ10</f>
        <v>267812.98690000002</v>
      </c>
      <c r="AK9" s="60">
        <f ca="1">'UK P&amp;L'!AK9+'CE P&amp;L'!AK9+'EE P&amp;L'!AK9+'ROW P&amp;L'!AK10</f>
        <v>264511.4694</v>
      </c>
      <c r="AL9" s="60">
        <f ca="1">'UK P&amp;L'!AL9+'CE P&amp;L'!AL9+'EE P&amp;L'!AL9+'ROW P&amp;L'!AL10</f>
        <v>256408.88752085104</v>
      </c>
      <c r="AM9" s="60">
        <f ca="1">'UK P&amp;L'!AM9+'CE P&amp;L'!AM9+'EE P&amp;L'!AM9+'ROW P&amp;L'!AM10</f>
        <v>333411.13237400004</v>
      </c>
      <c r="AN9" s="60">
        <f ca="1">'UK P&amp;L'!AN9+'CE P&amp;L'!AN9+'EE P&amp;L'!AN9+'ROW P&amp;L'!AN10</f>
        <v>262049.28540000002</v>
      </c>
      <c r="AO9" s="60">
        <f ca="1">'UK P&amp;L'!AO9+'CE P&amp;L'!AO9+'EE P&amp;L'!AO9+'ROW P&amp;L'!AO10</f>
        <v>281913.69465702132</v>
      </c>
      <c r="AP9" s="60">
        <f ca="1">'UK P&amp;L'!AP9+'CE P&amp;L'!AP9+'EE P&amp;L'!AP9+'ROW P&amp;L'!AP10</f>
        <v>339239.26717400004</v>
      </c>
      <c r="AQ9" s="60">
        <f ca="1">'UK P&amp;L'!AQ9+'CE P&amp;L'!AQ9+'EE P&amp;L'!AQ9+'ROW P&amp;L'!AQ10</f>
        <v>352908.93241139996</v>
      </c>
      <c r="AR9" s="60">
        <f ca="1">'UK P&amp;L'!AR9+'CE P&amp;L'!AR9+'EE P&amp;L'!AR9+'ROW P&amp;L'!AR10</f>
        <v>346857.10981140001</v>
      </c>
      <c r="AS9" s="60">
        <f ca="1">'UK P&amp;L'!AS9+'CE P&amp;L'!AS9+'EE P&amp;L'!AS9+'ROW P&amp;L'!AS10</f>
        <v>288510.39022254001</v>
      </c>
      <c r="AT9" s="60"/>
      <c r="AU9" s="61">
        <f ca="1">SUM(AH9:AS9)</f>
        <v>3503407.9378712126</v>
      </c>
      <c r="AV9" s="531">
        <f ca="1">IFERROR(AU9/AF9-1,0)</f>
        <v>6.0213089382112672E-2</v>
      </c>
    </row>
    <row r="10" spans="1:49">
      <c r="B10" s="51" t="s">
        <v>86</v>
      </c>
      <c r="D10" s="511">
        <v>13626</v>
      </c>
      <c r="E10" s="480">
        <v>7932</v>
      </c>
      <c r="F10" s="511">
        <v>9528</v>
      </c>
      <c r="G10" s="480">
        <v>6522</v>
      </c>
      <c r="H10" s="511">
        <v>9097</v>
      </c>
      <c r="I10" s="480">
        <v>6971</v>
      </c>
      <c r="J10" s="480">
        <v>6370</v>
      </c>
      <c r="K10" s="480">
        <v>4379</v>
      </c>
      <c r="L10" s="480">
        <v>2185</v>
      </c>
      <c r="M10" s="60">
        <v>7754</v>
      </c>
      <c r="N10" s="60">
        <v>7754</v>
      </c>
      <c r="O10" s="60">
        <v>7754</v>
      </c>
      <c r="P10" s="60"/>
      <c r="Q10" s="61">
        <f>SUM(D10:O10)</f>
        <v>89872</v>
      </c>
      <c r="R10" s="62"/>
      <c r="S10" s="60">
        <f>'UK P&amp;L'!S10+'CE P&amp;L'!S10+'EE P&amp;L'!S10+'ROW P&amp;L'!S11</f>
        <v>0</v>
      </c>
      <c r="T10" s="60">
        <f>'UK P&amp;L'!T10+'CE P&amp;L'!T10+'EE P&amp;L'!T10+'ROW P&amp;L'!T11</f>
        <v>0</v>
      </c>
      <c r="U10" s="60">
        <f>'UK P&amp;L'!U10+'CE P&amp;L'!U10+'EE P&amp;L'!U10+'ROW P&amp;L'!U11</f>
        <v>0</v>
      </c>
      <c r="V10" s="60">
        <f>'UK P&amp;L'!V10+'CE P&amp;L'!V10+'EE P&amp;L'!V10+'ROW P&amp;L'!V11</f>
        <v>0</v>
      </c>
      <c r="W10" s="60">
        <f>'UK P&amp;L'!W10+'CE P&amp;L'!W10+'EE P&amp;L'!W10+'ROW P&amp;L'!W11</f>
        <v>0</v>
      </c>
      <c r="X10" s="60">
        <f>'UK P&amp;L'!X10+'CE P&amp;L'!X10+'EE P&amp;L'!X10+'ROW P&amp;L'!X11</f>
        <v>0</v>
      </c>
      <c r="Y10" s="60">
        <f>'UK P&amp;L'!Y10+'CE P&amp;L'!Y10+'EE P&amp;L'!Y10+'ROW P&amp;L'!Y11</f>
        <v>0</v>
      </c>
      <c r="Z10" s="60">
        <f>'UK P&amp;L'!Z10+'CE P&amp;L'!Z10+'EE P&amp;L'!Z10+'ROW P&amp;L'!Z11</f>
        <v>0</v>
      </c>
      <c r="AA10" s="60">
        <f>'UK P&amp;L'!AA10+'CE P&amp;L'!AA10+'EE P&amp;L'!AA10+'ROW P&amp;L'!AA11</f>
        <v>0</v>
      </c>
      <c r="AB10" s="60">
        <f>'UK P&amp;L'!AB10+'CE P&amp;L'!AB10+'EE P&amp;L'!AB10+'ROW P&amp;L'!AB11</f>
        <v>0</v>
      </c>
      <c r="AC10" s="60">
        <f>'UK P&amp;L'!AC10+'CE P&amp;L'!AC10+'EE P&amp;L'!AC10+'ROW P&amp;L'!AC11</f>
        <v>0</v>
      </c>
      <c r="AD10" s="60">
        <f>'UK P&amp;L'!AD10+'CE P&amp;L'!AD10+'EE P&amp;L'!AD10+'ROW P&amp;L'!AD11</f>
        <v>0</v>
      </c>
      <c r="AE10" s="60"/>
      <c r="AF10" s="61">
        <f>SUM(S10:AD10)</f>
        <v>0</v>
      </c>
      <c r="AG10" s="531">
        <f>IFERROR(AF10/Q10-1,0)</f>
        <v>-1</v>
      </c>
      <c r="AH10" s="60">
        <f>'UK P&amp;L'!AH10+'CE P&amp;L'!AH10+'EE P&amp;L'!AH10+'ROW P&amp;L'!AH11</f>
        <v>0</v>
      </c>
      <c r="AI10" s="60">
        <f>'UK P&amp;L'!AI10+'CE P&amp;L'!AI10+'EE P&amp;L'!AI10+'ROW P&amp;L'!AI11</f>
        <v>0</v>
      </c>
      <c r="AJ10" s="60">
        <f>'UK P&amp;L'!AJ10+'CE P&amp;L'!AJ10+'EE P&amp;L'!AJ10+'ROW P&amp;L'!AJ11</f>
        <v>0</v>
      </c>
      <c r="AK10" s="60">
        <f>'UK P&amp;L'!AK10+'CE P&amp;L'!AK10+'EE P&amp;L'!AK10+'ROW P&amp;L'!AK11</f>
        <v>0</v>
      </c>
      <c r="AL10" s="60">
        <f>'UK P&amp;L'!AL10+'CE P&amp;L'!AL10+'EE P&amp;L'!AL10+'ROW P&amp;L'!AL11</f>
        <v>0</v>
      </c>
      <c r="AM10" s="60">
        <f>'UK P&amp;L'!AM10+'CE P&amp;L'!AM10+'EE P&amp;L'!AM10+'ROW P&amp;L'!AM11</f>
        <v>0</v>
      </c>
      <c r="AN10" s="60">
        <f>'UK P&amp;L'!AN10+'CE P&amp;L'!AN10+'EE P&amp;L'!AN10+'ROW P&amp;L'!AN11</f>
        <v>0</v>
      </c>
      <c r="AO10" s="60">
        <f>'UK P&amp;L'!AO10+'CE P&amp;L'!AO10+'EE P&amp;L'!AO10+'ROW P&amp;L'!AO11</f>
        <v>0</v>
      </c>
      <c r="AP10" s="60">
        <f>'UK P&amp;L'!AP10+'CE P&amp;L'!AP10+'EE P&amp;L'!AP10+'ROW P&amp;L'!AP11</f>
        <v>0</v>
      </c>
      <c r="AQ10" s="60">
        <f>'UK P&amp;L'!AQ10+'CE P&amp;L'!AQ10+'EE P&amp;L'!AQ10+'ROW P&amp;L'!AQ11</f>
        <v>0</v>
      </c>
      <c r="AR10" s="60">
        <f>'UK P&amp;L'!AR10+'CE P&amp;L'!AR10+'EE P&amp;L'!AR10+'ROW P&amp;L'!AR11</f>
        <v>0</v>
      </c>
      <c r="AS10" s="60">
        <f>'UK P&amp;L'!AS10+'CE P&amp;L'!AS10+'EE P&amp;L'!AS10+'ROW P&amp;L'!AS11</f>
        <v>0</v>
      </c>
      <c r="AT10" s="60"/>
      <c r="AU10" s="61">
        <f>SUM(AH10:AS10)</f>
        <v>0</v>
      </c>
      <c r="AV10" s="531">
        <f>IFERROR(AU10/AF10-1,0)</f>
        <v>0</v>
      </c>
    </row>
    <row r="11" spans="1:49">
      <c r="B11" s="51" t="s">
        <v>181</v>
      </c>
      <c r="D11" s="511"/>
      <c r="E11" s="480"/>
      <c r="F11" s="511"/>
      <c r="G11" s="480"/>
      <c r="H11" s="511"/>
      <c r="I11" s="480"/>
      <c r="J11" s="480"/>
      <c r="K11" s="480"/>
      <c r="L11" s="480"/>
      <c r="M11" s="60"/>
      <c r="N11" s="60"/>
      <c r="O11" s="60"/>
      <c r="P11" s="60"/>
      <c r="Q11" s="61"/>
      <c r="S11" s="83"/>
      <c r="T11" s="83"/>
      <c r="U11" s="83"/>
      <c r="V11" s="83"/>
      <c r="W11" s="83"/>
      <c r="X11" s="60"/>
      <c r="Y11" s="60"/>
      <c r="Z11" s="60"/>
      <c r="AA11" s="60"/>
      <c r="AB11" s="60"/>
      <c r="AC11" s="60"/>
      <c r="AD11" s="60"/>
      <c r="AE11" s="60"/>
      <c r="AF11" s="61"/>
      <c r="AG11" s="89"/>
      <c r="AH11" s="83"/>
      <c r="AI11" s="83"/>
      <c r="AJ11" s="83"/>
      <c r="AK11" s="83"/>
      <c r="AL11" s="83"/>
      <c r="AM11" s="60"/>
      <c r="AN11" s="60"/>
      <c r="AO11" s="60"/>
      <c r="AP11" s="60"/>
      <c r="AQ11" s="60"/>
      <c r="AR11" s="60"/>
      <c r="AS11" s="60"/>
      <c r="AT11" s="60"/>
      <c r="AU11" s="61"/>
    </row>
    <row r="12" spans="1:49" s="10" customFormat="1">
      <c r="A12" s="52"/>
      <c r="B12" s="63" t="s">
        <v>87</v>
      </c>
      <c r="C12" s="52"/>
      <c r="D12" s="512">
        <f>SUM(D7:D11)</f>
        <v>1057052</v>
      </c>
      <c r="E12" s="512">
        <f t="shared" ref="E12:L12" si="15">SUM(E7:E11)</f>
        <v>1362483</v>
      </c>
      <c r="F12" s="512">
        <f t="shared" si="15"/>
        <v>1154867</v>
      </c>
      <c r="G12" s="512">
        <f t="shared" si="15"/>
        <v>1308755</v>
      </c>
      <c r="H12" s="512">
        <f t="shared" si="15"/>
        <v>1066447</v>
      </c>
      <c r="I12" s="512">
        <f t="shared" si="15"/>
        <v>1559814</v>
      </c>
      <c r="J12" s="512">
        <f t="shared" si="15"/>
        <v>1377651</v>
      </c>
      <c r="K12" s="512">
        <f t="shared" si="15"/>
        <v>985897</v>
      </c>
      <c r="L12" s="512">
        <f t="shared" si="15"/>
        <v>2389175</v>
      </c>
      <c r="M12" s="65">
        <f>SUM(M7:M10)</f>
        <v>2720273</v>
      </c>
      <c r="N12" s="65">
        <f>SUM(N7:N10)</f>
        <v>1756109</v>
      </c>
      <c r="O12" s="65">
        <f>SUM(O7:O10)</f>
        <v>1289179</v>
      </c>
      <c r="P12" s="61"/>
      <c r="Q12" s="65">
        <f>SUM(D12:O12)</f>
        <v>18027702</v>
      </c>
      <c r="R12" s="61"/>
      <c r="S12" s="84">
        <f t="shared" ref="S12:AD12" ca="1" si="16">SUM(S7:S11)</f>
        <v>1231935.146278495</v>
      </c>
      <c r="T12" s="84">
        <f t="shared" ca="1" si="16"/>
        <v>2029298.1087569334</v>
      </c>
      <c r="U12" s="84">
        <f t="shared" ca="1" si="16"/>
        <v>1770029.2584871962</v>
      </c>
      <c r="V12" s="84">
        <f t="shared" ca="1" si="16"/>
        <v>1533831.0355120255</v>
      </c>
      <c r="W12" s="84">
        <f t="shared" ca="1" si="16"/>
        <v>1577990.3843234633</v>
      </c>
      <c r="X12" s="65">
        <f t="shared" ca="1" si="16"/>
        <v>2183420.7332167304</v>
      </c>
      <c r="Y12" s="65">
        <f t="shared" ca="1" si="16"/>
        <v>1658859.7627945035</v>
      </c>
      <c r="Z12" s="65">
        <f t="shared" ca="1" si="16"/>
        <v>2231983.445770897</v>
      </c>
      <c r="AA12" s="65">
        <f t="shared" ca="1" si="16"/>
        <v>2892914.2973086559</v>
      </c>
      <c r="AB12" s="65">
        <f t="shared" ca="1" si="16"/>
        <v>2682651.3141952488</v>
      </c>
      <c r="AC12" s="65">
        <f t="shared" ca="1" si="16"/>
        <v>1781546.916813527</v>
      </c>
      <c r="AD12" s="65">
        <f t="shared" ca="1" si="16"/>
        <v>1824774.2851893578</v>
      </c>
      <c r="AE12" s="61"/>
      <c r="AF12" s="65">
        <f ca="1">SUM(S12:AD12)</f>
        <v>23399234.688647036</v>
      </c>
      <c r="AG12" s="531">
        <f ca="1">IFERROR(AF12/Q12-1,0)</f>
        <v>0.29795992238206703</v>
      </c>
      <c r="AH12" s="84">
        <f t="shared" ref="AH12:AS12" ca="1" si="17">SUM(AH7:AH11)</f>
        <v>1908903.9745670191</v>
      </c>
      <c r="AI12" s="84">
        <f t="shared" ca="1" si="17"/>
        <v>2715069.4232464978</v>
      </c>
      <c r="AJ12" s="84">
        <f t="shared" ca="1" si="17"/>
        <v>2620143.3682671478</v>
      </c>
      <c r="AK12" s="84">
        <f t="shared" ca="1" si="17"/>
        <v>2402850.9911394669</v>
      </c>
      <c r="AL12" s="84">
        <f t="shared" ca="1" si="17"/>
        <v>2441252.8893277789</v>
      </c>
      <c r="AM12" s="65">
        <f t="shared" ca="1" si="17"/>
        <v>3281259.9252613327</v>
      </c>
      <c r="AN12" s="65">
        <f t="shared" ca="1" si="17"/>
        <v>2476664.3701060978</v>
      </c>
      <c r="AO12" s="65">
        <f t="shared" ca="1" si="17"/>
        <v>3254935.2938704384</v>
      </c>
      <c r="AP12" s="65">
        <f t="shared" ca="1" si="17"/>
        <v>4067800.8177534221</v>
      </c>
      <c r="AQ12" s="65">
        <f t="shared" ca="1" si="17"/>
        <v>3768112.6494889138</v>
      </c>
      <c r="AR12" s="65">
        <f t="shared" ca="1" si="17"/>
        <v>2668638.6154714399</v>
      </c>
      <c r="AS12" s="65">
        <f t="shared" ca="1" si="17"/>
        <v>2709786.6827163915</v>
      </c>
      <c r="AT12" s="61"/>
      <c r="AU12" s="65">
        <f ca="1">SUM(AH12:AS12)</f>
        <v>34315419.00121595</v>
      </c>
      <c r="AV12" s="531">
        <f ca="1">IFERROR(AU12/AF12-1,0)</f>
        <v>0.46651886088673167</v>
      </c>
      <c r="AW12" s="140"/>
    </row>
    <row r="13" spans="1:49" hidden="1" outlineLevel="1">
      <c r="D13" s="59"/>
      <c r="E13" s="59"/>
      <c r="F13" s="59"/>
      <c r="G13" s="59"/>
      <c r="H13" s="59"/>
      <c r="I13" s="59"/>
      <c r="J13" s="59"/>
      <c r="K13" s="59"/>
      <c r="L13" s="59"/>
      <c r="M13" s="60"/>
      <c r="N13" s="60"/>
      <c r="O13" s="60"/>
      <c r="P13" s="60"/>
      <c r="Q13" s="61"/>
      <c r="R13" s="66"/>
      <c r="S13" s="83"/>
      <c r="T13" s="83"/>
      <c r="U13" s="83"/>
      <c r="V13" s="83"/>
      <c r="W13" s="83"/>
      <c r="X13" s="60"/>
      <c r="Y13" s="60"/>
      <c r="Z13" s="60"/>
      <c r="AA13" s="60"/>
      <c r="AB13" s="60"/>
      <c r="AC13" s="60"/>
      <c r="AD13" s="60"/>
      <c r="AE13" s="60"/>
      <c r="AF13" s="61"/>
      <c r="AG13" s="531">
        <f>IFERROR(AF13/Q13-1,0)</f>
        <v>0</v>
      </c>
      <c r="AH13" s="83"/>
      <c r="AI13" s="83"/>
      <c r="AJ13" s="83"/>
      <c r="AK13" s="83"/>
      <c r="AL13" s="83"/>
      <c r="AM13" s="60"/>
      <c r="AN13" s="60"/>
      <c r="AO13" s="60"/>
      <c r="AP13" s="60"/>
      <c r="AQ13" s="60"/>
      <c r="AR13" s="60"/>
      <c r="AS13" s="60"/>
      <c r="AT13" s="60"/>
      <c r="AU13" s="61"/>
    </row>
    <row r="14" spans="1:49" hidden="1" outlineLevel="1">
      <c r="B14" s="58" t="s">
        <v>88</v>
      </c>
      <c r="D14" s="59"/>
      <c r="E14" s="59"/>
      <c r="F14" s="59"/>
      <c r="G14" s="59"/>
      <c r="H14" s="59"/>
      <c r="I14" s="59"/>
      <c r="J14" s="59"/>
      <c r="K14" s="59"/>
      <c r="L14" s="59"/>
      <c r="M14" s="60"/>
      <c r="N14" s="60"/>
      <c r="O14" s="60"/>
      <c r="P14" s="60"/>
      <c r="Q14" s="61"/>
      <c r="S14" s="83"/>
      <c r="T14" s="83"/>
      <c r="U14" s="83"/>
      <c r="V14" s="83"/>
      <c r="W14" s="83"/>
      <c r="X14" s="60"/>
      <c r="Y14" s="60"/>
      <c r="Z14" s="60"/>
      <c r="AA14" s="60"/>
      <c r="AB14" s="60"/>
      <c r="AC14" s="60"/>
      <c r="AD14" s="60"/>
      <c r="AE14" s="60"/>
      <c r="AF14" s="61"/>
      <c r="AG14" s="89"/>
      <c r="AH14" s="83"/>
      <c r="AI14" s="83"/>
      <c r="AJ14" s="83"/>
      <c r="AK14" s="83"/>
      <c r="AL14" s="83"/>
      <c r="AM14" s="60"/>
      <c r="AN14" s="60"/>
      <c r="AO14" s="60"/>
      <c r="AP14" s="60"/>
      <c r="AQ14" s="60"/>
      <c r="AR14" s="60"/>
      <c r="AS14" s="60"/>
      <c r="AT14" s="60"/>
      <c r="AU14" s="61"/>
    </row>
    <row r="15" spans="1:49" collapsed="1">
      <c r="D15" s="59"/>
      <c r="E15" s="59"/>
      <c r="F15" s="59"/>
      <c r="G15" s="59"/>
      <c r="H15" s="59"/>
      <c r="I15" s="59"/>
      <c r="J15" s="59"/>
      <c r="K15" s="59"/>
      <c r="L15" s="59"/>
      <c r="M15" s="60"/>
      <c r="N15" s="60"/>
      <c r="O15" s="60"/>
      <c r="P15" s="60"/>
      <c r="Q15" s="61">
        <f>SUM(D15:O15)</f>
        <v>0</v>
      </c>
      <c r="R15" s="61"/>
      <c r="S15" s="83"/>
      <c r="T15" s="83"/>
      <c r="U15" s="83"/>
      <c r="V15" s="83"/>
      <c r="W15" s="83"/>
      <c r="X15" s="60"/>
      <c r="Y15" s="60"/>
      <c r="Z15" s="60"/>
      <c r="AA15" s="60"/>
      <c r="AB15" s="60"/>
      <c r="AC15" s="60"/>
      <c r="AD15" s="60"/>
      <c r="AE15" s="60"/>
      <c r="AF15" s="61"/>
      <c r="AG15" s="89"/>
      <c r="AH15" s="83"/>
      <c r="AI15" s="83"/>
      <c r="AJ15" s="83"/>
      <c r="AK15" s="83"/>
      <c r="AL15" s="83"/>
      <c r="AM15" s="60"/>
      <c r="AN15" s="60"/>
      <c r="AO15" s="60"/>
      <c r="AP15" s="60"/>
      <c r="AQ15" s="60"/>
      <c r="AR15" s="60"/>
      <c r="AS15" s="60"/>
      <c r="AT15" s="60"/>
      <c r="AU15" s="61"/>
    </row>
    <row r="16" spans="1:49" hidden="1" outlineLevel="1">
      <c r="B16" s="51" t="s">
        <v>89</v>
      </c>
      <c r="D16" s="480">
        <v>-46848</v>
      </c>
      <c r="E16" s="480">
        <v>-139322</v>
      </c>
      <c r="F16" s="480">
        <v>-162533</v>
      </c>
      <c r="G16" s="480">
        <v>-131193</v>
      </c>
      <c r="H16" s="480">
        <v>-50695</v>
      </c>
      <c r="I16" s="480">
        <v>-215339</v>
      </c>
      <c r="J16" s="480">
        <v>-214209</v>
      </c>
      <c r="K16" s="480">
        <v>-49489</v>
      </c>
      <c r="L16" s="480">
        <v>-376192</v>
      </c>
      <c r="M16" s="60">
        <v>-441352</v>
      </c>
      <c r="N16" s="60">
        <v>-160238</v>
      </c>
      <c r="O16" s="60">
        <v>-107868</v>
      </c>
      <c r="P16" s="60"/>
      <c r="Q16" s="61">
        <f>SUM(D16:O16)</f>
        <v>-2095278</v>
      </c>
      <c r="R16" s="61"/>
      <c r="S16" s="60">
        <f>'UK P&amp;L'!S16+'CE P&amp;L'!S16+'EE P&amp;L'!S16+'ROW P&amp;L'!S17</f>
        <v>-134375.56806083876</v>
      </c>
      <c r="T16" s="60">
        <f>'UK P&amp;L'!T16+'CE P&amp;L'!T16+'EE P&amp;L'!T16+'ROW P&amp;L'!T17</f>
        <v>-245828.869687064</v>
      </c>
      <c r="U16" s="60">
        <f>'UK P&amp;L'!U16+'CE P&amp;L'!U16+'EE P&amp;L'!U16+'ROW P&amp;L'!U17</f>
        <v>-222180.01435490311</v>
      </c>
      <c r="V16" s="60">
        <f>'UK P&amp;L'!V16+'CE P&amp;L'!V16+'EE P&amp;L'!V16+'ROW P&amp;L'!V17</f>
        <v>-157409.26755924991</v>
      </c>
      <c r="W16" s="60">
        <f>'UK P&amp;L'!W16+'CE P&amp;L'!W16+'EE P&amp;L'!W16+'ROW P&amp;L'!W17</f>
        <v>-154331.33348294394</v>
      </c>
      <c r="X16" s="60">
        <f>'UK P&amp;L'!X16+'CE P&amp;L'!X16+'EE P&amp;L'!X16+'ROW P&amp;L'!X17</f>
        <v>-332657.66573585873</v>
      </c>
      <c r="Y16" s="60">
        <f>'UK P&amp;L'!Y16+'CE P&amp;L'!Y16+'EE P&amp;L'!Y16+'ROW P&amp;L'!Y17</f>
        <v>-190676.02808266872</v>
      </c>
      <c r="Z16" s="60">
        <f>'UK P&amp;L'!Z16+'CE P&amp;L'!Z16+'EE P&amp;L'!Z16+'ROW P&amp;L'!Z17</f>
        <v>-184455.52668625527</v>
      </c>
      <c r="AA16" s="60">
        <f>'UK P&amp;L'!AA16+'CE P&amp;L'!AA16+'EE P&amp;L'!AA16+'ROW P&amp;L'!AA17</f>
        <v>-407584.11095257581</v>
      </c>
      <c r="AB16" s="60">
        <f>'UK P&amp;L'!AB16+'CE P&amp;L'!AB16+'EE P&amp;L'!AB16+'ROW P&amp;L'!AB17</f>
        <v>-386996.72345819738</v>
      </c>
      <c r="AC16" s="60">
        <f>'UK P&amp;L'!AC16+'CE P&amp;L'!AC16+'EE P&amp;L'!AC16+'ROW P&amp;L'!AC17</f>
        <v>-212723.14432060771</v>
      </c>
      <c r="AD16" s="60">
        <f>'UK P&amp;L'!AD16+'CE P&amp;L'!AD16+'EE P&amp;L'!AD16+'ROW P&amp;L'!AD17</f>
        <v>-232121.84901825504</v>
      </c>
      <c r="AE16" s="60"/>
      <c r="AF16" s="61">
        <f>SUM(S16:AD16)</f>
        <v>-2861340.1013994184</v>
      </c>
      <c r="AG16" s="89"/>
      <c r="AH16" s="60">
        <f>'UK P&amp;L'!AH16+'CE P&amp;L'!AH16+'EE P&amp;L'!AH16+'ROW P&amp;L'!AH17</f>
        <v>-245580.04794072028</v>
      </c>
      <c r="AI16" s="60">
        <f>'UK P&amp;L'!AI16+'CE P&amp;L'!AI16+'EE P&amp;L'!AI16+'ROW P&amp;L'!AI17</f>
        <v>-405929.81272893952</v>
      </c>
      <c r="AJ16" s="60">
        <f>'UK P&amp;L'!AJ16+'CE P&amp;L'!AJ16+'EE P&amp;L'!AJ16+'ROW P&amp;L'!AJ17</f>
        <v>-363953.35422220628</v>
      </c>
      <c r="AK16" s="60">
        <f>'UK P&amp;L'!AK16+'CE P&amp;L'!AK16+'EE P&amp;L'!AK16+'ROW P&amp;L'!AK17</f>
        <v>-300927.59236487531</v>
      </c>
      <c r="AL16" s="60">
        <f>'UK P&amp;L'!AL16+'CE P&amp;L'!AL16+'EE P&amp;L'!AL16+'ROW P&amp;L'!AL17</f>
        <v>-303316.33088895038</v>
      </c>
      <c r="AM16" s="60">
        <f>'UK P&amp;L'!AM16+'CE P&amp;L'!AM16+'EE P&amp;L'!AM16+'ROW P&amp;L'!AM17</f>
        <v>-541767.54533353844</v>
      </c>
      <c r="AN16" s="60">
        <f>'UK P&amp;L'!AN16+'CE P&amp;L'!AN16+'EE P&amp;L'!AN16+'ROW P&amp;L'!AN17</f>
        <v>-329095.55120788532</v>
      </c>
      <c r="AO16" s="60">
        <f>'UK P&amp;L'!AO16+'CE P&amp;L'!AO16+'EE P&amp;L'!AO16+'ROW P&amp;L'!AO17</f>
        <v>-327283.43124408269</v>
      </c>
      <c r="AP16" s="60">
        <f>'UK P&amp;L'!AP16+'CE P&amp;L'!AP16+'EE P&amp;L'!AP16+'ROW P&amp;L'!AP17</f>
        <v>-601941.54079312808</v>
      </c>
      <c r="AQ16" s="60">
        <f>'UK P&amp;L'!AQ16+'CE P&amp;L'!AQ16+'EE P&amp;L'!AQ16+'ROW P&amp;L'!AQ17</f>
        <v>-565912.29746261868</v>
      </c>
      <c r="AR16" s="60">
        <f>'UK P&amp;L'!AR16+'CE P&amp;L'!AR16+'EE P&amp;L'!AR16+'ROW P&amp;L'!AR17</f>
        <v>-353927.92733470938</v>
      </c>
      <c r="AS16" s="60">
        <f>'UK P&amp;L'!AS16+'CE P&amp;L'!AS16+'EE P&amp;L'!AS16+'ROW P&amp;L'!AS17</f>
        <v>-382549.44217486348</v>
      </c>
      <c r="AT16" s="60"/>
      <c r="AU16" s="61">
        <f>SUM(AH16:AS16)</f>
        <v>-4722184.8736965172</v>
      </c>
    </row>
    <row r="17" spans="1:47" hidden="1" outlineLevel="1">
      <c r="B17" s="51" t="s">
        <v>90</v>
      </c>
      <c r="D17" s="480">
        <v>-214784</v>
      </c>
      <c r="E17" s="480">
        <v>-159354</v>
      </c>
      <c r="F17" s="480">
        <v>-86260</v>
      </c>
      <c r="G17" s="480">
        <v>-129464</v>
      </c>
      <c r="H17" s="480">
        <v>-197763</v>
      </c>
      <c r="I17" s="480">
        <v>-139316</v>
      </c>
      <c r="J17" s="480">
        <v>-110842</v>
      </c>
      <c r="K17" s="480">
        <v>-165406</v>
      </c>
      <c r="L17" s="480">
        <v>-156835</v>
      </c>
      <c r="M17" s="60">
        <v>-252287</v>
      </c>
      <c r="N17" s="60">
        <v>-253216</v>
      </c>
      <c r="O17" s="60">
        <v>-187979</v>
      </c>
      <c r="P17" s="60"/>
      <c r="Q17" s="61">
        <f>SUM(D17:O17)</f>
        <v>-2053506</v>
      </c>
      <c r="R17" s="61"/>
      <c r="S17" s="60">
        <f>'UK P&amp;L'!S17+'CE P&amp;L'!S17+'EE P&amp;L'!S17+'ROW P&amp;L'!S18</f>
        <v>-124966.7713742495</v>
      </c>
      <c r="T17" s="60">
        <f>'UK P&amp;L'!T17+'CE P&amp;L'!T17+'EE P&amp;L'!T17+'ROW P&amp;L'!T18</f>
        <v>-218459.89997097894</v>
      </c>
      <c r="U17" s="60">
        <f>'UK P&amp;L'!U17+'CE P&amp;L'!U17+'EE P&amp;L'!U17+'ROW P&amp;L'!U18</f>
        <v>-177434.8618974766</v>
      </c>
      <c r="V17" s="60">
        <f>'UK P&amp;L'!V17+'CE P&amp;L'!V17+'EE P&amp;L'!V17+'ROW P&amp;L'!V18</f>
        <v>-185090.78494112819</v>
      </c>
      <c r="W17" s="60">
        <f>'UK P&amp;L'!W17+'CE P&amp;L'!W17+'EE P&amp;L'!W17+'ROW P&amp;L'!W18</f>
        <v>-197228.90311999485</v>
      </c>
      <c r="X17" s="60">
        <f>'UK P&amp;L'!X17+'CE P&amp;L'!X17+'EE P&amp;L'!X17+'ROW P&amp;L'!X18</f>
        <v>-133667.15858940789</v>
      </c>
      <c r="Y17" s="60">
        <f>'UK P&amp;L'!Y17+'CE P&amp;L'!Y17+'EE P&amp;L'!Y17+'ROW P&amp;L'!Y18</f>
        <v>-169805.95696037333</v>
      </c>
      <c r="Z17" s="60">
        <f>'UK P&amp;L'!Z17+'CE P&amp;L'!Z17+'EE P&amp;L'!Z17+'ROW P&amp;L'!Z18</f>
        <v>-323798.30485937535</v>
      </c>
      <c r="AA17" s="60">
        <f>'UK P&amp;L'!AA17+'CE P&amp;L'!AA17+'EE P&amp;L'!AA17+'ROW P&amp;L'!AA18</f>
        <v>-235022.93110875762</v>
      </c>
      <c r="AB17" s="60">
        <f>'UK P&amp;L'!AB17+'CE P&amp;L'!AB17+'EE P&amp;L'!AB17+'ROW P&amp;L'!AB18</f>
        <v>-202449.43538250733</v>
      </c>
      <c r="AC17" s="60">
        <f>'UK P&amp;L'!AC17+'CE P&amp;L'!AC17+'EE P&amp;L'!AC17+'ROW P&amp;L'!AC18</f>
        <v>-137850.13875609214</v>
      </c>
      <c r="AD17" s="60">
        <f>'UK P&amp;L'!AD17+'CE P&amp;L'!AD17+'EE P&amp;L'!AD17+'ROW P&amp;L'!AD18</f>
        <v>-151428.94299981827</v>
      </c>
      <c r="AE17" s="60"/>
      <c r="AF17" s="61">
        <f>SUM(S17:AD17)</f>
        <v>-2257204.0899601602</v>
      </c>
      <c r="AG17" s="89"/>
      <c r="AH17" s="60">
        <f>'UK P&amp;L'!AH17+'CE P&amp;L'!AH17+'EE P&amp;L'!AH17+'ROW P&amp;L'!AH18</f>
        <v>-153877.32073443444</v>
      </c>
      <c r="AI17" s="60">
        <f>'UK P&amp;L'!AI17+'CE P&amp;L'!AI17+'EE P&amp;L'!AI17+'ROW P&amp;L'!AI18</f>
        <v>-187279.11267057419</v>
      </c>
      <c r="AJ17" s="60">
        <f>'UK P&amp;L'!AJ17+'CE P&amp;L'!AJ17+'EE P&amp;L'!AJ17+'ROW P&amp;L'!AJ18</f>
        <v>-222558.33134347043</v>
      </c>
      <c r="AK17" s="60">
        <f>'UK P&amp;L'!AK17+'CE P&amp;L'!AK17+'EE P&amp;L'!AK17+'ROW P&amp;L'!AK18</f>
        <v>-233007.00800814317</v>
      </c>
      <c r="AL17" s="60">
        <f>'UK P&amp;L'!AL17+'CE P&amp;L'!AL17+'EE P&amp;L'!AL17+'ROW P&amp;L'!AL18</f>
        <v>-237655.53682334631</v>
      </c>
      <c r="AM17" s="60">
        <f>'UK P&amp;L'!AM17+'CE P&amp;L'!AM17+'EE P&amp;L'!AM17+'ROW P&amp;L'!AM18</f>
        <v>-162989.67653974993</v>
      </c>
      <c r="AN17" s="60">
        <f>'UK P&amp;L'!AN17+'CE P&amp;L'!AN17+'EE P&amp;L'!AN17+'ROW P&amp;L'!AN18</f>
        <v>-204780.94342634312</v>
      </c>
      <c r="AO17" s="60">
        <f>'UK P&amp;L'!AO17+'CE P&amp;L'!AO17+'EE P&amp;L'!AO17+'ROW P&amp;L'!AO18</f>
        <v>-414674.92596909357</v>
      </c>
      <c r="AP17" s="60">
        <f>'UK P&amp;L'!AP17+'CE P&amp;L'!AP17+'EE P&amp;L'!AP17+'ROW P&amp;L'!AP18</f>
        <v>-305998.07356565498</v>
      </c>
      <c r="AQ17" s="60">
        <f>'UK P&amp;L'!AQ17+'CE P&amp;L'!AQ17+'EE P&amp;L'!AQ17+'ROW P&amp;L'!AQ18</f>
        <v>-267308.83277001797</v>
      </c>
      <c r="AR17" s="60">
        <f>'UK P&amp;L'!AR17+'CE P&amp;L'!AR17+'EE P&amp;L'!AR17+'ROW P&amp;L'!AR18</f>
        <v>-189712.48700798862</v>
      </c>
      <c r="AS17" s="60">
        <f>'UK P&amp;L'!AS17+'CE P&amp;L'!AS17+'EE P&amp;L'!AS17+'ROW P&amp;L'!AS18</f>
        <v>-185522.15429917275</v>
      </c>
      <c r="AT17" s="60"/>
      <c r="AU17" s="61">
        <f>SUM(AH17:AS17)</f>
        <v>-2765364.403157989</v>
      </c>
    </row>
    <row r="18" spans="1:47" hidden="1" outlineLevel="1">
      <c r="B18" s="51" t="s">
        <v>91</v>
      </c>
      <c r="D18" s="480">
        <v>-24140</v>
      </c>
      <c r="E18" s="480">
        <v>-39162</v>
      </c>
      <c r="F18" s="480">
        <v>-38304</v>
      </c>
      <c r="G18" s="480">
        <v>-37736</v>
      </c>
      <c r="H18" s="480">
        <v>-32746</v>
      </c>
      <c r="I18" s="480">
        <v>-45757</v>
      </c>
      <c r="J18" s="480">
        <v>-37167</v>
      </c>
      <c r="K18" s="480">
        <v>-45654</v>
      </c>
      <c r="L18" s="480">
        <v>-51987</v>
      </c>
      <c r="M18" s="60">
        <v>-55028</v>
      </c>
      <c r="N18" s="60">
        <v>-55028</v>
      </c>
      <c r="O18" s="60">
        <v>-42635</v>
      </c>
      <c r="P18" s="60"/>
      <c r="Q18" s="61">
        <f>SUM(D18:O18)</f>
        <v>-505344</v>
      </c>
      <c r="R18" s="61"/>
      <c r="S18" s="60">
        <f ca="1">'UK P&amp;L'!S18+'CE P&amp;L'!S18+'EE P&amp;L'!S18+'ROW P&amp;L'!S19</f>
        <v>-35114.615999999995</v>
      </c>
      <c r="T18" s="60">
        <f ca="1">'UK P&amp;L'!T18+'CE P&amp;L'!T18+'EE P&amp;L'!T18+'ROW P&amp;L'!T19</f>
        <v>-48456.719999999994</v>
      </c>
      <c r="U18" s="60">
        <f ca="1">'UK P&amp;L'!U18+'CE P&amp;L'!U18+'EE P&amp;L'!U18+'ROW P&amp;L'!U19</f>
        <v>-45488.233800000002</v>
      </c>
      <c r="V18" s="60">
        <f ca="1">'UK P&amp;L'!V18+'CE P&amp;L'!V18+'EE P&amp;L'!V18+'ROW P&amp;L'!V19</f>
        <v>-45017.467199999999</v>
      </c>
      <c r="W18" s="60">
        <f ca="1">'UK P&amp;L'!W18+'CE P&amp;L'!W18+'EE P&amp;L'!W18+'ROW P&amp;L'!W19</f>
        <v>-43690.204034042552</v>
      </c>
      <c r="X18" s="60">
        <f ca="1">'UK P&amp;L'!X18+'CE P&amp;L'!X18+'EE P&amp;L'!X18+'ROW P&amp;L'!X19</f>
        <v>-55927.407599999991</v>
      </c>
      <c r="Y18" s="60">
        <f ca="1">'UK P&amp;L'!Y18+'CE P&amp;L'!Y18+'EE P&amp;L'!Y18+'ROW P&amp;L'!Y19</f>
        <v>-44138.411999999997</v>
      </c>
      <c r="Z18" s="60">
        <f ca="1">'UK P&amp;L'!Z18+'CE P&amp;L'!Z18+'EE P&amp;L'!Z18+'ROW P&amp;L'!Z19</f>
        <v>-48588.875080851067</v>
      </c>
      <c r="AA18" s="60">
        <f ca="1">'UK P&amp;L'!AA18+'CE P&amp;L'!AA18+'EE P&amp;L'!AA18+'ROW P&amp;L'!AA19</f>
        <v>-58428.133199999997</v>
      </c>
      <c r="AB18" s="60">
        <f ca="1">'UK P&amp;L'!AB18+'CE P&amp;L'!AB18+'EE P&amp;L'!AB18+'ROW P&amp;L'!AB19</f>
        <v>-61592.905799999993</v>
      </c>
      <c r="AC18" s="60">
        <f ca="1">'UK P&amp;L'!AC18+'CE P&amp;L'!AC18+'EE P&amp;L'!AC18+'ROW P&amp;L'!AC19</f>
        <v>-60702.45515999999</v>
      </c>
      <c r="AD18" s="60">
        <f ca="1">'UK P&amp;L'!AD18+'CE P&amp;L'!AD18+'EE P&amp;L'!AD18+'ROW P&amp;L'!AD19</f>
        <v>-47653.328159999997</v>
      </c>
      <c r="AE18" s="60"/>
      <c r="AF18" s="61">
        <f ca="1">SUM(S18:AD18)</f>
        <v>-594798.75803489366</v>
      </c>
      <c r="AG18" s="89"/>
      <c r="AH18" s="60">
        <f ca="1">'UK P&amp;L'!AH18+'CE P&amp;L'!AH18+'EE P&amp;L'!AH18+'ROW P&amp;L'!AH19</f>
        <v>-40510.862639999992</v>
      </c>
      <c r="AI18" s="60">
        <f ca="1">'UK P&amp;L'!AI18+'CE P&amp;L'!AI18+'EE P&amp;L'!AI18+'ROW P&amp;L'!AI19</f>
        <v>-51250.398119999998</v>
      </c>
      <c r="AJ18" s="60">
        <f ca="1">'UK P&amp;L'!AJ18+'CE P&amp;L'!AJ18+'EE P&amp;L'!AJ18+'ROW P&amp;L'!AJ19</f>
        <v>-48206.337641999999</v>
      </c>
      <c r="AK18" s="60">
        <f ca="1">'UK P&amp;L'!AK18+'CE P&amp;L'!AK18+'EE P&amp;L'!AK18+'ROW P&amp;L'!AK19</f>
        <v>-47612.06449199999</v>
      </c>
      <c r="AL18" s="60">
        <f ca="1">'UK P&amp;L'!AL18+'CE P&amp;L'!AL18+'EE P&amp;L'!AL18+'ROW P&amp;L'!AL19</f>
        <v>-46153.599753753188</v>
      </c>
      <c r="AM18" s="60">
        <f ca="1">'UK P&amp;L'!AM18+'CE P&amp;L'!AM18+'EE P&amp;L'!AM18+'ROW P&amp;L'!AM19</f>
        <v>-60014.003827319997</v>
      </c>
      <c r="AN18" s="60">
        <f ca="1">'UK P&amp;L'!AN18+'CE P&amp;L'!AN18+'EE P&amp;L'!AN18+'ROW P&amp;L'!AN19</f>
        <v>-47168.871372000001</v>
      </c>
      <c r="AO18" s="60">
        <f ca="1">'UK P&amp;L'!AO18+'CE P&amp;L'!AO18+'EE P&amp;L'!AO18+'ROW P&amp;L'!AO19</f>
        <v>-50744.465038263836</v>
      </c>
      <c r="AP18" s="60">
        <f ca="1">'UK P&amp;L'!AP18+'CE P&amp;L'!AP18+'EE P&amp;L'!AP18+'ROW P&amp;L'!AP19</f>
        <v>-61063.068091320005</v>
      </c>
      <c r="AQ18" s="60">
        <f ca="1">'UK P&amp;L'!AQ18+'CE P&amp;L'!AQ18+'EE P&amp;L'!AQ18+'ROW P&amp;L'!AQ19</f>
        <v>-63523.607834051996</v>
      </c>
      <c r="AR18" s="60">
        <f ca="1">'UK P&amp;L'!AR18+'CE P&amp;L'!AR18+'EE P&amp;L'!AR18+'ROW P&amp;L'!AR19</f>
        <v>-62434.279766051994</v>
      </c>
      <c r="AS18" s="60">
        <f ca="1">'UK P&amp;L'!AS18+'CE P&amp;L'!AS18+'EE P&amp;L'!AS18+'ROW P&amp;L'!AS19</f>
        <v>-51931.870240057193</v>
      </c>
      <c r="AT18" s="60"/>
      <c r="AU18" s="61">
        <f ca="1">SUM(AH18:AS18)</f>
        <v>-630613.42881681817</v>
      </c>
    </row>
    <row r="19" spans="1:47" hidden="1" outlineLevel="1">
      <c r="B19" s="51" t="s">
        <v>92</v>
      </c>
      <c r="D19" s="480">
        <v>-2332</v>
      </c>
      <c r="E19" s="480">
        <v>-1768</v>
      </c>
      <c r="F19" s="480">
        <v>-1984</v>
      </c>
      <c r="G19" s="480">
        <v>-2229</v>
      </c>
      <c r="H19" s="480">
        <v>-3048</v>
      </c>
      <c r="I19" s="480">
        <v>-1398</v>
      </c>
      <c r="J19" s="480">
        <v>-1099</v>
      </c>
      <c r="K19" s="480">
        <v>-695</v>
      </c>
      <c r="L19" s="480">
        <v>-249</v>
      </c>
      <c r="M19" s="60">
        <v>-1396</v>
      </c>
      <c r="N19" s="60">
        <v>-1396</v>
      </c>
      <c r="O19" s="60">
        <v>-1396</v>
      </c>
      <c r="P19" s="60"/>
      <c r="Q19" s="61">
        <f>SUM(D19:O19)</f>
        <v>-18990</v>
      </c>
      <c r="R19" s="61"/>
      <c r="S19" s="60">
        <f>'UK P&amp;L'!S19+'CE P&amp;L'!S19+'EE P&amp;L'!S19+'ROW P&amp;L'!S20</f>
        <v>0</v>
      </c>
      <c r="T19" s="60">
        <f>'UK P&amp;L'!T19+'CE P&amp;L'!T19+'EE P&amp;L'!T19+'ROW P&amp;L'!T20</f>
        <v>0</v>
      </c>
      <c r="U19" s="60">
        <f>'UK P&amp;L'!U19+'CE P&amp;L'!U19+'EE P&amp;L'!U19+'ROW P&amp;L'!U20</f>
        <v>0</v>
      </c>
      <c r="V19" s="60">
        <f>'UK P&amp;L'!V19+'CE P&amp;L'!V19+'EE P&amp;L'!V19+'ROW P&amp;L'!V20</f>
        <v>0</v>
      </c>
      <c r="W19" s="60">
        <f>'UK P&amp;L'!W19+'CE P&amp;L'!W19+'EE P&amp;L'!W19+'ROW P&amp;L'!W20</f>
        <v>0</v>
      </c>
      <c r="X19" s="60">
        <f>'UK P&amp;L'!X19+'CE P&amp;L'!X19+'EE P&amp;L'!X19+'ROW P&amp;L'!X20</f>
        <v>0</v>
      </c>
      <c r="Y19" s="60">
        <f>'UK P&amp;L'!Y19+'CE P&amp;L'!Y19+'EE P&amp;L'!Y19+'ROW P&amp;L'!Y20</f>
        <v>0</v>
      </c>
      <c r="Z19" s="60">
        <f>'UK P&amp;L'!Z19+'CE P&amp;L'!Z19+'EE P&amp;L'!Z19+'ROW P&amp;L'!Z20</f>
        <v>0</v>
      </c>
      <c r="AA19" s="60">
        <f>'UK P&amp;L'!AA19+'CE P&amp;L'!AA19+'EE P&amp;L'!AA19+'ROW P&amp;L'!AA20</f>
        <v>0</v>
      </c>
      <c r="AB19" s="60">
        <f>'UK P&amp;L'!AB19+'CE P&amp;L'!AB19+'EE P&amp;L'!AB19+'ROW P&amp;L'!AB20</f>
        <v>0</v>
      </c>
      <c r="AC19" s="60">
        <f>'UK P&amp;L'!AC19+'CE P&amp;L'!AC19+'EE P&amp;L'!AC19+'ROW P&amp;L'!AC20</f>
        <v>0</v>
      </c>
      <c r="AD19" s="60">
        <f>'UK P&amp;L'!AD19+'CE P&amp;L'!AD19+'EE P&amp;L'!AD19+'ROW P&amp;L'!AD20</f>
        <v>0</v>
      </c>
      <c r="AE19" s="60"/>
      <c r="AF19" s="61">
        <f>SUM(S19:AD19)</f>
        <v>0</v>
      </c>
      <c r="AG19" s="89"/>
      <c r="AH19" s="60">
        <f>'UK P&amp;L'!AH19+'CE P&amp;L'!AH19+'EE P&amp;L'!AH19+'ROW P&amp;L'!AH20</f>
        <v>0</v>
      </c>
      <c r="AI19" s="60">
        <f>'UK P&amp;L'!AI19+'CE P&amp;L'!AI19+'EE P&amp;L'!AI19+'ROW P&amp;L'!AI20</f>
        <v>0</v>
      </c>
      <c r="AJ19" s="60">
        <f>'UK P&amp;L'!AJ19+'CE P&amp;L'!AJ19+'EE P&amp;L'!AJ19+'ROW P&amp;L'!AJ20</f>
        <v>0</v>
      </c>
      <c r="AK19" s="60">
        <f>'UK P&amp;L'!AK19+'CE P&amp;L'!AK19+'EE P&amp;L'!AK19+'ROW P&amp;L'!AK20</f>
        <v>0</v>
      </c>
      <c r="AL19" s="60">
        <f>'UK P&amp;L'!AL19+'CE P&amp;L'!AL19+'EE P&amp;L'!AL19+'ROW P&amp;L'!AL20</f>
        <v>0</v>
      </c>
      <c r="AM19" s="60">
        <f>'UK P&amp;L'!AM19+'CE P&amp;L'!AM19+'EE P&amp;L'!AM19+'ROW P&amp;L'!AM20</f>
        <v>0</v>
      </c>
      <c r="AN19" s="60">
        <f>'UK P&amp;L'!AN19+'CE P&amp;L'!AN19+'EE P&amp;L'!AN19+'ROW P&amp;L'!AN20</f>
        <v>0</v>
      </c>
      <c r="AO19" s="60">
        <f>'UK P&amp;L'!AO19+'CE P&amp;L'!AO19+'EE P&amp;L'!AO19+'ROW P&amp;L'!AO20</f>
        <v>0</v>
      </c>
      <c r="AP19" s="60">
        <f>'UK P&amp;L'!AP19+'CE P&amp;L'!AP19+'EE P&amp;L'!AP19+'ROW P&amp;L'!AP20</f>
        <v>0</v>
      </c>
      <c r="AQ19" s="60">
        <f>'UK P&amp;L'!AQ19+'CE P&amp;L'!AQ19+'EE P&amp;L'!AQ19+'ROW P&amp;L'!AQ20</f>
        <v>0</v>
      </c>
      <c r="AR19" s="60">
        <f>'UK P&amp;L'!AR19+'CE P&amp;L'!AR19+'EE P&amp;L'!AR19+'ROW P&amp;L'!AR20</f>
        <v>0</v>
      </c>
      <c r="AS19" s="60">
        <f>'UK P&amp;L'!AS19+'CE P&amp;L'!AS19+'EE P&amp;L'!AS19+'ROW P&amp;L'!AS20</f>
        <v>0</v>
      </c>
      <c r="AT19" s="60"/>
      <c r="AU19" s="61">
        <f>SUM(AH19:AS19)</f>
        <v>0</v>
      </c>
    </row>
    <row r="20" spans="1:47" hidden="1" outlineLevel="1">
      <c r="D20" s="480"/>
      <c r="E20" s="480"/>
      <c r="F20" s="480"/>
      <c r="G20" s="480"/>
      <c r="H20" s="480"/>
      <c r="I20" s="480"/>
      <c r="J20" s="480"/>
      <c r="K20" s="480"/>
      <c r="L20" s="480"/>
      <c r="M20" s="60"/>
      <c r="N20" s="60"/>
      <c r="O20" s="60"/>
      <c r="P20" s="60"/>
      <c r="Q20" s="61"/>
      <c r="S20" s="83"/>
      <c r="T20" s="83"/>
      <c r="U20" s="83"/>
      <c r="V20" s="83"/>
      <c r="W20" s="83"/>
      <c r="X20" s="60"/>
      <c r="Y20" s="60"/>
      <c r="Z20" s="60"/>
      <c r="AA20" s="60"/>
      <c r="AB20" s="60"/>
      <c r="AC20" s="60"/>
      <c r="AD20" s="60"/>
      <c r="AE20" s="60"/>
      <c r="AF20" s="61"/>
      <c r="AG20" s="89"/>
      <c r="AH20" s="83"/>
      <c r="AI20" s="83"/>
      <c r="AJ20" s="83"/>
      <c r="AK20" s="83"/>
      <c r="AL20" s="83"/>
      <c r="AM20" s="60"/>
      <c r="AN20" s="60"/>
      <c r="AO20" s="60"/>
      <c r="AP20" s="60"/>
      <c r="AQ20" s="60"/>
      <c r="AR20" s="60"/>
      <c r="AS20" s="60"/>
      <c r="AT20" s="60"/>
      <c r="AU20" s="61"/>
    </row>
    <row r="21" spans="1:47" s="10" customFormat="1" collapsed="1">
      <c r="A21" s="52"/>
      <c r="B21" s="63" t="s">
        <v>93</v>
      </c>
      <c r="C21" s="52"/>
      <c r="D21" s="500">
        <f t="shared" ref="D21:J21" si="18">SUM(D15:D20)</f>
        <v>-288104</v>
      </c>
      <c r="E21" s="500">
        <f t="shared" si="18"/>
        <v>-339606</v>
      </c>
      <c r="F21" s="500">
        <f t="shared" si="18"/>
        <v>-289081</v>
      </c>
      <c r="G21" s="500">
        <f t="shared" si="18"/>
        <v>-300622</v>
      </c>
      <c r="H21" s="500">
        <f t="shared" si="18"/>
        <v>-284252</v>
      </c>
      <c r="I21" s="500">
        <f t="shared" si="18"/>
        <v>-401810</v>
      </c>
      <c r="J21" s="500">
        <f t="shared" si="18"/>
        <v>-363317</v>
      </c>
      <c r="K21" s="500">
        <f>SUM(K15:K20)</f>
        <v>-261244</v>
      </c>
      <c r="L21" s="500">
        <f>SUM(L15:L20)+0.5</f>
        <v>-585262.5</v>
      </c>
      <c r="M21" s="65">
        <f>SUM(M16:M20)+1</f>
        <v>-750062</v>
      </c>
      <c r="N21" s="65">
        <f>SUM(N16:N20)+1</f>
        <v>-469877</v>
      </c>
      <c r="O21" s="65">
        <f>SUM(O16:O20)+0.5</f>
        <v>-339877.5</v>
      </c>
      <c r="P21" s="61"/>
      <c r="Q21" s="65">
        <f>SUM(D21:O21)</f>
        <v>-4673115</v>
      </c>
      <c r="R21" s="61"/>
      <c r="S21" s="84">
        <f t="shared" ref="S21:AD21" ca="1" si="19">SUM(S16:S20)</f>
        <v>-294456.95543508825</v>
      </c>
      <c r="T21" s="84">
        <f t="shared" ca="1" si="19"/>
        <v>-512745.4896580429</v>
      </c>
      <c r="U21" s="84">
        <f t="shared" ca="1" si="19"/>
        <v>-445103.11005237972</v>
      </c>
      <c r="V21" s="84">
        <f t="shared" ca="1" si="19"/>
        <v>-387517.51970037812</v>
      </c>
      <c r="W21" s="84">
        <f t="shared" ca="1" si="19"/>
        <v>-395250.44063698134</v>
      </c>
      <c r="X21" s="65">
        <f t="shared" ca="1" si="19"/>
        <v>-522252.23192526662</v>
      </c>
      <c r="Y21" s="65">
        <f t="shared" ca="1" si="19"/>
        <v>-404620.39704304206</v>
      </c>
      <c r="Z21" s="65">
        <f t="shared" ca="1" si="19"/>
        <v>-556842.70662648161</v>
      </c>
      <c r="AA21" s="65">
        <f t="shared" ca="1" si="19"/>
        <v>-701035.17526133347</v>
      </c>
      <c r="AB21" s="65">
        <f t="shared" ca="1" si="19"/>
        <v>-651039.06464070466</v>
      </c>
      <c r="AC21" s="65">
        <f t="shared" ca="1" si="19"/>
        <v>-411275.73823669984</v>
      </c>
      <c r="AD21" s="65">
        <f t="shared" ca="1" si="19"/>
        <v>-431204.1201780733</v>
      </c>
      <c r="AE21" s="61"/>
      <c r="AF21" s="65">
        <f ca="1">SUM(S21:AD21)</f>
        <v>-5713342.9493944729</v>
      </c>
      <c r="AG21" s="89"/>
      <c r="AH21" s="84">
        <f t="shared" ref="AH21:AS21" ca="1" si="20">SUM(AH16:AH20)</f>
        <v>-439968.23131515476</v>
      </c>
      <c r="AI21" s="84">
        <f t="shared" ca="1" si="20"/>
        <v>-644459.32351951371</v>
      </c>
      <c r="AJ21" s="84">
        <f t="shared" ca="1" si="20"/>
        <v>-634718.02320767683</v>
      </c>
      <c r="AK21" s="84">
        <f t="shared" ca="1" si="20"/>
        <v>-581546.66486501857</v>
      </c>
      <c r="AL21" s="84">
        <f t="shared" ca="1" si="20"/>
        <v>-587125.46746604983</v>
      </c>
      <c r="AM21" s="65">
        <f t="shared" ca="1" si="20"/>
        <v>-764771.22570060834</v>
      </c>
      <c r="AN21" s="65">
        <f t="shared" ca="1" si="20"/>
        <v>-581045.36600622837</v>
      </c>
      <c r="AO21" s="65">
        <f t="shared" ca="1" si="20"/>
        <v>-792702.82225144014</v>
      </c>
      <c r="AP21" s="65">
        <f t="shared" ca="1" si="20"/>
        <v>-969002.68245010299</v>
      </c>
      <c r="AQ21" s="65">
        <f t="shared" ca="1" si="20"/>
        <v>-896744.73806668853</v>
      </c>
      <c r="AR21" s="65">
        <f t="shared" ca="1" si="20"/>
        <v>-606074.69410874997</v>
      </c>
      <c r="AS21" s="65">
        <f t="shared" ca="1" si="20"/>
        <v>-620003.46671409346</v>
      </c>
      <c r="AT21" s="61"/>
      <c r="AU21" s="65">
        <f ca="1">SUM(AH21:AS21)</f>
        <v>-8118162.7056713244</v>
      </c>
    </row>
    <row r="22" spans="1:47">
      <c r="D22" s="97">
        <f t="shared" ref="D22:L22" si="21">D21/D12</f>
        <v>-0.27255423574242327</v>
      </c>
      <c r="E22" s="97">
        <f t="shared" si="21"/>
        <v>-0.24925522006513109</v>
      </c>
      <c r="F22" s="97">
        <f t="shared" si="21"/>
        <v>-0.25031540428464921</v>
      </c>
      <c r="G22" s="97">
        <f t="shared" si="21"/>
        <v>-0.22970074612895461</v>
      </c>
      <c r="H22" s="97">
        <f t="shared" si="21"/>
        <v>-0.26654114081618685</v>
      </c>
      <c r="I22" s="97">
        <f t="shared" si="21"/>
        <v>-0.25760122681294051</v>
      </c>
      <c r="J22" s="97">
        <f t="shared" si="21"/>
        <v>-0.26372208926643975</v>
      </c>
      <c r="K22" s="97">
        <f t="shared" si="21"/>
        <v>-0.26498102742984309</v>
      </c>
      <c r="L22" s="97">
        <f t="shared" si="21"/>
        <v>-0.2449642659076878</v>
      </c>
      <c r="M22" s="91">
        <f t="shared" ref="M22:O22" si="22">M21/M12</f>
        <v>-0.27573041382243618</v>
      </c>
      <c r="N22" s="91">
        <f t="shared" si="22"/>
        <v>-0.26756710431983438</v>
      </c>
      <c r="O22" s="91">
        <f t="shared" si="22"/>
        <v>-0.26363871890559804</v>
      </c>
      <c r="P22" s="60"/>
      <c r="Q22" s="91">
        <f>Q21/Q12</f>
        <v>-0.25921856263210918</v>
      </c>
      <c r="S22" s="91">
        <f t="shared" ref="S22:AD22" ca="1" si="23">S21/S12</f>
        <v>-0.23901985126782188</v>
      </c>
      <c r="T22" s="91">
        <f t="shared" ca="1" si="23"/>
        <v>-0.25267134850489276</v>
      </c>
      <c r="U22" s="91">
        <f t="shared" ca="1" si="23"/>
        <v>-0.2514665268487139</v>
      </c>
      <c r="V22" s="91">
        <f t="shared" ca="1" si="23"/>
        <v>-0.25264681097746633</v>
      </c>
      <c r="W22" s="91">
        <f t="shared" ca="1" si="23"/>
        <v>-0.25047709071208207</v>
      </c>
      <c r="X22" s="91">
        <f t="shared" ca="1" si="23"/>
        <v>-0.23918992065072917</v>
      </c>
      <c r="Y22" s="91">
        <f t="shared" ca="1" si="23"/>
        <v>-0.24391476972195733</v>
      </c>
      <c r="Z22" s="91">
        <f t="shared" ca="1" si="23"/>
        <v>-0.24948334974507647</v>
      </c>
      <c r="AA22" s="91">
        <f t="shared" ca="1" si="23"/>
        <v>-0.24232835929965932</v>
      </c>
      <c r="AB22" s="91">
        <f t="shared" ca="1" si="23"/>
        <v>-0.24268493679955036</v>
      </c>
      <c r="AC22" s="91">
        <f t="shared" ca="1" si="23"/>
        <v>-0.23085316157281291</v>
      </c>
      <c r="AD22" s="91">
        <f t="shared" ca="1" si="23"/>
        <v>-0.23630545633939981</v>
      </c>
      <c r="AE22" s="60"/>
      <c r="AF22" s="91">
        <f ca="1">AF21/AF12</f>
        <v>-0.244167940764597</v>
      </c>
      <c r="AG22" s="89"/>
      <c r="AH22" s="91">
        <f t="shared" ref="AH22:AS22" ca="1" si="24">AH21/AH12</f>
        <v>-0.23048211810389735</v>
      </c>
      <c r="AI22" s="91">
        <f t="shared" ca="1" si="24"/>
        <v>-0.23736384712730937</v>
      </c>
      <c r="AJ22" s="91">
        <f t="shared" ca="1" si="24"/>
        <v>-0.2422455316357183</v>
      </c>
      <c r="AK22" s="91">
        <f t="shared" ca="1" si="24"/>
        <v>-0.2420236073770187</v>
      </c>
      <c r="AL22" s="91">
        <f t="shared" ca="1" si="24"/>
        <v>-0.24050169895660425</v>
      </c>
      <c r="AM22" s="91">
        <f t="shared" ca="1" si="24"/>
        <v>-0.23307243044444242</v>
      </c>
      <c r="AN22" s="91">
        <f t="shared" ca="1" si="24"/>
        <v>-0.23460803693046911</v>
      </c>
      <c r="AO22" s="91">
        <f t="shared" ca="1" si="24"/>
        <v>-0.2435387344701524</v>
      </c>
      <c r="AP22" s="91">
        <f t="shared" ca="1" si="24"/>
        <v>-0.23821291303669753</v>
      </c>
      <c r="AQ22" s="91">
        <f t="shared" ca="1" si="24"/>
        <v>-0.23798246535658057</v>
      </c>
      <c r="AR22" s="91">
        <f t="shared" ca="1" si="24"/>
        <v>-0.22711006675652157</v>
      </c>
      <c r="AS22" s="91">
        <f t="shared" ca="1" si="24"/>
        <v>-0.22880157713838153</v>
      </c>
      <c r="AT22" s="60"/>
      <c r="AU22" s="91">
        <f ca="1">AU21/AU12</f>
        <v>-0.23657478014136041</v>
      </c>
    </row>
    <row r="23" spans="1:47" hidden="1" outlineLevel="1">
      <c r="B23" s="67" t="s">
        <v>94</v>
      </c>
      <c r="C23" s="52"/>
      <c r="D23" s="501">
        <f t="shared" ref="D23:L23" si="25">D7+D16</f>
        <v>155951</v>
      </c>
      <c r="E23" s="501">
        <f t="shared" si="25"/>
        <v>461981</v>
      </c>
      <c r="F23" s="501">
        <f t="shared" si="25"/>
        <v>469252</v>
      </c>
      <c r="G23" s="501">
        <f t="shared" si="25"/>
        <v>434882</v>
      </c>
      <c r="H23" s="501">
        <f t="shared" si="25"/>
        <v>212695</v>
      </c>
      <c r="I23" s="501">
        <f t="shared" si="25"/>
        <v>649405</v>
      </c>
      <c r="J23" s="501">
        <f t="shared" si="25"/>
        <v>607311</v>
      </c>
      <c r="K23" s="501">
        <f t="shared" si="25"/>
        <v>186173</v>
      </c>
      <c r="L23" s="501">
        <f t="shared" si="25"/>
        <v>1018261</v>
      </c>
      <c r="M23" s="69">
        <f t="shared" ref="M23:O25" si="26">M7+M16</f>
        <v>1193284</v>
      </c>
      <c r="N23" s="69">
        <f t="shared" si="26"/>
        <v>507419</v>
      </c>
      <c r="O23" s="69">
        <f t="shared" si="26"/>
        <v>361123</v>
      </c>
      <c r="P23" s="69"/>
      <c r="Q23" s="69">
        <f>Q7+Q16</f>
        <v>6257737</v>
      </c>
      <c r="S23" s="85">
        <f t="shared" ref="S23:AD23" si="27">S7+S16</f>
        <v>453117.92381765612</v>
      </c>
      <c r="T23" s="85">
        <f t="shared" si="27"/>
        <v>808394.48116986931</v>
      </c>
      <c r="U23" s="85">
        <f t="shared" si="27"/>
        <v>735015.86193229316</v>
      </c>
      <c r="V23" s="85">
        <f t="shared" si="27"/>
        <v>537415.13965277537</v>
      </c>
      <c r="W23" s="85">
        <f t="shared" si="27"/>
        <v>529298.62542225758</v>
      </c>
      <c r="X23" s="69">
        <f t="shared" si="27"/>
        <v>1101667.3453690812</v>
      </c>
      <c r="Y23" s="69">
        <f t="shared" si="27"/>
        <v>657100.8332461142</v>
      </c>
      <c r="Z23" s="69">
        <f t="shared" si="27"/>
        <v>639499.23183316446</v>
      </c>
      <c r="AA23" s="69">
        <f t="shared" si="27"/>
        <v>1353486.7336903596</v>
      </c>
      <c r="AB23" s="69">
        <f t="shared" si="27"/>
        <v>1293910.7553123911</v>
      </c>
      <c r="AC23" s="69">
        <f t="shared" si="27"/>
        <v>743530.86504447134</v>
      </c>
      <c r="AD23" s="69">
        <f t="shared" si="27"/>
        <v>813220.75359414634</v>
      </c>
      <c r="AE23" s="69"/>
      <c r="AF23" s="69">
        <f>AF7+AF16</f>
        <v>9665658.5500845797</v>
      </c>
      <c r="AG23" s="89"/>
      <c r="AH23" s="85">
        <f t="shared" ref="AH23:AS23" si="28">AH7+AH16</f>
        <v>887894.82043629861</v>
      </c>
      <c r="AI23" s="85">
        <f t="shared" si="28"/>
        <v>1400970.4121825581</v>
      </c>
      <c r="AJ23" s="85">
        <f t="shared" si="28"/>
        <v>1280233.9760349416</v>
      </c>
      <c r="AK23" s="85">
        <f t="shared" si="28"/>
        <v>1089574.4034510362</v>
      </c>
      <c r="AL23" s="85">
        <f t="shared" si="28"/>
        <v>1099657.0687020309</v>
      </c>
      <c r="AM23" s="69">
        <f t="shared" si="28"/>
        <v>1866750.2302218645</v>
      </c>
      <c r="AN23" s="69">
        <f t="shared" si="28"/>
        <v>1200426.0911534841</v>
      </c>
      <c r="AO23" s="69">
        <f t="shared" si="28"/>
        <v>1199021.369690415</v>
      </c>
      <c r="AP23" s="69">
        <f t="shared" si="28"/>
        <v>2081412.128386046</v>
      </c>
      <c r="AQ23" s="69">
        <f t="shared" si="28"/>
        <v>1976443.2817250651</v>
      </c>
      <c r="AR23" s="69">
        <f t="shared" si="28"/>
        <v>1309999.7310219596</v>
      </c>
      <c r="AS23" s="69">
        <f t="shared" si="28"/>
        <v>1412496.3022555297</v>
      </c>
      <c r="AT23" s="69"/>
      <c r="AU23" s="69">
        <f>AU7+AU16</f>
        <v>16804879.81526123</v>
      </c>
    </row>
    <row r="24" spans="1:47" hidden="1" outlineLevel="1">
      <c r="B24" s="67" t="s">
        <v>95</v>
      </c>
      <c r="C24" s="52"/>
      <c r="D24" s="501">
        <f t="shared" ref="D24:L24" si="29">D8+D17</f>
        <v>449814</v>
      </c>
      <c r="E24" s="501">
        <f t="shared" si="29"/>
        <v>352504</v>
      </c>
      <c r="F24" s="501">
        <f t="shared" si="29"/>
        <v>203011</v>
      </c>
      <c r="G24" s="501">
        <f t="shared" si="29"/>
        <v>380258</v>
      </c>
      <c r="H24" s="501">
        <f t="shared" si="29"/>
        <v>394022</v>
      </c>
      <c r="I24" s="501">
        <f t="shared" si="29"/>
        <v>279054</v>
      </c>
      <c r="J24" s="501">
        <f t="shared" si="29"/>
        <v>218924</v>
      </c>
      <c r="K24" s="501">
        <f t="shared" si="29"/>
        <v>340817</v>
      </c>
      <c r="L24" s="501">
        <f t="shared" si="29"/>
        <v>549077</v>
      </c>
      <c r="M24" s="69">
        <f t="shared" si="26"/>
        <v>512218</v>
      </c>
      <c r="N24" s="69">
        <f t="shared" si="26"/>
        <v>514104</v>
      </c>
      <c r="O24" s="69">
        <f t="shared" si="26"/>
        <v>381654</v>
      </c>
      <c r="P24" s="69"/>
      <c r="Q24" s="69">
        <f>Q8+Q17</f>
        <v>4575457</v>
      </c>
      <c r="S24" s="85">
        <f t="shared" ref="S24:AD24" si="30">S8+S17</f>
        <v>324393.68302575056</v>
      </c>
      <c r="T24" s="85">
        <f t="shared" si="30"/>
        <v>487410.857929021</v>
      </c>
      <c r="U24" s="85">
        <f t="shared" si="30"/>
        <v>382686.11030252336</v>
      </c>
      <c r="V24" s="85">
        <f t="shared" si="30"/>
        <v>403818.80335887196</v>
      </c>
      <c r="W24" s="85">
        <f t="shared" si="30"/>
        <v>454408.16655358596</v>
      </c>
      <c r="X24" s="69">
        <f t="shared" si="30"/>
        <v>304720.74352238257</v>
      </c>
      <c r="Y24" s="69">
        <f t="shared" si="30"/>
        <v>396063.54450534726</v>
      </c>
      <c r="Z24" s="69">
        <f t="shared" si="30"/>
        <v>814292.18749848497</v>
      </c>
      <c r="AA24" s="69">
        <f t="shared" si="30"/>
        <v>572219.78155696287</v>
      </c>
      <c r="AB24" s="69">
        <f t="shared" si="30"/>
        <v>457111.59004215297</v>
      </c>
      <c r="AC24" s="69">
        <f t="shared" si="30"/>
        <v>350206.90669235587</v>
      </c>
      <c r="AD24" s="69">
        <f t="shared" si="30"/>
        <v>363262.02757713816</v>
      </c>
      <c r="AE24" s="69"/>
      <c r="AF24" s="69">
        <f>AF8+AF17</f>
        <v>5310594.4025645778</v>
      </c>
      <c r="AG24" s="89"/>
      <c r="AH24" s="85">
        <f t="shared" ref="AH24:AS24" si="31">AH8+AH17</f>
        <v>396491.43745556567</v>
      </c>
      <c r="AI24" s="85">
        <f t="shared" si="31"/>
        <v>436165.65166442574</v>
      </c>
      <c r="AJ24" s="85">
        <f t="shared" si="31"/>
        <v>485584.71976652957</v>
      </c>
      <c r="AK24" s="85">
        <f t="shared" si="31"/>
        <v>514830.51791541255</v>
      </c>
      <c r="AL24" s="85">
        <f t="shared" si="31"/>
        <v>544215.06539260049</v>
      </c>
      <c r="AM24" s="69">
        <f t="shared" si="31"/>
        <v>376341.34079217946</v>
      </c>
      <c r="AN24" s="69">
        <f t="shared" si="31"/>
        <v>480312.49891838501</v>
      </c>
      <c r="AO24" s="69">
        <f t="shared" si="31"/>
        <v>1032041.8723098258</v>
      </c>
      <c r="AP24" s="69">
        <f t="shared" si="31"/>
        <v>739209.80783459311</v>
      </c>
      <c r="AQ24" s="69">
        <f t="shared" si="31"/>
        <v>605539.30511981202</v>
      </c>
      <c r="AR24" s="69">
        <f t="shared" si="31"/>
        <v>468141.36029538244</v>
      </c>
      <c r="AS24" s="69">
        <f t="shared" si="31"/>
        <v>440708.39376428543</v>
      </c>
      <c r="AT24" s="69"/>
      <c r="AU24" s="69">
        <f>AU8+AU17</f>
        <v>6519581.971229</v>
      </c>
    </row>
    <row r="25" spans="1:47" hidden="1" outlineLevel="1">
      <c r="B25" s="67" t="s">
        <v>96</v>
      </c>
      <c r="C25" s="52"/>
      <c r="D25" s="501">
        <f t="shared" ref="D25:L25" si="32">D9+D18</f>
        <v>151889</v>
      </c>
      <c r="E25" s="501">
        <f t="shared" si="32"/>
        <v>202228</v>
      </c>
      <c r="F25" s="501">
        <f t="shared" si="32"/>
        <v>185979</v>
      </c>
      <c r="G25" s="501">
        <f t="shared" si="32"/>
        <v>188700</v>
      </c>
      <c r="H25" s="501">
        <f t="shared" si="32"/>
        <v>169429</v>
      </c>
      <c r="I25" s="501">
        <f t="shared" si="32"/>
        <v>223972</v>
      </c>
      <c r="J25" s="501">
        <f t="shared" si="32"/>
        <v>182828</v>
      </c>
      <c r="K25" s="501">
        <f t="shared" si="32"/>
        <v>193979</v>
      </c>
      <c r="L25" s="501">
        <f t="shared" si="32"/>
        <v>234638</v>
      </c>
      <c r="M25" s="69">
        <f t="shared" si="26"/>
        <v>258350</v>
      </c>
      <c r="N25" s="69">
        <f t="shared" si="26"/>
        <v>258350</v>
      </c>
      <c r="O25" s="69">
        <f t="shared" si="26"/>
        <v>200166</v>
      </c>
      <c r="P25" s="69"/>
      <c r="Q25" s="69">
        <f>Q9+Q18</f>
        <v>2450508</v>
      </c>
      <c r="S25" s="85">
        <f t="shared" ref="S25:AD25" ca="1" si="33">S9+S18</f>
        <v>159966.58399999997</v>
      </c>
      <c r="T25" s="85">
        <f t="shared" ca="1" si="33"/>
        <v>220747.28</v>
      </c>
      <c r="U25" s="85">
        <f t="shared" ca="1" si="33"/>
        <v>207224.17619999999</v>
      </c>
      <c r="V25" s="85">
        <f t="shared" ca="1" si="33"/>
        <v>205079.57279999997</v>
      </c>
      <c r="W25" s="85">
        <f t="shared" ca="1" si="33"/>
        <v>199033.15171063831</v>
      </c>
      <c r="X25" s="69">
        <f t="shared" ca="1" si="33"/>
        <v>254780.41240000003</v>
      </c>
      <c r="Y25" s="69">
        <f t="shared" ca="1" si="33"/>
        <v>201074.98800000001</v>
      </c>
      <c r="Z25" s="69">
        <f t="shared" ca="1" si="33"/>
        <v>221349.31981276593</v>
      </c>
      <c r="AA25" s="69">
        <f t="shared" ca="1" si="33"/>
        <v>266172.60680000007</v>
      </c>
      <c r="AB25" s="69">
        <f t="shared" ca="1" si="33"/>
        <v>280589.90419999999</v>
      </c>
      <c r="AC25" s="69">
        <f t="shared" ca="1" si="33"/>
        <v>276533.40683999995</v>
      </c>
      <c r="AD25" s="69">
        <f t="shared" ca="1" si="33"/>
        <v>217087.38383999999</v>
      </c>
      <c r="AE25" s="69"/>
      <c r="AF25" s="69">
        <f ca="1">AF9+AF18</f>
        <v>2709638.7866034042</v>
      </c>
      <c r="AG25" s="89"/>
      <c r="AH25" s="85">
        <f t="shared" ref="AH25:AS25" ca="1" si="34">AH9+AH18</f>
        <v>184549.48535999999</v>
      </c>
      <c r="AI25" s="85">
        <f t="shared" ca="1" si="34"/>
        <v>233474.03588000001</v>
      </c>
      <c r="AJ25" s="85">
        <f t="shared" ca="1" si="34"/>
        <v>219606.64925800002</v>
      </c>
      <c r="AK25" s="85">
        <f t="shared" ca="1" si="34"/>
        <v>216899.40490800003</v>
      </c>
      <c r="AL25" s="85">
        <f t="shared" ca="1" si="34"/>
        <v>210255.28776709785</v>
      </c>
      <c r="AM25" s="69">
        <f t="shared" ca="1" si="34"/>
        <v>273397.12854668003</v>
      </c>
      <c r="AN25" s="69">
        <f t="shared" ca="1" si="34"/>
        <v>214880.41402800003</v>
      </c>
      <c r="AO25" s="69">
        <f t="shared" ca="1" si="34"/>
        <v>231169.2296187575</v>
      </c>
      <c r="AP25" s="69">
        <f t="shared" ca="1" si="34"/>
        <v>278176.19908268005</v>
      </c>
      <c r="AQ25" s="69">
        <f t="shared" ca="1" si="34"/>
        <v>289385.32457734796</v>
      </c>
      <c r="AR25" s="69">
        <f t="shared" ca="1" si="34"/>
        <v>284422.83004534803</v>
      </c>
      <c r="AS25" s="69">
        <f t="shared" ca="1" si="34"/>
        <v>236578.51998248283</v>
      </c>
      <c r="AT25" s="69"/>
      <c r="AU25" s="69">
        <f ca="1">AU9+AU18</f>
        <v>2872794.5090543944</v>
      </c>
    </row>
    <row r="26" spans="1:47" hidden="1" outlineLevel="1">
      <c r="B26" s="67" t="s">
        <v>97</v>
      </c>
      <c r="C26" s="52"/>
      <c r="D26" s="501">
        <f t="shared" ref="D26:L26" si="35">D10+D19</f>
        <v>11294</v>
      </c>
      <c r="E26" s="501">
        <f t="shared" si="35"/>
        <v>6164</v>
      </c>
      <c r="F26" s="501">
        <f t="shared" si="35"/>
        <v>7544</v>
      </c>
      <c r="G26" s="501">
        <f t="shared" si="35"/>
        <v>4293</v>
      </c>
      <c r="H26" s="501">
        <f t="shared" si="35"/>
        <v>6049</v>
      </c>
      <c r="I26" s="501">
        <f t="shared" si="35"/>
        <v>5573</v>
      </c>
      <c r="J26" s="501">
        <f t="shared" si="35"/>
        <v>5271</v>
      </c>
      <c r="K26" s="501">
        <f t="shared" si="35"/>
        <v>3684</v>
      </c>
      <c r="L26" s="501">
        <f t="shared" si="35"/>
        <v>1936</v>
      </c>
      <c r="M26" s="69">
        <f t="shared" ref="M26:O26" si="36">M10+M19</f>
        <v>6358</v>
      </c>
      <c r="N26" s="69">
        <f t="shared" si="36"/>
        <v>6358</v>
      </c>
      <c r="O26" s="69">
        <f t="shared" si="36"/>
        <v>6358</v>
      </c>
      <c r="P26" s="69"/>
      <c r="Q26" s="69">
        <f>Q10+Q19</f>
        <v>70882</v>
      </c>
      <c r="S26" s="85">
        <f t="shared" ref="S26:AD26" si="37">S10+S19</f>
        <v>0</v>
      </c>
      <c r="T26" s="85">
        <f t="shared" si="37"/>
        <v>0</v>
      </c>
      <c r="U26" s="85">
        <f t="shared" si="37"/>
        <v>0</v>
      </c>
      <c r="V26" s="85">
        <f t="shared" si="37"/>
        <v>0</v>
      </c>
      <c r="W26" s="85">
        <f t="shared" si="37"/>
        <v>0</v>
      </c>
      <c r="X26" s="69">
        <f t="shared" si="37"/>
        <v>0</v>
      </c>
      <c r="Y26" s="69">
        <f t="shared" si="37"/>
        <v>0</v>
      </c>
      <c r="Z26" s="69">
        <f t="shared" si="37"/>
        <v>0</v>
      </c>
      <c r="AA26" s="69">
        <f t="shared" si="37"/>
        <v>0</v>
      </c>
      <c r="AB26" s="69">
        <f t="shared" si="37"/>
        <v>0</v>
      </c>
      <c r="AC26" s="69">
        <f t="shared" si="37"/>
        <v>0</v>
      </c>
      <c r="AD26" s="69">
        <f t="shared" si="37"/>
        <v>0</v>
      </c>
      <c r="AE26" s="69"/>
      <c r="AF26" s="69">
        <f>AF10+AF19</f>
        <v>0</v>
      </c>
      <c r="AG26" s="89"/>
      <c r="AH26" s="85">
        <f t="shared" ref="AH26:AS26" si="38">AH10+AH19</f>
        <v>0</v>
      </c>
      <c r="AI26" s="85">
        <f t="shared" si="38"/>
        <v>0</v>
      </c>
      <c r="AJ26" s="85">
        <f t="shared" si="38"/>
        <v>0</v>
      </c>
      <c r="AK26" s="85">
        <f t="shared" si="38"/>
        <v>0</v>
      </c>
      <c r="AL26" s="85">
        <f t="shared" si="38"/>
        <v>0</v>
      </c>
      <c r="AM26" s="69">
        <f t="shared" si="38"/>
        <v>0</v>
      </c>
      <c r="AN26" s="69">
        <f t="shared" si="38"/>
        <v>0</v>
      </c>
      <c r="AO26" s="69">
        <f t="shared" si="38"/>
        <v>0</v>
      </c>
      <c r="AP26" s="69">
        <f t="shared" si="38"/>
        <v>0</v>
      </c>
      <c r="AQ26" s="69">
        <f t="shared" si="38"/>
        <v>0</v>
      </c>
      <c r="AR26" s="69">
        <f t="shared" si="38"/>
        <v>0</v>
      </c>
      <c r="AS26" s="69">
        <f t="shared" si="38"/>
        <v>0</v>
      </c>
      <c r="AT26" s="69"/>
      <c r="AU26" s="69">
        <f>AU10+AU19</f>
        <v>0</v>
      </c>
    </row>
    <row r="27" spans="1:47" collapsed="1">
      <c r="B27" s="67" t="s">
        <v>98</v>
      </c>
      <c r="C27" s="52"/>
      <c r="D27" s="501">
        <f t="shared" ref="D27:L27" si="39">D12+D21</f>
        <v>768948</v>
      </c>
      <c r="E27" s="501">
        <f t="shared" si="39"/>
        <v>1022877</v>
      </c>
      <c r="F27" s="501">
        <f t="shared" si="39"/>
        <v>865786</v>
      </c>
      <c r="G27" s="501">
        <f t="shared" si="39"/>
        <v>1008133</v>
      </c>
      <c r="H27" s="501">
        <f t="shared" si="39"/>
        <v>782195</v>
      </c>
      <c r="I27" s="501">
        <f t="shared" si="39"/>
        <v>1158004</v>
      </c>
      <c r="J27" s="501">
        <f t="shared" si="39"/>
        <v>1014334</v>
      </c>
      <c r="K27" s="501">
        <f t="shared" si="39"/>
        <v>724653</v>
      </c>
      <c r="L27" s="501">
        <f t="shared" si="39"/>
        <v>1803912.5</v>
      </c>
      <c r="M27" s="69">
        <f t="shared" ref="M27:O27" si="40">M12+M21</f>
        <v>1970211</v>
      </c>
      <c r="N27" s="69">
        <f t="shared" si="40"/>
        <v>1286232</v>
      </c>
      <c r="O27" s="69">
        <f t="shared" si="40"/>
        <v>949301.5</v>
      </c>
      <c r="P27" s="69"/>
      <c r="Q27" s="69">
        <f>Q12+Q21</f>
        <v>13354587</v>
      </c>
      <c r="S27" s="85">
        <f t="shared" ref="S27:AD27" ca="1" si="41">S12+S21</f>
        <v>937478.19084340672</v>
      </c>
      <c r="T27" s="85">
        <f t="shared" ca="1" si="41"/>
        <v>1516552.6190988906</v>
      </c>
      <c r="U27" s="85">
        <f t="shared" ca="1" si="41"/>
        <v>1324926.1484348164</v>
      </c>
      <c r="V27" s="85">
        <f t="shared" ca="1" si="41"/>
        <v>1146313.5158116473</v>
      </c>
      <c r="W27" s="85">
        <f t="shared" ca="1" si="41"/>
        <v>1182739.943686482</v>
      </c>
      <c r="X27" s="69">
        <f t="shared" ca="1" si="41"/>
        <v>1661168.5012914639</v>
      </c>
      <c r="Y27" s="69">
        <f t="shared" ca="1" si="41"/>
        <v>1254239.3657514614</v>
      </c>
      <c r="Z27" s="69">
        <f t="shared" ca="1" si="41"/>
        <v>1675140.7391444154</v>
      </c>
      <c r="AA27" s="69">
        <f t="shared" ca="1" si="41"/>
        <v>2191879.1220473223</v>
      </c>
      <c r="AB27" s="69">
        <f t="shared" ca="1" si="41"/>
        <v>2031612.2495545442</v>
      </c>
      <c r="AC27" s="69">
        <f t="shared" ca="1" si="41"/>
        <v>1370271.178576827</v>
      </c>
      <c r="AD27" s="69">
        <f t="shared" ca="1" si="41"/>
        <v>1393570.1650112844</v>
      </c>
      <c r="AE27" s="69"/>
      <c r="AF27" s="69">
        <f ca="1">AF12+AF21</f>
        <v>17685891.739252564</v>
      </c>
      <c r="AG27" s="89"/>
      <c r="AH27" s="85">
        <f t="shared" ref="AH27:AS27" ca="1" si="42">AH12+AH21</f>
        <v>1468935.7432518643</v>
      </c>
      <c r="AI27" s="85">
        <f t="shared" ca="1" si="42"/>
        <v>2070610.099726984</v>
      </c>
      <c r="AJ27" s="85">
        <f t="shared" ca="1" si="42"/>
        <v>1985425.345059471</v>
      </c>
      <c r="AK27" s="85">
        <f t="shared" ca="1" si="42"/>
        <v>1821304.3262744483</v>
      </c>
      <c r="AL27" s="85">
        <f t="shared" ca="1" si="42"/>
        <v>1854127.4218617291</v>
      </c>
      <c r="AM27" s="69">
        <f t="shared" ca="1" si="42"/>
        <v>2516488.6995607242</v>
      </c>
      <c r="AN27" s="69">
        <f t="shared" ca="1" si="42"/>
        <v>1895619.0040998694</v>
      </c>
      <c r="AO27" s="69">
        <f t="shared" ca="1" si="42"/>
        <v>2462232.4716189983</v>
      </c>
      <c r="AP27" s="69">
        <f t="shared" ca="1" si="42"/>
        <v>3098798.135303319</v>
      </c>
      <c r="AQ27" s="69">
        <f t="shared" ca="1" si="42"/>
        <v>2871367.9114222252</v>
      </c>
      <c r="AR27" s="69">
        <f t="shared" ca="1" si="42"/>
        <v>2062563.9213626899</v>
      </c>
      <c r="AS27" s="69">
        <f t="shared" ca="1" si="42"/>
        <v>2089783.2160022981</v>
      </c>
      <c r="AT27" s="69"/>
      <c r="AU27" s="69">
        <f ca="1">AU12+AU21</f>
        <v>26197256.295544624</v>
      </c>
    </row>
    <row r="28" spans="1:47">
      <c r="B28" s="52"/>
      <c r="C28" s="52"/>
      <c r="D28" s="70"/>
      <c r="E28" s="70"/>
      <c r="F28" s="70"/>
      <c r="G28" s="70"/>
      <c r="H28" s="70"/>
      <c r="I28" s="70"/>
      <c r="J28" s="70"/>
      <c r="K28" s="70"/>
      <c r="L28" s="70"/>
      <c r="M28" s="52"/>
      <c r="N28" s="52"/>
      <c r="O28" s="52"/>
      <c r="P28" s="52"/>
      <c r="S28" s="10"/>
      <c r="T28" s="10"/>
      <c r="U28" s="10"/>
      <c r="V28" s="10"/>
      <c r="W28" s="10"/>
      <c r="X28" s="52"/>
      <c r="Y28" s="52"/>
      <c r="Z28" s="52"/>
      <c r="AA28" s="52"/>
      <c r="AB28" s="52"/>
      <c r="AC28" s="52"/>
      <c r="AD28" s="52"/>
      <c r="AE28" s="52"/>
      <c r="AG28" s="89"/>
      <c r="AH28" s="10"/>
      <c r="AI28" s="10"/>
      <c r="AJ28" s="10"/>
      <c r="AK28" s="10"/>
      <c r="AL28" s="10"/>
      <c r="AM28" s="52"/>
      <c r="AN28" s="52"/>
      <c r="AO28" s="52"/>
      <c r="AP28" s="52"/>
      <c r="AQ28" s="52"/>
      <c r="AR28" s="52"/>
      <c r="AS28" s="52"/>
      <c r="AT28" s="52"/>
    </row>
    <row r="29" spans="1:47" hidden="1" outlineLevel="1">
      <c r="B29" s="67" t="s">
        <v>99</v>
      </c>
      <c r="C29" s="52"/>
      <c r="D29" s="97">
        <f t="shared" ref="D29:L29" si="43">IFERROR(D23/D7,0)</f>
        <v>0.76899294375218807</v>
      </c>
      <c r="E29" s="97">
        <f t="shared" si="43"/>
        <v>0.76829984217607428</v>
      </c>
      <c r="F29" s="97">
        <f t="shared" si="43"/>
        <v>0.74274001440363413</v>
      </c>
      <c r="G29" s="97">
        <f t="shared" si="43"/>
        <v>0.76824095747029986</v>
      </c>
      <c r="H29" s="97">
        <f t="shared" si="43"/>
        <v>0.80752875963400284</v>
      </c>
      <c r="I29" s="97">
        <f t="shared" si="43"/>
        <v>0.75097948063241837</v>
      </c>
      <c r="J29" s="97">
        <f t="shared" si="43"/>
        <v>0.73925284837861527</v>
      </c>
      <c r="K29" s="97">
        <f t="shared" si="43"/>
        <v>0.79000008486730999</v>
      </c>
      <c r="L29" s="97">
        <f t="shared" si="43"/>
        <v>0.73022253170239515</v>
      </c>
      <c r="M29" s="91">
        <f t="shared" ref="M29:O31" si="44">IFERROR(M23/M7,0)</f>
        <v>0.7299998287080427</v>
      </c>
      <c r="N29" s="91">
        <f t="shared" si="44"/>
        <v>0.7599995207119824</v>
      </c>
      <c r="O29" s="91">
        <f t="shared" si="44"/>
        <v>0.76999985074340449</v>
      </c>
      <c r="P29" s="91"/>
      <c r="Q29" s="91">
        <f>IFERROR(Q23/Q7,0)</f>
        <v>0.74915907609408094</v>
      </c>
      <c r="S29" s="91">
        <f t="shared" ref="S29:AD29" si="45">IFERROR(S23/S7,0)</f>
        <v>0.77127309507518726</v>
      </c>
      <c r="T29" s="91">
        <f t="shared" si="45"/>
        <v>0.76681519197308601</v>
      </c>
      <c r="U29" s="91">
        <f t="shared" si="45"/>
        <v>0.76788448439967949</v>
      </c>
      <c r="V29" s="91">
        <f t="shared" si="45"/>
        <v>0.77345460820690981</v>
      </c>
      <c r="W29" s="91">
        <f t="shared" si="45"/>
        <v>0.77424726422157142</v>
      </c>
      <c r="X29" s="91">
        <f t="shared" si="45"/>
        <v>0.7680737188849589</v>
      </c>
      <c r="Y29" s="91">
        <f t="shared" si="45"/>
        <v>0.77508701076860231</v>
      </c>
      <c r="Z29" s="91">
        <f t="shared" si="45"/>
        <v>0.77613391417544941</v>
      </c>
      <c r="AA29" s="91">
        <f t="shared" si="45"/>
        <v>0.76855893549517307</v>
      </c>
      <c r="AB29" s="91">
        <f t="shared" si="45"/>
        <v>0.76976917031671144</v>
      </c>
      <c r="AC29" s="91">
        <f t="shared" si="45"/>
        <v>0.77754535694773308</v>
      </c>
      <c r="AD29" s="91">
        <f t="shared" si="45"/>
        <v>0.77794662875294429</v>
      </c>
      <c r="AE29" s="91"/>
      <c r="AF29" s="91">
        <f>IFERROR(AF23/AF7,0)</f>
        <v>0.77158614118151503</v>
      </c>
      <c r="AG29" s="89"/>
      <c r="AH29" s="91">
        <f t="shared" ref="AH29:AS29" si="46">IFERROR(AH23/AH7,0)</f>
        <v>0.78333877989517542</v>
      </c>
      <c r="AI29" s="91">
        <f t="shared" si="46"/>
        <v>0.77534464430717409</v>
      </c>
      <c r="AJ29" s="91">
        <f t="shared" si="46"/>
        <v>0.77864240435103904</v>
      </c>
      <c r="AK29" s="91">
        <f t="shared" si="46"/>
        <v>0.78358348763944163</v>
      </c>
      <c r="AL29" s="91">
        <f t="shared" si="46"/>
        <v>0.78380464592031596</v>
      </c>
      <c r="AM29" s="91">
        <f t="shared" si="46"/>
        <v>0.77506184474448936</v>
      </c>
      <c r="AN29" s="91">
        <f t="shared" si="46"/>
        <v>0.78483759752506188</v>
      </c>
      <c r="AO29" s="91">
        <f t="shared" si="46"/>
        <v>0.78557138060255094</v>
      </c>
      <c r="AP29" s="91">
        <f t="shared" si="46"/>
        <v>0.77567566001195087</v>
      </c>
      <c r="AQ29" s="91">
        <f t="shared" si="46"/>
        <v>0.77740631479903566</v>
      </c>
      <c r="AR29" s="91">
        <f t="shared" si="46"/>
        <v>0.7872936809739336</v>
      </c>
      <c r="AS29" s="91">
        <f t="shared" si="46"/>
        <v>0.78688596468261329</v>
      </c>
      <c r="AT29" s="91"/>
      <c r="AU29" s="91">
        <f>IFERROR(AU23/AU7,0)</f>
        <v>0.78063963006908466</v>
      </c>
    </row>
    <row r="30" spans="1:47" hidden="1" outlineLevel="1">
      <c r="B30" s="67" t="s">
        <v>100</v>
      </c>
      <c r="C30" s="52"/>
      <c r="D30" s="97">
        <f t="shared" ref="D30:L30" si="47">IFERROR(D24/D8,0)</f>
        <v>0.67682117610946768</v>
      </c>
      <c r="E30" s="97">
        <f t="shared" si="47"/>
        <v>0.68867537481098273</v>
      </c>
      <c r="F30" s="97">
        <f t="shared" si="47"/>
        <v>0.70180211635456025</v>
      </c>
      <c r="G30" s="97">
        <f t="shared" si="47"/>
        <v>0.7460105704678236</v>
      </c>
      <c r="H30" s="97">
        <f t="shared" si="47"/>
        <v>0.66581951215390722</v>
      </c>
      <c r="I30" s="97">
        <f t="shared" si="47"/>
        <v>0.66700289217678133</v>
      </c>
      <c r="J30" s="97">
        <f t="shared" si="47"/>
        <v>0.66387680961651596</v>
      </c>
      <c r="K30" s="97">
        <f t="shared" si="47"/>
        <v>0.67325467234795733</v>
      </c>
      <c r="L30" s="97">
        <f t="shared" si="47"/>
        <v>0.7778264146239191</v>
      </c>
      <c r="M30" s="91">
        <f t="shared" si="44"/>
        <v>0.66999954218742852</v>
      </c>
      <c r="N30" s="91">
        <f t="shared" si="44"/>
        <v>0.66999947870510346</v>
      </c>
      <c r="O30" s="91">
        <f t="shared" si="44"/>
        <v>0.66999980689321015</v>
      </c>
      <c r="P30" s="91"/>
      <c r="Q30" s="91">
        <f>IFERROR(Q24/Q8,0)</f>
        <v>0.69022213580012437</v>
      </c>
      <c r="S30" s="91">
        <f t="shared" ref="S30:AD30" si="48">IFERROR(S24/S8,0)</f>
        <v>0.72190082560533952</v>
      </c>
      <c r="T30" s="91">
        <f t="shared" si="48"/>
        <v>0.6905100579305653</v>
      </c>
      <c r="U30" s="91">
        <f t="shared" si="48"/>
        <v>0.68322046360706401</v>
      </c>
      <c r="V30" s="91">
        <f t="shared" si="48"/>
        <v>0.68570594091458403</v>
      </c>
      <c r="W30" s="91">
        <f t="shared" si="48"/>
        <v>0.69733320540098942</v>
      </c>
      <c r="X30" s="91">
        <f t="shared" si="48"/>
        <v>0.69509387018777202</v>
      </c>
      <c r="Y30" s="91">
        <f t="shared" si="48"/>
        <v>0.69992028812201346</v>
      </c>
      <c r="Z30" s="91">
        <f t="shared" si="48"/>
        <v>0.71548984282564376</v>
      </c>
      <c r="AA30" s="91">
        <f t="shared" si="48"/>
        <v>0.70885716597843018</v>
      </c>
      <c r="AB30" s="91">
        <f t="shared" si="48"/>
        <v>0.6930542776505636</v>
      </c>
      <c r="AC30" s="91">
        <f t="shared" si="48"/>
        <v>0.71755322448131154</v>
      </c>
      <c r="AD30" s="91">
        <f t="shared" si="48"/>
        <v>0.70578667267065132</v>
      </c>
      <c r="AE30" s="91"/>
      <c r="AF30" s="91">
        <f>IFERROR(AF24/AF8,0)</f>
        <v>0.70173570395805818</v>
      </c>
      <c r="AG30" s="89"/>
      <c r="AH30" s="91">
        <f t="shared" ref="AH30:AS30" si="49">IFERROR(AH24/AH8,0)</f>
        <v>0.72041050941828277</v>
      </c>
      <c r="AI30" s="91">
        <f t="shared" si="49"/>
        <v>0.69960592600318605</v>
      </c>
      <c r="AJ30" s="91">
        <f t="shared" si="49"/>
        <v>0.68571557541288486</v>
      </c>
      <c r="AK30" s="91">
        <f t="shared" si="49"/>
        <v>0.68842562731739509</v>
      </c>
      <c r="AL30" s="91">
        <f t="shared" si="49"/>
        <v>0.69604236794452645</v>
      </c>
      <c r="AM30" s="91">
        <f t="shared" si="49"/>
        <v>0.69779287431666748</v>
      </c>
      <c r="AN30" s="91">
        <f t="shared" si="49"/>
        <v>0.70109049252393718</v>
      </c>
      <c r="AO30" s="91">
        <f t="shared" si="49"/>
        <v>0.71336827880728981</v>
      </c>
      <c r="AP30" s="91">
        <f t="shared" si="49"/>
        <v>0.70723711616514573</v>
      </c>
      <c r="AQ30" s="91">
        <f t="shared" si="49"/>
        <v>0.69375104194384218</v>
      </c>
      <c r="AR30" s="91">
        <f t="shared" si="49"/>
        <v>0.71161909626941466</v>
      </c>
      <c r="AS30" s="91">
        <f t="shared" si="49"/>
        <v>0.70374783716176503</v>
      </c>
      <c r="AT30" s="91"/>
      <c r="AU30" s="91">
        <f>IFERROR(AU24/AU8,0)</f>
        <v>0.70216689556911271</v>
      </c>
    </row>
    <row r="31" spans="1:47" hidden="1" outlineLevel="1">
      <c r="B31" s="67" t="s">
        <v>101</v>
      </c>
      <c r="C31" s="52"/>
      <c r="D31" s="97">
        <f t="shared" ref="D31:L31" si="50">IFERROR(D25/D9,0)</f>
        <v>0.86286350544512547</v>
      </c>
      <c r="E31" s="97">
        <f t="shared" si="50"/>
        <v>0.83776461328141183</v>
      </c>
      <c r="F31" s="97">
        <f t="shared" si="50"/>
        <v>0.82921576757935289</v>
      </c>
      <c r="G31" s="97">
        <f t="shared" si="50"/>
        <v>0.83334805419632918</v>
      </c>
      <c r="H31" s="97">
        <f t="shared" si="50"/>
        <v>0.83803140843328794</v>
      </c>
      <c r="I31" s="97">
        <f t="shared" si="50"/>
        <v>0.83035936069165717</v>
      </c>
      <c r="J31" s="97">
        <f t="shared" si="50"/>
        <v>0.83105525125571034</v>
      </c>
      <c r="K31" s="97">
        <f t="shared" si="50"/>
        <v>0.80948366877683786</v>
      </c>
      <c r="L31" s="97">
        <f t="shared" si="50"/>
        <v>0.8186236371565635</v>
      </c>
      <c r="M31" s="91">
        <f t="shared" si="44"/>
        <v>0.82440375520936382</v>
      </c>
      <c r="N31" s="91">
        <f t="shared" si="44"/>
        <v>0.82440375520936382</v>
      </c>
      <c r="O31" s="91">
        <f t="shared" si="44"/>
        <v>0.82440352387346016</v>
      </c>
      <c r="P31" s="91"/>
      <c r="Q31" s="91">
        <f>IFERROR(Q25/Q9,0)</f>
        <v>0.82903609517661914</v>
      </c>
      <c r="S31" s="91">
        <f t="shared" ref="S31:AD31" ca="1" si="51">IFERROR(S25/S9,0)</f>
        <v>0.82</v>
      </c>
      <c r="T31" s="91">
        <f t="shared" ca="1" si="51"/>
        <v>0.82</v>
      </c>
      <c r="U31" s="91">
        <f t="shared" ca="1" si="51"/>
        <v>0.82</v>
      </c>
      <c r="V31" s="91">
        <f t="shared" ca="1" si="51"/>
        <v>0.82</v>
      </c>
      <c r="W31" s="91">
        <f t="shared" ca="1" si="51"/>
        <v>0.82000000000000006</v>
      </c>
      <c r="X31" s="91">
        <f t="shared" ca="1" si="51"/>
        <v>0.82000000000000006</v>
      </c>
      <c r="Y31" s="91">
        <f t="shared" ca="1" si="51"/>
        <v>0.82</v>
      </c>
      <c r="Z31" s="91">
        <f t="shared" ca="1" si="51"/>
        <v>0.82</v>
      </c>
      <c r="AA31" s="91">
        <f t="shared" ca="1" si="51"/>
        <v>0.82000000000000006</v>
      </c>
      <c r="AB31" s="91">
        <f t="shared" ca="1" si="51"/>
        <v>0.82</v>
      </c>
      <c r="AC31" s="91">
        <f t="shared" ca="1" si="51"/>
        <v>0.82</v>
      </c>
      <c r="AD31" s="91">
        <f t="shared" ca="1" si="51"/>
        <v>0.82</v>
      </c>
      <c r="AE31" s="91"/>
      <c r="AF31" s="91">
        <f ca="1">IFERROR(AF25/AF9,0)</f>
        <v>0.82</v>
      </c>
      <c r="AG31" s="89"/>
      <c r="AH31" s="91">
        <f t="shared" ref="AH31:AS31" ca="1" si="52">IFERROR(AH25/AH9,0)</f>
        <v>0.82000000000000006</v>
      </c>
      <c r="AI31" s="91">
        <f t="shared" ca="1" si="52"/>
        <v>0.82000000000000006</v>
      </c>
      <c r="AJ31" s="91">
        <f t="shared" ca="1" si="52"/>
        <v>0.82000000000000006</v>
      </c>
      <c r="AK31" s="91">
        <f t="shared" ca="1" si="52"/>
        <v>0.82000000000000006</v>
      </c>
      <c r="AL31" s="91">
        <f t="shared" ca="1" si="52"/>
        <v>0.82</v>
      </c>
      <c r="AM31" s="91">
        <f t="shared" ca="1" si="52"/>
        <v>0.82000000000000006</v>
      </c>
      <c r="AN31" s="91">
        <f t="shared" ca="1" si="52"/>
        <v>0.82000000000000006</v>
      </c>
      <c r="AO31" s="91">
        <f t="shared" ca="1" si="52"/>
        <v>0.82000000000000006</v>
      </c>
      <c r="AP31" s="91">
        <f t="shared" ca="1" si="52"/>
        <v>0.82000000000000006</v>
      </c>
      <c r="AQ31" s="91">
        <f t="shared" ca="1" si="52"/>
        <v>0.82</v>
      </c>
      <c r="AR31" s="91">
        <f t="shared" ca="1" si="52"/>
        <v>0.82000000000000006</v>
      </c>
      <c r="AS31" s="91">
        <f t="shared" ca="1" si="52"/>
        <v>0.82000000000000006</v>
      </c>
      <c r="AT31" s="91"/>
      <c r="AU31" s="91">
        <f ca="1">IFERROR(AU25/AU9,0)</f>
        <v>0.82000000000000006</v>
      </c>
    </row>
    <row r="32" spans="1:47" hidden="1" outlineLevel="1">
      <c r="B32" s="67" t="s">
        <v>102</v>
      </c>
      <c r="C32" s="52"/>
      <c r="D32" s="97">
        <f t="shared" ref="D32:L32" si="53">IFERROR(D26/D10,0)</f>
        <v>0.82885659768090414</v>
      </c>
      <c r="E32" s="97">
        <f t="shared" si="53"/>
        <v>0.77710539586485128</v>
      </c>
      <c r="F32" s="97">
        <f t="shared" si="53"/>
        <v>0.79177162048698568</v>
      </c>
      <c r="G32" s="97">
        <f t="shared" si="53"/>
        <v>0.65823367065317384</v>
      </c>
      <c r="H32" s="97">
        <f t="shared" si="53"/>
        <v>0.66494448719358035</v>
      </c>
      <c r="I32" s="97">
        <f t="shared" si="53"/>
        <v>0.79945488452158942</v>
      </c>
      <c r="J32" s="97">
        <f t="shared" si="53"/>
        <v>0.82747252747252742</v>
      </c>
      <c r="K32" s="97">
        <f t="shared" si="53"/>
        <v>0.84128796528887873</v>
      </c>
      <c r="L32" s="97">
        <f t="shared" si="53"/>
        <v>0.88604118993135006</v>
      </c>
      <c r="M32" s="91">
        <f t="shared" ref="M32:O32" si="54">IFERROR(M26/M10,0)</f>
        <v>0.81996388960536493</v>
      </c>
      <c r="N32" s="91">
        <f t="shared" si="54"/>
        <v>0.81996388960536493</v>
      </c>
      <c r="O32" s="91">
        <f t="shared" si="54"/>
        <v>0.81996388960536493</v>
      </c>
      <c r="P32" s="91"/>
      <c r="Q32" s="91">
        <f>IFERROR(Q26/Q10,0)</f>
        <v>0.78869948371016552</v>
      </c>
      <c r="S32" s="91">
        <f t="shared" ref="S32:AD32" si="55">IFERROR(S26/S10,0)</f>
        <v>0</v>
      </c>
      <c r="T32" s="91">
        <f t="shared" si="55"/>
        <v>0</v>
      </c>
      <c r="U32" s="91">
        <f t="shared" si="55"/>
        <v>0</v>
      </c>
      <c r="V32" s="91">
        <f t="shared" si="55"/>
        <v>0</v>
      </c>
      <c r="W32" s="91">
        <f t="shared" si="55"/>
        <v>0</v>
      </c>
      <c r="X32" s="91">
        <f t="shared" si="55"/>
        <v>0</v>
      </c>
      <c r="Y32" s="91">
        <f t="shared" si="55"/>
        <v>0</v>
      </c>
      <c r="Z32" s="91">
        <f t="shared" si="55"/>
        <v>0</v>
      </c>
      <c r="AA32" s="91">
        <f t="shared" si="55"/>
        <v>0</v>
      </c>
      <c r="AB32" s="91">
        <f t="shared" si="55"/>
        <v>0</v>
      </c>
      <c r="AC32" s="91">
        <f t="shared" si="55"/>
        <v>0</v>
      </c>
      <c r="AD32" s="91">
        <f t="shared" si="55"/>
        <v>0</v>
      </c>
      <c r="AE32" s="91"/>
      <c r="AF32" s="91">
        <f>IFERROR(AF26/AF10,0)</f>
        <v>0</v>
      </c>
      <c r="AG32" s="89"/>
      <c r="AH32" s="91">
        <f t="shared" ref="AH32:AS32" si="56">IFERROR(AH26/AH10,0)</f>
        <v>0</v>
      </c>
      <c r="AI32" s="91">
        <f t="shared" si="56"/>
        <v>0</v>
      </c>
      <c r="AJ32" s="91">
        <f t="shared" si="56"/>
        <v>0</v>
      </c>
      <c r="AK32" s="91">
        <f t="shared" si="56"/>
        <v>0</v>
      </c>
      <c r="AL32" s="91">
        <f t="shared" si="56"/>
        <v>0</v>
      </c>
      <c r="AM32" s="91">
        <f t="shared" si="56"/>
        <v>0</v>
      </c>
      <c r="AN32" s="91">
        <f t="shared" si="56"/>
        <v>0</v>
      </c>
      <c r="AO32" s="91">
        <f t="shared" si="56"/>
        <v>0</v>
      </c>
      <c r="AP32" s="91">
        <f t="shared" si="56"/>
        <v>0</v>
      </c>
      <c r="AQ32" s="91">
        <f t="shared" si="56"/>
        <v>0</v>
      </c>
      <c r="AR32" s="91">
        <f t="shared" si="56"/>
        <v>0</v>
      </c>
      <c r="AS32" s="91">
        <f t="shared" si="56"/>
        <v>0</v>
      </c>
      <c r="AT32" s="91"/>
      <c r="AU32" s="91">
        <f>IFERROR(AU26/AU10,0)</f>
        <v>0</v>
      </c>
    </row>
    <row r="33" spans="1:47" collapsed="1">
      <c r="B33" s="72" t="s">
        <v>103</v>
      </c>
      <c r="C33" s="73"/>
      <c r="D33" s="97">
        <f t="shared" ref="D33:L33" si="57">IFERROR(D27/D12,0)</f>
        <v>0.72744576425757668</v>
      </c>
      <c r="E33" s="97">
        <f t="shared" si="57"/>
        <v>0.75074477993486888</v>
      </c>
      <c r="F33" s="97">
        <f t="shared" si="57"/>
        <v>0.74968459571535073</v>
      </c>
      <c r="G33" s="97">
        <f t="shared" si="57"/>
        <v>0.77029925387104536</v>
      </c>
      <c r="H33" s="97">
        <f t="shared" si="57"/>
        <v>0.73345885918381315</v>
      </c>
      <c r="I33" s="97">
        <f t="shared" si="57"/>
        <v>0.74239877318705949</v>
      </c>
      <c r="J33" s="97">
        <f t="shared" si="57"/>
        <v>0.73627791073356019</v>
      </c>
      <c r="K33" s="97">
        <f t="shared" si="57"/>
        <v>0.73501897257015691</v>
      </c>
      <c r="L33" s="97">
        <f t="shared" si="57"/>
        <v>0.75503573409231217</v>
      </c>
      <c r="M33" s="91">
        <f t="shared" ref="M33:O33" si="58">IFERROR(M27/M12,0)</f>
        <v>0.72426958617756376</v>
      </c>
      <c r="N33" s="91">
        <f t="shared" si="58"/>
        <v>0.73243289568016567</v>
      </c>
      <c r="O33" s="91">
        <f t="shared" si="58"/>
        <v>0.73636128109440191</v>
      </c>
      <c r="P33" s="91"/>
      <c r="Q33" s="91">
        <f>IFERROR(Q27/Q12,0)</f>
        <v>0.74078143736789082</v>
      </c>
      <c r="S33" s="91">
        <f t="shared" ref="S33:AD33" ca="1" si="59">IFERROR(S27/S12,0)</f>
        <v>0.76098014873217812</v>
      </c>
      <c r="T33" s="91">
        <f t="shared" ca="1" si="59"/>
        <v>0.7473286514951073</v>
      </c>
      <c r="U33" s="91">
        <f t="shared" ca="1" si="59"/>
        <v>0.74853347315128604</v>
      </c>
      <c r="V33" s="91">
        <f t="shared" ca="1" si="59"/>
        <v>0.74735318902253367</v>
      </c>
      <c r="W33" s="91">
        <f t="shared" ca="1" si="59"/>
        <v>0.74952290928791798</v>
      </c>
      <c r="X33" s="91">
        <f t="shared" ca="1" si="59"/>
        <v>0.76081007934927092</v>
      </c>
      <c r="Y33" s="91">
        <f t="shared" ca="1" si="59"/>
        <v>0.75608523027804264</v>
      </c>
      <c r="Z33" s="91">
        <f t="shared" ca="1" si="59"/>
        <v>0.75051665025492353</v>
      </c>
      <c r="AA33" s="91">
        <f t="shared" ca="1" si="59"/>
        <v>0.75767164070034065</v>
      </c>
      <c r="AB33" s="91">
        <f t="shared" ca="1" si="59"/>
        <v>0.75731506320044972</v>
      </c>
      <c r="AC33" s="91">
        <f t="shared" ca="1" si="59"/>
        <v>0.76914683842718701</v>
      </c>
      <c r="AD33" s="91">
        <f t="shared" ca="1" si="59"/>
        <v>0.76369454366060008</v>
      </c>
      <c r="AE33" s="91"/>
      <c r="AF33" s="91">
        <f ca="1">IFERROR(AF27/AF12,0)</f>
        <v>0.75583205923540309</v>
      </c>
      <c r="AG33" s="89"/>
      <c r="AH33" s="91">
        <f t="shared" ref="AH33:AS33" ca="1" si="60">IFERROR(AH27/AH12,0)</f>
        <v>0.7695178818961026</v>
      </c>
      <c r="AI33" s="91">
        <f t="shared" ca="1" si="60"/>
        <v>0.7626361528726906</v>
      </c>
      <c r="AJ33" s="91">
        <f t="shared" ca="1" si="60"/>
        <v>0.75775446836428173</v>
      </c>
      <c r="AK33" s="91">
        <f t="shared" ca="1" si="60"/>
        <v>0.75797639262298133</v>
      </c>
      <c r="AL33" s="91">
        <f t="shared" ca="1" si="60"/>
        <v>0.75949830104339577</v>
      </c>
      <c r="AM33" s="91">
        <f t="shared" ca="1" si="60"/>
        <v>0.76692756955555752</v>
      </c>
      <c r="AN33" s="91">
        <f t="shared" ca="1" si="60"/>
        <v>0.76539196306953095</v>
      </c>
      <c r="AO33" s="91">
        <f t="shared" ca="1" si="60"/>
        <v>0.7564612655298476</v>
      </c>
      <c r="AP33" s="91">
        <f t="shared" ca="1" si="60"/>
        <v>0.76178708696330244</v>
      </c>
      <c r="AQ33" s="91">
        <f t="shared" ca="1" si="60"/>
        <v>0.76201753464341937</v>
      </c>
      <c r="AR33" s="91">
        <f t="shared" ca="1" si="60"/>
        <v>0.77288993324347843</v>
      </c>
      <c r="AS33" s="91">
        <f t="shared" ca="1" si="60"/>
        <v>0.77119842286161844</v>
      </c>
      <c r="AT33" s="91"/>
      <c r="AU33" s="91">
        <f ca="1">IFERROR(AU27/AU12,0)</f>
        <v>0.76342521985863954</v>
      </c>
    </row>
    <row r="34" spans="1:47">
      <c r="D34" s="71"/>
      <c r="E34" s="71"/>
      <c r="F34" s="71"/>
      <c r="G34" s="71"/>
      <c r="H34" s="71"/>
      <c r="I34" s="71"/>
      <c r="J34" s="71"/>
      <c r="K34" s="71"/>
      <c r="L34" s="7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89"/>
      <c r="AH34" s="86"/>
      <c r="AI34" s="86"/>
      <c r="AJ34" s="86"/>
      <c r="AK34" s="86"/>
      <c r="AL34" s="86"/>
    </row>
    <row r="35" spans="1:47" hidden="1" outlineLevel="1">
      <c r="B35" s="58" t="s">
        <v>104</v>
      </c>
      <c r="D35" s="74"/>
      <c r="E35" s="74"/>
      <c r="F35" s="74"/>
      <c r="G35" s="74"/>
      <c r="H35" s="74"/>
      <c r="I35" s="74"/>
      <c r="J35" s="74"/>
      <c r="K35" s="74"/>
      <c r="L35" s="74"/>
      <c r="S35" s="87"/>
      <c r="T35" s="87"/>
      <c r="U35" s="87"/>
      <c r="V35" s="87"/>
      <c r="W35" s="87"/>
      <c r="AG35" s="89"/>
      <c r="AH35" s="87"/>
      <c r="AI35" s="87"/>
      <c r="AJ35" s="87"/>
      <c r="AK35" s="87"/>
      <c r="AL35" s="87"/>
    </row>
    <row r="36" spans="1:47" hidden="1" outlineLevel="1">
      <c r="D36" s="53"/>
      <c r="E36" s="53"/>
      <c r="F36" s="53"/>
      <c r="G36" s="53"/>
      <c r="H36" s="53"/>
      <c r="I36" s="53"/>
      <c r="J36" s="53"/>
      <c r="K36" s="53"/>
      <c r="L36" s="53"/>
      <c r="AG36" s="89"/>
    </row>
    <row r="37" spans="1:47" hidden="1" outlineLevel="1">
      <c r="B37" s="51" t="s">
        <v>104</v>
      </c>
      <c r="D37" s="480">
        <v>-21484</v>
      </c>
      <c r="E37" s="480">
        <v>-41137</v>
      </c>
      <c r="F37" s="480">
        <v>-22843</v>
      </c>
      <c r="G37" s="480">
        <v>-29571</v>
      </c>
      <c r="H37" s="480">
        <v>-27976</v>
      </c>
      <c r="I37" s="480">
        <v>-39178</v>
      </c>
      <c r="J37" s="480">
        <v>-36148</v>
      </c>
      <c r="K37" s="480">
        <v>-25470</v>
      </c>
      <c r="L37" s="480">
        <v>8633</v>
      </c>
      <c r="M37" s="60">
        <v>-37451</v>
      </c>
      <c r="N37" s="60">
        <v>-41453</v>
      </c>
      <c r="O37" s="60">
        <v>-36510</v>
      </c>
      <c r="P37" s="60"/>
      <c r="Q37" s="61">
        <f>SUM(D37:O37)</f>
        <v>-350588</v>
      </c>
      <c r="R37" s="62"/>
      <c r="S37" s="60">
        <f>'CE P&amp;L'!S37+'EE P&amp;L'!S37+'ROW P&amp;L'!S39+'Non Rev P&amp;L'!S19</f>
        <v>-25000</v>
      </c>
      <c r="T37" s="60">
        <f>'CE P&amp;L'!T37+'EE P&amp;L'!T37+'ROW P&amp;L'!T39+'Non Rev P&amp;L'!T19</f>
        <v>-25000</v>
      </c>
      <c r="U37" s="60">
        <f>'CE P&amp;L'!U37+'EE P&amp;L'!U37+'ROW P&amp;L'!U39+'Non Rev P&amp;L'!U19</f>
        <v>-25000</v>
      </c>
      <c r="V37" s="60">
        <f>'CE P&amp;L'!V37+'EE P&amp;L'!V37+'ROW P&amp;L'!V39+'Non Rev P&amp;L'!V19</f>
        <v>-25000</v>
      </c>
      <c r="W37" s="60">
        <f>'CE P&amp;L'!W37+'EE P&amp;L'!W37+'ROW P&amp;L'!W39+'Non Rev P&amp;L'!W19</f>
        <v>-25000</v>
      </c>
      <c r="X37" s="60">
        <f>'CE P&amp;L'!X37+'EE P&amp;L'!X37+'ROW P&amp;L'!X39+'Non Rev P&amp;L'!X19</f>
        <v>-25000</v>
      </c>
      <c r="Y37" s="60">
        <f>'CE P&amp;L'!Y37+'EE P&amp;L'!Y37+'ROW P&amp;L'!Y39+'Non Rev P&amp;L'!Y19</f>
        <v>-25000</v>
      </c>
      <c r="Z37" s="60">
        <f>'CE P&amp;L'!Z37+'EE P&amp;L'!Z37+'ROW P&amp;L'!Z39+'Non Rev P&amp;L'!Z19</f>
        <v>-25000</v>
      </c>
      <c r="AA37" s="60">
        <f>'CE P&amp;L'!AA37+'EE P&amp;L'!AA37+'ROW P&amp;L'!AA39+'Non Rev P&amp;L'!AA19</f>
        <v>-25000</v>
      </c>
      <c r="AB37" s="60">
        <f>'CE P&amp;L'!AB37+'EE P&amp;L'!AB37+'ROW P&amp;L'!AB39+'Non Rev P&amp;L'!AB19</f>
        <v>-25000</v>
      </c>
      <c r="AC37" s="60">
        <f>'CE P&amp;L'!AC37+'EE P&amp;L'!AC37+'ROW P&amp;L'!AC39+'Non Rev P&amp;L'!AC19</f>
        <v>-25000</v>
      </c>
      <c r="AD37" s="60">
        <f>'CE P&amp;L'!AD37+'EE P&amp;L'!AD37+'ROW P&amp;L'!AD39+'Non Rev P&amp;L'!AD19</f>
        <v>-25000</v>
      </c>
      <c r="AE37" s="60"/>
      <c r="AF37" s="61">
        <f>SUM(S37:AD37)</f>
        <v>-300000</v>
      </c>
      <c r="AG37" s="89"/>
      <c r="AH37" s="60">
        <f>'CE P&amp;L'!AH37+'EE P&amp;L'!AH37+'ROW P&amp;L'!AH39+'Non Rev P&amp;L'!AH19</f>
        <v>-25000</v>
      </c>
      <c r="AI37" s="60">
        <f>'CE P&amp;L'!AI37+'EE P&amp;L'!AI37+'ROW P&amp;L'!AI39+'Non Rev P&amp;L'!AI19</f>
        <v>-25000</v>
      </c>
      <c r="AJ37" s="60">
        <f>'CE P&amp;L'!AJ37+'EE P&amp;L'!AJ37+'ROW P&amp;L'!AJ39+'Non Rev P&amp;L'!AJ19</f>
        <v>-25000</v>
      </c>
      <c r="AK37" s="60">
        <f>'CE P&amp;L'!AK37+'EE P&amp;L'!AK37+'ROW P&amp;L'!AK39+'Non Rev P&amp;L'!AK19</f>
        <v>-25000</v>
      </c>
      <c r="AL37" s="60">
        <f>'CE P&amp;L'!AL37+'EE P&amp;L'!AL37+'ROW P&amp;L'!AL39+'Non Rev P&amp;L'!AL19</f>
        <v>-25000</v>
      </c>
      <c r="AM37" s="60">
        <f>'CE P&amp;L'!AM37+'EE P&amp;L'!AM37+'ROW P&amp;L'!AM39+'Non Rev P&amp;L'!AM19</f>
        <v>-25000</v>
      </c>
      <c r="AN37" s="60">
        <f>'CE P&amp;L'!AN37+'EE P&amp;L'!AN37+'ROW P&amp;L'!AN39+'Non Rev P&amp;L'!AN19</f>
        <v>-25000</v>
      </c>
      <c r="AO37" s="60">
        <f>'CE P&amp;L'!AO37+'EE P&amp;L'!AO37+'ROW P&amp;L'!AO39+'Non Rev P&amp;L'!AO19</f>
        <v>-25000</v>
      </c>
      <c r="AP37" s="60">
        <f>'CE P&amp;L'!AP37+'EE P&amp;L'!AP37+'ROW P&amp;L'!AP39+'Non Rev P&amp;L'!AP19</f>
        <v>-25000</v>
      </c>
      <c r="AQ37" s="60">
        <f>'CE P&amp;L'!AQ37+'EE P&amp;L'!AQ37+'ROW P&amp;L'!AQ39+'Non Rev P&amp;L'!AQ19</f>
        <v>-25000</v>
      </c>
      <c r="AR37" s="60">
        <f>'CE P&amp;L'!AR37+'EE P&amp;L'!AR37+'ROW P&amp;L'!AR39+'Non Rev P&amp;L'!AR19</f>
        <v>-25000</v>
      </c>
      <c r="AS37" s="60">
        <f>'CE P&amp;L'!AS37+'EE P&amp;L'!AS37+'ROW P&amp;L'!AS39+'Non Rev P&amp;L'!AS19</f>
        <v>-25000</v>
      </c>
      <c r="AT37" s="60"/>
      <c r="AU37" s="61">
        <f>SUM(AH37:AS37)</f>
        <v>-300000</v>
      </c>
    </row>
    <row r="38" spans="1:47" hidden="1" outlineLevel="1">
      <c r="B38" s="51" t="s">
        <v>106</v>
      </c>
      <c r="D38" s="480">
        <v>-40829</v>
      </c>
      <c r="E38" s="480">
        <v>-94343</v>
      </c>
      <c r="F38" s="480">
        <v>-113544</v>
      </c>
      <c r="G38" s="480">
        <v>-108470</v>
      </c>
      <c r="H38" s="480">
        <v>-45402</v>
      </c>
      <c r="I38" s="480">
        <v>-140331</v>
      </c>
      <c r="J38" s="480">
        <v>-142567</v>
      </c>
      <c r="K38" s="480">
        <v>-40966</v>
      </c>
      <c r="L38" s="480">
        <v>-280842</v>
      </c>
      <c r="M38" s="60">
        <v>-241231</v>
      </c>
      <c r="N38" s="60">
        <v>-90137</v>
      </c>
      <c r="O38" s="60">
        <v>-68958</v>
      </c>
      <c r="P38" s="60"/>
      <c r="Q38" s="61">
        <f>SUM(D38:O38)</f>
        <v>-1407620</v>
      </c>
      <c r="R38" s="62"/>
      <c r="S38" s="60">
        <f>'UK P&amp;L'!S38+'CE P&amp;L'!S38+'EE P&amp;L'!S38+'ROW P&amp;L'!S39</f>
        <v>-101054.86286314004</v>
      </c>
      <c r="T38" s="60">
        <f>'UK P&amp;L'!T38+'CE P&amp;L'!T38+'EE P&amp;L'!T38+'ROW P&amp;L'!T39</f>
        <v>-190217.20864096723</v>
      </c>
      <c r="U38" s="60">
        <f>'UK P&amp;L'!U38+'CE P&amp;L'!U38+'EE P&amp;L'!U38+'ROW P&amp;L'!U39</f>
        <v>-170776.23140478</v>
      </c>
      <c r="V38" s="60">
        <f>'UK P&amp;L'!V38+'CE P&amp;L'!V38+'EE P&amp;L'!V38+'ROW P&amp;L'!V39</f>
        <v>-116652.79141534105</v>
      </c>
      <c r="W38" s="60">
        <f>'UK P&amp;L'!W38+'CE P&amp;L'!W38+'EE P&amp;L'!W38+'ROW P&amp;L'!W39</f>
        <v>-113749.47414219851</v>
      </c>
      <c r="X38" s="60">
        <f>'UK P&amp;L'!X38+'CE P&amp;L'!X38+'EE P&amp;L'!X38+'ROW P&amp;L'!X39</f>
        <v>-255389.43160528856</v>
      </c>
      <c r="Y38" s="60">
        <f>'UK P&amp;L'!Y38+'CE P&amp;L'!Y38+'EE P&amp;L'!Y38+'ROW P&amp;L'!Y39</f>
        <v>-139716.75983535088</v>
      </c>
      <c r="Z38" s="60">
        <f>'UK P&amp;L'!Z38+'CE P&amp;L'!Z38+'EE P&amp;L'!Z38+'ROW P&amp;L'!Z39</f>
        <v>-134160.88347370035</v>
      </c>
      <c r="AA38" s="60">
        <f>'UK P&amp;L'!AA38+'CE P&amp;L'!AA38+'EE P&amp;L'!AA38+'ROW P&amp;L'!AA39</f>
        <v>-311953.71836044826</v>
      </c>
      <c r="AB38" s="60">
        <f>'UK P&amp;L'!AB38+'CE P&amp;L'!AB38+'EE P&amp;L'!AB38+'ROW P&amp;L'!AB39</f>
        <v>-293909.84170469444</v>
      </c>
      <c r="AC38" s="60">
        <f>'UK P&amp;L'!AC38+'CE P&amp;L'!AC38+'EE P&amp;L'!AC38+'ROW P&amp;L'!AC39</f>
        <v>-153152.29419453203</v>
      </c>
      <c r="AD38" s="60">
        <f>'UK P&amp;L'!AD38+'CE P&amp;L'!AD38+'EE P&amp;L'!AD38+'ROW P&amp;L'!AD39</f>
        <v>-166628.00546758273</v>
      </c>
      <c r="AE38" s="60"/>
      <c r="AF38" s="61">
        <f>SUM(S38:AD38)</f>
        <v>-2147361.5031080237</v>
      </c>
      <c r="AG38" s="89"/>
      <c r="AH38" s="60">
        <f>'UK P&amp;L'!AH38+'CE P&amp;L'!AH38+'EE P&amp;L'!AH38+'ROW P&amp;L'!AH39</f>
        <v>-181624.13063666664</v>
      </c>
      <c r="AI38" s="60">
        <f>'UK P&amp;L'!AI38+'CE P&amp;L'!AI38+'EE P&amp;L'!AI38+'ROW P&amp;L'!AI39</f>
        <v>-310001.57972977625</v>
      </c>
      <c r="AJ38" s="60">
        <f>'UK P&amp;L'!AJ38+'CE P&amp;L'!AJ38+'EE P&amp;L'!AJ38+'ROW P&amp;L'!AJ39</f>
        <v>-274401.73210921377</v>
      </c>
      <c r="AK38" s="60">
        <f>'UK P&amp;L'!AK38+'CE P&amp;L'!AK38+'EE P&amp;L'!AK38+'ROW P&amp;L'!AK39</f>
        <v>-222327.07063219586</v>
      </c>
      <c r="AL38" s="60">
        <f>'UK P&amp;L'!AL38+'CE P&amp;L'!AL38+'EE P&amp;L'!AL38+'ROW P&amp;L'!AL39</f>
        <v>-223881.41066480041</v>
      </c>
      <c r="AM38" s="60">
        <f>'UK P&amp;L'!AM38+'CE P&amp;L'!AM38+'EE P&amp;L'!AM38+'ROW P&amp;L'!AM39</f>
        <v>-414183.59776994505</v>
      </c>
      <c r="AN38" s="60">
        <f>'UK P&amp;L'!AN38+'CE P&amp;L'!AN38+'EE P&amp;L'!AN38+'ROW P&amp;L'!AN39</f>
        <v>-241836.54490285137</v>
      </c>
      <c r="AO38" s="60">
        <f>'UK P&amp;L'!AO38+'CE P&amp;L'!AO38+'EE P&amp;L'!AO38+'ROW P&amp;L'!AO39</f>
        <v>-239740.75450647104</v>
      </c>
      <c r="AP38" s="60">
        <f>'UK P&amp;L'!AP38+'CE P&amp;L'!AP38+'EE P&amp;L'!AP38+'ROW P&amp;L'!AP39</f>
        <v>-459111.92275477969</v>
      </c>
      <c r="AQ38" s="60">
        <f>'UK P&amp;L'!AQ38+'CE P&amp;L'!AQ38+'EE P&amp;L'!AQ38+'ROW P&amp;L'!AQ39</f>
        <v>-428752.32371776045</v>
      </c>
      <c r="AR38" s="60">
        <f>'UK P&amp;L'!AR38+'CE P&amp;L'!AR38+'EE P&amp;L'!AR38+'ROW P&amp;L'!AR39</f>
        <v>-257296.31710275961</v>
      </c>
      <c r="AS38" s="60">
        <f>'UK P&amp;L'!AS38+'CE P&amp;L'!AS38+'EE P&amp;L'!AS38+'ROW P&amp;L'!AS39</f>
        <v>-278608.52144318202</v>
      </c>
      <c r="AT38" s="60"/>
      <c r="AU38" s="61">
        <f>SUM(AH38:AS38)</f>
        <v>-3531765.9059704025</v>
      </c>
    </row>
    <row r="39" spans="1:47" hidden="1" outlineLevel="1">
      <c r="B39" s="51" t="s">
        <v>107</v>
      </c>
      <c r="D39" s="480">
        <v>-32660</v>
      </c>
      <c r="E39" s="480">
        <v>-30638</v>
      </c>
      <c r="F39" s="480">
        <v>-23207</v>
      </c>
      <c r="G39" s="480">
        <v>-29777</v>
      </c>
      <c r="H39" s="480">
        <v>-15861</v>
      </c>
      <c r="I39" s="480">
        <v>-19713</v>
      </c>
      <c r="J39" s="480">
        <v>-31149</v>
      </c>
      <c r="K39" s="480">
        <v>-22662</v>
      </c>
      <c r="L39" s="480">
        <v>-32567</v>
      </c>
      <c r="M39" s="60">
        <v>-61160</v>
      </c>
      <c r="N39" s="60">
        <v>-61386</v>
      </c>
      <c r="O39" s="60">
        <v>-45571</v>
      </c>
      <c r="P39" s="60"/>
      <c r="Q39" s="61">
        <f>SUM(D39:O39)</f>
        <v>-406351</v>
      </c>
      <c r="R39" s="62"/>
      <c r="S39" s="60">
        <f>'UK P&amp;L'!S39+'CE P&amp;L'!S39+'EE P&amp;L'!S39+'ROW P&amp;L'!S40</f>
        <v>-25014.397515190369</v>
      </c>
      <c r="T39" s="60">
        <f>'UK P&amp;L'!T39+'CE P&amp;L'!T39+'EE P&amp;L'!T39+'ROW P&amp;L'!T40</f>
        <v>-40705.690422432162</v>
      </c>
      <c r="U39" s="60">
        <f>'UK P&amp;L'!U39+'CE P&amp;L'!U39+'EE P&amp;L'!U39+'ROW P&amp;L'!U40</f>
        <v>-25069.383713394374</v>
      </c>
      <c r="V39" s="60">
        <f>'UK P&amp;L'!V39+'CE P&amp;L'!V39+'EE P&amp;L'!V39+'ROW P&amp;L'!V40</f>
        <v>-28119.402707485202</v>
      </c>
      <c r="W39" s="60">
        <f>'UK P&amp;L'!W39+'CE P&amp;L'!W39+'EE P&amp;L'!W39+'ROW P&amp;L'!W40</f>
        <v>-33425.732640240654</v>
      </c>
      <c r="X39" s="60">
        <f>'UK P&amp;L'!X39+'CE P&amp;L'!X39+'EE P&amp;L'!X39+'ROW P&amp;L'!X40</f>
        <v>-22222.436469483091</v>
      </c>
      <c r="Y39" s="60">
        <f>'UK P&amp;L'!Y39+'CE P&amp;L'!Y39+'EE P&amp;L'!Y39+'ROW P&amp;L'!Y40</f>
        <v>-26585.332939562202</v>
      </c>
      <c r="Z39" s="60">
        <f>'UK P&amp;L'!Z39+'CE P&amp;L'!Z39+'EE P&amp;L'!Z39+'ROW P&amp;L'!Z40</f>
        <v>-56219.428933816685</v>
      </c>
      <c r="AA39" s="60">
        <f>'UK P&amp;L'!AA39+'CE P&amp;L'!AA39+'EE P&amp;L'!AA39+'ROW P&amp;L'!AA40</f>
        <v>-42112.541455783408</v>
      </c>
      <c r="AB39" s="60">
        <f>'UK P&amp;L'!AB39+'CE P&amp;L'!AB39+'EE P&amp;L'!AB39+'ROW P&amp;L'!AB40</f>
        <v>-37576.758800752446</v>
      </c>
      <c r="AC39" s="60">
        <f>'UK P&amp;L'!AC39+'CE P&amp;L'!AC39+'EE P&amp;L'!AC39+'ROW P&amp;L'!AC40</f>
        <v>-27279.886111706219</v>
      </c>
      <c r="AD39" s="60">
        <f>'UK P&amp;L'!AD39+'CE P&amp;L'!AD39+'EE P&amp;L'!AD39+'ROW P&amp;L'!AD40</f>
        <v>-28295.180898961797</v>
      </c>
      <c r="AE39" s="60"/>
      <c r="AF39" s="61">
        <f>SUM(S39:AD39)</f>
        <v>-392626.17260880861</v>
      </c>
      <c r="AG39" s="89"/>
      <c r="AH39" s="60">
        <f>'UK P&amp;L'!AH39+'CE P&amp;L'!AH39+'EE P&amp;L'!AH39+'ROW P&amp;L'!AH40</f>
        <v>-31175.850356431085</v>
      </c>
      <c r="AI39" s="60">
        <f>'UK P&amp;L'!AI39+'CE P&amp;L'!AI39+'EE P&amp;L'!AI39+'ROW P&amp;L'!AI40</f>
        <v>-39783.995134980345</v>
      </c>
      <c r="AJ39" s="60">
        <f>'UK P&amp;L'!AJ39+'CE P&amp;L'!AJ39+'EE P&amp;L'!AJ39+'ROW P&amp;L'!AJ40</f>
        <v>-53718.706155297565</v>
      </c>
      <c r="AK39" s="60">
        <f>'UK P&amp;L'!AK39+'CE P&amp;L'!AK39+'EE P&amp;L'!AK39+'ROW P&amp;L'!AK40</f>
        <v>-53970.489968277696</v>
      </c>
      <c r="AL39" s="60">
        <f>'UK P&amp;L'!AL39+'CE P&amp;L'!AL39+'EE P&amp;L'!AL39+'ROW P&amp;L'!AL40</f>
        <v>-53819.176818871914</v>
      </c>
      <c r="AM39" s="60">
        <f>'UK P&amp;L'!AM39+'CE P&amp;L'!AM39+'EE P&amp;L'!AM39+'ROW P&amp;L'!AM40</f>
        <v>-35429.574211212908</v>
      </c>
      <c r="AN39" s="60">
        <f>'UK P&amp;L'!AN39+'CE P&amp;L'!AN39+'EE P&amp;L'!AN39+'ROW P&amp;L'!AN40</f>
        <v>-46714.255508495276</v>
      </c>
      <c r="AO39" s="60">
        <f>'UK P&amp;L'!AO39+'CE P&amp;L'!AO39+'EE P&amp;L'!AO39+'ROW P&amp;L'!AO40</f>
        <v>-95660.340727845673</v>
      </c>
      <c r="AP39" s="60">
        <f>'UK P&amp;L'!AP39+'CE P&amp;L'!AP39+'EE P&amp;L'!AP39+'ROW P&amp;L'!AP40</f>
        <v>-64164.477684030229</v>
      </c>
      <c r="AQ39" s="60">
        <f>'UK P&amp;L'!AQ39+'CE P&amp;L'!AQ39+'EE P&amp;L'!AQ39+'ROW P&amp;L'!AQ40</f>
        <v>-54520.122174429423</v>
      </c>
      <c r="AR39" s="60">
        <f>'UK P&amp;L'!AR39+'CE P&amp;L'!AR39+'EE P&amp;L'!AR39+'ROW P&amp;L'!AR40</f>
        <v>-38448.77514642536</v>
      </c>
      <c r="AS39" s="60">
        <f>'UK P&amp;L'!AS39+'CE P&amp;L'!AS39+'EE P&amp;L'!AS39+'ROW P&amp;L'!AS40</f>
        <v>-38127.996924162544</v>
      </c>
      <c r="AT39" s="60"/>
      <c r="AU39" s="61">
        <f>SUM(AH39:AS39)</f>
        <v>-605533.76081045996</v>
      </c>
    </row>
    <row r="40" spans="1:47" hidden="1" outlineLevel="1">
      <c r="B40" s="51" t="s">
        <v>108</v>
      </c>
      <c r="D40" s="480">
        <v>-68191</v>
      </c>
      <c r="E40" s="480">
        <v>-98632</v>
      </c>
      <c r="F40" s="480">
        <v>-97042</v>
      </c>
      <c r="G40" s="480">
        <v>-97653</v>
      </c>
      <c r="H40" s="480">
        <v>-74893</v>
      </c>
      <c r="I40" s="480">
        <v>-114084</v>
      </c>
      <c r="J40" s="480">
        <v>-93476</v>
      </c>
      <c r="K40" s="480">
        <v>-99890</v>
      </c>
      <c r="L40" s="480">
        <v>-118384</v>
      </c>
      <c r="M40" s="60">
        <v>-126370</v>
      </c>
      <c r="N40" s="60">
        <v>-126370</v>
      </c>
      <c r="O40" s="60">
        <v>-98160</v>
      </c>
      <c r="P40" s="60"/>
      <c r="Q40" s="61">
        <f>SUM(D40:O40)</f>
        <v>-1213145</v>
      </c>
      <c r="R40" s="62"/>
      <c r="S40" s="60">
        <f ca="1">'UK P&amp;L'!S40+'CE P&amp;L'!S40+'EE P&amp;L'!S40+'ROW P&amp;L'!S41</f>
        <v>-80771.181626374193</v>
      </c>
      <c r="T40" s="60">
        <f ca="1">'UK P&amp;L'!T40+'CE P&amp;L'!T40+'EE P&amp;L'!T40+'ROW P&amp;L'!T41</f>
        <v>-111689.21978457221</v>
      </c>
      <c r="U40" s="60">
        <f ca="1">'UK P&amp;L'!U40+'CE P&amp;L'!U40+'EE P&amp;L'!U40+'ROW P&amp;L'!U41</f>
        <v>-104700.5590586301</v>
      </c>
      <c r="V40" s="60">
        <f ca="1">'UK P&amp;L'!V40+'CE P&amp;L'!V40+'EE P&amp;L'!V40+'ROW P&amp;L'!V41</f>
        <v>-103564.45944888922</v>
      </c>
      <c r="W40" s="60">
        <f ca="1">'UK P&amp;L'!W40+'CE P&amp;L'!W40+'EE P&amp;L'!W40+'ROW P&amp;L'!W41</f>
        <v>-100447.1365269649</v>
      </c>
      <c r="X40" s="60">
        <f ca="1">'UK P&amp;L'!X40+'CE P&amp;L'!X40+'EE P&amp;L'!X40+'ROW P&amp;L'!X41</f>
        <v>-128762.06501323445</v>
      </c>
      <c r="Y40" s="60">
        <f ca="1">'UK P&amp;L'!Y40+'CE P&amp;L'!Y40+'EE P&amp;L'!Y40+'ROW P&amp;L'!Y41</f>
        <v>-101511.07883984389</v>
      </c>
      <c r="Z40" s="60">
        <f ca="1">'UK P&amp;L'!Z40+'CE P&amp;L'!Z40+'EE P&amp;L'!Z40+'ROW P&amp;L'!Z41</f>
        <v>-111891.10955272846</v>
      </c>
      <c r="AA40" s="60">
        <f ca="1">'UK P&amp;L'!AA40+'CE P&amp;L'!AA40+'EE P&amp;L'!AA40+'ROW P&amp;L'!AA41</f>
        <v>-134632.45716894293</v>
      </c>
      <c r="AB40" s="60">
        <f ca="1">'UK P&amp;L'!AB40+'CE P&amp;L'!AB40+'EE P&amp;L'!AB40+'ROW P&amp;L'!AB41</f>
        <v>-142234.32097134698</v>
      </c>
      <c r="AC40" s="60">
        <f ca="1">'UK P&amp;L'!AC40+'CE P&amp;L'!AC40+'EE P&amp;L'!AC40+'ROW P&amp;L'!AC41</f>
        <v>-140095.59971074961</v>
      </c>
      <c r="AD40" s="60">
        <f ca="1">'UK P&amp;L'!AD40+'CE P&amp;L'!AD40+'EE P&amp;L'!AD40+'ROW P&amp;L'!AD41</f>
        <v>-110165.87547163141</v>
      </c>
      <c r="AE40" s="60"/>
      <c r="AF40" s="61">
        <f ca="1">SUM(S40:AD40)</f>
        <v>-1370465.0631739083</v>
      </c>
      <c r="AG40" s="89"/>
      <c r="AH40" s="60">
        <f ca="1">'UK P&amp;L'!AH40+'CE P&amp;L'!AH40+'EE P&amp;L'!AH40+'ROW P&amp;L'!AH41</f>
        <v>-93734.915773218745</v>
      </c>
      <c r="AI40" s="60">
        <f ca="1">'UK P&amp;L'!AI40+'CE P&amp;L'!AI40+'EE P&amp;L'!AI40+'ROW P&amp;L'!AI41</f>
        <v>-118370.12095325468</v>
      </c>
      <c r="AJ40" s="60">
        <f ca="1">'UK P&amp;L'!AJ40+'CE P&amp;L'!AJ40+'EE P&amp;L'!AJ40+'ROW P&amp;L'!AJ41</f>
        <v>-111200.98940531144</v>
      </c>
      <c r="AK40" s="60">
        <f ca="1">'UK P&amp;L'!AK40+'CE P&amp;L'!AK40+'EE P&amp;L'!AK40+'ROW P&amp;L'!AK41</f>
        <v>-109767.29190359269</v>
      </c>
      <c r="AL40" s="60">
        <f ca="1">'UK P&amp;L'!AL40+'CE P&amp;L'!AL40+'EE P&amp;L'!AL40+'ROW P&amp;L'!AL41</f>
        <v>-106334.64883409756</v>
      </c>
      <c r="AM40" s="60">
        <f ca="1">'UK P&amp;L'!AM40+'CE P&amp;L'!AM40+'EE P&amp;L'!AM40+'ROW P&amp;L'!AM41</f>
        <v>-138548.94696688428</v>
      </c>
      <c r="AN40" s="60">
        <f ca="1">'UK P&amp;L'!AN40+'CE P&amp;L'!AN40+'EE P&amp;L'!AN40+'ROW P&amp;L'!AN41</f>
        <v>-108764.73478392225</v>
      </c>
      <c r="AO40" s="60">
        <f ca="1">'UK P&amp;L'!AO40+'CE P&amp;L'!AO40+'EE P&amp;L'!AO40+'ROW P&amp;L'!AO41</f>
        <v>-117033.43369865349</v>
      </c>
      <c r="AP40" s="60">
        <f ca="1">'UK P&amp;L'!AP40+'CE P&amp;L'!AP40+'EE P&amp;L'!AP40+'ROW P&amp;L'!AP41</f>
        <v>-140920.13797863398</v>
      </c>
      <c r="AQ40" s="60">
        <f ca="1">'UK P&amp;L'!AQ40+'CE P&amp;L'!AQ40+'EE P&amp;L'!AQ40+'ROW P&amp;L'!AQ41</f>
        <v>-146824.99226425376</v>
      </c>
      <c r="AR40" s="60">
        <f ca="1">'UK P&amp;L'!AR40+'CE P&amp;L'!AR40+'EE P&amp;L'!AR40+'ROW P&amp;L'!AR41</f>
        <v>-144207.15771109765</v>
      </c>
      <c r="AS40" s="60">
        <f ca="1">'UK P&amp;L'!AS40+'CE P&amp;L'!AS40+'EE P&amp;L'!AS40+'ROW P&amp;L'!AS41</f>
        <v>-120428.55277501483</v>
      </c>
      <c r="AT40" s="60"/>
      <c r="AU40" s="61">
        <f ca="1">SUM(AH40:AS40)</f>
        <v>-1456135.9230479356</v>
      </c>
    </row>
    <row r="41" spans="1:47" hidden="1" outlineLevel="1">
      <c r="B41" s="51" t="s">
        <v>109</v>
      </c>
      <c r="D41" s="480">
        <v>-3216</v>
      </c>
      <c r="E41" s="480">
        <v>-3283</v>
      </c>
      <c r="F41" s="480">
        <v>-3955</v>
      </c>
      <c r="G41" s="480">
        <v>-3000</v>
      </c>
      <c r="H41" s="480">
        <v>-2896</v>
      </c>
      <c r="I41" s="480">
        <v>-2362</v>
      </c>
      <c r="J41" s="480">
        <v>-1735</v>
      </c>
      <c r="K41" s="480">
        <v>-1155</v>
      </c>
      <c r="L41" s="480">
        <v>-350</v>
      </c>
      <c r="M41" s="60">
        <v>-2303</v>
      </c>
      <c r="N41" s="60">
        <v>-2433</v>
      </c>
      <c r="O41" s="60">
        <v>-2576</v>
      </c>
      <c r="P41" s="60"/>
      <c r="Q41" s="61">
        <f>SUM(D41:O41)</f>
        <v>-29264</v>
      </c>
      <c r="R41" s="66"/>
      <c r="S41" s="60">
        <f>'UK P&amp;L'!S41+'CE P&amp;L'!S41+'EE P&amp;L'!S41+'ROW P&amp;L'!S42</f>
        <v>0</v>
      </c>
      <c r="T41" s="60">
        <f>'UK P&amp;L'!T41+'CE P&amp;L'!T41+'EE P&amp;L'!T41+'ROW P&amp;L'!T42</f>
        <v>0</v>
      </c>
      <c r="U41" s="60">
        <f>'UK P&amp;L'!U41+'CE P&amp;L'!U41+'EE P&amp;L'!U41+'ROW P&amp;L'!U42</f>
        <v>0</v>
      </c>
      <c r="V41" s="60">
        <f>'UK P&amp;L'!V41+'CE P&amp;L'!V41+'EE P&amp;L'!V41+'ROW P&amp;L'!V42</f>
        <v>0</v>
      </c>
      <c r="W41" s="60">
        <f>'UK P&amp;L'!W41+'CE P&amp;L'!W41+'EE P&amp;L'!W41+'ROW P&amp;L'!W42</f>
        <v>0</v>
      </c>
      <c r="X41" s="60">
        <f>'UK P&amp;L'!X41+'CE P&amp;L'!X41+'EE P&amp;L'!X41+'ROW P&amp;L'!X42</f>
        <v>0</v>
      </c>
      <c r="Y41" s="60">
        <f>'UK P&amp;L'!Y41+'CE P&amp;L'!Y41+'EE P&amp;L'!Y41+'ROW P&amp;L'!Y42</f>
        <v>0</v>
      </c>
      <c r="Z41" s="60">
        <f>'UK P&amp;L'!Z41+'CE P&amp;L'!Z41+'EE P&amp;L'!Z41+'ROW P&amp;L'!Z42</f>
        <v>0</v>
      </c>
      <c r="AA41" s="60">
        <f>'UK P&amp;L'!AA41+'CE P&amp;L'!AA41+'EE P&amp;L'!AA41+'ROW P&amp;L'!AA42</f>
        <v>0</v>
      </c>
      <c r="AB41" s="60">
        <f>'UK P&amp;L'!AB41+'CE P&amp;L'!AB41+'EE P&amp;L'!AB41+'ROW P&amp;L'!AB42</f>
        <v>0</v>
      </c>
      <c r="AC41" s="60">
        <f>'UK P&amp;L'!AC41+'CE P&amp;L'!AC41+'EE P&amp;L'!AC41+'ROW P&amp;L'!AC42</f>
        <v>0</v>
      </c>
      <c r="AD41" s="60">
        <f>'UK P&amp;L'!AD41+'CE P&amp;L'!AD41+'EE P&amp;L'!AD41+'ROW P&amp;L'!AD42</f>
        <v>0</v>
      </c>
      <c r="AE41" s="60"/>
      <c r="AF41" s="61">
        <f>SUM(S41:AD41)</f>
        <v>0</v>
      </c>
      <c r="AG41" s="89"/>
      <c r="AH41" s="60">
        <f>'UK P&amp;L'!AH41+'CE P&amp;L'!AH41+'EE P&amp;L'!AH41+'ROW P&amp;L'!AH42</f>
        <v>0</v>
      </c>
      <c r="AI41" s="60">
        <f>'UK P&amp;L'!AI41+'CE P&amp;L'!AI41+'EE P&amp;L'!AI41+'ROW P&amp;L'!AI42</f>
        <v>0</v>
      </c>
      <c r="AJ41" s="60">
        <f>'UK P&amp;L'!AJ41+'CE P&amp;L'!AJ41+'EE P&amp;L'!AJ41+'ROW P&amp;L'!AJ42</f>
        <v>0</v>
      </c>
      <c r="AK41" s="60">
        <f>'UK P&amp;L'!AK41+'CE P&amp;L'!AK41+'EE P&amp;L'!AK41+'ROW P&amp;L'!AK42</f>
        <v>0</v>
      </c>
      <c r="AL41" s="60">
        <f>'UK P&amp;L'!AL41+'CE P&amp;L'!AL41+'EE P&amp;L'!AL41+'ROW P&amp;L'!AL42</f>
        <v>0</v>
      </c>
      <c r="AM41" s="60">
        <f>'UK P&amp;L'!AM41+'CE P&amp;L'!AM41+'EE P&amp;L'!AM41+'ROW P&amp;L'!AM42</f>
        <v>0</v>
      </c>
      <c r="AN41" s="60">
        <f>'UK P&amp;L'!AN41+'CE P&amp;L'!AN41+'EE P&amp;L'!AN41+'ROW P&amp;L'!AN42</f>
        <v>0</v>
      </c>
      <c r="AO41" s="60">
        <f>'UK P&amp;L'!AO41+'CE P&amp;L'!AO41+'EE P&amp;L'!AO41+'ROW P&amp;L'!AO42</f>
        <v>0</v>
      </c>
      <c r="AP41" s="60">
        <f>'UK P&amp;L'!AP41+'CE P&amp;L'!AP41+'EE P&amp;L'!AP41+'ROW P&amp;L'!AP42</f>
        <v>0</v>
      </c>
      <c r="AQ41" s="60">
        <f>'UK P&amp;L'!AQ41+'CE P&amp;L'!AQ41+'EE P&amp;L'!AQ41+'ROW P&amp;L'!AQ42</f>
        <v>0</v>
      </c>
      <c r="AR41" s="60">
        <f>'UK P&amp;L'!AR41+'CE P&amp;L'!AR41+'EE P&amp;L'!AR41+'ROW P&amp;L'!AR42</f>
        <v>0</v>
      </c>
      <c r="AS41" s="60">
        <f>'UK P&amp;L'!AS41+'CE P&amp;L'!AS41+'EE P&amp;L'!AS41+'ROW P&amp;L'!AS42</f>
        <v>0</v>
      </c>
      <c r="AT41" s="60"/>
      <c r="AU41" s="61">
        <f>SUM(AH41:AS41)</f>
        <v>0</v>
      </c>
    </row>
    <row r="42" spans="1:47" hidden="1" outlineLevel="1">
      <c r="D42" s="502"/>
      <c r="E42" s="502"/>
      <c r="F42" s="502"/>
      <c r="G42" s="502"/>
      <c r="H42" s="502"/>
      <c r="I42" s="502"/>
      <c r="J42" s="502"/>
      <c r="K42" s="502"/>
      <c r="L42" s="502"/>
      <c r="AG42" s="89"/>
    </row>
    <row r="43" spans="1:47" s="10" customFormat="1" collapsed="1">
      <c r="A43" s="52"/>
      <c r="B43" s="63" t="s">
        <v>110</v>
      </c>
      <c r="C43" s="52"/>
      <c r="D43" s="64">
        <f>SUM(D37:D42)</f>
        <v>-166380</v>
      </c>
      <c r="E43" s="64">
        <f>SUM(E37:E42)</f>
        <v>-268033</v>
      </c>
      <c r="F43" s="64">
        <f>SUM(F37:F42)</f>
        <v>-260591</v>
      </c>
      <c r="G43" s="64">
        <f>SUM(G37:G42)-1</f>
        <v>-268472</v>
      </c>
      <c r="H43" s="64">
        <f>SUM(H37:H42)</f>
        <v>-167028</v>
      </c>
      <c r="I43" s="64">
        <f>SUM(I37:I42)</f>
        <v>-315668</v>
      </c>
      <c r="J43" s="64">
        <f>SUM(J37:J42)-1</f>
        <v>-305076</v>
      </c>
      <c r="K43" s="64">
        <f>SUM(K37:K42)</f>
        <v>-190143</v>
      </c>
      <c r="L43" s="64">
        <f>SUM(L37:L42)</f>
        <v>-423510</v>
      </c>
      <c r="M43" s="65">
        <f>SUM(M37:M42)</f>
        <v>-468515</v>
      </c>
      <c r="N43" s="65">
        <f>SUM(N37:N42)+1</f>
        <v>-321778</v>
      </c>
      <c r="O43" s="65">
        <f>SUM(O37:O42)</f>
        <v>-251775</v>
      </c>
      <c r="P43" s="61"/>
      <c r="Q43" s="65">
        <f>SUM(D43:O43)</f>
        <v>-3406969</v>
      </c>
      <c r="R43" s="52"/>
      <c r="S43" s="84">
        <f ca="1">SUM(S37:S42)</f>
        <v>-231840.44200470459</v>
      </c>
      <c r="T43" s="84">
        <f t="shared" ref="T43:Z43" ca="1" si="61">SUM(T37:T42)</f>
        <v>-367612.11884797161</v>
      </c>
      <c r="U43" s="84">
        <f t="shared" ca="1" si="61"/>
        <v>-325546.17417680449</v>
      </c>
      <c r="V43" s="84">
        <f t="shared" ca="1" si="61"/>
        <v>-273336.65357171546</v>
      </c>
      <c r="W43" s="84">
        <f t="shared" ca="1" si="61"/>
        <v>-272622.3433094041</v>
      </c>
      <c r="X43" s="65">
        <f t="shared" ca="1" si="61"/>
        <v>-431373.93308800604</v>
      </c>
      <c r="Y43" s="65">
        <f t="shared" ca="1" si="61"/>
        <v>-292813.17161475698</v>
      </c>
      <c r="Z43" s="65">
        <f t="shared" ca="1" si="61"/>
        <v>-327271.42196024553</v>
      </c>
      <c r="AA43" s="65">
        <f ca="1">SUM(AA37:AA42)</f>
        <v>-513698.71698517457</v>
      </c>
      <c r="AB43" s="65">
        <f ca="1">SUM(AB37:AB42)</f>
        <v>-498720.92147679388</v>
      </c>
      <c r="AC43" s="65">
        <f ca="1">SUM(AC37:AC42)</f>
        <v>-345527.78001698782</v>
      </c>
      <c r="AD43" s="65">
        <f ca="1">SUM(AD37:AD42)</f>
        <v>-330089.06183817593</v>
      </c>
      <c r="AE43" s="61"/>
      <c r="AF43" s="65">
        <f ca="1">SUM(S43:AD43)</f>
        <v>-4210452.738890741</v>
      </c>
      <c r="AG43" s="89"/>
      <c r="AH43" s="84">
        <f ca="1">SUM(AH37:AH42)</f>
        <v>-331534.89676631649</v>
      </c>
      <c r="AI43" s="84">
        <f t="shared" ref="AI43:AO43" ca="1" si="62">SUM(AI37:AI42)</f>
        <v>-493155.6958180113</v>
      </c>
      <c r="AJ43" s="84">
        <f t="shared" ca="1" si="62"/>
        <v>-464321.42766982282</v>
      </c>
      <c r="AK43" s="84">
        <f t="shared" ca="1" si="62"/>
        <v>-411064.85250406625</v>
      </c>
      <c r="AL43" s="84">
        <f t="shared" ca="1" si="62"/>
        <v>-409035.23631776986</v>
      </c>
      <c r="AM43" s="65">
        <f t="shared" ca="1" si="62"/>
        <v>-613162.11894804228</v>
      </c>
      <c r="AN43" s="65">
        <f t="shared" ca="1" si="62"/>
        <v>-422315.53519526887</v>
      </c>
      <c r="AO43" s="65">
        <f t="shared" ca="1" si="62"/>
        <v>-477434.52893297019</v>
      </c>
      <c r="AP43" s="65">
        <f ca="1">SUM(AP37:AP42)</f>
        <v>-689196.53841744387</v>
      </c>
      <c r="AQ43" s="65">
        <f ca="1">SUM(AQ37:AQ42)</f>
        <v>-655097.43815644365</v>
      </c>
      <c r="AR43" s="65">
        <f ca="1">SUM(AR37:AR42)</f>
        <v>-464952.24996028258</v>
      </c>
      <c r="AS43" s="65">
        <f ca="1">SUM(AS37:AS42)</f>
        <v>-462165.0711423594</v>
      </c>
      <c r="AT43" s="61"/>
      <c r="AU43" s="65">
        <f ca="1">SUM(AH43:AS43)</f>
        <v>-5893435.5898287976</v>
      </c>
    </row>
    <row r="44" spans="1:47">
      <c r="D44" s="53"/>
      <c r="E44" s="53"/>
      <c r="F44" s="53"/>
      <c r="G44" s="53"/>
      <c r="H44" s="53"/>
      <c r="I44" s="53"/>
      <c r="J44" s="53"/>
      <c r="K44" s="53"/>
      <c r="L44" s="53"/>
      <c r="Q44" s="91">
        <f>-Q43/Q12</f>
        <v>0.1889852073214878</v>
      </c>
      <c r="AF44" s="91">
        <f ca="1">-AF43/AF12</f>
        <v>0.17993976277068544</v>
      </c>
      <c r="AG44" s="89"/>
      <c r="AU44" s="91">
        <f ca="1">-AU43/AU12</f>
        <v>0.17174307531025534</v>
      </c>
    </row>
    <row r="45" spans="1:47" hidden="1" outlineLevel="1">
      <c r="B45" s="67" t="s">
        <v>111</v>
      </c>
      <c r="C45" s="52"/>
      <c r="D45" s="68">
        <f t="shared" ref="D45:L45" si="63">D23+D38</f>
        <v>115122</v>
      </c>
      <c r="E45" s="68">
        <f t="shared" si="63"/>
        <v>367638</v>
      </c>
      <c r="F45" s="68">
        <f t="shared" si="63"/>
        <v>355708</v>
      </c>
      <c r="G45" s="68">
        <f t="shared" si="63"/>
        <v>326412</v>
      </c>
      <c r="H45" s="68">
        <f t="shared" si="63"/>
        <v>167293</v>
      </c>
      <c r="I45" s="68">
        <f t="shared" si="63"/>
        <v>509074</v>
      </c>
      <c r="J45" s="68">
        <f t="shared" si="63"/>
        <v>464744</v>
      </c>
      <c r="K45" s="68">
        <f t="shared" si="63"/>
        <v>145207</v>
      </c>
      <c r="L45" s="68">
        <f t="shared" si="63"/>
        <v>737419</v>
      </c>
      <c r="M45" s="69">
        <f t="shared" ref="M45:O48" si="64">M23+M38</f>
        <v>952053</v>
      </c>
      <c r="N45" s="69">
        <f t="shared" si="64"/>
        <v>417282</v>
      </c>
      <c r="O45" s="69">
        <f t="shared" si="64"/>
        <v>292165</v>
      </c>
      <c r="P45" s="69"/>
      <c r="Q45" s="69">
        <f>Q23+Q38</f>
        <v>4850117</v>
      </c>
      <c r="S45" s="85">
        <f t="shared" ref="S45:AD45" si="65">S23+S38</f>
        <v>352063.06095451606</v>
      </c>
      <c r="T45" s="85">
        <f t="shared" si="65"/>
        <v>618177.27252890205</v>
      </c>
      <c r="U45" s="85">
        <f t="shared" si="65"/>
        <v>564239.6305275131</v>
      </c>
      <c r="V45" s="85">
        <f t="shared" si="65"/>
        <v>420762.34823743429</v>
      </c>
      <c r="W45" s="85">
        <f t="shared" si="65"/>
        <v>415549.15128005907</v>
      </c>
      <c r="X45" s="69">
        <f t="shared" si="65"/>
        <v>846277.91376379272</v>
      </c>
      <c r="Y45" s="69">
        <f t="shared" si="65"/>
        <v>517384.07341076329</v>
      </c>
      <c r="Z45" s="69">
        <f t="shared" si="65"/>
        <v>505338.34835946409</v>
      </c>
      <c r="AA45" s="69">
        <f t="shared" si="65"/>
        <v>1041533.0153299114</v>
      </c>
      <c r="AB45" s="69">
        <f t="shared" si="65"/>
        <v>1000000.9136076967</v>
      </c>
      <c r="AC45" s="69">
        <f t="shared" si="65"/>
        <v>590378.57084993925</v>
      </c>
      <c r="AD45" s="69">
        <f t="shared" si="65"/>
        <v>646592.74812656362</v>
      </c>
      <c r="AE45" s="69"/>
      <c r="AF45" s="69">
        <f>AF23+AF38</f>
        <v>7518297.0469765561</v>
      </c>
      <c r="AG45" s="89"/>
      <c r="AH45" s="85">
        <f t="shared" ref="AH45:AS45" si="66">AH23+AH38</f>
        <v>706270.68979963195</v>
      </c>
      <c r="AI45" s="85">
        <f t="shared" si="66"/>
        <v>1090968.832452782</v>
      </c>
      <c r="AJ45" s="85">
        <f t="shared" si="66"/>
        <v>1005832.2439257279</v>
      </c>
      <c r="AK45" s="85">
        <f t="shared" si="66"/>
        <v>867247.3328188404</v>
      </c>
      <c r="AL45" s="85">
        <f t="shared" si="66"/>
        <v>875775.65803723049</v>
      </c>
      <c r="AM45" s="69">
        <f t="shared" si="66"/>
        <v>1452566.6324519194</v>
      </c>
      <c r="AN45" s="69">
        <f t="shared" si="66"/>
        <v>958589.54625063273</v>
      </c>
      <c r="AO45" s="69">
        <f t="shared" si="66"/>
        <v>959280.61518394388</v>
      </c>
      <c r="AP45" s="69">
        <f t="shared" si="66"/>
        <v>1622300.2056312663</v>
      </c>
      <c r="AQ45" s="69">
        <f t="shared" si="66"/>
        <v>1547690.9580073047</v>
      </c>
      <c r="AR45" s="69">
        <f t="shared" si="66"/>
        <v>1052703.4139192</v>
      </c>
      <c r="AS45" s="69">
        <f t="shared" si="66"/>
        <v>1133887.7808123478</v>
      </c>
      <c r="AT45" s="69"/>
      <c r="AU45" s="69">
        <f>AU23+AU38</f>
        <v>13273113.909290828</v>
      </c>
    </row>
    <row r="46" spans="1:47" hidden="1" outlineLevel="1">
      <c r="B46" s="67" t="s">
        <v>112</v>
      </c>
      <c r="C46" s="52"/>
      <c r="D46" s="68">
        <f t="shared" ref="D46:L46" si="67">D24+D39</f>
        <v>417154</v>
      </c>
      <c r="E46" s="68">
        <f t="shared" si="67"/>
        <v>321866</v>
      </c>
      <c r="F46" s="68">
        <f t="shared" si="67"/>
        <v>179804</v>
      </c>
      <c r="G46" s="68">
        <f t="shared" si="67"/>
        <v>350481</v>
      </c>
      <c r="H46" s="68">
        <f t="shared" si="67"/>
        <v>378161</v>
      </c>
      <c r="I46" s="68">
        <f t="shared" si="67"/>
        <v>259341</v>
      </c>
      <c r="J46" s="68">
        <f t="shared" si="67"/>
        <v>187775</v>
      </c>
      <c r="K46" s="68">
        <f t="shared" si="67"/>
        <v>318155</v>
      </c>
      <c r="L46" s="68">
        <f t="shared" si="67"/>
        <v>516510</v>
      </c>
      <c r="M46" s="69">
        <f t="shared" si="64"/>
        <v>451058</v>
      </c>
      <c r="N46" s="69">
        <f t="shared" si="64"/>
        <v>452718</v>
      </c>
      <c r="O46" s="69">
        <f t="shared" si="64"/>
        <v>336083</v>
      </c>
      <c r="P46" s="69"/>
      <c r="Q46" s="69">
        <f>Q24+Q39</f>
        <v>4169106</v>
      </c>
      <c r="S46" s="85">
        <f t="shared" ref="S46:AD46" si="68">S24+S39</f>
        <v>299379.28551056021</v>
      </c>
      <c r="T46" s="85">
        <f t="shared" si="68"/>
        <v>446705.16750658886</v>
      </c>
      <c r="U46" s="85">
        <f t="shared" si="68"/>
        <v>357616.72658912896</v>
      </c>
      <c r="V46" s="85">
        <f t="shared" si="68"/>
        <v>375699.40065138676</v>
      </c>
      <c r="W46" s="85">
        <f t="shared" si="68"/>
        <v>420982.43391334533</v>
      </c>
      <c r="X46" s="69">
        <f t="shared" si="68"/>
        <v>282498.3070528995</v>
      </c>
      <c r="Y46" s="69">
        <f t="shared" si="68"/>
        <v>369478.21156578505</v>
      </c>
      <c r="Z46" s="69">
        <f t="shared" si="68"/>
        <v>758072.75856466824</v>
      </c>
      <c r="AA46" s="69">
        <f t="shared" si="68"/>
        <v>530107.24010117946</v>
      </c>
      <c r="AB46" s="69">
        <f t="shared" si="68"/>
        <v>419534.8312414005</v>
      </c>
      <c r="AC46" s="69">
        <f t="shared" si="68"/>
        <v>322927.02058064967</v>
      </c>
      <c r="AD46" s="69">
        <f t="shared" si="68"/>
        <v>334966.84667817637</v>
      </c>
      <c r="AE46" s="69"/>
      <c r="AF46" s="69">
        <f>AF24+AF39</f>
        <v>4917968.2299557691</v>
      </c>
      <c r="AG46" s="89"/>
      <c r="AH46" s="85">
        <f t="shared" ref="AH46:AS46" si="69">AH24+AH39</f>
        <v>365315.58709913457</v>
      </c>
      <c r="AI46" s="85">
        <f t="shared" si="69"/>
        <v>396381.65652944538</v>
      </c>
      <c r="AJ46" s="85">
        <f t="shared" si="69"/>
        <v>431866.01361123199</v>
      </c>
      <c r="AK46" s="85">
        <f t="shared" si="69"/>
        <v>460860.02794713486</v>
      </c>
      <c r="AL46" s="85">
        <f t="shared" si="69"/>
        <v>490395.88857372856</v>
      </c>
      <c r="AM46" s="69">
        <f t="shared" si="69"/>
        <v>340911.76658096653</v>
      </c>
      <c r="AN46" s="69">
        <f t="shared" si="69"/>
        <v>433598.24340988975</v>
      </c>
      <c r="AO46" s="69">
        <f t="shared" si="69"/>
        <v>936381.53158198018</v>
      </c>
      <c r="AP46" s="69">
        <f t="shared" si="69"/>
        <v>675045.33015056292</v>
      </c>
      <c r="AQ46" s="69">
        <f t="shared" si="69"/>
        <v>551019.18294538255</v>
      </c>
      <c r="AR46" s="69">
        <f t="shared" si="69"/>
        <v>429692.58514895709</v>
      </c>
      <c r="AS46" s="69">
        <f t="shared" si="69"/>
        <v>402580.39684012288</v>
      </c>
      <c r="AT46" s="69"/>
      <c r="AU46" s="69">
        <f>AU24+AU39</f>
        <v>5914048.2104185401</v>
      </c>
    </row>
    <row r="47" spans="1:47" hidden="1" outlineLevel="1">
      <c r="B47" s="67" t="s">
        <v>113</v>
      </c>
      <c r="C47" s="52"/>
      <c r="D47" s="68">
        <f t="shared" ref="D47:L47" si="70">D25+D40</f>
        <v>83698</v>
      </c>
      <c r="E47" s="68">
        <f t="shared" si="70"/>
        <v>103596</v>
      </c>
      <c r="F47" s="68">
        <f t="shared" si="70"/>
        <v>88937</v>
      </c>
      <c r="G47" s="68">
        <f t="shared" si="70"/>
        <v>91047</v>
      </c>
      <c r="H47" s="68">
        <f t="shared" si="70"/>
        <v>94536</v>
      </c>
      <c r="I47" s="68">
        <f t="shared" si="70"/>
        <v>109888</v>
      </c>
      <c r="J47" s="68">
        <f t="shared" si="70"/>
        <v>89352</v>
      </c>
      <c r="K47" s="68">
        <f t="shared" si="70"/>
        <v>94089</v>
      </c>
      <c r="L47" s="68">
        <f t="shared" si="70"/>
        <v>116254</v>
      </c>
      <c r="M47" s="69">
        <f t="shared" si="64"/>
        <v>131980</v>
      </c>
      <c r="N47" s="69">
        <f t="shared" si="64"/>
        <v>131980</v>
      </c>
      <c r="O47" s="69">
        <f t="shared" si="64"/>
        <v>102006</v>
      </c>
      <c r="P47" s="69"/>
      <c r="Q47" s="69">
        <f>Q25+Q40</f>
        <v>1237363</v>
      </c>
      <c r="S47" s="85">
        <f t="shared" ref="S47:AD47" ca="1" si="71">S25+S40</f>
        <v>79195.40237362578</v>
      </c>
      <c r="T47" s="85">
        <f t="shared" ca="1" si="71"/>
        <v>109058.06021542779</v>
      </c>
      <c r="U47" s="85">
        <f t="shared" ca="1" si="71"/>
        <v>102523.61714136989</v>
      </c>
      <c r="V47" s="85">
        <f t="shared" ca="1" si="71"/>
        <v>101515.11335111075</v>
      </c>
      <c r="W47" s="85">
        <f t="shared" ca="1" si="71"/>
        <v>98586.015183673415</v>
      </c>
      <c r="X47" s="69">
        <f t="shared" ca="1" si="71"/>
        <v>126018.34738676558</v>
      </c>
      <c r="Y47" s="69">
        <f t="shared" ca="1" si="71"/>
        <v>99563.909160156123</v>
      </c>
      <c r="Z47" s="69">
        <f t="shared" ca="1" si="71"/>
        <v>109458.21026003746</v>
      </c>
      <c r="AA47" s="69">
        <f t="shared" ca="1" si="71"/>
        <v>131540.14963105714</v>
      </c>
      <c r="AB47" s="69">
        <f t="shared" ca="1" si="71"/>
        <v>138355.58322865301</v>
      </c>
      <c r="AC47" s="69">
        <f t="shared" ca="1" si="71"/>
        <v>136437.80712925034</v>
      </c>
      <c r="AD47" s="69">
        <f t="shared" ca="1" si="71"/>
        <v>106921.50836836858</v>
      </c>
      <c r="AE47" s="69"/>
      <c r="AF47" s="69">
        <f ca="1">AF25+AF40</f>
        <v>1339173.7234294959</v>
      </c>
      <c r="AG47" s="89"/>
      <c r="AH47" s="85">
        <f t="shared" ref="AH47:AS47" ca="1" si="72">AH25+AH40</f>
        <v>90814.569586781246</v>
      </c>
      <c r="AI47" s="85">
        <f t="shared" ca="1" si="72"/>
        <v>115103.91492674533</v>
      </c>
      <c r="AJ47" s="85">
        <f t="shared" ca="1" si="72"/>
        <v>108405.65985268858</v>
      </c>
      <c r="AK47" s="85">
        <f t="shared" ca="1" si="72"/>
        <v>107132.11300440734</v>
      </c>
      <c r="AL47" s="85">
        <f t="shared" ca="1" si="72"/>
        <v>103920.63893300029</v>
      </c>
      <c r="AM47" s="69">
        <f t="shared" ca="1" si="72"/>
        <v>134848.18157979575</v>
      </c>
      <c r="AN47" s="69">
        <f t="shared" ca="1" si="72"/>
        <v>106115.67924407778</v>
      </c>
      <c r="AO47" s="69">
        <f t="shared" ca="1" si="72"/>
        <v>114135.79592010401</v>
      </c>
      <c r="AP47" s="69">
        <f t="shared" ca="1" si="72"/>
        <v>137256.06110404606</v>
      </c>
      <c r="AQ47" s="69">
        <f t="shared" ca="1" si="72"/>
        <v>142560.3323130942</v>
      </c>
      <c r="AR47" s="69">
        <f t="shared" ca="1" si="72"/>
        <v>140215.67233425038</v>
      </c>
      <c r="AS47" s="69">
        <f t="shared" ca="1" si="72"/>
        <v>116149.967207468</v>
      </c>
      <c r="AT47" s="69"/>
      <c r="AU47" s="69">
        <f ca="1">AU25+AU40</f>
        <v>1416658.5860064588</v>
      </c>
    </row>
    <row r="48" spans="1:47" hidden="1" outlineLevel="1">
      <c r="B48" s="67" t="s">
        <v>114</v>
      </c>
      <c r="C48" s="52"/>
      <c r="D48" s="68">
        <f t="shared" ref="D48:L48" si="73">D26+D41</f>
        <v>8078</v>
      </c>
      <c r="E48" s="68">
        <f t="shared" si="73"/>
        <v>2881</v>
      </c>
      <c r="F48" s="68">
        <f t="shared" si="73"/>
        <v>3589</v>
      </c>
      <c r="G48" s="68">
        <f t="shared" si="73"/>
        <v>1293</v>
      </c>
      <c r="H48" s="68">
        <f t="shared" si="73"/>
        <v>3153</v>
      </c>
      <c r="I48" s="68">
        <f t="shared" si="73"/>
        <v>3211</v>
      </c>
      <c r="J48" s="68">
        <f t="shared" si="73"/>
        <v>3536</v>
      </c>
      <c r="K48" s="68">
        <f t="shared" si="73"/>
        <v>2529</v>
      </c>
      <c r="L48" s="68">
        <f t="shared" si="73"/>
        <v>1586</v>
      </c>
      <c r="M48" s="69">
        <f t="shared" si="64"/>
        <v>4055</v>
      </c>
      <c r="N48" s="69">
        <f t="shared" si="64"/>
        <v>3925</v>
      </c>
      <c r="O48" s="69">
        <f t="shared" si="64"/>
        <v>3782</v>
      </c>
      <c r="P48" s="69"/>
      <c r="Q48" s="69">
        <f>Q26+Q41</f>
        <v>41618</v>
      </c>
      <c r="S48" s="85">
        <f t="shared" ref="S48:AD48" si="74">S26+S41</f>
        <v>0</v>
      </c>
      <c r="T48" s="85">
        <f t="shared" si="74"/>
        <v>0</v>
      </c>
      <c r="U48" s="85">
        <f t="shared" si="74"/>
        <v>0</v>
      </c>
      <c r="V48" s="85">
        <f t="shared" si="74"/>
        <v>0</v>
      </c>
      <c r="W48" s="85">
        <f t="shared" si="74"/>
        <v>0</v>
      </c>
      <c r="X48" s="69">
        <f t="shared" si="74"/>
        <v>0</v>
      </c>
      <c r="Y48" s="69">
        <f t="shared" si="74"/>
        <v>0</v>
      </c>
      <c r="Z48" s="69">
        <f t="shared" si="74"/>
        <v>0</v>
      </c>
      <c r="AA48" s="69">
        <f t="shared" si="74"/>
        <v>0</v>
      </c>
      <c r="AB48" s="69">
        <f t="shared" si="74"/>
        <v>0</v>
      </c>
      <c r="AC48" s="69">
        <f t="shared" si="74"/>
        <v>0</v>
      </c>
      <c r="AD48" s="69">
        <f t="shared" si="74"/>
        <v>0</v>
      </c>
      <c r="AE48" s="69"/>
      <c r="AF48" s="69">
        <f>AF26+AF41</f>
        <v>0</v>
      </c>
      <c r="AG48" s="89"/>
      <c r="AH48" s="85">
        <f t="shared" ref="AH48:AS48" si="75">AH26+AH41</f>
        <v>0</v>
      </c>
      <c r="AI48" s="85">
        <f t="shared" si="75"/>
        <v>0</v>
      </c>
      <c r="AJ48" s="85">
        <f t="shared" si="75"/>
        <v>0</v>
      </c>
      <c r="AK48" s="85">
        <f t="shared" si="75"/>
        <v>0</v>
      </c>
      <c r="AL48" s="85">
        <f t="shared" si="75"/>
        <v>0</v>
      </c>
      <c r="AM48" s="69">
        <f t="shared" si="75"/>
        <v>0</v>
      </c>
      <c r="AN48" s="69">
        <f t="shared" si="75"/>
        <v>0</v>
      </c>
      <c r="AO48" s="69">
        <f t="shared" si="75"/>
        <v>0</v>
      </c>
      <c r="AP48" s="69">
        <f t="shared" si="75"/>
        <v>0</v>
      </c>
      <c r="AQ48" s="69">
        <f t="shared" si="75"/>
        <v>0</v>
      </c>
      <c r="AR48" s="69">
        <f t="shared" si="75"/>
        <v>0</v>
      </c>
      <c r="AS48" s="69">
        <f t="shared" si="75"/>
        <v>0</v>
      </c>
      <c r="AT48" s="69"/>
      <c r="AU48" s="69">
        <f>AU26+AU41</f>
        <v>0</v>
      </c>
    </row>
    <row r="49" spans="2:47" collapsed="1">
      <c r="B49" s="67" t="s">
        <v>115</v>
      </c>
      <c r="C49" s="52"/>
      <c r="D49" s="68">
        <f>D27+D43</f>
        <v>602568</v>
      </c>
      <c r="E49" s="68">
        <f>E27+E43</f>
        <v>754844</v>
      </c>
      <c r="F49" s="68">
        <f>F27+F43-1</f>
        <v>605194</v>
      </c>
      <c r="G49" s="68">
        <f t="shared" ref="G49:L49" si="76">G27+G43</f>
        <v>739661</v>
      </c>
      <c r="H49" s="68">
        <f t="shared" si="76"/>
        <v>615167</v>
      </c>
      <c r="I49" s="68">
        <f t="shared" si="76"/>
        <v>842336</v>
      </c>
      <c r="J49" s="68">
        <f t="shared" si="76"/>
        <v>709258</v>
      </c>
      <c r="K49" s="68">
        <f t="shared" si="76"/>
        <v>534510</v>
      </c>
      <c r="L49" s="68">
        <f t="shared" si="76"/>
        <v>1380402.5</v>
      </c>
      <c r="M49" s="69">
        <f t="shared" ref="M49:Q49" si="77">M27+M43</f>
        <v>1501696</v>
      </c>
      <c r="N49" s="69">
        <f t="shared" si="77"/>
        <v>964454</v>
      </c>
      <c r="O49" s="69">
        <f t="shared" si="77"/>
        <v>697526.5</v>
      </c>
      <c r="P49" s="69"/>
      <c r="Q49" s="69">
        <f t="shared" si="77"/>
        <v>9947618</v>
      </c>
      <c r="S49" s="85">
        <f ca="1">S27+S43</f>
        <v>705637.7488387021</v>
      </c>
      <c r="T49" s="85">
        <f t="shared" ref="T49:AD49" ca="1" si="78">T27+T43</f>
        <v>1148940.500250919</v>
      </c>
      <c r="U49" s="85">
        <f t="shared" ca="1" si="78"/>
        <v>999379.97425801191</v>
      </c>
      <c r="V49" s="85">
        <f t="shared" ca="1" si="78"/>
        <v>872976.86223993183</v>
      </c>
      <c r="W49" s="85">
        <f t="shared" ca="1" si="78"/>
        <v>910117.60037707794</v>
      </c>
      <c r="X49" s="69">
        <f t="shared" ca="1" si="78"/>
        <v>1229794.5682034579</v>
      </c>
      <c r="Y49" s="69">
        <f t="shared" ca="1" si="78"/>
        <v>961426.19413670432</v>
      </c>
      <c r="Z49" s="69">
        <f t="shared" ca="1" si="78"/>
        <v>1347869.3171841698</v>
      </c>
      <c r="AA49" s="69">
        <f t="shared" ca="1" si="78"/>
        <v>1678180.4050621479</v>
      </c>
      <c r="AB49" s="69">
        <f t="shared" ca="1" si="78"/>
        <v>1532891.3280777503</v>
      </c>
      <c r="AC49" s="69">
        <f t="shared" ca="1" si="78"/>
        <v>1024743.3985598392</v>
      </c>
      <c r="AD49" s="69">
        <f t="shared" ca="1" si="78"/>
        <v>1063481.1031731085</v>
      </c>
      <c r="AE49" s="69"/>
      <c r="AF49" s="69">
        <f t="shared" ref="AF49" ca="1" si="79">AF27+AF43</f>
        <v>13475439.000361823</v>
      </c>
      <c r="AG49" s="89"/>
      <c r="AH49" s="85">
        <f ca="1">AH27+AH43</f>
        <v>1137400.8464855477</v>
      </c>
      <c r="AI49" s="85">
        <f t="shared" ref="AI49:AS49" ca="1" si="80">AI27+AI43</f>
        <v>1577454.4039089726</v>
      </c>
      <c r="AJ49" s="85">
        <f t="shared" ca="1" si="80"/>
        <v>1521103.917389648</v>
      </c>
      <c r="AK49" s="85">
        <f t="shared" ca="1" si="80"/>
        <v>1410239.4737703821</v>
      </c>
      <c r="AL49" s="85">
        <f t="shared" ca="1" si="80"/>
        <v>1445092.1855439593</v>
      </c>
      <c r="AM49" s="69">
        <f t="shared" ca="1" si="80"/>
        <v>1903326.5806126818</v>
      </c>
      <c r="AN49" s="69">
        <f t="shared" ca="1" si="80"/>
        <v>1473303.4689046005</v>
      </c>
      <c r="AO49" s="69">
        <f t="shared" ca="1" si="80"/>
        <v>1984797.9426860281</v>
      </c>
      <c r="AP49" s="69">
        <f t="shared" ca="1" si="80"/>
        <v>2409601.5968858749</v>
      </c>
      <c r="AQ49" s="69">
        <f t="shared" ca="1" si="80"/>
        <v>2216270.4732657815</v>
      </c>
      <c r="AR49" s="69">
        <f t="shared" ca="1" si="80"/>
        <v>1597611.6714024073</v>
      </c>
      <c r="AS49" s="69">
        <f t="shared" ca="1" si="80"/>
        <v>1627618.1448599386</v>
      </c>
      <c r="AT49" s="69"/>
      <c r="AU49" s="69">
        <f t="shared" ref="AU49" ca="1" si="81">AU27+AU43</f>
        <v>20303820.705715828</v>
      </c>
    </row>
    <row r="50" spans="2:47">
      <c r="B50" s="52"/>
      <c r="C50" s="52"/>
      <c r="D50" s="70"/>
      <c r="E50" s="70"/>
      <c r="F50" s="70"/>
      <c r="G50" s="70"/>
      <c r="H50" s="70"/>
      <c r="I50" s="70"/>
      <c r="J50" s="70"/>
      <c r="K50" s="70"/>
      <c r="L50" s="70"/>
      <c r="M50" s="52"/>
      <c r="N50" s="52"/>
      <c r="O50" s="52"/>
      <c r="P50" s="52"/>
      <c r="S50" s="10"/>
      <c r="T50" s="10"/>
      <c r="U50" s="10"/>
      <c r="V50" s="10"/>
      <c r="W50" s="10"/>
      <c r="X50" s="52"/>
      <c r="Y50" s="52"/>
      <c r="Z50" s="52"/>
      <c r="AA50" s="52"/>
      <c r="AB50" s="52"/>
      <c r="AC50" s="52"/>
      <c r="AD50" s="52"/>
      <c r="AE50" s="52"/>
      <c r="AG50" s="89"/>
      <c r="AH50" s="10"/>
      <c r="AI50" s="10"/>
      <c r="AJ50" s="10"/>
      <c r="AK50" s="10"/>
      <c r="AL50" s="10"/>
      <c r="AM50" s="52"/>
      <c r="AN50" s="52"/>
      <c r="AO50" s="52"/>
      <c r="AP50" s="52"/>
      <c r="AQ50" s="52"/>
      <c r="AR50" s="52"/>
      <c r="AS50" s="52"/>
      <c r="AT50" s="52"/>
    </row>
    <row r="51" spans="2:47" hidden="1" outlineLevel="1">
      <c r="B51" s="67" t="s">
        <v>116</v>
      </c>
      <c r="C51" s="52"/>
      <c r="D51" s="97">
        <f t="shared" ref="D51:L51" si="82">IFERROR(D45/D7,0)</f>
        <v>0.56766552103314116</v>
      </c>
      <c r="E51" s="97">
        <f t="shared" si="82"/>
        <v>0.611402238139507</v>
      </c>
      <c r="F51" s="97">
        <f t="shared" si="82"/>
        <v>0.56302064784697325</v>
      </c>
      <c r="G51" s="97">
        <f t="shared" si="82"/>
        <v>0.57662323897010115</v>
      </c>
      <c r="H51" s="97">
        <f t="shared" si="82"/>
        <v>0.63515319488211397</v>
      </c>
      <c r="I51" s="97">
        <f t="shared" si="82"/>
        <v>0.5886990831968768</v>
      </c>
      <c r="J51" s="97">
        <f t="shared" si="82"/>
        <v>0.56571233810497612</v>
      </c>
      <c r="K51" s="97">
        <f t="shared" si="82"/>
        <v>0.61616637387444728</v>
      </c>
      <c r="L51" s="97">
        <f t="shared" si="82"/>
        <v>0.52882312992980041</v>
      </c>
      <c r="M51" s="91">
        <f t="shared" ref="M51:O53" si="83">IFERROR(M45/M7,0)</f>
        <v>0.58242507812136768</v>
      </c>
      <c r="N51" s="91">
        <f t="shared" si="83"/>
        <v>0.62499457056542507</v>
      </c>
      <c r="O51" s="91">
        <f t="shared" si="83"/>
        <v>0.6229650462375611</v>
      </c>
      <c r="P51" s="91"/>
      <c r="Q51" s="91">
        <f>IFERROR(Q45/Q7,0)</f>
        <v>0.58064267812280956</v>
      </c>
      <c r="S51" s="91">
        <f t="shared" ref="S51:AD51" si="84">IFERROR(S45/S7,0)</f>
        <v>0.59926291239210794</v>
      </c>
      <c r="T51" s="91">
        <f t="shared" si="84"/>
        <v>0.58638169229168757</v>
      </c>
      <c r="U51" s="91">
        <f t="shared" si="84"/>
        <v>0.58947143892439746</v>
      </c>
      <c r="V51" s="91">
        <f t="shared" si="84"/>
        <v>0.6055664479688303</v>
      </c>
      <c r="W51" s="91">
        <f t="shared" si="84"/>
        <v>0.6078568469198451</v>
      </c>
      <c r="X51" s="91">
        <f t="shared" si="84"/>
        <v>0.59001823660026531</v>
      </c>
      <c r="Y51" s="91">
        <f t="shared" si="84"/>
        <v>0.61028331511646738</v>
      </c>
      <c r="Z51" s="91">
        <f t="shared" si="84"/>
        <v>0.61330836812875067</v>
      </c>
      <c r="AA51" s="91">
        <f t="shared" si="84"/>
        <v>0.59142028186894813</v>
      </c>
      <c r="AB51" s="91">
        <f t="shared" si="84"/>
        <v>0.59491728500077512</v>
      </c>
      <c r="AC51" s="91">
        <f t="shared" si="84"/>
        <v>0.61738676655790548</v>
      </c>
      <c r="AD51" s="91">
        <f t="shared" si="84"/>
        <v>0.61854625125836504</v>
      </c>
      <c r="AE51" s="91"/>
      <c r="AF51" s="91">
        <f>IFERROR(AF45/AF7,0)</f>
        <v>0.60016746677672139</v>
      </c>
      <c r="AG51" s="89"/>
      <c r="AH51" s="91">
        <f t="shared" ref="AH51:AS51" si="85">IFERROR(AH45/AH7,0)</f>
        <v>0.62310220500161151</v>
      </c>
      <c r="AI51" s="91">
        <f t="shared" si="85"/>
        <v>0.60377923330338723</v>
      </c>
      <c r="AJ51" s="91">
        <f t="shared" si="85"/>
        <v>0.61175039207267068</v>
      </c>
      <c r="AK51" s="91">
        <f t="shared" si="85"/>
        <v>0.62369369869905256</v>
      </c>
      <c r="AL51" s="91">
        <f t="shared" si="85"/>
        <v>0.62422826996759284</v>
      </c>
      <c r="AM51" s="91">
        <f t="shared" si="85"/>
        <v>0.6030956662202579</v>
      </c>
      <c r="AN51" s="91">
        <f t="shared" si="85"/>
        <v>0.62672506207280809</v>
      </c>
      <c r="AO51" s="91">
        <f t="shared" si="85"/>
        <v>0.6284987209609858</v>
      </c>
      <c r="AP51" s="91">
        <f t="shared" si="85"/>
        <v>0.60457934571387328</v>
      </c>
      <c r="AQ51" s="91">
        <f t="shared" si="85"/>
        <v>0.60876258642853276</v>
      </c>
      <c r="AR51" s="91">
        <f t="shared" si="85"/>
        <v>0.63266176785526407</v>
      </c>
      <c r="AS51" s="91">
        <f t="shared" si="85"/>
        <v>0.63167625913185566</v>
      </c>
      <c r="AT51" s="91"/>
      <c r="AU51" s="91">
        <f>IFERROR(AU45/AU7,0)</f>
        <v>0.61657797294116168</v>
      </c>
    </row>
    <row r="52" spans="2:47" hidden="1" outlineLevel="1">
      <c r="B52" s="67" t="s">
        <v>117</v>
      </c>
      <c r="C52" s="52"/>
      <c r="D52" s="97">
        <f t="shared" ref="D52:L52" si="86">IFERROR(D46/D8,0)</f>
        <v>0.62767868696565443</v>
      </c>
      <c r="E52" s="97">
        <f t="shared" si="86"/>
        <v>0.62881893025018654</v>
      </c>
      <c r="F52" s="97">
        <f t="shared" si="86"/>
        <v>0.62157630733810165</v>
      </c>
      <c r="G52" s="97">
        <f t="shared" si="86"/>
        <v>0.68759245235638244</v>
      </c>
      <c r="H52" s="97">
        <f t="shared" si="86"/>
        <v>0.63901754860295545</v>
      </c>
      <c r="I52" s="97">
        <f t="shared" si="86"/>
        <v>0.61988431292874724</v>
      </c>
      <c r="J52" s="97">
        <f t="shared" si="86"/>
        <v>0.5694189212957067</v>
      </c>
      <c r="K52" s="97">
        <f t="shared" si="86"/>
        <v>0.62848784033913907</v>
      </c>
      <c r="L52" s="97">
        <f t="shared" si="86"/>
        <v>0.73169176894570431</v>
      </c>
      <c r="M52" s="91">
        <f t="shared" si="83"/>
        <v>0.59000006540179595</v>
      </c>
      <c r="N52" s="91">
        <f t="shared" si="83"/>
        <v>0.58999895741020691</v>
      </c>
      <c r="O52" s="91">
        <f t="shared" si="83"/>
        <v>0.58999917490735265</v>
      </c>
      <c r="P52" s="91"/>
      <c r="Q52" s="91">
        <f>IFERROR(Q46/Q8,0)</f>
        <v>0.62892280436623349</v>
      </c>
      <c r="S52" s="91">
        <f t="shared" ref="S52:AD52" si="87">IFERROR(S46/S8,0)</f>
        <v>0.66623416141569614</v>
      </c>
      <c r="T52" s="91">
        <f t="shared" si="87"/>
        <v>0.63284271590391217</v>
      </c>
      <c r="U52" s="91">
        <f t="shared" si="87"/>
        <v>0.63846337548210264</v>
      </c>
      <c r="V52" s="91">
        <f t="shared" si="87"/>
        <v>0.6379576901369779</v>
      </c>
      <c r="W52" s="91">
        <f t="shared" si="87"/>
        <v>0.64603819135738327</v>
      </c>
      <c r="X52" s="91">
        <f t="shared" si="87"/>
        <v>0.64440260712500563</v>
      </c>
      <c r="Y52" s="91">
        <f t="shared" si="87"/>
        <v>0.65293890306644742</v>
      </c>
      <c r="Z52" s="91">
        <f t="shared" si="87"/>
        <v>0.6660918122548557</v>
      </c>
      <c r="AA52" s="91">
        <f t="shared" si="87"/>
        <v>0.65668878985680856</v>
      </c>
      <c r="AB52" s="91">
        <f t="shared" si="87"/>
        <v>0.63608190155153843</v>
      </c>
      <c r="AC52" s="91">
        <f t="shared" si="87"/>
        <v>0.66165835242462345</v>
      </c>
      <c r="AD52" s="91">
        <f t="shared" si="87"/>
        <v>0.6508115856446568</v>
      </c>
      <c r="AE52" s="91"/>
      <c r="AF52" s="91">
        <f>IFERROR(AF46/AF8,0)</f>
        <v>0.64985454287843447</v>
      </c>
      <c r="AG52" s="89"/>
      <c r="AH52" s="91">
        <f t="shared" ref="AH52:AS52" si="88">IFERROR(AH46/AH8,0)</f>
        <v>0.66376512413340716</v>
      </c>
      <c r="AI52" s="91">
        <f t="shared" si="88"/>
        <v>0.63579274252506968</v>
      </c>
      <c r="AJ52" s="91">
        <f t="shared" si="88"/>
        <v>0.60985702385173546</v>
      </c>
      <c r="AK52" s="91">
        <f t="shared" si="88"/>
        <v>0.61625688999490535</v>
      </c>
      <c r="AL52" s="91">
        <f t="shared" si="88"/>
        <v>0.62720850123264371</v>
      </c>
      <c r="AM52" s="91">
        <f t="shared" si="88"/>
        <v>0.63210116908806224</v>
      </c>
      <c r="AN52" s="91">
        <f t="shared" si="88"/>
        <v>0.63290380057631612</v>
      </c>
      <c r="AO52" s="91">
        <f t="shared" si="88"/>
        <v>0.6472459106688625</v>
      </c>
      <c r="AP52" s="91">
        <f t="shared" si="88"/>
        <v>0.64584791424096</v>
      </c>
      <c r="AQ52" s="91">
        <f t="shared" si="88"/>
        <v>0.63128871910927031</v>
      </c>
      <c r="AR52" s="91">
        <f t="shared" si="88"/>
        <v>0.65317332551952567</v>
      </c>
      <c r="AS52" s="91">
        <f t="shared" si="88"/>
        <v>0.6428629169960709</v>
      </c>
      <c r="AT52" s="91"/>
      <c r="AU52" s="91">
        <f>IFERROR(AU46/AU8,0)</f>
        <v>0.63695017418008493</v>
      </c>
    </row>
    <row r="53" spans="2:47" hidden="1" outlineLevel="1">
      <c r="B53" s="67" t="s">
        <v>118</v>
      </c>
      <c r="C53" s="52"/>
      <c r="D53" s="97">
        <f t="shared" ref="D53:L53" si="89">IFERROR(D47/D9,0)</f>
        <v>0.47547847229717832</v>
      </c>
      <c r="E53" s="97">
        <f t="shared" si="89"/>
        <v>0.42916442271842248</v>
      </c>
      <c r="F53" s="97">
        <f t="shared" si="89"/>
        <v>0.39653919378642161</v>
      </c>
      <c r="G53" s="97">
        <f t="shared" si="89"/>
        <v>0.40208712395555479</v>
      </c>
      <c r="H53" s="97">
        <f t="shared" si="89"/>
        <v>0.46759490540373438</v>
      </c>
      <c r="I53" s="97">
        <f t="shared" si="89"/>
        <v>0.40740150299003813</v>
      </c>
      <c r="J53" s="97">
        <f t="shared" si="89"/>
        <v>0.40615468533375759</v>
      </c>
      <c r="K53" s="97">
        <f t="shared" si="89"/>
        <v>0.39263790880221006</v>
      </c>
      <c r="L53" s="97">
        <f t="shared" si="89"/>
        <v>0.4055961622328827</v>
      </c>
      <c r="M53" s="91">
        <f t="shared" si="83"/>
        <v>0.42115272929178182</v>
      </c>
      <c r="N53" s="91">
        <f t="shared" si="83"/>
        <v>0.42115272929178182</v>
      </c>
      <c r="O53" s="91">
        <f t="shared" si="83"/>
        <v>0.42012182816380494</v>
      </c>
      <c r="P53" s="91"/>
      <c r="Q53" s="91">
        <f>IFERROR(Q47/Q9,0)</f>
        <v>0.41861466676951348</v>
      </c>
      <c r="S53" s="91">
        <f t="shared" ref="S53:AD53" ca="1" si="90">IFERROR(S47/S9,0)</f>
        <v>0.40596122216608155</v>
      </c>
      <c r="T53" s="91">
        <f t="shared" ca="1" si="90"/>
        <v>0.405113074900179</v>
      </c>
      <c r="U53" s="91">
        <f t="shared" ca="1" si="90"/>
        <v>0.40569284722254001</v>
      </c>
      <c r="V53" s="91">
        <f t="shared" ca="1" si="90"/>
        <v>0.40590289813550273</v>
      </c>
      <c r="W53" s="91">
        <f t="shared" ca="1" si="90"/>
        <v>0.40616616757464169</v>
      </c>
      <c r="X53" s="91">
        <f t="shared" ca="1" si="90"/>
        <v>0.40558473033207076</v>
      </c>
      <c r="Y53" s="91">
        <f t="shared" ca="1" si="90"/>
        <v>0.40602964258950008</v>
      </c>
      <c r="Z53" s="91">
        <f t="shared" ca="1" si="90"/>
        <v>0.40549359938920493</v>
      </c>
      <c r="AA53" s="91">
        <f t="shared" ca="1" si="90"/>
        <v>0.40523675217455485</v>
      </c>
      <c r="AB53" s="91">
        <f t="shared" ca="1" si="90"/>
        <v>0.40433236032123593</v>
      </c>
      <c r="AC53" s="91">
        <f t="shared" ca="1" si="90"/>
        <v>0.40457680366523524</v>
      </c>
      <c r="AD53" s="91">
        <f t="shared" ca="1" si="90"/>
        <v>0.40387255726791493</v>
      </c>
      <c r="AE53" s="91"/>
      <c r="AF53" s="91">
        <f ca="1">IFERROR(AF47/AF9,0)</f>
        <v>0.40526525477910985</v>
      </c>
      <c r="AG53" s="89"/>
      <c r="AH53" s="91">
        <f t="shared" ref="AH53:AS53" ca="1" si="91">IFERROR(AH47/AH9,0)</f>
        <v>0.4035120819540422</v>
      </c>
      <c r="AI53" s="91">
        <f t="shared" ca="1" si="91"/>
        <v>0.40426426811948751</v>
      </c>
      <c r="AJ53" s="91">
        <f t="shared" ca="1" si="91"/>
        <v>0.40478119118684369</v>
      </c>
      <c r="AK53" s="91">
        <f t="shared" ca="1" si="91"/>
        <v>0.40501878140641162</v>
      </c>
      <c r="AL53" s="91">
        <f t="shared" ca="1" si="91"/>
        <v>0.40529265556190797</v>
      </c>
      <c r="AM53" s="91">
        <f t="shared" ca="1" si="91"/>
        <v>0.40445014723902917</v>
      </c>
      <c r="AN53" s="91">
        <f t="shared" ca="1" si="91"/>
        <v>0.40494550130941809</v>
      </c>
      <c r="AO53" s="91">
        <f t="shared" ca="1" si="91"/>
        <v>0.40486077151719296</v>
      </c>
      <c r="AP53" s="91">
        <f t="shared" ca="1" si="91"/>
        <v>0.40459956846223738</v>
      </c>
      <c r="AQ53" s="91">
        <f t="shared" ca="1" si="91"/>
        <v>0.40395784640244231</v>
      </c>
      <c r="AR53" s="91">
        <f t="shared" ca="1" si="91"/>
        <v>0.404246210811395</v>
      </c>
      <c r="AS53" s="91">
        <f t="shared" ca="1" si="91"/>
        <v>0.40258504076014984</v>
      </c>
      <c r="AT53" s="91"/>
      <c r="AU53" s="91">
        <f ca="1">IFERROR(AU47/AU9,0)</f>
        <v>0.40436586635904803</v>
      </c>
    </row>
    <row r="54" spans="2:47" hidden="1" outlineLevel="1">
      <c r="B54" s="67" t="s">
        <v>119</v>
      </c>
      <c r="C54" s="52"/>
      <c r="D54" s="97">
        <f t="shared" ref="D54:L54" si="92">IFERROR(D48/D10,0)</f>
        <v>0.5928372229561133</v>
      </c>
      <c r="E54" s="97">
        <f t="shared" si="92"/>
        <v>0.36321230458900655</v>
      </c>
      <c r="F54" s="97">
        <f t="shared" si="92"/>
        <v>0.37667926112510497</v>
      </c>
      <c r="G54" s="97">
        <f t="shared" si="92"/>
        <v>0.19825206991720332</v>
      </c>
      <c r="H54" s="97">
        <f t="shared" si="92"/>
        <v>0.34659777948774323</v>
      </c>
      <c r="I54" s="97">
        <f t="shared" si="92"/>
        <v>0.46062257925692152</v>
      </c>
      <c r="J54" s="97">
        <f t="shared" si="92"/>
        <v>0.55510204081632653</v>
      </c>
      <c r="K54" s="97">
        <f t="shared" si="92"/>
        <v>0.57752911623658365</v>
      </c>
      <c r="L54" s="97">
        <f t="shared" si="92"/>
        <v>0.72585812356979407</v>
      </c>
      <c r="M54" s="91">
        <f t="shared" ref="M54:O54" si="93">IFERROR(M48/M10,0)</f>
        <v>0.52295589373226725</v>
      </c>
      <c r="N54" s="91">
        <f t="shared" si="93"/>
        <v>0.5061903533660046</v>
      </c>
      <c r="O54" s="91">
        <f t="shared" si="93"/>
        <v>0.4877482589631158</v>
      </c>
      <c r="P54" s="91"/>
      <c r="Q54" s="91">
        <f>IFERROR(Q48/Q10,0)</f>
        <v>0.46308082606373507</v>
      </c>
      <c r="S54" s="91">
        <f t="shared" ref="S54:AD54" si="94">IFERROR(S48/S10,0)</f>
        <v>0</v>
      </c>
      <c r="T54" s="91">
        <f t="shared" si="94"/>
        <v>0</v>
      </c>
      <c r="U54" s="91">
        <f t="shared" si="94"/>
        <v>0</v>
      </c>
      <c r="V54" s="91">
        <f t="shared" si="94"/>
        <v>0</v>
      </c>
      <c r="W54" s="91">
        <f t="shared" si="94"/>
        <v>0</v>
      </c>
      <c r="X54" s="91">
        <f t="shared" si="94"/>
        <v>0</v>
      </c>
      <c r="Y54" s="91">
        <f t="shared" si="94"/>
        <v>0</v>
      </c>
      <c r="Z54" s="91">
        <f t="shared" si="94"/>
        <v>0</v>
      </c>
      <c r="AA54" s="91">
        <f t="shared" si="94"/>
        <v>0</v>
      </c>
      <c r="AB54" s="91">
        <f t="shared" si="94"/>
        <v>0</v>
      </c>
      <c r="AC54" s="91">
        <f t="shared" si="94"/>
        <v>0</v>
      </c>
      <c r="AD54" s="91">
        <f t="shared" si="94"/>
        <v>0</v>
      </c>
      <c r="AE54" s="91"/>
      <c r="AF54" s="91">
        <f>IFERROR(AF48/AF10,0)</f>
        <v>0</v>
      </c>
      <c r="AG54" s="89"/>
      <c r="AH54" s="91">
        <f t="shared" ref="AH54:AS54" si="95">IFERROR(AH48/AH10,0)</f>
        <v>0</v>
      </c>
      <c r="AI54" s="91">
        <f t="shared" si="95"/>
        <v>0</v>
      </c>
      <c r="AJ54" s="91">
        <f t="shared" si="95"/>
        <v>0</v>
      </c>
      <c r="AK54" s="91">
        <f t="shared" si="95"/>
        <v>0</v>
      </c>
      <c r="AL54" s="91">
        <f t="shared" si="95"/>
        <v>0</v>
      </c>
      <c r="AM54" s="91">
        <f t="shared" si="95"/>
        <v>0</v>
      </c>
      <c r="AN54" s="91">
        <f t="shared" si="95"/>
        <v>0</v>
      </c>
      <c r="AO54" s="91">
        <f t="shared" si="95"/>
        <v>0</v>
      </c>
      <c r="AP54" s="91">
        <f t="shared" si="95"/>
        <v>0</v>
      </c>
      <c r="AQ54" s="91">
        <f t="shared" si="95"/>
        <v>0</v>
      </c>
      <c r="AR54" s="91">
        <f t="shared" si="95"/>
        <v>0</v>
      </c>
      <c r="AS54" s="91">
        <f t="shared" si="95"/>
        <v>0</v>
      </c>
      <c r="AT54" s="91"/>
      <c r="AU54" s="91">
        <f>IFERROR(AU48/AU10,0)</f>
        <v>0</v>
      </c>
    </row>
    <row r="55" spans="2:47" collapsed="1">
      <c r="B55" s="72" t="s">
        <v>120</v>
      </c>
      <c r="C55" s="73"/>
      <c r="D55" s="97">
        <f t="shared" ref="D55:L55" si="96">IFERROR(D49/D12,0)</f>
        <v>0.57004574987796253</v>
      </c>
      <c r="E55" s="97">
        <f t="shared" si="96"/>
        <v>0.55402085750794694</v>
      </c>
      <c r="F55" s="97">
        <f t="shared" si="96"/>
        <v>0.52403783292794759</v>
      </c>
      <c r="G55" s="97">
        <f t="shared" si="96"/>
        <v>0.56516383891561062</v>
      </c>
      <c r="H55" s="97">
        <f t="shared" si="96"/>
        <v>0.57683785504577345</v>
      </c>
      <c r="I55" s="97">
        <f t="shared" si="96"/>
        <v>0.54002336175979959</v>
      </c>
      <c r="J55" s="97">
        <f t="shared" si="96"/>
        <v>0.51483140505106151</v>
      </c>
      <c r="K55" s="97">
        <f t="shared" si="96"/>
        <v>0.542156026440896</v>
      </c>
      <c r="L55" s="97">
        <f t="shared" si="96"/>
        <v>0.57777370849770315</v>
      </c>
      <c r="M55" s="91">
        <f t="shared" ref="M55:O55" si="97">IFERROR(M49/M12,0)</f>
        <v>0.55203871082056832</v>
      </c>
      <c r="N55" s="91">
        <f t="shared" si="97"/>
        <v>0.54919939479838664</v>
      </c>
      <c r="O55" s="91">
        <f t="shared" si="97"/>
        <v>0.5410625677272124</v>
      </c>
      <c r="P55" s="91"/>
      <c r="Q55" s="91">
        <f>IFERROR(Q49/Q12,0)</f>
        <v>0.55179623004640299</v>
      </c>
      <c r="S55" s="91">
        <f t="shared" ref="S55:AD55" ca="1" si="98">IFERROR(S49/S12,0)</f>
        <v>0.57278806515938419</v>
      </c>
      <c r="T55" s="91">
        <f t="shared" ca="1" si="98"/>
        <v>0.56617630267970531</v>
      </c>
      <c r="U55" s="91">
        <f t="shared" ca="1" si="98"/>
        <v>0.56461212122118209</v>
      </c>
      <c r="V55" s="91">
        <f t="shared" ca="1" si="98"/>
        <v>0.56914799741844679</v>
      </c>
      <c r="W55" s="91">
        <f t="shared" ca="1" si="98"/>
        <v>0.57675738041158942</v>
      </c>
      <c r="X55" s="91">
        <f t="shared" ca="1" si="98"/>
        <v>0.56324214087298685</v>
      </c>
      <c r="Y55" s="91">
        <f t="shared" ca="1" si="98"/>
        <v>0.57957050722424697</v>
      </c>
      <c r="Z55" s="91">
        <f t="shared" ca="1" si="98"/>
        <v>0.60388858158337899</v>
      </c>
      <c r="AA55" s="91">
        <f t="shared" ca="1" si="98"/>
        <v>0.58010028386371393</v>
      </c>
      <c r="AB55" s="91">
        <f t="shared" ca="1" si="98"/>
        <v>0.57140908323286599</v>
      </c>
      <c r="AC55" s="91">
        <f t="shared" ca="1" si="98"/>
        <v>0.57519865959673644</v>
      </c>
      <c r="AD55" s="91">
        <f t="shared" ca="1" si="98"/>
        <v>0.58280145210548628</v>
      </c>
      <c r="AE55" s="91"/>
      <c r="AF55" s="91">
        <f ca="1">IFERROR(AF49/AF12,0)</f>
        <v>0.57589229646471762</v>
      </c>
      <c r="AG55" s="89"/>
      <c r="AH55" s="91">
        <f t="shared" ref="AH55:AR55" ca="1" si="99">IFERROR(AH49/AH12,0)</f>
        <v>0.59583973926374945</v>
      </c>
      <c r="AI55" s="91">
        <f t="shared" ca="1" si="99"/>
        <v>0.5809996571000231</v>
      </c>
      <c r="AJ55" s="91">
        <f t="shared" ca="1" si="99"/>
        <v>0.58054224658540043</v>
      </c>
      <c r="AK55" s="91">
        <f t="shared" ca="1" si="99"/>
        <v>0.58690259153424496</v>
      </c>
      <c r="AL55" s="91">
        <f t="shared" ca="1" si="99"/>
        <v>0.59194694325251918</v>
      </c>
      <c r="AM55" s="91">
        <f t="shared" ca="1" si="99"/>
        <v>0.58005967950286452</v>
      </c>
      <c r="AN55" s="91">
        <f t="shared" ca="1" si="99"/>
        <v>0.59487409222166254</v>
      </c>
      <c r="AO55" s="91">
        <f t="shared" ca="1" si="99"/>
        <v>0.60978107504125156</v>
      </c>
      <c r="AP55" s="91">
        <f t="shared" ca="1" si="99"/>
        <v>0.59235977985191945</v>
      </c>
      <c r="AQ55" s="91">
        <f t="shared" ca="1" si="99"/>
        <v>0.5881646010679602</v>
      </c>
      <c r="AR55" s="91">
        <f t="shared" ca="1" si="99"/>
        <v>0.59866167795828529</v>
      </c>
      <c r="AS55" s="91">
        <f ca="1">IFERROR(AS49/AS12,0)</f>
        <v>0.60064438106558016</v>
      </c>
      <c r="AT55" s="91"/>
      <c r="AU55" s="91">
        <f ca="1">IFERROR(AU49/AU12,0)</f>
        <v>0.5916821445483843</v>
      </c>
    </row>
    <row r="56" spans="2:47">
      <c r="D56" s="53"/>
      <c r="E56" s="53"/>
      <c r="F56" s="53"/>
      <c r="G56" s="53"/>
      <c r="H56" s="53"/>
      <c r="I56" s="53"/>
      <c r="J56" s="53"/>
      <c r="K56" s="53"/>
      <c r="L56" s="53"/>
      <c r="Q56" s="51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1"/>
      <c r="AE56" s="91"/>
      <c r="AF56" s="91"/>
      <c r="AG56" s="89"/>
      <c r="AU56" s="51"/>
    </row>
    <row r="57" spans="2:47" hidden="1" outlineLevel="1">
      <c r="B57" s="58" t="s">
        <v>121</v>
      </c>
      <c r="D57" s="53"/>
      <c r="E57" s="53"/>
      <c r="F57" s="53"/>
      <c r="G57" s="53"/>
      <c r="H57" s="53"/>
      <c r="I57" s="53"/>
      <c r="J57" s="53"/>
      <c r="K57" s="53"/>
      <c r="L57" s="53"/>
      <c r="Q57" s="51"/>
      <c r="AF57" s="51"/>
      <c r="AG57" s="89"/>
      <c r="AU57" s="51"/>
    </row>
    <row r="58" spans="2:47" hidden="1" outlineLevel="1">
      <c r="D58" s="53"/>
      <c r="E58" s="53"/>
      <c r="F58" s="53"/>
      <c r="G58" s="53"/>
      <c r="H58" s="53"/>
      <c r="I58" s="53"/>
      <c r="J58" s="53"/>
      <c r="K58" s="53"/>
      <c r="L58" s="53"/>
      <c r="Q58" s="51"/>
      <c r="AF58" s="51"/>
      <c r="AG58" s="89"/>
      <c r="AU58" s="51"/>
    </row>
    <row r="59" spans="2:47" hidden="1" outlineLevel="1">
      <c r="B59" s="51" t="s">
        <v>122</v>
      </c>
      <c r="D59" s="59" t="s">
        <v>182</v>
      </c>
      <c r="E59" s="59" t="s">
        <v>183</v>
      </c>
      <c r="F59" s="59">
        <v>-12713</v>
      </c>
      <c r="G59" s="59">
        <v>-5066</v>
      </c>
      <c r="H59" s="59">
        <v>-9981</v>
      </c>
      <c r="I59" s="59">
        <v>-9624</v>
      </c>
      <c r="J59" s="59">
        <v>-14918</v>
      </c>
      <c r="K59" s="59">
        <v>-6184</v>
      </c>
      <c r="L59" s="59">
        <v>-14908</v>
      </c>
      <c r="M59" s="60">
        <v>-14051</v>
      </c>
      <c r="N59" s="60">
        <v>-8128</v>
      </c>
      <c r="O59" s="60">
        <v>-6511</v>
      </c>
      <c r="P59" s="60"/>
      <c r="Q59" s="61">
        <f t="shared" ref="Q59:Q69" si="100">SUM(D59:O59)</f>
        <v>-102084</v>
      </c>
      <c r="R59" s="60"/>
      <c r="S59" s="60">
        <f>'UK P&amp;L'!S59+'CE P&amp;L'!S59+'EE P&amp;L'!S59+'ROW P&amp;L'!S60</f>
        <v>-185992.65000000002</v>
      </c>
      <c r="T59" s="60">
        <f>'UK P&amp;L'!T59+'CE P&amp;L'!T59+'EE P&amp;L'!T59+'ROW P&amp;L'!T60</f>
        <v>-323604.40000000002</v>
      </c>
      <c r="U59" s="60">
        <f>'UK P&amp;L'!U59+'CE P&amp;L'!U59+'EE P&amp;L'!U59+'ROW P&amp;L'!U60</f>
        <v>-325113.20000000007</v>
      </c>
      <c r="V59" s="60">
        <f>'UK P&amp;L'!V59+'CE P&amp;L'!V59+'EE P&amp;L'!V59+'ROW P&amp;L'!V60</f>
        <v>-253120.50000000006</v>
      </c>
      <c r="W59" s="60">
        <f>'UK P&amp;L'!W59+'CE P&amp;L'!W59+'EE P&amp;L'!W59+'ROW P&amp;L'!W60</f>
        <v>-268047.00000000006</v>
      </c>
      <c r="X59" s="60">
        <f>'UK P&amp;L'!X59+'CE P&amp;L'!X59+'EE P&amp;L'!X59+'ROW P&amp;L'!X60</f>
        <v>-420211.60000000009</v>
      </c>
      <c r="Y59" s="60">
        <f>'UK P&amp;L'!Y59+'CE P&amp;L'!Y59+'EE P&amp;L'!Y59+'ROW P&amp;L'!Y60</f>
        <v>-297916.37000000011</v>
      </c>
      <c r="Z59" s="60">
        <f>'UK P&amp;L'!Z59+'CE P&amp;L'!Z59+'EE P&amp;L'!Z59+'ROW P&amp;L'!Z60</f>
        <v>-296979.3085000001</v>
      </c>
      <c r="AA59" s="60">
        <f>'UK P&amp;L'!AA59+'CE P&amp;L'!AA59+'EE P&amp;L'!AA59+'ROW P&amp;L'!AA60</f>
        <v>-529116.17892500013</v>
      </c>
      <c r="AB59" s="60">
        <f>'UK P&amp;L'!AB59+'CE P&amp;L'!AB59+'EE P&amp;L'!AB59+'ROW P&amp;L'!AB60</f>
        <v>-546376.98787125014</v>
      </c>
      <c r="AC59" s="60">
        <f>'UK P&amp;L'!AC59+'CE P&amp;L'!AC59+'EE P&amp;L'!AC59+'ROW P&amp;L'!AC60</f>
        <v>-318520.83726481267</v>
      </c>
      <c r="AD59" s="60">
        <f>'UK P&amp;L'!AD59+'CE P&amp;L'!AD59+'EE P&amp;L'!AD59+'ROW P&amp;L'!AD60</f>
        <v>-340671.87912805332</v>
      </c>
      <c r="AE59" s="60"/>
      <c r="AF59" s="61">
        <f t="shared" ref="AF59" si="101">SUM(S59:AD59)</f>
        <v>-4105670.9116891166</v>
      </c>
      <c r="AG59" s="89"/>
      <c r="AH59" s="60">
        <f>'UK P&amp;L'!AH59+'CE P&amp;L'!AH59+'EE P&amp;L'!AH59+'ROW P&amp;L'!AH60</f>
        <v>-349776.06671061437</v>
      </c>
      <c r="AI59" s="60">
        <f>'UK P&amp;L'!AI59+'CE P&amp;L'!AI59+'EE P&amp;L'!AI59+'ROW P&amp;L'!AI60</f>
        <v>-560188.3625461451</v>
      </c>
      <c r="AJ59" s="60">
        <f>'UK P&amp;L'!AJ59+'CE P&amp;L'!AJ59+'EE P&amp;L'!AJ59+'ROW P&amp;L'!AJ60</f>
        <v>-521396.66167345241</v>
      </c>
      <c r="AK59" s="60">
        <f>'UK P&amp;L'!AK59+'CE P&amp;L'!AK59+'EE P&amp;L'!AK59+'ROW P&amp;L'!AK60</f>
        <v>-420396.52225712506</v>
      </c>
      <c r="AL59" s="60">
        <f>'UK P&amp;L'!AL59+'CE P&amp;L'!AL59+'EE P&amp;L'!AL59+'ROW P&amp;L'!AL60</f>
        <v>-448584.81836998131</v>
      </c>
      <c r="AM59" s="60">
        <f>'UK P&amp;L'!AM59+'CE P&amp;L'!AM59+'EE P&amp;L'!AM59+'ROW P&amp;L'!AM60</f>
        <v>-684131.18128848029</v>
      </c>
      <c r="AN59" s="60">
        <f>'UK P&amp;L'!AN59+'CE P&amp;L'!AN59+'EE P&amp;L'!AN59+'ROW P&amp;L'!AN60</f>
        <v>-435270.59435290447</v>
      </c>
      <c r="AO59" s="60">
        <f>'UK P&amp;L'!AO59+'CE P&amp;L'!AO59+'EE P&amp;L'!AO59+'ROW P&amp;L'!AO60</f>
        <v>-477248.60157054965</v>
      </c>
      <c r="AP59" s="60">
        <f>'UK P&amp;L'!AP59+'CE P&amp;L'!AP59+'EE P&amp;L'!AP59+'ROW P&amp;L'!AP60</f>
        <v>-792624.54014907719</v>
      </c>
      <c r="AQ59" s="60">
        <f>'UK P&amp;L'!AQ59+'CE P&amp;L'!AQ59+'EE P&amp;L'!AQ59+'ROW P&amp;L'!AQ60</f>
        <v>-796428.2671565311</v>
      </c>
      <c r="AR59" s="60">
        <f>'UK P&amp;L'!AR59+'CE P&amp;L'!AR59+'EE P&amp;L'!AR59+'ROW P&amp;L'!AR60</f>
        <v>-503124.68051435763</v>
      </c>
      <c r="AS59" s="60">
        <f>'UK P&amp;L'!AS59+'CE P&amp;L'!AS59+'EE P&amp;L'!AS59+'ROW P&amp;L'!AS60</f>
        <v>-547205.91454007546</v>
      </c>
      <c r="AT59" s="60"/>
      <c r="AU59" s="61">
        <f t="shared" ref="AU59" si="102">SUM(AH59:AS59)</f>
        <v>-6536376.2111292938</v>
      </c>
    </row>
    <row r="60" spans="2:47" hidden="1" outlineLevel="1">
      <c r="B60" s="51" t="s">
        <v>123</v>
      </c>
      <c r="D60" s="59">
        <v>-1674</v>
      </c>
      <c r="E60" s="59">
        <v>-2640</v>
      </c>
      <c r="F60" s="59">
        <v>-31540</v>
      </c>
      <c r="G60" s="59">
        <v>-13835</v>
      </c>
      <c r="H60" s="59">
        <v>-33155</v>
      </c>
      <c r="I60" s="59">
        <v>-1701</v>
      </c>
      <c r="J60" s="59">
        <v>-27530</v>
      </c>
      <c r="K60" s="59">
        <v>-17939</v>
      </c>
      <c r="L60" s="59">
        <v>-20222</v>
      </c>
      <c r="M60" s="60">
        <v>-30300</v>
      </c>
      <c r="N60" s="60">
        <v>-29200</v>
      </c>
      <c r="O60" s="60">
        <v>-28300</v>
      </c>
      <c r="P60" s="60"/>
      <c r="Q60" s="61">
        <f>SUM(D60:O60)</f>
        <v>-238036</v>
      </c>
      <c r="S60" s="60">
        <f>'UK P&amp;L'!S60+'CE P&amp;L'!S60+'EE P&amp;L'!S60+'ROW P&amp;L'!S61</f>
        <v>-49500</v>
      </c>
      <c r="T60" s="60">
        <f>'UK P&amp;L'!T60+'CE P&amp;L'!T60+'EE P&amp;L'!T60+'ROW P&amp;L'!T61</f>
        <v>-40500</v>
      </c>
      <c r="U60" s="60">
        <f>'UK P&amp;L'!U60+'CE P&amp;L'!U60+'EE P&amp;L'!U60+'ROW P&amp;L'!U61</f>
        <v>-41000</v>
      </c>
      <c r="V60" s="60">
        <f>'UK P&amp;L'!V60+'CE P&amp;L'!V60+'EE P&amp;L'!V60+'ROW P&amp;L'!V61</f>
        <v>-34500</v>
      </c>
      <c r="W60" s="60">
        <f>'UK P&amp;L'!W60+'CE P&amp;L'!W60+'EE P&amp;L'!W60+'ROW P&amp;L'!W61</f>
        <v>-34000</v>
      </c>
      <c r="X60" s="60">
        <f>'UK P&amp;L'!X60+'CE P&amp;L'!X60+'EE P&amp;L'!X60+'ROW P&amp;L'!X61</f>
        <v>-40500</v>
      </c>
      <c r="Y60" s="60">
        <f>'UK P&amp;L'!Y60+'CE P&amp;L'!Y60+'EE P&amp;L'!Y60+'ROW P&amp;L'!Y61</f>
        <v>-35000</v>
      </c>
      <c r="Z60" s="60">
        <f>'UK P&amp;L'!Z60+'CE P&amp;L'!Z60+'EE P&amp;L'!Z60+'ROW P&amp;L'!Z61</f>
        <v>-40000</v>
      </c>
      <c r="AA60" s="60">
        <f>'UK P&amp;L'!AA60+'CE P&amp;L'!AA60+'EE P&amp;L'!AA60+'ROW P&amp;L'!AA61</f>
        <v>-42000</v>
      </c>
      <c r="AB60" s="60">
        <f>'UK P&amp;L'!AB60+'CE P&amp;L'!AB60+'EE P&amp;L'!AB60+'ROW P&amp;L'!AB61</f>
        <v>-38000</v>
      </c>
      <c r="AC60" s="60">
        <f>'UK P&amp;L'!AC60+'CE P&amp;L'!AC60+'EE P&amp;L'!AC60+'ROW P&amp;L'!AC61</f>
        <v>-35500</v>
      </c>
      <c r="AD60" s="60">
        <f>'UK P&amp;L'!AD60+'CE P&amp;L'!AD60+'EE P&amp;L'!AD60+'ROW P&amp;L'!AD61</f>
        <v>-32000</v>
      </c>
      <c r="AE60" s="60"/>
      <c r="AF60" s="61">
        <f>SUM(S60:AD60)</f>
        <v>-462500</v>
      </c>
      <c r="AG60" s="89">
        <f>AF60/AF8</f>
        <v>-6.1114206523448629E-2</v>
      </c>
      <c r="AH60" s="60">
        <f>'UK P&amp;L'!AH60+'CE P&amp;L'!AH60+'EE P&amp;L'!AH60+'ROW P&amp;L'!AH61</f>
        <v>-38500</v>
      </c>
      <c r="AI60" s="60">
        <f>'UK P&amp;L'!AI60+'CE P&amp;L'!AI60+'EE P&amp;L'!AI60+'ROW P&amp;L'!AI61</f>
        <v>-34500</v>
      </c>
      <c r="AJ60" s="60">
        <f>'UK P&amp;L'!AJ60+'CE P&amp;L'!AJ60+'EE P&amp;L'!AJ60+'ROW P&amp;L'!AJ61</f>
        <v>-34500</v>
      </c>
      <c r="AK60" s="60">
        <f>'UK P&amp;L'!AK60+'CE P&amp;L'!AK60+'EE P&amp;L'!AK60+'ROW P&amp;L'!AK61</f>
        <v>-31000</v>
      </c>
      <c r="AL60" s="60">
        <f>'UK P&amp;L'!AL60+'CE P&amp;L'!AL60+'EE P&amp;L'!AL60+'ROW P&amp;L'!AL61</f>
        <v>-30500</v>
      </c>
      <c r="AM60" s="60">
        <f>'UK P&amp;L'!AM60+'CE P&amp;L'!AM60+'EE P&amp;L'!AM60+'ROW P&amp;L'!AM61</f>
        <v>-34500</v>
      </c>
      <c r="AN60" s="60">
        <f>'UK P&amp;L'!AN60+'CE P&amp;L'!AN60+'EE P&amp;L'!AN60+'ROW P&amp;L'!AN61</f>
        <v>-31500</v>
      </c>
      <c r="AO60" s="60">
        <f>'UK P&amp;L'!AO60+'CE P&amp;L'!AO60+'EE P&amp;L'!AO60+'ROW P&amp;L'!AO61</f>
        <v>-33500</v>
      </c>
      <c r="AP60" s="60">
        <f>'UK P&amp;L'!AP60+'CE P&amp;L'!AP60+'EE P&amp;L'!AP60+'ROW P&amp;L'!AP61</f>
        <v>-34500</v>
      </c>
      <c r="AQ60" s="60">
        <f>'UK P&amp;L'!AQ60+'CE P&amp;L'!AQ60+'EE P&amp;L'!AQ60+'ROW P&amp;L'!AQ61</f>
        <v>-32500</v>
      </c>
      <c r="AR60" s="60">
        <f>'UK P&amp;L'!AR60+'CE P&amp;L'!AR60+'EE P&amp;L'!AR60+'ROW P&amp;L'!AR61</f>
        <v>-31000</v>
      </c>
      <c r="AS60" s="60">
        <f>'UK P&amp;L'!AS60+'CE P&amp;L'!AS60+'EE P&amp;L'!AS60+'ROW P&amp;L'!AS61</f>
        <v>-31000</v>
      </c>
      <c r="AT60" s="60"/>
      <c r="AU60" s="61">
        <f>SUM(AH60:AS60)</f>
        <v>-397500</v>
      </c>
    </row>
    <row r="61" spans="2:47" hidden="1" outlineLevel="1">
      <c r="B61" s="51" t="s">
        <v>124</v>
      </c>
      <c r="D61" s="59">
        <v>-45733</v>
      </c>
      <c r="E61" s="59">
        <v>-105781</v>
      </c>
      <c r="F61" s="59">
        <v>-94756</v>
      </c>
      <c r="G61" s="59">
        <v>-112698</v>
      </c>
      <c r="H61" s="59">
        <v>-65047</v>
      </c>
      <c r="I61" s="59">
        <v>-125239</v>
      </c>
      <c r="J61" s="59">
        <v>-95269</v>
      </c>
      <c r="K61" s="59">
        <v>-75437</v>
      </c>
      <c r="L61" s="59">
        <v>-181121</v>
      </c>
      <c r="M61" s="60">
        <v>-222170</v>
      </c>
      <c r="N61" s="60">
        <v>-99371</v>
      </c>
      <c r="O61" s="60">
        <v>-68900</v>
      </c>
      <c r="P61" s="60"/>
      <c r="Q61" s="61">
        <f t="shared" si="100"/>
        <v>-1291522</v>
      </c>
      <c r="S61" s="60">
        <f>'UK P&amp;L'!S61+'CE P&amp;L'!S61+'EE P&amp;L'!S61+'ROW P&amp;L'!S62</f>
        <v>0</v>
      </c>
      <c r="T61" s="60">
        <f>'UK P&amp;L'!T61+'CE P&amp;L'!T61+'EE P&amp;L'!T61+'ROW P&amp;L'!T62</f>
        <v>0</v>
      </c>
      <c r="U61" s="60">
        <f>'UK P&amp;L'!U61+'CE P&amp;L'!U61+'EE P&amp;L'!U61+'ROW P&amp;L'!U62</f>
        <v>0</v>
      </c>
      <c r="V61" s="60">
        <f>'UK P&amp;L'!V61+'CE P&amp;L'!V61+'EE P&amp;L'!V61+'ROW P&amp;L'!V62</f>
        <v>0</v>
      </c>
      <c r="W61" s="60">
        <f>'UK P&amp;L'!W61+'CE P&amp;L'!W61+'EE P&amp;L'!W61+'ROW P&amp;L'!W62</f>
        <v>0</v>
      </c>
      <c r="X61" s="60">
        <f>'UK P&amp;L'!X61+'CE P&amp;L'!X61+'EE P&amp;L'!X61+'ROW P&amp;L'!X62</f>
        <v>0</v>
      </c>
      <c r="Y61" s="60">
        <f>'UK P&amp;L'!Y61+'CE P&amp;L'!Y61+'EE P&amp;L'!Y61+'ROW P&amp;L'!Y62</f>
        <v>0</v>
      </c>
      <c r="Z61" s="60">
        <f>'UK P&amp;L'!Z61+'CE P&amp;L'!Z61+'EE P&amp;L'!Z61+'ROW P&amp;L'!Z62</f>
        <v>0</v>
      </c>
      <c r="AA61" s="60">
        <f>'UK P&amp;L'!AA61+'CE P&amp;L'!AA61+'EE P&amp;L'!AA61+'ROW P&amp;L'!AA62</f>
        <v>0</v>
      </c>
      <c r="AB61" s="60">
        <f>'UK P&amp;L'!AB61+'CE P&amp;L'!AB61+'EE P&amp;L'!AB61+'ROW P&amp;L'!AB62</f>
        <v>0</v>
      </c>
      <c r="AC61" s="60">
        <f>'UK P&amp;L'!AC61+'CE P&amp;L'!AC61+'EE P&amp;L'!AC61+'ROW P&amp;L'!AC62</f>
        <v>0</v>
      </c>
      <c r="AD61" s="60">
        <f>'UK P&amp;L'!AD61+'CE P&amp;L'!AD61+'EE P&amp;L'!AD61+'ROW P&amp;L'!AD62</f>
        <v>0</v>
      </c>
      <c r="AE61" s="60"/>
      <c r="AF61" s="61">
        <f t="shared" ref="AF61:AF69" si="103">SUM(S61:AD61)</f>
        <v>0</v>
      </c>
      <c r="AG61" s="89"/>
      <c r="AH61" s="60">
        <f>'UK P&amp;L'!AH61+'CE P&amp;L'!AH61+'EE P&amp;L'!AH61+'ROW P&amp;L'!AH62</f>
        <v>0</v>
      </c>
      <c r="AI61" s="60">
        <f>'UK P&amp;L'!AI61+'CE P&amp;L'!AI61+'EE P&amp;L'!AI61+'ROW P&amp;L'!AI62</f>
        <v>0</v>
      </c>
      <c r="AJ61" s="60">
        <f>'UK P&amp;L'!AJ61+'CE P&amp;L'!AJ61+'EE P&amp;L'!AJ61+'ROW P&amp;L'!AJ62</f>
        <v>0</v>
      </c>
      <c r="AK61" s="60">
        <f>'UK P&amp;L'!AK61+'CE P&amp;L'!AK61+'EE P&amp;L'!AK61+'ROW P&amp;L'!AK62</f>
        <v>0</v>
      </c>
      <c r="AL61" s="60">
        <f>'UK P&amp;L'!AL61+'CE P&amp;L'!AL61+'EE P&amp;L'!AL61+'ROW P&amp;L'!AL62</f>
        <v>0</v>
      </c>
      <c r="AM61" s="60">
        <f>'UK P&amp;L'!AM61+'CE P&amp;L'!AM61+'EE P&amp;L'!AM61+'ROW P&amp;L'!AM62</f>
        <v>0</v>
      </c>
      <c r="AN61" s="60">
        <f>'UK P&amp;L'!AN61+'CE P&amp;L'!AN61+'EE P&amp;L'!AN61+'ROW P&amp;L'!AN62</f>
        <v>0</v>
      </c>
      <c r="AO61" s="60">
        <f>'UK P&amp;L'!AO61+'CE P&amp;L'!AO61+'EE P&amp;L'!AO61+'ROW P&amp;L'!AO62</f>
        <v>0</v>
      </c>
      <c r="AP61" s="60">
        <f>'UK P&amp;L'!AP61+'CE P&amp;L'!AP61+'EE P&amp;L'!AP61+'ROW P&amp;L'!AP62</f>
        <v>0</v>
      </c>
      <c r="AQ61" s="60">
        <f>'UK P&amp;L'!AQ61+'CE P&amp;L'!AQ61+'EE P&amp;L'!AQ61+'ROW P&amp;L'!AQ62</f>
        <v>0</v>
      </c>
      <c r="AR61" s="60">
        <f>'UK P&amp;L'!AR61+'CE P&amp;L'!AR61+'EE P&amp;L'!AR61+'ROW P&amp;L'!AR62</f>
        <v>0</v>
      </c>
      <c r="AS61" s="60">
        <f>'UK P&amp;L'!AS61+'CE P&amp;L'!AS61+'EE P&amp;L'!AS61+'ROW P&amp;L'!AS62</f>
        <v>0</v>
      </c>
      <c r="AT61" s="60"/>
      <c r="AU61" s="61">
        <f t="shared" ref="AU61:AU69" si="104">SUM(AH61:AS61)</f>
        <v>0</v>
      </c>
    </row>
    <row r="62" spans="2:47" hidden="1" outlineLevel="1">
      <c r="B62" s="51" t="s">
        <v>125</v>
      </c>
      <c r="D62" s="59">
        <v>-8953</v>
      </c>
      <c r="E62" s="59">
        <v>-20428</v>
      </c>
      <c r="F62" s="59">
        <v>-25773</v>
      </c>
      <c r="G62" s="59">
        <v>-32659</v>
      </c>
      <c r="H62" s="59">
        <v>-19672</v>
      </c>
      <c r="I62" s="59">
        <v>-34056</v>
      </c>
      <c r="J62" s="59">
        <v>-39340</v>
      </c>
      <c r="K62" s="59">
        <v>-27582</v>
      </c>
      <c r="L62" s="59">
        <v>-67047</v>
      </c>
      <c r="M62" s="60">
        <v>-65480</v>
      </c>
      <c r="N62" s="60">
        <v>-31386</v>
      </c>
      <c r="O62" s="60">
        <v>-18482</v>
      </c>
      <c r="P62" s="60"/>
      <c r="Q62" s="61">
        <f t="shared" si="100"/>
        <v>-390858</v>
      </c>
      <c r="S62" s="60">
        <f>'UK P&amp;L'!S62+'CE P&amp;L'!S62+'EE P&amp;L'!S62+'ROW P&amp;L'!S63</f>
        <v>0</v>
      </c>
      <c r="T62" s="60">
        <f>'UK P&amp;L'!T62+'CE P&amp;L'!T62+'EE P&amp;L'!T62+'ROW P&amp;L'!T63</f>
        <v>0</v>
      </c>
      <c r="U62" s="60">
        <f>'UK P&amp;L'!U62+'CE P&amp;L'!U62+'EE P&amp;L'!U62+'ROW P&amp;L'!U63</f>
        <v>0</v>
      </c>
      <c r="V62" s="60">
        <f>'UK P&amp;L'!V62+'CE P&amp;L'!V62+'EE P&amp;L'!V62+'ROW P&amp;L'!V63</f>
        <v>0</v>
      </c>
      <c r="W62" s="60">
        <f>'UK P&amp;L'!W62+'CE P&amp;L'!W62+'EE P&amp;L'!W62+'ROW P&amp;L'!W63</f>
        <v>0</v>
      </c>
      <c r="X62" s="60">
        <f>'UK P&amp;L'!X62+'CE P&amp;L'!X62+'EE P&amp;L'!X62+'ROW P&amp;L'!X63</f>
        <v>0</v>
      </c>
      <c r="Y62" s="60">
        <f>'UK P&amp;L'!Y62+'CE P&amp;L'!Y62+'EE P&amp;L'!Y62+'ROW P&amp;L'!Y63</f>
        <v>0</v>
      </c>
      <c r="Z62" s="60">
        <f>'UK P&amp;L'!Z62+'CE P&amp;L'!Z62+'EE P&amp;L'!Z62+'ROW P&amp;L'!Z63</f>
        <v>0</v>
      </c>
      <c r="AA62" s="60">
        <f>'UK P&amp;L'!AA62+'CE P&amp;L'!AA62+'EE P&amp;L'!AA62+'ROW P&amp;L'!AA63</f>
        <v>0</v>
      </c>
      <c r="AB62" s="60">
        <f>'UK P&amp;L'!AB62+'CE P&amp;L'!AB62+'EE P&amp;L'!AB62+'ROW P&amp;L'!AB63</f>
        <v>0</v>
      </c>
      <c r="AC62" s="60">
        <f>'UK P&amp;L'!AC62+'CE P&amp;L'!AC62+'EE P&amp;L'!AC62+'ROW P&amp;L'!AC63</f>
        <v>0</v>
      </c>
      <c r="AD62" s="60">
        <f>'UK P&amp;L'!AD62+'CE P&amp;L'!AD62+'EE P&amp;L'!AD62+'ROW P&amp;L'!AD63</f>
        <v>0</v>
      </c>
      <c r="AE62" s="60"/>
      <c r="AF62" s="61">
        <f t="shared" si="103"/>
        <v>0</v>
      </c>
      <c r="AG62" s="89"/>
      <c r="AH62" s="60">
        <f>'UK P&amp;L'!AH62+'CE P&amp;L'!AH62+'EE P&amp;L'!AH62+'ROW P&amp;L'!AH63</f>
        <v>0</v>
      </c>
      <c r="AI62" s="60">
        <f>'UK P&amp;L'!AI62+'CE P&amp;L'!AI62+'EE P&amp;L'!AI62+'ROW P&amp;L'!AI63</f>
        <v>0</v>
      </c>
      <c r="AJ62" s="60">
        <f>'UK P&amp;L'!AJ62+'CE P&amp;L'!AJ62+'EE P&amp;L'!AJ62+'ROW P&amp;L'!AJ63</f>
        <v>0</v>
      </c>
      <c r="AK62" s="60">
        <f>'UK P&amp;L'!AK62+'CE P&amp;L'!AK62+'EE P&amp;L'!AK62+'ROW P&amp;L'!AK63</f>
        <v>0</v>
      </c>
      <c r="AL62" s="60">
        <f>'UK P&amp;L'!AL62+'CE P&amp;L'!AL62+'EE P&amp;L'!AL62+'ROW P&amp;L'!AL63</f>
        <v>0</v>
      </c>
      <c r="AM62" s="60">
        <f>'UK P&amp;L'!AM62+'CE P&amp;L'!AM62+'EE P&amp;L'!AM62+'ROW P&amp;L'!AM63</f>
        <v>0</v>
      </c>
      <c r="AN62" s="60">
        <f>'UK P&amp;L'!AN62+'CE P&amp;L'!AN62+'EE P&amp;L'!AN62+'ROW P&amp;L'!AN63</f>
        <v>0</v>
      </c>
      <c r="AO62" s="60">
        <f>'UK P&amp;L'!AO62+'CE P&amp;L'!AO62+'EE P&amp;L'!AO62+'ROW P&amp;L'!AO63</f>
        <v>0</v>
      </c>
      <c r="AP62" s="60">
        <f>'UK P&amp;L'!AP62+'CE P&amp;L'!AP62+'EE P&amp;L'!AP62+'ROW P&amp;L'!AP63</f>
        <v>0</v>
      </c>
      <c r="AQ62" s="60">
        <f>'UK P&amp;L'!AQ62+'CE P&amp;L'!AQ62+'EE P&amp;L'!AQ62+'ROW P&amp;L'!AQ63</f>
        <v>0</v>
      </c>
      <c r="AR62" s="60">
        <f>'UK P&amp;L'!AR62+'CE P&amp;L'!AR62+'EE P&amp;L'!AR62+'ROW P&amp;L'!AR63</f>
        <v>0</v>
      </c>
      <c r="AS62" s="60">
        <f>'UK P&amp;L'!AS62+'CE P&amp;L'!AS62+'EE P&amp;L'!AS62+'ROW P&amp;L'!AS63</f>
        <v>0</v>
      </c>
      <c r="AT62" s="60"/>
      <c r="AU62" s="61">
        <f t="shared" si="104"/>
        <v>0</v>
      </c>
    </row>
    <row r="63" spans="2:47" hidden="1" outlineLevel="1">
      <c r="B63" s="51" t="s">
        <v>126</v>
      </c>
      <c r="D63" s="59">
        <v>-17768</v>
      </c>
      <c r="E63" s="59">
        <v>-56223</v>
      </c>
      <c r="F63" s="59">
        <v>-78366</v>
      </c>
      <c r="G63" s="59">
        <v>-45773</v>
      </c>
      <c r="H63" s="59">
        <v>-33767</v>
      </c>
      <c r="I63" s="59">
        <v>-85384</v>
      </c>
      <c r="J63" s="59">
        <v>-110608</v>
      </c>
      <c r="K63" s="59">
        <v>-87600</v>
      </c>
      <c r="L63" s="59">
        <v>-207099</v>
      </c>
      <c r="M63" s="60">
        <v>-145864</v>
      </c>
      <c r="N63" s="60">
        <v>-86182</v>
      </c>
      <c r="O63" s="60">
        <v>-83038</v>
      </c>
      <c r="P63" s="60"/>
      <c r="Q63" s="61">
        <f t="shared" si="100"/>
        <v>-1037672</v>
      </c>
      <c r="R63" s="60"/>
      <c r="S63" s="60">
        <f>'UK P&amp;L'!S63+'CE P&amp;L'!S63+'EE P&amp;L'!S63+'ROW P&amp;L'!S64</f>
        <v>0</v>
      </c>
      <c r="T63" s="60">
        <f>'UK P&amp;L'!T63+'CE P&amp;L'!T63+'EE P&amp;L'!T63+'ROW P&amp;L'!T64</f>
        <v>0</v>
      </c>
      <c r="U63" s="60">
        <f>'UK P&amp;L'!U63+'CE P&amp;L'!U63+'EE P&amp;L'!U63+'ROW P&amp;L'!U64</f>
        <v>0</v>
      </c>
      <c r="V63" s="60">
        <f>'UK P&amp;L'!V63+'CE P&amp;L'!V63+'EE P&amp;L'!V63+'ROW P&amp;L'!V64</f>
        <v>0</v>
      </c>
      <c r="W63" s="60">
        <f>'UK P&amp;L'!W63+'CE P&amp;L'!W63+'EE P&amp;L'!W63+'ROW P&amp;L'!W64</f>
        <v>0</v>
      </c>
      <c r="X63" s="60">
        <f>'UK P&amp;L'!X63+'CE P&amp;L'!X63+'EE P&amp;L'!X63+'ROW P&amp;L'!X64</f>
        <v>0</v>
      </c>
      <c r="Y63" s="60">
        <f>'UK P&amp;L'!Y63+'CE P&amp;L'!Y63+'EE P&amp;L'!Y63+'ROW P&amp;L'!Y64</f>
        <v>0</v>
      </c>
      <c r="Z63" s="60">
        <f>'UK P&amp;L'!Z63+'CE P&amp;L'!Z63+'EE P&amp;L'!Z63+'ROW P&amp;L'!Z64</f>
        <v>0</v>
      </c>
      <c r="AA63" s="60">
        <f>'UK P&amp;L'!AA63+'CE P&amp;L'!AA63+'EE P&amp;L'!AA63+'ROW P&amp;L'!AA64</f>
        <v>0</v>
      </c>
      <c r="AB63" s="60">
        <f>'UK P&amp;L'!AB63+'CE P&amp;L'!AB63+'EE P&amp;L'!AB63+'ROW P&amp;L'!AB64</f>
        <v>0</v>
      </c>
      <c r="AC63" s="60">
        <f>'UK P&amp;L'!AC63+'CE P&amp;L'!AC63+'EE P&amp;L'!AC63+'ROW P&amp;L'!AC64</f>
        <v>0</v>
      </c>
      <c r="AD63" s="60">
        <f>'UK P&amp;L'!AD63+'CE P&amp;L'!AD63+'EE P&amp;L'!AD63+'ROW P&amp;L'!AD64</f>
        <v>0</v>
      </c>
      <c r="AE63" s="60"/>
      <c r="AF63" s="61">
        <f t="shared" si="103"/>
        <v>0</v>
      </c>
      <c r="AG63" s="89"/>
      <c r="AH63" s="60">
        <f>'UK P&amp;L'!AH63+'CE P&amp;L'!AH63+'EE P&amp;L'!AH63+'ROW P&amp;L'!AH64</f>
        <v>0</v>
      </c>
      <c r="AI63" s="60">
        <f>'UK P&amp;L'!AI63+'CE P&amp;L'!AI63+'EE P&amp;L'!AI63+'ROW P&amp;L'!AI64</f>
        <v>0</v>
      </c>
      <c r="AJ63" s="60">
        <f>'UK P&amp;L'!AJ63+'CE P&amp;L'!AJ63+'EE P&amp;L'!AJ63+'ROW P&amp;L'!AJ64</f>
        <v>0</v>
      </c>
      <c r="AK63" s="60">
        <f>'UK P&amp;L'!AK63+'CE P&amp;L'!AK63+'EE P&amp;L'!AK63+'ROW P&amp;L'!AK64</f>
        <v>0</v>
      </c>
      <c r="AL63" s="60">
        <f>'UK P&amp;L'!AL63+'CE P&amp;L'!AL63+'EE P&amp;L'!AL63+'ROW P&amp;L'!AL64</f>
        <v>0</v>
      </c>
      <c r="AM63" s="60">
        <f>'UK P&amp;L'!AM63+'CE P&amp;L'!AM63+'EE P&amp;L'!AM63+'ROW P&amp;L'!AM64</f>
        <v>0</v>
      </c>
      <c r="AN63" s="60">
        <f>'UK P&amp;L'!AN63+'CE P&amp;L'!AN63+'EE P&amp;L'!AN63+'ROW P&amp;L'!AN64</f>
        <v>0</v>
      </c>
      <c r="AO63" s="60">
        <f>'UK P&amp;L'!AO63+'CE P&amp;L'!AO63+'EE P&amp;L'!AO63+'ROW P&amp;L'!AO64</f>
        <v>0</v>
      </c>
      <c r="AP63" s="60">
        <f>'UK P&amp;L'!AP63+'CE P&amp;L'!AP63+'EE P&amp;L'!AP63+'ROW P&amp;L'!AP64</f>
        <v>0</v>
      </c>
      <c r="AQ63" s="60">
        <f>'UK P&amp;L'!AQ63+'CE P&amp;L'!AQ63+'EE P&amp;L'!AQ63+'ROW P&amp;L'!AQ64</f>
        <v>0</v>
      </c>
      <c r="AR63" s="60">
        <f>'UK P&amp;L'!AR63+'CE P&amp;L'!AR63+'EE P&amp;L'!AR63+'ROW P&amp;L'!AR64</f>
        <v>0</v>
      </c>
      <c r="AS63" s="60">
        <f>'UK P&amp;L'!AS63+'CE P&amp;L'!AS63+'EE P&amp;L'!AS63+'ROW P&amp;L'!AS64</f>
        <v>0</v>
      </c>
      <c r="AT63" s="60"/>
      <c r="AU63" s="61">
        <f t="shared" si="104"/>
        <v>0</v>
      </c>
    </row>
    <row r="64" spans="2:47" hidden="1" outlineLevel="1">
      <c r="B64" s="51" t="s">
        <v>127</v>
      </c>
      <c r="D64" s="59">
        <v>-39042</v>
      </c>
      <c r="E64" s="59">
        <v>-49117</v>
      </c>
      <c r="F64" s="59">
        <v>-35557</v>
      </c>
      <c r="G64" s="59">
        <v>-34117</v>
      </c>
      <c r="H64" s="59">
        <v>-39824</v>
      </c>
      <c r="I64" s="59">
        <v>-34894</v>
      </c>
      <c r="J64" s="59">
        <v>-34148</v>
      </c>
      <c r="K64" s="59">
        <v>-34117</v>
      </c>
      <c r="L64" s="59">
        <v>-45450</v>
      </c>
      <c r="M64" s="60">
        <v>-18625</v>
      </c>
      <c r="N64" s="60">
        <v>-18899</v>
      </c>
      <c r="O64" s="60">
        <v>-15293</v>
      </c>
      <c r="P64" s="60"/>
      <c r="Q64" s="61">
        <f t="shared" si="100"/>
        <v>-399083</v>
      </c>
      <c r="S64" s="60">
        <f>'UK P&amp;L'!S64+'CE P&amp;L'!S64+'EE P&amp;L'!S64+'ROW P&amp;L'!S65</f>
        <v>-37355.034742999997</v>
      </c>
      <c r="T64" s="60">
        <f>'UK P&amp;L'!T64+'CE P&amp;L'!T64+'EE P&amp;L'!T64+'ROW P&amp;L'!T65</f>
        <v>-47391.543648000006</v>
      </c>
      <c r="U64" s="60">
        <f>'UK P&amp;L'!U64+'CE P&amp;L'!U64+'EE P&amp;L'!U64+'ROW P&amp;L'!U65</f>
        <v>-35764.262984000001</v>
      </c>
      <c r="V64" s="60">
        <f>'UK P&amp;L'!V64+'CE P&amp;L'!V64+'EE P&amp;L'!V64+'ROW P&amp;L'!V65</f>
        <v>-40815.920936000002</v>
      </c>
      <c r="W64" s="60">
        <f>'UK P&amp;L'!W64+'CE P&amp;L'!W64+'EE P&amp;L'!W64+'ROW P&amp;L'!W65</f>
        <v>-43932.08827117904</v>
      </c>
      <c r="X64" s="60">
        <f>'UK P&amp;L'!X64+'CE P&amp;L'!X64+'EE P&amp;L'!X64+'ROW P&amp;L'!X65</f>
        <v>-34053.338523589526</v>
      </c>
      <c r="Y64" s="60">
        <f>'UK P&amp;L'!Y64+'CE P&amp;L'!Y64+'EE P&amp;L'!Y64+'ROW P&amp;L'!Y65</f>
        <v>-47017.508962786029</v>
      </c>
      <c r="Z64" s="60">
        <f>'UK P&amp;L'!Z64+'CE P&amp;L'!Z64+'EE P&amp;L'!Z64+'ROW P&amp;L'!Z65</f>
        <v>-87773.304866393024</v>
      </c>
      <c r="AA64" s="60">
        <f>'UK P&amp;L'!AA64+'CE P&amp;L'!AA64+'EE P&amp;L'!AA64+'ROW P&amp;L'!AA65</f>
        <v>-47459.550336786029</v>
      </c>
      <c r="AB64" s="60">
        <f>'UK P&amp;L'!AB64+'CE P&amp;L'!AB64+'EE P&amp;L'!AB64+'ROW P&amp;L'!AB65</f>
        <v>-48015.194538066171</v>
      </c>
      <c r="AC64" s="60">
        <f>'UK P&amp;L'!AC64+'CE P&amp;L'!AC64+'EE P&amp;L'!AC64+'ROW P&amp;L'!AC65</f>
        <v>-40360.201830374594</v>
      </c>
      <c r="AD64" s="60">
        <f>'UK P&amp;L'!AD64+'CE P&amp;L'!AD64+'EE P&amp;L'!AD64+'ROW P&amp;L'!AD65</f>
        <v>-38321.143024164885</v>
      </c>
      <c r="AE64" s="60"/>
      <c r="AF64" s="61">
        <f t="shared" si="103"/>
        <v>-548259.09266433935</v>
      </c>
      <c r="AG64" s="89"/>
      <c r="AH64" s="60">
        <f>'UK P&amp;L'!AH64+'CE P&amp;L'!AH64+'EE P&amp;L'!AH64+'ROW P&amp;L'!AH65</f>
        <v>-54646.570389749999</v>
      </c>
      <c r="AI64" s="60">
        <f>'UK P&amp;L'!AI64+'CE P&amp;L'!AI64+'EE P&amp;L'!AI64+'ROW P&amp;L'!AI65</f>
        <v>-53458.040089999995</v>
      </c>
      <c r="AJ64" s="60">
        <f>'UK P&amp;L'!AJ64+'CE P&amp;L'!AJ64+'EE P&amp;L'!AJ64+'ROW P&amp;L'!AJ65</f>
        <v>-57144.963988000003</v>
      </c>
      <c r="AK64" s="60">
        <f>'UK P&amp;L'!AK64+'CE P&amp;L'!AK64+'EE P&amp;L'!AK64+'ROW P&amp;L'!AK65</f>
        <v>-56896.673662855574</v>
      </c>
      <c r="AL64" s="60">
        <f>'UK P&amp;L'!AL64+'CE P&amp;L'!AL64+'EE P&amp;L'!AL64+'ROW P&amp;L'!AL65</f>
        <v>-62667.648981130726</v>
      </c>
      <c r="AM64" s="60">
        <f>'UK P&amp;L'!AM64+'CE P&amp;L'!AM64+'EE P&amp;L'!AM64+'ROW P&amp;L'!AM65</f>
        <v>-47882.642102085963</v>
      </c>
      <c r="AN64" s="60">
        <f>'UK P&amp;L'!AN64+'CE P&amp;L'!AN64+'EE P&amp;L'!AN64+'ROW P&amp;L'!AN65</f>
        <v>-67325.781589746839</v>
      </c>
      <c r="AO64" s="60">
        <f>'UK P&amp;L'!AO64+'CE P&amp;L'!AO64+'EE P&amp;L'!AO64+'ROW P&amp;L'!AO65</f>
        <v>-123812.827068404</v>
      </c>
      <c r="AP64" s="60">
        <f>'UK P&amp;L'!AP64+'CE P&amp;L'!AP64+'EE P&amp;L'!AP64+'ROW P&amp;L'!AP65</f>
        <v>-82963.579718298846</v>
      </c>
      <c r="AQ64" s="60">
        <f>'UK P&amp;L'!AQ64+'CE P&amp;L'!AQ64+'EE P&amp;L'!AQ64+'ROW P&amp;L'!AQ65</f>
        <v>-69483.976220861019</v>
      </c>
      <c r="AR64" s="60">
        <f>'UK P&amp;L'!AR64+'CE P&amp;L'!AR64+'EE P&amp;L'!AR64+'ROW P&amp;L'!AR65</f>
        <v>-64828.41519828653</v>
      </c>
      <c r="AS64" s="60">
        <f>'UK P&amp;L'!AS64+'CE P&amp;L'!AS64+'EE P&amp;L'!AS64+'ROW P&amp;L'!AS65</f>
        <v>-56094.282394799608</v>
      </c>
      <c r="AT64" s="60"/>
      <c r="AU64" s="61">
        <f t="shared" si="104"/>
        <v>-797205.40140421921</v>
      </c>
    </row>
    <row r="65" spans="2:48" hidden="1" outlineLevel="1">
      <c r="B65" s="51" t="s">
        <v>128</v>
      </c>
      <c r="D65" s="59">
        <v>-93880</v>
      </c>
      <c r="E65" s="59">
        <v>-42740</v>
      </c>
      <c r="F65" s="59">
        <v>-67600</v>
      </c>
      <c r="G65" s="59">
        <v>-77284</v>
      </c>
      <c r="H65" s="59">
        <v>-120500</v>
      </c>
      <c r="I65" s="59">
        <v>-65983</v>
      </c>
      <c r="J65" s="59">
        <v>-28104</v>
      </c>
      <c r="K65" s="59">
        <v>-70278</v>
      </c>
      <c r="L65" s="59">
        <v>-146884</v>
      </c>
      <c r="M65" s="60">
        <v>-150857</v>
      </c>
      <c r="N65" s="60">
        <v>-121316</v>
      </c>
      <c r="O65" s="60">
        <v>-111483</v>
      </c>
      <c r="P65" s="60"/>
      <c r="Q65" s="61">
        <f t="shared" si="100"/>
        <v>-1096909</v>
      </c>
      <c r="S65" s="60">
        <f>'UK P&amp;L'!S65+'CE P&amp;L'!S65+'EE P&amp;L'!S65+'ROW P&amp;L'!S66</f>
        <v>-106001.27083199999</v>
      </c>
      <c r="T65" s="60">
        <f>'UK P&amp;L'!T65+'CE P&amp;L'!T65+'EE P&amp;L'!T65+'ROW P&amp;L'!T66</f>
        <v>-86860.731891999996</v>
      </c>
      <c r="U65" s="60">
        <f>'UK P&amp;L'!U65+'CE P&amp;L'!U65+'EE P&amp;L'!U65+'ROW P&amp;L'!U66</f>
        <v>-68706.689316000004</v>
      </c>
      <c r="V65" s="60">
        <f>'UK P&amp;L'!V65+'CE P&amp;L'!V65+'EE P&amp;L'!V65+'ROW P&amp;L'!V66</f>
        <v>-78663.158399740423</v>
      </c>
      <c r="W65" s="60">
        <f>'UK P&amp;L'!W65+'CE P&amp;L'!W65+'EE P&amp;L'!W65+'ROW P&amp;L'!W66</f>
        <v>-102745.89479796679</v>
      </c>
      <c r="X65" s="60">
        <f>'UK P&amp;L'!X65+'CE P&amp;L'!X65+'EE P&amp;L'!X65+'ROW P&amp;L'!X66</f>
        <v>-70343.511940640077</v>
      </c>
      <c r="Y65" s="60">
        <f>'UK P&amp;L'!Y65+'CE P&amp;L'!Y65+'EE P&amp;L'!Y65+'ROW P&amp;L'!Y66</f>
        <v>-96072.765211760954</v>
      </c>
      <c r="Z65" s="60">
        <f>'UK P&amp;L'!Z65+'CE P&amp;L'!Z65+'EE P&amp;L'!Z65+'ROW P&amp;L'!Z66</f>
        <v>-208821.99974287057</v>
      </c>
      <c r="AA65" s="60">
        <f>'UK P&amp;L'!AA65+'CE P&amp;L'!AA65+'EE P&amp;L'!AA65+'ROW P&amp;L'!AA66</f>
        <v>-161842.48538689417</v>
      </c>
      <c r="AB65" s="60">
        <f>'UK P&amp;L'!AB65+'CE P&amp;L'!AB65+'EE P&amp;L'!AB65+'ROW P&amp;L'!AB66</f>
        <v>-100993.91884501393</v>
      </c>
      <c r="AC65" s="60">
        <f>'UK P&amp;L'!AC65+'CE P&amp;L'!AC65+'EE P&amp;L'!AC65+'ROW P&amp;L'!AC66</f>
        <v>-111887.59938861358</v>
      </c>
      <c r="AD65" s="60">
        <f>'UK P&amp;L'!AD65+'CE P&amp;L'!AD65+'EE P&amp;L'!AD65+'ROW P&amp;L'!AD66</f>
        <v>-104177.34706009572</v>
      </c>
      <c r="AE65" s="60"/>
      <c r="AF65" s="61">
        <f t="shared" si="103"/>
        <v>-1297117.3728135962</v>
      </c>
      <c r="AG65" s="89"/>
      <c r="AH65" s="60">
        <f>'UK P&amp;L'!AH65+'CE P&amp;L'!AH65+'EE P&amp;L'!AH65+'ROW P&amp;L'!AH66</f>
        <v>-100867.39063500002</v>
      </c>
      <c r="AI65" s="60">
        <f>'UK P&amp;L'!AI65+'CE P&amp;L'!AI65+'EE P&amp;L'!AI65+'ROW P&amp;L'!AI66</f>
        <v>-76589.330122000014</v>
      </c>
      <c r="AJ65" s="60">
        <f>'UK P&amp;L'!AJ65+'CE P&amp;L'!AJ65+'EE P&amp;L'!AJ65+'ROW P&amp;L'!AJ66</f>
        <v>-75732.132954999994</v>
      </c>
      <c r="AK65" s="60">
        <f>'UK P&amp;L'!AK65+'CE P&amp;L'!AK65+'EE P&amp;L'!AK65+'ROW P&amp;L'!AK66</f>
        <v>-80382.677231677779</v>
      </c>
      <c r="AL65" s="60">
        <f>'UK P&amp;L'!AL65+'CE P&amp;L'!AL65+'EE P&amp;L'!AL65+'ROW P&amp;L'!AL66</f>
        <v>-99502.718165434359</v>
      </c>
      <c r="AM65" s="60">
        <f>'UK P&amp;L'!AM65+'CE P&amp;L'!AM65+'EE P&amp;L'!AM65+'ROW P&amp;L'!AM66</f>
        <v>-71995.823796477474</v>
      </c>
      <c r="AN65" s="60">
        <f>'UK P&amp;L'!AN65+'CE P&amp;L'!AN65+'EE P&amp;L'!AN65+'ROW P&amp;L'!AN66</f>
        <v>-97478.075755536091</v>
      </c>
      <c r="AO65" s="60">
        <f>'UK P&amp;L'!AO65+'CE P&amp;L'!AO65+'EE P&amp;L'!AO65+'ROW P&amp;L'!AO66</f>
        <v>-196013.88239165835</v>
      </c>
      <c r="AP65" s="60">
        <f>'UK P&amp;L'!AP65+'CE P&amp;L'!AP65+'EE P&amp;L'!AP65+'ROW P&amp;L'!AP66</f>
        <v>-152160.5225035621</v>
      </c>
      <c r="AQ65" s="60">
        <f>'UK P&amp;L'!AQ65+'CE P&amp;L'!AQ65+'EE P&amp;L'!AQ65+'ROW P&amp;L'!AQ66</f>
        <v>-99015.839331781288</v>
      </c>
      <c r="AR65" s="60">
        <f>'UK P&amp;L'!AR65+'CE P&amp;L'!AR65+'EE P&amp;L'!AR65+'ROW P&amp;L'!AR66</f>
        <v>-107871.11435789154</v>
      </c>
      <c r="AS65" s="60">
        <f>'UK P&amp;L'!AS65+'CE P&amp;L'!AS65+'EE P&amp;L'!AS65+'ROW P&amp;L'!AS66</f>
        <v>-98484.825952022889</v>
      </c>
      <c r="AT65" s="60"/>
      <c r="AU65" s="61">
        <f t="shared" si="104"/>
        <v>-1256094.3331980417</v>
      </c>
    </row>
    <row r="66" spans="2:48" hidden="1" outlineLevel="1">
      <c r="B66" s="51" t="s">
        <v>166</v>
      </c>
      <c r="D66" s="59"/>
      <c r="E66" s="59"/>
      <c r="F66" s="59"/>
      <c r="G66" s="59"/>
      <c r="H66" s="59"/>
      <c r="I66" s="59"/>
      <c r="J66" s="59"/>
      <c r="K66" s="59"/>
      <c r="L66" s="59"/>
      <c r="M66" s="60" t="s">
        <v>184</v>
      </c>
      <c r="N66" s="60" t="s">
        <v>184</v>
      </c>
      <c r="O66" s="60" t="s">
        <v>184</v>
      </c>
      <c r="P66" s="60"/>
      <c r="Q66" s="61"/>
      <c r="S66" s="60">
        <f>'UK P&amp;L'!S66+'CE P&amp;L'!S66+'EE P&amp;L'!S66+'ROW P&amp;L'!S67</f>
        <v>-4979.09</v>
      </c>
      <c r="T66" s="60">
        <f>'UK P&amp;L'!T66+'CE P&amp;L'!T66+'EE P&amp;L'!T66+'ROW P&amp;L'!T67</f>
        <v>-20661.3325</v>
      </c>
      <c r="U66" s="60">
        <f>'UK P&amp;L'!U66+'CE P&amp;L'!U66+'EE P&amp;L'!U66+'ROW P&amp;L'!U67</f>
        <v>-10014.075499999999</v>
      </c>
      <c r="V66" s="60">
        <f>'UK P&amp;L'!V66+'CE P&amp;L'!V66+'EE P&amp;L'!V66+'ROW P&amp;L'!V67</f>
        <v>-26089.962514259576</v>
      </c>
      <c r="W66" s="60">
        <f>'UK P&amp;L'!W66+'CE P&amp;L'!W66+'EE P&amp;L'!W66+'ROW P&amp;L'!W67</f>
        <v>-11821.890844391284</v>
      </c>
      <c r="X66" s="60">
        <f>'UK P&amp;L'!X66+'CE P&amp;L'!X66+'EE P&amp;L'!X66+'ROW P&amp;L'!X67</f>
        <v>-6869.1494725389621</v>
      </c>
      <c r="Y66" s="60">
        <f>'UK P&amp;L'!Y66+'CE P&amp;L'!Y66+'EE P&amp;L'!Y66+'ROW P&amp;L'!Y67</f>
        <v>-13383.985287811111</v>
      </c>
      <c r="Z66" s="60">
        <f>'UK P&amp;L'!Z66+'CE P&amp;L'!Z66+'EE P&amp;L'!Z66+'ROW P&amp;L'!Z67</f>
        <v>-10109.056481915439</v>
      </c>
      <c r="AA66" s="60">
        <f>'UK P&amp;L'!AA66+'CE P&amp;L'!AA66+'EE P&amp;L'!AA66+'ROW P&amp;L'!AA67</f>
        <v>-15574.924638677918</v>
      </c>
      <c r="AB66" s="60">
        <f>'UK P&amp;L'!AB66+'CE P&amp;L'!AB66+'EE P&amp;L'!AB66+'ROW P&amp;L'!AB67</f>
        <v>-13262.732537568383</v>
      </c>
      <c r="AC66" s="60">
        <f>'UK P&amp;L'!AC66+'CE P&amp;L'!AC66+'EE P&amp;L'!AC66+'ROW P&amp;L'!AC67</f>
        <v>-5321.3671878172763</v>
      </c>
      <c r="AD66" s="60">
        <f>'UK P&amp;L'!AD66+'CE P&amp;L'!AD66+'EE P&amp;L'!AD66+'ROW P&amp;L'!AD67</f>
        <v>-7481.2889928170343</v>
      </c>
      <c r="AE66" s="60"/>
      <c r="AF66" s="61">
        <f t="shared" ref="AF66" si="105">SUM(S66:AD66)</f>
        <v>-145568.855957797</v>
      </c>
      <c r="AG66" s="89"/>
      <c r="AH66" s="60">
        <f>'UK P&amp;L'!AH66+'CE P&amp;L'!AH66+'EE P&amp;L'!AH66+'ROW P&amp;L'!AH67</f>
        <v>-23860.20626725</v>
      </c>
      <c r="AI66" s="60">
        <f>'UK P&amp;L'!AI66+'CE P&amp;L'!AI66+'EE P&amp;L'!AI66+'ROW P&amp;L'!AI67</f>
        <v>-21428.604965999999</v>
      </c>
      <c r="AJ66" s="60">
        <f>'UK P&amp;L'!AJ66+'CE P&amp;L'!AJ66+'EE P&amp;L'!AJ66+'ROW P&amp;L'!AJ67</f>
        <v>-20964.950643</v>
      </c>
      <c r="AK66" s="60">
        <f>'UK P&amp;L'!AK66+'CE P&amp;L'!AK66+'EE P&amp;L'!AK66+'ROW P&amp;L'!AK67</f>
        <v>-31698.662439900345</v>
      </c>
      <c r="AL66" s="60">
        <f>'UK P&amp;L'!AL66+'CE P&amp;L'!AL66+'EE P&amp;L'!AL66+'ROW P&amp;L'!AL67</f>
        <v>-28102.762934807215</v>
      </c>
      <c r="AM66" s="60">
        <f>'UK P&amp;L'!AM66+'CE P&amp;L'!AM66+'EE P&amp;L'!AM66+'ROW P&amp;L'!AM67</f>
        <v>-18475.356567024395</v>
      </c>
      <c r="AN66" s="60">
        <f>'UK P&amp;L'!AN66+'CE P&amp;L'!AN66+'EE P&amp;L'!AN66+'ROW P&amp;L'!AN67</f>
        <v>-26651.980782912418</v>
      </c>
      <c r="AO66" s="60">
        <f>'UK P&amp;L'!AO66+'CE P&amp;L'!AO66+'EE P&amp;L'!AO66+'ROW P&amp;L'!AO67</f>
        <v>-53424.411830756886</v>
      </c>
      <c r="AP66" s="60">
        <f>'UK P&amp;L'!AP66+'CE P&amp;L'!AP66+'EE P&amp;L'!AP66+'ROW P&amp;L'!AP67</f>
        <v>-38027.949464348567</v>
      </c>
      <c r="AQ66" s="60">
        <f>'UK P&amp;L'!AQ66+'CE P&amp;L'!AQ66+'EE P&amp;L'!AQ66+'ROW P&amp;L'!AQ67</f>
        <v>-30141.54213733313</v>
      </c>
      <c r="AR66" s="60">
        <f>'UK P&amp;L'!AR66+'CE P&amp;L'!AR66+'EE P&amp;L'!AR66+'ROW P&amp;L'!AR67</f>
        <v>-23488.435440817419</v>
      </c>
      <c r="AS66" s="60">
        <f>'UK P&amp;L'!AS66+'CE P&amp;L'!AS66+'EE P&amp;L'!AS66+'ROW P&amp;L'!AS67</f>
        <v>-23813.969243164367</v>
      </c>
      <c r="AT66" s="60"/>
      <c r="AU66" s="61">
        <f t="shared" ref="AU66" si="106">SUM(AH66:AS66)</f>
        <v>-340078.83271731471</v>
      </c>
    </row>
    <row r="67" spans="2:48" hidden="1" outlineLevel="1">
      <c r="B67" s="51" t="s">
        <v>185</v>
      </c>
      <c r="D67" s="59">
        <v>-12537</v>
      </c>
      <c r="E67" s="59">
        <v>-7106</v>
      </c>
      <c r="F67" s="59" t="s">
        <v>182</v>
      </c>
      <c r="G67" s="59">
        <v>-16579</v>
      </c>
      <c r="H67" s="59">
        <v>-60</v>
      </c>
      <c r="I67" s="59">
        <v>198</v>
      </c>
      <c r="J67" s="59" t="s">
        <v>183</v>
      </c>
      <c r="K67" s="59" t="s">
        <v>183</v>
      </c>
      <c r="L67" s="59">
        <v>-11249</v>
      </c>
      <c r="M67" s="60" t="s">
        <v>184</v>
      </c>
      <c r="N67" s="60" t="s">
        <v>184</v>
      </c>
      <c r="O67" s="60" t="s">
        <v>184</v>
      </c>
      <c r="P67" s="60"/>
      <c r="Q67" s="61">
        <f t="shared" si="100"/>
        <v>-47333</v>
      </c>
      <c r="S67" s="60">
        <f>'UK P&amp;L'!S67+'CE P&amp;L'!S67+'EE P&amp;L'!S67+'ROW P&amp;L'!S68</f>
        <v>-8500</v>
      </c>
      <c r="T67" s="60">
        <f>'UK P&amp;L'!T67+'CE P&amp;L'!T67+'EE P&amp;L'!T67+'ROW P&amp;L'!T68</f>
        <v>-17000</v>
      </c>
      <c r="U67" s="60">
        <f>'UK P&amp;L'!U67+'CE P&amp;L'!U67+'EE P&amp;L'!U67+'ROW P&amp;L'!U68</f>
        <v>0</v>
      </c>
      <c r="V67" s="60">
        <f>'UK P&amp;L'!V67+'CE P&amp;L'!V67+'EE P&amp;L'!V67+'ROW P&amp;L'!V68</f>
        <v>-14000</v>
      </c>
      <c r="W67" s="60">
        <f>'UK P&amp;L'!W67+'CE P&amp;L'!W67+'EE P&amp;L'!W67+'ROW P&amp;L'!W68</f>
        <v>0</v>
      </c>
      <c r="X67" s="60">
        <f>'UK P&amp;L'!X67+'CE P&amp;L'!X67+'EE P&amp;L'!X67+'ROW P&amp;L'!X68</f>
        <v>0</v>
      </c>
      <c r="Y67" s="60">
        <f>'UK P&amp;L'!Y67+'CE P&amp;L'!Y67+'EE P&amp;L'!Y67+'ROW P&amp;L'!Y68</f>
        <v>0</v>
      </c>
      <c r="Z67" s="60">
        <f>'UK P&amp;L'!Z67+'CE P&amp;L'!Z67+'EE P&amp;L'!Z67+'ROW P&amp;L'!Z68</f>
        <v>0</v>
      </c>
      <c r="AA67" s="60">
        <f>'UK P&amp;L'!AA67+'CE P&amp;L'!AA67+'EE P&amp;L'!AA67+'ROW P&amp;L'!AA68</f>
        <v>-15000</v>
      </c>
      <c r="AB67" s="60">
        <f>'UK P&amp;L'!AB67+'CE P&amp;L'!AB67+'EE P&amp;L'!AB67+'ROW P&amp;L'!AB68</f>
        <v>0</v>
      </c>
      <c r="AC67" s="60">
        <f>'UK P&amp;L'!AC67+'CE P&amp;L'!AC67+'EE P&amp;L'!AC67+'ROW P&amp;L'!AC68</f>
        <v>0</v>
      </c>
      <c r="AD67" s="60">
        <f>'UK P&amp;L'!AD67+'CE P&amp;L'!AD67+'EE P&amp;L'!AD67+'ROW P&amp;L'!AD68</f>
        <v>0</v>
      </c>
      <c r="AE67" s="60"/>
      <c r="AF67" s="61">
        <f t="shared" si="103"/>
        <v>-54500</v>
      </c>
      <c r="AG67" s="89"/>
      <c r="AH67" s="60">
        <f>'UK P&amp;L'!AH67+'CE P&amp;L'!AH67+'EE P&amp;L'!AH67+'ROW P&amp;L'!AH68</f>
        <v>-8500</v>
      </c>
      <c r="AI67" s="60">
        <f>'UK P&amp;L'!AI67+'CE P&amp;L'!AI67+'EE P&amp;L'!AI67+'ROW P&amp;L'!AI68</f>
        <v>-17000</v>
      </c>
      <c r="AJ67" s="60">
        <f>'UK P&amp;L'!AJ67+'CE P&amp;L'!AJ67+'EE P&amp;L'!AJ67+'ROW P&amp;L'!AJ68</f>
        <v>0</v>
      </c>
      <c r="AK67" s="60">
        <f>'UK P&amp;L'!AK67+'CE P&amp;L'!AK67+'EE P&amp;L'!AK67+'ROW P&amp;L'!AK68</f>
        <v>-14000</v>
      </c>
      <c r="AL67" s="60">
        <f>'UK P&amp;L'!AL67+'CE P&amp;L'!AL67+'EE P&amp;L'!AL67+'ROW P&amp;L'!AL68</f>
        <v>0</v>
      </c>
      <c r="AM67" s="60">
        <f>'UK P&amp;L'!AM67+'CE P&amp;L'!AM67+'EE P&amp;L'!AM67+'ROW P&amp;L'!AM68</f>
        <v>0</v>
      </c>
      <c r="AN67" s="60">
        <f>'UK P&amp;L'!AN67+'CE P&amp;L'!AN67+'EE P&amp;L'!AN67+'ROW P&amp;L'!AN68</f>
        <v>0</v>
      </c>
      <c r="AO67" s="60">
        <f>'UK P&amp;L'!AO67+'CE P&amp;L'!AO67+'EE P&amp;L'!AO67+'ROW P&amp;L'!AO68</f>
        <v>0</v>
      </c>
      <c r="AP67" s="60">
        <f>'UK P&amp;L'!AP67+'CE P&amp;L'!AP67+'EE P&amp;L'!AP67+'ROW P&amp;L'!AP68</f>
        <v>-15000</v>
      </c>
      <c r="AQ67" s="60">
        <f>'UK P&amp;L'!AQ67+'CE P&amp;L'!AQ67+'EE P&amp;L'!AQ67+'ROW P&amp;L'!AQ68</f>
        <v>0</v>
      </c>
      <c r="AR67" s="60">
        <f>'UK P&amp;L'!AR67+'CE P&amp;L'!AR67+'EE P&amp;L'!AR67+'ROW P&amp;L'!AR68</f>
        <v>0</v>
      </c>
      <c r="AS67" s="60">
        <f>'UK P&amp;L'!AS67+'CE P&amp;L'!AS67+'EE P&amp;L'!AS67+'ROW P&amp;L'!AS68</f>
        <v>0</v>
      </c>
      <c r="AT67" s="60"/>
      <c r="AU67" s="61">
        <f t="shared" si="104"/>
        <v>-54500</v>
      </c>
    </row>
    <row r="68" spans="2:48" hidden="1" outlineLevel="1">
      <c r="B68" s="51" t="s">
        <v>130</v>
      </c>
      <c r="D68" s="59">
        <v>-43638</v>
      </c>
      <c r="E68" s="59">
        <v>-48921</v>
      </c>
      <c r="F68" s="59">
        <v>-43068</v>
      </c>
      <c r="G68" s="59">
        <v>-43824</v>
      </c>
      <c r="H68" s="59">
        <v>-47392</v>
      </c>
      <c r="I68" s="59">
        <v>-69476</v>
      </c>
      <c r="J68" s="59">
        <v>-63501</v>
      </c>
      <c r="K68" s="59">
        <v>-61147</v>
      </c>
      <c r="L68" s="59">
        <v>-75822</v>
      </c>
      <c r="M68" s="60">
        <v>-70515</v>
      </c>
      <c r="N68" s="60">
        <v>-68252</v>
      </c>
      <c r="O68" s="60">
        <v>-52704</v>
      </c>
      <c r="P68" s="60"/>
      <c r="Q68" s="61">
        <f>SUM(D68:O68)</f>
        <v>-688260</v>
      </c>
      <c r="S68" s="60">
        <f>'UK P&amp;L'!S68+'CE P&amp;L'!S68+'EE P&amp;L'!S68+'ROW P&amp;L'!S69</f>
        <v>-49527.379199999996</v>
      </c>
      <c r="T68" s="60">
        <f>'UK P&amp;L'!T68+'CE P&amp;L'!T68+'EE P&amp;L'!T68+'ROW P&amp;L'!T69</f>
        <v>-68597.040000000008</v>
      </c>
      <c r="U68" s="60">
        <f>'UK P&amp;L'!U68+'CE P&amp;L'!U68+'EE P&amp;L'!U68+'ROW P&amp;L'!U69</f>
        <v>-61740.7255</v>
      </c>
      <c r="V68" s="60">
        <f>'UK P&amp;L'!V68+'CE P&amp;L'!V68+'EE P&amp;L'!V68+'ROW P&amp;L'!V69</f>
        <v>-61759.972000000002</v>
      </c>
      <c r="W68" s="60">
        <f>'UK P&amp;L'!W68+'CE P&amp;L'!W68+'EE P&amp;L'!W68+'ROW P&amp;L'!W69</f>
        <v>-59994.013100000004</v>
      </c>
      <c r="X68" s="60">
        <f>'UK P&amp;L'!X68+'CE P&amp;L'!X68+'EE P&amp;L'!X68+'ROW P&amp;L'!X69</f>
        <v>-76644.922200000001</v>
      </c>
      <c r="Y68" s="60">
        <f>'UK P&amp;L'!Y68+'CE P&amp;L'!Y68+'EE P&amp;L'!Y68+'ROW P&amp;L'!Y69</f>
        <v>-60112.231999999996</v>
      </c>
      <c r="Z68" s="60">
        <f>'UK P&amp;L'!Z68+'CE P&amp;L'!Z68+'EE P&amp;L'!Z68+'ROW P&amp;L'!Z69</f>
        <v>-65974.351300000009</v>
      </c>
      <c r="AA68" s="60">
        <f>'UK P&amp;L'!AA68+'CE P&amp;L'!AA68+'EE P&amp;L'!AA68+'ROW P&amp;L'!AA69</f>
        <v>-80299.920000000013</v>
      </c>
      <c r="AB68" s="60">
        <f>'UK P&amp;L'!AB68+'CE P&amp;L'!AB68+'EE P&amp;L'!AB68+'ROW P&amp;L'!AB69</f>
        <v>-83524.486100000009</v>
      </c>
      <c r="AC68" s="60">
        <f>'UK P&amp;L'!AC68+'CE P&amp;L'!AC68+'EE P&amp;L'!AC68+'ROW P&amp;L'!AC69</f>
        <v>-81689.583299999998</v>
      </c>
      <c r="AD68" s="60">
        <f>'UK P&amp;L'!AD68+'CE P&amp;L'!AD68+'EE P&amp;L'!AD68+'ROW P&amp;L'!AD69</f>
        <v>-63467.899799999999</v>
      </c>
      <c r="AE68" s="60"/>
      <c r="AF68" s="61">
        <f t="shared" si="103"/>
        <v>-813332.52450000006</v>
      </c>
      <c r="AG68" s="89"/>
      <c r="AH68" s="60">
        <f>'UK P&amp;L'!AH68+'CE P&amp;L'!AH68+'EE P&amp;L'!AH68+'ROW P&amp;L'!AH69</f>
        <v>-47205.159520000001</v>
      </c>
      <c r="AI68" s="60">
        <f>'UK P&amp;L'!AI68+'CE P&amp;L'!AI68+'EE P&amp;L'!AI68+'ROW P&amp;L'!AI69</f>
        <v>-63056.657200000009</v>
      </c>
      <c r="AJ68" s="60">
        <f>'UK P&amp;L'!AJ68+'CE P&amp;L'!AJ68+'EE P&amp;L'!AJ68+'ROW P&amp;L'!AJ69</f>
        <v>-56319.347425</v>
      </c>
      <c r="AK68" s="60">
        <f>'UK P&amp;L'!AK68+'CE P&amp;L'!AK68+'EE P&amp;L'!AK68+'ROW P&amp;L'!AK69</f>
        <v>-56332.954199999993</v>
      </c>
      <c r="AL68" s="60">
        <f>'UK P&amp;L'!AL68+'CE P&amp;L'!AL68+'EE P&amp;L'!AL68+'ROW P&amp;L'!AL69</f>
        <v>-61252.448574999995</v>
      </c>
      <c r="AM68" s="60">
        <f>'UK P&amp;L'!AM68+'CE P&amp;L'!AM68+'EE P&amp;L'!AM68+'ROW P&amp;L'!AM69</f>
        <v>-81474.433199999999</v>
      </c>
      <c r="AN68" s="60">
        <f>'UK P&amp;L'!AN68+'CE P&amp;L'!AN68+'EE P&amp;L'!AN68+'ROW P&amp;L'!AN69</f>
        <v>-62110.25548</v>
      </c>
      <c r="AO68" s="60">
        <f>'UK P&amp;L'!AO68+'CE P&amp;L'!AO68+'EE P&amp;L'!AO68+'ROW P&amp;L'!AO69</f>
        <v>-65672.823561000012</v>
      </c>
      <c r="AP68" s="60">
        <f>'UK P&amp;L'!AP68+'CE P&amp;L'!AP68+'EE P&amp;L'!AP68+'ROW P&amp;L'!AP69</f>
        <v>-81829.895552000002</v>
      </c>
      <c r="AQ68" s="60">
        <f>'UK P&amp;L'!AQ68+'CE P&amp;L'!AQ68+'EE P&amp;L'!AQ68+'ROW P&amp;L'!AQ69</f>
        <v>-82593.249591999993</v>
      </c>
      <c r="AR68" s="60">
        <f>'UK P&amp;L'!AR68+'CE P&amp;L'!AR68+'EE P&amp;L'!AR68+'ROW P&amp;L'!AR69</f>
        <v>-78700.650511</v>
      </c>
      <c r="AS68" s="60">
        <f>'UK P&amp;L'!AS68+'CE P&amp;L'!AS68+'EE P&amp;L'!AS68+'ROW P&amp;L'!AS69</f>
        <v>-62982.709465999993</v>
      </c>
      <c r="AT68" s="60"/>
      <c r="AU68" s="61">
        <f t="shared" si="104"/>
        <v>-799530.58428199997</v>
      </c>
    </row>
    <row r="69" spans="2:48" hidden="1" outlineLevel="1">
      <c r="B69" s="51" t="s">
        <v>131</v>
      </c>
      <c r="D69" s="59">
        <v>-319</v>
      </c>
      <c r="E69" s="59">
        <v>-121</v>
      </c>
      <c r="F69" s="59">
        <v>-145</v>
      </c>
      <c r="G69" s="59">
        <v>-188</v>
      </c>
      <c r="H69" s="59">
        <v>-269</v>
      </c>
      <c r="I69" s="59">
        <v>-284</v>
      </c>
      <c r="J69" s="59">
        <v>-220</v>
      </c>
      <c r="K69" s="59">
        <v>-152</v>
      </c>
      <c r="L69" s="59">
        <v>-54</v>
      </c>
      <c r="M69" s="60" t="s">
        <v>184</v>
      </c>
      <c r="N69" s="60" t="s">
        <v>184</v>
      </c>
      <c r="O69" s="60" t="s">
        <v>184</v>
      </c>
      <c r="P69" s="60"/>
      <c r="Q69" s="61">
        <f t="shared" si="100"/>
        <v>-1752</v>
      </c>
      <c r="S69" s="60">
        <f>'UK P&amp;L'!S69+'CE P&amp;L'!S69+'EE P&amp;L'!S69+'ROW P&amp;L'!S70</f>
        <v>0</v>
      </c>
      <c r="T69" s="60">
        <f>'UK P&amp;L'!T69+'CE P&amp;L'!T69+'EE P&amp;L'!T69+'ROW P&amp;L'!T70</f>
        <v>0</v>
      </c>
      <c r="U69" s="60">
        <f>'UK P&amp;L'!U69+'CE P&amp;L'!U69+'EE P&amp;L'!U69+'ROW P&amp;L'!U70</f>
        <v>0</v>
      </c>
      <c r="V69" s="60">
        <f>'UK P&amp;L'!V69+'CE P&amp;L'!V69+'EE P&amp;L'!V69+'ROW P&amp;L'!V70</f>
        <v>0</v>
      </c>
      <c r="W69" s="60">
        <f>'UK P&amp;L'!W69+'CE P&amp;L'!W69+'EE P&amp;L'!W69+'ROW P&amp;L'!W70</f>
        <v>0</v>
      </c>
      <c r="X69" s="60">
        <f>'UK P&amp;L'!X69+'CE P&amp;L'!X69+'EE P&amp;L'!X69+'ROW P&amp;L'!X70</f>
        <v>0</v>
      </c>
      <c r="Y69" s="60">
        <f>'UK P&amp;L'!Y69+'CE P&amp;L'!Y69+'EE P&amp;L'!Y69+'ROW P&amp;L'!Y70</f>
        <v>0</v>
      </c>
      <c r="Z69" s="60">
        <f>'UK P&amp;L'!Z69+'CE P&amp;L'!Z69+'EE P&amp;L'!Z69+'ROW P&amp;L'!Z70</f>
        <v>0</v>
      </c>
      <c r="AA69" s="60">
        <f>'UK P&amp;L'!AA69+'CE P&amp;L'!AA69+'EE P&amp;L'!AA69+'ROW P&amp;L'!AA70</f>
        <v>0</v>
      </c>
      <c r="AB69" s="60">
        <f>'UK P&amp;L'!AB69+'CE P&amp;L'!AB69+'EE P&amp;L'!AB69+'ROW P&amp;L'!AB70</f>
        <v>0</v>
      </c>
      <c r="AC69" s="60">
        <f>'UK P&amp;L'!AC69+'CE P&amp;L'!AC69+'EE P&amp;L'!AC69+'ROW P&amp;L'!AC70</f>
        <v>0</v>
      </c>
      <c r="AD69" s="60">
        <f>'UK P&amp;L'!AD69+'CE P&amp;L'!AD69+'EE P&amp;L'!AD69+'ROW P&amp;L'!AD70</f>
        <v>0</v>
      </c>
      <c r="AE69" s="60"/>
      <c r="AF69" s="61">
        <f t="shared" si="103"/>
        <v>0</v>
      </c>
      <c r="AG69" s="89"/>
      <c r="AH69" s="60">
        <f>'UK P&amp;L'!AH69+'CE P&amp;L'!AH69+'EE P&amp;L'!AH69+'ROW P&amp;L'!AH70</f>
        <v>0</v>
      </c>
      <c r="AI69" s="60">
        <f>'UK P&amp;L'!AI69+'CE P&amp;L'!AI69+'EE P&amp;L'!AI69+'ROW P&amp;L'!AI70</f>
        <v>0</v>
      </c>
      <c r="AJ69" s="60">
        <f>'UK P&amp;L'!AJ69+'CE P&amp;L'!AJ69+'EE P&amp;L'!AJ69+'ROW P&amp;L'!AJ70</f>
        <v>0</v>
      </c>
      <c r="AK69" s="60">
        <f>'UK P&amp;L'!AK69+'CE P&amp;L'!AK69+'EE P&amp;L'!AK69+'ROW P&amp;L'!AK70</f>
        <v>0</v>
      </c>
      <c r="AL69" s="60">
        <f>'UK P&amp;L'!AL69+'CE P&amp;L'!AL69+'EE P&amp;L'!AL69+'ROW P&amp;L'!AL70</f>
        <v>0</v>
      </c>
      <c r="AM69" s="60">
        <f>'UK P&amp;L'!AM69+'CE P&amp;L'!AM69+'EE P&amp;L'!AM69+'ROW P&amp;L'!AM70</f>
        <v>0</v>
      </c>
      <c r="AN69" s="60">
        <f>'UK P&amp;L'!AN69+'CE P&amp;L'!AN69+'EE P&amp;L'!AN69+'ROW P&amp;L'!AN70</f>
        <v>0</v>
      </c>
      <c r="AO69" s="60">
        <f>'UK P&amp;L'!AO69+'CE P&amp;L'!AO69+'EE P&amp;L'!AO69+'ROW P&amp;L'!AO70</f>
        <v>0</v>
      </c>
      <c r="AP69" s="60">
        <f>'UK P&amp;L'!AP69+'CE P&amp;L'!AP69+'EE P&amp;L'!AP69+'ROW P&amp;L'!AP70</f>
        <v>0</v>
      </c>
      <c r="AQ69" s="60">
        <f>'UK P&amp;L'!AQ69+'CE P&amp;L'!AQ69+'EE P&amp;L'!AQ69+'ROW P&amp;L'!AQ70</f>
        <v>0</v>
      </c>
      <c r="AR69" s="60">
        <f>'UK P&amp;L'!AR69+'CE P&amp;L'!AR69+'EE P&amp;L'!AR69+'ROW P&amp;L'!AR70</f>
        <v>0</v>
      </c>
      <c r="AS69" s="60">
        <f>'UK P&amp;L'!AS69+'CE P&amp;L'!AS69+'EE P&amp;L'!AS69+'ROW P&amp;L'!AS70</f>
        <v>0</v>
      </c>
      <c r="AT69" s="60"/>
      <c r="AU69" s="61">
        <f t="shared" si="104"/>
        <v>0</v>
      </c>
    </row>
    <row r="70" spans="2:48" hidden="1" outlineLevel="1">
      <c r="D70" s="59"/>
      <c r="E70" s="59"/>
      <c r="F70" s="59"/>
      <c r="G70" s="59"/>
      <c r="H70" s="59"/>
      <c r="I70" s="59"/>
      <c r="J70" s="59"/>
      <c r="K70" s="59"/>
      <c r="L70" s="59"/>
      <c r="M70" s="60"/>
      <c r="N70" s="60"/>
      <c r="O70" s="60"/>
      <c r="Q70" s="61"/>
      <c r="S70" s="83"/>
      <c r="T70" s="83"/>
      <c r="U70" s="83"/>
      <c r="V70" s="83"/>
      <c r="W70" s="83"/>
      <c r="AG70" s="89"/>
      <c r="AH70" s="83"/>
      <c r="AI70" s="83"/>
      <c r="AJ70" s="83"/>
      <c r="AK70" s="83"/>
      <c r="AL70" s="83"/>
    </row>
    <row r="71" spans="2:48" collapsed="1">
      <c r="B71" s="63" t="s">
        <v>132</v>
      </c>
      <c r="C71" s="52"/>
      <c r="D71" s="500">
        <f>SUM(D59:D70)</f>
        <v>-263544</v>
      </c>
      <c r="E71" s="500">
        <f>SUM(E59:E70)</f>
        <v>-333077</v>
      </c>
      <c r="F71" s="500">
        <f>SUM(F59:F70)+1</f>
        <v>-389517</v>
      </c>
      <c r="G71" s="500">
        <f>SUM(G59:G70)-1</f>
        <v>-382024</v>
      </c>
      <c r="H71" s="500">
        <f>SUM(H59:H70)+1</f>
        <v>-369666</v>
      </c>
      <c r="I71" s="500">
        <f>SUM(I59:I70)</f>
        <v>-426443</v>
      </c>
      <c r="J71" s="500">
        <f>SUM(J59:J70)</f>
        <v>-413638</v>
      </c>
      <c r="K71" s="500">
        <f>SUM(K59:K70)</f>
        <v>-380436</v>
      </c>
      <c r="L71" s="500">
        <f>SUM(L59:L70)</f>
        <v>-769856</v>
      </c>
      <c r="M71" s="65">
        <f>SUM(M59:M70)-2</f>
        <v>-717864</v>
      </c>
      <c r="N71" s="65">
        <f>SUM(N59:N70)+1</f>
        <v>-462733</v>
      </c>
      <c r="O71" s="65">
        <f t="shared" ref="O71" si="107">SUM(O59:O70)</f>
        <v>-384711</v>
      </c>
      <c r="P71" s="61"/>
      <c r="Q71" s="65">
        <f>SUM(D71:O71)</f>
        <v>-5293509</v>
      </c>
      <c r="R71" s="75"/>
      <c r="S71" s="84">
        <f t="shared" ref="S71" si="108">SUM(S59:S70)</f>
        <v>-441855.42477500008</v>
      </c>
      <c r="T71" s="84">
        <f>SUM(T59:T70)</f>
        <v>-604615.04804000002</v>
      </c>
      <c r="U71" s="84">
        <f>SUM(U59:U70)</f>
        <v>-542338.95330000005</v>
      </c>
      <c r="V71" s="84">
        <f>SUM(V59:V70)</f>
        <v>-508949.51385000005</v>
      </c>
      <c r="W71" s="84">
        <f>SUM(W59:W70)</f>
        <v>-520540.88701353723</v>
      </c>
      <c r="X71" s="65">
        <f t="shared" ref="X71:AD71" si="109">SUM(X59:X70)</f>
        <v>-648622.52213676868</v>
      </c>
      <c r="Y71" s="65">
        <f t="shared" si="109"/>
        <v>-549502.86146235815</v>
      </c>
      <c r="Z71" s="65">
        <f t="shared" si="109"/>
        <v>-709658.0208911791</v>
      </c>
      <c r="AA71" s="65">
        <f t="shared" si="109"/>
        <v>-891293.05928735842</v>
      </c>
      <c r="AB71" s="65">
        <f t="shared" si="109"/>
        <v>-830173.31989189866</v>
      </c>
      <c r="AC71" s="65">
        <f t="shared" si="109"/>
        <v>-593279.5889716181</v>
      </c>
      <c r="AD71" s="65">
        <f t="shared" si="109"/>
        <v>-586119.55800513097</v>
      </c>
      <c r="AE71" s="61"/>
      <c r="AF71" s="65">
        <f>SUM(S71:AD71)</f>
        <v>-7426948.7576248506</v>
      </c>
      <c r="AG71" s="531">
        <f>IFERROR(AF71/Q71-1,0)</f>
        <v>0.40302940027585676</v>
      </c>
      <c r="AH71" s="84">
        <f t="shared" ref="AH71" si="110">SUM(AH59:AH70)</f>
        <v>-623355.39352261438</v>
      </c>
      <c r="AI71" s="84">
        <f>SUM(AI59:AI70)</f>
        <v>-826220.99492414505</v>
      </c>
      <c r="AJ71" s="84">
        <f>SUM(AJ59:AJ70)</f>
        <v>-766058.05668445257</v>
      </c>
      <c r="AK71" s="84">
        <f>SUM(AK59:AK70)</f>
        <v>-690707.48979155882</v>
      </c>
      <c r="AL71" s="84">
        <f>SUM(AL59:AL70)</f>
        <v>-730610.39702635363</v>
      </c>
      <c r="AM71" s="65">
        <f t="shared" ref="AM71:AS71" si="111">SUM(AM59:AM70)</f>
        <v>-938459.43695406814</v>
      </c>
      <c r="AN71" s="65">
        <f t="shared" si="111"/>
        <v>-720336.6879610999</v>
      </c>
      <c r="AO71" s="65">
        <f t="shared" si="111"/>
        <v>-949672.54642236908</v>
      </c>
      <c r="AP71" s="65">
        <f t="shared" si="111"/>
        <v>-1197106.4873872867</v>
      </c>
      <c r="AQ71" s="65">
        <f t="shared" si="111"/>
        <v>-1110162.8744385066</v>
      </c>
      <c r="AR71" s="65">
        <f t="shared" si="111"/>
        <v>-809013.296022353</v>
      </c>
      <c r="AS71" s="65">
        <f t="shared" si="111"/>
        <v>-819581.7015960624</v>
      </c>
      <c r="AT71" s="61"/>
      <c r="AU71" s="65">
        <f>SUM(AH71:AS71)</f>
        <v>-10181285.36273087</v>
      </c>
      <c r="AV71" s="531">
        <f>IFERROR(AU71/AF71-1,0)</f>
        <v>0.37085709017155799</v>
      </c>
    </row>
    <row r="72" spans="2:48">
      <c r="D72" s="97">
        <f t="shared" ref="D72:L72" si="112">IFERROR(D71/D12,0)</f>
        <v>-0.24931980640498291</v>
      </c>
      <c r="E72" s="97">
        <f t="shared" si="112"/>
        <v>-0.24446323366970452</v>
      </c>
      <c r="F72" s="97">
        <f t="shared" si="112"/>
        <v>-0.33728299449200644</v>
      </c>
      <c r="G72" s="97">
        <f t="shared" si="112"/>
        <v>-0.29189878930739521</v>
      </c>
      <c r="H72" s="97">
        <f t="shared" si="112"/>
        <v>-0.34663325978693738</v>
      </c>
      <c r="I72" s="97">
        <f t="shared" si="112"/>
        <v>-0.2733934943525318</v>
      </c>
      <c r="J72" s="97">
        <f t="shared" si="112"/>
        <v>-0.30024875676060192</v>
      </c>
      <c r="K72" s="97">
        <f t="shared" si="112"/>
        <v>-0.38587803796948361</v>
      </c>
      <c r="L72" s="97">
        <f t="shared" si="112"/>
        <v>-0.3222267100568188</v>
      </c>
      <c r="M72" s="91">
        <f t="shared" ref="M72:Q72" si="113">IFERROR(M71/M12,0)</f>
        <v>-0.26389410180522321</v>
      </c>
      <c r="N72" s="91">
        <f t="shared" si="113"/>
        <v>-0.2634990197077744</v>
      </c>
      <c r="O72" s="91">
        <f t="shared" si="113"/>
        <v>-0.29841550320009869</v>
      </c>
      <c r="Q72" s="91">
        <f t="shared" si="113"/>
        <v>-0.29363193378723479</v>
      </c>
      <c r="S72" s="88"/>
      <c r="T72" s="88"/>
      <c r="U72" s="88"/>
      <c r="V72" s="88"/>
      <c r="W72" s="88"/>
      <c r="AF72" s="91">
        <f ca="1">AF71/AF12</f>
        <v>-0.31740135335401787</v>
      </c>
      <c r="AG72" s="531"/>
      <c r="AH72" s="88"/>
      <c r="AI72" s="88"/>
      <c r="AJ72" s="88"/>
      <c r="AK72" s="88"/>
      <c r="AL72" s="88"/>
      <c r="AU72" s="91">
        <f ca="1">AU71/AU12</f>
        <v>-0.29669710174222558</v>
      </c>
    </row>
    <row r="73" spans="2:48" hidden="1" outlineLevel="1">
      <c r="B73" s="67" t="s">
        <v>133</v>
      </c>
      <c r="C73" s="52"/>
      <c r="D73" s="501">
        <f t="shared" ref="D73:N73" si="114">D45+SUM(D59:D63)</f>
        <v>40994</v>
      </c>
      <c r="E73" s="501">
        <f t="shared" si="114"/>
        <v>182566</v>
      </c>
      <c r="F73" s="501">
        <f t="shared" si="114"/>
        <v>112560</v>
      </c>
      <c r="G73" s="501">
        <f t="shared" si="114"/>
        <v>116381</v>
      </c>
      <c r="H73" s="501">
        <f t="shared" si="114"/>
        <v>5671</v>
      </c>
      <c r="I73" s="501">
        <f t="shared" si="114"/>
        <v>253070</v>
      </c>
      <c r="J73" s="501">
        <f t="shared" si="114"/>
        <v>177079</v>
      </c>
      <c r="K73" s="501">
        <f t="shared" si="114"/>
        <v>-69535</v>
      </c>
      <c r="L73" s="501">
        <f t="shared" si="114"/>
        <v>247022</v>
      </c>
      <c r="M73" s="69">
        <f t="shared" si="114"/>
        <v>474188</v>
      </c>
      <c r="N73" s="69">
        <f t="shared" si="114"/>
        <v>163015</v>
      </c>
      <c r="O73" s="69">
        <f t="shared" ref="O73" si="115">O45+SUM(O59:O63)</f>
        <v>86934</v>
      </c>
      <c r="P73" s="69"/>
      <c r="Q73" s="69">
        <f>Q45+SUM(Q59:Q63)</f>
        <v>1789945</v>
      </c>
      <c r="S73" s="85">
        <f>S45+SUM(S59:S63)</f>
        <v>116570.41095451603</v>
      </c>
      <c r="T73" s="85">
        <f t="shared" ref="T73" si="116">T45+SUM(T59:T63)</f>
        <v>254072.87252890202</v>
      </c>
      <c r="U73" s="85">
        <f t="shared" ref="U73:W73" si="117">U45+SUM(U59:U63)</f>
        <v>198126.43052751303</v>
      </c>
      <c r="V73" s="85">
        <f t="shared" si="117"/>
        <v>133141.84823743423</v>
      </c>
      <c r="W73" s="85">
        <f t="shared" si="117"/>
        <v>113502.15128005901</v>
      </c>
      <c r="X73" s="69">
        <f t="shared" ref="X73:AD73" si="118">X45+SUM(X59:X63)</f>
        <v>385566.31376379263</v>
      </c>
      <c r="Y73" s="69">
        <f t="shared" si="118"/>
        <v>184467.70341076318</v>
      </c>
      <c r="Z73" s="69">
        <f t="shared" si="118"/>
        <v>168359.03985946398</v>
      </c>
      <c r="AA73" s="69">
        <f t="shared" si="118"/>
        <v>470416.83640491124</v>
      </c>
      <c r="AB73" s="69">
        <f t="shared" si="118"/>
        <v>415623.92573644652</v>
      </c>
      <c r="AC73" s="69">
        <f t="shared" si="118"/>
        <v>236357.73358512658</v>
      </c>
      <c r="AD73" s="69">
        <f t="shared" si="118"/>
        <v>273920.8689985103</v>
      </c>
      <c r="AE73" s="69"/>
      <c r="AF73" s="69">
        <f>AF45+SUM(AF59:AF63)</f>
        <v>2950126.1352874395</v>
      </c>
      <c r="AG73" s="89"/>
      <c r="AH73" s="85">
        <f>AH45+SUM(AH59:AH63)</f>
        <v>317994.62308901758</v>
      </c>
      <c r="AI73" s="85">
        <f t="shared" ref="AI73" si="119">AI45+SUM(AI59:AI63)</f>
        <v>496280.46990663686</v>
      </c>
      <c r="AJ73" s="85">
        <f t="shared" ref="AJ73:AL73" si="120">AJ45+SUM(AJ59:AJ63)</f>
        <v>449935.58225227543</v>
      </c>
      <c r="AK73" s="85">
        <f t="shared" si="120"/>
        <v>415850.81056171533</v>
      </c>
      <c r="AL73" s="85">
        <f t="shared" si="120"/>
        <v>396690.83966724918</v>
      </c>
      <c r="AM73" s="69">
        <f t="shared" ref="AM73:AS73" si="121">AM45+SUM(AM59:AM63)</f>
        <v>733935.45116343908</v>
      </c>
      <c r="AN73" s="69">
        <f t="shared" si="121"/>
        <v>491818.95189772826</v>
      </c>
      <c r="AO73" s="69">
        <f t="shared" si="121"/>
        <v>448532.01361339423</v>
      </c>
      <c r="AP73" s="69">
        <f t="shared" si="121"/>
        <v>795175.66548218916</v>
      </c>
      <c r="AQ73" s="69">
        <f t="shared" si="121"/>
        <v>718762.69085077359</v>
      </c>
      <c r="AR73" s="69">
        <f t="shared" si="121"/>
        <v>518578.73340484232</v>
      </c>
      <c r="AS73" s="69">
        <f t="shared" si="121"/>
        <v>555681.86627227231</v>
      </c>
      <c r="AT73" s="69"/>
      <c r="AU73" s="69">
        <f>AU45+SUM(AU59:AU63)</f>
        <v>6339237.698161534</v>
      </c>
    </row>
    <row r="74" spans="2:48" hidden="1" outlineLevel="1">
      <c r="B74" s="67" t="s">
        <v>134</v>
      </c>
      <c r="C74" s="52"/>
      <c r="D74" s="501">
        <f t="shared" ref="D74:L74" si="122">D46+SUM(D64:D67)</f>
        <v>271695</v>
      </c>
      <c r="E74" s="501">
        <f t="shared" si="122"/>
        <v>222903</v>
      </c>
      <c r="F74" s="501">
        <f t="shared" si="122"/>
        <v>76647</v>
      </c>
      <c r="G74" s="501">
        <f t="shared" si="122"/>
        <v>222501</v>
      </c>
      <c r="H74" s="501">
        <f t="shared" si="122"/>
        <v>217777</v>
      </c>
      <c r="I74" s="501">
        <f t="shared" si="122"/>
        <v>158662</v>
      </c>
      <c r="J74" s="501">
        <f t="shared" si="122"/>
        <v>125523</v>
      </c>
      <c r="K74" s="501">
        <f t="shared" si="122"/>
        <v>213760</v>
      </c>
      <c r="L74" s="501">
        <f t="shared" si="122"/>
        <v>312927</v>
      </c>
      <c r="M74" s="69">
        <f>M46+SUM(M64:M67)</f>
        <v>281576</v>
      </c>
      <c r="N74" s="69">
        <f>N46+SUM(N64:N67)</f>
        <v>312503</v>
      </c>
      <c r="O74" s="69">
        <f>O46+SUM(O64:O67)</f>
        <v>209307</v>
      </c>
      <c r="P74" s="69"/>
      <c r="Q74" s="69">
        <f>Q46+SUM(Q64:Q67)</f>
        <v>2625781</v>
      </c>
      <c r="S74" s="85">
        <f>S46+SUM(S64:S67)</f>
        <v>142543.8899355602</v>
      </c>
      <c r="T74" s="85">
        <f t="shared" ref="T74:AD74" si="123">T46+SUM(T64:T67)</f>
        <v>274791.55946658889</v>
      </c>
      <c r="U74" s="85">
        <f t="shared" si="123"/>
        <v>243131.69878912895</v>
      </c>
      <c r="V74" s="85">
        <f t="shared" si="123"/>
        <v>216130.35880138678</v>
      </c>
      <c r="W74" s="85">
        <f t="shared" si="123"/>
        <v>262482.5599998082</v>
      </c>
      <c r="X74" s="69">
        <f t="shared" si="123"/>
        <v>171232.30711613095</v>
      </c>
      <c r="Y74" s="69">
        <f t="shared" si="123"/>
        <v>213003.95210342694</v>
      </c>
      <c r="Z74" s="69">
        <f t="shared" si="123"/>
        <v>451368.39747348917</v>
      </c>
      <c r="AA74" s="69">
        <f t="shared" si="123"/>
        <v>290230.27973882132</v>
      </c>
      <c r="AB74" s="69">
        <f t="shared" si="123"/>
        <v>257262.98532075202</v>
      </c>
      <c r="AC74" s="69">
        <f t="shared" si="123"/>
        <v>165357.85217384421</v>
      </c>
      <c r="AD74" s="69">
        <f t="shared" si="123"/>
        <v>184987.06760109871</v>
      </c>
      <c r="AE74" s="69"/>
      <c r="AF74" s="69">
        <f>AF46+SUM(AF64:AF67)</f>
        <v>2872522.9085200364</v>
      </c>
      <c r="AG74" s="89"/>
      <c r="AH74" s="85">
        <f>AH46+SUM(AH64:AH67)</f>
        <v>177441.41980713455</v>
      </c>
      <c r="AI74" s="85">
        <f t="shared" ref="AI74:AS74" si="124">AI46+SUM(AI64:AI67)</f>
        <v>227905.68135144538</v>
      </c>
      <c r="AJ74" s="85">
        <f t="shared" si="124"/>
        <v>278023.96602523199</v>
      </c>
      <c r="AK74" s="85">
        <f t="shared" si="124"/>
        <v>277882.01461270114</v>
      </c>
      <c r="AL74" s="85">
        <f t="shared" si="124"/>
        <v>300122.75849235628</v>
      </c>
      <c r="AM74" s="69">
        <f t="shared" si="124"/>
        <v>202557.94411537869</v>
      </c>
      <c r="AN74" s="69">
        <f t="shared" si="124"/>
        <v>242142.40528169443</v>
      </c>
      <c r="AO74" s="69">
        <f t="shared" si="124"/>
        <v>563130.41029116092</v>
      </c>
      <c r="AP74" s="69">
        <f t="shared" si="124"/>
        <v>386893.27846435341</v>
      </c>
      <c r="AQ74" s="69">
        <f t="shared" si="124"/>
        <v>352377.82525540714</v>
      </c>
      <c r="AR74" s="69">
        <f t="shared" si="124"/>
        <v>233504.6201519616</v>
      </c>
      <c r="AS74" s="69">
        <f t="shared" si="124"/>
        <v>224187.319250136</v>
      </c>
      <c r="AT74" s="69"/>
      <c r="AU74" s="69">
        <f>AU46+SUM(AU64:AU67)</f>
        <v>3466169.6430989644</v>
      </c>
    </row>
    <row r="75" spans="2:48" hidden="1" outlineLevel="1">
      <c r="B75" s="67" t="s">
        <v>135</v>
      </c>
      <c r="C75" s="52"/>
      <c r="D75" s="501">
        <f t="shared" ref="D75:L75" si="125">D47+D68</f>
        <v>40060</v>
      </c>
      <c r="E75" s="501">
        <f t="shared" si="125"/>
        <v>54675</v>
      </c>
      <c r="F75" s="501">
        <f t="shared" si="125"/>
        <v>45869</v>
      </c>
      <c r="G75" s="501">
        <f t="shared" si="125"/>
        <v>47223</v>
      </c>
      <c r="H75" s="501">
        <f t="shared" si="125"/>
        <v>47144</v>
      </c>
      <c r="I75" s="501">
        <f t="shared" si="125"/>
        <v>40412</v>
      </c>
      <c r="J75" s="501">
        <f t="shared" si="125"/>
        <v>25851</v>
      </c>
      <c r="K75" s="501">
        <f t="shared" si="125"/>
        <v>32942</v>
      </c>
      <c r="L75" s="501">
        <f t="shared" si="125"/>
        <v>40432</v>
      </c>
      <c r="M75" s="69">
        <f t="shared" ref="M75:O76" si="126">M47+M68</f>
        <v>61465</v>
      </c>
      <c r="N75" s="69">
        <f t="shared" si="126"/>
        <v>63728</v>
      </c>
      <c r="O75" s="69">
        <f t="shared" si="126"/>
        <v>49302</v>
      </c>
      <c r="P75" s="69"/>
      <c r="Q75" s="69">
        <f>Q47+Q68</f>
        <v>549103</v>
      </c>
      <c r="S75" s="85">
        <f t="shared" ref="S75:AD75" ca="1" si="127">S47+S68</f>
        <v>29668.023173625785</v>
      </c>
      <c r="T75" s="85">
        <f t="shared" ca="1" si="127"/>
        <v>40461.020215427779</v>
      </c>
      <c r="U75" s="85">
        <f t="shared" ca="1" si="127"/>
        <v>40782.89164136989</v>
      </c>
      <c r="V75" s="85">
        <f t="shared" ca="1" si="127"/>
        <v>39755.141351110746</v>
      </c>
      <c r="W75" s="85">
        <f t="shared" ca="1" si="127"/>
        <v>38592.002083673411</v>
      </c>
      <c r="X75" s="69">
        <f t="shared" ca="1" si="127"/>
        <v>49373.425186765584</v>
      </c>
      <c r="Y75" s="69">
        <f t="shared" ca="1" si="127"/>
        <v>39451.677160156127</v>
      </c>
      <c r="Z75" s="69">
        <f t="shared" ca="1" si="127"/>
        <v>43483.858960037454</v>
      </c>
      <c r="AA75" s="69">
        <f t="shared" ca="1" si="127"/>
        <v>51240.229631057126</v>
      </c>
      <c r="AB75" s="69">
        <f t="shared" ca="1" si="127"/>
        <v>54831.097128652997</v>
      </c>
      <c r="AC75" s="69">
        <f t="shared" ca="1" si="127"/>
        <v>54748.223829250346</v>
      </c>
      <c r="AD75" s="69">
        <f t="shared" ca="1" si="127"/>
        <v>43453.608568368581</v>
      </c>
      <c r="AE75" s="69"/>
      <c r="AF75" s="69">
        <f ca="1">AF47+AF68</f>
        <v>525841.19892949588</v>
      </c>
      <c r="AG75" s="89"/>
      <c r="AH75" s="85">
        <f t="shared" ref="AH75:AS75" ca="1" si="128">AH47+AH68</f>
        <v>43609.410066781245</v>
      </c>
      <c r="AI75" s="85">
        <f t="shared" ca="1" si="128"/>
        <v>52047.257726745323</v>
      </c>
      <c r="AJ75" s="85">
        <f t="shared" ca="1" si="128"/>
        <v>52086.312427688579</v>
      </c>
      <c r="AK75" s="85">
        <f t="shared" ca="1" si="128"/>
        <v>50799.158804407343</v>
      </c>
      <c r="AL75" s="85">
        <f t="shared" ca="1" si="128"/>
        <v>42668.190358000291</v>
      </c>
      <c r="AM75" s="69">
        <f t="shared" ca="1" si="128"/>
        <v>53373.748379795754</v>
      </c>
      <c r="AN75" s="69">
        <f t="shared" ca="1" si="128"/>
        <v>44005.423764077779</v>
      </c>
      <c r="AO75" s="69">
        <f t="shared" ca="1" si="128"/>
        <v>48462.972359103995</v>
      </c>
      <c r="AP75" s="69">
        <f t="shared" ca="1" si="128"/>
        <v>55426.165552046063</v>
      </c>
      <c r="AQ75" s="69">
        <f t="shared" ca="1" si="128"/>
        <v>59967.082721094208</v>
      </c>
      <c r="AR75" s="69">
        <f t="shared" ca="1" si="128"/>
        <v>61515.021823250383</v>
      </c>
      <c r="AS75" s="69">
        <f t="shared" ca="1" si="128"/>
        <v>53167.257741468005</v>
      </c>
      <c r="AT75" s="69"/>
      <c r="AU75" s="69">
        <f ca="1">AU47+AU68</f>
        <v>617128.00172445888</v>
      </c>
    </row>
    <row r="76" spans="2:48" hidden="1" outlineLevel="1">
      <c r="B76" s="67" t="s">
        <v>136</v>
      </c>
      <c r="C76" s="52"/>
      <c r="D76" s="501">
        <f t="shared" ref="D76:L76" si="129">D48+D69</f>
        <v>7759</v>
      </c>
      <c r="E76" s="501">
        <f t="shared" si="129"/>
        <v>2760</v>
      </c>
      <c r="F76" s="501">
        <f t="shared" si="129"/>
        <v>3444</v>
      </c>
      <c r="G76" s="501">
        <f t="shared" si="129"/>
        <v>1105</v>
      </c>
      <c r="H76" s="501">
        <f t="shared" si="129"/>
        <v>2884</v>
      </c>
      <c r="I76" s="501">
        <f t="shared" si="129"/>
        <v>2927</v>
      </c>
      <c r="J76" s="501">
        <f t="shared" si="129"/>
        <v>3316</v>
      </c>
      <c r="K76" s="501">
        <f t="shared" si="129"/>
        <v>2377</v>
      </c>
      <c r="L76" s="501">
        <f t="shared" si="129"/>
        <v>1532</v>
      </c>
      <c r="M76" s="69" t="e">
        <f t="shared" si="126"/>
        <v>#VALUE!</v>
      </c>
      <c r="N76" s="69" t="e">
        <f t="shared" si="126"/>
        <v>#VALUE!</v>
      </c>
      <c r="O76" s="69" t="e">
        <f t="shared" si="126"/>
        <v>#VALUE!</v>
      </c>
      <c r="P76" s="69"/>
      <c r="Q76" s="69">
        <f>Q48+Q69</f>
        <v>39866</v>
      </c>
      <c r="S76" s="85">
        <f t="shared" ref="S76:AD76" si="130">S48+S69</f>
        <v>0</v>
      </c>
      <c r="T76" s="85">
        <f t="shared" si="130"/>
        <v>0</v>
      </c>
      <c r="U76" s="85">
        <f t="shared" si="130"/>
        <v>0</v>
      </c>
      <c r="V76" s="85">
        <f t="shared" si="130"/>
        <v>0</v>
      </c>
      <c r="W76" s="85">
        <f t="shared" si="130"/>
        <v>0</v>
      </c>
      <c r="X76" s="69">
        <f t="shared" si="130"/>
        <v>0</v>
      </c>
      <c r="Y76" s="69">
        <f t="shared" si="130"/>
        <v>0</v>
      </c>
      <c r="Z76" s="69">
        <f t="shared" si="130"/>
        <v>0</v>
      </c>
      <c r="AA76" s="69">
        <f t="shared" si="130"/>
        <v>0</v>
      </c>
      <c r="AB76" s="69">
        <f t="shared" si="130"/>
        <v>0</v>
      </c>
      <c r="AC76" s="69">
        <f t="shared" si="130"/>
        <v>0</v>
      </c>
      <c r="AD76" s="69">
        <f t="shared" si="130"/>
        <v>0</v>
      </c>
      <c r="AE76" s="69"/>
      <c r="AF76" s="69">
        <f>AF48+AF69</f>
        <v>0</v>
      </c>
      <c r="AG76" s="89"/>
      <c r="AH76" s="85">
        <f t="shared" ref="AH76:AS76" si="131">AH48+AH69</f>
        <v>0</v>
      </c>
      <c r="AI76" s="85">
        <f t="shared" si="131"/>
        <v>0</v>
      </c>
      <c r="AJ76" s="85">
        <f t="shared" si="131"/>
        <v>0</v>
      </c>
      <c r="AK76" s="85">
        <f t="shared" si="131"/>
        <v>0</v>
      </c>
      <c r="AL76" s="85">
        <f t="shared" si="131"/>
        <v>0</v>
      </c>
      <c r="AM76" s="69">
        <f t="shared" si="131"/>
        <v>0</v>
      </c>
      <c r="AN76" s="69">
        <f t="shared" si="131"/>
        <v>0</v>
      </c>
      <c r="AO76" s="69">
        <f t="shared" si="131"/>
        <v>0</v>
      </c>
      <c r="AP76" s="69">
        <f t="shared" si="131"/>
        <v>0</v>
      </c>
      <c r="AQ76" s="69">
        <f t="shared" si="131"/>
        <v>0</v>
      </c>
      <c r="AR76" s="69">
        <f t="shared" si="131"/>
        <v>0</v>
      </c>
      <c r="AS76" s="69">
        <f t="shared" si="131"/>
        <v>0</v>
      </c>
      <c r="AT76" s="69"/>
      <c r="AU76" s="69">
        <f>AU48+AU69</f>
        <v>0</v>
      </c>
    </row>
    <row r="77" spans="2:48" collapsed="1">
      <c r="B77" s="67" t="s">
        <v>137</v>
      </c>
      <c r="C77" s="52"/>
      <c r="D77" s="501">
        <f t="shared" ref="D77:L77" si="132">D49+D71</f>
        <v>339024</v>
      </c>
      <c r="E77" s="501">
        <f t="shared" si="132"/>
        <v>421767</v>
      </c>
      <c r="F77" s="501">
        <f t="shared" si="132"/>
        <v>215677</v>
      </c>
      <c r="G77" s="501">
        <f t="shared" si="132"/>
        <v>357637</v>
      </c>
      <c r="H77" s="501">
        <f t="shared" si="132"/>
        <v>245501</v>
      </c>
      <c r="I77" s="501">
        <f t="shared" si="132"/>
        <v>415893</v>
      </c>
      <c r="J77" s="501">
        <f t="shared" si="132"/>
        <v>295620</v>
      </c>
      <c r="K77" s="501">
        <f t="shared" si="132"/>
        <v>154074</v>
      </c>
      <c r="L77" s="501">
        <f t="shared" si="132"/>
        <v>610546.5</v>
      </c>
      <c r="M77" s="69">
        <f t="shared" ref="M77:O77" si="133">M49+M71</f>
        <v>783832</v>
      </c>
      <c r="N77" s="69">
        <f t="shared" si="133"/>
        <v>501721</v>
      </c>
      <c r="O77" s="69">
        <f t="shared" si="133"/>
        <v>312815.5</v>
      </c>
      <c r="P77" s="69"/>
      <c r="Q77" s="69">
        <f>Q49+Q71</f>
        <v>4654109</v>
      </c>
      <c r="S77" s="85">
        <f t="shared" ref="S77:AD77" ca="1" si="134">S49+S71</f>
        <v>263782.32406370202</v>
      </c>
      <c r="T77" s="85">
        <f t="shared" ca="1" si="134"/>
        <v>544325.452210919</v>
      </c>
      <c r="U77" s="85">
        <f t="shared" ca="1" si="134"/>
        <v>457041.02095801185</v>
      </c>
      <c r="V77" s="85">
        <f t="shared" ca="1" si="134"/>
        <v>364027.34838993178</v>
      </c>
      <c r="W77" s="85">
        <f t="shared" ca="1" si="134"/>
        <v>389576.71336354071</v>
      </c>
      <c r="X77" s="69">
        <f t="shared" ca="1" si="134"/>
        <v>581172.04606668919</v>
      </c>
      <c r="Y77" s="69">
        <f t="shared" ca="1" si="134"/>
        <v>411923.33267434617</v>
      </c>
      <c r="Z77" s="69">
        <f t="shared" ca="1" si="134"/>
        <v>638211.29629299068</v>
      </c>
      <c r="AA77" s="69">
        <f t="shared" ca="1" si="134"/>
        <v>786887.34577478946</v>
      </c>
      <c r="AB77" s="69">
        <f t="shared" ca="1" si="134"/>
        <v>702718.00818585162</v>
      </c>
      <c r="AC77" s="69">
        <f t="shared" ca="1" si="134"/>
        <v>431463.80958822113</v>
      </c>
      <c r="AD77" s="69">
        <f t="shared" ca="1" si="134"/>
        <v>477361.54516797757</v>
      </c>
      <c r="AE77" s="69"/>
      <c r="AF77" s="69">
        <f ca="1">AF49+AF71</f>
        <v>6048490.2427369719</v>
      </c>
      <c r="AG77" s="531">
        <f ca="1">IFERROR(AF77/Q77-1,0)</f>
        <v>0.29960218867606492</v>
      </c>
      <c r="AH77" s="85">
        <f t="shared" ref="AH77:AS77" ca="1" si="135">AH49+AH71</f>
        <v>514045.45296293334</v>
      </c>
      <c r="AI77" s="85">
        <f t="shared" ca="1" si="135"/>
        <v>751233.40898482758</v>
      </c>
      <c r="AJ77" s="85">
        <f t="shared" ca="1" si="135"/>
        <v>755045.86070519546</v>
      </c>
      <c r="AK77" s="85">
        <f t="shared" ca="1" si="135"/>
        <v>719531.98397882329</v>
      </c>
      <c r="AL77" s="85">
        <f t="shared" ca="1" si="135"/>
        <v>714481.78851760563</v>
      </c>
      <c r="AM77" s="69">
        <f t="shared" ca="1" si="135"/>
        <v>964867.14365861367</v>
      </c>
      <c r="AN77" s="69">
        <f t="shared" ca="1" si="135"/>
        <v>752966.78094350058</v>
      </c>
      <c r="AO77" s="69">
        <f t="shared" ca="1" si="135"/>
        <v>1035125.396263659</v>
      </c>
      <c r="AP77" s="69">
        <f t="shared" ca="1" si="135"/>
        <v>1212495.1094985881</v>
      </c>
      <c r="AQ77" s="69">
        <f t="shared" ca="1" si="135"/>
        <v>1106107.598827275</v>
      </c>
      <c r="AR77" s="69">
        <f t="shared" ca="1" si="135"/>
        <v>788598.37538005435</v>
      </c>
      <c r="AS77" s="69">
        <f t="shared" ca="1" si="135"/>
        <v>808036.44326387625</v>
      </c>
      <c r="AT77" s="69"/>
      <c r="AU77" s="69">
        <f ca="1">AU49+AU71</f>
        <v>10122535.342984958</v>
      </c>
      <c r="AV77" s="531">
        <f ca="1">IFERROR(AU77/AF77-1,0)</f>
        <v>0.67356396997417667</v>
      </c>
    </row>
    <row r="78" spans="2:48">
      <c r="B78" s="52"/>
      <c r="C78" s="52"/>
      <c r="D78" s="70"/>
      <c r="E78" s="70"/>
      <c r="F78" s="70"/>
      <c r="G78" s="70"/>
      <c r="H78" s="70"/>
      <c r="I78" s="70"/>
      <c r="J78" s="70"/>
      <c r="K78" s="70"/>
      <c r="L78" s="70"/>
      <c r="M78" s="52"/>
      <c r="N78" s="52"/>
      <c r="O78" s="52"/>
      <c r="P78" s="52"/>
      <c r="S78" s="10"/>
      <c r="T78" s="10"/>
      <c r="U78" s="10"/>
      <c r="V78" s="10"/>
      <c r="W78" s="10"/>
      <c r="X78" s="52"/>
      <c r="Y78" s="52"/>
      <c r="Z78" s="52"/>
      <c r="AA78" s="52"/>
      <c r="AB78" s="52"/>
      <c r="AC78" s="52"/>
      <c r="AD78" s="52"/>
      <c r="AE78" s="52"/>
      <c r="AG78" s="531"/>
      <c r="AH78" s="10"/>
      <c r="AI78" s="10"/>
      <c r="AJ78" s="10"/>
      <c r="AK78" s="10"/>
      <c r="AL78" s="10"/>
      <c r="AM78" s="52"/>
      <c r="AN78" s="52"/>
      <c r="AO78" s="52"/>
      <c r="AP78" s="52"/>
      <c r="AQ78" s="52"/>
      <c r="AR78" s="52"/>
      <c r="AS78" s="52"/>
      <c r="AT78" s="52"/>
    </row>
    <row r="79" spans="2:48" hidden="1" outlineLevel="1">
      <c r="B79" s="67" t="s">
        <v>138</v>
      </c>
      <c r="C79" s="52"/>
      <c r="D79" s="97">
        <f t="shared" ref="D79:L79" si="136">IFERROR(D73/D7,0)</f>
        <v>0.20214103619840335</v>
      </c>
      <c r="E79" s="97">
        <f t="shared" si="136"/>
        <v>0.30361731107278694</v>
      </c>
      <c r="F79" s="97">
        <f t="shared" si="136"/>
        <v>0.1781618746883829</v>
      </c>
      <c r="G79" s="97">
        <f t="shared" si="136"/>
        <v>0.20559289846751755</v>
      </c>
      <c r="H79" s="97">
        <f t="shared" si="136"/>
        <v>2.1530809825733702E-2</v>
      </c>
      <c r="I79" s="97">
        <f t="shared" si="136"/>
        <v>0.29265308576873617</v>
      </c>
      <c r="J79" s="97">
        <f t="shared" si="136"/>
        <v>0.21555044308111793</v>
      </c>
      <c r="K79" s="97">
        <f t="shared" si="136"/>
        <v>-0.29506241990647625</v>
      </c>
      <c r="L79" s="97">
        <f t="shared" si="136"/>
        <v>0.17714616412313647</v>
      </c>
      <c r="M79" s="91">
        <f t="shared" ref="M79:O81" si="137">IFERROR(M73/M7,0)</f>
        <v>0.29008782383356296</v>
      </c>
      <c r="N79" s="91">
        <f t="shared" si="137"/>
        <v>0.24415980061618467</v>
      </c>
      <c r="O79" s="91">
        <f t="shared" si="137"/>
        <v>0.18536389824111763</v>
      </c>
      <c r="P79" s="91"/>
      <c r="Q79" s="91">
        <f>IFERROR(Q73/Q7,0)</f>
        <v>0.21428729626368442</v>
      </c>
      <c r="S79" s="91">
        <f t="shared" ref="S79:AD79" si="138">IFERROR(S73/S7,0)</f>
        <v>0.19841991880077725</v>
      </c>
      <c r="T79" s="91">
        <f t="shared" si="138"/>
        <v>0.24100478548722812</v>
      </c>
      <c r="U79" s="91">
        <f t="shared" si="138"/>
        <v>0.20698629761759163</v>
      </c>
      <c r="V79" s="91">
        <f t="shared" si="138"/>
        <v>0.19161941759021436</v>
      </c>
      <c r="W79" s="91">
        <f t="shared" si="138"/>
        <v>0.1660286384491208</v>
      </c>
      <c r="X79" s="91">
        <f t="shared" si="138"/>
        <v>0.26881377008602086</v>
      </c>
      <c r="Y79" s="91">
        <f t="shared" si="138"/>
        <v>0.21758992469036417</v>
      </c>
      <c r="Z79" s="91">
        <f t="shared" si="138"/>
        <v>0.20433044183395652</v>
      </c>
      <c r="AA79" s="91">
        <f t="shared" si="138"/>
        <v>0.26711976854076547</v>
      </c>
      <c r="AB79" s="91">
        <f t="shared" si="138"/>
        <v>0.24726163158036088</v>
      </c>
      <c r="AC79" s="91">
        <f t="shared" si="138"/>
        <v>0.24717044976581093</v>
      </c>
      <c r="AD79" s="91">
        <f t="shared" si="138"/>
        <v>0.26203932405888597</v>
      </c>
      <c r="AE79" s="91"/>
      <c r="AF79" s="91">
        <f>IFERROR(AF73/AF7,0)</f>
        <v>0.23550143313362262</v>
      </c>
      <c r="AG79" s="89"/>
      <c r="AH79" s="91">
        <f t="shared" ref="AH79:AS79" si="139">IFERROR(AH73/AH7,0)</f>
        <v>0.28054845498633985</v>
      </c>
      <c r="AI79" s="91">
        <f t="shared" si="139"/>
        <v>0.27465848034356449</v>
      </c>
      <c r="AJ79" s="91">
        <f t="shared" si="139"/>
        <v>0.27365226210684052</v>
      </c>
      <c r="AK79" s="91">
        <f t="shared" si="139"/>
        <v>0.29906523817515596</v>
      </c>
      <c r="AL79" s="91">
        <f t="shared" si="139"/>
        <v>0.28275007906985211</v>
      </c>
      <c r="AM79" s="91">
        <f t="shared" si="139"/>
        <v>0.30472494685831991</v>
      </c>
      <c r="AN79" s="91">
        <f t="shared" si="139"/>
        <v>0.32155082888426995</v>
      </c>
      <c r="AO79" s="91">
        <f t="shared" si="139"/>
        <v>0.29386791769165327</v>
      </c>
      <c r="AP79" s="91">
        <f t="shared" si="139"/>
        <v>0.29633651151375429</v>
      </c>
      <c r="AQ79" s="91">
        <f t="shared" si="139"/>
        <v>0.28271524909211471</v>
      </c>
      <c r="AR79" s="91">
        <f t="shared" si="139"/>
        <v>0.31165942269209101</v>
      </c>
      <c r="AS79" s="91">
        <f t="shared" si="139"/>
        <v>0.30956418130090729</v>
      </c>
      <c r="AT79" s="91"/>
      <c r="AU79" s="91">
        <f>IFERROR(AU73/AU7,0)</f>
        <v>0.29447756996861862</v>
      </c>
    </row>
    <row r="80" spans="2:48" hidden="1" outlineLevel="1">
      <c r="B80" s="67" t="s">
        <v>139</v>
      </c>
      <c r="C80" s="52"/>
      <c r="D80" s="97">
        <f t="shared" ref="D80:L80" si="140">IFERROR(D74/D8,0)</f>
        <v>0.4088110406591654</v>
      </c>
      <c r="E80" s="97">
        <f t="shared" si="140"/>
        <v>0.43547819903176271</v>
      </c>
      <c r="F80" s="97">
        <f t="shared" si="140"/>
        <v>0.26496606987910992</v>
      </c>
      <c r="G80" s="97">
        <f t="shared" si="140"/>
        <v>0.43651441373925393</v>
      </c>
      <c r="H80" s="97">
        <f t="shared" si="140"/>
        <v>0.36800020277634615</v>
      </c>
      <c r="I80" s="97">
        <f t="shared" si="140"/>
        <v>0.37923847312187775</v>
      </c>
      <c r="J80" s="97">
        <f t="shared" si="140"/>
        <v>0.3806426375065956</v>
      </c>
      <c r="K80" s="97">
        <f t="shared" si="140"/>
        <v>0.42226449608176636</v>
      </c>
      <c r="L80" s="97">
        <f t="shared" si="140"/>
        <v>0.44329463162547172</v>
      </c>
      <c r="M80" s="91">
        <f t="shared" si="137"/>
        <v>0.36831152183438959</v>
      </c>
      <c r="N80" s="91">
        <f t="shared" si="137"/>
        <v>0.40726554762028877</v>
      </c>
      <c r="O80" s="91">
        <f t="shared" si="137"/>
        <v>0.36744184413473235</v>
      </c>
      <c r="P80" s="91"/>
      <c r="Q80" s="91">
        <f>IFERROR(Q74/Q8,0)</f>
        <v>0.39610735495129479</v>
      </c>
      <c r="S80" s="91">
        <f t="shared" ref="S80:AD80" si="141">IFERROR(S74/S8,0)</f>
        <v>0.31721502980472371</v>
      </c>
      <c r="T80" s="91">
        <f t="shared" si="141"/>
        <v>0.38929443724812629</v>
      </c>
      <c r="U80" s="91">
        <f t="shared" si="141"/>
        <v>0.43406997926568436</v>
      </c>
      <c r="V80" s="91">
        <f t="shared" si="141"/>
        <v>0.36700091677109264</v>
      </c>
      <c r="W80" s="91">
        <f t="shared" si="141"/>
        <v>0.40280483142447898</v>
      </c>
      <c r="X80" s="91">
        <f t="shared" si="141"/>
        <v>0.39059542083911364</v>
      </c>
      <c r="Y80" s="91">
        <f t="shared" si="141"/>
        <v>0.37641885903322597</v>
      </c>
      <c r="Z80" s="91">
        <f t="shared" si="141"/>
        <v>0.39660150093896157</v>
      </c>
      <c r="AA80" s="91">
        <f t="shared" si="141"/>
        <v>0.35953285819132047</v>
      </c>
      <c r="AB80" s="91">
        <f t="shared" si="141"/>
        <v>0.39005183054155224</v>
      </c>
      <c r="AC80" s="91">
        <f t="shared" si="141"/>
        <v>0.33880845224128714</v>
      </c>
      <c r="AD80" s="91">
        <f t="shared" si="141"/>
        <v>0.35941385836579293</v>
      </c>
      <c r="AE80" s="91"/>
      <c r="AF80" s="91">
        <f>IFERROR(AF74/AF8,0)</f>
        <v>0.37957180167487747</v>
      </c>
      <c r="AG80" s="89"/>
      <c r="AH80" s="91">
        <f t="shared" ref="AH80:AS80" si="142">IFERROR(AH74/AH8,0)</f>
        <v>0.32240460085468303</v>
      </c>
      <c r="AI80" s="91">
        <f t="shared" si="142"/>
        <v>0.36555873814184958</v>
      </c>
      <c r="AJ80" s="91">
        <f t="shared" si="142"/>
        <v>0.39260989088212472</v>
      </c>
      <c r="AK80" s="91">
        <f t="shared" si="142"/>
        <v>0.37158073108129419</v>
      </c>
      <c r="AL80" s="91">
        <f t="shared" si="142"/>
        <v>0.38385220986920371</v>
      </c>
      <c r="AM80" s="91">
        <f t="shared" si="142"/>
        <v>0.37557258456491682</v>
      </c>
      <c r="AN80" s="91">
        <f t="shared" si="142"/>
        <v>0.3534443483402257</v>
      </c>
      <c r="AO80" s="91">
        <f t="shared" si="142"/>
        <v>0.38924716361978146</v>
      </c>
      <c r="AP80" s="91">
        <f t="shared" si="142"/>
        <v>0.37015916675450128</v>
      </c>
      <c r="AQ80" s="91">
        <f t="shared" si="142"/>
        <v>0.40371034772131675</v>
      </c>
      <c r="AR80" s="91">
        <f t="shared" si="142"/>
        <v>0.35494908346151288</v>
      </c>
      <c r="AS80" s="91">
        <f t="shared" si="142"/>
        <v>0.35799486298362165</v>
      </c>
      <c r="AT80" s="91"/>
      <c r="AU80" s="91">
        <f>IFERROR(AU74/AU8,0)</f>
        <v>0.37331067981831051</v>
      </c>
    </row>
    <row r="81" spans="2:50" hidden="1" outlineLevel="1">
      <c r="B81" s="67" t="s">
        <v>140</v>
      </c>
      <c r="C81" s="52"/>
      <c r="D81" s="97">
        <f t="shared" ref="D81:L81" si="143">IFERROR(D75/D9,0)</f>
        <v>0.22757613802271218</v>
      </c>
      <c r="E81" s="97">
        <f t="shared" si="143"/>
        <v>0.22650068354115746</v>
      </c>
      <c r="F81" s="97">
        <f t="shared" si="143"/>
        <v>0.20451393997761758</v>
      </c>
      <c r="G81" s="97">
        <f t="shared" si="143"/>
        <v>0.20854899397622287</v>
      </c>
      <c r="H81" s="97">
        <f t="shared" si="143"/>
        <v>0.23318412266600716</v>
      </c>
      <c r="I81" s="97">
        <f t="shared" si="143"/>
        <v>0.14982445343289005</v>
      </c>
      <c r="J81" s="97">
        <f t="shared" si="143"/>
        <v>0.11750721607309257</v>
      </c>
      <c r="K81" s="97">
        <f t="shared" si="143"/>
        <v>0.13746854565105807</v>
      </c>
      <c r="L81" s="97">
        <f t="shared" si="143"/>
        <v>0.14106236371565634</v>
      </c>
      <c r="M81" s="91">
        <f t="shared" si="137"/>
        <v>0.1961369336711575</v>
      </c>
      <c r="N81" s="91">
        <f t="shared" si="137"/>
        <v>0.203358244675759</v>
      </c>
      <c r="O81" s="91">
        <f t="shared" si="137"/>
        <v>0.20305517687324187</v>
      </c>
      <c r="P81" s="91"/>
      <c r="Q81" s="91">
        <f>IFERROR(Q75/Q9,0)</f>
        <v>0.18576809664353966</v>
      </c>
      <c r="S81" s="91">
        <f t="shared" ref="S81:AD81" ca="1" si="144">IFERROR(S75/S9,0)</f>
        <v>0.15208038075235228</v>
      </c>
      <c r="T81" s="91">
        <f t="shared" ca="1" si="144"/>
        <v>0.15029873335993441</v>
      </c>
      <c r="U81" s="91">
        <f t="shared" ca="1" si="144"/>
        <v>0.16138064466786531</v>
      </c>
      <c r="V81" s="91">
        <f t="shared" ca="1" si="144"/>
        <v>0.15895886393181921</v>
      </c>
      <c r="W81" s="91">
        <f t="shared" ca="1" si="144"/>
        <v>0.15899583278779356</v>
      </c>
      <c r="X81" s="91">
        <f t="shared" ca="1" si="144"/>
        <v>0.15890628432450005</v>
      </c>
      <c r="Y81" s="91">
        <f t="shared" ca="1" si="144"/>
        <v>0.16088711775195044</v>
      </c>
      <c r="Z81" s="91">
        <f t="shared" ca="1" si="144"/>
        <v>0.16108820382819297</v>
      </c>
      <c r="AA81" s="91">
        <f t="shared" ca="1" si="144"/>
        <v>0.15785617010933839</v>
      </c>
      <c r="AB81" s="91">
        <f t="shared" ca="1" si="144"/>
        <v>0.16023919240318646</v>
      </c>
      <c r="AC81" s="91">
        <f t="shared" ca="1" si="144"/>
        <v>0.16234401497089401</v>
      </c>
      <c r="AD81" s="91">
        <f t="shared" ca="1" si="144"/>
        <v>0.16413647995465308</v>
      </c>
      <c r="AE81" s="91"/>
      <c r="AF81" s="91">
        <f ca="1">IFERROR(AF75/AF9,0)</f>
        <v>0.15913183161313288</v>
      </c>
      <c r="AG81" s="89"/>
      <c r="AH81" s="91">
        <f t="shared" ref="AH81:AS81" ca="1" si="145">IFERROR(AH75/AH9,0)</f>
        <v>0.19376762923507632</v>
      </c>
      <c r="AI81" s="91">
        <f t="shared" ca="1" si="145"/>
        <v>0.18279870468280682</v>
      </c>
      <c r="AJ81" s="91">
        <f t="shared" ca="1" si="145"/>
        <v>0.19448762746945256</v>
      </c>
      <c r="AK81" s="91">
        <f t="shared" ca="1" si="145"/>
        <v>0.19204898343212387</v>
      </c>
      <c r="AL81" s="91">
        <f t="shared" ca="1" si="145"/>
        <v>0.16640683078713694</v>
      </c>
      <c r="AM81" s="91">
        <f t="shared" ca="1" si="145"/>
        <v>0.16008388202204471</v>
      </c>
      <c r="AN81" s="91">
        <f t="shared" ca="1" si="145"/>
        <v>0.16792804337133208</v>
      </c>
      <c r="AO81" s="91">
        <f t="shared" ca="1" si="145"/>
        <v>0.17190712362542188</v>
      </c>
      <c r="AP81" s="91">
        <f t="shared" ca="1" si="145"/>
        <v>0.16338369674527475</v>
      </c>
      <c r="AQ81" s="91">
        <f t="shared" ca="1" si="145"/>
        <v>0.16992225816259079</v>
      </c>
      <c r="AR81" s="91">
        <f t="shared" ca="1" si="145"/>
        <v>0.177349750324272</v>
      </c>
      <c r="AS81" s="91">
        <f t="shared" ca="1" si="145"/>
        <v>0.18428195151120172</v>
      </c>
      <c r="AT81" s="91"/>
      <c r="AU81" s="91">
        <f ca="1">IFERROR(AU75/AU9,0)</f>
        <v>0.17615076881382144</v>
      </c>
    </row>
    <row r="82" spans="2:50" hidden="1" outlineLevel="1">
      <c r="B82" s="67" t="s">
        <v>141</v>
      </c>
      <c r="C82" s="52"/>
      <c r="D82" s="97">
        <f t="shared" ref="D82:L82" si="146">IFERROR(D76/D10,0)</f>
        <v>0.5694260971671804</v>
      </c>
      <c r="E82" s="97">
        <f t="shared" si="146"/>
        <v>0.34795763993948564</v>
      </c>
      <c r="F82" s="97">
        <f t="shared" si="146"/>
        <v>0.3614609571788413</v>
      </c>
      <c r="G82" s="97">
        <f t="shared" si="146"/>
        <v>0.1694265562710825</v>
      </c>
      <c r="H82" s="97">
        <f t="shared" si="146"/>
        <v>0.31702759151368581</v>
      </c>
      <c r="I82" s="97">
        <f t="shared" si="146"/>
        <v>0.41988236981781668</v>
      </c>
      <c r="J82" s="97">
        <f t="shared" si="146"/>
        <v>0.5205651491365777</v>
      </c>
      <c r="K82" s="97">
        <f t="shared" si="146"/>
        <v>0.5428179949760219</v>
      </c>
      <c r="L82" s="97">
        <f t="shared" si="146"/>
        <v>0.70114416475972541</v>
      </c>
      <c r="M82" s="91">
        <f t="shared" ref="M82:O82" si="147">IFERROR(M76/M10,0)</f>
        <v>0</v>
      </c>
      <c r="N82" s="91">
        <f t="shared" si="147"/>
        <v>0</v>
      </c>
      <c r="O82" s="91">
        <f t="shared" si="147"/>
        <v>0</v>
      </c>
      <c r="P82" s="91"/>
      <c r="Q82" s="91">
        <f>IFERROR(Q76/Q10,0)</f>
        <v>0.44358643403952286</v>
      </c>
      <c r="S82" s="91">
        <f t="shared" ref="S82:AD82" si="148">IFERROR(S76/S10,0)</f>
        <v>0</v>
      </c>
      <c r="T82" s="91">
        <f t="shared" si="148"/>
        <v>0</v>
      </c>
      <c r="U82" s="91">
        <f t="shared" si="148"/>
        <v>0</v>
      </c>
      <c r="V82" s="91">
        <f t="shared" si="148"/>
        <v>0</v>
      </c>
      <c r="W82" s="91">
        <f t="shared" si="148"/>
        <v>0</v>
      </c>
      <c r="X82" s="91">
        <f t="shared" si="148"/>
        <v>0</v>
      </c>
      <c r="Y82" s="91">
        <f t="shared" si="148"/>
        <v>0</v>
      </c>
      <c r="Z82" s="91">
        <f t="shared" si="148"/>
        <v>0</v>
      </c>
      <c r="AA82" s="91">
        <f t="shared" si="148"/>
        <v>0</v>
      </c>
      <c r="AB82" s="91">
        <f t="shared" si="148"/>
        <v>0</v>
      </c>
      <c r="AC82" s="91">
        <f t="shared" si="148"/>
        <v>0</v>
      </c>
      <c r="AD82" s="91">
        <f t="shared" si="148"/>
        <v>0</v>
      </c>
      <c r="AE82" s="91"/>
      <c r="AF82" s="91">
        <f>IFERROR(AF76/AF10,0)</f>
        <v>0</v>
      </c>
      <c r="AG82" s="89"/>
      <c r="AH82" s="91">
        <f t="shared" ref="AH82:AS82" si="149">IFERROR(AH76/AH10,0)</f>
        <v>0</v>
      </c>
      <c r="AI82" s="91">
        <f t="shared" si="149"/>
        <v>0</v>
      </c>
      <c r="AJ82" s="91">
        <f t="shared" si="149"/>
        <v>0</v>
      </c>
      <c r="AK82" s="91">
        <f t="shared" si="149"/>
        <v>0</v>
      </c>
      <c r="AL82" s="91">
        <f t="shared" si="149"/>
        <v>0</v>
      </c>
      <c r="AM82" s="91">
        <f t="shared" si="149"/>
        <v>0</v>
      </c>
      <c r="AN82" s="91">
        <f t="shared" si="149"/>
        <v>0</v>
      </c>
      <c r="AO82" s="91">
        <f t="shared" si="149"/>
        <v>0</v>
      </c>
      <c r="AP82" s="91">
        <f t="shared" si="149"/>
        <v>0</v>
      </c>
      <c r="AQ82" s="91">
        <f t="shared" si="149"/>
        <v>0</v>
      </c>
      <c r="AR82" s="91">
        <f t="shared" si="149"/>
        <v>0</v>
      </c>
      <c r="AS82" s="91">
        <f t="shared" si="149"/>
        <v>0</v>
      </c>
      <c r="AT82" s="91"/>
      <c r="AU82" s="91">
        <f>IFERROR(AU76/AU10,0)</f>
        <v>0</v>
      </c>
    </row>
    <row r="83" spans="2:50" collapsed="1">
      <c r="B83" s="72" t="s">
        <v>142</v>
      </c>
      <c r="C83" s="73"/>
      <c r="D83" s="97">
        <f t="shared" ref="D83:L83" si="150">IFERROR(D77/D12,0)</f>
        <v>0.32072594347297956</v>
      </c>
      <c r="E83" s="97">
        <f t="shared" si="150"/>
        <v>0.30955762383824237</v>
      </c>
      <c r="F83" s="97">
        <f t="shared" si="150"/>
        <v>0.1867548384359411</v>
      </c>
      <c r="G83" s="97">
        <f t="shared" si="150"/>
        <v>0.27326504960821546</v>
      </c>
      <c r="H83" s="97">
        <f t="shared" si="150"/>
        <v>0.2302045952588361</v>
      </c>
      <c r="I83" s="97">
        <f t="shared" si="150"/>
        <v>0.2666298674072678</v>
      </c>
      <c r="J83" s="97">
        <f t="shared" si="150"/>
        <v>0.21458264829045964</v>
      </c>
      <c r="K83" s="97">
        <f t="shared" si="150"/>
        <v>0.15627798847141233</v>
      </c>
      <c r="L83" s="97">
        <f t="shared" si="150"/>
        <v>0.25554699844088441</v>
      </c>
      <c r="M83" s="91">
        <f t="shared" ref="M83:O83" si="151">IFERROR(M77/M12,0)</f>
        <v>0.28814460901534517</v>
      </c>
      <c r="N83" s="91">
        <f t="shared" si="151"/>
        <v>0.28570037509061225</v>
      </c>
      <c r="O83" s="91">
        <f t="shared" si="151"/>
        <v>0.24264706452711376</v>
      </c>
      <c r="P83" s="91"/>
      <c r="Q83" s="91">
        <f>IFERROR(Q77/Q12,0)</f>
        <v>0.25816429625916826</v>
      </c>
      <c r="S83" s="91">
        <f t="shared" ref="S83:AD83" ca="1" si="152">IFERROR(S77/S12,0)</f>
        <v>0.21412030078089078</v>
      </c>
      <c r="T83" s="91">
        <f t="shared" ca="1" si="152"/>
        <v>0.26823336101384876</v>
      </c>
      <c r="U83" s="91">
        <f t="shared" ca="1" si="152"/>
        <v>0.25821099779369433</v>
      </c>
      <c r="V83" s="91">
        <f t="shared" ca="1" si="152"/>
        <v>0.23733210501143087</v>
      </c>
      <c r="W83" s="91">
        <f t="shared" ca="1" si="152"/>
        <v>0.24688155088509309</v>
      </c>
      <c r="X83" s="91">
        <f t="shared" ca="1" si="152"/>
        <v>0.26617501484034911</v>
      </c>
      <c r="Y83" s="91">
        <f t="shared" ca="1" si="152"/>
        <v>0.2483171524881784</v>
      </c>
      <c r="Z83" s="91">
        <f t="shared" ca="1" si="152"/>
        <v>0.28593908144894914</v>
      </c>
      <c r="AA83" s="91">
        <f t="shared" ca="1" si="152"/>
        <v>0.27200506648497974</v>
      </c>
      <c r="AB83" s="91">
        <f t="shared" ca="1" si="152"/>
        <v>0.26194906675624202</v>
      </c>
      <c r="AC83" s="91">
        <f t="shared" ca="1" si="152"/>
        <v>0.24218492677135714</v>
      </c>
      <c r="AD83" s="91">
        <f t="shared" ca="1" si="152"/>
        <v>0.26160032451270626</v>
      </c>
      <c r="AE83" s="91"/>
      <c r="AF83" s="91">
        <f ca="1">IFERROR(AF77/AF12,0)</f>
        <v>0.2584909431106997</v>
      </c>
      <c r="AG83" s="89"/>
      <c r="AH83" s="91">
        <f t="shared" ref="AH83:AR83" ca="1" si="153">IFERROR(AH77/AH12,0)</f>
        <v>0.26928827212459966</v>
      </c>
      <c r="AI83" s="91">
        <f t="shared" ca="1" si="153"/>
        <v>0.27669031316575071</v>
      </c>
      <c r="AJ83" s="91">
        <f t="shared" ca="1" si="153"/>
        <v>0.28816967416731509</v>
      </c>
      <c r="AK83" s="91">
        <f t="shared" ca="1" si="153"/>
        <v>0.29944927364705654</v>
      </c>
      <c r="AL83" s="91">
        <f t="shared" ca="1" si="153"/>
        <v>0.29267012509889734</v>
      </c>
      <c r="AM83" s="91">
        <f t="shared" ca="1" si="153"/>
        <v>0.2940538590772469</v>
      </c>
      <c r="AN83" s="91">
        <f t="shared" ca="1" si="153"/>
        <v>0.30402455416728275</v>
      </c>
      <c r="AO83" s="91">
        <f t="shared" ca="1" si="153"/>
        <v>0.31801719629049618</v>
      </c>
      <c r="AP83" s="91">
        <f t="shared" ca="1" si="153"/>
        <v>0.29807140610395688</v>
      </c>
      <c r="AQ83" s="91">
        <f t="shared" ca="1" si="153"/>
        <v>0.29354419618460753</v>
      </c>
      <c r="AR83" s="91">
        <f t="shared" ca="1" si="153"/>
        <v>0.29550586984995009</v>
      </c>
      <c r="AS83" s="91">
        <f ca="1">IFERROR(AS77/AS12,0)</f>
        <v>0.29819190138386475</v>
      </c>
      <c r="AT83" s="91"/>
      <c r="AU83" s="91">
        <f ca="1">IFERROR(AU77/AU12,0)</f>
        <v>0.29498504280615867</v>
      </c>
    </row>
    <row r="84" spans="2:50">
      <c r="D84" s="53"/>
      <c r="E84" s="53"/>
      <c r="F84" s="53"/>
      <c r="G84" s="53"/>
      <c r="H84" s="53"/>
      <c r="I84" s="53"/>
      <c r="J84" s="53"/>
      <c r="K84" s="53"/>
      <c r="L84" s="53"/>
      <c r="M84" s="91"/>
      <c r="N84" s="91"/>
      <c r="O84" s="91"/>
      <c r="P84" s="91"/>
      <c r="Q84" s="91"/>
      <c r="S84" s="89"/>
      <c r="T84" s="89"/>
      <c r="U84" s="89"/>
      <c r="V84" s="89"/>
      <c r="W84" s="89"/>
      <c r="X84" s="89"/>
      <c r="Y84" s="89"/>
      <c r="Z84" s="89"/>
      <c r="AA84" s="89"/>
      <c r="AG84" s="89"/>
    </row>
    <row r="85" spans="2:50" ht="10.5" customHeight="1">
      <c r="B85" s="51" t="s">
        <v>181</v>
      </c>
      <c r="D85" s="59"/>
      <c r="E85" s="59"/>
      <c r="F85" s="59"/>
      <c r="G85" s="59">
        <v>541.66999999999996</v>
      </c>
      <c r="H85" s="59"/>
      <c r="I85" s="59"/>
      <c r="J85" s="59"/>
      <c r="K85" s="59"/>
      <c r="L85" s="59"/>
      <c r="M85" s="60"/>
      <c r="N85" s="60"/>
      <c r="O85" s="60"/>
      <c r="P85" s="60"/>
      <c r="Q85" s="61">
        <f>SUM(D85:O85)</f>
        <v>541.66999999999996</v>
      </c>
      <c r="S85" s="83"/>
      <c r="T85" s="83"/>
      <c r="U85" s="83"/>
      <c r="V85" s="83"/>
      <c r="W85" s="83"/>
      <c r="X85" s="60"/>
      <c r="Y85" s="60"/>
      <c r="Z85" s="60"/>
      <c r="AA85" s="60"/>
      <c r="AB85" s="60"/>
      <c r="AC85" s="60"/>
      <c r="AD85" s="60"/>
      <c r="AE85" s="60"/>
      <c r="AF85" s="61">
        <f>SUM(S85:AD85)</f>
        <v>0</v>
      </c>
      <c r="AG85" s="89"/>
      <c r="AH85" s="83"/>
      <c r="AI85" s="83"/>
      <c r="AJ85" s="83"/>
      <c r="AK85" s="83"/>
      <c r="AL85" s="83"/>
      <c r="AM85" s="60"/>
      <c r="AN85" s="60"/>
      <c r="AO85" s="60"/>
      <c r="AP85" s="60"/>
      <c r="AQ85" s="60"/>
      <c r="AR85" s="60"/>
      <c r="AS85" s="60"/>
      <c r="AT85" s="60"/>
      <c r="AU85" s="61">
        <f>SUM(AH85:AS85)</f>
        <v>0</v>
      </c>
    </row>
    <row r="86" spans="2:50" ht="10.5" customHeight="1">
      <c r="D86" s="53"/>
      <c r="E86" s="53"/>
      <c r="F86" s="53"/>
      <c r="G86" s="53"/>
      <c r="H86" s="53"/>
      <c r="I86" s="53"/>
      <c r="J86" s="53"/>
      <c r="K86" s="53"/>
      <c r="L86" s="53"/>
      <c r="M86" s="60"/>
      <c r="N86" s="60"/>
      <c r="O86" s="60"/>
      <c r="X86" s="60"/>
      <c r="Y86" s="60"/>
      <c r="Z86" s="60"/>
      <c r="AA86" s="60"/>
      <c r="AB86" s="60"/>
      <c r="AC86" s="60"/>
      <c r="AD86" s="60"/>
      <c r="AG86" s="89"/>
      <c r="AM86" s="60"/>
      <c r="AN86" s="60"/>
      <c r="AO86" s="60"/>
      <c r="AP86" s="60"/>
      <c r="AQ86" s="60"/>
      <c r="AR86" s="60"/>
      <c r="AS86" s="60"/>
    </row>
    <row r="87" spans="2:50" hidden="1" outlineLevel="1">
      <c r="B87" s="58" t="s">
        <v>143</v>
      </c>
      <c r="D87" s="53"/>
      <c r="E87" s="53"/>
      <c r="F87" s="53"/>
      <c r="G87" s="53"/>
      <c r="H87" s="53"/>
      <c r="I87" s="53"/>
      <c r="J87" s="53"/>
      <c r="K87" s="53"/>
      <c r="L87" s="53"/>
      <c r="M87" s="60"/>
      <c r="N87" s="60"/>
      <c r="O87" s="60"/>
      <c r="X87" s="60"/>
      <c r="Y87" s="60"/>
      <c r="Z87" s="60"/>
      <c r="AA87" s="60"/>
      <c r="AB87" s="60"/>
      <c r="AC87" s="60"/>
      <c r="AD87" s="60"/>
      <c r="AG87" s="89"/>
      <c r="AM87" s="60"/>
      <c r="AN87" s="60"/>
      <c r="AO87" s="60"/>
      <c r="AP87" s="60"/>
      <c r="AQ87" s="60"/>
      <c r="AR87" s="60"/>
      <c r="AS87" s="60"/>
    </row>
    <row r="88" spans="2:50" hidden="1" outlineLevel="1">
      <c r="B88" s="58"/>
      <c r="D88" s="53"/>
      <c r="E88" s="53"/>
      <c r="F88" s="53"/>
      <c r="G88" s="53"/>
      <c r="H88" s="53"/>
      <c r="I88" s="53"/>
      <c r="J88" s="53"/>
      <c r="K88" s="53"/>
      <c r="L88" s="53"/>
      <c r="AG88" s="89"/>
    </row>
    <row r="89" spans="2:50" hidden="1" outlineLevel="1">
      <c r="B89" s="51" t="s">
        <v>144</v>
      </c>
      <c r="D89" s="480">
        <v>-192119</v>
      </c>
      <c r="E89" s="480">
        <v>-189982</v>
      </c>
      <c r="F89" s="480">
        <v>-135207</v>
      </c>
      <c r="G89" s="480">
        <v>-154332</v>
      </c>
      <c r="H89" s="480">
        <v>-182518</v>
      </c>
      <c r="I89" s="480">
        <v>-188020</v>
      </c>
      <c r="J89" s="480">
        <v>-198936</v>
      </c>
      <c r="K89" s="480">
        <v>-195720</v>
      </c>
      <c r="L89" s="480">
        <v>-187793</v>
      </c>
      <c r="M89" s="60">
        <v>-177450</v>
      </c>
      <c r="N89" s="60">
        <v>-196390</v>
      </c>
      <c r="O89" s="60">
        <v>-242458</v>
      </c>
      <c r="P89" s="60"/>
      <c r="Q89" s="61">
        <f>SUM(D89:O89)</f>
        <v>-2240925</v>
      </c>
      <c r="R89" s="61"/>
      <c r="S89" s="60">
        <f>Payroll!I44+Payroll!I54</f>
        <v>-260969.31340000001</v>
      </c>
      <c r="T89" s="60">
        <f>Payroll!J44+Payroll!J54</f>
        <v>-265318.10590000002</v>
      </c>
      <c r="U89" s="60">
        <f>Payroll!K44+Payroll!K54</f>
        <v>-254593.1059</v>
      </c>
      <c r="V89" s="60">
        <f>Payroll!L44+Payroll!L54</f>
        <v>-258005.6059</v>
      </c>
      <c r="W89" s="60">
        <f>Payroll!M44+Payroll!M54</f>
        <v>-258005.6059</v>
      </c>
      <c r="X89" s="60">
        <f>Payroll!N44+Payroll!N54</f>
        <v>-258005.6059</v>
      </c>
      <c r="Y89" s="60">
        <f>Payroll!O44+Payroll!O54</f>
        <v>-258005.6059</v>
      </c>
      <c r="Z89" s="60">
        <f>Payroll!P44+Payroll!P54</f>
        <v>-258005.6059</v>
      </c>
      <c r="AA89" s="60">
        <f>Payroll!Q44+Payroll!Q54</f>
        <v>-258005.6059</v>
      </c>
      <c r="AB89" s="60">
        <f>Payroll!R44+Payroll!R54</f>
        <v>-258005.6059</v>
      </c>
      <c r="AC89" s="60">
        <f>Payroll!S44+Payroll!S54</f>
        <v>-258005.6059</v>
      </c>
      <c r="AD89" s="60">
        <f>Payroll!T44+Payroll!T54</f>
        <v>-263855.60590000002</v>
      </c>
      <c r="AE89" s="60"/>
      <c r="AF89" s="61">
        <f>SUM(S89:AD89)</f>
        <v>-3108780.9782999996</v>
      </c>
      <c r="AG89" s="89"/>
      <c r="AH89" s="60">
        <f>Payroll!U44+Payroll!U54</f>
        <v>-263855.60590000002</v>
      </c>
      <c r="AI89" s="60">
        <f>Payroll!V44+Payroll!V54</f>
        <v>-263855.60590000002</v>
      </c>
      <c r="AJ89" s="60">
        <f>Payroll!W44+Payroll!W54</f>
        <v>-263855.60590000002</v>
      </c>
      <c r="AK89" s="60">
        <f>Payroll!X44+Payroll!X54</f>
        <v>-263855.60590000002</v>
      </c>
      <c r="AL89" s="60">
        <f>Payroll!Y44+Payroll!Y54</f>
        <v>-263855.60590000002</v>
      </c>
      <c r="AM89" s="60">
        <f>Payroll!Z44+Payroll!Z54</f>
        <v>-263855.60590000002</v>
      </c>
      <c r="AN89" s="60">
        <f>Payroll!AA44+Payroll!AA54</f>
        <v>-263855.60590000002</v>
      </c>
      <c r="AO89" s="60">
        <f>Payroll!AB44+Payroll!AB54</f>
        <v>-263855.60590000002</v>
      </c>
      <c r="AP89" s="60">
        <f>Payroll!AC44+Payroll!AC54</f>
        <v>-263855.60590000002</v>
      </c>
      <c r="AQ89" s="60">
        <f>Payroll!AD44+Payroll!AD54</f>
        <v>-263855.60590000002</v>
      </c>
      <c r="AR89" s="60">
        <f>Payroll!AE44+Payroll!AE54</f>
        <v>-263855.60590000002</v>
      </c>
      <c r="AS89" s="60">
        <f>Payroll!AF44+Payroll!AF54</f>
        <v>-263855.60590000002</v>
      </c>
      <c r="AT89" s="60"/>
      <c r="AU89" s="61">
        <f>SUM(AH89:AS89)</f>
        <v>-3166267.2707999996</v>
      </c>
      <c r="AV89" s="83">
        <f ca="1">-AU12*12%</f>
        <v>-4117850.2801459138</v>
      </c>
      <c r="AW89" s="83">
        <f>AU89+AU90</f>
        <v>-3564813.7108799997</v>
      </c>
      <c r="AX89" s="83">
        <f ca="1">AV89-AW89</f>
        <v>-553036.56926591415</v>
      </c>
    </row>
    <row r="90" spans="2:50" hidden="1" outlineLevel="1">
      <c r="B90" s="51" t="s">
        <v>145</v>
      </c>
      <c r="D90" s="480">
        <v>-34541</v>
      </c>
      <c r="E90" s="480">
        <v>-37933</v>
      </c>
      <c r="F90" s="480">
        <v>-37285</v>
      </c>
      <c r="G90" s="480">
        <v>-50271</v>
      </c>
      <c r="H90" s="480">
        <v>-50596</v>
      </c>
      <c r="I90" s="480">
        <v>-63410</v>
      </c>
      <c r="J90" s="480">
        <v>-50092</v>
      </c>
      <c r="K90" s="480">
        <v>-64719</v>
      </c>
      <c r="L90" s="480">
        <v>-64140</v>
      </c>
      <c r="M90" s="60">
        <v>-51737</v>
      </c>
      <c r="N90" s="60">
        <v>-49512</v>
      </c>
      <c r="O90" s="60">
        <v>-49512</v>
      </c>
      <c r="P90" s="60"/>
      <c r="Q90" s="61">
        <f t="shared" ref="Q90:Q97" si="154">SUM(D90:O90)</f>
        <v>-603748</v>
      </c>
      <c r="R90" s="61"/>
      <c r="S90" s="60">
        <f>Payroll!I52</f>
        <v>-44144.406730000002</v>
      </c>
      <c r="T90" s="60">
        <f>Payroll!J52</f>
        <v>-33212.20334</v>
      </c>
      <c r="U90" s="60">
        <f>Payroll!K52</f>
        <v>-33212.20334</v>
      </c>
      <c r="V90" s="60">
        <f>Payroll!L52</f>
        <v>-33212.20334</v>
      </c>
      <c r="W90" s="60">
        <f>Payroll!M52</f>
        <v>-33212.20334</v>
      </c>
      <c r="X90" s="60">
        <f>Payroll!N52</f>
        <v>-33212.20334</v>
      </c>
      <c r="Y90" s="60">
        <f>Payroll!O52</f>
        <v>-33212.20334</v>
      </c>
      <c r="Z90" s="60">
        <f>Payroll!P52</f>
        <v>-33212.20334</v>
      </c>
      <c r="AA90" s="60">
        <f>Payroll!Q52</f>
        <v>-33212.20334</v>
      </c>
      <c r="AB90" s="60">
        <f>Payroll!R52</f>
        <v>-33212.20334</v>
      </c>
      <c r="AC90" s="60">
        <f>Payroll!S52</f>
        <v>-33212.20334</v>
      </c>
      <c r="AD90" s="60">
        <f>Payroll!T52</f>
        <v>-33212.20334</v>
      </c>
      <c r="AE90" s="60"/>
      <c r="AF90" s="61">
        <f t="shared" ref="AF90:AF96" si="155">SUM(S90:AD90)</f>
        <v>-409478.64347000007</v>
      </c>
      <c r="AG90" s="89"/>
      <c r="AH90" s="60">
        <f>Payroll!U52</f>
        <v>-33212.20334</v>
      </c>
      <c r="AI90" s="60">
        <f>Payroll!V52</f>
        <v>-33212.20334</v>
      </c>
      <c r="AJ90" s="60">
        <f>Payroll!W52</f>
        <v>-33212.20334</v>
      </c>
      <c r="AK90" s="60">
        <f>Payroll!X52</f>
        <v>-33212.20334</v>
      </c>
      <c r="AL90" s="60">
        <f>Payroll!Y52</f>
        <v>-33212.20334</v>
      </c>
      <c r="AM90" s="60">
        <f>Payroll!Z52</f>
        <v>-33212.20334</v>
      </c>
      <c r="AN90" s="60">
        <f>Payroll!AA52</f>
        <v>-33212.20334</v>
      </c>
      <c r="AO90" s="60">
        <f>Payroll!AB52</f>
        <v>-33212.20334</v>
      </c>
      <c r="AP90" s="60">
        <f>Payroll!AC52</f>
        <v>-33212.20334</v>
      </c>
      <c r="AQ90" s="60">
        <f>Payroll!AD52</f>
        <v>-33212.20334</v>
      </c>
      <c r="AR90" s="60">
        <f>Payroll!AE52</f>
        <v>-33212.20334</v>
      </c>
      <c r="AS90" s="60">
        <f>Payroll!AF52</f>
        <v>-33212.20334</v>
      </c>
      <c r="AT90" s="60"/>
      <c r="AU90" s="61">
        <f t="shared" ref="AU90:AU97" si="156">SUM(AH90:AS90)</f>
        <v>-398546.44008000003</v>
      </c>
      <c r="AX90" s="83">
        <f ca="1">AX89/12</f>
        <v>-46086.380772159515</v>
      </c>
    </row>
    <row r="91" spans="2:50" hidden="1" outlineLevel="1">
      <c r="B91" s="51" t="s">
        <v>146</v>
      </c>
      <c r="D91" s="480">
        <v>-63113</v>
      </c>
      <c r="E91" s="480">
        <v>-44366</v>
      </c>
      <c r="F91" s="480">
        <v>-44019</v>
      </c>
      <c r="G91" s="480">
        <v>-59528</v>
      </c>
      <c r="H91" s="480">
        <v>-45635</v>
      </c>
      <c r="I91" s="480">
        <v>-31238</v>
      </c>
      <c r="J91" s="480">
        <v>-21625</v>
      </c>
      <c r="K91" s="480">
        <v>-38693</v>
      </c>
      <c r="L91" s="480">
        <v>-32719</v>
      </c>
      <c r="M91" s="60">
        <v>-31866</v>
      </c>
      <c r="N91" s="60">
        <v>-31866</v>
      </c>
      <c r="O91" s="60">
        <v>-31866</v>
      </c>
      <c r="P91" s="60"/>
      <c r="Q91" s="61">
        <f t="shared" si="154"/>
        <v>-476534</v>
      </c>
      <c r="R91" s="61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1">
        <f t="shared" si="155"/>
        <v>0</v>
      </c>
      <c r="AG91" s="89"/>
      <c r="AH91" s="60">
        <f ca="1">AX90</f>
        <v>-46086.380772159515</v>
      </c>
      <c r="AI91" s="60">
        <f ca="1">AH91</f>
        <v>-46086.380772159515</v>
      </c>
      <c r="AJ91" s="60">
        <f t="shared" ref="AJ91:AS91" ca="1" si="157">AI91</f>
        <v>-46086.380772159515</v>
      </c>
      <c r="AK91" s="60">
        <f t="shared" ca="1" si="157"/>
        <v>-46086.380772159515</v>
      </c>
      <c r="AL91" s="60">
        <f t="shared" ca="1" si="157"/>
        <v>-46086.380772159515</v>
      </c>
      <c r="AM91" s="60">
        <f t="shared" ca="1" si="157"/>
        <v>-46086.380772159515</v>
      </c>
      <c r="AN91" s="60">
        <f t="shared" ca="1" si="157"/>
        <v>-46086.380772159515</v>
      </c>
      <c r="AO91" s="60">
        <f t="shared" ca="1" si="157"/>
        <v>-46086.380772159515</v>
      </c>
      <c r="AP91" s="60">
        <f t="shared" ca="1" si="157"/>
        <v>-46086.380772159515</v>
      </c>
      <c r="AQ91" s="60">
        <f t="shared" ca="1" si="157"/>
        <v>-46086.380772159515</v>
      </c>
      <c r="AR91" s="60">
        <f t="shared" ca="1" si="157"/>
        <v>-46086.380772159515</v>
      </c>
      <c r="AS91" s="60">
        <f t="shared" ca="1" si="157"/>
        <v>-46086.380772159515</v>
      </c>
      <c r="AT91" s="60"/>
      <c r="AU91" s="61">
        <f t="shared" ca="1" si="156"/>
        <v>-553036.56926591403</v>
      </c>
    </row>
    <row r="92" spans="2:50" hidden="1" outlineLevel="1">
      <c r="B92" s="51" t="s">
        <v>147</v>
      </c>
      <c r="D92" s="480">
        <v>-38411</v>
      </c>
      <c r="E92" s="480">
        <v>-39344</v>
      </c>
      <c r="F92" s="480">
        <v>-42509</v>
      </c>
      <c r="G92" s="480">
        <v>-39061</v>
      </c>
      <c r="H92" s="480">
        <v>-42241</v>
      </c>
      <c r="I92" s="480">
        <v>-34717</v>
      </c>
      <c r="J92" s="480">
        <v>-43530</v>
      </c>
      <c r="K92" s="480">
        <v>-40486</v>
      </c>
      <c r="L92" s="480">
        <v>-41455</v>
      </c>
      <c r="M92" s="60">
        <v>-40694</v>
      </c>
      <c r="N92" s="60">
        <v>-36734</v>
      </c>
      <c r="O92" s="60">
        <v>-36750</v>
      </c>
      <c r="P92" s="60"/>
      <c r="Q92" s="61">
        <f t="shared" si="154"/>
        <v>-475932</v>
      </c>
      <c r="R92" s="61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1">
        <f t="shared" si="155"/>
        <v>0</v>
      </c>
      <c r="AG92" s="89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1">
        <f t="shared" si="156"/>
        <v>0</v>
      </c>
    </row>
    <row r="93" spans="2:50" hidden="1" outlineLevel="1">
      <c r="B93" s="51" t="s">
        <v>148</v>
      </c>
      <c r="D93" s="480">
        <v>-1068</v>
      </c>
      <c r="E93" s="480">
        <v>-1070</v>
      </c>
      <c r="F93" s="480">
        <v>-283</v>
      </c>
      <c r="G93" s="480">
        <v>-336</v>
      </c>
      <c r="H93" s="480">
        <v>-368</v>
      </c>
      <c r="I93" s="480">
        <v>-262</v>
      </c>
      <c r="J93" s="480">
        <v>-274</v>
      </c>
      <c r="K93" s="480">
        <v>-284</v>
      </c>
      <c r="L93" s="480">
        <v>-274</v>
      </c>
      <c r="M93" s="60">
        <v>-205</v>
      </c>
      <c r="N93" s="60">
        <v>-222</v>
      </c>
      <c r="O93" s="60">
        <v>-222</v>
      </c>
      <c r="P93" s="60"/>
      <c r="Q93" s="61">
        <f t="shared" si="154"/>
        <v>-4868</v>
      </c>
      <c r="R93" s="61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1">
        <f t="shared" si="155"/>
        <v>0</v>
      </c>
      <c r="AG93" s="89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1">
        <f t="shared" si="156"/>
        <v>0</v>
      </c>
    </row>
    <row r="94" spans="2:50" hidden="1" outlineLevel="1">
      <c r="B94" s="51" t="s">
        <v>149</v>
      </c>
      <c r="D94" s="480">
        <v>-4848</v>
      </c>
      <c r="E94" s="480">
        <v>-4947</v>
      </c>
      <c r="F94" s="480">
        <v>-2361</v>
      </c>
      <c r="G94" s="480">
        <v>-5900</v>
      </c>
      <c r="H94" s="480">
        <v>-5900</v>
      </c>
      <c r="I94" s="480">
        <v>-4946</v>
      </c>
      <c r="J94" s="480">
        <v>-5913</v>
      </c>
      <c r="K94" s="480">
        <v>-6027</v>
      </c>
      <c r="L94" s="480">
        <v>-3327</v>
      </c>
      <c r="M94" s="60">
        <v>-3201</v>
      </c>
      <c r="N94" s="60">
        <v>-3201</v>
      </c>
      <c r="O94" s="60">
        <v>-3201</v>
      </c>
      <c r="P94" s="60"/>
      <c r="Q94" s="61">
        <f t="shared" si="154"/>
        <v>-53772</v>
      </c>
      <c r="R94" s="61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1">
        <f t="shared" si="155"/>
        <v>0</v>
      </c>
      <c r="AG94" s="89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1">
        <f t="shared" si="156"/>
        <v>0</v>
      </c>
    </row>
    <row r="95" spans="2:50" hidden="1" outlineLevel="1">
      <c r="B95" s="51" t="s">
        <v>150</v>
      </c>
      <c r="D95" s="480">
        <v>-1505</v>
      </c>
      <c r="E95" s="480">
        <v>-8470</v>
      </c>
      <c r="F95" s="480">
        <v>-8312</v>
      </c>
      <c r="G95" s="480">
        <v>-8333</v>
      </c>
      <c r="H95" s="480">
        <v>-8307</v>
      </c>
      <c r="I95" s="480">
        <v>-8456</v>
      </c>
      <c r="J95" s="480">
        <v>-8242</v>
      </c>
      <c r="K95" s="480">
        <v>-8845</v>
      </c>
      <c r="L95" s="480">
        <v>-8965</v>
      </c>
      <c r="M95" s="60">
        <v>-10550</v>
      </c>
      <c r="N95" s="60">
        <v>-10550</v>
      </c>
      <c r="O95" s="60">
        <v>-10550</v>
      </c>
      <c r="P95" s="60"/>
      <c r="Q95" s="61">
        <f t="shared" si="154"/>
        <v>-101085</v>
      </c>
      <c r="R95" s="61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1">
        <f t="shared" si="155"/>
        <v>0</v>
      </c>
      <c r="AG95" s="89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1">
        <f t="shared" si="156"/>
        <v>0</v>
      </c>
    </row>
    <row r="96" spans="2:50" hidden="1" outlineLevel="1">
      <c r="B96" s="51" t="s">
        <v>151</v>
      </c>
      <c r="D96" s="480">
        <v>-9327</v>
      </c>
      <c r="E96" s="480">
        <v>-6952</v>
      </c>
      <c r="F96" s="480">
        <v>-5323</v>
      </c>
      <c r="G96" s="480">
        <v>-6429</v>
      </c>
      <c r="H96" s="480">
        <v>-7811</v>
      </c>
      <c r="I96" s="480">
        <v>-8657</v>
      </c>
      <c r="J96" s="480">
        <v>-3431</v>
      </c>
      <c r="K96" s="480">
        <v>-16498</v>
      </c>
      <c r="L96" s="480">
        <v>-5633</v>
      </c>
      <c r="M96" s="60">
        <v>-5000</v>
      </c>
      <c r="N96" s="60">
        <v>-5000</v>
      </c>
      <c r="O96" s="60">
        <v>-5000</v>
      </c>
      <c r="P96" s="60"/>
      <c r="Q96" s="61">
        <f t="shared" si="154"/>
        <v>-85061</v>
      </c>
      <c r="R96" s="61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1">
        <f t="shared" si="155"/>
        <v>0</v>
      </c>
      <c r="AG96" s="89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1">
        <f t="shared" si="156"/>
        <v>0</v>
      </c>
    </row>
    <row r="97" spans="2:48" hidden="1" outlineLevel="1">
      <c r="B97" s="51" t="s">
        <v>143</v>
      </c>
      <c r="D97" s="480">
        <v>-5944</v>
      </c>
      <c r="E97" s="480">
        <v>-2793</v>
      </c>
      <c r="F97" s="480">
        <v>-8554</v>
      </c>
      <c r="G97" s="480">
        <v>-4775</v>
      </c>
      <c r="H97" s="480">
        <v>-11270</v>
      </c>
      <c r="I97" s="480">
        <v>-8268</v>
      </c>
      <c r="J97" s="480">
        <v>-3185</v>
      </c>
      <c r="K97" s="480">
        <v>-4605</v>
      </c>
      <c r="L97" s="480">
        <v>-182</v>
      </c>
      <c r="M97" s="60">
        <v>-366</v>
      </c>
      <c r="N97" s="60">
        <v>-7666</v>
      </c>
      <c r="O97" s="60">
        <v>284</v>
      </c>
      <c r="P97" s="60"/>
      <c r="Q97" s="61">
        <f t="shared" si="154"/>
        <v>-57324</v>
      </c>
      <c r="R97" s="61"/>
      <c r="S97" s="60">
        <f>'OH Matrix'!P3</f>
        <v>-102910.25666666667</v>
      </c>
      <c r="T97" s="60">
        <f>'OH Matrix'!Q3</f>
        <v>-101910.25666666667</v>
      </c>
      <c r="U97" s="60">
        <f>'OH Matrix'!R3</f>
        <v>-102910.25666666667</v>
      </c>
      <c r="V97" s="60">
        <f>'OH Matrix'!S3</f>
        <v>-106910.25666666667</v>
      </c>
      <c r="W97" s="60">
        <f>'OH Matrix'!T3</f>
        <v>-107910.25666666667</v>
      </c>
      <c r="X97" s="60">
        <f>'OH Matrix'!U3</f>
        <v>-106910.25666666667</v>
      </c>
      <c r="Y97" s="60">
        <f>'OH Matrix'!V3</f>
        <v>-107910.25666666667</v>
      </c>
      <c r="Z97" s="60">
        <f>'OH Matrix'!W3</f>
        <v>-156910.25666666665</v>
      </c>
      <c r="AA97" s="60">
        <f>'OH Matrix'!X3</f>
        <v>-107910.25666666667</v>
      </c>
      <c r="AB97" s="60">
        <f>'OH Matrix'!Y3</f>
        <v>-106910.25666666667</v>
      </c>
      <c r="AC97" s="60">
        <f>'OH Matrix'!Z3</f>
        <v>-107910.25666666667</v>
      </c>
      <c r="AD97" s="60">
        <f>'OH Matrix'!AA3</f>
        <v>-106910.25666666667</v>
      </c>
      <c r="AE97" s="60"/>
      <c r="AF97" s="61">
        <f>SUM(S97:AD97)</f>
        <v>-1323923.08</v>
      </c>
      <c r="AG97" s="89"/>
      <c r="AH97" s="60">
        <f>'OH Matrix'!AD3</f>
        <v>-112376.37849999999</v>
      </c>
      <c r="AI97" s="60">
        <f>'OH Matrix'!AE3</f>
        <v>-111226.37849999999</v>
      </c>
      <c r="AJ97" s="60">
        <f>'OH Matrix'!AF3</f>
        <v>-112376.37849999999</v>
      </c>
      <c r="AK97" s="60">
        <f>'OH Matrix'!AG3</f>
        <v>-116976.37849999999</v>
      </c>
      <c r="AL97" s="60">
        <f>'OH Matrix'!AH3</f>
        <v>-118126.37849999999</v>
      </c>
      <c r="AM97" s="60">
        <f>'OH Matrix'!AI3</f>
        <v>-116976.37849999999</v>
      </c>
      <c r="AN97" s="60">
        <f>'OH Matrix'!AJ3</f>
        <v>-118126.37849999999</v>
      </c>
      <c r="AO97" s="60">
        <f>'OH Matrix'!AK3</f>
        <v>-174476.37849999999</v>
      </c>
      <c r="AP97" s="60">
        <f>'OH Matrix'!AL3</f>
        <v>-118126.37849999999</v>
      </c>
      <c r="AQ97" s="60">
        <f>'OH Matrix'!AM3</f>
        <v>-116976.37849999999</v>
      </c>
      <c r="AR97" s="60">
        <f>'OH Matrix'!AN3</f>
        <v>-118126.37849999999</v>
      </c>
      <c r="AS97" s="60">
        <f>'OH Matrix'!AO3</f>
        <v>-116976.37849999999</v>
      </c>
      <c r="AT97" s="60"/>
      <c r="AU97" s="61">
        <f t="shared" si="156"/>
        <v>-1450866.5420000004</v>
      </c>
    </row>
    <row r="98" spans="2:48" hidden="1" outlineLevel="1">
      <c r="D98" s="53"/>
      <c r="E98" s="53"/>
      <c r="F98" s="53"/>
      <c r="G98" s="53"/>
      <c r="H98" s="53"/>
      <c r="I98" s="53"/>
      <c r="J98" s="53"/>
      <c r="K98" s="53"/>
      <c r="L98" s="53"/>
      <c r="AG98" s="89"/>
    </row>
    <row r="99" spans="2:48" collapsed="1">
      <c r="B99" s="65" t="s">
        <v>152</v>
      </c>
      <c r="C99" s="61"/>
      <c r="D99" s="500">
        <f>SUM(D89:D98)</f>
        <v>-350876</v>
      </c>
      <c r="E99" s="500">
        <f>SUM(E89:E98)</f>
        <v>-335857</v>
      </c>
      <c r="F99" s="500">
        <f>SUM(F89:F98)+1</f>
        <v>-283852</v>
      </c>
      <c r="G99" s="500">
        <f t="shared" ref="G99:O99" si="158">SUM(G89:G98)</f>
        <v>-328965</v>
      </c>
      <c r="H99" s="500">
        <f t="shared" si="158"/>
        <v>-354646</v>
      </c>
      <c r="I99" s="500">
        <f t="shared" si="158"/>
        <v>-347974</v>
      </c>
      <c r="J99" s="500">
        <f t="shared" si="158"/>
        <v>-335228</v>
      </c>
      <c r="K99" s="500">
        <f t="shared" si="158"/>
        <v>-375877</v>
      </c>
      <c r="L99" s="500">
        <f t="shared" si="158"/>
        <v>-344488</v>
      </c>
      <c r="M99" s="65">
        <f>SUM(M89:M98)+0.5</f>
        <v>-321068.5</v>
      </c>
      <c r="N99" s="65">
        <f>SUM(N89:N98)+0</f>
        <v>-341141</v>
      </c>
      <c r="O99" s="65">
        <f t="shared" si="158"/>
        <v>-379275</v>
      </c>
      <c r="P99" s="61"/>
      <c r="Q99" s="65">
        <f>SUM(D99:O99)</f>
        <v>-4099247.5</v>
      </c>
      <c r="S99" s="84">
        <f>SUM(S89:S98)</f>
        <v>-408023.97679666668</v>
      </c>
      <c r="T99" s="84">
        <f t="shared" ref="T99:Z99" si="159">SUM(T89:T98)</f>
        <v>-400440.56590666668</v>
      </c>
      <c r="U99" s="84">
        <f t="shared" si="159"/>
        <v>-390715.56590666663</v>
      </c>
      <c r="V99" s="84">
        <f t="shared" si="159"/>
        <v>-398128.06590666663</v>
      </c>
      <c r="W99" s="84">
        <f t="shared" si="159"/>
        <v>-399128.06590666663</v>
      </c>
      <c r="X99" s="84">
        <f t="shared" si="159"/>
        <v>-398128.06590666663</v>
      </c>
      <c r="Y99" s="84">
        <f t="shared" si="159"/>
        <v>-399128.06590666663</v>
      </c>
      <c r="Z99" s="84">
        <f t="shared" si="159"/>
        <v>-448128.06590666663</v>
      </c>
      <c r="AA99" s="65">
        <f>SUM(AA89:AA98)</f>
        <v>-399128.06590666663</v>
      </c>
      <c r="AB99" s="65">
        <f>SUM(AB89:AB98)</f>
        <v>-398128.06590666663</v>
      </c>
      <c r="AC99" s="65">
        <f>SUM(AC89:AC98)</f>
        <v>-399128.06590666663</v>
      </c>
      <c r="AD99" s="65">
        <f>SUM(AD89:AD98)</f>
        <v>-403978.06590666668</v>
      </c>
      <c r="AE99" s="61"/>
      <c r="AF99" s="65">
        <f>SUM(S99:AD99)</f>
        <v>-4842182.7017700002</v>
      </c>
      <c r="AG99" s="89"/>
      <c r="AH99" s="84">
        <f ca="1">SUM(AH89:AH98)</f>
        <v>-455530.56851215952</v>
      </c>
      <c r="AI99" s="84">
        <f t="shared" ref="AI99:AO99" ca="1" si="160">SUM(AI89:AI98)</f>
        <v>-454380.56851215952</v>
      </c>
      <c r="AJ99" s="84">
        <f t="shared" ca="1" si="160"/>
        <v>-455530.56851215952</v>
      </c>
      <c r="AK99" s="84">
        <f t="shared" ca="1" si="160"/>
        <v>-460130.56851215952</v>
      </c>
      <c r="AL99" s="84">
        <f t="shared" ca="1" si="160"/>
        <v>-461280.56851215952</v>
      </c>
      <c r="AM99" s="84">
        <f t="shared" ca="1" si="160"/>
        <v>-460130.56851215952</v>
      </c>
      <c r="AN99" s="84">
        <f t="shared" ca="1" si="160"/>
        <v>-461280.56851215952</v>
      </c>
      <c r="AO99" s="84">
        <f t="shared" ca="1" si="160"/>
        <v>-517630.56851215952</v>
      </c>
      <c r="AP99" s="65">
        <f ca="1">SUM(AP89:AP98)</f>
        <v>-461280.56851215952</v>
      </c>
      <c r="AQ99" s="65">
        <f ca="1">SUM(AQ89:AQ98)</f>
        <v>-460130.56851215952</v>
      </c>
      <c r="AR99" s="65">
        <f ca="1">SUM(AR89:AR98)</f>
        <v>-461280.56851215952</v>
      </c>
      <c r="AS99" s="65">
        <f ca="1">SUM(AS89:AS98)</f>
        <v>-460130.56851215952</v>
      </c>
      <c r="AT99" s="61"/>
      <c r="AU99" s="65">
        <f ca="1">SUM(AH99:AS99)</f>
        <v>-5568716.8221459137</v>
      </c>
    </row>
    <row r="100" spans="2:48">
      <c r="D100" s="76"/>
      <c r="E100" s="76"/>
      <c r="F100" s="76"/>
      <c r="G100" s="76"/>
      <c r="H100" s="76"/>
      <c r="I100" s="76"/>
      <c r="J100" s="76"/>
      <c r="K100" s="76"/>
      <c r="L100" s="76"/>
      <c r="M100" s="77"/>
      <c r="N100" s="77"/>
      <c r="O100" s="77"/>
      <c r="Q100" s="91">
        <f>-Q99/Q12</f>
        <v>0.22738602512954784</v>
      </c>
      <c r="S100" s="89"/>
      <c r="T100" s="89"/>
      <c r="U100" s="89"/>
      <c r="V100" s="89"/>
      <c r="W100" s="89"/>
      <c r="X100" s="77"/>
      <c r="Y100" s="77"/>
      <c r="Z100" s="77"/>
      <c r="AA100" s="77"/>
      <c r="AB100" s="77"/>
      <c r="AC100" s="77"/>
      <c r="AD100" s="77"/>
      <c r="AF100" s="91">
        <f ca="1">-AF99/AF12</f>
        <v>0.20693765271388795</v>
      </c>
      <c r="AG100" s="89"/>
      <c r="AH100" s="89"/>
      <c r="AI100" s="89"/>
      <c r="AJ100" s="89"/>
      <c r="AK100" s="89"/>
      <c r="AL100" s="89"/>
      <c r="AM100" s="77"/>
      <c r="AN100" s="77"/>
      <c r="AO100" s="77"/>
      <c r="AP100" s="77"/>
      <c r="AQ100" s="77"/>
      <c r="AR100" s="77"/>
      <c r="AS100" s="77"/>
      <c r="AU100" s="91">
        <f ca="1">-AU99/AU12</f>
        <v>0.16228030967503526</v>
      </c>
    </row>
    <row r="101" spans="2:48">
      <c r="B101" s="52" t="s">
        <v>153</v>
      </c>
      <c r="C101" s="52"/>
      <c r="D101" s="78">
        <f>D77+D85+D99+1</f>
        <v>-11851</v>
      </c>
      <c r="E101" s="78">
        <f t="shared" ref="E101:O101" si="161">E77+E85+E99</f>
        <v>85910</v>
      </c>
      <c r="F101" s="78">
        <f t="shared" si="161"/>
        <v>-68175</v>
      </c>
      <c r="G101" s="78">
        <f t="shared" si="161"/>
        <v>29213.669999999984</v>
      </c>
      <c r="H101" s="78">
        <f t="shared" si="161"/>
        <v>-109145</v>
      </c>
      <c r="I101" s="78">
        <f t="shared" si="161"/>
        <v>67919</v>
      </c>
      <c r="J101" s="78">
        <f t="shared" si="161"/>
        <v>-39608</v>
      </c>
      <c r="K101" s="78">
        <f t="shared" si="161"/>
        <v>-221803</v>
      </c>
      <c r="L101" s="78">
        <f t="shared" si="161"/>
        <v>266058.5</v>
      </c>
      <c r="M101" s="61">
        <f t="shared" si="161"/>
        <v>462763.5</v>
      </c>
      <c r="N101" s="61">
        <f t="shared" si="161"/>
        <v>160580</v>
      </c>
      <c r="O101" s="61">
        <f t="shared" si="161"/>
        <v>-66459.5</v>
      </c>
      <c r="P101" s="61"/>
      <c r="Q101" s="79">
        <f>Q77+Q85+Q99+1</f>
        <v>555404.16999999993</v>
      </c>
      <c r="R101" s="60"/>
      <c r="S101" s="90">
        <f ca="1">S77+S85+S99</f>
        <v>-144241.65273296466</v>
      </c>
      <c r="T101" s="90">
        <f t="shared" ref="T101:Z101" ca="1" si="162">T77+T85+T99</f>
        <v>143884.88630425232</v>
      </c>
      <c r="U101" s="90">
        <f t="shared" ca="1" si="162"/>
        <v>66325.455051345227</v>
      </c>
      <c r="V101" s="90">
        <f t="shared" ca="1" si="162"/>
        <v>-34100.717516734847</v>
      </c>
      <c r="W101" s="90">
        <f t="shared" ca="1" si="162"/>
        <v>-9551.3525431259186</v>
      </c>
      <c r="X101" s="61">
        <f t="shared" ca="1" si="162"/>
        <v>183043.98016002256</v>
      </c>
      <c r="Y101" s="61">
        <f t="shared" ca="1" si="162"/>
        <v>12795.266767679539</v>
      </c>
      <c r="Z101" s="61">
        <f t="shared" ca="1" si="162"/>
        <v>190083.23038632405</v>
      </c>
      <c r="AA101" s="61">
        <f ca="1">AA77+AA85+AA99</f>
        <v>387759.27986812283</v>
      </c>
      <c r="AB101" s="61">
        <f ca="1">AB77+AB85+AB99</f>
        <v>304589.94227918499</v>
      </c>
      <c r="AC101" s="61">
        <f ca="1">AC77+AC85+AC99</f>
        <v>32335.743681554508</v>
      </c>
      <c r="AD101" s="61">
        <f ca="1">AD77+AD85+AD99</f>
        <v>73383.479261310888</v>
      </c>
      <c r="AE101" s="61"/>
      <c r="AF101" s="79">
        <f ca="1">AF77+AF85+AF99</f>
        <v>1206307.5409669718</v>
      </c>
      <c r="AG101" s="531">
        <f ca="1">IFERROR(AF101/Q101-1,0)</f>
        <v>1.171945415834692</v>
      </c>
      <c r="AH101" s="90">
        <f ca="1">AH77+AH85+AH99</f>
        <v>58514.884450773825</v>
      </c>
      <c r="AI101" s="90">
        <f t="shared" ref="AI101:AO101" ca="1" si="163">AI77+AI85+AI99</f>
        <v>296852.84047266806</v>
      </c>
      <c r="AJ101" s="90">
        <f t="shared" ca="1" si="163"/>
        <v>299515.29219303594</v>
      </c>
      <c r="AK101" s="90">
        <f t="shared" ca="1" si="163"/>
        <v>259401.41546666378</v>
      </c>
      <c r="AL101" s="90">
        <f t="shared" ca="1" si="163"/>
        <v>253201.22000544611</v>
      </c>
      <c r="AM101" s="61">
        <f t="shared" ca="1" si="163"/>
        <v>504736.57514645415</v>
      </c>
      <c r="AN101" s="61">
        <f t="shared" ca="1" si="163"/>
        <v>291686.21243134106</v>
      </c>
      <c r="AO101" s="61">
        <f t="shared" ca="1" si="163"/>
        <v>517494.82775149948</v>
      </c>
      <c r="AP101" s="61">
        <f ca="1">AP77+AP85+AP99</f>
        <v>751214.54098642862</v>
      </c>
      <c r="AQ101" s="61">
        <f ca="1">AQ77+AQ85+AQ99</f>
        <v>645977.03031511547</v>
      </c>
      <c r="AR101" s="61">
        <f ca="1">AR77+AR85+AR99</f>
        <v>327317.80686789483</v>
      </c>
      <c r="AS101" s="61">
        <f ca="1">AS77+AS85+AS99</f>
        <v>347905.87475171674</v>
      </c>
      <c r="AT101" s="61"/>
      <c r="AU101" s="79">
        <f ca="1">AU77+AU85+AU99</f>
        <v>4553818.5208390439</v>
      </c>
      <c r="AV101" s="531">
        <f ca="1">IFERROR(AU101/AF101-1,0)</f>
        <v>2.7750062618266642</v>
      </c>
    </row>
    <row r="102" spans="2:48">
      <c r="B102" s="72" t="s">
        <v>186</v>
      </c>
      <c r="C102" s="73"/>
      <c r="D102" s="97">
        <f t="shared" ref="D102:L102" si="164">IFERROR(D101/D12,0)</f>
        <v>-1.1211368977117492E-2</v>
      </c>
      <c r="E102" s="97">
        <f t="shared" si="164"/>
        <v>6.3053997737953421E-2</v>
      </c>
      <c r="F102" s="97">
        <f t="shared" si="164"/>
        <v>-5.9032771739083376E-2</v>
      </c>
      <c r="G102" s="97">
        <f t="shared" si="164"/>
        <v>2.2321725609453245E-2</v>
      </c>
      <c r="H102" s="97">
        <f t="shared" si="164"/>
        <v>-0.10234451407336699</v>
      </c>
      <c r="I102" s="97">
        <f t="shared" si="164"/>
        <v>4.3543012179657316E-2</v>
      </c>
      <c r="J102" s="97">
        <f t="shared" si="164"/>
        <v>-2.8750387434843802E-2</v>
      </c>
      <c r="K102" s="97">
        <f t="shared" si="164"/>
        <v>-0.22497583418957559</v>
      </c>
      <c r="L102" s="97">
        <f t="shared" si="164"/>
        <v>0.11135998828047339</v>
      </c>
      <c r="M102" s="91">
        <f t="shared" ref="M102:O102" si="165">IFERROR(M101/M12,0)</f>
        <v>0.17011656550647675</v>
      </c>
      <c r="N102" s="91">
        <f t="shared" si="165"/>
        <v>9.1440793253721717E-2</v>
      </c>
      <c r="O102" s="91">
        <f t="shared" si="165"/>
        <v>-5.1551801572939059E-2</v>
      </c>
      <c r="P102" s="91"/>
      <c r="Q102" s="91">
        <f>IFERROR(Q101/Q12,0)</f>
        <v>3.0808373135965968E-2</v>
      </c>
      <c r="S102" s="91">
        <f t="shared" ref="S102:AD102" ca="1" si="166">IFERROR(S101/S12,0)</f>
        <v>-0.11708542707682192</v>
      </c>
      <c r="T102" s="91">
        <f t="shared" ca="1" si="166"/>
        <v>7.0903769970194486E-2</v>
      </c>
      <c r="U102" s="91">
        <f t="shared" ca="1" si="166"/>
        <v>3.7471389093326112E-2</v>
      </c>
      <c r="V102" s="91">
        <f t="shared" ca="1" si="166"/>
        <v>-2.2232382007677465E-2</v>
      </c>
      <c r="W102" s="91">
        <f t="shared" ca="1" si="166"/>
        <v>-6.0528585205675382E-3</v>
      </c>
      <c r="X102" s="91">
        <f t="shared" ca="1" si="166"/>
        <v>8.3833581579282945E-2</v>
      </c>
      <c r="Y102" s="91">
        <f t="shared" ca="1" si="166"/>
        <v>7.7132902097310036E-3</v>
      </c>
      <c r="Z102" s="91">
        <f t="shared" ca="1" si="166"/>
        <v>8.5163369265345013E-2</v>
      </c>
      <c r="AA102" s="91">
        <f t="shared" ca="1" si="166"/>
        <v>0.13403759669923998</v>
      </c>
      <c r="AB102" s="91">
        <f t="shared" ca="1" si="166"/>
        <v>0.11354063819902624</v>
      </c>
      <c r="AC102" s="91">
        <f t="shared" ca="1" si="166"/>
        <v>1.8150374473095653E-2</v>
      </c>
      <c r="AD102" s="91">
        <f t="shared" ca="1" si="166"/>
        <v>4.0215099399921586E-2</v>
      </c>
      <c r="AE102" s="91"/>
      <c r="AF102" s="91">
        <f ca="1">IFERROR(AF101/AF12,0)</f>
        <v>5.1553290396811759E-2</v>
      </c>
      <c r="AG102" s="531"/>
      <c r="AH102" s="91">
        <f t="shared" ref="AH102:AS102" ca="1" si="167">IFERROR(AH101/AH12,0)</f>
        <v>3.0653655307122649E-2</v>
      </c>
      <c r="AI102" s="91">
        <f t="shared" ca="1" si="167"/>
        <v>0.10933526705836913</v>
      </c>
      <c r="AJ102" s="91">
        <f t="shared" ca="1" si="167"/>
        <v>0.11431255854946698</v>
      </c>
      <c r="AK102" s="91">
        <f t="shared" ca="1" si="167"/>
        <v>0.10795568115676281</v>
      </c>
      <c r="AL102" s="91">
        <f t="shared" ca="1" si="167"/>
        <v>0.10371773490257594</v>
      </c>
      <c r="AM102" s="91">
        <f t="shared" ca="1" si="167"/>
        <v>0.15382401475136259</v>
      </c>
      <c r="AN102" s="91">
        <f t="shared" ca="1" si="167"/>
        <v>0.11777381543985531</v>
      </c>
      <c r="AO102" s="91">
        <f t="shared" ca="1" si="167"/>
        <v>0.15898774661543186</v>
      </c>
      <c r="AP102" s="91">
        <f t="shared" ca="1" si="167"/>
        <v>0.18467338363959318</v>
      </c>
      <c r="AQ102" s="91">
        <f t="shared" ca="1" si="167"/>
        <v>0.17143251553340164</v>
      </c>
      <c r="AR102" s="91">
        <f t="shared" ca="1" si="167"/>
        <v>0.12265347768344088</v>
      </c>
      <c r="AS102" s="91">
        <f t="shared" ca="1" si="167"/>
        <v>0.12838865766472912</v>
      </c>
      <c r="AT102" s="91"/>
      <c r="AU102" s="91">
        <f ca="1">IFERROR(AU101/AU12,0)</f>
        <v>0.13270473313112341</v>
      </c>
    </row>
    <row r="104" spans="2:48">
      <c r="AF104" s="7"/>
    </row>
    <row r="105" spans="2:48">
      <c r="AF105" s="7"/>
    </row>
    <row r="106" spans="2:48">
      <c r="AF106" s="7"/>
    </row>
    <row r="107" spans="2:48">
      <c r="AF107" s="61"/>
    </row>
    <row r="108" spans="2:48">
      <c r="AF108" s="61"/>
    </row>
    <row r="111" spans="2:48">
      <c r="AO111" s="52"/>
      <c r="AP111" s="52"/>
      <c r="AQ111" s="52"/>
      <c r="AR111" s="52"/>
      <c r="AS111" s="52"/>
      <c r="AT111" s="52"/>
    </row>
  </sheetData>
  <mergeCells count="3">
    <mergeCell ref="D2:Q2"/>
    <mergeCell ref="S2:AF2"/>
    <mergeCell ref="AH2:AU2"/>
  </mergeCells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7E328-4E89-45D1-B46F-9498C2438AA3}">
  <sheetPr codeName="Sheet5"/>
  <dimension ref="A1"/>
  <sheetViews>
    <sheetView showGridLines="0" workbookViewId="0">
      <selection activeCell="A13" sqref="A13"/>
    </sheetView>
  </sheetViews>
  <sheetFormatPr baseColWidth="10" defaultColWidth="8.83203125"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21F0E-C912-4793-AFA2-80A25E11AF6C}">
  <sheetPr codeName="Sheet6">
    <tabColor theme="4" tint="0.79998168889431442"/>
  </sheetPr>
  <dimension ref="A2:AY103"/>
  <sheetViews>
    <sheetView showGridLines="0" zoomScale="140" zoomScaleNormal="190" workbookViewId="0">
      <pane xSplit="2" ySplit="5" topLeftCell="C15" activePane="bottomRight" state="frozen"/>
      <selection pane="topRight" activeCell="C1" sqref="C1"/>
      <selection pane="bottomLeft" activeCell="A6" sqref="A6"/>
      <selection pane="bottomRight" activeCell="AY12" sqref="AY12"/>
    </sheetView>
  </sheetViews>
  <sheetFormatPr baseColWidth="10" defaultColWidth="8.5" defaultRowHeight="11" outlineLevelRow="2" outlineLevelCol="1"/>
  <cols>
    <col min="1" max="1" width="9.5" style="51" customWidth="1"/>
    <col min="2" max="2" width="22.5" style="51" bestFit="1" customWidth="1"/>
    <col min="3" max="3" width="5" style="51" customWidth="1"/>
    <col min="4" max="4" width="8.5" style="7" hidden="1" customWidth="1" outlineLevel="1"/>
    <col min="5" max="5" width="9.1640625" style="7" hidden="1" customWidth="1" outlineLevel="1"/>
    <col min="6" max="6" width="8.5" style="7" hidden="1" customWidth="1" outlineLevel="1"/>
    <col min="7" max="7" width="9.1640625" style="7" hidden="1" customWidth="1" outlineLevel="1"/>
    <col min="8" max="8" width="8.5" style="7" hidden="1" customWidth="1" outlineLevel="1"/>
    <col min="9" max="11" width="8.83203125" style="51" hidden="1" customWidth="1" outlineLevel="1"/>
    <col min="12" max="12" width="9.5" style="51" hidden="1" customWidth="1" outlineLevel="1" collapsed="1"/>
    <col min="13" max="15" width="8.83203125" style="51" hidden="1" customWidth="1" outlineLevel="1"/>
    <col min="16" max="16" width="0.6640625" style="51" customWidth="1" collapsed="1"/>
    <col min="17" max="17" width="9.5" style="52" bestFit="1" customWidth="1"/>
    <col min="18" max="18" width="2.1640625" style="51" customWidth="1"/>
    <col min="19" max="19" width="8.5" style="7" hidden="1" customWidth="1" outlineLevel="1"/>
    <col min="20" max="22" width="8.83203125" style="7" hidden="1" customWidth="1" outlineLevel="1"/>
    <col min="23" max="23" width="9.1640625" style="7" hidden="1" customWidth="1" outlineLevel="1"/>
    <col min="24" max="30" width="8.83203125" style="51" hidden="1" customWidth="1" outlineLevel="1"/>
    <col min="31" max="31" width="3.1640625" style="51" hidden="1" customWidth="1" outlineLevel="1"/>
    <col min="32" max="32" width="9.5" style="52" bestFit="1" customWidth="1" collapsed="1"/>
    <col min="33" max="33" width="6.33203125" style="7" customWidth="1"/>
    <col min="34" max="35" width="8.83203125" style="7" hidden="1" customWidth="1" outlineLevel="1"/>
    <col min="36" max="36" width="9" style="7" hidden="1" customWidth="1" outlineLevel="1"/>
    <col min="37" max="37" width="8.83203125" style="7" hidden="1" customWidth="1" outlineLevel="1"/>
    <col min="38" max="38" width="9.1640625" style="7" hidden="1" customWidth="1" outlineLevel="1"/>
    <col min="39" max="45" width="8.83203125" style="51" hidden="1" customWidth="1" outlineLevel="1"/>
    <col min="46" max="46" width="3.1640625" style="51" hidden="1" customWidth="1" outlineLevel="1"/>
    <col min="47" max="47" width="9.5" style="52" bestFit="1" customWidth="1" collapsed="1"/>
    <col min="48" max="48" width="6.1640625" style="7" customWidth="1"/>
    <col min="49" max="49" width="12.5" style="7" bestFit="1" customWidth="1"/>
    <col min="50" max="16384" width="8.5" style="7"/>
  </cols>
  <sheetData>
    <row r="2" spans="1:51" ht="16">
      <c r="B2" s="143" t="s">
        <v>187</v>
      </c>
      <c r="D2" s="399" t="s">
        <v>174</v>
      </c>
      <c r="E2" s="399"/>
      <c r="F2" s="399"/>
      <c r="G2" s="399"/>
      <c r="H2" s="399"/>
      <c r="I2" s="399"/>
      <c r="J2" s="399"/>
      <c r="K2" s="399"/>
      <c r="L2" s="399"/>
      <c r="M2" s="399"/>
      <c r="N2" s="399"/>
      <c r="O2" s="399"/>
      <c r="P2" s="399"/>
      <c r="Q2" s="399" t="s">
        <v>174</v>
      </c>
      <c r="S2" s="546" t="s">
        <v>75</v>
      </c>
      <c r="T2" s="546"/>
      <c r="U2" s="546"/>
      <c r="V2" s="546"/>
      <c r="W2" s="546"/>
      <c r="X2" s="546"/>
      <c r="Y2" s="546"/>
      <c r="Z2" s="546"/>
      <c r="AA2" s="546"/>
      <c r="AB2" s="546"/>
      <c r="AC2" s="546"/>
      <c r="AD2" s="546"/>
      <c r="AE2" s="546"/>
      <c r="AF2" s="546"/>
      <c r="AH2" s="546" t="s">
        <v>81</v>
      </c>
      <c r="AI2" s="546"/>
      <c r="AJ2" s="546"/>
      <c r="AK2" s="546"/>
      <c r="AL2" s="546"/>
      <c r="AM2" s="546"/>
      <c r="AN2" s="546"/>
      <c r="AO2" s="546"/>
      <c r="AP2" s="546"/>
      <c r="AQ2" s="546"/>
      <c r="AR2" s="546"/>
      <c r="AS2" s="546"/>
      <c r="AT2" s="546"/>
      <c r="AU2" s="546"/>
    </row>
    <row r="3" spans="1:51">
      <c r="B3" s="52"/>
      <c r="D3" s="54" t="s">
        <v>175</v>
      </c>
      <c r="E3" s="54" t="s">
        <v>175</v>
      </c>
      <c r="F3" s="54" t="s">
        <v>175</v>
      </c>
      <c r="G3" s="54" t="s">
        <v>176</v>
      </c>
      <c r="H3" s="54" t="s">
        <v>176</v>
      </c>
      <c r="I3" s="54" t="s">
        <v>176</v>
      </c>
      <c r="J3" s="54" t="s">
        <v>177</v>
      </c>
      <c r="K3" s="54" t="s">
        <v>177</v>
      </c>
      <c r="L3" s="54" t="s">
        <v>177</v>
      </c>
      <c r="M3" s="55" t="s">
        <v>178</v>
      </c>
      <c r="N3" s="55" t="s">
        <v>178</v>
      </c>
      <c r="O3" s="55" t="s">
        <v>178</v>
      </c>
      <c r="S3" s="80" t="s">
        <v>175</v>
      </c>
      <c r="T3" s="80" t="s">
        <v>175</v>
      </c>
      <c r="U3" s="80" t="s">
        <v>175</v>
      </c>
      <c r="V3" s="80" t="s">
        <v>176</v>
      </c>
      <c r="W3" s="80" t="s">
        <v>176</v>
      </c>
      <c r="X3" s="55" t="s">
        <v>176</v>
      </c>
      <c r="Y3" s="55" t="s">
        <v>177</v>
      </c>
      <c r="Z3" s="55" t="s">
        <v>177</v>
      </c>
      <c r="AA3" s="55" t="s">
        <v>177</v>
      </c>
      <c r="AB3" s="55" t="s">
        <v>178</v>
      </c>
      <c r="AC3" s="55" t="s">
        <v>178</v>
      </c>
      <c r="AD3" s="55" t="s">
        <v>178</v>
      </c>
      <c r="AH3" s="80" t="s">
        <v>175</v>
      </c>
      <c r="AI3" s="80" t="s">
        <v>175</v>
      </c>
      <c r="AJ3" s="80" t="s">
        <v>175</v>
      </c>
      <c r="AK3" s="80" t="s">
        <v>176</v>
      </c>
      <c r="AL3" s="80" t="s">
        <v>176</v>
      </c>
      <c r="AM3" s="55" t="s">
        <v>176</v>
      </c>
      <c r="AN3" s="55" t="s">
        <v>177</v>
      </c>
      <c r="AO3" s="55" t="s">
        <v>177</v>
      </c>
      <c r="AP3" s="55" t="s">
        <v>177</v>
      </c>
      <c r="AQ3" s="55" t="s">
        <v>178</v>
      </c>
      <c r="AR3" s="55" t="s">
        <v>178</v>
      </c>
      <c r="AS3" s="55" t="s">
        <v>178</v>
      </c>
    </row>
    <row r="4" spans="1:51" ht="36">
      <c r="D4" s="56">
        <v>45716</v>
      </c>
      <c r="E4" s="56">
        <v>45747</v>
      </c>
      <c r="F4" s="56">
        <v>45777</v>
      </c>
      <c r="G4" s="56">
        <v>45808</v>
      </c>
      <c r="H4" s="56">
        <v>45838</v>
      </c>
      <c r="I4" s="56">
        <f t="shared" ref="I4:O4" si="0">EOMONTH(H4,1)</f>
        <v>45869</v>
      </c>
      <c r="J4" s="56">
        <f t="shared" si="0"/>
        <v>45900</v>
      </c>
      <c r="K4" s="56">
        <f t="shared" si="0"/>
        <v>45930</v>
      </c>
      <c r="L4" s="56">
        <f t="shared" si="0"/>
        <v>45961</v>
      </c>
      <c r="M4" s="57">
        <f t="shared" si="0"/>
        <v>45991</v>
      </c>
      <c r="N4" s="57">
        <f t="shared" si="0"/>
        <v>46022</v>
      </c>
      <c r="O4" s="57">
        <f t="shared" si="0"/>
        <v>46053</v>
      </c>
      <c r="P4" s="57"/>
      <c r="Q4" s="527" t="s">
        <v>174</v>
      </c>
      <c r="R4" s="528"/>
      <c r="S4" s="529">
        <v>46081</v>
      </c>
      <c r="T4" s="529">
        <f>EOMONTH(S4,1)</f>
        <v>46112</v>
      </c>
      <c r="U4" s="529">
        <f>EOMONTH(T4,1)</f>
        <v>46142</v>
      </c>
      <c r="V4" s="529">
        <f>EOMONTH(U4,1)</f>
        <v>46173</v>
      </c>
      <c r="W4" s="529">
        <f>EOMONTH(V4,1)</f>
        <v>46203</v>
      </c>
      <c r="X4" s="530">
        <f t="shared" ref="X4:AD4" si="1">EOMONTH(W4,1)</f>
        <v>46234</v>
      </c>
      <c r="Y4" s="530">
        <f t="shared" si="1"/>
        <v>46265</v>
      </c>
      <c r="Z4" s="530">
        <f t="shared" si="1"/>
        <v>46295</v>
      </c>
      <c r="AA4" s="530">
        <f t="shared" si="1"/>
        <v>46326</v>
      </c>
      <c r="AB4" s="530">
        <f t="shared" si="1"/>
        <v>46356</v>
      </c>
      <c r="AC4" s="530">
        <f t="shared" si="1"/>
        <v>46387</v>
      </c>
      <c r="AD4" s="530">
        <f t="shared" si="1"/>
        <v>46418</v>
      </c>
      <c r="AE4" s="530"/>
      <c r="AF4" s="527" t="s">
        <v>75</v>
      </c>
      <c r="AG4" s="527" t="s">
        <v>179</v>
      </c>
      <c r="AH4" s="529">
        <v>46446</v>
      </c>
      <c r="AI4" s="529">
        <f>EOMONTH(AH4,1)</f>
        <v>46477</v>
      </c>
      <c r="AJ4" s="529">
        <f>EOMONTH(AI4,1)</f>
        <v>46507</v>
      </c>
      <c r="AK4" s="529">
        <f>EOMONTH(AJ4,1)</f>
        <v>46538</v>
      </c>
      <c r="AL4" s="529">
        <f>EOMONTH(AK4,1)</f>
        <v>46568</v>
      </c>
      <c r="AM4" s="530">
        <f t="shared" ref="AM4:AS4" si="2">EOMONTH(AL4,1)</f>
        <v>46599</v>
      </c>
      <c r="AN4" s="530">
        <f t="shared" si="2"/>
        <v>46630</v>
      </c>
      <c r="AO4" s="530">
        <f t="shared" si="2"/>
        <v>46660</v>
      </c>
      <c r="AP4" s="530">
        <f t="shared" si="2"/>
        <v>46691</v>
      </c>
      <c r="AQ4" s="530">
        <f t="shared" si="2"/>
        <v>46721</v>
      </c>
      <c r="AR4" s="530">
        <f t="shared" si="2"/>
        <v>46752</v>
      </c>
      <c r="AS4" s="530">
        <f t="shared" si="2"/>
        <v>46783</v>
      </c>
      <c r="AT4" s="530"/>
      <c r="AU4" s="527" t="s">
        <v>81</v>
      </c>
      <c r="AV4" s="527" t="s">
        <v>179</v>
      </c>
    </row>
    <row r="5" spans="1:51">
      <c r="B5" s="58" t="s">
        <v>82</v>
      </c>
      <c r="D5" s="46" t="s">
        <v>180</v>
      </c>
      <c r="E5" s="46" t="s">
        <v>180</v>
      </c>
      <c r="F5" s="46" t="s">
        <v>180</v>
      </c>
      <c r="G5" s="46" t="s">
        <v>180</v>
      </c>
      <c r="H5" s="46" t="s">
        <v>180</v>
      </c>
      <c r="I5" s="46" t="s">
        <v>180</v>
      </c>
      <c r="J5" s="46" t="s">
        <v>180</v>
      </c>
      <c r="K5" s="46" t="s">
        <v>180</v>
      </c>
      <c r="L5" s="46" t="s">
        <v>180</v>
      </c>
      <c r="M5" s="48" t="s">
        <v>42</v>
      </c>
      <c r="N5" s="48" t="s">
        <v>42</v>
      </c>
      <c r="O5" s="48" t="s">
        <v>42</v>
      </c>
      <c r="S5" s="82" t="s">
        <v>42</v>
      </c>
      <c r="T5" s="82" t="s">
        <v>42</v>
      </c>
      <c r="U5" s="82" t="s">
        <v>42</v>
      </c>
      <c r="V5" s="82" t="s">
        <v>42</v>
      </c>
      <c r="W5" s="82" t="s">
        <v>42</v>
      </c>
      <c r="X5" s="48" t="s">
        <v>42</v>
      </c>
      <c r="Y5" s="48" t="s">
        <v>42</v>
      </c>
      <c r="Z5" s="48" t="s">
        <v>42</v>
      </c>
      <c r="AA5" s="48" t="s">
        <v>42</v>
      </c>
      <c r="AB5" s="48" t="s">
        <v>42</v>
      </c>
      <c r="AC5" s="48" t="s">
        <v>42</v>
      </c>
      <c r="AD5" s="48" t="s">
        <v>42</v>
      </c>
      <c r="AH5" s="82" t="s">
        <v>42</v>
      </c>
      <c r="AI5" s="82" t="s">
        <v>42</v>
      </c>
      <c r="AJ5" s="82" t="s">
        <v>42</v>
      </c>
      <c r="AK5" s="82" t="s">
        <v>42</v>
      </c>
      <c r="AL5" s="82" t="s">
        <v>42</v>
      </c>
      <c r="AM5" s="48" t="s">
        <v>42</v>
      </c>
      <c r="AN5" s="48" t="s">
        <v>42</v>
      </c>
      <c r="AO5" s="48" t="s">
        <v>42</v>
      </c>
      <c r="AP5" s="48" t="s">
        <v>42</v>
      </c>
      <c r="AQ5" s="48" t="s">
        <v>42</v>
      </c>
      <c r="AR5" s="48" t="s">
        <v>42</v>
      </c>
      <c r="AS5" s="48" t="s">
        <v>42</v>
      </c>
    </row>
    <row r="6" spans="1:51">
      <c r="D6" s="53"/>
      <c r="E6" s="53"/>
      <c r="F6" s="53"/>
      <c r="G6" s="53"/>
      <c r="H6" s="53"/>
      <c r="I6" s="53"/>
      <c r="J6" s="53"/>
      <c r="K6" s="53"/>
      <c r="L6" s="53"/>
      <c r="R6" s="503"/>
    </row>
    <row r="7" spans="1:51">
      <c r="B7" s="51" t="s">
        <v>83</v>
      </c>
      <c r="D7" s="480">
        <v>54928.23</v>
      </c>
      <c r="E7" s="480">
        <v>76639.789999999994</v>
      </c>
      <c r="F7" s="480">
        <v>148792</v>
      </c>
      <c r="G7" s="480">
        <v>275369.51</v>
      </c>
      <c r="H7" s="480">
        <v>78653</v>
      </c>
      <c r="I7" s="480">
        <v>193427.26</v>
      </c>
      <c r="J7" s="480">
        <v>171790.1</v>
      </c>
      <c r="K7" s="480">
        <v>90730.25</v>
      </c>
      <c r="L7" s="480">
        <v>308900</v>
      </c>
      <c r="M7" s="60">
        <v>382666</v>
      </c>
      <c r="N7" s="60">
        <v>240000</v>
      </c>
      <c r="O7" s="60">
        <v>180900</v>
      </c>
      <c r="P7" s="60"/>
      <c r="Q7" s="61">
        <f>SUM(D7:O7)</f>
        <v>2202796.14</v>
      </c>
      <c r="R7" s="504"/>
      <c r="S7" s="60">
        <f>UK!Q25</f>
        <v>220762.33300000001</v>
      </c>
      <c r="T7" s="60">
        <f>UK!R25</f>
        <v>239491.15062</v>
      </c>
      <c r="U7" s="60">
        <f>UK!S25</f>
        <v>251566.53180079997</v>
      </c>
      <c r="V7" s="60">
        <f>UK!T25</f>
        <v>311619.67238787201</v>
      </c>
      <c r="W7" s="60">
        <f>UK!U25</f>
        <v>324661.8884768128</v>
      </c>
      <c r="X7" s="60">
        <f>UK!V25</f>
        <v>386011.23097756109</v>
      </c>
      <c r="Y7" s="60">
        <f>UK!W25</f>
        <v>426347.28787463892</v>
      </c>
      <c r="Z7" s="60">
        <f>UK!X25</f>
        <v>443120.51194684842</v>
      </c>
      <c r="AA7" s="60">
        <f>UK!Y25</f>
        <v>502429.72539095359</v>
      </c>
      <c r="AB7" s="60">
        <f>UK!Z25</f>
        <v>547369.04822479479</v>
      </c>
      <c r="AC7" s="60">
        <f>UK!AA25</f>
        <v>559260.59756704315</v>
      </c>
      <c r="AD7" s="60">
        <f>UK!AB25</f>
        <v>625345.85362404236</v>
      </c>
      <c r="AE7" s="60"/>
      <c r="AF7" s="61">
        <f>SUM(S7:AD7)</f>
        <v>4837985.8318913663</v>
      </c>
      <c r="AG7" s="531">
        <f>IFERROR(AF7/Q7-1,0)</f>
        <v>1.1962930404859735</v>
      </c>
      <c r="AH7" s="60">
        <f>UK!AC25</f>
        <v>661348.01174410689</v>
      </c>
      <c r="AI7" s="60">
        <f>UK!AD25</f>
        <v>693156.03124549822</v>
      </c>
      <c r="AJ7" s="60">
        <f>UK!AE25</f>
        <v>766290.12598773243</v>
      </c>
      <c r="AK7" s="60">
        <f>UK!AF25</f>
        <v>819822.16577358823</v>
      </c>
      <c r="AL7" s="60">
        <f>UK!AG25</f>
        <v>834932.12532212865</v>
      </c>
      <c r="AM7" s="60">
        <f>UK!AH25</f>
        <v>906918.0199939548</v>
      </c>
      <c r="AN7" s="60">
        <f>UK!AI25</f>
        <v>949741.07397108362</v>
      </c>
      <c r="AO7" s="60">
        <f>UK!AJ25</f>
        <v>975743.02450491895</v>
      </c>
      <c r="AP7" s="60">
        <f>UK!AK25</f>
        <v>1051583.4952468423</v>
      </c>
      <c r="AQ7" s="60">
        <f>UK!AL25</f>
        <v>1106326.0385606322</v>
      </c>
      <c r="AR7" s="60">
        <f>UK!AM25</f>
        <v>1135367.7667722784</v>
      </c>
      <c r="AS7" s="60">
        <f>UK!AN25</f>
        <v>1206538.4122107725</v>
      </c>
      <c r="AT7" s="60"/>
      <c r="AU7" s="61">
        <f>SUM(AH7:AS7)</f>
        <v>11107766.291333536</v>
      </c>
      <c r="AV7" s="531">
        <f>IFERROR(AU7/AF7-1,0)</f>
        <v>1.2959484953661091</v>
      </c>
    </row>
    <row r="8" spans="1:51">
      <c r="B8" s="51" t="s">
        <v>84</v>
      </c>
      <c r="D8" s="480">
        <v>311253.27</v>
      </c>
      <c r="E8" s="480">
        <v>230010.34</v>
      </c>
      <c r="F8" s="480">
        <v>218427</v>
      </c>
      <c r="G8" s="480">
        <v>277514.81</v>
      </c>
      <c r="H8" s="480">
        <v>407146</v>
      </c>
      <c r="I8" s="480">
        <v>192153.56</v>
      </c>
      <c r="J8" s="480">
        <v>108514.28</v>
      </c>
      <c r="K8" s="480">
        <v>267649.3</v>
      </c>
      <c r="L8" s="480">
        <v>504081</v>
      </c>
      <c r="M8" s="60">
        <v>408132</v>
      </c>
      <c r="N8" s="60">
        <v>331414</v>
      </c>
      <c r="O8" s="60">
        <v>340527</v>
      </c>
      <c r="P8" s="60"/>
      <c r="Q8" s="61">
        <f>SUM(D8:O8)</f>
        <v>3596822.56</v>
      </c>
      <c r="R8" s="504"/>
      <c r="S8" s="83">
        <f>SUMIF(B2B!C7:C113,"UK",B2B!V7:V113)</f>
        <v>336213.29440000001</v>
      </c>
      <c r="T8" s="83">
        <f>SUMIF(B2B!$B$7:$B$111,"UK",B2B!W7:W111)</f>
        <v>239303.09390000001</v>
      </c>
      <c r="U8" s="83">
        <f>SUMIF(B2B!$B$7:$B$111,"UK",B2B!X7:X111)</f>
        <v>222344.05219999998</v>
      </c>
      <c r="V8" s="83">
        <f>SUMIF(B2B!$B$7:$B$111,"UK",B2B!Y7:Y111)</f>
        <v>230865.43179999999</v>
      </c>
      <c r="W8" s="83">
        <f>SUMIF(B2B!$B$7:$B$111,"UK",B2B!Z7:Z111)</f>
        <v>314599.55399999995</v>
      </c>
      <c r="X8" s="83">
        <f>SUMIF(B2B!$B$7:$B$111,"UK",B2B!AA7:AA111)</f>
        <v>222843.34839999996</v>
      </c>
      <c r="Y8" s="83">
        <f>SUMIF(B2B!$B$7:$B$111,"UK",B2B!AB7:AB111)</f>
        <v>319942.37010000006</v>
      </c>
      <c r="Z8" s="83">
        <f>SUMIF(B2B!$B$7:$B$111,"UK",B2B!AC7:AC111)</f>
        <v>792252.08179999993</v>
      </c>
      <c r="AA8" s="83">
        <f>SUMIF(B2B!$B$7:$B$111,"UK",B2B!AD7:AD111)</f>
        <v>518716.78280000004</v>
      </c>
      <c r="AB8" s="83">
        <f>SUMIF(B2B!$B$7:$B$111,"UK",B2B!AE7:AE111)</f>
        <v>321628.60126171377</v>
      </c>
      <c r="AC8" s="83">
        <f>SUMIF(B2B!$B$7:$B$111,"UK",B2B!AF7:AF111)</f>
        <v>347613.92647152126</v>
      </c>
      <c r="AD8" s="83">
        <f>SUMIF(B2B!$B$7:$B$111,"UK",B2B!AG7:AG111)</f>
        <v>311778.25860821595</v>
      </c>
      <c r="AE8" s="60"/>
      <c r="AF8" s="61">
        <f>SUM(S8:AD8)</f>
        <v>4178100.7957414505</v>
      </c>
      <c r="AG8" s="531">
        <f>IFERROR(AF8/Q8-1,0)</f>
        <v>0.16160881612726841</v>
      </c>
      <c r="AH8" s="83">
        <f>SUMIF(B2B!$B$7:$B$111,"UK",B2B!AK7:AK111)</f>
        <v>391181.08139000006</v>
      </c>
      <c r="AI8" s="83">
        <f>SUMIF(B2B!$B$7:$B$111,"UK",B2B!AL7:AL111)</f>
        <v>302209.72099500004</v>
      </c>
      <c r="AJ8" s="83">
        <f>SUMIF(B2B!$B$7:$B$111,"UK",B2B!AM7:AM111)</f>
        <v>266692.78790999996</v>
      </c>
      <c r="AK8" s="83">
        <f>SUMIF(B2B!$B$7:$B$111,"UK",B2B!AN7:AN111)</f>
        <v>281122.68548999995</v>
      </c>
      <c r="AL8" s="83">
        <f>SUMIF(B2B!$B$7:$B$111,"UK",B2B!AO7:AO111)</f>
        <v>351773.03199999995</v>
      </c>
      <c r="AM8" s="83">
        <f>SUMIF(B2B!$B$7:$B$111,"UK",B2B!AP7:AP111)</f>
        <v>279073.64176999999</v>
      </c>
      <c r="AN8" s="83">
        <f>SUMIF(B2B!$B$7:$B$111,"UK",B2B!AQ7:AQ111)</f>
        <v>374579.36561000004</v>
      </c>
      <c r="AO8" s="83">
        <f>SUMIF(B2B!$B$7:$B$111,"UK",B2B!AR7:AR111)</f>
        <v>975951.26380000007</v>
      </c>
      <c r="AP8" s="83">
        <f>SUMIF(B2B!$B$7:$B$111,"UK",B2B!AS7:AS111)</f>
        <v>598840.83879000007</v>
      </c>
      <c r="AQ8" s="83">
        <f>SUMIF(B2B!$B$7:$B$111,"UK",B2B!AT7:AT111)</f>
        <v>400139.76617789298</v>
      </c>
      <c r="AR8" s="83">
        <f>SUMIF(B2B!$B$7:$B$111,"UK",B2B!AU7:AU111)</f>
        <v>396788.18070109171</v>
      </c>
      <c r="AS8" s="83">
        <f>SUMIF(B2B!$B$7:$B$111,"UK",B2B!AV7:AV111)</f>
        <v>352917.96628542652</v>
      </c>
      <c r="AT8" s="60"/>
      <c r="AU8" s="61">
        <f>SUM(AH8:AS8)</f>
        <v>4971270.330919411</v>
      </c>
      <c r="AV8" s="531">
        <f>IFERROR(AU8/AF8-1,0)</f>
        <v>0.18983973196300163</v>
      </c>
    </row>
    <row r="9" spans="1:51">
      <c r="B9" s="51" t="s">
        <v>85</v>
      </c>
      <c r="D9" s="480">
        <v>132851.41</v>
      </c>
      <c r="E9" s="480">
        <v>189879.67</v>
      </c>
      <c r="F9" s="480">
        <v>172408</v>
      </c>
      <c r="G9" s="480">
        <v>171771.5</v>
      </c>
      <c r="H9" s="480">
        <v>151470</v>
      </c>
      <c r="I9" s="480">
        <v>197588.3</v>
      </c>
      <c r="J9" s="480">
        <v>159904.42000000001</v>
      </c>
      <c r="K9" s="480">
        <v>180021.5</v>
      </c>
      <c r="L9" s="480">
        <v>223883</v>
      </c>
      <c r="M9" s="60">
        <v>229678</v>
      </c>
      <c r="N9" s="60">
        <v>229678</v>
      </c>
      <c r="O9" s="60">
        <v>178001</v>
      </c>
      <c r="P9" s="60"/>
      <c r="Q9" s="61">
        <f>SUM(D9:O9)</f>
        <v>2217134.7999999998</v>
      </c>
      <c r="R9" s="504"/>
      <c r="S9" s="60">
        <f ca="1">SUMIF(Amazon!$A$25:$A$39,"UK",Amazon!Q25:Q37)</f>
        <v>143796.79999999999</v>
      </c>
      <c r="T9" s="60">
        <f ca="1">SUMIF(Amazon!$A$25:$A$39,"UK",Amazon!R25:R37)</f>
        <v>189588</v>
      </c>
      <c r="U9" s="60">
        <f ca="1">SUMIF(Amazon!$A$25:$A$39,"UK",Amazon!S25:S37)</f>
        <v>183477.75</v>
      </c>
      <c r="V9" s="60">
        <f ca="1">SUMIF(Amazon!$A$25:$A$39,"UK",Amazon!T25:T37)</f>
        <v>183546</v>
      </c>
      <c r="W9" s="60">
        <f ca="1">SUMIF(Amazon!$A$25:$A$39,"UK",Amazon!U25:U37)</f>
        <v>180527.25</v>
      </c>
      <c r="X9" s="60">
        <f ca="1">SUMIF(Amazon!$A$25:$A$39,"UK",Amazon!V25:V37)</f>
        <v>224326.5</v>
      </c>
      <c r="Y9" s="60">
        <f ca="1">SUMIF(Amazon!$A$25:$A$39,"UK",Amazon!W25:W37)</f>
        <v>181107.6</v>
      </c>
      <c r="Z9" s="60">
        <f ca="1">SUMIF(Amazon!$A$25:$A$39,"UK",Amazon!X25:X37)</f>
        <v>193931.07</v>
      </c>
      <c r="AA9" s="60">
        <f ca="1">SUMIF(Amazon!$A$25:$A$39,"UK",Amazon!Y25:Y37)</f>
        <v>230104.48</v>
      </c>
      <c r="AB9" s="60">
        <f ca="1">SUMIF(Amazon!$A$25:$A$39,"UK",Amazon!Z25:Z37)</f>
        <v>230908.33</v>
      </c>
      <c r="AC9" s="60">
        <f ca="1">SUMIF(Amazon!$A$25:$A$39,"UK",Amazon!AA25:AA37)</f>
        <v>230655.56999999998</v>
      </c>
      <c r="AD9" s="60">
        <f ca="1">SUMIF(Amazon!$A$25:$A$39,"UK",Amazon!AB25:AB37)</f>
        <v>174093.41999999998</v>
      </c>
      <c r="AE9" s="60"/>
      <c r="AF9" s="61">
        <f ca="1">SUM(S9:AD9)</f>
        <v>2346062.77</v>
      </c>
      <c r="AG9" s="531">
        <f ca="1">IFERROR(AF9/Q9-1,0)</f>
        <v>5.815071325388077E-2</v>
      </c>
      <c r="AH9" s="60">
        <f ca="1">SUMIF(Amazon!$A$25:$A$39,"UK",Amazon!AE25:AE37)</f>
        <v>145234.76799999998</v>
      </c>
      <c r="AI9" s="60">
        <f ca="1">SUMIF(Amazon!$A$25:$A$39,"UK",Amazon!AF25:AF37)</f>
        <v>191483.88</v>
      </c>
      <c r="AJ9" s="60">
        <f ca="1">SUMIF(Amazon!$A$25:$A$39,"UK",Amazon!AG25:AG37)</f>
        <v>185312.5275</v>
      </c>
      <c r="AK9" s="60">
        <f ca="1">SUMIF(Amazon!$A$25:$A$39,"UK",Amazon!AH25:AH37)</f>
        <v>185381.46</v>
      </c>
      <c r="AL9" s="60">
        <f ca="1">SUMIF(Amazon!$A$25:$A$39,"UK",Amazon!AI25:AI37)</f>
        <v>182332.52249999999</v>
      </c>
      <c r="AM9" s="60">
        <f ca="1">SUMIF(Amazon!$A$25:$A$39,"UK",Amazon!AJ25:AJ37)</f>
        <v>226569.76500000001</v>
      </c>
      <c r="AN9" s="60">
        <f ca="1">SUMIF(Amazon!$A$25:$A$39,"UK",Amazon!AK25:AK37)</f>
        <v>182918.67600000001</v>
      </c>
      <c r="AO9" s="60">
        <f ca="1">SUMIF(Amazon!$A$25:$A$39,"UK",Amazon!AL25:AL37)</f>
        <v>195870.38070000001</v>
      </c>
      <c r="AP9" s="60">
        <f ca="1">SUMIF(Amazon!$A$25:$A$39,"UK",Amazon!AM25:AM37)</f>
        <v>232405.52480000001</v>
      </c>
      <c r="AQ9" s="60">
        <f ca="1">SUMIF(Amazon!$A$25:$A$39,"UK",Amazon!AN25:AN37)</f>
        <v>233217.41329999999</v>
      </c>
      <c r="AR9" s="60">
        <f ca="1">SUMIF(Amazon!$A$25:$A$39,"UK",Amazon!AO25:AO37)</f>
        <v>232962.12569999998</v>
      </c>
      <c r="AS9" s="60">
        <f ca="1">SUMIF(Amazon!$A$25:$A$39,"UK",Amazon!AP25:AP37)</f>
        <v>175834.35419999997</v>
      </c>
      <c r="AT9" s="60"/>
      <c r="AU9" s="61">
        <f ca="1">SUM(AH9:AS9)</f>
        <v>2369523.3976999996</v>
      </c>
      <c r="AV9" s="531">
        <f ca="1">IFERROR(AU9/AF9-1,0)</f>
        <v>9.9999999999997868E-3</v>
      </c>
    </row>
    <row r="10" spans="1:51">
      <c r="B10" s="51" t="s">
        <v>86</v>
      </c>
      <c r="D10" s="480">
        <v>13625.62</v>
      </c>
      <c r="E10" s="480">
        <v>7931.69</v>
      </c>
      <c r="F10" s="480">
        <v>9528</v>
      </c>
      <c r="G10" s="480">
        <v>6521.92</v>
      </c>
      <c r="H10" s="480">
        <v>9097</v>
      </c>
      <c r="I10" s="480">
        <v>6970.67</v>
      </c>
      <c r="J10" s="480">
        <v>6369.65</v>
      </c>
      <c r="K10" s="480">
        <v>4379.4399999999996</v>
      </c>
      <c r="L10" s="480">
        <v>2185</v>
      </c>
      <c r="M10" s="60">
        <v>7754</v>
      </c>
      <c r="N10" s="60">
        <v>7754</v>
      </c>
      <c r="O10" s="60">
        <v>7754</v>
      </c>
      <c r="P10" s="60"/>
      <c r="Q10" s="61">
        <f>SUM(D10:O10)</f>
        <v>89870.99</v>
      </c>
      <c r="R10" s="504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60"/>
      <c r="AF10" s="61">
        <f>SUM(S10:AD10)</f>
        <v>0</v>
      </c>
      <c r="AG10" s="89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60"/>
      <c r="AU10" s="61">
        <f>SUM(AH10:AS10)</f>
        <v>0</v>
      </c>
      <c r="AV10" s="89"/>
    </row>
    <row r="11" spans="1:51">
      <c r="B11" s="51" t="s">
        <v>188</v>
      </c>
      <c r="D11" s="480"/>
      <c r="E11" s="480"/>
      <c r="F11" s="480"/>
      <c r="G11" s="59">
        <v>542</v>
      </c>
      <c r="H11" s="480"/>
      <c r="I11" s="480"/>
      <c r="J11" s="480"/>
      <c r="K11" s="480"/>
      <c r="L11" s="480"/>
      <c r="M11" s="60"/>
      <c r="N11" s="60"/>
      <c r="O11" s="60"/>
      <c r="P11" s="60"/>
      <c r="Q11" s="61"/>
      <c r="R11" s="503"/>
      <c r="S11" s="83"/>
      <c r="T11" s="83"/>
      <c r="U11" s="83"/>
      <c r="V11" s="83"/>
      <c r="W11" s="83"/>
      <c r="X11" s="60"/>
      <c r="Y11" s="60"/>
      <c r="Z11" s="60"/>
      <c r="AA11" s="60"/>
      <c r="AB11" s="60"/>
      <c r="AC11" s="60"/>
      <c r="AD11" s="60"/>
      <c r="AE11" s="60"/>
      <c r="AF11" s="61"/>
      <c r="AG11" s="89"/>
      <c r="AH11" s="83"/>
      <c r="AI11" s="83"/>
      <c r="AJ11" s="83"/>
      <c r="AK11" s="83"/>
      <c r="AL11" s="83"/>
      <c r="AM11" s="60"/>
      <c r="AN11" s="60"/>
      <c r="AO11" s="60"/>
      <c r="AP11" s="60"/>
      <c r="AQ11" s="60"/>
      <c r="AR11" s="60"/>
      <c r="AS11" s="60"/>
      <c r="AT11" s="60"/>
      <c r="AU11" s="61"/>
      <c r="AV11" s="89"/>
    </row>
    <row r="12" spans="1:51" s="10" customFormat="1">
      <c r="A12" s="52"/>
      <c r="B12" s="63" t="s">
        <v>87</v>
      </c>
      <c r="C12" s="52"/>
      <c r="D12" s="500">
        <f t="shared" ref="D12:L12" si="3">SUM(D7:D11)</f>
        <v>512658.53</v>
      </c>
      <c r="E12" s="500">
        <f t="shared" si="3"/>
        <v>504461.49000000005</v>
      </c>
      <c r="F12" s="500">
        <f t="shared" si="3"/>
        <v>549155</v>
      </c>
      <c r="G12" s="500">
        <f t="shared" si="3"/>
        <v>731719.74000000011</v>
      </c>
      <c r="H12" s="500">
        <f t="shared" si="3"/>
        <v>646366</v>
      </c>
      <c r="I12" s="500">
        <f t="shared" si="3"/>
        <v>590139.79</v>
      </c>
      <c r="J12" s="500">
        <f t="shared" si="3"/>
        <v>446578.45000000007</v>
      </c>
      <c r="K12" s="500">
        <f t="shared" si="3"/>
        <v>542780.49</v>
      </c>
      <c r="L12" s="500">
        <f t="shared" si="3"/>
        <v>1039049</v>
      </c>
      <c r="M12" s="65">
        <f t="shared" ref="M12:O12" si="4">SUM(M7:M11)</f>
        <v>1028230</v>
      </c>
      <c r="N12" s="65">
        <f t="shared" si="4"/>
        <v>808846</v>
      </c>
      <c r="O12" s="65">
        <f t="shared" si="4"/>
        <v>707182</v>
      </c>
      <c r="P12" s="61"/>
      <c r="Q12" s="65">
        <f>SUM(D12:O12)</f>
        <v>8107166.4900000002</v>
      </c>
      <c r="R12" s="505"/>
      <c r="S12" s="84">
        <f ca="1">SUM(S7:S11)</f>
        <v>700772.42739999993</v>
      </c>
      <c r="T12" s="84">
        <f t="shared" ref="T12:AD12" ca="1" si="5">SUM(T7:T11)</f>
        <v>668382.24451999995</v>
      </c>
      <c r="U12" s="84">
        <f t="shared" ca="1" si="5"/>
        <v>657388.33400079992</v>
      </c>
      <c r="V12" s="84">
        <f t="shared" ca="1" si="5"/>
        <v>726031.10418787203</v>
      </c>
      <c r="W12" s="84">
        <f t="shared" ca="1" si="5"/>
        <v>819788.69247681275</v>
      </c>
      <c r="X12" s="65">
        <f t="shared" ca="1" si="5"/>
        <v>833181.07937756111</v>
      </c>
      <c r="Y12" s="65">
        <f t="shared" ca="1" si="5"/>
        <v>927397.25797463895</v>
      </c>
      <c r="Z12" s="65">
        <f t="shared" ca="1" si="5"/>
        <v>1429303.6637468485</v>
      </c>
      <c r="AA12" s="65">
        <f t="shared" ca="1" si="5"/>
        <v>1251250.9881909536</v>
      </c>
      <c r="AB12" s="65">
        <f t="shared" ca="1" si="5"/>
        <v>1099905.9794865085</v>
      </c>
      <c r="AC12" s="65">
        <f t="shared" ca="1" si="5"/>
        <v>1137530.0940385645</v>
      </c>
      <c r="AD12" s="65">
        <f t="shared" ca="1" si="5"/>
        <v>1111217.5322322582</v>
      </c>
      <c r="AE12" s="61"/>
      <c r="AF12" s="65">
        <f ca="1">SUM(S12:AD12)</f>
        <v>11362149.397632819</v>
      </c>
      <c r="AG12" s="531">
        <f ca="1">IFERROR(AF12/Q12-1,0)</f>
        <v>0.40149451866416741</v>
      </c>
      <c r="AH12" s="84">
        <f ca="1">SUM(AH7:AH11)</f>
        <v>1197763.861134107</v>
      </c>
      <c r="AI12" s="84">
        <f t="shared" ref="AI12:AS12" ca="1" si="6">SUM(AI7:AI11)</f>
        <v>1186849.6322404984</v>
      </c>
      <c r="AJ12" s="84">
        <f t="shared" ca="1" si="6"/>
        <v>1218295.4413977324</v>
      </c>
      <c r="AK12" s="84">
        <f t="shared" ca="1" si="6"/>
        <v>1286326.3112635883</v>
      </c>
      <c r="AL12" s="84">
        <f t="shared" ca="1" si="6"/>
        <v>1369037.6798221285</v>
      </c>
      <c r="AM12" s="65">
        <f t="shared" ca="1" si="6"/>
        <v>1412561.426763955</v>
      </c>
      <c r="AN12" s="65">
        <f t="shared" ca="1" si="6"/>
        <v>1507239.1155810836</v>
      </c>
      <c r="AO12" s="65">
        <f t="shared" ca="1" si="6"/>
        <v>2147564.669004919</v>
      </c>
      <c r="AP12" s="65">
        <f t="shared" ca="1" si="6"/>
        <v>1882829.8588368425</v>
      </c>
      <c r="AQ12" s="65">
        <f t="shared" ca="1" si="6"/>
        <v>1739683.218038525</v>
      </c>
      <c r="AR12" s="65">
        <f t="shared" ca="1" si="6"/>
        <v>1765118.07317337</v>
      </c>
      <c r="AS12" s="65">
        <f t="shared" ca="1" si="6"/>
        <v>1735290.7326961989</v>
      </c>
      <c r="AT12" s="61"/>
      <c r="AU12" s="65">
        <f ca="1">SUM(AH12:AS12)</f>
        <v>18448560.019952949</v>
      </c>
      <c r="AV12" s="531">
        <f ca="1">IFERROR(AU12/AF12-1,0)</f>
        <v>0.62368574592026649</v>
      </c>
      <c r="AW12" s="140"/>
      <c r="AY12" s="140"/>
    </row>
    <row r="13" spans="1:51" hidden="1" outlineLevel="1">
      <c r="D13" s="480"/>
      <c r="E13" s="480"/>
      <c r="F13" s="480"/>
      <c r="G13" s="480"/>
      <c r="H13" s="480"/>
      <c r="I13" s="480"/>
      <c r="J13" s="480"/>
      <c r="K13" s="480"/>
      <c r="L13" s="480"/>
      <c r="M13" s="60"/>
      <c r="N13" s="60"/>
      <c r="O13" s="60"/>
      <c r="P13" s="60"/>
      <c r="Q13" s="61"/>
      <c r="R13" s="506"/>
      <c r="S13" s="83"/>
      <c r="T13" s="83"/>
      <c r="U13" s="83"/>
      <c r="V13" s="83"/>
      <c r="W13" s="83"/>
      <c r="X13" s="60"/>
      <c r="Y13" s="60"/>
      <c r="Z13" s="60"/>
      <c r="AA13" s="60"/>
      <c r="AB13" s="60"/>
      <c r="AC13" s="60"/>
      <c r="AD13" s="60"/>
      <c r="AE13" s="60"/>
      <c r="AF13" s="61"/>
      <c r="AG13" s="89"/>
      <c r="AH13" s="83"/>
      <c r="AI13" s="83"/>
      <c r="AJ13" s="83"/>
      <c r="AK13" s="83"/>
      <c r="AL13" s="83"/>
      <c r="AM13" s="60"/>
      <c r="AN13" s="60"/>
      <c r="AO13" s="60"/>
      <c r="AP13" s="60"/>
      <c r="AQ13" s="60"/>
      <c r="AR13" s="60"/>
      <c r="AS13" s="60"/>
      <c r="AT13" s="60"/>
      <c r="AU13" s="61"/>
      <c r="AV13" s="89"/>
    </row>
    <row r="14" spans="1:51" hidden="1" outlineLevel="1">
      <c r="B14" s="58" t="s">
        <v>88</v>
      </c>
      <c r="D14" s="480"/>
      <c r="E14" s="480"/>
      <c r="F14" s="480"/>
      <c r="G14" s="480"/>
      <c r="H14" s="480"/>
      <c r="I14" s="480"/>
      <c r="J14" s="480"/>
      <c r="K14" s="480"/>
      <c r="L14" s="480"/>
      <c r="M14" s="60"/>
      <c r="N14" s="60"/>
      <c r="O14" s="60"/>
      <c r="P14" s="60"/>
      <c r="Q14" s="61"/>
      <c r="R14" s="503"/>
      <c r="S14" s="83"/>
      <c r="T14" s="83"/>
      <c r="U14" s="83"/>
      <c r="V14" s="83"/>
      <c r="W14" s="83"/>
      <c r="X14" s="60"/>
      <c r="Y14" s="60"/>
      <c r="Z14" s="60"/>
      <c r="AA14" s="60"/>
      <c r="AB14" s="60"/>
      <c r="AC14" s="60"/>
      <c r="AD14" s="60"/>
      <c r="AE14" s="60"/>
      <c r="AF14" s="61"/>
      <c r="AG14" s="89"/>
      <c r="AH14" s="83"/>
      <c r="AI14" s="83"/>
      <c r="AJ14" s="83"/>
      <c r="AK14" s="83"/>
      <c r="AL14" s="83"/>
      <c r="AM14" s="60"/>
      <c r="AN14" s="60"/>
      <c r="AO14" s="60"/>
      <c r="AP14" s="60"/>
      <c r="AQ14" s="60"/>
      <c r="AR14" s="60"/>
      <c r="AS14" s="60"/>
      <c r="AT14" s="60"/>
      <c r="AU14" s="61"/>
      <c r="AV14" s="89"/>
    </row>
    <row r="15" spans="1:51" collapsed="1">
      <c r="D15" s="480"/>
      <c r="E15" s="480"/>
      <c r="F15" s="480"/>
      <c r="G15" s="480"/>
      <c r="H15" s="480"/>
      <c r="I15" s="480"/>
      <c r="J15" s="480"/>
      <c r="K15" s="480"/>
      <c r="L15" s="480"/>
      <c r="M15" s="60"/>
      <c r="N15" s="60"/>
      <c r="O15" s="60"/>
      <c r="P15" s="60"/>
      <c r="Q15" s="61"/>
      <c r="R15" s="503"/>
      <c r="S15" s="89">
        <v>-0.21</v>
      </c>
      <c r="T15" s="89">
        <v>-0.21</v>
      </c>
      <c r="U15" s="89">
        <v>-0.21</v>
      </c>
      <c r="V15" s="89">
        <v>-0.21</v>
      </c>
      <c r="W15" s="89">
        <v>-0.21</v>
      </c>
      <c r="X15" s="89">
        <v>-0.21</v>
      </c>
      <c r="Y15" s="89">
        <v>-0.21</v>
      </c>
      <c r="Z15" s="89">
        <v>-0.21</v>
      </c>
      <c r="AA15" s="89">
        <v>-0.21</v>
      </c>
      <c r="AB15" s="89">
        <v>-0.21</v>
      </c>
      <c r="AC15" s="89">
        <v>-0.21</v>
      </c>
      <c r="AD15" s="89">
        <v>-0.21</v>
      </c>
      <c r="AE15" s="60"/>
      <c r="AF15" s="61"/>
      <c r="AG15" s="89"/>
      <c r="AH15" s="89">
        <v>-0.2</v>
      </c>
      <c r="AI15" s="89">
        <v>-0.2</v>
      </c>
      <c r="AJ15" s="89">
        <v>-0.2</v>
      </c>
      <c r="AK15" s="89">
        <v>-0.2</v>
      </c>
      <c r="AL15" s="89">
        <v>-0.2</v>
      </c>
      <c r="AM15" s="89">
        <v>-0.2</v>
      </c>
      <c r="AN15" s="89">
        <v>-0.2</v>
      </c>
      <c r="AO15" s="89">
        <v>-0.2</v>
      </c>
      <c r="AP15" s="89">
        <v>-0.2</v>
      </c>
      <c r="AQ15" s="89">
        <v>-0.2</v>
      </c>
      <c r="AR15" s="89">
        <v>-0.2</v>
      </c>
      <c r="AS15" s="89">
        <v>-0.2</v>
      </c>
      <c r="AT15" s="60"/>
      <c r="AU15" s="61"/>
      <c r="AV15" s="89"/>
    </row>
    <row r="16" spans="1:51" hidden="1" outlineLevel="1">
      <c r="B16" s="51" t="s">
        <v>89</v>
      </c>
      <c r="C16" s="75">
        <v>-0.24</v>
      </c>
      <c r="D16" s="480">
        <v>-11779.25</v>
      </c>
      <c r="E16" s="480">
        <v>-14873.41</v>
      </c>
      <c r="F16" s="480">
        <v>-46398.28</v>
      </c>
      <c r="G16" s="480">
        <v>-66656.509999999995</v>
      </c>
      <c r="H16" s="480">
        <v>-15721.73</v>
      </c>
      <c r="I16" s="480">
        <v>-42716.56</v>
      </c>
      <c r="J16" s="480">
        <v>-37556.17</v>
      </c>
      <c r="K16" s="480">
        <v>-16381</v>
      </c>
      <c r="L16" s="480">
        <v>-75250</v>
      </c>
      <c r="M16" s="60">
        <v>-103320</v>
      </c>
      <c r="N16" s="60">
        <v>-57600</v>
      </c>
      <c r="O16" s="60">
        <v>-41607</v>
      </c>
      <c r="P16" s="60"/>
      <c r="Q16" s="61">
        <f>SUM(D16:O16)</f>
        <v>-529859.91</v>
      </c>
      <c r="R16" s="503"/>
      <c r="S16" s="60">
        <f>S15*S7</f>
        <v>-46360.089930000002</v>
      </c>
      <c r="T16" s="60">
        <f t="shared" ref="T16:AD16" si="7">T15*T7</f>
        <v>-50293.1416302</v>
      </c>
      <c r="U16" s="60">
        <f t="shared" si="7"/>
        <v>-52828.971678167989</v>
      </c>
      <c r="V16" s="60">
        <f t="shared" si="7"/>
        <v>-65440.131201453121</v>
      </c>
      <c r="W16" s="60">
        <f t="shared" si="7"/>
        <v>-68178.996580130683</v>
      </c>
      <c r="X16" s="60">
        <f t="shared" si="7"/>
        <v>-81062.358505287833</v>
      </c>
      <c r="Y16" s="60">
        <f t="shared" si="7"/>
        <v>-89532.930453674169</v>
      </c>
      <c r="Z16" s="60">
        <f t="shared" si="7"/>
        <v>-93055.307508838159</v>
      </c>
      <c r="AA16" s="60">
        <f t="shared" si="7"/>
        <v>-105510.24233210026</v>
      </c>
      <c r="AB16" s="60">
        <f t="shared" si="7"/>
        <v>-114947.50012720691</v>
      </c>
      <c r="AC16" s="60">
        <f t="shared" si="7"/>
        <v>-117444.72548907906</v>
      </c>
      <c r="AD16" s="60">
        <f t="shared" si="7"/>
        <v>-131322.62926104889</v>
      </c>
      <c r="AE16" s="60"/>
      <c r="AF16" s="61">
        <f>SUM(S16:AD16)</f>
        <v>-1015977.024697187</v>
      </c>
      <c r="AG16" s="89"/>
      <c r="AH16" s="60">
        <f>AH15*AH7</f>
        <v>-132269.60234882138</v>
      </c>
      <c r="AI16" s="60">
        <f t="shared" ref="AI16:AS16" si="8">AI15*AI7</f>
        <v>-138631.20624909966</v>
      </c>
      <c r="AJ16" s="60">
        <f t="shared" si="8"/>
        <v>-153258.02519754649</v>
      </c>
      <c r="AK16" s="60">
        <f t="shared" si="8"/>
        <v>-163964.43315471767</v>
      </c>
      <c r="AL16" s="60">
        <f t="shared" si="8"/>
        <v>-166986.42506442574</v>
      </c>
      <c r="AM16" s="60">
        <f t="shared" si="8"/>
        <v>-181383.60399879096</v>
      </c>
      <c r="AN16" s="60">
        <f t="shared" si="8"/>
        <v>-189948.21479421674</v>
      </c>
      <c r="AO16" s="60">
        <f t="shared" si="8"/>
        <v>-195148.6049009838</v>
      </c>
      <c r="AP16" s="60">
        <f t="shared" si="8"/>
        <v>-210316.69904936847</v>
      </c>
      <c r="AQ16" s="60">
        <f t="shared" si="8"/>
        <v>-221265.20771212643</v>
      </c>
      <c r="AR16" s="60">
        <f t="shared" si="8"/>
        <v>-227073.55335445568</v>
      </c>
      <c r="AS16" s="60">
        <f t="shared" si="8"/>
        <v>-241307.6824421545</v>
      </c>
      <c r="AT16" s="60"/>
      <c r="AU16" s="61">
        <f>SUM(AH16:AS16)</f>
        <v>-2221553.2582667074</v>
      </c>
      <c r="AV16" s="89"/>
    </row>
    <row r="17" spans="1:48" hidden="1" outlineLevel="1">
      <c r="B17" s="51" t="s">
        <v>90</v>
      </c>
      <c r="C17" s="75">
        <v>-0.25519999999999998</v>
      </c>
      <c r="D17" s="480">
        <v>-83235.87</v>
      </c>
      <c r="E17" s="480">
        <v>-58932.36</v>
      </c>
      <c r="F17" s="480">
        <v>-57812.07</v>
      </c>
      <c r="G17" s="480">
        <v>-69975.8</v>
      </c>
      <c r="H17" s="480">
        <v>-102980.11</v>
      </c>
      <c r="I17" s="480">
        <v>-49964.36</v>
      </c>
      <c r="J17" s="480">
        <v>-25326.49</v>
      </c>
      <c r="K17" s="480">
        <v>-66539.039999999994</v>
      </c>
      <c r="L17" s="480">
        <v>-127471</v>
      </c>
      <c r="M17" s="60">
        <v>-134683</v>
      </c>
      <c r="N17" s="60">
        <v>-109367</v>
      </c>
      <c r="O17" s="60">
        <v>-112374</v>
      </c>
      <c r="P17" s="60"/>
      <c r="Q17" s="61">
        <f>SUM(D17:O17)</f>
        <v>-998661.09999999986</v>
      </c>
      <c r="R17" s="503"/>
      <c r="S17" s="60">
        <f>S8*$C$17</f>
        <v>-85801.632730879996</v>
      </c>
      <c r="T17" s="60">
        <f t="shared" ref="T17:AD17" si="9">T8*$C$17</f>
        <v>-61070.14956328</v>
      </c>
      <c r="U17" s="60">
        <f t="shared" si="9"/>
        <v>-56742.202121439987</v>
      </c>
      <c r="V17" s="60">
        <f t="shared" si="9"/>
        <v>-58916.858195359993</v>
      </c>
      <c r="W17" s="60">
        <f t="shared" si="9"/>
        <v>-80285.806180799977</v>
      </c>
      <c r="X17" s="60">
        <f t="shared" si="9"/>
        <v>-56869.622511679983</v>
      </c>
      <c r="Y17" s="60">
        <f t="shared" si="9"/>
        <v>-81649.292849520003</v>
      </c>
      <c r="Z17" s="60">
        <f t="shared" si="9"/>
        <v>-202182.73127535995</v>
      </c>
      <c r="AA17" s="60">
        <f t="shared" si="9"/>
        <v>-132376.52297056001</v>
      </c>
      <c r="AB17" s="60">
        <f t="shared" si="9"/>
        <v>-82079.619041989354</v>
      </c>
      <c r="AC17" s="60">
        <f t="shared" si="9"/>
        <v>-88711.07403553222</v>
      </c>
      <c r="AD17" s="60">
        <f t="shared" si="9"/>
        <v>-79565.811596816711</v>
      </c>
      <c r="AE17" s="60"/>
      <c r="AF17" s="61">
        <f>SUM(S17:AD17)</f>
        <v>-1066251.3230732181</v>
      </c>
      <c r="AG17" s="89"/>
      <c r="AH17" s="60">
        <f t="shared" ref="AH17:AS17" si="10">AH8*$C$17</f>
        <v>-99829.411970728004</v>
      </c>
      <c r="AI17" s="60">
        <f t="shared" si="10"/>
        <v>-77123.920797924002</v>
      </c>
      <c r="AJ17" s="60">
        <f t="shared" si="10"/>
        <v>-68059.999474631986</v>
      </c>
      <c r="AK17" s="60">
        <f t="shared" si="10"/>
        <v>-71742.509337047988</v>
      </c>
      <c r="AL17" s="60">
        <f t="shared" si="10"/>
        <v>-89772.477766399985</v>
      </c>
      <c r="AM17" s="60">
        <f t="shared" si="10"/>
        <v>-71219.593379703991</v>
      </c>
      <c r="AN17" s="60">
        <f t="shared" si="10"/>
        <v>-95592.654103672001</v>
      </c>
      <c r="AO17" s="60">
        <f t="shared" si="10"/>
        <v>-249062.76252176001</v>
      </c>
      <c r="AP17" s="60">
        <f t="shared" si="10"/>
        <v>-152824.18205920802</v>
      </c>
      <c r="AQ17" s="60">
        <f t="shared" si="10"/>
        <v>-102115.66832859829</v>
      </c>
      <c r="AR17" s="60">
        <f t="shared" si="10"/>
        <v>-101260.34371491859</v>
      </c>
      <c r="AS17" s="60">
        <f t="shared" si="10"/>
        <v>-90064.664996040839</v>
      </c>
      <c r="AT17" s="60"/>
      <c r="AU17" s="61">
        <f>SUM(AH17:AS17)</f>
        <v>-1268668.1884506338</v>
      </c>
      <c r="AV17" s="89"/>
    </row>
    <row r="18" spans="1:48" hidden="1" outlineLevel="1">
      <c r="B18" s="51" t="s">
        <v>91</v>
      </c>
      <c r="C18" s="75">
        <v>-0.18</v>
      </c>
      <c r="D18" s="480">
        <v>-18430.649999999998</v>
      </c>
      <c r="E18" s="480">
        <v>-31852.269999999997</v>
      </c>
      <c r="F18" s="480">
        <v>-30793.58</v>
      </c>
      <c r="G18" s="480">
        <v>-29444.420000000002</v>
      </c>
      <c r="H18" s="480">
        <v>-22534.100000000002</v>
      </c>
      <c r="I18" s="480">
        <v>-34982.94</v>
      </c>
      <c r="J18" s="480">
        <f>-28337.77-45</f>
        <v>-28382.77</v>
      </c>
      <c r="K18" s="480">
        <f>-32484-52</f>
        <v>-32536</v>
      </c>
      <c r="L18" s="480">
        <f>-41360-68</f>
        <v>-41428</v>
      </c>
      <c r="M18" s="60">
        <v>-40330</v>
      </c>
      <c r="N18" s="60">
        <v>-40330</v>
      </c>
      <c r="O18" s="60">
        <v>-31256</v>
      </c>
      <c r="P18" s="60"/>
      <c r="Q18" s="61">
        <f>SUM(D18:O18)</f>
        <v>-382300.73</v>
      </c>
      <c r="R18" s="503"/>
      <c r="S18" s="60">
        <f ca="1">S9*$C$18</f>
        <v>-25883.423999999995</v>
      </c>
      <c r="T18" s="60">
        <f ca="1">T9*$C$18</f>
        <v>-34125.839999999997</v>
      </c>
      <c r="U18" s="60">
        <f ca="1">U9*$C$18</f>
        <v>-33025.994999999995</v>
      </c>
      <c r="V18" s="60">
        <f t="shared" ref="V18:AC18" ca="1" si="11">V9*$C$18</f>
        <v>-33038.28</v>
      </c>
      <c r="W18" s="60">
        <f t="shared" ca="1" si="11"/>
        <v>-32494.904999999999</v>
      </c>
      <c r="X18" s="60">
        <f t="shared" ca="1" si="11"/>
        <v>-40378.769999999997</v>
      </c>
      <c r="Y18" s="60">
        <f t="shared" ca="1" si="11"/>
        <v>-32599.367999999999</v>
      </c>
      <c r="Z18" s="60">
        <f t="shared" ca="1" si="11"/>
        <v>-34907.592600000004</v>
      </c>
      <c r="AA18" s="60">
        <f t="shared" ca="1" si="11"/>
        <v>-41418.806400000001</v>
      </c>
      <c r="AB18" s="60">
        <f t="shared" ca="1" si="11"/>
        <v>-41563.499399999993</v>
      </c>
      <c r="AC18" s="60">
        <f t="shared" ca="1" si="11"/>
        <v>-41518.002599999993</v>
      </c>
      <c r="AD18" s="60">
        <f ca="1">AD9*$C$18</f>
        <v>-31336.815599999994</v>
      </c>
      <c r="AE18" s="60"/>
      <c r="AF18" s="61">
        <f ca="1">SUM(S18:AD18)</f>
        <v>-422291.29859999992</v>
      </c>
      <c r="AG18" s="89"/>
      <c r="AH18" s="60">
        <f t="shared" ref="AH18:AS18" ca="1" si="12">AH9*$C$18</f>
        <v>-26142.258239999996</v>
      </c>
      <c r="AI18" s="60">
        <f t="shared" ca="1" si="12"/>
        <v>-34467.098400000003</v>
      </c>
      <c r="AJ18" s="60">
        <f t="shared" ca="1" si="12"/>
        <v>-33356.254949999995</v>
      </c>
      <c r="AK18" s="60">
        <f t="shared" ca="1" si="12"/>
        <v>-33368.662799999998</v>
      </c>
      <c r="AL18" s="60">
        <f t="shared" ca="1" si="12"/>
        <v>-32819.854049999994</v>
      </c>
      <c r="AM18" s="60">
        <f t="shared" ca="1" si="12"/>
        <v>-40782.557699999998</v>
      </c>
      <c r="AN18" s="60">
        <f t="shared" ca="1" si="12"/>
        <v>-32925.361680000002</v>
      </c>
      <c r="AO18" s="60">
        <f t="shared" ca="1" si="12"/>
        <v>-35256.668526000001</v>
      </c>
      <c r="AP18" s="60">
        <f t="shared" ca="1" si="12"/>
        <v>-41832.994464000003</v>
      </c>
      <c r="AQ18" s="60">
        <f t="shared" ca="1" si="12"/>
        <v>-41979.134393999993</v>
      </c>
      <c r="AR18" s="60">
        <f t="shared" ca="1" si="12"/>
        <v>-41933.182625999994</v>
      </c>
      <c r="AS18" s="60">
        <f t="shared" ca="1" si="12"/>
        <v>-31650.183755999995</v>
      </c>
      <c r="AT18" s="60"/>
      <c r="AU18" s="61">
        <f ca="1">SUM(AH18:AS18)</f>
        <v>-426514.21158599993</v>
      </c>
      <c r="AV18" s="89"/>
    </row>
    <row r="19" spans="1:48" hidden="1" outlineLevel="1">
      <c r="B19" s="51" t="s">
        <v>92</v>
      </c>
      <c r="D19" s="480">
        <v>-2331.73</v>
      </c>
      <c r="E19" s="480">
        <v>-1768.09</v>
      </c>
      <c r="F19" s="480">
        <v>-1984</v>
      </c>
      <c r="G19" s="480">
        <v>-2228.64</v>
      </c>
      <c r="H19" s="480">
        <v>-3047.88</v>
      </c>
      <c r="I19" s="480">
        <v>-1398.49</v>
      </c>
      <c r="J19" s="480">
        <v>-1098.8</v>
      </c>
      <c r="K19" s="480">
        <v>-695.44</v>
      </c>
      <c r="L19" s="480">
        <v>-249</v>
      </c>
      <c r="M19" s="60">
        <v>-1396</v>
      </c>
      <c r="N19" s="60">
        <v>-1396</v>
      </c>
      <c r="O19" s="60">
        <v>-1396</v>
      </c>
      <c r="P19" s="60"/>
      <c r="Q19" s="61">
        <f>SUM(D19:O19)</f>
        <v>-18990.07</v>
      </c>
      <c r="R19" s="503"/>
      <c r="S19" s="60">
        <f t="shared" ref="S19:AD19" si="13">S10*$C$19</f>
        <v>0</v>
      </c>
      <c r="T19" s="60">
        <f t="shared" si="13"/>
        <v>0</v>
      </c>
      <c r="U19" s="60">
        <f t="shared" si="13"/>
        <v>0</v>
      </c>
      <c r="V19" s="60">
        <f t="shared" si="13"/>
        <v>0</v>
      </c>
      <c r="W19" s="60">
        <f t="shared" si="13"/>
        <v>0</v>
      </c>
      <c r="X19" s="60">
        <f t="shared" si="13"/>
        <v>0</v>
      </c>
      <c r="Y19" s="60">
        <f t="shared" si="13"/>
        <v>0</v>
      </c>
      <c r="Z19" s="60">
        <f t="shared" si="13"/>
        <v>0</v>
      </c>
      <c r="AA19" s="60">
        <f t="shared" si="13"/>
        <v>0</v>
      </c>
      <c r="AB19" s="60">
        <f t="shared" si="13"/>
        <v>0</v>
      </c>
      <c r="AC19" s="60">
        <f t="shared" si="13"/>
        <v>0</v>
      </c>
      <c r="AD19" s="60">
        <f t="shared" si="13"/>
        <v>0</v>
      </c>
      <c r="AE19" s="60"/>
      <c r="AF19" s="61">
        <f>SUM(S19:AD19)</f>
        <v>0</v>
      </c>
      <c r="AG19" s="89"/>
      <c r="AH19" s="60">
        <f t="shared" ref="AH19:AS19" si="14">AH10*$C$19</f>
        <v>0</v>
      </c>
      <c r="AI19" s="60">
        <f t="shared" si="14"/>
        <v>0</v>
      </c>
      <c r="AJ19" s="60">
        <f t="shared" si="14"/>
        <v>0</v>
      </c>
      <c r="AK19" s="60">
        <f t="shared" si="14"/>
        <v>0</v>
      </c>
      <c r="AL19" s="60">
        <f t="shared" si="14"/>
        <v>0</v>
      </c>
      <c r="AM19" s="60">
        <f t="shared" si="14"/>
        <v>0</v>
      </c>
      <c r="AN19" s="60">
        <f t="shared" si="14"/>
        <v>0</v>
      </c>
      <c r="AO19" s="60">
        <f t="shared" si="14"/>
        <v>0</v>
      </c>
      <c r="AP19" s="60">
        <f t="shared" si="14"/>
        <v>0</v>
      </c>
      <c r="AQ19" s="60">
        <f t="shared" si="14"/>
        <v>0</v>
      </c>
      <c r="AR19" s="60">
        <f t="shared" si="14"/>
        <v>0</v>
      </c>
      <c r="AS19" s="60">
        <f t="shared" si="14"/>
        <v>0</v>
      </c>
      <c r="AT19" s="60"/>
      <c r="AU19" s="61">
        <f>SUM(AH19:AS19)</f>
        <v>0</v>
      </c>
      <c r="AV19" s="89"/>
    </row>
    <row r="20" spans="1:48" hidden="1" outlineLevel="1">
      <c r="D20" s="480"/>
      <c r="E20" s="480"/>
      <c r="F20" s="480"/>
      <c r="G20" s="480"/>
      <c r="H20" s="480"/>
      <c r="I20" s="480"/>
      <c r="J20" s="480"/>
      <c r="K20" s="480"/>
      <c r="L20" s="480"/>
      <c r="M20" s="60"/>
      <c r="N20" s="60"/>
      <c r="O20" s="60"/>
      <c r="P20" s="60"/>
      <c r="Q20" s="61"/>
      <c r="R20" s="503"/>
      <c r="S20" s="83"/>
      <c r="T20" s="83"/>
      <c r="U20" s="83"/>
      <c r="V20" s="83"/>
      <c r="W20" s="83"/>
      <c r="X20" s="60"/>
      <c r="Y20" s="60"/>
      <c r="Z20" s="60"/>
      <c r="AA20" s="60"/>
      <c r="AB20" s="60"/>
      <c r="AC20" s="60"/>
      <c r="AD20" s="60"/>
      <c r="AE20" s="60"/>
      <c r="AF20" s="61"/>
      <c r="AG20" s="89"/>
      <c r="AH20" s="83"/>
      <c r="AI20" s="83"/>
      <c r="AJ20" s="83"/>
      <c r="AK20" s="83"/>
      <c r="AL20" s="83"/>
      <c r="AM20" s="60"/>
      <c r="AN20" s="60"/>
      <c r="AO20" s="60"/>
      <c r="AP20" s="60"/>
      <c r="AQ20" s="60"/>
      <c r="AR20" s="60"/>
      <c r="AS20" s="60"/>
      <c r="AT20" s="60"/>
      <c r="AU20" s="61"/>
      <c r="AV20" s="89"/>
    </row>
    <row r="21" spans="1:48" s="10" customFormat="1" collapsed="1">
      <c r="A21" s="52"/>
      <c r="B21" s="63" t="s">
        <v>93</v>
      </c>
      <c r="C21" s="52"/>
      <c r="D21" s="500">
        <f t="shared" ref="D21:L21" si="15">SUM(D16:D20)</f>
        <v>-115777.49999999999</v>
      </c>
      <c r="E21" s="500">
        <f t="shared" si="15"/>
        <v>-107426.13</v>
      </c>
      <c r="F21" s="500">
        <f t="shared" si="15"/>
        <v>-136987.93</v>
      </c>
      <c r="G21" s="500">
        <f t="shared" si="15"/>
        <v>-168305.37000000002</v>
      </c>
      <c r="H21" s="500">
        <f t="shared" si="15"/>
        <v>-144283.82</v>
      </c>
      <c r="I21" s="500">
        <f t="shared" si="15"/>
        <v>-129062.35</v>
      </c>
      <c r="J21" s="500">
        <f t="shared" si="15"/>
        <v>-92364.23000000001</v>
      </c>
      <c r="K21" s="500">
        <f t="shared" si="15"/>
        <v>-116151.48</v>
      </c>
      <c r="L21" s="500">
        <f t="shared" si="15"/>
        <v>-244398</v>
      </c>
      <c r="M21" s="65">
        <f t="shared" ref="M21:O21" si="16">SUM(M16:M20)</f>
        <v>-279729</v>
      </c>
      <c r="N21" s="65">
        <f t="shared" si="16"/>
        <v>-208693</v>
      </c>
      <c r="O21" s="65">
        <f t="shared" si="16"/>
        <v>-186633</v>
      </c>
      <c r="P21" s="61"/>
      <c r="Q21" s="65">
        <f>SUM(D21:O21)</f>
        <v>-1929811.81</v>
      </c>
      <c r="R21" s="505"/>
      <c r="S21" s="84">
        <f t="shared" ref="S21:AD21" ca="1" si="17">SUM(S16:S20)</f>
        <v>-158045.14666088001</v>
      </c>
      <c r="T21" s="84">
        <f t="shared" ca="1" si="17"/>
        <v>-145489.13119347999</v>
      </c>
      <c r="U21" s="84">
        <f t="shared" ca="1" si="17"/>
        <v>-142597.16879960796</v>
      </c>
      <c r="V21" s="84">
        <f t="shared" ca="1" si="17"/>
        <v>-157395.26939681312</v>
      </c>
      <c r="W21" s="84">
        <f t="shared" ca="1" si="17"/>
        <v>-180959.70776093067</v>
      </c>
      <c r="X21" s="65">
        <f t="shared" ca="1" si="17"/>
        <v>-178310.75101696781</v>
      </c>
      <c r="Y21" s="65">
        <f t="shared" ca="1" si="17"/>
        <v>-203781.59130319415</v>
      </c>
      <c r="Z21" s="65">
        <f t="shared" ca="1" si="17"/>
        <v>-330145.63138419809</v>
      </c>
      <c r="AA21" s="65">
        <f t="shared" ca="1" si="17"/>
        <v>-279305.57170266029</v>
      </c>
      <c r="AB21" s="65">
        <f t="shared" ca="1" si="17"/>
        <v>-238590.61856919626</v>
      </c>
      <c r="AC21" s="65">
        <f t="shared" ca="1" si="17"/>
        <v>-247673.80212461128</v>
      </c>
      <c r="AD21" s="65">
        <f t="shared" ca="1" si="17"/>
        <v>-242225.25645786562</v>
      </c>
      <c r="AE21" s="61"/>
      <c r="AF21" s="65">
        <f ca="1">SUM(S21:AD21)</f>
        <v>-2504519.6463704053</v>
      </c>
      <c r="AG21" s="89"/>
      <c r="AH21" s="84">
        <f t="shared" ref="AH21:AS21" ca="1" si="18">SUM(AH16:AH20)</f>
        <v>-258241.27255954937</v>
      </c>
      <c r="AI21" s="84">
        <f t="shared" ca="1" si="18"/>
        <v>-250222.22544702369</v>
      </c>
      <c r="AJ21" s="84">
        <f t="shared" ca="1" si="18"/>
        <v>-254674.2796221785</v>
      </c>
      <c r="AK21" s="84">
        <f t="shared" ca="1" si="18"/>
        <v>-269075.60529176565</v>
      </c>
      <c r="AL21" s="84">
        <f t="shared" ca="1" si="18"/>
        <v>-289578.75688082573</v>
      </c>
      <c r="AM21" s="65">
        <f t="shared" ca="1" si="18"/>
        <v>-293385.75507849496</v>
      </c>
      <c r="AN21" s="65">
        <f t="shared" ca="1" si="18"/>
        <v>-318466.23057788878</v>
      </c>
      <c r="AO21" s="65">
        <f t="shared" ca="1" si="18"/>
        <v>-479468.03594874381</v>
      </c>
      <c r="AP21" s="65">
        <f t="shared" ca="1" si="18"/>
        <v>-404973.87557257648</v>
      </c>
      <c r="AQ21" s="65">
        <f t="shared" ca="1" si="18"/>
        <v>-365360.01043472468</v>
      </c>
      <c r="AR21" s="65">
        <f t="shared" ca="1" si="18"/>
        <v>-370267.07969537424</v>
      </c>
      <c r="AS21" s="65">
        <f t="shared" ca="1" si="18"/>
        <v>-363022.53119419538</v>
      </c>
      <c r="AT21" s="61"/>
      <c r="AU21" s="65">
        <f ca="1">SUM(AH21:AS21)</f>
        <v>-3916735.6583033418</v>
      </c>
      <c r="AV21" s="160"/>
    </row>
    <row r="22" spans="1:48">
      <c r="D22" s="97">
        <f t="shared" ref="D22:L22" si="19">D21/D12</f>
        <v>-0.2258374594878973</v>
      </c>
      <c r="E22" s="97">
        <f t="shared" si="19"/>
        <v>-0.21295209273556243</v>
      </c>
      <c r="F22" s="97">
        <f t="shared" si="19"/>
        <v>-0.24945221294534328</v>
      </c>
      <c r="G22" s="97">
        <f t="shared" si="19"/>
        <v>-0.23001343383192041</v>
      </c>
      <c r="H22" s="97">
        <f t="shared" si="19"/>
        <v>-0.22322309651188338</v>
      </c>
      <c r="I22" s="97">
        <f t="shared" si="19"/>
        <v>-0.21869792918047434</v>
      </c>
      <c r="J22" s="97">
        <f t="shared" si="19"/>
        <v>-0.20682643777369911</v>
      </c>
      <c r="K22" s="97">
        <f t="shared" si="19"/>
        <v>-0.21399346907255271</v>
      </c>
      <c r="L22" s="97">
        <f t="shared" si="19"/>
        <v>-0.23521316126573433</v>
      </c>
      <c r="M22" s="91">
        <f t="shared" ref="M22:O22" si="20">M21/M12</f>
        <v>-0.27204905517248085</v>
      </c>
      <c r="N22" s="91">
        <f t="shared" si="20"/>
        <v>-0.25801326828592835</v>
      </c>
      <c r="O22" s="91">
        <f t="shared" si="20"/>
        <v>-0.26391084614710214</v>
      </c>
      <c r="P22" s="60"/>
      <c r="Q22" s="91">
        <f>Q21/Q12</f>
        <v>-0.23803776724955356</v>
      </c>
      <c r="R22" s="503"/>
      <c r="S22" s="91">
        <f t="shared" ref="S22:AD22" ca="1" si="21">S21/S12</f>
        <v>-0.22552991596324332</v>
      </c>
      <c r="T22" s="91">
        <f t="shared" ca="1" si="21"/>
        <v>-0.21767354292596941</v>
      </c>
      <c r="U22" s="91">
        <f t="shared" ca="1" si="21"/>
        <v>-0.21691466280178079</v>
      </c>
      <c r="V22" s="91">
        <f t="shared" ca="1" si="21"/>
        <v>-0.21678860380626971</v>
      </c>
      <c r="W22" s="91">
        <f t="shared" ca="1" si="21"/>
        <v>-0.22073945325374075</v>
      </c>
      <c r="X22" s="91">
        <f t="shared" ca="1" si="21"/>
        <v>-0.21401200222906791</v>
      </c>
      <c r="Y22" s="91">
        <f t="shared" ca="1" si="21"/>
        <v>-0.21973495128531731</v>
      </c>
      <c r="Z22" s="91">
        <f t="shared" ca="1" si="21"/>
        <v>-0.23098354797379986</v>
      </c>
      <c r="AA22" s="91">
        <f t="shared" ca="1" si="21"/>
        <v>-0.22322105983426838</v>
      </c>
      <c r="AB22" s="91">
        <f t="shared" ca="1" si="21"/>
        <v>-0.21691910310423293</v>
      </c>
      <c r="AC22" s="91">
        <f t="shared" ca="1" si="21"/>
        <v>-0.21772945034385582</v>
      </c>
      <c r="AD22" s="91">
        <f t="shared" ca="1" si="21"/>
        <v>-0.21798185272623788</v>
      </c>
      <c r="AE22" s="60"/>
      <c r="AF22" s="91">
        <f ca="1">AF21/AF12</f>
        <v>-0.22042657236070096</v>
      </c>
      <c r="AG22" s="89"/>
      <c r="AH22" s="91">
        <f t="shared" ref="AH22:AS22" ca="1" si="22">AH21/AH12</f>
        <v>-0.2156028253474209</v>
      </c>
      <c r="AI22" s="91">
        <f t="shared" ca="1" si="22"/>
        <v>-0.21082891939281459</v>
      </c>
      <c r="AJ22" s="91">
        <f t="shared" ca="1" si="22"/>
        <v>-0.20904147792754971</v>
      </c>
      <c r="AK22" s="91">
        <f t="shared" ca="1" si="22"/>
        <v>-0.20918145181019149</v>
      </c>
      <c r="AL22" s="91">
        <f t="shared" ca="1" si="22"/>
        <v>-0.21151993195574362</v>
      </c>
      <c r="AM22" s="91">
        <f t="shared" ca="1" si="22"/>
        <v>-0.20769769690696852</v>
      </c>
      <c r="AN22" s="91">
        <f t="shared" ca="1" si="22"/>
        <v>-0.21129111319215663</v>
      </c>
      <c r="AO22" s="91">
        <f t="shared" ca="1" si="22"/>
        <v>-0.22326127956412453</v>
      </c>
      <c r="AP22" s="91">
        <f t="shared" ca="1" si="22"/>
        <v>-0.21508787619437775</v>
      </c>
      <c r="AQ22" s="91">
        <f t="shared" ca="1" si="22"/>
        <v>-0.21001525257377854</v>
      </c>
      <c r="AR22" s="91">
        <f t="shared" ca="1" si="22"/>
        <v>-0.20976901507200565</v>
      </c>
      <c r="AS22" s="91">
        <f t="shared" ca="1" si="22"/>
        <v>-0.2091998328315573</v>
      </c>
      <c r="AT22" s="60"/>
      <c r="AU22" s="91">
        <f ca="1">AU21/AU12</f>
        <v>-0.2123057655484881</v>
      </c>
      <c r="AV22" s="89"/>
    </row>
    <row r="23" spans="1:48" hidden="1" outlineLevel="1">
      <c r="B23" s="67" t="s">
        <v>94</v>
      </c>
      <c r="C23" s="52"/>
      <c r="D23" s="501">
        <f t="shared" ref="D23:L23" si="23">D7+D16</f>
        <v>43148.98</v>
      </c>
      <c r="E23" s="501">
        <f t="shared" si="23"/>
        <v>61766.37999999999</v>
      </c>
      <c r="F23" s="501">
        <f t="shared" si="23"/>
        <v>102393.72</v>
      </c>
      <c r="G23" s="501">
        <f t="shared" si="23"/>
        <v>208713</v>
      </c>
      <c r="H23" s="501">
        <f t="shared" si="23"/>
        <v>62931.270000000004</v>
      </c>
      <c r="I23" s="501">
        <f t="shared" si="23"/>
        <v>150710.70000000001</v>
      </c>
      <c r="J23" s="501">
        <f t="shared" si="23"/>
        <v>134233.93</v>
      </c>
      <c r="K23" s="501">
        <f t="shared" si="23"/>
        <v>74349.25</v>
      </c>
      <c r="L23" s="501">
        <f t="shared" si="23"/>
        <v>233650</v>
      </c>
      <c r="M23" s="69">
        <f t="shared" ref="M23:O26" si="24">M7+M16</f>
        <v>279346</v>
      </c>
      <c r="N23" s="69">
        <f t="shared" si="24"/>
        <v>182400</v>
      </c>
      <c r="O23" s="69">
        <f t="shared" si="24"/>
        <v>139293</v>
      </c>
      <c r="P23" s="69"/>
      <c r="Q23" s="69">
        <f>Q7+Q16</f>
        <v>1672936.23</v>
      </c>
      <c r="R23" s="503"/>
      <c r="S23" s="85">
        <f t="shared" ref="S23:AD26" si="25">S7+S16</f>
        <v>174402.24307000003</v>
      </c>
      <c r="T23" s="85">
        <f t="shared" si="25"/>
        <v>189198.0089898</v>
      </c>
      <c r="U23" s="85">
        <f t="shared" si="25"/>
        <v>198737.56012263198</v>
      </c>
      <c r="V23" s="85">
        <f t="shared" si="25"/>
        <v>246179.54118641888</v>
      </c>
      <c r="W23" s="85">
        <f t="shared" si="25"/>
        <v>256482.89189668212</v>
      </c>
      <c r="X23" s="69">
        <f t="shared" si="25"/>
        <v>304948.87247227324</v>
      </c>
      <c r="Y23" s="69">
        <f t="shared" si="25"/>
        <v>336814.35742096475</v>
      </c>
      <c r="Z23" s="69">
        <f t="shared" si="25"/>
        <v>350065.20443801023</v>
      </c>
      <c r="AA23" s="69">
        <f t="shared" si="25"/>
        <v>396919.48305885331</v>
      </c>
      <c r="AB23" s="69">
        <f t="shared" si="25"/>
        <v>432421.54809758789</v>
      </c>
      <c r="AC23" s="69">
        <f t="shared" si="25"/>
        <v>441815.87207796407</v>
      </c>
      <c r="AD23" s="69">
        <f t="shared" si="25"/>
        <v>494023.2243629935</v>
      </c>
      <c r="AE23" s="69"/>
      <c r="AF23" s="69">
        <f>AF7+AF16</f>
        <v>3822008.8071941794</v>
      </c>
      <c r="AG23" s="89"/>
      <c r="AH23" s="85">
        <f t="shared" ref="AH23:AS26" si="26">AH7+AH16</f>
        <v>529078.40939528553</v>
      </c>
      <c r="AI23" s="85">
        <f t="shared" si="26"/>
        <v>554524.82499639853</v>
      </c>
      <c r="AJ23" s="85">
        <f t="shared" si="26"/>
        <v>613032.10079018597</v>
      </c>
      <c r="AK23" s="85">
        <f t="shared" si="26"/>
        <v>655857.73261887056</v>
      </c>
      <c r="AL23" s="85">
        <f t="shared" si="26"/>
        <v>667945.70025770296</v>
      </c>
      <c r="AM23" s="69">
        <f t="shared" si="26"/>
        <v>725534.41599516384</v>
      </c>
      <c r="AN23" s="69">
        <f t="shared" si="26"/>
        <v>759792.85917686694</v>
      </c>
      <c r="AO23" s="69">
        <f t="shared" si="26"/>
        <v>780594.41960393521</v>
      </c>
      <c r="AP23" s="69">
        <f t="shared" si="26"/>
        <v>841266.79619747377</v>
      </c>
      <c r="AQ23" s="69">
        <f t="shared" si="26"/>
        <v>885060.83084850572</v>
      </c>
      <c r="AR23" s="69">
        <f t="shared" si="26"/>
        <v>908294.21341782273</v>
      </c>
      <c r="AS23" s="69">
        <f t="shared" si="26"/>
        <v>965230.72976861801</v>
      </c>
      <c r="AT23" s="69"/>
      <c r="AU23" s="69">
        <f>AU7+AU16</f>
        <v>8886213.0330668278</v>
      </c>
      <c r="AV23" s="89"/>
    </row>
    <row r="24" spans="1:48" hidden="1" outlineLevel="1">
      <c r="B24" s="67" t="s">
        <v>95</v>
      </c>
      <c r="C24" s="52"/>
      <c r="D24" s="501">
        <f t="shared" ref="D24:L24" si="27">D8+D17</f>
        <v>228017.40000000002</v>
      </c>
      <c r="E24" s="501">
        <f t="shared" si="27"/>
        <v>171077.97999999998</v>
      </c>
      <c r="F24" s="501">
        <f t="shared" si="27"/>
        <v>160614.93</v>
      </c>
      <c r="G24" s="501">
        <f t="shared" si="27"/>
        <v>207539.01</v>
      </c>
      <c r="H24" s="501">
        <f t="shared" si="27"/>
        <v>304165.89</v>
      </c>
      <c r="I24" s="501">
        <f t="shared" si="27"/>
        <v>142189.20000000001</v>
      </c>
      <c r="J24" s="501">
        <f t="shared" si="27"/>
        <v>83187.789999999994</v>
      </c>
      <c r="K24" s="501">
        <f t="shared" si="27"/>
        <v>201110.26</v>
      </c>
      <c r="L24" s="501">
        <f t="shared" si="27"/>
        <v>376610</v>
      </c>
      <c r="M24" s="69">
        <f t="shared" si="24"/>
        <v>273449</v>
      </c>
      <c r="N24" s="69">
        <f t="shared" si="24"/>
        <v>222047</v>
      </c>
      <c r="O24" s="69">
        <f t="shared" si="24"/>
        <v>228153</v>
      </c>
      <c r="P24" s="69"/>
      <c r="Q24" s="69">
        <f>Q8+Q17</f>
        <v>2598161.46</v>
      </c>
      <c r="R24" s="503"/>
      <c r="S24" s="85">
        <f>S8+S17</f>
        <v>250411.66166912002</v>
      </c>
      <c r="T24" s="85">
        <f t="shared" si="25"/>
        <v>178232.94433672001</v>
      </c>
      <c r="U24" s="85">
        <f t="shared" si="25"/>
        <v>165601.85007856</v>
      </c>
      <c r="V24" s="85">
        <f t="shared" si="25"/>
        <v>171948.57360464</v>
      </c>
      <c r="W24" s="85">
        <f t="shared" si="25"/>
        <v>234313.74781919998</v>
      </c>
      <c r="X24" s="69">
        <f t="shared" si="25"/>
        <v>165973.72588831998</v>
      </c>
      <c r="Y24" s="69">
        <f t="shared" si="25"/>
        <v>238293.07725048007</v>
      </c>
      <c r="Z24" s="69">
        <f t="shared" si="25"/>
        <v>590069.35052463994</v>
      </c>
      <c r="AA24" s="69">
        <f t="shared" si="25"/>
        <v>386340.25982944004</v>
      </c>
      <c r="AB24" s="69">
        <f t="shared" si="25"/>
        <v>239548.98221972442</v>
      </c>
      <c r="AC24" s="69">
        <f t="shared" si="25"/>
        <v>258902.85243598904</v>
      </c>
      <c r="AD24" s="69">
        <f t="shared" si="25"/>
        <v>232212.44701139926</v>
      </c>
      <c r="AE24" s="69"/>
      <c r="AF24" s="69">
        <f>AF8+AF17</f>
        <v>3111849.4726682324</v>
      </c>
      <c r="AG24" s="89"/>
      <c r="AH24" s="85">
        <f t="shared" si="26"/>
        <v>291351.66941927205</v>
      </c>
      <c r="AI24" s="85">
        <f t="shared" si="26"/>
        <v>225085.80019707605</v>
      </c>
      <c r="AJ24" s="85">
        <f t="shared" si="26"/>
        <v>198632.78843536798</v>
      </c>
      <c r="AK24" s="85">
        <f t="shared" si="26"/>
        <v>209380.17615295196</v>
      </c>
      <c r="AL24" s="85">
        <f t="shared" si="26"/>
        <v>262000.55423359998</v>
      </c>
      <c r="AM24" s="69">
        <f t="shared" si="26"/>
        <v>207854.048390296</v>
      </c>
      <c r="AN24" s="69">
        <f t="shared" si="26"/>
        <v>278986.71150632802</v>
      </c>
      <c r="AO24" s="69">
        <f t="shared" si="26"/>
        <v>726888.50127824</v>
      </c>
      <c r="AP24" s="69">
        <f t="shared" si="26"/>
        <v>446016.65673079202</v>
      </c>
      <c r="AQ24" s="69">
        <f t="shared" si="26"/>
        <v>298024.09784929466</v>
      </c>
      <c r="AR24" s="69">
        <f t="shared" si="26"/>
        <v>295527.83698617312</v>
      </c>
      <c r="AS24" s="69">
        <f t="shared" si="26"/>
        <v>262853.30128938565</v>
      </c>
      <c r="AT24" s="69"/>
      <c r="AU24" s="69">
        <f>AU8+AU17</f>
        <v>3702602.1424687775</v>
      </c>
      <c r="AV24" s="89"/>
    </row>
    <row r="25" spans="1:48" hidden="1" outlineLevel="1">
      <c r="B25" s="67" t="s">
        <v>96</v>
      </c>
      <c r="C25" s="52"/>
      <c r="D25" s="501">
        <f t="shared" ref="D25:L25" si="28">D9+D18</f>
        <v>114420.76000000001</v>
      </c>
      <c r="E25" s="501">
        <f t="shared" si="28"/>
        <v>158027.40000000002</v>
      </c>
      <c r="F25" s="501">
        <f t="shared" si="28"/>
        <v>141614.41999999998</v>
      </c>
      <c r="G25" s="501">
        <f t="shared" si="28"/>
        <v>142327.07999999999</v>
      </c>
      <c r="H25" s="501">
        <f t="shared" si="28"/>
        <v>128935.9</v>
      </c>
      <c r="I25" s="501">
        <f t="shared" si="28"/>
        <v>162605.35999999999</v>
      </c>
      <c r="J25" s="501">
        <f t="shared" si="28"/>
        <v>131521.65000000002</v>
      </c>
      <c r="K25" s="501">
        <f t="shared" si="28"/>
        <v>147485.5</v>
      </c>
      <c r="L25" s="501">
        <f t="shared" si="28"/>
        <v>182455</v>
      </c>
      <c r="M25" s="69">
        <f t="shared" si="24"/>
        <v>189348</v>
      </c>
      <c r="N25" s="69">
        <f t="shared" si="24"/>
        <v>189348</v>
      </c>
      <c r="O25" s="69">
        <f t="shared" si="24"/>
        <v>146745</v>
      </c>
      <c r="P25" s="69"/>
      <c r="Q25" s="69">
        <f>Q9+Q18</f>
        <v>1834834.0699999998</v>
      </c>
      <c r="R25" s="503"/>
      <c r="S25" s="85">
        <f t="shared" ca="1" si="25"/>
        <v>117913.37599999999</v>
      </c>
      <c r="T25" s="85">
        <f t="shared" ca="1" si="25"/>
        <v>155462.16</v>
      </c>
      <c r="U25" s="85">
        <f ca="1">U9+U18</f>
        <v>150451.755</v>
      </c>
      <c r="V25" s="85">
        <f t="shared" ca="1" si="25"/>
        <v>150507.72</v>
      </c>
      <c r="W25" s="85">
        <f t="shared" ca="1" si="25"/>
        <v>148032.345</v>
      </c>
      <c r="X25" s="69">
        <f t="shared" ca="1" si="25"/>
        <v>183947.73</v>
      </c>
      <c r="Y25" s="69">
        <f t="shared" ca="1" si="25"/>
        <v>148508.23200000002</v>
      </c>
      <c r="Z25" s="69">
        <f t="shared" ca="1" si="25"/>
        <v>159023.4774</v>
      </c>
      <c r="AA25" s="69">
        <f t="shared" ca="1" si="25"/>
        <v>188685.67360000001</v>
      </c>
      <c r="AB25" s="69">
        <f t="shared" ca="1" si="25"/>
        <v>189344.83059999999</v>
      </c>
      <c r="AC25" s="69">
        <f t="shared" ca="1" si="25"/>
        <v>189137.5674</v>
      </c>
      <c r="AD25" s="69">
        <f t="shared" ca="1" si="25"/>
        <v>142756.60439999998</v>
      </c>
      <c r="AE25" s="69"/>
      <c r="AF25" s="69">
        <f ca="1">AF9+AF18</f>
        <v>1923771.4714000002</v>
      </c>
      <c r="AG25" s="89"/>
      <c r="AH25" s="85">
        <f t="shared" ca="1" si="26"/>
        <v>119092.50975999999</v>
      </c>
      <c r="AI25" s="85">
        <f t="shared" ca="1" si="26"/>
        <v>157016.78159999999</v>
      </c>
      <c r="AJ25" s="85">
        <f t="shared" ca="1" si="26"/>
        <v>151956.27254999999</v>
      </c>
      <c r="AK25" s="85">
        <f t="shared" ca="1" si="26"/>
        <v>152012.7972</v>
      </c>
      <c r="AL25" s="85">
        <f t="shared" ca="1" si="26"/>
        <v>149512.66845</v>
      </c>
      <c r="AM25" s="69">
        <f t="shared" ca="1" si="26"/>
        <v>185787.20730000001</v>
      </c>
      <c r="AN25" s="69">
        <f t="shared" ca="1" si="26"/>
        <v>149993.31432</v>
      </c>
      <c r="AO25" s="69">
        <f t="shared" ca="1" si="26"/>
        <v>160613.71217400001</v>
      </c>
      <c r="AP25" s="69">
        <f t="shared" ca="1" si="26"/>
        <v>190572.53033600003</v>
      </c>
      <c r="AQ25" s="69">
        <f t="shared" ca="1" si="26"/>
        <v>191238.27890599999</v>
      </c>
      <c r="AR25" s="69">
        <f t="shared" ca="1" si="26"/>
        <v>191028.94307399998</v>
      </c>
      <c r="AS25" s="69">
        <f t="shared" ca="1" si="26"/>
        <v>144184.17044399999</v>
      </c>
      <c r="AT25" s="69"/>
      <c r="AU25" s="69">
        <f ca="1">AU9+AU18</f>
        <v>1943009.1861139997</v>
      </c>
      <c r="AV25" s="89"/>
    </row>
    <row r="26" spans="1:48" hidden="1" outlineLevel="1">
      <c r="B26" s="67" t="s">
        <v>97</v>
      </c>
      <c r="C26" s="52"/>
      <c r="D26" s="501">
        <f t="shared" ref="D26:L26" si="29">D10+D19</f>
        <v>11293.890000000001</v>
      </c>
      <c r="E26" s="501">
        <f t="shared" si="29"/>
        <v>6163.5999999999995</v>
      </c>
      <c r="F26" s="501">
        <f t="shared" si="29"/>
        <v>7544</v>
      </c>
      <c r="G26" s="501">
        <f t="shared" si="29"/>
        <v>4293.2800000000007</v>
      </c>
      <c r="H26" s="501">
        <f t="shared" si="29"/>
        <v>6049.12</v>
      </c>
      <c r="I26" s="501">
        <f t="shared" si="29"/>
        <v>5572.18</v>
      </c>
      <c r="J26" s="501">
        <f t="shared" si="29"/>
        <v>5270.8499999999995</v>
      </c>
      <c r="K26" s="501">
        <f t="shared" si="29"/>
        <v>3683.9999999999995</v>
      </c>
      <c r="L26" s="501">
        <f t="shared" si="29"/>
        <v>1936</v>
      </c>
      <c r="M26" s="69">
        <f t="shared" si="24"/>
        <v>6358</v>
      </c>
      <c r="N26" s="69">
        <f t="shared" si="24"/>
        <v>6358</v>
      </c>
      <c r="O26" s="69">
        <f t="shared" si="24"/>
        <v>6358</v>
      </c>
      <c r="P26" s="69"/>
      <c r="Q26" s="69">
        <f>Q10+Q19</f>
        <v>70880.920000000013</v>
      </c>
      <c r="R26" s="503"/>
      <c r="S26" s="85">
        <f t="shared" si="25"/>
        <v>0</v>
      </c>
      <c r="T26" s="85">
        <f t="shared" si="25"/>
        <v>0</v>
      </c>
      <c r="U26" s="85">
        <f t="shared" si="25"/>
        <v>0</v>
      </c>
      <c r="V26" s="85">
        <f t="shared" si="25"/>
        <v>0</v>
      </c>
      <c r="W26" s="85">
        <f t="shared" si="25"/>
        <v>0</v>
      </c>
      <c r="X26" s="69">
        <f t="shared" si="25"/>
        <v>0</v>
      </c>
      <c r="Y26" s="69">
        <f t="shared" si="25"/>
        <v>0</v>
      </c>
      <c r="Z26" s="69">
        <f t="shared" si="25"/>
        <v>0</v>
      </c>
      <c r="AA26" s="69">
        <f t="shared" si="25"/>
        <v>0</v>
      </c>
      <c r="AB26" s="69">
        <f t="shared" si="25"/>
        <v>0</v>
      </c>
      <c r="AC26" s="69">
        <f t="shared" si="25"/>
        <v>0</v>
      </c>
      <c r="AD26" s="69">
        <f t="shared" si="25"/>
        <v>0</v>
      </c>
      <c r="AE26" s="69"/>
      <c r="AF26" s="69">
        <f>AF10+AF19</f>
        <v>0</v>
      </c>
      <c r="AG26" s="89"/>
      <c r="AH26" s="85">
        <f t="shared" si="26"/>
        <v>0</v>
      </c>
      <c r="AI26" s="85">
        <f t="shared" si="26"/>
        <v>0</v>
      </c>
      <c r="AJ26" s="85">
        <f t="shared" si="26"/>
        <v>0</v>
      </c>
      <c r="AK26" s="85">
        <f t="shared" si="26"/>
        <v>0</v>
      </c>
      <c r="AL26" s="85">
        <f t="shared" si="26"/>
        <v>0</v>
      </c>
      <c r="AM26" s="69">
        <f t="shared" si="26"/>
        <v>0</v>
      </c>
      <c r="AN26" s="69">
        <f t="shared" si="26"/>
        <v>0</v>
      </c>
      <c r="AO26" s="69">
        <f t="shared" si="26"/>
        <v>0</v>
      </c>
      <c r="AP26" s="69">
        <f t="shared" si="26"/>
        <v>0</v>
      </c>
      <c r="AQ26" s="69">
        <f t="shared" si="26"/>
        <v>0</v>
      </c>
      <c r="AR26" s="69">
        <f t="shared" si="26"/>
        <v>0</v>
      </c>
      <c r="AS26" s="69">
        <f t="shared" si="26"/>
        <v>0</v>
      </c>
      <c r="AT26" s="69"/>
      <c r="AU26" s="69">
        <f>AU10+AU19</f>
        <v>0</v>
      </c>
      <c r="AV26" s="89"/>
    </row>
    <row r="27" spans="1:48" collapsed="1">
      <c r="B27" s="67" t="s">
        <v>98</v>
      </c>
      <c r="C27" s="52"/>
      <c r="D27" s="501">
        <f t="shared" ref="D27:L27" si="30">D12+D21</f>
        <v>396881.03</v>
      </c>
      <c r="E27" s="501">
        <f t="shared" si="30"/>
        <v>397035.36000000004</v>
      </c>
      <c r="F27" s="501">
        <f t="shared" si="30"/>
        <v>412167.07</v>
      </c>
      <c r="G27" s="501">
        <f t="shared" si="30"/>
        <v>563414.37000000011</v>
      </c>
      <c r="H27" s="501">
        <f t="shared" si="30"/>
        <v>502082.18</v>
      </c>
      <c r="I27" s="501">
        <f t="shared" si="30"/>
        <v>461077.44000000006</v>
      </c>
      <c r="J27" s="501">
        <f t="shared" si="30"/>
        <v>354214.22000000009</v>
      </c>
      <c r="K27" s="501">
        <f t="shared" si="30"/>
        <v>426629.01</v>
      </c>
      <c r="L27" s="501">
        <f t="shared" si="30"/>
        <v>794651</v>
      </c>
      <c r="M27" s="69">
        <f t="shared" ref="M27:O27" si="31">M12+M21</f>
        <v>748501</v>
      </c>
      <c r="N27" s="69">
        <f t="shared" si="31"/>
        <v>600153</v>
      </c>
      <c r="O27" s="69">
        <f t="shared" si="31"/>
        <v>520549</v>
      </c>
      <c r="P27" s="69"/>
      <c r="Q27" s="69">
        <f>Q12+Q21</f>
        <v>6177354.6799999997</v>
      </c>
      <c r="R27" s="503"/>
      <c r="S27" s="85">
        <f t="shared" ref="S27:AD27" ca="1" si="32">S12+S21</f>
        <v>542727.28073911997</v>
      </c>
      <c r="T27" s="85">
        <f t="shared" ca="1" si="32"/>
        <v>522893.11332651996</v>
      </c>
      <c r="U27" s="85">
        <f t="shared" ca="1" si="32"/>
        <v>514791.16520119197</v>
      </c>
      <c r="V27" s="85">
        <f t="shared" ca="1" si="32"/>
        <v>568635.83479105891</v>
      </c>
      <c r="W27" s="85">
        <f t="shared" ca="1" si="32"/>
        <v>638828.98471588211</v>
      </c>
      <c r="X27" s="69">
        <f t="shared" ca="1" si="32"/>
        <v>654870.3283605933</v>
      </c>
      <c r="Y27" s="69">
        <f t="shared" ca="1" si="32"/>
        <v>723615.66667144478</v>
      </c>
      <c r="Z27" s="69">
        <f t="shared" ca="1" si="32"/>
        <v>1099158.0323626504</v>
      </c>
      <c r="AA27" s="69">
        <f t="shared" ca="1" si="32"/>
        <v>971945.41648829333</v>
      </c>
      <c r="AB27" s="69">
        <f t="shared" ca="1" si="32"/>
        <v>861315.36091731233</v>
      </c>
      <c r="AC27" s="69">
        <f t="shared" ca="1" si="32"/>
        <v>889856.29191395314</v>
      </c>
      <c r="AD27" s="69">
        <f t="shared" ca="1" si="32"/>
        <v>868992.27577439265</v>
      </c>
      <c r="AE27" s="69"/>
      <c r="AF27" s="69">
        <f ca="1">AF12+AF21</f>
        <v>8857629.7512624133</v>
      </c>
      <c r="AG27" s="89"/>
      <c r="AH27" s="85">
        <f t="shared" ref="AH27:AS27" ca="1" si="33">AH12+AH21</f>
        <v>939522.58857455757</v>
      </c>
      <c r="AI27" s="85">
        <f t="shared" ca="1" si="33"/>
        <v>936627.40679347469</v>
      </c>
      <c r="AJ27" s="85">
        <f t="shared" ca="1" si="33"/>
        <v>963621.16177555383</v>
      </c>
      <c r="AK27" s="85">
        <f t="shared" ca="1" si="33"/>
        <v>1017250.7059718226</v>
      </c>
      <c r="AL27" s="85">
        <f t="shared" ca="1" si="33"/>
        <v>1079458.9229413029</v>
      </c>
      <c r="AM27" s="69">
        <f t="shared" ca="1" si="33"/>
        <v>1119175.67168546</v>
      </c>
      <c r="AN27" s="69">
        <f t="shared" ca="1" si="33"/>
        <v>1188772.8850031947</v>
      </c>
      <c r="AO27" s="69">
        <f t="shared" ca="1" si="33"/>
        <v>1668096.6330561752</v>
      </c>
      <c r="AP27" s="69">
        <f t="shared" ca="1" si="33"/>
        <v>1477855.983264266</v>
      </c>
      <c r="AQ27" s="69">
        <f t="shared" ca="1" si="33"/>
        <v>1374323.2076038003</v>
      </c>
      <c r="AR27" s="69">
        <f t="shared" ca="1" si="33"/>
        <v>1394850.9934779957</v>
      </c>
      <c r="AS27" s="69">
        <f t="shared" ca="1" si="33"/>
        <v>1372268.2015020035</v>
      </c>
      <c r="AT27" s="69"/>
      <c r="AU27" s="69">
        <f ca="1">AU12+AU21</f>
        <v>14531824.361649606</v>
      </c>
      <c r="AV27" s="89"/>
    </row>
    <row r="28" spans="1:48">
      <c r="B28" s="52"/>
      <c r="C28" s="52"/>
      <c r="D28" s="70"/>
      <c r="E28" s="70"/>
      <c r="F28" s="70"/>
      <c r="G28" s="70"/>
      <c r="H28" s="70"/>
      <c r="I28" s="70"/>
      <c r="J28" s="70"/>
      <c r="K28" s="70"/>
      <c r="L28" s="70"/>
      <c r="M28" s="52"/>
      <c r="N28" s="52"/>
      <c r="O28" s="52"/>
      <c r="P28" s="52"/>
      <c r="R28" s="503"/>
      <c r="S28" s="10"/>
      <c r="T28" s="10"/>
      <c r="U28" s="10"/>
      <c r="V28" s="10"/>
      <c r="W28" s="10"/>
      <c r="X28" s="52"/>
      <c r="Y28" s="52"/>
      <c r="Z28" s="52"/>
      <c r="AA28" s="52"/>
      <c r="AB28" s="52"/>
      <c r="AC28" s="52"/>
      <c r="AD28" s="52"/>
      <c r="AE28" s="52"/>
      <c r="AG28" s="89"/>
      <c r="AH28" s="10"/>
      <c r="AI28" s="10"/>
      <c r="AJ28" s="10"/>
      <c r="AK28" s="10"/>
      <c r="AL28" s="10"/>
      <c r="AM28" s="52"/>
      <c r="AN28" s="52"/>
      <c r="AO28" s="52"/>
      <c r="AP28" s="52"/>
      <c r="AQ28" s="52"/>
      <c r="AR28" s="52"/>
      <c r="AS28" s="52"/>
      <c r="AT28" s="52"/>
      <c r="AV28" s="89"/>
    </row>
    <row r="29" spans="1:48" hidden="1" outlineLevel="1">
      <c r="B29" s="67" t="s">
        <v>99</v>
      </c>
      <c r="C29" s="52"/>
      <c r="D29" s="97">
        <f t="shared" ref="D29:L29" si="34">IFERROR(D23/D7,0)</f>
        <v>0.7855519830149269</v>
      </c>
      <c r="E29" s="97">
        <f t="shared" si="34"/>
        <v>0.80593096614695836</v>
      </c>
      <c r="F29" s="97">
        <f t="shared" si="34"/>
        <v>0.68816683692671654</v>
      </c>
      <c r="G29" s="97">
        <f t="shared" si="34"/>
        <v>0.75793794309326401</v>
      </c>
      <c r="H29" s="97">
        <f t="shared" si="34"/>
        <v>0.80011277382935175</v>
      </c>
      <c r="I29" s="97">
        <f t="shared" si="34"/>
        <v>0.77915956623694094</v>
      </c>
      <c r="J29" s="97">
        <f t="shared" si="34"/>
        <v>0.78138338588777811</v>
      </c>
      <c r="K29" s="97">
        <f t="shared" si="34"/>
        <v>0.81945382052843452</v>
      </c>
      <c r="L29" s="97">
        <f t="shared" si="34"/>
        <v>0.75639365490449983</v>
      </c>
      <c r="M29" s="91">
        <f t="shared" ref="M29:O32" si="35">IFERROR(M23/M7,0)</f>
        <v>0.72999952961590531</v>
      </c>
      <c r="N29" s="91">
        <f t="shared" si="35"/>
        <v>0.76</v>
      </c>
      <c r="O29" s="91">
        <f t="shared" si="35"/>
        <v>0.77</v>
      </c>
      <c r="P29" s="91"/>
      <c r="Q29" s="91">
        <f>IFERROR(Q23/Q7,0)</f>
        <v>0.75946030575484846</v>
      </c>
      <c r="R29" s="503"/>
      <c r="S29" s="91">
        <f>IFERROR(S23/S7,0)</f>
        <v>0.79</v>
      </c>
      <c r="T29" s="91">
        <f t="shared" ref="S29:AD32" si="36">IFERROR(T23/T7,0)</f>
        <v>0.79</v>
      </c>
      <c r="U29" s="91">
        <f t="shared" si="36"/>
        <v>0.79</v>
      </c>
      <c r="V29" s="91">
        <f t="shared" si="36"/>
        <v>0.78999999999999992</v>
      </c>
      <c r="W29" s="91">
        <f t="shared" si="36"/>
        <v>0.79</v>
      </c>
      <c r="X29" s="91">
        <f t="shared" si="36"/>
        <v>0.78999999999999992</v>
      </c>
      <c r="Y29" s="91">
        <f t="shared" si="36"/>
        <v>0.79</v>
      </c>
      <c r="Z29" s="91">
        <f t="shared" si="36"/>
        <v>0.78999999999999992</v>
      </c>
      <c r="AA29" s="91">
        <f t="shared" si="36"/>
        <v>0.78999999999999992</v>
      </c>
      <c r="AB29" s="91">
        <f t="shared" si="36"/>
        <v>0.79</v>
      </c>
      <c r="AC29" s="91">
        <f t="shared" si="36"/>
        <v>0.78999999999999992</v>
      </c>
      <c r="AD29" s="91">
        <f t="shared" si="36"/>
        <v>0.79</v>
      </c>
      <c r="AE29" s="91"/>
      <c r="AF29" s="91">
        <f>IFERROR(AF23/AF7,0)</f>
        <v>0.79</v>
      </c>
      <c r="AG29" s="89"/>
      <c r="AH29" s="91">
        <f>IFERROR(AH23/AH7,0)</f>
        <v>0.8</v>
      </c>
      <c r="AI29" s="91">
        <f t="shared" ref="AH29:AS32" si="37">IFERROR(AI23/AI7,0)</f>
        <v>0.79999999999999993</v>
      </c>
      <c r="AJ29" s="91">
        <f t="shared" si="37"/>
        <v>0.8</v>
      </c>
      <c r="AK29" s="91">
        <f t="shared" si="37"/>
        <v>0.79999999999999993</v>
      </c>
      <c r="AL29" s="91">
        <f t="shared" si="37"/>
        <v>0.8</v>
      </c>
      <c r="AM29" s="91">
        <f t="shared" si="37"/>
        <v>0.8</v>
      </c>
      <c r="AN29" s="91">
        <f t="shared" si="37"/>
        <v>0.8</v>
      </c>
      <c r="AO29" s="91">
        <f t="shared" si="37"/>
        <v>0.8</v>
      </c>
      <c r="AP29" s="91">
        <f t="shared" si="37"/>
        <v>0.79999999999999993</v>
      </c>
      <c r="AQ29" s="91">
        <f t="shared" si="37"/>
        <v>0.8</v>
      </c>
      <c r="AR29" s="91">
        <f t="shared" si="37"/>
        <v>0.8</v>
      </c>
      <c r="AS29" s="91">
        <f t="shared" si="37"/>
        <v>0.8</v>
      </c>
      <c r="AT29" s="91"/>
      <c r="AU29" s="91">
        <f>IFERROR(AU23/AU7,0)</f>
        <v>0.79999999999999993</v>
      </c>
      <c r="AV29" s="89"/>
    </row>
    <row r="30" spans="1:48" hidden="1" outlineLevel="1">
      <c r="B30" s="67" t="s">
        <v>100</v>
      </c>
      <c r="C30" s="52"/>
      <c r="D30" s="97">
        <f t="shared" ref="D30:L30" si="38">IFERROR(D24/D8,0)</f>
        <v>0.7325783276108232</v>
      </c>
      <c r="E30" s="97">
        <f t="shared" si="38"/>
        <v>0.74378386641226646</v>
      </c>
      <c r="F30" s="97">
        <f t="shared" si="38"/>
        <v>0.73532544053619742</v>
      </c>
      <c r="G30" s="97">
        <f t="shared" si="38"/>
        <v>0.74784841212618536</v>
      </c>
      <c r="H30" s="97">
        <f t="shared" si="38"/>
        <v>0.74706834894607832</v>
      </c>
      <c r="I30" s="97">
        <f t="shared" si="38"/>
        <v>0.73997692262375991</v>
      </c>
      <c r="J30" s="97">
        <f t="shared" si="38"/>
        <v>0.76660684658277223</v>
      </c>
      <c r="K30" s="97">
        <f t="shared" si="38"/>
        <v>0.75139467953026595</v>
      </c>
      <c r="L30" s="97">
        <f t="shared" si="38"/>
        <v>0.74712199031504856</v>
      </c>
      <c r="M30" s="91">
        <f t="shared" si="35"/>
        <v>0.67000137210510324</v>
      </c>
      <c r="N30" s="91">
        <f t="shared" si="35"/>
        <v>0.66999885339786491</v>
      </c>
      <c r="O30" s="91">
        <f t="shared" si="35"/>
        <v>0.6699997357037768</v>
      </c>
      <c r="P30" s="91"/>
      <c r="Q30" s="91">
        <f>IFERROR(Q24/Q8,0)</f>
        <v>0.72234907801512449</v>
      </c>
      <c r="R30" s="503"/>
      <c r="S30" s="91">
        <f>IFERROR(S24/S8,0)</f>
        <v>0.74480000000000002</v>
      </c>
      <c r="T30" s="91">
        <f t="shared" si="36"/>
        <v>0.74480000000000002</v>
      </c>
      <c r="U30" s="91">
        <f t="shared" si="36"/>
        <v>0.74480000000000013</v>
      </c>
      <c r="V30" s="91">
        <f t="shared" si="36"/>
        <v>0.74480000000000002</v>
      </c>
      <c r="W30" s="91">
        <f t="shared" si="36"/>
        <v>0.74480000000000013</v>
      </c>
      <c r="X30" s="91">
        <f t="shared" si="36"/>
        <v>0.74480000000000002</v>
      </c>
      <c r="Y30" s="91">
        <f t="shared" si="36"/>
        <v>0.74480000000000013</v>
      </c>
      <c r="Z30" s="91">
        <f t="shared" si="36"/>
        <v>0.74480000000000002</v>
      </c>
      <c r="AA30" s="91">
        <f t="shared" si="36"/>
        <v>0.74480000000000002</v>
      </c>
      <c r="AB30" s="91">
        <f t="shared" si="36"/>
        <v>0.74480000000000002</v>
      </c>
      <c r="AC30" s="91">
        <f t="shared" si="36"/>
        <v>0.74480000000000002</v>
      </c>
      <c r="AD30" s="91">
        <f t="shared" si="36"/>
        <v>0.74480000000000002</v>
      </c>
      <c r="AE30" s="91"/>
      <c r="AF30" s="91">
        <f>IFERROR(AF24/AF8,0)</f>
        <v>0.74480000000000002</v>
      </c>
      <c r="AG30" s="89"/>
      <c r="AH30" s="91">
        <f t="shared" si="37"/>
        <v>0.74480000000000002</v>
      </c>
      <c r="AI30" s="91">
        <f t="shared" si="37"/>
        <v>0.74480000000000013</v>
      </c>
      <c r="AJ30" s="91">
        <f t="shared" si="37"/>
        <v>0.74480000000000002</v>
      </c>
      <c r="AK30" s="91">
        <f t="shared" si="37"/>
        <v>0.74480000000000002</v>
      </c>
      <c r="AL30" s="91">
        <f t="shared" si="37"/>
        <v>0.74480000000000002</v>
      </c>
      <c r="AM30" s="91">
        <f t="shared" si="37"/>
        <v>0.74480000000000002</v>
      </c>
      <c r="AN30" s="91">
        <f t="shared" si="37"/>
        <v>0.74480000000000002</v>
      </c>
      <c r="AO30" s="91">
        <f t="shared" si="37"/>
        <v>0.74479999999999991</v>
      </c>
      <c r="AP30" s="91">
        <f t="shared" si="37"/>
        <v>0.74479999999999991</v>
      </c>
      <c r="AQ30" s="91">
        <f t="shared" si="37"/>
        <v>0.74479999999999991</v>
      </c>
      <c r="AR30" s="91">
        <f t="shared" si="37"/>
        <v>0.74480000000000002</v>
      </c>
      <c r="AS30" s="91">
        <f t="shared" si="37"/>
        <v>0.74479999999999991</v>
      </c>
      <c r="AT30" s="91"/>
      <c r="AU30" s="91">
        <f>IFERROR(AU24/AU8,0)</f>
        <v>0.74480000000000002</v>
      </c>
      <c r="AV30" s="89"/>
    </row>
    <row r="31" spans="1:48" hidden="1" outlineLevel="1">
      <c r="B31" s="67" t="s">
        <v>101</v>
      </c>
      <c r="C31" s="52"/>
      <c r="D31" s="97">
        <f t="shared" ref="D31:L31" si="39">IFERROR(D25/D9,0)</f>
        <v>0.86126869108878867</v>
      </c>
      <c r="E31" s="97">
        <f t="shared" si="39"/>
        <v>0.83225023510942486</v>
      </c>
      <c r="F31" s="97">
        <f t="shared" si="39"/>
        <v>0.82139123474548736</v>
      </c>
      <c r="G31" s="97">
        <f t="shared" si="39"/>
        <v>0.82858378718239045</v>
      </c>
      <c r="H31" s="97">
        <f t="shared" si="39"/>
        <v>0.85123060672080275</v>
      </c>
      <c r="I31" s="97">
        <f t="shared" si="39"/>
        <v>0.82295034675636158</v>
      </c>
      <c r="J31" s="97">
        <f t="shared" si="39"/>
        <v>0.82250165442581269</v>
      </c>
      <c r="K31" s="97">
        <f t="shared" si="39"/>
        <v>0.819266032112831</v>
      </c>
      <c r="L31" s="97">
        <f t="shared" si="39"/>
        <v>0.81495691946239779</v>
      </c>
      <c r="M31" s="91">
        <f t="shared" si="35"/>
        <v>0.82440634279295366</v>
      </c>
      <c r="N31" s="91">
        <f t="shared" si="35"/>
        <v>0.82440634279295366</v>
      </c>
      <c r="O31" s="91">
        <f t="shared" si="35"/>
        <v>0.82440548086808496</v>
      </c>
      <c r="P31" s="91"/>
      <c r="Q31" s="91">
        <f>IFERROR(Q25/Q9,0)</f>
        <v>0.82756992042161803</v>
      </c>
      <c r="R31" s="503"/>
      <c r="S31" s="91">
        <f ca="1">IFERROR(S25/S9,0)</f>
        <v>0.82</v>
      </c>
      <c r="T31" s="91">
        <f t="shared" ca="1" si="36"/>
        <v>0.82000000000000006</v>
      </c>
      <c r="U31" s="91">
        <f ca="1">IFERROR(U25/U9,0)</f>
        <v>0.82000000000000006</v>
      </c>
      <c r="V31" s="91">
        <f t="shared" ca="1" si="36"/>
        <v>0.82</v>
      </c>
      <c r="W31" s="91">
        <f t="shared" ca="1" si="36"/>
        <v>0.82</v>
      </c>
      <c r="X31" s="91">
        <f t="shared" ca="1" si="36"/>
        <v>0.82000000000000006</v>
      </c>
      <c r="Y31" s="91">
        <f t="shared" ca="1" si="36"/>
        <v>0.82000000000000006</v>
      </c>
      <c r="Z31" s="91">
        <f t="shared" ca="1" si="36"/>
        <v>0.82</v>
      </c>
      <c r="AA31" s="91">
        <f t="shared" ca="1" si="36"/>
        <v>0.82</v>
      </c>
      <c r="AB31" s="91">
        <f t="shared" ca="1" si="36"/>
        <v>0.82</v>
      </c>
      <c r="AC31" s="91">
        <f t="shared" ca="1" si="36"/>
        <v>0.82000000000000006</v>
      </c>
      <c r="AD31" s="91">
        <f t="shared" ca="1" si="36"/>
        <v>0.82</v>
      </c>
      <c r="AE31" s="91"/>
      <c r="AF31" s="91">
        <f ca="1">IFERROR(AF25/AF9,0)</f>
        <v>0.82000000000000006</v>
      </c>
      <c r="AG31" s="89"/>
      <c r="AH31" s="91">
        <f t="shared" ca="1" si="37"/>
        <v>0.82000000000000006</v>
      </c>
      <c r="AI31" s="91">
        <f t="shared" ca="1" si="37"/>
        <v>0.82</v>
      </c>
      <c r="AJ31" s="91">
        <f t="shared" ca="1" si="37"/>
        <v>0.82</v>
      </c>
      <c r="AK31" s="91">
        <f t="shared" ca="1" si="37"/>
        <v>0.82000000000000006</v>
      </c>
      <c r="AL31" s="91">
        <f t="shared" ca="1" si="37"/>
        <v>0.82000000000000006</v>
      </c>
      <c r="AM31" s="91">
        <f t="shared" ca="1" si="37"/>
        <v>0.82</v>
      </c>
      <c r="AN31" s="91">
        <f t="shared" ca="1" si="37"/>
        <v>0.82</v>
      </c>
      <c r="AO31" s="91">
        <f t="shared" ca="1" si="37"/>
        <v>0.82000000000000006</v>
      </c>
      <c r="AP31" s="91">
        <f t="shared" ca="1" si="37"/>
        <v>0.82000000000000006</v>
      </c>
      <c r="AQ31" s="91">
        <f t="shared" ca="1" si="37"/>
        <v>0.82000000000000006</v>
      </c>
      <c r="AR31" s="91">
        <f t="shared" ca="1" si="37"/>
        <v>0.82</v>
      </c>
      <c r="AS31" s="91">
        <f t="shared" ca="1" si="37"/>
        <v>0.82000000000000006</v>
      </c>
      <c r="AT31" s="91"/>
      <c r="AU31" s="91">
        <f ca="1">IFERROR(AU25/AU9,0)</f>
        <v>0.82</v>
      </c>
      <c r="AV31" s="89"/>
    </row>
    <row r="32" spans="1:48" hidden="1" outlineLevel="1">
      <c r="B32" s="67" t="s">
        <v>102</v>
      </c>
      <c r="C32" s="52"/>
      <c r="D32" s="97">
        <f t="shared" ref="D32:L32" si="40">IFERROR(D26/D10,0)</f>
        <v>0.8288716403363664</v>
      </c>
      <c r="E32" s="97">
        <f t="shared" si="40"/>
        <v>0.77708533742493713</v>
      </c>
      <c r="F32" s="97">
        <f t="shared" si="40"/>
        <v>0.79177162048698568</v>
      </c>
      <c r="G32" s="97">
        <f t="shared" si="40"/>
        <v>0.65828467690496062</v>
      </c>
      <c r="H32" s="97">
        <f t="shared" si="40"/>
        <v>0.66495767835550179</v>
      </c>
      <c r="I32" s="97">
        <f t="shared" si="40"/>
        <v>0.79937509593769329</v>
      </c>
      <c r="J32" s="97">
        <f t="shared" si="40"/>
        <v>0.82749444631965641</v>
      </c>
      <c r="K32" s="97">
        <f t="shared" si="40"/>
        <v>0.8412034415359041</v>
      </c>
      <c r="L32" s="97">
        <f t="shared" si="40"/>
        <v>0.88604118993135006</v>
      </c>
      <c r="M32" s="91">
        <f t="shared" si="35"/>
        <v>0.81996388960536493</v>
      </c>
      <c r="N32" s="91">
        <f t="shared" si="35"/>
        <v>0.81996388960536493</v>
      </c>
      <c r="O32" s="91">
        <f t="shared" si="35"/>
        <v>0.81996388960536493</v>
      </c>
      <c r="P32" s="91"/>
      <c r="Q32" s="91">
        <f>IFERROR(Q26/Q10,0)</f>
        <v>0.78869633015058593</v>
      </c>
      <c r="R32" s="503"/>
      <c r="S32" s="91">
        <f t="shared" si="36"/>
        <v>0</v>
      </c>
      <c r="T32" s="91">
        <f t="shared" si="36"/>
        <v>0</v>
      </c>
      <c r="U32" s="91">
        <f t="shared" si="36"/>
        <v>0</v>
      </c>
      <c r="V32" s="91">
        <f t="shared" si="36"/>
        <v>0</v>
      </c>
      <c r="W32" s="91">
        <f t="shared" si="36"/>
        <v>0</v>
      </c>
      <c r="X32" s="91">
        <f t="shared" si="36"/>
        <v>0</v>
      </c>
      <c r="Y32" s="91">
        <f t="shared" si="36"/>
        <v>0</v>
      </c>
      <c r="Z32" s="91">
        <f t="shared" si="36"/>
        <v>0</v>
      </c>
      <c r="AA32" s="91">
        <f t="shared" si="36"/>
        <v>0</v>
      </c>
      <c r="AB32" s="91">
        <f t="shared" si="36"/>
        <v>0</v>
      </c>
      <c r="AC32" s="91">
        <f t="shared" si="36"/>
        <v>0</v>
      </c>
      <c r="AD32" s="91">
        <f t="shared" si="36"/>
        <v>0</v>
      </c>
      <c r="AE32" s="91"/>
      <c r="AF32" s="91">
        <f>IFERROR(AF26/AF10,0)</f>
        <v>0</v>
      </c>
      <c r="AG32" s="89"/>
      <c r="AH32" s="91">
        <f t="shared" si="37"/>
        <v>0</v>
      </c>
      <c r="AI32" s="91">
        <f t="shared" si="37"/>
        <v>0</v>
      </c>
      <c r="AJ32" s="91">
        <f t="shared" si="37"/>
        <v>0</v>
      </c>
      <c r="AK32" s="91">
        <f t="shared" si="37"/>
        <v>0</v>
      </c>
      <c r="AL32" s="91">
        <f t="shared" si="37"/>
        <v>0</v>
      </c>
      <c r="AM32" s="91">
        <f t="shared" si="37"/>
        <v>0</v>
      </c>
      <c r="AN32" s="91">
        <f t="shared" si="37"/>
        <v>0</v>
      </c>
      <c r="AO32" s="91">
        <f t="shared" si="37"/>
        <v>0</v>
      </c>
      <c r="AP32" s="91">
        <f t="shared" si="37"/>
        <v>0</v>
      </c>
      <c r="AQ32" s="91">
        <f t="shared" si="37"/>
        <v>0</v>
      </c>
      <c r="AR32" s="91">
        <f t="shared" si="37"/>
        <v>0</v>
      </c>
      <c r="AS32" s="91">
        <f t="shared" si="37"/>
        <v>0</v>
      </c>
      <c r="AT32" s="91"/>
      <c r="AU32" s="91">
        <f>IFERROR(AU26/AU10,0)</f>
        <v>0</v>
      </c>
      <c r="AV32" s="89"/>
    </row>
    <row r="33" spans="1:48" collapsed="1">
      <c r="B33" s="72" t="s">
        <v>103</v>
      </c>
      <c r="C33" s="73"/>
      <c r="D33" s="97">
        <f t="shared" ref="D33:L33" si="41">IFERROR(D27/D12,0)</f>
        <v>0.77416254051210265</v>
      </c>
      <c r="E33" s="97">
        <f t="shared" si="41"/>
        <v>0.78704790726443763</v>
      </c>
      <c r="F33" s="97">
        <f t="shared" si="41"/>
        <v>0.75054778705465675</v>
      </c>
      <c r="G33" s="97">
        <f t="shared" si="41"/>
        <v>0.76998656616807959</v>
      </c>
      <c r="H33" s="97">
        <f t="shared" si="41"/>
        <v>0.77677690348811668</v>
      </c>
      <c r="I33" s="97">
        <f t="shared" si="41"/>
        <v>0.78130207081952574</v>
      </c>
      <c r="J33" s="97">
        <f t="shared" si="41"/>
        <v>0.79317356222630098</v>
      </c>
      <c r="K33" s="97">
        <f t="shared" si="41"/>
        <v>0.78600653092744732</v>
      </c>
      <c r="L33" s="97">
        <f t="shared" si="41"/>
        <v>0.76478683873426567</v>
      </c>
      <c r="M33" s="91">
        <f t="shared" ref="M33:O33" si="42">IFERROR(M27/M12,0)</f>
        <v>0.7279509448275191</v>
      </c>
      <c r="N33" s="91">
        <f t="shared" si="42"/>
        <v>0.7419867317140717</v>
      </c>
      <c r="O33" s="91">
        <f t="shared" si="42"/>
        <v>0.73608915385289786</v>
      </c>
      <c r="P33" s="91"/>
      <c r="Q33" s="91">
        <f>IFERROR(Q27/Q12,0)</f>
        <v>0.76196223275044639</v>
      </c>
      <c r="R33" s="503"/>
      <c r="S33" s="91">
        <f t="shared" ref="S33:AD33" ca="1" si="43">IFERROR(S27/S12,0)</f>
        <v>0.77447008403675677</v>
      </c>
      <c r="T33" s="91">
        <f t="shared" ca="1" si="43"/>
        <v>0.78232645707403059</v>
      </c>
      <c r="U33" s="91">
        <f t="shared" ca="1" si="43"/>
        <v>0.78308533719821927</v>
      </c>
      <c r="V33" s="91">
        <f t="shared" ca="1" si="43"/>
        <v>0.78321139619373026</v>
      </c>
      <c r="W33" s="91">
        <f t="shared" ca="1" si="43"/>
        <v>0.77926054674625922</v>
      </c>
      <c r="X33" s="91">
        <f t="shared" ca="1" si="43"/>
        <v>0.78598799777093209</v>
      </c>
      <c r="Y33" s="91">
        <f t="shared" ca="1" si="43"/>
        <v>0.78026504871468261</v>
      </c>
      <c r="Z33" s="91">
        <f t="shared" ca="1" si="43"/>
        <v>0.76901645202620017</v>
      </c>
      <c r="AA33" s="91">
        <f t="shared" ca="1" si="43"/>
        <v>0.77677894016573157</v>
      </c>
      <c r="AB33" s="91">
        <f t="shared" ca="1" si="43"/>
        <v>0.7830808968957671</v>
      </c>
      <c r="AC33" s="91">
        <f t="shared" ca="1" si="43"/>
        <v>0.78227054965614407</v>
      </c>
      <c r="AD33" s="91">
        <f t="shared" ca="1" si="43"/>
        <v>0.78201814727376218</v>
      </c>
      <c r="AE33" s="91"/>
      <c r="AF33" s="91">
        <f ca="1">IFERROR(AF27/AF12,0)</f>
        <v>0.77957342763929904</v>
      </c>
      <c r="AG33" s="89"/>
      <c r="AH33" s="91">
        <f t="shared" ref="AH33:AS33" ca="1" si="44">IFERROR(AH27/AH12,0)</f>
        <v>0.78439717465257908</v>
      </c>
      <c r="AI33" s="91">
        <f t="shared" ca="1" si="44"/>
        <v>0.78917108060718533</v>
      </c>
      <c r="AJ33" s="91">
        <f t="shared" ca="1" si="44"/>
        <v>0.79095852207245032</v>
      </c>
      <c r="AK33" s="91">
        <f t="shared" ca="1" si="44"/>
        <v>0.79081854818980857</v>
      </c>
      <c r="AL33" s="91">
        <f t="shared" ca="1" si="44"/>
        <v>0.78848006804425652</v>
      </c>
      <c r="AM33" s="91">
        <f t="shared" ca="1" si="44"/>
        <v>0.7923023030930314</v>
      </c>
      <c r="AN33" s="91">
        <f t="shared" ca="1" si="44"/>
        <v>0.78870888680784335</v>
      </c>
      <c r="AO33" s="91">
        <f t="shared" ca="1" si="44"/>
        <v>0.77673872043587544</v>
      </c>
      <c r="AP33" s="91">
        <f t="shared" ca="1" si="44"/>
        <v>0.78491212380562225</v>
      </c>
      <c r="AQ33" s="91">
        <f t="shared" ca="1" si="44"/>
        <v>0.78998474742622149</v>
      </c>
      <c r="AR33" s="91">
        <f t="shared" ca="1" si="44"/>
        <v>0.79023098492799437</v>
      </c>
      <c r="AS33" s="91">
        <f t="shared" ca="1" si="44"/>
        <v>0.7908001671684427</v>
      </c>
      <c r="AT33" s="91"/>
      <c r="AU33" s="91">
        <f ca="1">IFERROR(AU27/AU12,0)</f>
        <v>0.78769423445151188</v>
      </c>
      <c r="AV33" s="89"/>
    </row>
    <row r="34" spans="1:48">
      <c r="D34" s="71"/>
      <c r="E34" s="71"/>
      <c r="F34" s="71"/>
      <c r="G34" s="71"/>
      <c r="H34" s="71"/>
      <c r="I34" s="71"/>
      <c r="J34" s="71"/>
      <c r="K34" s="71"/>
      <c r="L34" s="71"/>
      <c r="R34" s="503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89"/>
      <c r="AH34" s="86"/>
      <c r="AI34" s="86"/>
      <c r="AJ34" s="86"/>
      <c r="AK34" s="86"/>
      <c r="AL34" s="86"/>
      <c r="AV34" s="89"/>
    </row>
    <row r="35" spans="1:48" hidden="1" outlineLevel="1">
      <c r="B35" s="58" t="s">
        <v>104</v>
      </c>
      <c r="D35" s="74"/>
      <c r="E35" s="74"/>
      <c r="F35" s="74"/>
      <c r="G35" s="74"/>
      <c r="H35" s="74"/>
      <c r="I35" s="74"/>
      <c r="J35" s="74"/>
      <c r="K35" s="74"/>
      <c r="L35" s="74"/>
      <c r="R35" s="503"/>
      <c r="S35" s="87"/>
      <c r="T35" s="87"/>
      <c r="U35" s="87"/>
      <c r="V35" s="87"/>
      <c r="W35" s="87"/>
      <c r="AG35" s="89"/>
      <c r="AH35" s="87"/>
      <c r="AI35" s="87"/>
      <c r="AJ35" s="87"/>
      <c r="AK35" s="87"/>
      <c r="AL35" s="87"/>
      <c r="AV35" s="89"/>
    </row>
    <row r="36" spans="1:48" hidden="1" outlineLevel="1">
      <c r="D36" s="53"/>
      <c r="E36" s="53"/>
      <c r="F36" s="53"/>
      <c r="G36" s="53"/>
      <c r="H36" s="53"/>
      <c r="I36" s="53"/>
      <c r="J36" s="53"/>
      <c r="K36" s="53"/>
      <c r="L36" s="53"/>
      <c r="R36" s="503"/>
      <c r="AG36" s="89"/>
      <c r="AV36" s="89"/>
    </row>
    <row r="37" spans="1:48" hidden="1" outlineLevel="1">
      <c r="D37" s="59"/>
      <c r="E37" s="59"/>
      <c r="F37" s="59"/>
      <c r="G37" s="59"/>
      <c r="H37" s="59"/>
      <c r="I37" s="59"/>
      <c r="J37" s="59">
        <v>-8901</v>
      </c>
      <c r="K37" s="59"/>
      <c r="L37" s="59"/>
      <c r="M37" s="60"/>
      <c r="N37" s="60"/>
      <c r="O37" s="60"/>
      <c r="P37" s="60"/>
      <c r="Q37" s="61">
        <f>SUM(D37:O37)</f>
        <v>-8901</v>
      </c>
      <c r="R37" s="504"/>
      <c r="S37" s="83"/>
      <c r="T37" s="83"/>
      <c r="U37" s="83"/>
      <c r="V37" s="83"/>
      <c r="W37" s="83"/>
      <c r="X37" s="83"/>
      <c r="Y37" s="83"/>
      <c r="Z37" s="83"/>
      <c r="AA37" s="83"/>
      <c r="AB37" s="83"/>
      <c r="AC37" s="83"/>
      <c r="AD37" s="83"/>
      <c r="AE37" s="60"/>
      <c r="AF37" s="61">
        <f>SUM(S37:AD37)</f>
        <v>0</v>
      </c>
      <c r="AG37" s="89"/>
      <c r="AH37" s="83"/>
      <c r="AI37" s="83"/>
      <c r="AJ37" s="83"/>
      <c r="AK37" s="83"/>
      <c r="AL37" s="83"/>
      <c r="AM37" s="83"/>
      <c r="AN37" s="83"/>
      <c r="AO37" s="83"/>
      <c r="AP37" s="83"/>
      <c r="AQ37" s="83"/>
      <c r="AR37" s="83"/>
      <c r="AS37" s="83"/>
      <c r="AT37" s="60"/>
      <c r="AU37" s="61">
        <f>SUM(AH37:AS37)</f>
        <v>0</v>
      </c>
      <c r="AV37" s="89"/>
    </row>
    <row r="38" spans="1:48" hidden="1" outlineLevel="1">
      <c r="B38" s="51" t="s">
        <v>106</v>
      </c>
      <c r="C38" s="75">
        <f>SUMIFS(Fulfilment!E:E,Fulfilment!A:A,"UK",Fulfilment!B:B,"DTC")</f>
        <v>-0.13662523757183823</v>
      </c>
      <c r="D38" s="480">
        <f>-10469.56-539</f>
        <v>-11008.56</v>
      </c>
      <c r="E38" s="480">
        <v>-9961.77</v>
      </c>
      <c r="F38" s="480">
        <v>-21636.03</v>
      </c>
      <c r="G38" s="480">
        <v>-39708.26</v>
      </c>
      <c r="H38" s="480">
        <v>-8987.17</v>
      </c>
      <c r="I38" s="480">
        <v>-21073.25</v>
      </c>
      <c r="J38" s="480">
        <v>-23974</v>
      </c>
      <c r="K38" s="480">
        <v>-10891.14</v>
      </c>
      <c r="L38" s="480">
        <v>-35162</v>
      </c>
      <c r="M38" s="60">
        <v>-38188</v>
      </c>
      <c r="N38" s="60">
        <v>-22291</v>
      </c>
      <c r="O38" s="60">
        <v>-20265</v>
      </c>
      <c r="P38" s="60"/>
      <c r="Q38" s="61">
        <f>SUM(D38:O38)</f>
        <v>-263146.18</v>
      </c>
      <c r="R38" s="504"/>
      <c r="S38" s="60">
        <f>$C$38*S7</f>
        <v>-30161.706193038262</v>
      </c>
      <c r="T38" s="60">
        <f t="shared" ref="T38:AD38" si="45">$C$38*T7</f>
        <v>-32720.53534981039</v>
      </c>
      <c r="U38" s="60">
        <f t="shared" si="45"/>
        <v>-34370.337172407693</v>
      </c>
      <c r="V38" s="60">
        <f t="shared" si="45"/>
        <v>-42575.111772051408</v>
      </c>
      <c r="W38" s="60">
        <f t="shared" si="45"/>
        <v>-44357.007643666198</v>
      </c>
      <c r="X38" s="60">
        <f t="shared" si="45"/>
        <v>-52738.876137707004</v>
      </c>
      <c r="Y38" s="60">
        <f t="shared" si="45"/>
        <v>-58249.799493981445</v>
      </c>
      <c r="Z38" s="60">
        <f t="shared" si="45"/>
        <v>-60541.445217692744</v>
      </c>
      <c r="AA38" s="60">
        <f t="shared" si="45"/>
        <v>-68644.580594692481</v>
      </c>
      <c r="AB38" s="60">
        <f t="shared" si="45"/>
        <v>-74784.42625318357</v>
      </c>
      <c r="AC38" s="60">
        <f t="shared" si="45"/>
        <v>-76409.112007165488</v>
      </c>
      <c r="AD38" s="60">
        <f t="shared" si="45"/>
        <v>-85438.025815948757</v>
      </c>
      <c r="AE38" s="60"/>
      <c r="AF38" s="61">
        <f>SUM(S38:AD38)</f>
        <v>-660990.96365134546</v>
      </c>
      <c r="AG38" s="89"/>
      <c r="AH38" s="60">
        <f t="shared" ref="AH38:AS38" si="46">$C$38*AH7</f>
        <v>-90356.829222201457</v>
      </c>
      <c r="AI38" s="60">
        <f t="shared" si="46"/>
        <v>-94702.607443268716</v>
      </c>
      <c r="AJ38" s="60">
        <f t="shared" si="46"/>
        <v>-104694.57051202779</v>
      </c>
      <c r="AK38" s="60">
        <f t="shared" si="46"/>
        <v>-112008.39816547543</v>
      </c>
      <c r="AL38" s="60">
        <f t="shared" si="46"/>
        <v>-114072.79997849563</v>
      </c>
      <c r="AM38" s="60">
        <f t="shared" si="46"/>
        <v>-123907.8899398552</v>
      </c>
      <c r="AN38" s="60">
        <f t="shared" si="46"/>
        <v>-129758.59986303208</v>
      </c>
      <c r="AO38" s="60">
        <f t="shared" si="46"/>
        <v>-133311.12253204852</v>
      </c>
      <c r="AP38" s="60">
        <f t="shared" si="46"/>
        <v>-143672.84486472383</v>
      </c>
      <c r="AQ38" s="60">
        <f t="shared" si="46"/>
        <v>-151152.05785025703</v>
      </c>
      <c r="AR38" s="60">
        <f t="shared" si="46"/>
        <v>-155119.89086666994</v>
      </c>
      <c r="AS38" s="60">
        <f t="shared" si="46"/>
        <v>-164843.59720784528</v>
      </c>
      <c r="AT38" s="60"/>
      <c r="AU38" s="61">
        <f>SUM(AH38:AS38)</f>
        <v>-1517601.2084459006</v>
      </c>
      <c r="AV38" s="89"/>
    </row>
    <row r="39" spans="1:48" hidden="1" outlineLevel="1">
      <c r="B39" s="51" t="s">
        <v>107</v>
      </c>
      <c r="C39" s="75">
        <f>SUMIFS(Fulfilment!E:E,Fulfilment!A:A,"UK",Fulfilment!B:B,"B2B")</f>
        <v>-5.2146324326728707E-2</v>
      </c>
      <c r="D39" s="480">
        <v>-14209.04</v>
      </c>
      <c r="E39" s="480">
        <v>-16429.580000000002</v>
      </c>
      <c r="F39" s="480">
        <v>-14862.2</v>
      </c>
      <c r="G39" s="480">
        <v>-13287.37</v>
      </c>
      <c r="H39" s="480">
        <v>-1569</v>
      </c>
      <c r="I39" s="480">
        <v>-11117.5</v>
      </c>
      <c r="J39" s="480">
        <v>-12061</v>
      </c>
      <c r="K39" s="480">
        <v>-18311.14</v>
      </c>
      <c r="L39" s="480">
        <v>-15340</v>
      </c>
      <c r="M39" s="60">
        <v>-32651</v>
      </c>
      <c r="N39" s="60">
        <v>-26513</v>
      </c>
      <c r="O39" s="60">
        <v>-27242</v>
      </c>
      <c r="P39" s="60"/>
      <c r="Q39" s="61">
        <f>SUM(D39:O39)</f>
        <v>-203592.83000000002</v>
      </c>
      <c r="R39" s="504"/>
      <c r="S39" s="60">
        <f t="shared" ref="S39:AD39" si="47">$C$39*S8</f>
        <v>-17532.287492740321</v>
      </c>
      <c r="T39" s="60">
        <f t="shared" si="47"/>
        <v>-12478.776746899015</v>
      </c>
      <c r="U39" s="60">
        <f t="shared" si="47"/>
        <v>-11594.425058140296</v>
      </c>
      <c r="V39" s="60">
        <f t="shared" si="47"/>
        <v>-12038.783682473068</v>
      </c>
      <c r="W39" s="60">
        <f t="shared" si="47"/>
        <v>-16405.2103759282</v>
      </c>
      <c r="X39" s="60">
        <f t="shared" si="47"/>
        <v>-11620.461519720599</v>
      </c>
      <c r="Y39" s="60">
        <f t="shared" si="47"/>
        <v>-16683.818597096873</v>
      </c>
      <c r="Z39" s="60">
        <f t="shared" si="47"/>
        <v>-41313.034006068796</v>
      </c>
      <c r="AA39" s="60">
        <f t="shared" si="47"/>
        <v>-27049.173589606093</v>
      </c>
      <c r="AB39" s="60">
        <f t="shared" si="47"/>
        <v>-16771.749354145431</v>
      </c>
      <c r="AC39" s="60">
        <f t="shared" si="47"/>
        <v>-18126.788550271573</v>
      </c>
      <c r="AD39" s="60">
        <f t="shared" si="47"/>
        <v>-16258.090191406725</v>
      </c>
      <c r="AE39" s="60"/>
      <c r="AF39" s="61">
        <f>SUM(S39:AD39)</f>
        <v>-217872.59916449699</v>
      </c>
      <c r="AG39" s="89"/>
      <c r="AH39" s="60">
        <f t="shared" ref="AH39:AS39" si="48">$C$39*AH8</f>
        <v>-20398.655540643402</v>
      </c>
      <c r="AI39" s="60">
        <f t="shared" si="48"/>
        <v>-15759.126125695466</v>
      </c>
      <c r="AJ39" s="60">
        <f t="shared" si="48"/>
        <v>-13907.04861395433</v>
      </c>
      <c r="AK39" s="60">
        <f t="shared" si="48"/>
        <v>-14659.514733162487</v>
      </c>
      <c r="AL39" s="60">
        <f t="shared" si="48"/>
        <v>-18343.670616068714</v>
      </c>
      <c r="AM39" s="60">
        <f t="shared" si="48"/>
        <v>-14552.664634779723</v>
      </c>
      <c r="AN39" s="60">
        <f t="shared" si="48"/>
        <v>-19532.937085199352</v>
      </c>
      <c r="AO39" s="60">
        <f t="shared" si="48"/>
        <v>-50892.271129195571</v>
      </c>
      <c r="AP39" s="60">
        <f t="shared" si="48"/>
        <v>-31227.348599633606</v>
      </c>
      <c r="AQ39" s="60">
        <f t="shared" si="48"/>
        <v>-20865.818023133797</v>
      </c>
      <c r="AR39" s="60">
        <f t="shared" si="48"/>
        <v>-20691.045159851765</v>
      </c>
      <c r="AS39" s="60">
        <f t="shared" si="48"/>
        <v>-18403.374730649357</v>
      </c>
      <c r="AT39" s="60"/>
      <c r="AU39" s="61">
        <f>SUM(AH39:AS39)</f>
        <v>-259233.47499196755</v>
      </c>
      <c r="AV39" s="89"/>
    </row>
    <row r="40" spans="1:48" hidden="1" outlineLevel="1">
      <c r="B40" s="51" t="s">
        <v>108</v>
      </c>
      <c r="C40" s="75">
        <f>SUMIFS(Fulfilment!E:E,Fulfilment!A:A,"UK",Fulfilment!B:B,"Marketplace")</f>
        <v>-0.40718778555318147</v>
      </c>
      <c r="D40" s="480">
        <v>-51161.51</v>
      </c>
      <c r="E40" s="480">
        <v>-78497.05</v>
      </c>
      <c r="F40" s="480">
        <v>-72539.990000000005</v>
      </c>
      <c r="G40" s="480">
        <v>-68660.56</v>
      </c>
      <c r="H40" s="480">
        <v>-53355.9</v>
      </c>
      <c r="I40" s="480">
        <v>-80097.64</v>
      </c>
      <c r="J40" s="480">
        <v>-65010</v>
      </c>
      <c r="K40" s="480">
        <v>-74310.100000000006</v>
      </c>
      <c r="L40" s="480">
        <v>-90526</v>
      </c>
      <c r="M40" s="60">
        <v>-96041</v>
      </c>
      <c r="N40" s="60">
        <v>-96041</v>
      </c>
      <c r="O40" s="60">
        <v>-74602</v>
      </c>
      <c r="P40" s="60"/>
      <c r="Q40" s="61">
        <f>SUM(D40:O40)</f>
        <v>-900842.75</v>
      </c>
      <c r="R40" s="504"/>
      <c r="S40" s="60">
        <f t="shared" ref="S40:AD40" ca="1" si="49">$C$40*S9</f>
        <v>-58552.300561633718</v>
      </c>
      <c r="T40" s="60">
        <f t="shared" ca="1" si="49"/>
        <v>-77197.91788745657</v>
      </c>
      <c r="U40" s="60">
        <f t="shared" ca="1" si="49"/>
        <v>-74709.898720780242</v>
      </c>
      <c r="V40" s="60">
        <f t="shared" ca="1" si="49"/>
        <v>-74737.68928714424</v>
      </c>
      <c r="W40" s="60">
        <f t="shared" ca="1" si="49"/>
        <v>-73508.491159505575</v>
      </c>
      <c r="X40" s="60">
        <f t="shared" ca="1" si="49"/>
        <v>-91343.01077589576</v>
      </c>
      <c r="Y40" s="60">
        <f t="shared" ca="1" si="49"/>
        <v>-73744.802590851366</v>
      </c>
      <c r="Z40" s="60">
        <f t="shared" ca="1" si="49"/>
        <v>-78966.362943259024</v>
      </c>
      <c r="AA40" s="60">
        <f t="shared" ca="1" si="49"/>
        <v>-93695.733657066332</v>
      </c>
      <c r="AB40" s="60">
        <f t="shared" ca="1" si="49"/>
        <v>-94023.051558483261</v>
      </c>
      <c r="AC40" s="60">
        <f t="shared" ca="1" si="49"/>
        <v>-93920.130773806828</v>
      </c>
      <c r="AD40" s="60">
        <f t="shared" ca="1" si="49"/>
        <v>-70888.714169179948</v>
      </c>
      <c r="AE40" s="60"/>
      <c r="AF40" s="61">
        <f ca="1">SUM(S40:AD40)</f>
        <v>-955288.10408506286</v>
      </c>
      <c r="AG40" s="89"/>
      <c r="AH40" s="60">
        <f t="shared" ref="AH40:AS40" ca="1" si="50">$C$40*AH9</f>
        <v>-59137.823567250052</v>
      </c>
      <c r="AI40" s="60">
        <f t="shared" ca="1" si="50"/>
        <v>-77969.897066331134</v>
      </c>
      <c r="AJ40" s="60">
        <f t="shared" ca="1" si="50"/>
        <v>-75456.997707988048</v>
      </c>
      <c r="AK40" s="60">
        <f t="shared" ca="1" si="50"/>
        <v>-75485.066180015681</v>
      </c>
      <c r="AL40" s="60">
        <f t="shared" ca="1" si="50"/>
        <v>-74243.57607110063</v>
      </c>
      <c r="AM40" s="60">
        <f t="shared" ca="1" si="50"/>
        <v>-92256.440883654723</v>
      </c>
      <c r="AN40" s="60">
        <f t="shared" ca="1" si="50"/>
        <v>-74482.250616759891</v>
      </c>
      <c r="AO40" s="60">
        <f t="shared" ca="1" si="50"/>
        <v>-79756.026572691611</v>
      </c>
      <c r="AP40" s="60">
        <f t="shared" ca="1" si="50"/>
        <v>-94632.690993637007</v>
      </c>
      <c r="AQ40" s="60">
        <f t="shared" ca="1" si="50"/>
        <v>-94963.282074068091</v>
      </c>
      <c r="AR40" s="60">
        <f t="shared" ca="1" si="50"/>
        <v>-94859.332081544897</v>
      </c>
      <c r="AS40" s="60">
        <f t="shared" ca="1" si="50"/>
        <v>-71597.601310871745</v>
      </c>
      <c r="AT40" s="60"/>
      <c r="AU40" s="61">
        <f ca="1">SUM(AH40:AS40)</f>
        <v>-964840.98512591352</v>
      </c>
      <c r="AV40" s="89"/>
    </row>
    <row r="41" spans="1:48" hidden="1" outlineLevel="1">
      <c r="B41" s="51" t="s">
        <v>109</v>
      </c>
      <c r="C41" s="75">
        <f>SUMIFS(Fulfilment!E:E,Fulfilment!A:A,"UK",Fulfilment!B:B,"TikTok")</f>
        <v>-0.34260596578395958</v>
      </c>
      <c r="D41" s="480">
        <v>-2991.42</v>
      </c>
      <c r="E41" s="480">
        <v>-2981.5</v>
      </c>
      <c r="F41" s="480">
        <v>-3954.77</v>
      </c>
      <c r="G41" s="480">
        <v>-2999.59</v>
      </c>
      <c r="H41" s="480">
        <v>-2896</v>
      </c>
      <c r="I41" s="480">
        <v>-2362.42</v>
      </c>
      <c r="J41" s="480">
        <v>-1735</v>
      </c>
      <c r="K41" s="480">
        <v>-1154.6400000000001</v>
      </c>
      <c r="L41" s="480">
        <v>1274</v>
      </c>
      <c r="M41" s="60">
        <v>-2303</v>
      </c>
      <c r="N41" s="60">
        <v>-2433</v>
      </c>
      <c r="O41" s="60">
        <v>-2576</v>
      </c>
      <c r="P41" s="60"/>
      <c r="Q41" s="61">
        <f>SUM(D41:O41)</f>
        <v>-27113.34</v>
      </c>
      <c r="R41" s="506"/>
      <c r="S41" s="60">
        <f t="shared" ref="S41:AD41" si="51">$C$41*S10</f>
        <v>0</v>
      </c>
      <c r="T41" s="60">
        <f t="shared" si="51"/>
        <v>0</v>
      </c>
      <c r="U41" s="60">
        <f t="shared" si="51"/>
        <v>0</v>
      </c>
      <c r="V41" s="60">
        <f t="shared" si="51"/>
        <v>0</v>
      </c>
      <c r="W41" s="60">
        <f t="shared" si="51"/>
        <v>0</v>
      </c>
      <c r="X41" s="60">
        <f t="shared" si="51"/>
        <v>0</v>
      </c>
      <c r="Y41" s="60">
        <f t="shared" si="51"/>
        <v>0</v>
      </c>
      <c r="Z41" s="60">
        <f t="shared" si="51"/>
        <v>0</v>
      </c>
      <c r="AA41" s="60">
        <f t="shared" si="51"/>
        <v>0</v>
      </c>
      <c r="AB41" s="60">
        <f t="shared" si="51"/>
        <v>0</v>
      </c>
      <c r="AC41" s="60">
        <f t="shared" si="51"/>
        <v>0</v>
      </c>
      <c r="AD41" s="60">
        <f t="shared" si="51"/>
        <v>0</v>
      </c>
      <c r="AE41" s="60"/>
      <c r="AF41" s="61">
        <f>SUM(S41:AD41)</f>
        <v>0</v>
      </c>
      <c r="AG41" s="89"/>
      <c r="AH41" s="60">
        <f t="shared" ref="AH41:AS41" si="52">$C$41*AH10</f>
        <v>0</v>
      </c>
      <c r="AI41" s="60">
        <f t="shared" si="52"/>
        <v>0</v>
      </c>
      <c r="AJ41" s="60">
        <f t="shared" si="52"/>
        <v>0</v>
      </c>
      <c r="AK41" s="60">
        <f t="shared" si="52"/>
        <v>0</v>
      </c>
      <c r="AL41" s="60">
        <f t="shared" si="52"/>
        <v>0</v>
      </c>
      <c r="AM41" s="60">
        <f t="shared" si="52"/>
        <v>0</v>
      </c>
      <c r="AN41" s="60">
        <f t="shared" si="52"/>
        <v>0</v>
      </c>
      <c r="AO41" s="60">
        <f t="shared" si="52"/>
        <v>0</v>
      </c>
      <c r="AP41" s="60">
        <f t="shared" si="52"/>
        <v>0</v>
      </c>
      <c r="AQ41" s="60">
        <f t="shared" si="52"/>
        <v>0</v>
      </c>
      <c r="AR41" s="60">
        <f t="shared" si="52"/>
        <v>0</v>
      </c>
      <c r="AS41" s="60">
        <f t="shared" si="52"/>
        <v>0</v>
      </c>
      <c r="AT41" s="60"/>
      <c r="AU41" s="61">
        <f>SUM(AH41:AS41)</f>
        <v>0</v>
      </c>
      <c r="AV41" s="89"/>
    </row>
    <row r="42" spans="1:48" hidden="1" outlineLevel="1">
      <c r="D42" s="502"/>
      <c r="E42" s="502"/>
      <c r="F42" s="502"/>
      <c r="G42" s="502"/>
      <c r="H42" s="502"/>
      <c r="I42" s="502"/>
      <c r="J42" s="502"/>
      <c r="K42" s="502"/>
      <c r="L42" s="502"/>
      <c r="R42" s="503"/>
      <c r="AG42" s="89"/>
      <c r="AV42" s="89"/>
    </row>
    <row r="43" spans="1:48" s="10" customFormat="1" collapsed="1">
      <c r="A43" s="52"/>
      <c r="B43" s="63" t="s">
        <v>110</v>
      </c>
      <c r="C43" s="52"/>
      <c r="D43" s="500">
        <f t="shared" ref="D43:I43" si="53">SUM(D37:D42)</f>
        <v>-79370.53</v>
      </c>
      <c r="E43" s="500">
        <f t="shared" si="53"/>
        <v>-107869.90000000001</v>
      </c>
      <c r="F43" s="500">
        <f t="shared" si="53"/>
        <v>-112992.99</v>
      </c>
      <c r="G43" s="500">
        <f t="shared" si="53"/>
        <v>-124655.78</v>
      </c>
      <c r="H43" s="500">
        <f t="shared" si="53"/>
        <v>-66808.070000000007</v>
      </c>
      <c r="I43" s="500">
        <f t="shared" si="53"/>
        <v>-114650.81</v>
      </c>
      <c r="J43" s="500">
        <f>SUM(J37:J42)-1</f>
        <v>-111682</v>
      </c>
      <c r="K43" s="500">
        <f>SUM(K37:K42)</f>
        <v>-104667.02</v>
      </c>
      <c r="L43" s="500">
        <f>SUM(L37:L42)</f>
        <v>-139754</v>
      </c>
      <c r="M43" s="65">
        <f>SUM(M37:M42)</f>
        <v>-169183</v>
      </c>
      <c r="N43" s="65">
        <f>SUM(N37:N42)</f>
        <v>-147278</v>
      </c>
      <c r="O43" s="65">
        <f>SUM(O37:O42)</f>
        <v>-124685</v>
      </c>
      <c r="P43" s="61"/>
      <c r="Q43" s="65">
        <f>SUM(D43:O43)</f>
        <v>-1403597.1</v>
      </c>
      <c r="R43" s="505"/>
      <c r="S43" s="84">
        <f ca="1">SUM(S37:S42)</f>
        <v>-106246.2942474123</v>
      </c>
      <c r="T43" s="84">
        <f t="shared" ref="T43:Z43" ca="1" si="54">SUM(T37:T42)</f>
        <v>-122397.22998416598</v>
      </c>
      <c r="U43" s="84">
        <f t="shared" ca="1" si="54"/>
        <v>-120674.66095132823</v>
      </c>
      <c r="V43" s="84">
        <f t="shared" ca="1" si="54"/>
        <v>-129351.58474166872</v>
      </c>
      <c r="W43" s="84">
        <f t="shared" ca="1" si="54"/>
        <v>-134270.70917909997</v>
      </c>
      <c r="X43" s="65">
        <f t="shared" ca="1" si="54"/>
        <v>-155702.34843332338</v>
      </c>
      <c r="Y43" s="65">
        <f t="shared" ca="1" si="54"/>
        <v>-148678.42068192968</v>
      </c>
      <c r="Z43" s="65">
        <f t="shared" ca="1" si="54"/>
        <v>-180820.84216702054</v>
      </c>
      <c r="AA43" s="65">
        <f ca="1">SUM(AA37:AA42)</f>
        <v>-189389.4878413649</v>
      </c>
      <c r="AB43" s="65">
        <f ca="1">SUM(AB37:AB42)</f>
        <v>-185579.22716581228</v>
      </c>
      <c r="AC43" s="65">
        <f ca="1">SUM(AC37:AC42)</f>
        <v>-188456.0313312439</v>
      </c>
      <c r="AD43" s="65">
        <f ca="1">SUM(AD37:AD42)</f>
        <v>-172584.83017653541</v>
      </c>
      <c r="AE43" s="61"/>
      <c r="AF43" s="65">
        <f ca="1">SUM(S43:AD43)</f>
        <v>-1834151.6669009053</v>
      </c>
      <c r="AG43" s="89"/>
      <c r="AH43" s="84">
        <f ca="1">SUM(AH37:AH42)</f>
        <v>-169893.30833009491</v>
      </c>
      <c r="AI43" s="84">
        <f t="shared" ref="AI43:AO43" ca="1" si="55">SUM(AI37:AI42)</f>
        <v>-188431.6306352953</v>
      </c>
      <c r="AJ43" s="84">
        <f t="shared" ca="1" si="55"/>
        <v>-194058.61683397018</v>
      </c>
      <c r="AK43" s="84">
        <f t="shared" ca="1" si="55"/>
        <v>-202152.97907865362</v>
      </c>
      <c r="AL43" s="84">
        <f t="shared" ca="1" si="55"/>
        <v>-206660.04666566497</v>
      </c>
      <c r="AM43" s="65">
        <f t="shared" ca="1" si="55"/>
        <v>-230716.99545828966</v>
      </c>
      <c r="AN43" s="65">
        <f t="shared" ca="1" si="55"/>
        <v>-223773.78756499133</v>
      </c>
      <c r="AO43" s="65">
        <f t="shared" ca="1" si="55"/>
        <v>-263959.4202339357</v>
      </c>
      <c r="AP43" s="65">
        <f ca="1">SUM(AP37:AP42)</f>
        <v>-269532.88445799443</v>
      </c>
      <c r="AQ43" s="65">
        <f ca="1">SUM(AQ37:AQ42)</f>
        <v>-266981.15794745891</v>
      </c>
      <c r="AR43" s="65">
        <f ca="1">SUM(AR37:AR42)</f>
        <v>-270670.26810806658</v>
      </c>
      <c r="AS43" s="65">
        <f ca="1">SUM(AS37:AS42)</f>
        <v>-254844.57324936637</v>
      </c>
      <c r="AT43" s="61"/>
      <c r="AU43" s="65">
        <f ca="1">SUM(AH43:AS43)</f>
        <v>-2741675.6685637822</v>
      </c>
      <c r="AV43" s="160"/>
    </row>
    <row r="44" spans="1:48">
      <c r="D44" s="53"/>
      <c r="E44" s="53"/>
      <c r="F44" s="53"/>
      <c r="G44" s="53"/>
      <c r="H44" s="53"/>
      <c r="I44" s="53"/>
      <c r="J44" s="53"/>
      <c r="K44" s="53"/>
      <c r="L44" s="53"/>
      <c r="Q44" s="91">
        <f>-Q43/Q12</f>
        <v>0.1731304151371881</v>
      </c>
      <c r="R44" s="503"/>
      <c r="AF44" s="91">
        <f ca="1">-AF43/AF12</f>
        <v>0.16142646982647765</v>
      </c>
      <c r="AG44" s="89"/>
      <c r="AU44" s="91">
        <f ca="1">-AU43/AU12</f>
        <v>0.14861190605654515</v>
      </c>
      <c r="AV44" s="89"/>
    </row>
    <row r="45" spans="1:48" hidden="1" outlineLevel="1">
      <c r="B45" s="67" t="s">
        <v>111</v>
      </c>
      <c r="C45" s="52"/>
      <c r="D45" s="68">
        <f t="shared" ref="D45:L45" si="56">D23+D38</f>
        <v>32140.420000000006</v>
      </c>
      <c r="E45" s="68">
        <f t="shared" si="56"/>
        <v>51804.609999999986</v>
      </c>
      <c r="F45" s="68">
        <f t="shared" si="56"/>
        <v>80757.69</v>
      </c>
      <c r="G45" s="68">
        <f t="shared" si="56"/>
        <v>169004.74</v>
      </c>
      <c r="H45" s="68">
        <f t="shared" si="56"/>
        <v>53944.100000000006</v>
      </c>
      <c r="I45" s="68">
        <f t="shared" si="56"/>
        <v>129637.45000000001</v>
      </c>
      <c r="J45" s="68">
        <f t="shared" si="56"/>
        <v>110259.93</v>
      </c>
      <c r="K45" s="68">
        <f t="shared" si="56"/>
        <v>63458.11</v>
      </c>
      <c r="L45" s="68">
        <f t="shared" si="56"/>
        <v>198488</v>
      </c>
      <c r="M45" s="69">
        <f t="shared" ref="M45:O48" si="57">M23+M38</f>
        <v>241158</v>
      </c>
      <c r="N45" s="69">
        <f t="shared" si="57"/>
        <v>160109</v>
      </c>
      <c r="O45" s="69">
        <f t="shared" si="57"/>
        <v>119028</v>
      </c>
      <c r="P45" s="69"/>
      <c r="Q45" s="69">
        <f>Q23+Q38</f>
        <v>1409790.05</v>
      </c>
      <c r="R45" s="503"/>
      <c r="S45" s="85">
        <f t="shared" ref="S45:AD48" si="58">S23+S38</f>
        <v>144240.53687696176</v>
      </c>
      <c r="T45" s="85">
        <f t="shared" si="58"/>
        <v>156477.47363998962</v>
      </c>
      <c r="U45" s="85">
        <f t="shared" si="58"/>
        <v>164367.2229502243</v>
      </c>
      <c r="V45" s="85">
        <f t="shared" si="58"/>
        <v>203604.42941436748</v>
      </c>
      <c r="W45" s="85">
        <f t="shared" si="58"/>
        <v>212125.88425301592</v>
      </c>
      <c r="X45" s="69">
        <f t="shared" si="58"/>
        <v>252209.99633456624</v>
      </c>
      <c r="Y45" s="69">
        <f t="shared" si="58"/>
        <v>278564.55792698328</v>
      </c>
      <c r="Z45" s="69">
        <f t="shared" si="58"/>
        <v>289523.75922031747</v>
      </c>
      <c r="AA45" s="69">
        <f t="shared" si="58"/>
        <v>328274.90246416081</v>
      </c>
      <c r="AB45" s="69">
        <f t="shared" si="58"/>
        <v>357637.12184440432</v>
      </c>
      <c r="AC45" s="69">
        <f t="shared" si="58"/>
        <v>365406.76007079857</v>
      </c>
      <c r="AD45" s="69">
        <f t="shared" si="58"/>
        <v>408585.19854704477</v>
      </c>
      <c r="AE45" s="69"/>
      <c r="AF45" s="69">
        <f>AF23+AF38</f>
        <v>3161017.8435428338</v>
      </c>
      <c r="AG45" s="89"/>
      <c r="AH45" s="85">
        <f t="shared" ref="AH45:AS48" si="59">AH23+AH38</f>
        <v>438721.58017308405</v>
      </c>
      <c r="AI45" s="85">
        <f t="shared" si="59"/>
        <v>459822.21755312983</v>
      </c>
      <c r="AJ45" s="85">
        <f t="shared" si="59"/>
        <v>508337.5302781582</v>
      </c>
      <c r="AK45" s="85">
        <f t="shared" si="59"/>
        <v>543849.3344533951</v>
      </c>
      <c r="AL45" s="85">
        <f t="shared" si="59"/>
        <v>553872.90027920739</v>
      </c>
      <c r="AM45" s="69">
        <f t="shared" si="59"/>
        <v>601626.52605530864</v>
      </c>
      <c r="AN45" s="69">
        <f t="shared" si="59"/>
        <v>630034.25931383483</v>
      </c>
      <c r="AO45" s="69">
        <f t="shared" si="59"/>
        <v>647283.29707188671</v>
      </c>
      <c r="AP45" s="69">
        <f t="shared" si="59"/>
        <v>697593.95133274992</v>
      </c>
      <c r="AQ45" s="69">
        <f t="shared" si="59"/>
        <v>733908.77299824869</v>
      </c>
      <c r="AR45" s="69">
        <f t="shared" si="59"/>
        <v>753174.32255115279</v>
      </c>
      <c r="AS45" s="69">
        <f t="shared" si="59"/>
        <v>800387.1325607727</v>
      </c>
      <c r="AT45" s="69"/>
      <c r="AU45" s="69">
        <f>AU23+AU38</f>
        <v>7368611.8246209268</v>
      </c>
      <c r="AV45" s="89"/>
    </row>
    <row r="46" spans="1:48" hidden="1" outlineLevel="1">
      <c r="B46" s="67" t="s">
        <v>112</v>
      </c>
      <c r="C46" s="52"/>
      <c r="D46" s="68">
        <f t="shared" ref="D46:L46" si="60">D24+D39</f>
        <v>213808.36000000002</v>
      </c>
      <c r="E46" s="68">
        <f t="shared" si="60"/>
        <v>154648.39999999997</v>
      </c>
      <c r="F46" s="68">
        <f t="shared" si="60"/>
        <v>145752.72999999998</v>
      </c>
      <c r="G46" s="68">
        <f t="shared" si="60"/>
        <v>194251.64</v>
      </c>
      <c r="H46" s="68">
        <f t="shared" si="60"/>
        <v>302596.89</v>
      </c>
      <c r="I46" s="68">
        <f t="shared" si="60"/>
        <v>131071.70000000001</v>
      </c>
      <c r="J46" s="68">
        <f t="shared" si="60"/>
        <v>71126.789999999994</v>
      </c>
      <c r="K46" s="68">
        <f t="shared" si="60"/>
        <v>182799.12</v>
      </c>
      <c r="L46" s="68">
        <f t="shared" si="60"/>
        <v>361270</v>
      </c>
      <c r="M46" s="69">
        <f t="shared" si="57"/>
        <v>240798</v>
      </c>
      <c r="N46" s="69">
        <f t="shared" si="57"/>
        <v>195534</v>
      </c>
      <c r="O46" s="69">
        <f t="shared" si="57"/>
        <v>200911</v>
      </c>
      <c r="P46" s="69"/>
      <c r="Q46" s="69">
        <f>Q24+Q39</f>
        <v>2394568.63</v>
      </c>
      <c r="R46" s="503"/>
      <c r="S46" s="85">
        <f t="shared" si="58"/>
        <v>232879.3741763797</v>
      </c>
      <c r="T46" s="85">
        <f t="shared" si="58"/>
        <v>165754.16758982101</v>
      </c>
      <c r="U46" s="85">
        <f t="shared" si="58"/>
        <v>154007.4250204197</v>
      </c>
      <c r="V46" s="85">
        <f t="shared" si="58"/>
        <v>159909.78992216694</v>
      </c>
      <c r="W46" s="85">
        <f t="shared" si="58"/>
        <v>217908.53744327178</v>
      </c>
      <c r="X46" s="69">
        <f t="shared" si="58"/>
        <v>154353.2643685994</v>
      </c>
      <c r="Y46" s="69">
        <f t="shared" si="58"/>
        <v>221609.25865338321</v>
      </c>
      <c r="Z46" s="69">
        <f t="shared" si="58"/>
        <v>548756.31651857111</v>
      </c>
      <c r="AA46" s="69">
        <f t="shared" si="58"/>
        <v>359291.08623983397</v>
      </c>
      <c r="AB46" s="69">
        <f t="shared" si="58"/>
        <v>222777.23286557899</v>
      </c>
      <c r="AC46" s="69">
        <f t="shared" si="58"/>
        <v>240776.06388571748</v>
      </c>
      <c r="AD46" s="69">
        <f t="shared" si="58"/>
        <v>215954.35681999254</v>
      </c>
      <c r="AE46" s="69"/>
      <c r="AF46" s="69">
        <f>AF24+AF39</f>
        <v>2893976.8735037353</v>
      </c>
      <c r="AG46" s="89"/>
      <c r="AH46" s="85">
        <f t="shared" si="59"/>
        <v>270953.01387862867</v>
      </c>
      <c r="AI46" s="85">
        <f t="shared" si="59"/>
        <v>209326.67407138058</v>
      </c>
      <c r="AJ46" s="85">
        <f t="shared" si="59"/>
        <v>184725.73982141365</v>
      </c>
      <c r="AK46" s="85">
        <f t="shared" si="59"/>
        <v>194720.66141978948</v>
      </c>
      <c r="AL46" s="85">
        <f t="shared" si="59"/>
        <v>243656.88361753128</v>
      </c>
      <c r="AM46" s="69">
        <f t="shared" si="59"/>
        <v>193301.38375551626</v>
      </c>
      <c r="AN46" s="69">
        <f t="shared" si="59"/>
        <v>259453.77442112868</v>
      </c>
      <c r="AO46" s="69">
        <f t="shared" si="59"/>
        <v>675996.23014904442</v>
      </c>
      <c r="AP46" s="69">
        <f t="shared" si="59"/>
        <v>414789.30813115841</v>
      </c>
      <c r="AQ46" s="69">
        <f t="shared" si="59"/>
        <v>277158.27982616087</v>
      </c>
      <c r="AR46" s="69">
        <f t="shared" si="59"/>
        <v>274836.79182632134</v>
      </c>
      <c r="AS46" s="69">
        <f t="shared" si="59"/>
        <v>244449.9265587363</v>
      </c>
      <c r="AT46" s="69"/>
      <c r="AU46" s="69">
        <f>AU24+AU39</f>
        <v>3443368.66747681</v>
      </c>
      <c r="AV46" s="89"/>
    </row>
    <row r="47" spans="1:48" hidden="1" outlineLevel="1">
      <c r="B47" s="67" t="s">
        <v>113</v>
      </c>
      <c r="C47" s="52"/>
      <c r="D47" s="68">
        <f t="shared" ref="D47:L47" si="61">D25+D40</f>
        <v>63259.250000000007</v>
      </c>
      <c r="E47" s="68">
        <f t="shared" si="61"/>
        <v>79530.35000000002</v>
      </c>
      <c r="F47" s="68">
        <f t="shared" si="61"/>
        <v>69074.429999999978</v>
      </c>
      <c r="G47" s="68">
        <f t="shared" si="61"/>
        <v>73666.51999999999</v>
      </c>
      <c r="H47" s="68">
        <f t="shared" si="61"/>
        <v>75580</v>
      </c>
      <c r="I47" s="68">
        <f t="shared" si="61"/>
        <v>82507.719999999987</v>
      </c>
      <c r="J47" s="68">
        <f t="shared" si="61"/>
        <v>66511.650000000023</v>
      </c>
      <c r="K47" s="68">
        <f t="shared" si="61"/>
        <v>73175.399999999994</v>
      </c>
      <c r="L47" s="68">
        <f t="shared" si="61"/>
        <v>91929</v>
      </c>
      <c r="M47" s="69">
        <f t="shared" si="57"/>
        <v>93307</v>
      </c>
      <c r="N47" s="69">
        <f t="shared" si="57"/>
        <v>93307</v>
      </c>
      <c r="O47" s="69">
        <f t="shared" si="57"/>
        <v>72143</v>
      </c>
      <c r="P47" s="69"/>
      <c r="Q47" s="69">
        <f>Q25+Q40</f>
        <v>933991.31999999983</v>
      </c>
      <c r="R47" s="503"/>
      <c r="S47" s="85">
        <f t="shared" ca="1" si="58"/>
        <v>59361.075438366272</v>
      </c>
      <c r="T47" s="85">
        <f t="shared" ca="1" si="58"/>
        <v>78264.242112543434</v>
      </c>
      <c r="U47" s="85">
        <f t="shared" ca="1" si="58"/>
        <v>75741.856279219763</v>
      </c>
      <c r="V47" s="85">
        <f t="shared" ca="1" si="58"/>
        <v>75770.030712855762</v>
      </c>
      <c r="W47" s="85">
        <f t="shared" ca="1" si="58"/>
        <v>74523.853840494427</v>
      </c>
      <c r="X47" s="69">
        <f t="shared" ca="1" si="58"/>
        <v>92604.71922410425</v>
      </c>
      <c r="Y47" s="69">
        <f t="shared" ca="1" si="58"/>
        <v>74763.429409148652</v>
      </c>
      <c r="Z47" s="69">
        <f t="shared" ca="1" si="58"/>
        <v>80057.114456740979</v>
      </c>
      <c r="AA47" s="69">
        <f t="shared" ca="1" si="58"/>
        <v>94989.939942933677</v>
      </c>
      <c r="AB47" s="69">
        <f t="shared" ca="1" si="58"/>
        <v>95321.779041516726</v>
      </c>
      <c r="AC47" s="69">
        <f t="shared" ca="1" si="58"/>
        <v>95217.436626193172</v>
      </c>
      <c r="AD47" s="69">
        <f t="shared" ca="1" si="58"/>
        <v>71867.890230820034</v>
      </c>
      <c r="AE47" s="69"/>
      <c r="AF47" s="69">
        <f ca="1">AF25+AF40</f>
        <v>968483.36731493729</v>
      </c>
      <c r="AG47" s="89"/>
      <c r="AH47" s="85">
        <f t="shared" ca="1" si="59"/>
        <v>59954.686192749934</v>
      </c>
      <c r="AI47" s="85">
        <f t="shared" ca="1" si="59"/>
        <v>79046.884533668854</v>
      </c>
      <c r="AJ47" s="85">
        <f t="shared" ca="1" si="59"/>
        <v>76499.274842011946</v>
      </c>
      <c r="AK47" s="85">
        <f t="shared" ca="1" si="59"/>
        <v>76527.73101998432</v>
      </c>
      <c r="AL47" s="85">
        <f t="shared" ca="1" si="59"/>
        <v>75269.092378899368</v>
      </c>
      <c r="AM47" s="69">
        <f t="shared" ca="1" si="59"/>
        <v>93530.766416345286</v>
      </c>
      <c r="AN47" s="69">
        <f t="shared" ca="1" si="59"/>
        <v>75511.063703240114</v>
      </c>
      <c r="AO47" s="69">
        <f t="shared" ca="1" si="59"/>
        <v>80857.685601308403</v>
      </c>
      <c r="AP47" s="69">
        <f t="shared" ca="1" si="59"/>
        <v>95939.839342363019</v>
      </c>
      <c r="AQ47" s="69">
        <f t="shared" ca="1" si="59"/>
        <v>96274.996831931901</v>
      </c>
      <c r="AR47" s="69">
        <f t="shared" ca="1" si="59"/>
        <v>96169.610992455084</v>
      </c>
      <c r="AS47" s="69">
        <f t="shared" ca="1" si="59"/>
        <v>72586.569133128243</v>
      </c>
      <c r="AT47" s="69"/>
      <c r="AU47" s="69">
        <f ca="1">AU25+AU40</f>
        <v>978168.20098808617</v>
      </c>
      <c r="AV47" s="89"/>
    </row>
    <row r="48" spans="1:48" hidden="1" outlineLevel="1">
      <c r="B48" s="67" t="s">
        <v>114</v>
      </c>
      <c r="C48" s="52"/>
      <c r="D48" s="68">
        <f t="shared" ref="D48:L48" si="62">D26+D41</f>
        <v>8302.4700000000012</v>
      </c>
      <c r="E48" s="68">
        <f t="shared" si="62"/>
        <v>3182.0999999999995</v>
      </c>
      <c r="F48" s="68">
        <f t="shared" si="62"/>
        <v>3589.23</v>
      </c>
      <c r="G48" s="68">
        <f t="shared" si="62"/>
        <v>1293.6900000000005</v>
      </c>
      <c r="H48" s="68">
        <f t="shared" si="62"/>
        <v>3153.12</v>
      </c>
      <c r="I48" s="68">
        <f t="shared" si="62"/>
        <v>3209.76</v>
      </c>
      <c r="J48" s="68">
        <f t="shared" si="62"/>
        <v>3535.8499999999995</v>
      </c>
      <c r="K48" s="68">
        <f t="shared" si="62"/>
        <v>2529.3599999999997</v>
      </c>
      <c r="L48" s="68">
        <f t="shared" si="62"/>
        <v>3210</v>
      </c>
      <c r="M48" s="69">
        <f t="shared" si="57"/>
        <v>4055</v>
      </c>
      <c r="N48" s="69">
        <f t="shared" si="57"/>
        <v>3925</v>
      </c>
      <c r="O48" s="69">
        <f t="shared" si="57"/>
        <v>3782</v>
      </c>
      <c r="P48" s="69"/>
      <c r="Q48" s="69">
        <f>Q26+Q41</f>
        <v>43767.580000000016</v>
      </c>
      <c r="R48" s="503"/>
      <c r="S48" s="85">
        <f t="shared" si="58"/>
        <v>0</v>
      </c>
      <c r="T48" s="85">
        <f t="shared" si="58"/>
        <v>0</v>
      </c>
      <c r="U48" s="85">
        <f t="shared" si="58"/>
        <v>0</v>
      </c>
      <c r="V48" s="85">
        <f t="shared" si="58"/>
        <v>0</v>
      </c>
      <c r="W48" s="85">
        <f t="shared" si="58"/>
        <v>0</v>
      </c>
      <c r="X48" s="69">
        <f t="shared" si="58"/>
        <v>0</v>
      </c>
      <c r="Y48" s="69">
        <f t="shared" si="58"/>
        <v>0</v>
      </c>
      <c r="Z48" s="69">
        <f t="shared" si="58"/>
        <v>0</v>
      </c>
      <c r="AA48" s="69">
        <f t="shared" si="58"/>
        <v>0</v>
      </c>
      <c r="AB48" s="69">
        <f t="shared" si="58"/>
        <v>0</v>
      </c>
      <c r="AC48" s="69">
        <f t="shared" si="58"/>
        <v>0</v>
      </c>
      <c r="AD48" s="69">
        <f t="shared" si="58"/>
        <v>0</v>
      </c>
      <c r="AE48" s="69"/>
      <c r="AF48" s="69">
        <f>AF26+AF41</f>
        <v>0</v>
      </c>
      <c r="AG48" s="89"/>
      <c r="AH48" s="85">
        <f t="shared" si="59"/>
        <v>0</v>
      </c>
      <c r="AI48" s="85">
        <f t="shared" si="59"/>
        <v>0</v>
      </c>
      <c r="AJ48" s="85">
        <f t="shared" si="59"/>
        <v>0</v>
      </c>
      <c r="AK48" s="85">
        <f t="shared" si="59"/>
        <v>0</v>
      </c>
      <c r="AL48" s="85">
        <f t="shared" si="59"/>
        <v>0</v>
      </c>
      <c r="AM48" s="69">
        <f t="shared" si="59"/>
        <v>0</v>
      </c>
      <c r="AN48" s="69">
        <f t="shared" si="59"/>
        <v>0</v>
      </c>
      <c r="AO48" s="69">
        <f t="shared" si="59"/>
        <v>0</v>
      </c>
      <c r="AP48" s="69">
        <f t="shared" si="59"/>
        <v>0</v>
      </c>
      <c r="AQ48" s="69">
        <f t="shared" si="59"/>
        <v>0</v>
      </c>
      <c r="AR48" s="69">
        <f t="shared" si="59"/>
        <v>0</v>
      </c>
      <c r="AS48" s="69">
        <f t="shared" si="59"/>
        <v>0</v>
      </c>
      <c r="AT48" s="69"/>
      <c r="AU48" s="69">
        <f>AU26+AU41</f>
        <v>0</v>
      </c>
      <c r="AV48" s="89"/>
    </row>
    <row r="49" spans="2:49" collapsed="1">
      <c r="B49" s="67" t="s">
        <v>115</v>
      </c>
      <c r="C49" s="52"/>
      <c r="D49" s="68">
        <f t="shared" ref="D49:L49" si="63">D27+D43</f>
        <v>317510.5</v>
      </c>
      <c r="E49" s="68">
        <f t="shared" si="63"/>
        <v>289165.46000000002</v>
      </c>
      <c r="F49" s="68">
        <f t="shared" si="63"/>
        <v>299174.08</v>
      </c>
      <c r="G49" s="68">
        <f t="shared" si="63"/>
        <v>438758.59000000008</v>
      </c>
      <c r="H49" s="68">
        <f t="shared" si="63"/>
        <v>435274.11</v>
      </c>
      <c r="I49" s="68">
        <f t="shared" si="63"/>
        <v>346426.63000000006</v>
      </c>
      <c r="J49" s="68">
        <f t="shared" si="63"/>
        <v>242532.22000000009</v>
      </c>
      <c r="K49" s="68">
        <f t="shared" si="63"/>
        <v>321961.99</v>
      </c>
      <c r="L49" s="68">
        <f t="shared" si="63"/>
        <v>654897</v>
      </c>
      <c r="M49" s="69">
        <f t="shared" ref="M49:Q49" si="64">M27+M43</f>
        <v>579318</v>
      </c>
      <c r="N49" s="69">
        <f t="shared" si="64"/>
        <v>452875</v>
      </c>
      <c r="O49" s="69">
        <f t="shared" si="64"/>
        <v>395864</v>
      </c>
      <c r="P49" s="69"/>
      <c r="Q49" s="69">
        <f t="shared" si="64"/>
        <v>4773757.58</v>
      </c>
      <c r="R49" s="503"/>
      <c r="S49" s="85">
        <f ca="1">S27+S43</f>
        <v>436480.98649170768</v>
      </c>
      <c r="T49" s="85">
        <f t="shared" ref="T49:AD49" ca="1" si="65">T27+T43</f>
        <v>400495.88334235398</v>
      </c>
      <c r="U49" s="85">
        <f t="shared" ca="1" si="65"/>
        <v>394116.50424986373</v>
      </c>
      <c r="V49" s="85">
        <f t="shared" ca="1" si="65"/>
        <v>439284.25004939019</v>
      </c>
      <c r="W49" s="85">
        <f t="shared" ca="1" si="65"/>
        <v>504558.27553678211</v>
      </c>
      <c r="X49" s="69">
        <f t="shared" ca="1" si="65"/>
        <v>499167.97992726992</v>
      </c>
      <c r="Y49" s="69">
        <f t="shared" ca="1" si="65"/>
        <v>574937.2459895151</v>
      </c>
      <c r="Z49" s="69">
        <f t="shared" ca="1" si="65"/>
        <v>918337.19019562984</v>
      </c>
      <c r="AA49" s="69">
        <f t="shared" ca="1" si="65"/>
        <v>782555.9286469284</v>
      </c>
      <c r="AB49" s="69">
        <f t="shared" ca="1" si="65"/>
        <v>675736.13375150005</v>
      </c>
      <c r="AC49" s="69">
        <f t="shared" ca="1" si="65"/>
        <v>701400.26058270922</v>
      </c>
      <c r="AD49" s="69">
        <f t="shared" ca="1" si="65"/>
        <v>696407.44559785724</v>
      </c>
      <c r="AE49" s="69"/>
      <c r="AF49" s="69">
        <f t="shared" ref="AF49" ca="1" si="66">AF27+AF43</f>
        <v>7023478.0843615085</v>
      </c>
      <c r="AG49" s="89"/>
      <c r="AH49" s="85">
        <f ca="1">AH27+AH43</f>
        <v>769629.28024446266</v>
      </c>
      <c r="AI49" s="85">
        <f t="shared" ref="AI49:AS49" ca="1" si="67">AI27+AI43</f>
        <v>748195.77615817939</v>
      </c>
      <c r="AJ49" s="85">
        <f t="shared" ca="1" si="67"/>
        <v>769562.54494158365</v>
      </c>
      <c r="AK49" s="85">
        <f t="shared" ca="1" si="67"/>
        <v>815097.72689316899</v>
      </c>
      <c r="AL49" s="85">
        <f t="shared" ca="1" si="67"/>
        <v>872798.87627563789</v>
      </c>
      <c r="AM49" s="69">
        <f t="shared" ca="1" si="67"/>
        <v>888458.67622717039</v>
      </c>
      <c r="AN49" s="69">
        <f t="shared" ca="1" si="67"/>
        <v>964999.0974382034</v>
      </c>
      <c r="AO49" s="69">
        <f t="shared" ca="1" si="67"/>
        <v>1404137.2128222394</v>
      </c>
      <c r="AP49" s="69">
        <f t="shared" ca="1" si="67"/>
        <v>1208323.0988062716</v>
      </c>
      <c r="AQ49" s="69">
        <f t="shared" ca="1" si="67"/>
        <v>1107342.0496563413</v>
      </c>
      <c r="AR49" s="69">
        <f t="shared" ca="1" si="67"/>
        <v>1124180.7253699291</v>
      </c>
      <c r="AS49" s="69">
        <f t="shared" ca="1" si="67"/>
        <v>1117423.6282526371</v>
      </c>
      <c r="AT49" s="69"/>
      <c r="AU49" s="69">
        <f t="shared" ref="AU49" ca="1" si="68">AU27+AU43</f>
        <v>11790148.693085823</v>
      </c>
      <c r="AV49" s="89"/>
    </row>
    <row r="50" spans="2:49">
      <c r="B50" s="52"/>
      <c r="C50" s="52"/>
      <c r="D50" s="70"/>
      <c r="E50" s="70"/>
      <c r="F50" s="70"/>
      <c r="G50" s="70"/>
      <c r="H50" s="70"/>
      <c r="I50" s="70"/>
      <c r="J50" s="70"/>
      <c r="K50" s="70"/>
      <c r="L50" s="70"/>
      <c r="M50" s="52"/>
      <c r="N50" s="52"/>
      <c r="O50" s="52"/>
      <c r="P50" s="52"/>
      <c r="R50" s="503"/>
      <c r="S50" s="10"/>
      <c r="T50" s="10"/>
      <c r="U50" s="10"/>
      <c r="V50" s="10"/>
      <c r="W50" s="10"/>
      <c r="X50" s="52"/>
      <c r="Y50" s="52"/>
      <c r="Z50" s="52"/>
      <c r="AA50" s="52"/>
      <c r="AB50" s="52"/>
      <c r="AC50" s="52"/>
      <c r="AD50" s="52"/>
      <c r="AE50" s="52"/>
      <c r="AG50" s="89"/>
      <c r="AH50" s="10"/>
      <c r="AI50" s="10"/>
      <c r="AJ50" s="10"/>
      <c r="AK50" s="10"/>
      <c r="AL50" s="10"/>
      <c r="AM50" s="52"/>
      <c r="AN50" s="52"/>
      <c r="AO50" s="52"/>
      <c r="AP50" s="52"/>
      <c r="AQ50" s="52"/>
      <c r="AR50" s="52"/>
      <c r="AS50" s="52"/>
      <c r="AT50" s="52"/>
      <c r="AV50" s="89"/>
    </row>
    <row r="51" spans="2:49" hidden="1" outlineLevel="1">
      <c r="B51" s="67" t="s">
        <v>116</v>
      </c>
      <c r="C51" s="52"/>
      <c r="D51" s="97">
        <f t="shared" ref="D51:L51" si="69">IFERROR(D45/D7,0)</f>
        <v>0.58513482047391663</v>
      </c>
      <c r="E51" s="97">
        <f t="shared" si="69"/>
        <v>0.67594926865013583</v>
      </c>
      <c r="F51" s="97">
        <f t="shared" si="69"/>
        <v>0.54275559169847842</v>
      </c>
      <c r="G51" s="97">
        <f t="shared" si="69"/>
        <v>0.61373802785936604</v>
      </c>
      <c r="H51" s="97">
        <f t="shared" si="69"/>
        <v>0.68584923651990393</v>
      </c>
      <c r="I51" s="97">
        <f t="shared" si="69"/>
        <v>0.67021292655440601</v>
      </c>
      <c r="J51" s="97">
        <f t="shared" si="69"/>
        <v>0.64182936036477067</v>
      </c>
      <c r="K51" s="97">
        <f t="shared" si="69"/>
        <v>0.69941513442319403</v>
      </c>
      <c r="L51" s="97">
        <f t="shared" si="69"/>
        <v>0.64256393654904498</v>
      </c>
      <c r="M51" s="91">
        <f t="shared" ref="M51:O54" si="70">IFERROR(M45/M7,0)</f>
        <v>0.6302049306706109</v>
      </c>
      <c r="N51" s="91">
        <f t="shared" si="70"/>
        <v>0.66712083333333339</v>
      </c>
      <c r="O51" s="91">
        <f t="shared" si="70"/>
        <v>0.65797678275290217</v>
      </c>
      <c r="P51" s="91"/>
      <c r="Q51" s="91">
        <f>IFERROR(Q45/Q7,0)</f>
        <v>0.64000023624519331</v>
      </c>
      <c r="R51" s="503"/>
      <c r="S51" s="91">
        <f t="shared" ref="S51:AD54" si="71">IFERROR(S45/S7,0)</f>
        <v>0.65337476242816184</v>
      </c>
      <c r="T51" s="91">
        <f t="shared" si="71"/>
        <v>0.65337476242816184</v>
      </c>
      <c r="U51" s="91">
        <f t="shared" si="71"/>
        <v>0.65337476242816184</v>
      </c>
      <c r="V51" s="91">
        <f t="shared" si="71"/>
        <v>0.65337476242816173</v>
      </c>
      <c r="W51" s="91">
        <f t="shared" si="71"/>
        <v>0.65337476242816173</v>
      </c>
      <c r="X51" s="91">
        <f t="shared" si="71"/>
        <v>0.65337476242816173</v>
      </c>
      <c r="Y51" s="91">
        <f t="shared" si="71"/>
        <v>0.65337476242816173</v>
      </c>
      <c r="Z51" s="91">
        <f t="shared" si="71"/>
        <v>0.65337476242816173</v>
      </c>
      <c r="AA51" s="91">
        <f t="shared" si="71"/>
        <v>0.65337476242816173</v>
      </c>
      <c r="AB51" s="91">
        <f t="shared" si="71"/>
        <v>0.65337476242816173</v>
      </c>
      <c r="AC51" s="91">
        <f t="shared" si="71"/>
        <v>0.65337476242816173</v>
      </c>
      <c r="AD51" s="91">
        <f t="shared" si="71"/>
        <v>0.65337476242816184</v>
      </c>
      <c r="AE51" s="91"/>
      <c r="AF51" s="91">
        <f>IFERROR(AF45/AF7,0)</f>
        <v>0.65337476242816173</v>
      </c>
      <c r="AG51" s="89"/>
      <c r="AH51" s="91">
        <f t="shared" ref="AH51:AS54" si="72">IFERROR(AH45/AH7,0)</f>
        <v>0.66337476242816173</v>
      </c>
      <c r="AI51" s="91">
        <f t="shared" si="72"/>
        <v>0.66337476242816173</v>
      </c>
      <c r="AJ51" s="91">
        <f t="shared" si="72"/>
        <v>0.66337476242816185</v>
      </c>
      <c r="AK51" s="91">
        <f t="shared" si="72"/>
        <v>0.66337476242816173</v>
      </c>
      <c r="AL51" s="91">
        <f t="shared" si="72"/>
        <v>0.66337476242816185</v>
      </c>
      <c r="AM51" s="91">
        <f t="shared" si="72"/>
        <v>0.66337476242816173</v>
      </c>
      <c r="AN51" s="91">
        <f t="shared" si="72"/>
        <v>0.66337476242816185</v>
      </c>
      <c r="AO51" s="91">
        <f t="shared" si="72"/>
        <v>0.66337476242816185</v>
      </c>
      <c r="AP51" s="91">
        <f t="shared" si="72"/>
        <v>0.66337476242816173</v>
      </c>
      <c r="AQ51" s="91">
        <f t="shared" si="72"/>
        <v>0.66337476242816173</v>
      </c>
      <c r="AR51" s="91">
        <f t="shared" si="72"/>
        <v>0.66337476242816185</v>
      </c>
      <c r="AS51" s="91">
        <f t="shared" si="72"/>
        <v>0.66337476242816173</v>
      </c>
      <c r="AT51" s="91"/>
      <c r="AU51" s="91">
        <f>IFERROR(AU45/AU7,0)</f>
        <v>0.66337476242816162</v>
      </c>
      <c r="AV51" s="89"/>
    </row>
    <row r="52" spans="2:49" hidden="1" outlineLevel="1">
      <c r="B52" s="67" t="s">
        <v>117</v>
      </c>
      <c r="C52" s="52"/>
      <c r="D52" s="97">
        <f t="shared" ref="D52:L52" si="73">IFERROR(D46/D8,0)</f>
        <v>0.68692727308535584</v>
      </c>
      <c r="E52" s="97">
        <f t="shared" si="73"/>
        <v>0.67235412112342419</v>
      </c>
      <c r="F52" s="97">
        <f t="shared" si="73"/>
        <v>0.6672834860159228</v>
      </c>
      <c r="G52" s="97">
        <f t="shared" si="73"/>
        <v>0.69996855302965644</v>
      </c>
      <c r="H52" s="97">
        <f t="shared" si="73"/>
        <v>0.74321469448306021</v>
      </c>
      <c r="I52" s="97">
        <f t="shared" si="73"/>
        <v>0.68211955063439889</v>
      </c>
      <c r="J52" s="97">
        <f t="shared" si="73"/>
        <v>0.65546018459505972</v>
      </c>
      <c r="K52" s="97">
        <f t="shared" si="73"/>
        <v>0.68298000405754844</v>
      </c>
      <c r="L52" s="97">
        <f t="shared" si="73"/>
        <v>0.71669037317415252</v>
      </c>
      <c r="M52" s="91">
        <f t="shared" si="70"/>
        <v>0.59000029402252208</v>
      </c>
      <c r="N52" s="91">
        <f t="shared" si="70"/>
        <v>0.58999921548274969</v>
      </c>
      <c r="O52" s="91">
        <f t="shared" si="70"/>
        <v>0.59000020556372912</v>
      </c>
      <c r="P52" s="91"/>
      <c r="Q52" s="91">
        <f>IFERROR(Q46/Q8,0)</f>
        <v>0.66574555459861218</v>
      </c>
      <c r="R52" s="503"/>
      <c r="S52" s="91">
        <f t="shared" si="71"/>
        <v>0.6926536756732713</v>
      </c>
      <c r="T52" s="91">
        <f t="shared" si="71"/>
        <v>0.69265367567327141</v>
      </c>
      <c r="U52" s="91">
        <f t="shared" si="71"/>
        <v>0.69265367567327141</v>
      </c>
      <c r="V52" s="91">
        <f t="shared" si="71"/>
        <v>0.6926536756732713</v>
      </c>
      <c r="W52" s="91">
        <f t="shared" si="71"/>
        <v>0.69265367567327141</v>
      </c>
      <c r="X52" s="91">
        <f t="shared" si="71"/>
        <v>0.69265367567327141</v>
      </c>
      <c r="Y52" s="91">
        <f t="shared" si="71"/>
        <v>0.69265367567327141</v>
      </c>
      <c r="Z52" s="91">
        <f t="shared" si="71"/>
        <v>0.6926536756732713</v>
      </c>
      <c r="AA52" s="91">
        <f t="shared" si="71"/>
        <v>0.6926536756732713</v>
      </c>
      <c r="AB52" s="91">
        <f t="shared" si="71"/>
        <v>0.6926536756732713</v>
      </c>
      <c r="AC52" s="91">
        <f t="shared" si="71"/>
        <v>0.6926536756732713</v>
      </c>
      <c r="AD52" s="91">
        <f t="shared" si="71"/>
        <v>0.69265367567327141</v>
      </c>
      <c r="AE52" s="91"/>
      <c r="AF52" s="91">
        <f>IFERROR(AF46/AF8,0)</f>
        <v>0.6926536756732713</v>
      </c>
      <c r="AG52" s="89"/>
      <c r="AH52" s="91">
        <f t="shared" si="72"/>
        <v>0.69265367567327141</v>
      </c>
      <c r="AI52" s="91">
        <f t="shared" si="72"/>
        <v>0.6926536756732713</v>
      </c>
      <c r="AJ52" s="91">
        <f t="shared" si="72"/>
        <v>0.6926536756732713</v>
      </c>
      <c r="AK52" s="91">
        <f t="shared" si="72"/>
        <v>0.6926536756732713</v>
      </c>
      <c r="AL52" s="91">
        <f t="shared" si="72"/>
        <v>0.69265367567327141</v>
      </c>
      <c r="AM52" s="91">
        <f t="shared" si="72"/>
        <v>0.6926536756732713</v>
      </c>
      <c r="AN52" s="91">
        <f t="shared" si="72"/>
        <v>0.6926536756732713</v>
      </c>
      <c r="AO52" s="91">
        <f t="shared" si="72"/>
        <v>0.69265367567327119</v>
      </c>
      <c r="AP52" s="91">
        <f t="shared" si="72"/>
        <v>0.69265367567327119</v>
      </c>
      <c r="AQ52" s="91">
        <f t="shared" si="72"/>
        <v>0.69265367567327119</v>
      </c>
      <c r="AR52" s="91">
        <f t="shared" si="72"/>
        <v>0.6926536756732713</v>
      </c>
      <c r="AS52" s="91">
        <f t="shared" si="72"/>
        <v>0.6926536756732713</v>
      </c>
      <c r="AT52" s="91"/>
      <c r="AU52" s="91">
        <f>IFERROR(AU46/AU8,0)</f>
        <v>0.6926536756732713</v>
      </c>
      <c r="AV52" s="89"/>
    </row>
    <row r="53" spans="2:49" hidden="1" outlineLevel="1">
      <c r="B53" s="67" t="s">
        <v>118</v>
      </c>
      <c r="C53" s="52"/>
      <c r="D53" s="97">
        <f t="shared" ref="D53:L53" si="74">IFERROR(D47/D9,0)</f>
        <v>0.47616543926782567</v>
      </c>
      <c r="E53" s="97">
        <f t="shared" si="74"/>
        <v>0.41884605129132579</v>
      </c>
      <c r="F53" s="97">
        <f t="shared" si="74"/>
        <v>0.40064515567723064</v>
      </c>
      <c r="G53" s="97">
        <f t="shared" si="74"/>
        <v>0.4288634610514549</v>
      </c>
      <c r="H53" s="97">
        <f t="shared" si="74"/>
        <v>0.49897669505512643</v>
      </c>
      <c r="I53" s="97">
        <f t="shared" si="74"/>
        <v>0.41757391505468688</v>
      </c>
      <c r="J53" s="97">
        <f t="shared" si="74"/>
        <v>0.41594628841404147</v>
      </c>
      <c r="K53" s="97">
        <f t="shared" si="74"/>
        <v>0.40648144804926073</v>
      </c>
      <c r="L53" s="97">
        <f t="shared" si="74"/>
        <v>0.41061179276675763</v>
      </c>
      <c r="M53" s="91">
        <f t="shared" si="70"/>
        <v>0.40625136060049288</v>
      </c>
      <c r="N53" s="91">
        <f t="shared" si="70"/>
        <v>0.40625136060049288</v>
      </c>
      <c r="O53" s="91">
        <f t="shared" si="70"/>
        <v>0.4052954758681131</v>
      </c>
      <c r="P53" s="91"/>
      <c r="Q53" s="91">
        <f>IFERROR(Q47/Q9,0)</f>
        <v>0.42126050251883645</v>
      </c>
      <c r="R53" s="503"/>
      <c r="S53" s="91">
        <f t="shared" ca="1" si="71"/>
        <v>0.41281221444681854</v>
      </c>
      <c r="T53" s="91">
        <f t="shared" ca="1" si="71"/>
        <v>0.41281221444681854</v>
      </c>
      <c r="U53" s="91">
        <f t="shared" ca="1" si="71"/>
        <v>0.41281221444681854</v>
      </c>
      <c r="V53" s="91">
        <f t="shared" ca="1" si="71"/>
        <v>0.41281221444681859</v>
      </c>
      <c r="W53" s="91">
        <f t="shared" ca="1" si="71"/>
        <v>0.41281221444681854</v>
      </c>
      <c r="X53" s="91">
        <f t="shared" ca="1" si="71"/>
        <v>0.41281221444681859</v>
      </c>
      <c r="Y53" s="91">
        <f t="shared" ca="1" si="71"/>
        <v>0.41281221444681865</v>
      </c>
      <c r="Z53" s="91">
        <f t="shared" ca="1" si="71"/>
        <v>0.41281221444681854</v>
      </c>
      <c r="AA53" s="91">
        <f t="shared" ca="1" si="71"/>
        <v>0.41281221444681854</v>
      </c>
      <c r="AB53" s="91">
        <f t="shared" ca="1" si="71"/>
        <v>0.41281221444681848</v>
      </c>
      <c r="AC53" s="91">
        <f t="shared" ca="1" si="71"/>
        <v>0.41281221444681859</v>
      </c>
      <c r="AD53" s="91">
        <f t="shared" ca="1" si="71"/>
        <v>0.41281221444681848</v>
      </c>
      <c r="AE53" s="91"/>
      <c r="AF53" s="91">
        <f ca="1">IFERROR(AF47/AF9,0)</f>
        <v>0.41281221444681859</v>
      </c>
      <c r="AG53" s="89"/>
      <c r="AH53" s="91">
        <f t="shared" ca="1" si="72"/>
        <v>0.41281221444681854</v>
      </c>
      <c r="AI53" s="91">
        <f t="shared" ca="1" si="72"/>
        <v>0.41281221444681848</v>
      </c>
      <c r="AJ53" s="91">
        <f t="shared" ca="1" si="72"/>
        <v>0.41281221444681848</v>
      </c>
      <c r="AK53" s="91">
        <f t="shared" ca="1" si="72"/>
        <v>0.41281221444681859</v>
      </c>
      <c r="AL53" s="91">
        <f t="shared" ca="1" si="72"/>
        <v>0.41281221444681859</v>
      </c>
      <c r="AM53" s="91">
        <f t="shared" ca="1" si="72"/>
        <v>0.41281221444681854</v>
      </c>
      <c r="AN53" s="91">
        <f t="shared" ca="1" si="72"/>
        <v>0.41281221444681848</v>
      </c>
      <c r="AO53" s="91">
        <f t="shared" ca="1" si="72"/>
        <v>0.41281221444681859</v>
      </c>
      <c r="AP53" s="91">
        <f t="shared" ca="1" si="72"/>
        <v>0.41281221444681859</v>
      </c>
      <c r="AQ53" s="91">
        <f t="shared" ca="1" si="72"/>
        <v>0.41281221444681854</v>
      </c>
      <c r="AR53" s="91">
        <f t="shared" ca="1" si="72"/>
        <v>0.41281221444681854</v>
      </c>
      <c r="AS53" s="91">
        <f t="shared" ca="1" si="72"/>
        <v>0.41281221444681859</v>
      </c>
      <c r="AT53" s="91"/>
      <c r="AU53" s="91">
        <f ca="1">IFERROR(AU47/AU9,0)</f>
        <v>0.41281221444681848</v>
      </c>
      <c r="AV53" s="89"/>
    </row>
    <row r="54" spans="2:49" hidden="1" outlineLevel="1">
      <c r="B54" s="67" t="s">
        <v>119</v>
      </c>
      <c r="C54" s="52"/>
      <c r="D54" s="97">
        <f t="shared" ref="D54:L54" si="75">IFERROR(D48/D10,0)</f>
        <v>0.60932786911714854</v>
      </c>
      <c r="E54" s="97">
        <f t="shared" si="75"/>
        <v>0.40118814527547086</v>
      </c>
      <c r="F54" s="97">
        <f t="shared" si="75"/>
        <v>0.37670340050377832</v>
      </c>
      <c r="G54" s="97">
        <f t="shared" si="75"/>
        <v>0.19836029880771314</v>
      </c>
      <c r="H54" s="97">
        <f t="shared" si="75"/>
        <v>0.34661097064966473</v>
      </c>
      <c r="I54" s="97">
        <f t="shared" si="75"/>
        <v>0.46046649748159074</v>
      </c>
      <c r="J54" s="97">
        <f t="shared" si="75"/>
        <v>0.55510899342978026</v>
      </c>
      <c r="K54" s="97">
        <f t="shared" si="75"/>
        <v>0.57755329448513959</v>
      </c>
      <c r="L54" s="97">
        <f t="shared" si="75"/>
        <v>1.4691075514874141</v>
      </c>
      <c r="M54" s="91">
        <f t="shared" si="70"/>
        <v>0.52295589373226725</v>
      </c>
      <c r="N54" s="91">
        <f t="shared" si="70"/>
        <v>0.5061903533660046</v>
      </c>
      <c r="O54" s="91">
        <f t="shared" si="70"/>
        <v>0.4877482589631158</v>
      </c>
      <c r="P54" s="91"/>
      <c r="Q54" s="91">
        <f>IFERROR(Q48/Q10,0)</f>
        <v>0.48700453839442531</v>
      </c>
      <c r="R54" s="503"/>
      <c r="S54" s="91">
        <f t="shared" si="71"/>
        <v>0</v>
      </c>
      <c r="T54" s="91">
        <f t="shared" si="71"/>
        <v>0</v>
      </c>
      <c r="U54" s="91">
        <f t="shared" si="71"/>
        <v>0</v>
      </c>
      <c r="V54" s="91">
        <f t="shared" si="71"/>
        <v>0</v>
      </c>
      <c r="W54" s="91">
        <f t="shared" si="71"/>
        <v>0</v>
      </c>
      <c r="X54" s="91">
        <f t="shared" si="71"/>
        <v>0</v>
      </c>
      <c r="Y54" s="91">
        <f t="shared" si="71"/>
        <v>0</v>
      </c>
      <c r="Z54" s="91">
        <f t="shared" si="71"/>
        <v>0</v>
      </c>
      <c r="AA54" s="91">
        <f t="shared" si="71"/>
        <v>0</v>
      </c>
      <c r="AB54" s="91">
        <f t="shared" si="71"/>
        <v>0</v>
      </c>
      <c r="AC54" s="91">
        <f t="shared" si="71"/>
        <v>0</v>
      </c>
      <c r="AD54" s="91">
        <f t="shared" si="71"/>
        <v>0</v>
      </c>
      <c r="AE54" s="91"/>
      <c r="AF54" s="91">
        <f>IFERROR(AF48/AF10,0)</f>
        <v>0</v>
      </c>
      <c r="AG54" s="89"/>
      <c r="AH54" s="91">
        <f t="shared" si="72"/>
        <v>0</v>
      </c>
      <c r="AI54" s="91">
        <f t="shared" si="72"/>
        <v>0</v>
      </c>
      <c r="AJ54" s="91">
        <f t="shared" si="72"/>
        <v>0</v>
      </c>
      <c r="AK54" s="91">
        <f t="shared" si="72"/>
        <v>0</v>
      </c>
      <c r="AL54" s="91">
        <f t="shared" si="72"/>
        <v>0</v>
      </c>
      <c r="AM54" s="91">
        <f t="shared" si="72"/>
        <v>0</v>
      </c>
      <c r="AN54" s="91">
        <f t="shared" si="72"/>
        <v>0</v>
      </c>
      <c r="AO54" s="91">
        <f t="shared" si="72"/>
        <v>0</v>
      </c>
      <c r="AP54" s="91">
        <f t="shared" si="72"/>
        <v>0</v>
      </c>
      <c r="AQ54" s="91">
        <f t="shared" si="72"/>
        <v>0</v>
      </c>
      <c r="AR54" s="91">
        <f t="shared" si="72"/>
        <v>0</v>
      </c>
      <c r="AS54" s="91">
        <f t="shared" si="72"/>
        <v>0</v>
      </c>
      <c r="AT54" s="91"/>
      <c r="AU54" s="91">
        <f>IFERROR(AU48/AU10,0)</f>
        <v>0</v>
      </c>
      <c r="AV54" s="89"/>
    </row>
    <row r="55" spans="2:49" collapsed="1">
      <c r="B55" s="72" t="s">
        <v>120</v>
      </c>
      <c r="C55" s="73"/>
      <c r="D55" s="97">
        <f t="shared" ref="D55:L55" si="76">IFERROR(D49/D12,0)</f>
        <v>0.61934110410686039</v>
      </c>
      <c r="E55" s="97">
        <f t="shared" si="76"/>
        <v>0.57321612398996002</v>
      </c>
      <c r="F55" s="97">
        <f t="shared" si="76"/>
        <v>0.54478986807003493</v>
      </c>
      <c r="G55" s="97">
        <f t="shared" si="76"/>
        <v>0.59962655920694452</v>
      </c>
      <c r="H55" s="97">
        <f t="shared" si="76"/>
        <v>0.67341739819235535</v>
      </c>
      <c r="I55" s="97">
        <f t="shared" si="76"/>
        <v>0.58702469460667961</v>
      </c>
      <c r="J55" s="97">
        <f t="shared" si="76"/>
        <v>0.54308984233341318</v>
      </c>
      <c r="K55" s="97">
        <f t="shared" si="76"/>
        <v>0.59317163371144754</v>
      </c>
      <c r="L55" s="97">
        <f t="shared" si="76"/>
        <v>0.63028500099610318</v>
      </c>
      <c r="M55" s="91">
        <f t="shared" ref="M55:O55" si="77">IFERROR(M49/M12,0)</f>
        <v>0.56341285510051253</v>
      </c>
      <c r="N55" s="91">
        <f t="shared" si="77"/>
        <v>0.55990262670520718</v>
      </c>
      <c r="O55" s="91">
        <f t="shared" si="77"/>
        <v>0.55977669114881312</v>
      </c>
      <c r="P55" s="91"/>
      <c r="Q55" s="91">
        <f>IFERROR(Q49/Q12,0)</f>
        <v>0.58883181761325831</v>
      </c>
      <c r="R55" s="503"/>
      <c r="S55" s="91">
        <f t="shared" ref="S55:AD55" ca="1" si="78">IFERROR(S49/S12,0)</f>
        <v>0.6228569638664806</v>
      </c>
      <c r="T55" s="91">
        <f t="shared" ca="1" si="78"/>
        <v>0.5992018588554382</v>
      </c>
      <c r="U55" s="91">
        <f t="shared" ca="1" si="78"/>
        <v>0.59951855526749298</v>
      </c>
      <c r="V55" s="91">
        <f t="shared" ca="1" si="78"/>
        <v>0.60504880233852687</v>
      </c>
      <c r="W55" s="91">
        <f t="shared" ca="1" si="78"/>
        <v>0.61547357284517956</v>
      </c>
      <c r="X55" s="91">
        <f t="shared" ca="1" si="78"/>
        <v>0.59911103634299989</v>
      </c>
      <c r="Y55" s="91">
        <f t="shared" ca="1" si="78"/>
        <v>0.61994710577981627</v>
      </c>
      <c r="Z55" s="91">
        <f t="shared" ca="1" si="78"/>
        <v>0.6425067069290612</v>
      </c>
      <c r="AA55" s="91">
        <f t="shared" ca="1" si="78"/>
        <v>0.62541882966129769</v>
      </c>
      <c r="AB55" s="91">
        <f t="shared" ca="1" si="78"/>
        <v>0.61435808728575847</v>
      </c>
      <c r="AC55" s="91">
        <f t="shared" ca="1" si="78"/>
        <v>0.6165993007644599</v>
      </c>
      <c r="AD55" s="91">
        <f t="shared" ca="1" si="78"/>
        <v>0.62670667569371952</v>
      </c>
      <c r="AE55" s="91"/>
      <c r="AF55" s="91">
        <f ca="1">IFERROR(AF49/AF12,0)</f>
        <v>0.61814695781282147</v>
      </c>
      <c r="AG55" s="89"/>
      <c r="AH55" s="91">
        <f t="shared" ref="AH55:AS55" ca="1" si="79">IFERROR(AH49/AH12,0)</f>
        <v>0.6425551022350402</v>
      </c>
      <c r="AI55" s="91">
        <f t="shared" ca="1" si="79"/>
        <v>0.63040485991958251</v>
      </c>
      <c r="AJ55" s="91">
        <f t="shared" ca="1" si="79"/>
        <v>0.63167152957469486</v>
      </c>
      <c r="AK55" s="91">
        <f t="shared" ca="1" si="79"/>
        <v>0.63366326238983606</v>
      </c>
      <c r="AL55" s="91">
        <f t="shared" ca="1" si="79"/>
        <v>0.63752728587356033</v>
      </c>
      <c r="AM55" s="91">
        <f t="shared" ca="1" si="79"/>
        <v>0.62896994027547914</v>
      </c>
      <c r="AN55" s="91">
        <f t="shared" ca="1" si="79"/>
        <v>0.64024287020057113</v>
      </c>
      <c r="AO55" s="91">
        <f t="shared" ca="1" si="79"/>
        <v>0.65382767424314669</v>
      </c>
      <c r="AP55" s="91">
        <f t="shared" ca="1" si="79"/>
        <v>0.64175904855935229</v>
      </c>
      <c r="AQ55" s="91">
        <f t="shared" ca="1" si="79"/>
        <v>0.63651936063673598</v>
      </c>
      <c r="AR55" s="91">
        <f t="shared" ca="1" si="79"/>
        <v>0.63688698362758878</v>
      </c>
      <c r="AS55" s="91">
        <f t="shared" ca="1" si="79"/>
        <v>0.64394029611190629</v>
      </c>
      <c r="AT55" s="91"/>
      <c r="AU55" s="91">
        <f ca="1">IFERROR(AU49/AU12,0)</f>
        <v>0.6390823283949667</v>
      </c>
      <c r="AV55" s="89"/>
    </row>
    <row r="56" spans="2:49">
      <c r="D56" s="53"/>
      <c r="E56" s="53"/>
      <c r="F56" s="53"/>
      <c r="G56" s="53"/>
      <c r="H56" s="53"/>
      <c r="I56" s="53"/>
      <c r="J56" s="53"/>
      <c r="K56" s="53"/>
      <c r="L56" s="53"/>
      <c r="Q56" s="51"/>
      <c r="R56" s="503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1"/>
      <c r="AE56" s="91"/>
      <c r="AF56" s="91"/>
      <c r="AG56" s="89"/>
      <c r="AU56" s="51"/>
      <c r="AV56" s="89"/>
    </row>
    <row r="57" spans="2:49" outlineLevel="1">
      <c r="B57" s="58" t="s">
        <v>121</v>
      </c>
      <c r="D57" s="53"/>
      <c r="E57" s="53"/>
      <c r="F57" s="53"/>
      <c r="G57" s="53"/>
      <c r="H57" s="53"/>
      <c r="I57" s="53"/>
      <c r="J57" s="53"/>
      <c r="K57" s="53"/>
      <c r="L57" s="53"/>
      <c r="Q57" s="51"/>
      <c r="R57" s="507"/>
      <c r="AF57" s="51"/>
      <c r="AG57" s="89"/>
      <c r="AU57" s="51"/>
      <c r="AV57" s="89"/>
    </row>
    <row r="58" spans="2:49" outlineLevel="1">
      <c r="D58" s="53"/>
      <c r="E58" s="53"/>
      <c r="F58" s="53"/>
      <c r="G58" s="53"/>
      <c r="H58" s="53"/>
      <c r="I58" s="53"/>
      <c r="J58" s="53"/>
      <c r="K58" s="53"/>
      <c r="L58" s="53"/>
      <c r="Q58" s="51"/>
      <c r="R58" s="508"/>
      <c r="AF58" s="51"/>
      <c r="AG58" s="89"/>
      <c r="AU58" s="51"/>
      <c r="AV58" s="89"/>
    </row>
    <row r="59" spans="2:49" ht="13" outlineLevel="1">
      <c r="B59" s="51" t="s">
        <v>122</v>
      </c>
      <c r="D59" s="59">
        <v>0</v>
      </c>
      <c r="E59" s="59">
        <v>0</v>
      </c>
      <c r="F59" s="59">
        <v>-5379.15</v>
      </c>
      <c r="G59" s="59">
        <v>-3023.68</v>
      </c>
      <c r="H59" s="59">
        <v>-5397.4</v>
      </c>
      <c r="I59" s="59">
        <v>-6020.26</v>
      </c>
      <c r="J59" s="59">
        <v>-3656.67</v>
      </c>
      <c r="K59" s="59">
        <v>-1549.84</v>
      </c>
      <c r="L59" s="59">
        <v>-1330</v>
      </c>
      <c r="M59" s="60">
        <v>-1000</v>
      </c>
      <c r="N59" s="60">
        <v>-1000</v>
      </c>
      <c r="O59" s="60">
        <v>-1000</v>
      </c>
      <c r="P59" s="60"/>
      <c r="Q59" s="61">
        <f t="shared" ref="Q59:Q69" si="80">SUM(D59:O59)</f>
        <v>-29356.999999999996</v>
      </c>
      <c r="R59" s="509"/>
      <c r="S59" s="60">
        <f>-UK!Q36</f>
        <v>-95000</v>
      </c>
      <c r="T59" s="60">
        <f>-UK!R36</f>
        <v>-114000</v>
      </c>
      <c r="U59" s="60">
        <f>-UK!S36</f>
        <v>-125400.00000000001</v>
      </c>
      <c r="V59" s="60">
        <f>-UK!T36</f>
        <v>-137940.00000000003</v>
      </c>
      <c r="W59" s="60">
        <f>-UK!U36</f>
        <v>-151734.00000000006</v>
      </c>
      <c r="X59" s="60">
        <f>-UK!V36</f>
        <v>-166907.40000000008</v>
      </c>
      <c r="Y59" s="60">
        <f>-UK!W36</f>
        <v>-175252.77000000011</v>
      </c>
      <c r="Z59" s="60">
        <f>-UK!X36</f>
        <v>-184015.40850000011</v>
      </c>
      <c r="AA59" s="60">
        <f>-UK!Y36</f>
        <v>-193216.17892500013</v>
      </c>
      <c r="AB59" s="60">
        <f>-UK!Z36</f>
        <v>-202876.98787125014</v>
      </c>
      <c r="AC59" s="60">
        <f>-UK!AA36</f>
        <v>-213020.83726481267</v>
      </c>
      <c r="AD59" s="60">
        <f>-UK!AB36</f>
        <v>-223671.87912805332</v>
      </c>
      <c r="AE59" s="60"/>
      <c r="AF59" s="61">
        <f t="shared" ref="AF59" si="81">SUM(S59:AD59)</f>
        <v>-1983035.4616891164</v>
      </c>
      <c r="AG59" s="89">
        <f>AF59/AF7</f>
        <v>-0.40988864593550633</v>
      </c>
      <c r="AH59" s="60">
        <f>-UK!AC36</f>
        <v>-228145.3167106144</v>
      </c>
      <c r="AI59" s="60">
        <f>-UK!AD36</f>
        <v>-239552.58254614513</v>
      </c>
      <c r="AJ59" s="60">
        <f>-UK!AE36</f>
        <v>-251530.2116734524</v>
      </c>
      <c r="AK59" s="60">
        <f>-UK!AF36</f>
        <v>-264106.72225712502</v>
      </c>
      <c r="AL59" s="60">
        <f>-UK!AG36</f>
        <v>-277312.0583699813</v>
      </c>
      <c r="AM59" s="60">
        <f>-UK!AH36</f>
        <v>-291177.66128848039</v>
      </c>
      <c r="AN59" s="60">
        <f>-UK!AI36</f>
        <v>-305736.54435290443</v>
      </c>
      <c r="AO59" s="60">
        <f>-UK!AJ36</f>
        <v>-321023.37157054967</v>
      </c>
      <c r="AP59" s="60">
        <f>-UK!AK36</f>
        <v>-337074.54014907719</v>
      </c>
      <c r="AQ59" s="60">
        <f>-UK!AL36</f>
        <v>-353928.26715653104</v>
      </c>
      <c r="AR59" s="60">
        <f>-UK!AM36</f>
        <v>-371624.68051435763</v>
      </c>
      <c r="AS59" s="60">
        <f>-UK!AN36</f>
        <v>-390205.91454007552</v>
      </c>
      <c r="AT59" s="60"/>
      <c r="AU59" s="61">
        <f t="shared" ref="AU59" si="82">SUM(AH59:AS59)</f>
        <v>-3631417.8711292949</v>
      </c>
      <c r="AV59" s="89">
        <f>AU59/AU7</f>
        <v>-0.32692602417846939</v>
      </c>
      <c r="AW59" s="83">
        <f>SUM(Q59:Q63)</f>
        <v>-1141280.3</v>
      </c>
    </row>
    <row r="60" spans="2:49" ht="13" outlineLevel="1">
      <c r="B60" s="51" t="s">
        <v>123</v>
      </c>
      <c r="D60" s="59">
        <v>-1410</v>
      </c>
      <c r="E60" s="59">
        <v>-900</v>
      </c>
      <c r="F60" s="59">
        <v>-20242.830000000002</v>
      </c>
      <c r="G60" s="59">
        <v>-2146.85</v>
      </c>
      <c r="H60" s="59">
        <v>-23958.43</v>
      </c>
      <c r="I60" s="59">
        <v>-304.17</v>
      </c>
      <c r="J60" s="59">
        <v>-24003.27</v>
      </c>
      <c r="K60" s="59">
        <v>-1440.25</v>
      </c>
      <c r="L60" s="59">
        <v>-15127</v>
      </c>
      <c r="M60" s="60">
        <v>-24000</v>
      </c>
      <c r="N60" s="60">
        <v>-22000</v>
      </c>
      <c r="O60" s="60">
        <v>-22000</v>
      </c>
      <c r="P60" s="60"/>
      <c r="Q60" s="61">
        <f>SUM(D60:O60)</f>
        <v>-157532.79999999999</v>
      </c>
      <c r="R60" s="509"/>
      <c r="S60" s="60">
        <f>-UK!Q29</f>
        <v>-25000</v>
      </c>
      <c r="T60" s="60">
        <f>-UK!R29</f>
        <v>-25000</v>
      </c>
      <c r="U60" s="60">
        <f>-UK!S29</f>
        <v>-25000</v>
      </c>
      <c r="V60" s="60">
        <f>-UK!T29</f>
        <v>-25000</v>
      </c>
      <c r="W60" s="60">
        <f>-UK!U29</f>
        <v>-25000</v>
      </c>
      <c r="X60" s="60">
        <f>-UK!V29</f>
        <v>-25000</v>
      </c>
      <c r="Y60" s="60">
        <f>-UK!W29</f>
        <v>-25000</v>
      </c>
      <c r="Z60" s="60">
        <f>-UK!X29</f>
        <v>-25000</v>
      </c>
      <c r="AA60" s="60">
        <f>-UK!Y29</f>
        <v>-25000</v>
      </c>
      <c r="AB60" s="60">
        <f>-UK!Z29</f>
        <v>-25000</v>
      </c>
      <c r="AC60" s="60">
        <f>-UK!AA29</f>
        <v>-25000</v>
      </c>
      <c r="AD60" s="60">
        <f>-UK!AB29</f>
        <v>-25000</v>
      </c>
      <c r="AE60" s="60"/>
      <c r="AF60" s="61">
        <f>SUM(S60:AD60)</f>
        <v>-300000</v>
      </c>
      <c r="AG60" s="89"/>
      <c r="AH60" s="60">
        <f>-UK!AC29</f>
        <v>-25000</v>
      </c>
      <c r="AI60" s="60">
        <f>-UK!AD29</f>
        <v>-25000</v>
      </c>
      <c r="AJ60" s="60">
        <f>-UK!AE29</f>
        <v>-25000</v>
      </c>
      <c r="AK60" s="60">
        <f>-UK!AF29</f>
        <v>-25000</v>
      </c>
      <c r="AL60" s="60">
        <f>-UK!AG29</f>
        <v>-25000</v>
      </c>
      <c r="AM60" s="60">
        <f>-UK!AH29</f>
        <v>-25000</v>
      </c>
      <c r="AN60" s="60">
        <f>-UK!AI29</f>
        <v>-25000</v>
      </c>
      <c r="AO60" s="60">
        <f>-UK!AJ29</f>
        <v>-25000</v>
      </c>
      <c r="AP60" s="60">
        <f>-UK!AK29</f>
        <v>-25000</v>
      </c>
      <c r="AQ60" s="60">
        <f>-UK!AL29</f>
        <v>-25000</v>
      </c>
      <c r="AR60" s="60">
        <f>-UK!AM29</f>
        <v>-25000</v>
      </c>
      <c r="AS60" s="60">
        <f>-UK!AN29</f>
        <v>-25000</v>
      </c>
      <c r="AT60" s="60"/>
      <c r="AU60" s="61">
        <f>SUM(AH60:AS60)</f>
        <v>-300000</v>
      </c>
      <c r="AV60" s="89"/>
    </row>
    <row r="61" spans="2:49" ht="13" outlineLevel="2">
      <c r="B61" s="51" t="s">
        <v>124</v>
      </c>
      <c r="D61" s="59">
        <v>-13618.39</v>
      </c>
      <c r="E61" s="59">
        <v>-22752.33</v>
      </c>
      <c r="F61" s="59">
        <v>-18742.41</v>
      </c>
      <c r="G61" s="59">
        <v>-36899.300000000003</v>
      </c>
      <c r="H61" s="59">
        <v>-17176.509999999998</v>
      </c>
      <c r="I61" s="59">
        <v>-33031.22</v>
      </c>
      <c r="J61" s="59">
        <v>-26593.62</v>
      </c>
      <c r="K61" s="59">
        <v>-32604.2</v>
      </c>
      <c r="L61" s="59">
        <v>-63948</v>
      </c>
      <c r="M61" s="60">
        <v>-69170</v>
      </c>
      <c r="N61" s="60">
        <v>-35000</v>
      </c>
      <c r="O61" s="60">
        <v>-15000</v>
      </c>
      <c r="P61" s="60"/>
      <c r="Q61" s="61">
        <f t="shared" si="80"/>
        <v>-384535.98</v>
      </c>
      <c r="R61" s="509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1">
        <f t="shared" ref="AF61:AF69" si="83">SUM(S61:AD61)</f>
        <v>0</v>
      </c>
      <c r="AG61" s="89"/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1">
        <f t="shared" ref="AU61:AU69" si="84">SUM(AH61:AS61)</f>
        <v>0</v>
      </c>
      <c r="AV61" s="89"/>
    </row>
    <row r="62" spans="2:49" ht="13" outlineLevel="2">
      <c r="B62" s="51" t="s">
        <v>125</v>
      </c>
      <c r="D62" s="59">
        <v>1115</v>
      </c>
      <c r="E62" s="59">
        <v>-4538.66</v>
      </c>
      <c r="F62" s="59">
        <v>-4009.97</v>
      </c>
      <c r="G62" s="59">
        <v>-17875.830000000002</v>
      </c>
      <c r="H62" s="59">
        <v>-6811.67</v>
      </c>
      <c r="I62" s="59"/>
      <c r="J62" s="59">
        <v>-12346</v>
      </c>
      <c r="K62" s="59">
        <v>-8655.94</v>
      </c>
      <c r="L62" s="59">
        <v>-15140</v>
      </c>
      <c r="M62" s="60">
        <v>-15000</v>
      </c>
      <c r="N62" s="60">
        <v>-10000</v>
      </c>
      <c r="O62" s="60">
        <v>-5000</v>
      </c>
      <c r="P62" s="60"/>
      <c r="Q62" s="61">
        <f t="shared" si="80"/>
        <v>-98263.07</v>
      </c>
      <c r="R62" s="509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1">
        <f t="shared" si="83"/>
        <v>0</v>
      </c>
      <c r="AG62" s="89"/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1">
        <f t="shared" si="84"/>
        <v>0</v>
      </c>
      <c r="AV62" s="89"/>
    </row>
    <row r="63" spans="2:49" ht="13" outlineLevel="2">
      <c r="B63" s="51" t="s">
        <v>126</v>
      </c>
      <c r="D63" s="59">
        <v>-5228.9799999999996</v>
      </c>
      <c r="E63" s="59">
        <v>-6699.05</v>
      </c>
      <c r="F63" s="59">
        <v>-7896.68</v>
      </c>
      <c r="G63" s="59">
        <v>-21210.68</v>
      </c>
      <c r="H63" s="59">
        <v>-9476.61</v>
      </c>
      <c r="I63" s="59">
        <v>-36215.01</v>
      </c>
      <c r="J63" s="59">
        <v>-57559.97</v>
      </c>
      <c r="K63" s="59">
        <v>-44706.47</v>
      </c>
      <c r="L63" s="59">
        <v>-87598</v>
      </c>
      <c r="M63" s="60">
        <v>-75000</v>
      </c>
      <c r="N63" s="60">
        <v>-55000</v>
      </c>
      <c r="O63" s="60">
        <v>-65000</v>
      </c>
      <c r="P63" s="60"/>
      <c r="Q63" s="61">
        <f t="shared" si="80"/>
        <v>-471591.45</v>
      </c>
      <c r="R63" s="509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1">
        <f t="shared" si="83"/>
        <v>0</v>
      </c>
      <c r="AG63" s="89"/>
      <c r="AH63" s="60"/>
      <c r="AI63" s="60"/>
      <c r="AJ63" s="60"/>
      <c r="AK63" s="60"/>
      <c r="AL63" s="60"/>
      <c r="AM63" s="60"/>
      <c r="AN63" s="60"/>
      <c r="AO63" s="60"/>
      <c r="AP63" s="60"/>
      <c r="AQ63" s="60"/>
      <c r="AR63" s="60"/>
      <c r="AS63" s="60"/>
      <c r="AT63" s="60"/>
      <c r="AU63" s="61">
        <f t="shared" si="84"/>
        <v>0</v>
      </c>
      <c r="AV63" s="89"/>
    </row>
    <row r="64" spans="2:49" outlineLevel="2">
      <c r="B64" s="51" t="s">
        <v>127</v>
      </c>
      <c r="D64" s="59">
        <v>-31392</v>
      </c>
      <c r="E64" s="59">
        <v>-41687</v>
      </c>
      <c r="F64" s="59">
        <v>-2275</v>
      </c>
      <c r="G64" s="59">
        <v>-25050</v>
      </c>
      <c r="H64" s="59">
        <v>-29117</v>
      </c>
      <c r="I64" s="59">
        <v>-28450.33</v>
      </c>
      <c r="J64" s="59">
        <v>-25888.68</v>
      </c>
      <c r="K64" s="59">
        <v>-29117</v>
      </c>
      <c r="L64" s="59">
        <v>-39001</v>
      </c>
      <c r="M64" s="60">
        <v>-18625</v>
      </c>
      <c r="N64" s="60">
        <v>-18899</v>
      </c>
      <c r="O64" s="60">
        <v>-15293</v>
      </c>
      <c r="P64" s="60"/>
      <c r="Q64" s="61">
        <f>SUM(D64:O64)</f>
        <v>-304795.01</v>
      </c>
      <c r="R64" s="510"/>
      <c r="S64" s="60">
        <f>-SUMIFS(B2B!V$144:V$162,B2B!$C$144:$C$162,LEFT($B$2,2))</f>
        <v>-31197.118742999999</v>
      </c>
      <c r="T64" s="60">
        <f>-SUMIFS(B2B!W$144:W$162,B2B!$C$144:$C$162,LEFT($B$2,2))</f>
        <v>-25677.828648000002</v>
      </c>
      <c r="U64" s="60">
        <f>-SUMIFS(B2B!X$144:X$162,B2B!$C$144:$C$162,LEFT($B$2,2))</f>
        <v>-27424.262984000001</v>
      </c>
      <c r="V64" s="60">
        <f>-SUMIFS(B2B!Y$144:Y$162,B2B!$C$144:$C$162,LEFT($B$2,2))</f>
        <v>-27665.261685999998</v>
      </c>
      <c r="W64" s="60">
        <f>-SUMIFS(B2B!Z$144:Z$162,B2B!$C$144:$C$162,LEFT($B$2,2))</f>
        <v>-31103.527399999999</v>
      </c>
      <c r="X64" s="60">
        <f>-SUMIFS(B2B!AA$144:AA$162,B2B!$C$144:$C$162,LEFT($B$2,2))</f>
        <v>-26204.272838000004</v>
      </c>
      <c r="Y64" s="60">
        <f>-SUMIFS(B2B!AB$144:AB$162,B2B!$C$144:$C$162,LEFT($B$2,2))</f>
        <v>-39855.950382000003</v>
      </c>
      <c r="Z64" s="60">
        <f>-SUMIFS(B2B!AC$144:AC$162,B2B!$C$144:$C$162,LEFT($B$2,2))</f>
        <v>-75023.979076000018</v>
      </c>
      <c r="AA64" s="60">
        <f>-SUMIFS(B2B!AD$144:AD$162,B2B!$C$144:$C$162,LEFT($B$2,2))</f>
        <v>-37811.606756000001</v>
      </c>
      <c r="AB64" s="60">
        <f>-SUMIFS(B2B!AE$144:AE$162,B2B!$C$144:$C$162,LEFT($B$2,2))</f>
        <v>-34044.059166887128</v>
      </c>
      <c r="AC64" s="60">
        <f>-SUMIFS(B2B!AF$144:AF$162,B2B!$C$144:$C$162,LEFT($B$2,2))</f>
        <v>-33499.101557734059</v>
      </c>
      <c r="AD64" s="60">
        <f>-SUMIFS(B2B!AG$144:AG$162,B2B!$C$144:$C$162,LEFT($B$2,2))</f>
        <v>-29473.719443378861</v>
      </c>
      <c r="AE64" s="60"/>
      <c r="AF64" s="61">
        <f>SUM(S64:AD64)</f>
        <v>-418980.68868100015</v>
      </c>
      <c r="AG64" s="89"/>
      <c r="AH64" s="60">
        <f>-SUMIFS(B2B!AK$144:AK$162,B2B!$C$144:$C$162,LEFT($B$2,2))</f>
        <v>-46398.52110975</v>
      </c>
      <c r="AI64" s="60">
        <f>-SUMIFS(B2B!AL$144:AL$162,B2B!$C$144:$C$162,LEFT($B$2,2))</f>
        <v>-36123.187945999998</v>
      </c>
      <c r="AJ64" s="60">
        <f>-SUMIFS(B2B!AM$144:AM$162,B2B!$C$144:$C$162,LEFT($B$2,2))</f>
        <v>-39972.014267999999</v>
      </c>
      <c r="AK64" s="60">
        <f>-SUMIFS(B2B!AN$144:AN$162,B2B!$C$144:$C$162,LEFT($B$2,2))</f>
        <v>-40305.441359500001</v>
      </c>
      <c r="AL64" s="60">
        <f>-SUMIFS(B2B!AO$144:AO$162,B2B!$C$144:$C$162,LEFT($B$2,2))</f>
        <v>-45597.038669999994</v>
      </c>
      <c r="AM64" s="60">
        <f>-SUMIFS(B2B!AP$144:AP$162,B2B!$C$144:$C$162,LEFT($B$2,2))</f>
        <v>-37714.2558555</v>
      </c>
      <c r="AN64" s="60">
        <f>-SUMIFS(B2B!AQ$144:AQ$162,B2B!$C$144:$C$162,LEFT($B$2,2))</f>
        <v>-55927.741039500004</v>
      </c>
      <c r="AO64" s="60">
        <f>-SUMIFS(B2B!AR$144:AR$162,B2B!$C$144:$C$162,LEFT($B$2,2))</f>
        <v>-108240.69248899999</v>
      </c>
      <c r="AP64" s="60">
        <f>-SUMIFS(B2B!AS$144:AS$162,B2B!$C$144:$C$162,LEFT($B$2,2))</f>
        <v>-58879.846853000003</v>
      </c>
      <c r="AQ64" s="60">
        <f>-SUMIFS(B2B!AT$144:AT$162,B2B!$C$144:$C$162,LEFT($B$2,2))</f>
        <v>-47762.235726514671</v>
      </c>
      <c r="AR64" s="60">
        <f>-SUMIFS(B2B!AU$144:AU$162,B2B!$C$144:$C$162,LEFT($B$2,2))</f>
        <v>-48904.81026401397</v>
      </c>
      <c r="AS64" s="60">
        <f>-SUMIFS(B2B!AV$144:AV$162,B2B!$C$144:$C$162,LEFT($B$2,2))</f>
        <v>-43719.653733539526</v>
      </c>
      <c r="AT64" s="60"/>
      <c r="AU64" s="61">
        <f>SUM(AH64:AS64)</f>
        <v>-609545.43931431812</v>
      </c>
      <c r="AV64" s="89"/>
    </row>
    <row r="65" spans="2:48" outlineLevel="2">
      <c r="B65" s="51" t="s">
        <v>128</v>
      </c>
      <c r="D65" s="59">
        <v>-78688.800000000003</v>
      </c>
      <c r="E65" s="59">
        <v>-42739.67</v>
      </c>
      <c r="F65" s="59">
        <v>-53338.22</v>
      </c>
      <c r="G65" s="59">
        <v>-77283.539999999994</v>
      </c>
      <c r="H65" s="59">
        <v>-120499.67</v>
      </c>
      <c r="I65" s="59">
        <v>-65983.17</v>
      </c>
      <c r="J65" s="59">
        <v>-28104.31</v>
      </c>
      <c r="K65" s="59">
        <v>-70278.27</v>
      </c>
      <c r="L65" s="59">
        <v>-146884</v>
      </c>
      <c r="M65" s="60">
        <v>-150857</v>
      </c>
      <c r="N65" s="60">
        <v>-121316</v>
      </c>
      <c r="O65" s="60">
        <v>-111483</v>
      </c>
      <c r="P65" s="60"/>
      <c r="Q65" s="61">
        <f>SUM(D65:O65)</f>
        <v>-1067455.6499999999</v>
      </c>
      <c r="R65" s="510"/>
      <c r="S65" s="60">
        <f>-SUMIFS(B2B!V$124:V$142,B2B!$C$124:$C$142,LEFT($B$2,2))</f>
        <v>-102422.312832</v>
      </c>
      <c r="T65" s="60">
        <f>-SUMIFS(B2B!W$124:W$142,B2B!$C$124:$C$142,LEFT($B$2,2))</f>
        <v>-68691.374391999998</v>
      </c>
      <c r="U65" s="60">
        <f>-SUMIFS(B2B!X$124:X$142,B2B!$C$124:$C$142,LEFT($B$2,2))</f>
        <v>-62436.689315999996</v>
      </c>
      <c r="V65" s="60">
        <f>-SUMIFS(B2B!Y$124:Y$142,B2B!$C$124:$C$142,LEFT($B$2,2))</f>
        <v>-68784.594664000004</v>
      </c>
      <c r="W65" s="60">
        <f>-SUMIFS(B2B!Z$124:Z$142,B2B!$C$124:$C$142,LEFT($B$2,2))</f>
        <v>-93551.309199999989</v>
      </c>
      <c r="X65" s="60">
        <f>-SUMIFS(B2B!AA$124:AA$142,B2B!$C$124:$C$142,LEFT($B$2,2))</f>
        <v>-64665.340866999992</v>
      </c>
      <c r="Y65" s="60">
        <f>-SUMIFS(B2B!AB$124:AB$142,B2B!$C$124:$C$142,LEFT($B$2,2))</f>
        <v>-90885.886238000006</v>
      </c>
      <c r="Z65" s="60">
        <f>-SUMIFS(B2B!AC$124:AC$142,B2B!$C$124:$C$142,LEFT($B$2,2))</f>
        <v>-199900.21374399998</v>
      </c>
      <c r="AA65" s="60">
        <f>-SUMIFS(B2B!AD$124:AD$142,B2B!$C$124:$C$142,LEFT($B$2,2))</f>
        <v>-155528.28696400003</v>
      </c>
      <c r="AB65" s="60">
        <f>-SUMIFS(B2B!AE$124:AE$142,B2B!$C$124:$C$142,LEFT($B$2,2))</f>
        <v>-91347.666183974245</v>
      </c>
      <c r="AC65" s="60">
        <f>-SUMIFS(B2B!AF$124:AF$142,B2B!$C$124:$C$142,LEFT($B$2,2))</f>
        <v>-106646.49911597304</v>
      </c>
      <c r="AD65" s="60">
        <f>-SUMIFS(B2B!AG$124:AG$142,B2B!$C$124:$C$142,LEFT($B$2,2))</f>
        <v>-98107.541836555552</v>
      </c>
      <c r="AE65" s="60"/>
      <c r="AF65" s="61">
        <f>SUM(S65:AD65)</f>
        <v>-1202967.7153535029</v>
      </c>
      <c r="AG65" s="89"/>
      <c r="AH65" s="60">
        <f>-SUMIFS(B2B!AK$124:AK$142,B2B!$C$124:$C$142,LEFT($B$2,2))</f>
        <v>-95404.615995000015</v>
      </c>
      <c r="AI65" s="60">
        <f>-SUMIFS(B2B!AL$124:AL$142,B2B!$C$124:$C$142,LEFT($B$2,2))</f>
        <v>-65716.904050000012</v>
      </c>
      <c r="AJ65" s="60">
        <f>-SUMIFS(B2B!AM$124:AM$142,B2B!$C$124:$C$142,LEFT($B$2,2))</f>
        <v>-65071.908094999999</v>
      </c>
      <c r="AK65" s="60">
        <f>-SUMIFS(B2B!AN$124:AN$142,B2B!$C$124:$C$142,LEFT($B$2,2))</f>
        <v>-69070.936079999985</v>
      </c>
      <c r="AL65" s="60">
        <f>-SUMIFS(B2B!AO$124:AO$142,B2B!$C$124:$C$142,LEFT($B$2,2))</f>
        <v>-88690.94193999999</v>
      </c>
      <c r="AM65" s="60">
        <f>-SUMIFS(B2B!AP$124:AP$142,B2B!$C$124:$C$142,LEFT($B$2,2))</f>
        <v>-65399.332638249994</v>
      </c>
      <c r="AN65" s="60">
        <f>-SUMIFS(B2B!AQ$124:AQ$142,B2B!$C$124:$C$142,LEFT($B$2,2))</f>
        <v>-90360.283100500004</v>
      </c>
      <c r="AO65" s="60">
        <f>-SUMIFS(B2B!AR$124:AR$142,B2B!$C$124:$C$142,LEFT($B$2,2))</f>
        <v>-186138.991412</v>
      </c>
      <c r="AP65" s="60">
        <f>-SUMIFS(B2B!AS$124:AS$142,B2B!$C$124:$C$142,LEFT($B$2,2))</f>
        <v>-138946.633691</v>
      </c>
      <c r="AQ65" s="60">
        <f>-SUMIFS(B2B!AT$124:AT$142,B2B!$C$124:$C$142,LEFT($B$2,2))</f>
        <v>-85865.373014739118</v>
      </c>
      <c r="AR65" s="60">
        <f>-SUMIFS(B2B!AU$124:AU$142,B2B!$C$124:$C$142,LEFT($B$2,2))</f>
        <v>-98409.164510842587</v>
      </c>
      <c r="AS65" s="60">
        <f>-SUMIFS(B2B!AV$124:AV$142,B2B!$C$124:$C$142,LEFT($B$2,2))</f>
        <v>-90928.614241480187</v>
      </c>
      <c r="AT65" s="60"/>
      <c r="AU65" s="61">
        <f>SUM(AH65:AS65)</f>
        <v>-1140003.6987688118</v>
      </c>
      <c r="AV65" s="89"/>
    </row>
    <row r="66" spans="2:48" outlineLevel="2">
      <c r="B66" s="51" t="s">
        <v>166</v>
      </c>
      <c r="D66" s="59"/>
      <c r="E66" s="59"/>
      <c r="F66" s="59"/>
      <c r="G66" s="59"/>
      <c r="H66" s="59"/>
      <c r="I66" s="59"/>
      <c r="J66" s="59"/>
      <c r="K66" s="59"/>
      <c r="L66" s="59"/>
      <c r="M66" s="60"/>
      <c r="N66" s="60"/>
      <c r="O66" s="60"/>
      <c r="P66" s="60"/>
      <c r="Q66" s="61">
        <f>SUM(D66:O66)</f>
        <v>0</v>
      </c>
      <c r="R66" s="510"/>
      <c r="S66" s="60">
        <f>-SUMIFS(B2B!V$164:V$192,B2B!$C$164:$C$192,LEFT($B$2,2))</f>
        <v>-425.13199999999995</v>
      </c>
      <c r="T66" s="60">
        <f>-SUMIFS(B2B!W$164:W$192,B2B!$C$164:$C$192,LEFT($B$2,2))</f>
        <v>-175.125</v>
      </c>
      <c r="U66" s="60">
        <f>-SUMIFS(B2B!X$164:X$192,B2B!$C$164:$C$192,LEFT($B$2,2))</f>
        <v>-223.1105</v>
      </c>
      <c r="V66" s="60">
        <f>-SUMIFS(B2B!Y$164:Y$192,B2B!$C$164:$C$192,LEFT($B$2,2))</f>
        <v>-217.19200000000001</v>
      </c>
      <c r="W66" s="60">
        <f>-SUMIFS(B2B!Z$164:Z$192,B2B!$C$164:$C$192,LEFT($B$2,2))</f>
        <v>-126.78020000000002</v>
      </c>
      <c r="X66" s="60">
        <f>-SUMIFS(B2B!AA$164:AA$192,B2B!$C$164:$C$192,LEFT($B$2,2))</f>
        <v>-179.12217500000003</v>
      </c>
      <c r="Y66" s="60">
        <f>-SUMIFS(B2B!AB$164:AB$192,B2B!$C$164:$C$192,LEFT($B$2,2))</f>
        <v>-133.16210000000001</v>
      </c>
      <c r="Z66" s="60">
        <f>-SUMIFS(B2B!AC$164:AC$192,B2B!$C$164:$C$192,LEFT($B$2,2))</f>
        <v>-560.2989</v>
      </c>
      <c r="AA66" s="60">
        <f>-SUMIFS(B2B!AD$164:AD$192,B2B!$C$164:$C$192,LEFT($B$2,2))</f>
        <v>-368.15340000000003</v>
      </c>
      <c r="AB66" s="60">
        <f>-SUMIFS(B2B!AE$164:AE$192,B2B!$C$164:$C$192,LEFT($B$2,2))</f>
        <v>-626.71445625000001</v>
      </c>
      <c r="AC66" s="60">
        <f>-SUMIFS(B2B!AF$164:AF$192,B2B!$C$164:$C$192,LEFT($B$2,2))</f>
        <v>-118.94360703125001</v>
      </c>
      <c r="AD66" s="60">
        <f>-SUMIFS(B2B!AG$164:AG$192,B2B!$C$164:$C$192,LEFT($B$2,2))</f>
        <v>-121.24705478515625</v>
      </c>
      <c r="AE66" s="60"/>
      <c r="AF66" s="61">
        <f>SUM(S66:AD66)</f>
        <v>-3274.9813930664063</v>
      </c>
      <c r="AG66" s="89"/>
      <c r="AH66" s="60">
        <f>-SUMIFS(B2B!AK$164:AK$192,B2B!$C$164:$C$192,LEFT($B$2,2))</f>
        <v>-17111.18162725</v>
      </c>
      <c r="AI66" s="60">
        <f>-SUMIFS(B2B!AL$164:AL$192,B2B!$C$164:$C$192,LEFT($B$2,2))</f>
        <v>-11066.689616</v>
      </c>
      <c r="AJ66" s="60">
        <f>-SUMIFS(B2B!AM$164:AM$192,B2B!$C$164:$C$192,LEFT($B$2,2))</f>
        <v>-10622.337393</v>
      </c>
      <c r="AK66" s="60">
        <f>-SUMIFS(B2B!AN$164:AN$192,B2B!$C$164:$C$192,LEFT($B$2,2))</f>
        <v>-11684.090534499999</v>
      </c>
      <c r="AL66" s="60">
        <f>-SUMIFS(B2B!AO$164:AO$192,B2B!$C$164:$C$192,LEFT($B$2,2))</f>
        <v>-15713.877500000001</v>
      </c>
      <c r="AM66" s="60">
        <f>-SUMIFS(B2B!AP$164:AP$192,B2B!$C$164:$C$192,LEFT($B$2,2))</f>
        <v>-10385.701066250002</v>
      </c>
      <c r="AN66" s="60">
        <f>-SUMIFS(B2B!AQ$164:AQ$192,B2B!$C$164:$C$192,LEFT($B$2,2))</f>
        <v>-16554.376047500002</v>
      </c>
      <c r="AO66" s="60">
        <f>-SUMIFS(B2B!AR$164:AR$192,B2B!$C$164:$C$192,LEFT($B$2,2))</f>
        <v>-40783.390176000001</v>
      </c>
      <c r="AP66" s="60">
        <f>-SUMIFS(B2B!AS$164:AS$192,B2B!$C$164:$C$192,LEFT($B$2,2))</f>
        <v>-26260.827309</v>
      </c>
      <c r="AQ66" s="60">
        <f>-SUMIFS(B2B!AT$164:AT$192,B2B!$C$164:$C$192,LEFT($B$2,2))</f>
        <v>-16243.976670644648</v>
      </c>
      <c r="AR66" s="60">
        <f>-SUMIFS(B2B!AU$164:AU$192,B2B!$C$164:$C$192,LEFT($B$2,2))</f>
        <v>-17977.29068099209</v>
      </c>
      <c r="AS66" s="60">
        <f>-SUMIFS(B2B!AV$164:AV$192,B2B!$C$164:$C$192,LEFT($B$2,2))</f>
        <v>-16002.596657513519</v>
      </c>
      <c r="AT66" s="60"/>
      <c r="AU66" s="61">
        <f>SUM(AH66:AS66)</f>
        <v>-210406.33527865025</v>
      </c>
      <c r="AV66" s="89"/>
    </row>
    <row r="67" spans="2:48" outlineLevel="2">
      <c r="B67" s="51" t="s">
        <v>129</v>
      </c>
      <c r="D67" s="480">
        <v>0</v>
      </c>
      <c r="E67" s="480">
        <v>-186.98</v>
      </c>
      <c r="F67" s="480">
        <v>0</v>
      </c>
      <c r="G67" s="480">
        <v>0</v>
      </c>
      <c r="H67" s="480">
        <v>0</v>
      </c>
      <c r="I67" s="480">
        <v>0</v>
      </c>
      <c r="J67" s="480">
        <v>0</v>
      </c>
      <c r="K67" s="480"/>
      <c r="L67" s="480">
        <v>0</v>
      </c>
      <c r="M67" s="60"/>
      <c r="N67" s="60"/>
      <c r="O67" s="60"/>
      <c r="P67" s="60"/>
      <c r="Q67" s="61">
        <f>SUM(D67:O67)</f>
        <v>-186.98</v>
      </c>
      <c r="R67" s="503"/>
      <c r="S67" s="60">
        <f>-SUMIFS(B2B!V124:V204,B2B!$C$124:$C$204,"UK",B2B!$A$124:$A$204,"Trade Shows")</f>
        <v>0</v>
      </c>
      <c r="T67" s="60">
        <f>-SUMIFS(B2B!W124:W204,B2B!$C$124:$C$204,"UK",B2B!$A$124:$A$204,"Trade Shows")</f>
        <v>0</v>
      </c>
      <c r="U67" s="60">
        <f>-SUMIFS(B2B!X124:X204,B2B!$C$124:$C$204,"UK",B2B!$A$124:$A$204,"Trade Shows")</f>
        <v>0</v>
      </c>
      <c r="V67" s="60">
        <f>-SUMIFS(B2B!Y124:Y204,B2B!$C$124:$C$204,"UK",B2B!$A$124:$A$204,"Trade Shows")</f>
        <v>0</v>
      </c>
      <c r="W67" s="60">
        <f>-SUMIFS(B2B!Z124:Z204,B2B!$C$124:$C$204,"UK",B2B!$A$124:$A$204,"Trade Shows")</f>
        <v>0</v>
      </c>
      <c r="X67" s="60">
        <f>-SUMIFS(B2B!AA124:AA204,B2B!$C$124:$C$204,"UK",B2B!$A$124:$A$204,"Trade Shows")</f>
        <v>0</v>
      </c>
      <c r="Y67" s="60">
        <f>-SUMIFS(B2B!AB124:AB204,B2B!$C$124:$C$204,"UK",B2B!$A$124:$A$204,"Trade Shows")</f>
        <v>0</v>
      </c>
      <c r="Z67" s="60">
        <f>-SUMIFS(B2B!AC124:AC204,B2B!$C$124:$C$204,"UK",B2B!$A$124:$A$204,"Trade Shows")</f>
        <v>0</v>
      </c>
      <c r="AA67" s="60">
        <f>-SUMIFS(B2B!AD124:AD204,B2B!$C$124:$C$204,"UK",B2B!$A$124:$A$204,"Trade Shows")</f>
        <v>0</v>
      </c>
      <c r="AB67" s="60">
        <f>-SUMIFS(B2B!AE124:AE204,B2B!$C$124:$C$204,"UK",B2B!$A$124:$A$204,"Trade Shows")</f>
        <v>0</v>
      </c>
      <c r="AC67" s="60">
        <f>-SUMIFS(B2B!AF124:AF204,B2B!$C$124:$C$204,"UK",B2B!$A$124:$A$204,"Trade Shows")</f>
        <v>0</v>
      </c>
      <c r="AD67" s="60">
        <f>-SUMIFS(B2B!AG124:AG204,B2B!$C$124:$C$204,"UK",B2B!$A$124:$A$204,"Trade Shows")</f>
        <v>0</v>
      </c>
      <c r="AE67" s="60"/>
      <c r="AF67" s="61">
        <f>SUM(S67:AD67)</f>
        <v>0</v>
      </c>
      <c r="AG67" s="89"/>
      <c r="AH67" s="60">
        <f>-SUMIFS(B2B!AK124:AK204,B2B!$C$124:$C$204,"UK",B2B!$A$124:$A$204,"Trade Shows")</f>
        <v>0</v>
      </c>
      <c r="AI67" s="60">
        <f>-SUMIFS(B2B!AL124:AL204,B2B!$C$124:$C$204,"UK",B2B!$A$124:$A$204,"Trade Shows")</f>
        <v>0</v>
      </c>
      <c r="AJ67" s="60">
        <f>-SUMIFS(B2B!AM124:AM204,B2B!$C$124:$C$204,"UK",B2B!$A$124:$A$204,"Trade Shows")</f>
        <v>0</v>
      </c>
      <c r="AK67" s="60">
        <f>-SUMIFS(B2B!AN124:AN204,B2B!$C$124:$C$204,"UK",B2B!$A$124:$A$204,"Trade Shows")</f>
        <v>0</v>
      </c>
      <c r="AL67" s="60">
        <f>-SUMIFS(B2B!AO124:AO204,B2B!$C$124:$C$204,"UK",B2B!$A$124:$A$204,"Trade Shows")</f>
        <v>0</v>
      </c>
      <c r="AM67" s="60">
        <f>-SUMIFS(B2B!AP124:AP204,B2B!$C$124:$C$204,"UK",B2B!$A$124:$A$204,"Trade Shows")</f>
        <v>0</v>
      </c>
      <c r="AN67" s="60">
        <f>-SUMIFS(B2B!AQ124:AQ204,B2B!$C$124:$C$204,"UK",B2B!$A$124:$A$204,"Trade Shows")</f>
        <v>0</v>
      </c>
      <c r="AO67" s="60">
        <f>-SUMIFS(B2B!AR124:AR204,B2B!$C$124:$C$204,"UK",B2B!$A$124:$A$204,"Trade Shows")</f>
        <v>0</v>
      </c>
      <c r="AP67" s="60">
        <f>-SUMIFS(B2B!AS124:AS204,B2B!$C$124:$C$204,"UK",B2B!$A$124:$A$204,"Trade Shows")</f>
        <v>0</v>
      </c>
      <c r="AQ67" s="60">
        <f>-SUMIFS(B2B!AT124:AT204,B2B!$C$124:$C$204,"UK",B2B!$A$124:$A$204,"Trade Shows")</f>
        <v>0</v>
      </c>
      <c r="AR67" s="60">
        <f>-SUMIFS(B2B!AU124:AU204,B2B!$C$124:$C$204,"UK",B2B!$A$124:$A$204,"Trade Shows")</f>
        <v>0</v>
      </c>
      <c r="AS67" s="60">
        <f>-SUMIFS(B2B!AV124:AV204,B2B!$C$124:$C$204,"UK",B2B!$A$124:$A$204,"Trade Shows")</f>
        <v>0</v>
      </c>
      <c r="AT67" s="60"/>
      <c r="AU67" s="61">
        <f>SUM(AH67:AS67)</f>
        <v>0</v>
      </c>
      <c r="AV67" s="89"/>
    </row>
    <row r="68" spans="2:48" outlineLevel="2">
      <c r="B68" s="51" t="s">
        <v>130</v>
      </c>
      <c r="D68" s="480">
        <v>-35011.769999999997</v>
      </c>
      <c r="E68" s="480">
        <v>-40646.559999999998</v>
      </c>
      <c r="F68" s="480">
        <v>-36799.370000000003</v>
      </c>
      <c r="G68" s="480">
        <v>-35812.85</v>
      </c>
      <c r="H68" s="480">
        <v>-36831.1</v>
      </c>
      <c r="I68" s="480">
        <v>-48979.09</v>
      </c>
      <c r="J68" s="480">
        <v>-42815.99</v>
      </c>
      <c r="K68" s="480">
        <v>-44175.44</v>
      </c>
      <c r="L68" s="480">
        <v>-56348</v>
      </c>
      <c r="M68" s="60">
        <v>-55325</v>
      </c>
      <c r="N68" s="60">
        <v>-53062</v>
      </c>
      <c r="O68" s="60">
        <v>-41136</v>
      </c>
      <c r="P68" s="60"/>
      <c r="Q68" s="61">
        <f>SUM(D68:O68)</f>
        <v>-526943.16999999993</v>
      </c>
      <c r="R68" s="503"/>
      <c r="S68" s="60">
        <f>-SUMIF(Amazon!$B$53:$B$58,"UK",Amazon!Q53:Q58)</f>
        <v>-33073.263999999996</v>
      </c>
      <c r="T68" s="60">
        <f>-SUMIF(Amazon!$B$53:$B$58,"UK",Amazon!R53:R58)</f>
        <v>-43605.240000000005</v>
      </c>
      <c r="U68" s="60">
        <f>-SUMIF(Amazon!$B$53:$B$58,"UK",Amazon!S53:S58)</f>
        <v>-42199.8825</v>
      </c>
      <c r="V68" s="60">
        <f>-SUMIF(Amazon!$B$53:$B$58,"UK",Amazon!T53:T58)</f>
        <v>-42215.58</v>
      </c>
      <c r="W68" s="60">
        <f>-SUMIF(Amazon!$B$53:$B$58,"UK",Amazon!U53:U58)</f>
        <v>-41521.267500000002</v>
      </c>
      <c r="X68" s="60">
        <f>-SUMIF(Amazon!$B$53:$B$58,"UK",Amazon!V53:V58)</f>
        <v>-51595.095000000001</v>
      </c>
      <c r="Y68" s="60">
        <f>-SUMIF(Amazon!$B$53:$B$58,"UK",Amazon!W53:W58)</f>
        <v>-41654.748</v>
      </c>
      <c r="Z68" s="60">
        <f>-SUMIF(Amazon!$B$53:$B$58,"UK",Amazon!X53:X58)</f>
        <v>-44604.146100000005</v>
      </c>
      <c r="AA68" s="60">
        <f>-SUMIF(Amazon!$B$53:$B$58,"UK",Amazon!Y53:Y58)</f>
        <v>-52924.030400000003</v>
      </c>
      <c r="AB68" s="60">
        <f>-SUMIF(Amazon!$B$53:$B$58,"UK",Amazon!Z53:Z58)</f>
        <v>-53108.9159</v>
      </c>
      <c r="AC68" s="60">
        <f>-SUMIF(Amazon!$B$53:$B$58,"UK",Amazon!AA53:AA58)</f>
        <v>-53050.7811</v>
      </c>
      <c r="AD68" s="60">
        <f>-SUMIF(Amazon!$B$53:$B$58,"UK",Amazon!AB53:AB58)</f>
        <v>-40041.486599999997</v>
      </c>
      <c r="AE68" s="60"/>
      <c r="AF68" s="61">
        <f>SUM(S68:AD68)</f>
        <v>-539594.43709999998</v>
      </c>
      <c r="AG68" s="89"/>
      <c r="AH68" s="60">
        <f>-SUMIF(Amazon!$B$53:$B$58,"UK",Amazon!AE53:AE58)</f>
        <v>-27594.605919999998</v>
      </c>
      <c r="AI68" s="60">
        <f>-SUMIF(Amazon!$B$53:$B$58,"UK",Amazon!AF53:AF58)</f>
        <v>-36381.937200000008</v>
      </c>
      <c r="AJ68" s="60">
        <f>-SUMIF(Amazon!$B$53:$B$58,"UK",Amazon!AG53:AG58)</f>
        <v>-35209.380225000001</v>
      </c>
      <c r="AK68" s="60">
        <f>-SUMIF(Amazon!$B$53:$B$58,"UK",Amazon!AH53:AH58)</f>
        <v>-35222.477399999996</v>
      </c>
      <c r="AL68" s="60">
        <f>-SUMIF(Amazon!$B$53:$B$58,"UK",Amazon!AI53:AI58)</f>
        <v>-41936.480174999997</v>
      </c>
      <c r="AM68" s="60">
        <f>-SUMIF(Amazon!$B$53:$B$58,"UK",Amazon!AJ53:AJ58)</f>
        <v>-54376.743600000002</v>
      </c>
      <c r="AN68" s="60">
        <f>-SUMIF(Amazon!$B$53:$B$58,"UK",Amazon!AK53:AK58)</f>
        <v>-42071.295480000001</v>
      </c>
      <c r="AO68" s="60">
        <f>-SUMIF(Amazon!$B$53:$B$58,"UK",Amazon!AL53:AL58)</f>
        <v>-45050.187561000006</v>
      </c>
      <c r="AP68" s="60">
        <f>-SUMIF(Amazon!$B$53:$B$58,"UK",Amazon!AM53:AM58)</f>
        <v>-55777.325951999999</v>
      </c>
      <c r="AQ68" s="60">
        <f>-SUMIF(Amazon!$B$53:$B$58,"UK",Amazon!AN53:AN58)</f>
        <v>-55972.179191999996</v>
      </c>
      <c r="AR68" s="60">
        <f>-SUMIF(Amazon!$B$53:$B$58,"UK",Amazon!AO53:AO58)</f>
        <v>-53581.288910999996</v>
      </c>
      <c r="AS68" s="60">
        <f>-SUMIF(Amazon!$B$53:$B$58,"UK",Amazon!AP53:AP58)</f>
        <v>-40441.901465999996</v>
      </c>
      <c r="AT68" s="60"/>
      <c r="AU68" s="61">
        <f>SUM(AH68:AS68)</f>
        <v>-523615.80308200006</v>
      </c>
      <c r="AV68" s="89"/>
    </row>
    <row r="69" spans="2:48" outlineLevel="2">
      <c r="B69" s="51" t="s">
        <v>131</v>
      </c>
      <c r="D69" s="480">
        <v>-318.5</v>
      </c>
      <c r="E69" s="480">
        <v>-121.49</v>
      </c>
      <c r="F69" s="480">
        <v>-144.59</v>
      </c>
      <c r="G69" s="480">
        <v>-187.55</v>
      </c>
      <c r="H69" s="480">
        <v>-268.61</v>
      </c>
      <c r="I69" s="480">
        <v>-284.12</v>
      </c>
      <c r="J69" s="480">
        <v>-219.65</v>
      </c>
      <c r="K69" s="480">
        <v>-152.37</v>
      </c>
      <c r="L69" s="480">
        <v>-49</v>
      </c>
      <c r="M69" s="60"/>
      <c r="N69" s="60"/>
      <c r="O69" s="60"/>
      <c r="P69" s="60"/>
      <c r="Q69" s="61">
        <f t="shared" si="80"/>
        <v>-1745.88</v>
      </c>
      <c r="R69" s="503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1">
        <f t="shared" si="83"/>
        <v>0</v>
      </c>
      <c r="AG69" s="89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1">
        <f t="shared" si="84"/>
        <v>0</v>
      </c>
      <c r="AV69" s="89"/>
    </row>
    <row r="70" spans="2:48" outlineLevel="1">
      <c r="D70" s="480"/>
      <c r="E70" s="480"/>
      <c r="F70" s="480"/>
      <c r="G70" s="480"/>
      <c r="H70" s="480"/>
      <c r="I70" s="480"/>
      <c r="J70" s="480"/>
      <c r="K70" s="480"/>
      <c r="L70" s="480"/>
      <c r="M70" s="60"/>
      <c r="N70" s="60"/>
      <c r="O70" s="60"/>
      <c r="Q70" s="61"/>
      <c r="R70" s="503"/>
      <c r="S70" s="83"/>
      <c r="T70" s="83"/>
      <c r="U70" s="83"/>
      <c r="V70" s="83"/>
      <c r="W70" s="83"/>
      <c r="AG70" s="89"/>
      <c r="AH70" s="83"/>
      <c r="AI70" s="83"/>
      <c r="AJ70" s="83"/>
      <c r="AK70" s="83"/>
      <c r="AL70" s="83"/>
      <c r="AV70" s="89"/>
    </row>
    <row r="71" spans="2:48">
      <c r="B71" s="63" t="s">
        <v>132</v>
      </c>
      <c r="C71" s="52"/>
      <c r="D71" s="500">
        <f>SUM(D59:D70)</f>
        <v>-164553.44</v>
      </c>
      <c r="E71" s="500">
        <f>SUM(E59:E70)</f>
        <v>-160271.74</v>
      </c>
      <c r="F71" s="500">
        <f>SUM(F59:F70)</f>
        <v>-148828.22</v>
      </c>
      <c r="G71" s="500">
        <f>SUM(G59:G70)-1</f>
        <v>-219491.28</v>
      </c>
      <c r="H71" s="500">
        <f>SUM(H59:H70)</f>
        <v>-249536.99999999997</v>
      </c>
      <c r="I71" s="500">
        <f>SUM(I59:I70)</f>
        <v>-219267.37</v>
      </c>
      <c r="J71" s="500">
        <f>SUM(J59:J70)</f>
        <v>-221188.15999999997</v>
      </c>
      <c r="K71" s="500">
        <f>SUM(K59:K70)</f>
        <v>-232679.78000000003</v>
      </c>
      <c r="L71" s="500">
        <f>SUM(L59:L70)</f>
        <v>-425425</v>
      </c>
      <c r="M71" s="65">
        <f t="shared" ref="M71:O71" si="85">SUM(M59:M70)</f>
        <v>-408977</v>
      </c>
      <c r="N71" s="65">
        <f t="shared" si="85"/>
        <v>-316277</v>
      </c>
      <c r="O71" s="65">
        <f t="shared" si="85"/>
        <v>-275912</v>
      </c>
      <c r="P71" s="61"/>
      <c r="Q71" s="65">
        <f>SUM(D71:O71)</f>
        <v>-3042407.99</v>
      </c>
      <c r="R71" s="505"/>
      <c r="S71" s="84">
        <f t="shared" ref="S71" si="86">SUM(S59:S70)</f>
        <v>-287117.827575</v>
      </c>
      <c r="T71" s="84">
        <f>SUM(T59:T70)</f>
        <v>-277149.56803999998</v>
      </c>
      <c r="U71" s="84">
        <f>SUM(U59:U70)</f>
        <v>-282683.94530000002</v>
      </c>
      <c r="V71" s="84">
        <f>SUM(V59:V70)</f>
        <v>-301822.62835000007</v>
      </c>
      <c r="W71" s="84">
        <f>SUM(W59:W70)</f>
        <v>-343036.88430000003</v>
      </c>
      <c r="X71" s="65">
        <f t="shared" ref="X71:AD71" si="87">SUM(X59:X70)</f>
        <v>-334551.23088000005</v>
      </c>
      <c r="Y71" s="65">
        <f t="shared" si="87"/>
        <v>-372782.51672000013</v>
      </c>
      <c r="Z71" s="65">
        <f t="shared" si="87"/>
        <v>-529104.04632000008</v>
      </c>
      <c r="AA71" s="65">
        <f t="shared" si="87"/>
        <v>-464848.25644500018</v>
      </c>
      <c r="AB71" s="65">
        <f t="shared" si="87"/>
        <v>-407004.34357836156</v>
      </c>
      <c r="AC71" s="65">
        <f t="shared" si="87"/>
        <v>-431336.16264555103</v>
      </c>
      <c r="AD71" s="65">
        <f t="shared" si="87"/>
        <v>-416415.8740627729</v>
      </c>
      <c r="AE71" s="61"/>
      <c r="AF71" s="65">
        <f>SUM(S71:AD71)</f>
        <v>-4447853.2842166862</v>
      </c>
      <c r="AG71" s="531">
        <f>IFERROR(AF71/Q71-1,0)</f>
        <v>0.46195161820380504</v>
      </c>
      <c r="AH71" s="84">
        <f t="shared" ref="AH71" si="88">SUM(AH59:AH70)</f>
        <v>-439654.24136261438</v>
      </c>
      <c r="AI71" s="84">
        <f>SUM(AI59:AI70)</f>
        <v>-413841.30135814514</v>
      </c>
      <c r="AJ71" s="84">
        <f>SUM(AJ59:AJ70)</f>
        <v>-427405.8516544525</v>
      </c>
      <c r="AK71" s="84">
        <f>SUM(AK59:AK70)</f>
        <v>-445389.66763112502</v>
      </c>
      <c r="AL71" s="84">
        <f>SUM(AL59:AL70)</f>
        <v>-494250.39665498125</v>
      </c>
      <c r="AM71" s="65">
        <f t="shared" ref="AM71:AS71" si="89">SUM(AM59:AM70)</f>
        <v>-484053.69444848032</v>
      </c>
      <c r="AN71" s="65">
        <f t="shared" si="89"/>
        <v>-535650.24002040445</v>
      </c>
      <c r="AO71" s="65">
        <f t="shared" si="89"/>
        <v>-726236.63320854958</v>
      </c>
      <c r="AP71" s="65">
        <f t="shared" si="89"/>
        <v>-641939.17395407718</v>
      </c>
      <c r="AQ71" s="65">
        <f t="shared" si="89"/>
        <v>-584772.03176042938</v>
      </c>
      <c r="AR71" s="65">
        <f t="shared" si="89"/>
        <v>-615497.23488120618</v>
      </c>
      <c r="AS71" s="65">
        <f t="shared" si="89"/>
        <v>-606298.68063860876</v>
      </c>
      <c r="AT71" s="61"/>
      <c r="AU71" s="65">
        <f>SUM(AH71:AS71)</f>
        <v>-6414989.1475730743</v>
      </c>
      <c r="AV71" s="531">
        <f>IFERROR(AU71/AF71-1,0)</f>
        <v>0.44226635584784613</v>
      </c>
    </row>
    <row r="72" spans="2:48">
      <c r="D72" s="97"/>
      <c r="E72" s="97"/>
      <c r="F72" s="97"/>
      <c r="G72" s="97"/>
      <c r="H72" s="97"/>
      <c r="I72" s="97"/>
      <c r="J72" s="97"/>
      <c r="K72" s="97"/>
      <c r="L72" s="97"/>
      <c r="R72" s="503"/>
      <c r="S72" s="88"/>
      <c r="T72" s="88"/>
      <c r="U72" s="88"/>
      <c r="V72" s="88"/>
      <c r="W72" s="88"/>
      <c r="AF72" s="141">
        <f ca="1">AF71/AF12</f>
        <v>-0.39146231303236945</v>
      </c>
      <c r="AG72" s="89"/>
      <c r="AH72" s="88"/>
      <c r="AI72" s="88"/>
      <c r="AJ72" s="88"/>
      <c r="AK72" s="88"/>
      <c r="AL72" s="88"/>
      <c r="AV72" s="89"/>
    </row>
    <row r="73" spans="2:48" hidden="1" outlineLevel="1">
      <c r="B73" s="67" t="s">
        <v>133</v>
      </c>
      <c r="C73" s="52"/>
      <c r="D73" s="501">
        <f t="shared" ref="D73:N73" si="90">D45+SUM(D59:D63)</f>
        <v>12998.050000000007</v>
      </c>
      <c r="E73" s="501">
        <f t="shared" si="90"/>
        <v>16914.569999999985</v>
      </c>
      <c r="F73" s="501">
        <f t="shared" si="90"/>
        <v>24486.65</v>
      </c>
      <c r="G73" s="501">
        <f t="shared" si="90"/>
        <v>87848.4</v>
      </c>
      <c r="H73" s="501">
        <f t="shared" si="90"/>
        <v>-8876.5199999999895</v>
      </c>
      <c r="I73" s="501">
        <f t="shared" si="90"/>
        <v>54066.790000000008</v>
      </c>
      <c r="J73" s="501">
        <f t="shared" si="90"/>
        <v>-13899.600000000006</v>
      </c>
      <c r="K73" s="501">
        <f t="shared" si="90"/>
        <v>-25498.590000000011</v>
      </c>
      <c r="L73" s="501">
        <f t="shared" si="90"/>
        <v>15345</v>
      </c>
      <c r="M73" s="69">
        <f t="shared" si="90"/>
        <v>56988</v>
      </c>
      <c r="N73" s="69">
        <f t="shared" si="90"/>
        <v>37109</v>
      </c>
      <c r="O73" s="69">
        <f t="shared" ref="O73" si="91">O45+SUM(O59:O63)</f>
        <v>11028</v>
      </c>
      <c r="P73" s="69"/>
      <c r="Q73" s="69">
        <f>Q45+SUM(Q59:Q63)</f>
        <v>268509.75</v>
      </c>
      <c r="R73" s="503"/>
      <c r="S73" s="85">
        <f>S45+SUM(S59:S63)</f>
        <v>24240.536876961763</v>
      </c>
      <c r="T73" s="85">
        <f t="shared" ref="T73:AD73" si="92">T45+SUM(T59:T63)</f>
        <v>17477.473639989621</v>
      </c>
      <c r="U73" s="85">
        <f t="shared" si="92"/>
        <v>13967.222950224299</v>
      </c>
      <c r="V73" s="85">
        <f t="shared" si="92"/>
        <v>40664.429414367449</v>
      </c>
      <c r="W73" s="85">
        <f t="shared" si="92"/>
        <v>35391.884253015858</v>
      </c>
      <c r="X73" s="69">
        <f t="shared" si="92"/>
        <v>60302.596334566158</v>
      </c>
      <c r="Y73" s="69">
        <f t="shared" si="92"/>
        <v>78311.787926983176</v>
      </c>
      <c r="Z73" s="69">
        <f t="shared" si="92"/>
        <v>80508.350720317365</v>
      </c>
      <c r="AA73" s="69">
        <f t="shared" si="92"/>
        <v>110058.72353916068</v>
      </c>
      <c r="AB73" s="69">
        <f t="shared" si="92"/>
        <v>129760.13397315418</v>
      </c>
      <c r="AC73" s="69">
        <f t="shared" si="92"/>
        <v>127385.9228059859</v>
      </c>
      <c r="AD73" s="69">
        <f t="shared" si="92"/>
        <v>159913.31941899145</v>
      </c>
      <c r="AE73" s="69"/>
      <c r="AF73" s="69">
        <f>AF45+SUM(AF59:AF63)</f>
        <v>877982.38185371738</v>
      </c>
      <c r="AG73" s="89"/>
      <c r="AH73" s="85">
        <f>AH45+SUM(AH59:AH63)</f>
        <v>185576.26346246965</v>
      </c>
      <c r="AI73" s="85">
        <f t="shared" ref="AI73:AS73" si="93">AI45+SUM(AI59:AI63)</f>
        <v>195269.6350069847</v>
      </c>
      <c r="AJ73" s="85">
        <f t="shared" si="93"/>
        <v>231807.3186047058</v>
      </c>
      <c r="AK73" s="85">
        <f t="shared" si="93"/>
        <v>254742.61219627009</v>
      </c>
      <c r="AL73" s="85">
        <f t="shared" si="93"/>
        <v>251560.84190922609</v>
      </c>
      <c r="AM73" s="69">
        <f t="shared" si="93"/>
        <v>285448.86476682825</v>
      </c>
      <c r="AN73" s="69">
        <f t="shared" si="93"/>
        <v>299297.7149609304</v>
      </c>
      <c r="AO73" s="69">
        <f t="shared" si="93"/>
        <v>301259.92550133704</v>
      </c>
      <c r="AP73" s="69">
        <f t="shared" si="93"/>
        <v>335519.41118367272</v>
      </c>
      <c r="AQ73" s="69">
        <f t="shared" si="93"/>
        <v>354980.50584171765</v>
      </c>
      <c r="AR73" s="69">
        <f t="shared" si="93"/>
        <v>356549.64203679515</v>
      </c>
      <c r="AS73" s="69">
        <f t="shared" si="93"/>
        <v>385181.21802069718</v>
      </c>
      <c r="AT73" s="69"/>
      <c r="AU73" s="69">
        <f>AU45+SUM(AU59:AU63)</f>
        <v>3437193.9534916319</v>
      </c>
      <c r="AV73" s="89"/>
    </row>
    <row r="74" spans="2:48" hidden="1" outlineLevel="1">
      <c r="B74" s="67" t="s">
        <v>134</v>
      </c>
      <c r="C74" s="52"/>
      <c r="D74" s="501">
        <f t="shared" ref="D74:L74" si="94">D46+SUM(D64:D67)</f>
        <v>103727.56000000001</v>
      </c>
      <c r="E74" s="501">
        <f t="shared" si="94"/>
        <v>70034.749999999971</v>
      </c>
      <c r="F74" s="501">
        <f t="shared" si="94"/>
        <v>90139.50999999998</v>
      </c>
      <c r="G74" s="501">
        <f t="shared" si="94"/>
        <v>91918.10000000002</v>
      </c>
      <c r="H74" s="501">
        <f t="shared" si="94"/>
        <v>152980.22000000003</v>
      </c>
      <c r="I74" s="501">
        <f t="shared" si="94"/>
        <v>36638.200000000012</v>
      </c>
      <c r="J74" s="501">
        <f t="shared" si="94"/>
        <v>17133.799999999988</v>
      </c>
      <c r="K74" s="501">
        <f t="shared" si="94"/>
        <v>83403.849999999991</v>
      </c>
      <c r="L74" s="501">
        <f t="shared" si="94"/>
        <v>175385</v>
      </c>
      <c r="M74" s="69">
        <f t="shared" ref="M74:O74" si="95">M46+SUM(M64:M67)</f>
        <v>71316</v>
      </c>
      <c r="N74" s="69">
        <f t="shared" si="95"/>
        <v>55319</v>
      </c>
      <c r="O74" s="69">
        <f t="shared" si="95"/>
        <v>74135</v>
      </c>
      <c r="P74" s="69"/>
      <c r="Q74" s="69">
        <f>Q46+SUM(Q64:Q67)</f>
        <v>1022130.99</v>
      </c>
      <c r="R74" s="503"/>
      <c r="S74" s="85">
        <f>S46+SUM(S64:S67)</f>
        <v>98834.810601379693</v>
      </c>
      <c r="T74" s="85">
        <f t="shared" ref="T74:AD74" si="96">T46+SUM(T64:T67)</f>
        <v>71209.839549821016</v>
      </c>
      <c r="U74" s="85">
        <f t="shared" si="96"/>
        <v>63923.362220419702</v>
      </c>
      <c r="V74" s="85">
        <f t="shared" si="96"/>
        <v>63242.741572166939</v>
      </c>
      <c r="W74" s="85">
        <f t="shared" si="96"/>
        <v>93126.920643271806</v>
      </c>
      <c r="X74" s="69">
        <f t="shared" si="96"/>
        <v>63304.528488599404</v>
      </c>
      <c r="Y74" s="69">
        <f t="shared" si="96"/>
        <v>90734.259933383189</v>
      </c>
      <c r="Z74" s="69">
        <f t="shared" si="96"/>
        <v>273271.82479857112</v>
      </c>
      <c r="AA74" s="69">
        <f t="shared" si="96"/>
        <v>165583.03911983393</v>
      </c>
      <c r="AB74" s="69">
        <f t="shared" si="96"/>
        <v>96758.793058467607</v>
      </c>
      <c r="AC74" s="69">
        <f t="shared" si="96"/>
        <v>100511.51960497914</v>
      </c>
      <c r="AD74" s="69">
        <f t="shared" si="96"/>
        <v>88251.848485272974</v>
      </c>
      <c r="AE74" s="69"/>
      <c r="AF74" s="69">
        <f>AF46+SUM(AF64:AF67)</f>
        <v>1268753.4880761658</v>
      </c>
      <c r="AG74" s="89"/>
      <c r="AH74" s="85">
        <f>AH46+SUM(AH64:AH67)</f>
        <v>112038.69514662866</v>
      </c>
      <c r="AI74" s="85">
        <f t="shared" ref="AI74:AS74" si="97">AI46+SUM(AI64:AI67)</f>
        <v>96419.892459380571</v>
      </c>
      <c r="AJ74" s="85">
        <f t="shared" si="97"/>
        <v>69059.480065413663</v>
      </c>
      <c r="AK74" s="85">
        <f t="shared" si="97"/>
        <v>73660.193445789511</v>
      </c>
      <c r="AL74" s="85">
        <f t="shared" si="97"/>
        <v>93655.025507531303</v>
      </c>
      <c r="AM74" s="69">
        <f t="shared" si="97"/>
        <v>79802.094195516271</v>
      </c>
      <c r="AN74" s="69">
        <f t="shared" si="97"/>
        <v>96611.374233628681</v>
      </c>
      <c r="AO74" s="69">
        <f t="shared" si="97"/>
        <v>340833.1560720444</v>
      </c>
      <c r="AP74" s="69">
        <f t="shared" si="97"/>
        <v>190702.0002781584</v>
      </c>
      <c r="AQ74" s="69">
        <f t="shared" si="97"/>
        <v>127286.69441426243</v>
      </c>
      <c r="AR74" s="69">
        <f t="shared" si="97"/>
        <v>109545.52637047268</v>
      </c>
      <c r="AS74" s="69">
        <f t="shared" si="97"/>
        <v>93799.061926203081</v>
      </c>
      <c r="AT74" s="69"/>
      <c r="AU74" s="69">
        <f>AU46+SUM(AU64:AU67)</f>
        <v>1483413.1941150299</v>
      </c>
      <c r="AV74" s="89"/>
    </row>
    <row r="75" spans="2:48" hidden="1" outlineLevel="1">
      <c r="B75" s="67" t="s">
        <v>135</v>
      </c>
      <c r="C75" s="52"/>
      <c r="D75" s="501">
        <f t="shared" ref="D75:L75" si="98">D47+D68</f>
        <v>28247.48000000001</v>
      </c>
      <c r="E75" s="501">
        <f t="shared" si="98"/>
        <v>38883.790000000023</v>
      </c>
      <c r="F75" s="501">
        <f t="shared" si="98"/>
        <v>32275.059999999976</v>
      </c>
      <c r="G75" s="501">
        <f t="shared" si="98"/>
        <v>37853.669999999991</v>
      </c>
      <c r="H75" s="501">
        <f t="shared" si="98"/>
        <v>38748.9</v>
      </c>
      <c r="I75" s="501">
        <f t="shared" si="98"/>
        <v>33528.62999999999</v>
      </c>
      <c r="J75" s="501">
        <f t="shared" si="98"/>
        <v>23695.660000000025</v>
      </c>
      <c r="K75" s="501">
        <f t="shared" si="98"/>
        <v>28999.959999999992</v>
      </c>
      <c r="L75" s="501">
        <f t="shared" si="98"/>
        <v>35581</v>
      </c>
      <c r="M75" s="69">
        <f t="shared" ref="M75:O76" si="99">M47+M68</f>
        <v>37982</v>
      </c>
      <c r="N75" s="69">
        <f t="shared" si="99"/>
        <v>40245</v>
      </c>
      <c r="O75" s="69">
        <f t="shared" si="99"/>
        <v>31007</v>
      </c>
      <c r="P75" s="69"/>
      <c r="Q75" s="69">
        <f>Q47+Q68</f>
        <v>407048.14999999991</v>
      </c>
      <c r="R75" s="503"/>
      <c r="S75" s="85">
        <f t="shared" ref="S75:AD75" ca="1" si="100">S47+S68</f>
        <v>26287.811438366276</v>
      </c>
      <c r="T75" s="85">
        <f t="shared" ca="1" si="100"/>
        <v>34659.002112543429</v>
      </c>
      <c r="U75" s="85">
        <f t="shared" ca="1" si="100"/>
        <v>33541.973779219763</v>
      </c>
      <c r="V75" s="85">
        <f t="shared" ca="1" si="100"/>
        <v>33554.45071285576</v>
      </c>
      <c r="W75" s="85">
        <f t="shared" ca="1" si="100"/>
        <v>33002.586340494425</v>
      </c>
      <c r="X75" s="69">
        <f t="shared" ca="1" si="100"/>
        <v>41009.624224104249</v>
      </c>
      <c r="Y75" s="69">
        <f t="shared" ca="1" si="100"/>
        <v>33108.681409148652</v>
      </c>
      <c r="Z75" s="69">
        <f t="shared" ca="1" si="100"/>
        <v>35452.968356740974</v>
      </c>
      <c r="AA75" s="69">
        <f t="shared" ca="1" si="100"/>
        <v>42065.909542933674</v>
      </c>
      <c r="AB75" s="69">
        <f t="shared" ca="1" si="100"/>
        <v>42212.863141516726</v>
      </c>
      <c r="AC75" s="69">
        <f t="shared" ca="1" si="100"/>
        <v>42166.655526193172</v>
      </c>
      <c r="AD75" s="69">
        <f t="shared" ca="1" si="100"/>
        <v>31826.403630820038</v>
      </c>
      <c r="AE75" s="69"/>
      <c r="AF75" s="69">
        <f ca="1">AF47+AF68</f>
        <v>428888.93021493731</v>
      </c>
      <c r="AG75" s="89"/>
      <c r="AH75" s="85">
        <f t="shared" ref="AH75:AS75" ca="1" si="101">AH47+AH68</f>
        <v>32360.080272749936</v>
      </c>
      <c r="AI75" s="85">
        <f t="shared" ca="1" si="101"/>
        <v>42664.947333668846</v>
      </c>
      <c r="AJ75" s="85">
        <f t="shared" ca="1" si="101"/>
        <v>41289.894617011945</v>
      </c>
      <c r="AK75" s="85">
        <f t="shared" ca="1" si="101"/>
        <v>41305.253619984323</v>
      </c>
      <c r="AL75" s="85">
        <f t="shared" ca="1" si="101"/>
        <v>33332.612203899371</v>
      </c>
      <c r="AM75" s="69">
        <f t="shared" ca="1" si="101"/>
        <v>39154.022816345285</v>
      </c>
      <c r="AN75" s="69">
        <f t="shared" ca="1" si="101"/>
        <v>33439.768223240113</v>
      </c>
      <c r="AO75" s="69">
        <f t="shared" ca="1" si="101"/>
        <v>35807.498040308397</v>
      </c>
      <c r="AP75" s="69">
        <f t="shared" ca="1" si="101"/>
        <v>40162.513390363019</v>
      </c>
      <c r="AQ75" s="69">
        <f t="shared" ca="1" si="101"/>
        <v>40302.817639931905</v>
      </c>
      <c r="AR75" s="69">
        <f t="shared" ca="1" si="101"/>
        <v>42588.322081455088</v>
      </c>
      <c r="AS75" s="69">
        <f t="shared" ca="1" si="101"/>
        <v>32144.667667128248</v>
      </c>
      <c r="AT75" s="69"/>
      <c r="AU75" s="69">
        <f ca="1">AU47+AU68</f>
        <v>454552.39790608612</v>
      </c>
      <c r="AV75" s="89"/>
    </row>
    <row r="76" spans="2:48" hidden="1" outlineLevel="1">
      <c r="B76" s="67" t="s">
        <v>136</v>
      </c>
      <c r="C76" s="52"/>
      <c r="D76" s="501">
        <f t="shared" ref="D76:L76" si="102">D48+D69</f>
        <v>7983.9700000000012</v>
      </c>
      <c r="E76" s="501">
        <f t="shared" si="102"/>
        <v>3060.6099999999997</v>
      </c>
      <c r="F76" s="501">
        <f t="shared" si="102"/>
        <v>3444.64</v>
      </c>
      <c r="G76" s="501">
        <f t="shared" si="102"/>
        <v>1106.1400000000006</v>
      </c>
      <c r="H76" s="501">
        <f t="shared" si="102"/>
        <v>2884.5099999999998</v>
      </c>
      <c r="I76" s="501">
        <f t="shared" si="102"/>
        <v>2925.6400000000003</v>
      </c>
      <c r="J76" s="501">
        <f t="shared" si="102"/>
        <v>3316.1999999999994</v>
      </c>
      <c r="K76" s="501">
        <f t="shared" si="102"/>
        <v>2376.9899999999998</v>
      </c>
      <c r="L76" s="501">
        <f t="shared" si="102"/>
        <v>3161</v>
      </c>
      <c r="M76" s="69">
        <f t="shared" si="99"/>
        <v>4055</v>
      </c>
      <c r="N76" s="69">
        <f t="shared" si="99"/>
        <v>3925</v>
      </c>
      <c r="O76" s="69">
        <f t="shared" si="99"/>
        <v>3782</v>
      </c>
      <c r="P76" s="69"/>
      <c r="Q76" s="69">
        <f>Q48+Q69</f>
        <v>42021.700000000019</v>
      </c>
      <c r="R76" s="503"/>
      <c r="S76" s="85">
        <f t="shared" ref="S76:AD76" si="103">S48+S69</f>
        <v>0</v>
      </c>
      <c r="T76" s="85">
        <f t="shared" si="103"/>
        <v>0</v>
      </c>
      <c r="U76" s="85">
        <f t="shared" si="103"/>
        <v>0</v>
      </c>
      <c r="V76" s="85">
        <f t="shared" si="103"/>
        <v>0</v>
      </c>
      <c r="W76" s="85">
        <f t="shared" si="103"/>
        <v>0</v>
      </c>
      <c r="X76" s="69">
        <f t="shared" si="103"/>
        <v>0</v>
      </c>
      <c r="Y76" s="69">
        <f t="shared" si="103"/>
        <v>0</v>
      </c>
      <c r="Z76" s="69">
        <f t="shared" si="103"/>
        <v>0</v>
      </c>
      <c r="AA76" s="69">
        <f t="shared" si="103"/>
        <v>0</v>
      </c>
      <c r="AB76" s="69">
        <f t="shared" si="103"/>
        <v>0</v>
      </c>
      <c r="AC76" s="69">
        <f t="shared" si="103"/>
        <v>0</v>
      </c>
      <c r="AD76" s="69">
        <f t="shared" si="103"/>
        <v>0</v>
      </c>
      <c r="AE76" s="69"/>
      <c r="AF76" s="69">
        <f>AF48+AF69</f>
        <v>0</v>
      </c>
      <c r="AG76" s="89"/>
      <c r="AH76" s="85">
        <f t="shared" ref="AH76:AS76" si="104">AH48+AH69</f>
        <v>0</v>
      </c>
      <c r="AI76" s="85">
        <f t="shared" si="104"/>
        <v>0</v>
      </c>
      <c r="AJ76" s="85">
        <f t="shared" si="104"/>
        <v>0</v>
      </c>
      <c r="AK76" s="85">
        <f t="shared" si="104"/>
        <v>0</v>
      </c>
      <c r="AL76" s="85">
        <f t="shared" si="104"/>
        <v>0</v>
      </c>
      <c r="AM76" s="69">
        <f t="shared" si="104"/>
        <v>0</v>
      </c>
      <c r="AN76" s="69">
        <f t="shared" si="104"/>
        <v>0</v>
      </c>
      <c r="AO76" s="69">
        <f t="shared" si="104"/>
        <v>0</v>
      </c>
      <c r="AP76" s="69">
        <f t="shared" si="104"/>
        <v>0</v>
      </c>
      <c r="AQ76" s="69">
        <f t="shared" si="104"/>
        <v>0</v>
      </c>
      <c r="AR76" s="69">
        <f t="shared" si="104"/>
        <v>0</v>
      </c>
      <c r="AS76" s="69">
        <f t="shared" si="104"/>
        <v>0</v>
      </c>
      <c r="AT76" s="69"/>
      <c r="AU76" s="69">
        <f>AU48+AU69</f>
        <v>0</v>
      </c>
      <c r="AV76" s="89"/>
    </row>
    <row r="77" spans="2:48" collapsed="1">
      <c r="B77" s="67" t="s">
        <v>137</v>
      </c>
      <c r="C77" s="52"/>
      <c r="D77" s="501">
        <f t="shared" ref="D77:L77" si="105">D49+D71</f>
        <v>152957.06</v>
      </c>
      <c r="E77" s="501">
        <f t="shared" si="105"/>
        <v>128893.72000000003</v>
      </c>
      <c r="F77" s="501">
        <f t="shared" si="105"/>
        <v>150345.86000000002</v>
      </c>
      <c r="G77" s="501">
        <f t="shared" si="105"/>
        <v>219267.31000000008</v>
      </c>
      <c r="H77" s="501">
        <f t="shared" si="105"/>
        <v>185737.11000000002</v>
      </c>
      <c r="I77" s="501">
        <f t="shared" si="105"/>
        <v>127159.26000000007</v>
      </c>
      <c r="J77" s="501">
        <f t="shared" si="105"/>
        <v>21344.060000000114</v>
      </c>
      <c r="K77" s="501">
        <f t="shared" si="105"/>
        <v>89282.209999999963</v>
      </c>
      <c r="L77" s="501">
        <f t="shared" si="105"/>
        <v>229472</v>
      </c>
      <c r="M77" s="69">
        <f t="shared" ref="M77:O77" si="106">M49+M71</f>
        <v>170341</v>
      </c>
      <c r="N77" s="69">
        <f t="shared" si="106"/>
        <v>136598</v>
      </c>
      <c r="O77" s="69">
        <f t="shared" si="106"/>
        <v>119952</v>
      </c>
      <c r="P77" s="69"/>
      <c r="Q77" s="69">
        <f>Q49+Q71</f>
        <v>1731349.5899999999</v>
      </c>
      <c r="R77" s="503"/>
      <c r="S77" s="85">
        <f t="shared" ref="S77:AD77" ca="1" si="107">S49+S71</f>
        <v>149363.15891670767</v>
      </c>
      <c r="T77" s="85">
        <f t="shared" ca="1" si="107"/>
        <v>123346.31530235399</v>
      </c>
      <c r="U77" s="85">
        <f t="shared" ca="1" si="107"/>
        <v>111432.55894986371</v>
      </c>
      <c r="V77" s="85">
        <f t="shared" ca="1" si="107"/>
        <v>137461.62169939012</v>
      </c>
      <c r="W77" s="85">
        <f ca="1">W49+W71</f>
        <v>161521.39123678207</v>
      </c>
      <c r="X77" s="69">
        <f t="shared" ca="1" si="107"/>
        <v>164616.74904726987</v>
      </c>
      <c r="Y77" s="69">
        <f t="shared" ca="1" si="107"/>
        <v>202154.72926951497</v>
      </c>
      <c r="Z77" s="69">
        <f t="shared" ca="1" si="107"/>
        <v>389233.14387562976</v>
      </c>
      <c r="AA77" s="69">
        <f t="shared" ca="1" si="107"/>
        <v>317707.67220192822</v>
      </c>
      <c r="AB77" s="69">
        <f t="shared" ca="1" si="107"/>
        <v>268731.79017313849</v>
      </c>
      <c r="AC77" s="69">
        <f t="shared" ca="1" si="107"/>
        <v>270064.09793715819</v>
      </c>
      <c r="AD77" s="69">
        <f t="shared" ca="1" si="107"/>
        <v>279991.57153508434</v>
      </c>
      <c r="AE77" s="69"/>
      <c r="AF77" s="69">
        <f ca="1">AF49+AF71</f>
        <v>2575624.8001448223</v>
      </c>
      <c r="AG77" s="531">
        <f ca="1">IFERROR(AF77/Q77-1,0)</f>
        <v>0.48763993997585575</v>
      </c>
      <c r="AH77" s="85">
        <f t="shared" ref="AH77:AS77" ca="1" si="108">AH49+AH71</f>
        <v>329975.03888184828</v>
      </c>
      <c r="AI77" s="85">
        <f t="shared" ca="1" si="108"/>
        <v>334354.47480003425</v>
      </c>
      <c r="AJ77" s="85">
        <f t="shared" ca="1" si="108"/>
        <v>342156.69328713114</v>
      </c>
      <c r="AK77" s="85">
        <f t="shared" ca="1" si="108"/>
        <v>369708.05926204397</v>
      </c>
      <c r="AL77" s="85">
        <f t="shared" ca="1" si="108"/>
        <v>378548.47962065664</v>
      </c>
      <c r="AM77" s="69">
        <f t="shared" ca="1" si="108"/>
        <v>404404.98177869007</v>
      </c>
      <c r="AN77" s="69">
        <f t="shared" ca="1" si="108"/>
        <v>429348.85741779895</v>
      </c>
      <c r="AO77" s="69">
        <f t="shared" ca="1" si="108"/>
        <v>677900.5796136898</v>
      </c>
      <c r="AP77" s="69">
        <f t="shared" ca="1" si="108"/>
        <v>566383.92485219438</v>
      </c>
      <c r="AQ77" s="69">
        <f t="shared" ca="1" si="108"/>
        <v>522570.01789591194</v>
      </c>
      <c r="AR77" s="69">
        <f t="shared" ca="1" si="108"/>
        <v>508683.49048872292</v>
      </c>
      <c r="AS77" s="69">
        <f t="shared" ca="1" si="108"/>
        <v>511124.94761402835</v>
      </c>
      <c r="AT77" s="69"/>
      <c r="AU77" s="69">
        <f ca="1">AU49+AU71</f>
        <v>5375159.5455127489</v>
      </c>
      <c r="AV77" s="531">
        <f ca="1">IFERROR(AU77/AF77-1,0)</f>
        <v>1.0869342247405425</v>
      </c>
    </row>
    <row r="78" spans="2:48">
      <c r="B78" s="52"/>
      <c r="C78" s="52"/>
      <c r="D78" s="70"/>
      <c r="E78" s="70"/>
      <c r="F78" s="70"/>
      <c r="G78" s="70"/>
      <c r="H78" s="70"/>
      <c r="I78" s="70"/>
      <c r="J78" s="70"/>
      <c r="K78" s="70"/>
      <c r="L78" s="70"/>
      <c r="M78" s="52"/>
      <c r="N78" s="52"/>
      <c r="O78" s="52"/>
      <c r="P78" s="52"/>
      <c r="R78" s="503"/>
      <c r="S78" s="10"/>
      <c r="T78" s="10"/>
      <c r="U78" s="10"/>
      <c r="V78" s="10"/>
      <c r="W78" s="10"/>
      <c r="X78" s="52"/>
      <c r="Y78" s="52"/>
      <c r="Z78" s="52"/>
      <c r="AA78" s="52"/>
      <c r="AB78" s="52"/>
      <c r="AC78" s="52"/>
      <c r="AD78" s="52"/>
      <c r="AE78" s="52"/>
      <c r="AG78" s="89"/>
      <c r="AH78" s="10"/>
      <c r="AI78" s="10"/>
      <c r="AJ78" s="10"/>
      <c r="AK78" s="10"/>
      <c r="AL78" s="10"/>
      <c r="AM78" s="52"/>
      <c r="AN78" s="52"/>
      <c r="AO78" s="52"/>
      <c r="AP78" s="52"/>
      <c r="AQ78" s="52"/>
      <c r="AR78" s="52"/>
      <c r="AS78" s="52"/>
      <c r="AT78" s="52"/>
      <c r="AV78" s="89"/>
    </row>
    <row r="79" spans="2:48" outlineLevel="1">
      <c r="B79" s="67" t="s">
        <v>138</v>
      </c>
      <c r="C79" s="52"/>
      <c r="D79" s="97">
        <f t="shared" ref="D79:L79" si="109">IFERROR(D73/D7,0)</f>
        <v>0.23663697155360741</v>
      </c>
      <c r="E79" s="97">
        <f t="shared" si="109"/>
        <v>0.22070219660048634</v>
      </c>
      <c r="F79" s="97">
        <f t="shared" si="109"/>
        <v>0.16456966772407119</v>
      </c>
      <c r="G79" s="97">
        <f t="shared" si="109"/>
        <v>0.31902006870695304</v>
      </c>
      <c r="H79" s="97">
        <f t="shared" si="109"/>
        <v>-0.11285672510902305</v>
      </c>
      <c r="I79" s="97">
        <f t="shared" si="109"/>
        <v>0.27952001181219238</v>
      </c>
      <c r="J79" s="97">
        <f t="shared" si="109"/>
        <v>-8.09103667789937E-2</v>
      </c>
      <c r="K79" s="97">
        <f t="shared" si="109"/>
        <v>-0.28103736074793151</v>
      </c>
      <c r="L79" s="97">
        <f t="shared" si="109"/>
        <v>4.9676270637746843E-2</v>
      </c>
      <c r="M79" s="91">
        <f t="shared" ref="M79:O82" si="110">IFERROR(M73/M7,0)</f>
        <v>0.14892360439652333</v>
      </c>
      <c r="N79" s="91">
        <f t="shared" si="110"/>
        <v>0.15462083333333335</v>
      </c>
      <c r="O79" s="91">
        <f t="shared" si="110"/>
        <v>6.096185737976783E-2</v>
      </c>
      <c r="P79" s="91"/>
      <c r="Q79" s="91">
        <f>IFERROR(Q73/Q7,0)</f>
        <v>0.12189496119236889</v>
      </c>
      <c r="R79" s="503"/>
      <c r="S79" s="91">
        <f t="shared" ref="S79:AD79" si="111">IFERROR(S73/S7,0)</f>
        <v>0.10980377199112931</v>
      </c>
      <c r="T79" s="91">
        <f t="shared" si="111"/>
        <v>7.29775342209662E-2</v>
      </c>
      <c r="U79" s="91">
        <f t="shared" si="111"/>
        <v>5.5520990213770098E-2</v>
      </c>
      <c r="V79" s="91">
        <f t="shared" si="111"/>
        <v>0.13049378141875639</v>
      </c>
      <c r="W79" s="91">
        <f t="shared" si="111"/>
        <v>0.1090115147763749</v>
      </c>
      <c r="X79" s="91">
        <f t="shared" si="111"/>
        <v>0.15621979749618103</v>
      </c>
      <c r="Y79" s="91">
        <f t="shared" si="111"/>
        <v>0.18368074608231022</v>
      </c>
      <c r="Z79" s="91">
        <f t="shared" si="111"/>
        <v>0.18168500114473196</v>
      </c>
      <c r="AA79" s="91">
        <f t="shared" si="111"/>
        <v>0.21905296995220802</v>
      </c>
      <c r="AB79" s="91">
        <f t="shared" si="111"/>
        <v>0.23706151159622016</v>
      </c>
      <c r="AC79" s="91">
        <f t="shared" si="111"/>
        <v>0.22777560829451265</v>
      </c>
      <c r="AD79" s="91">
        <f t="shared" si="111"/>
        <v>0.25571980447659809</v>
      </c>
      <c r="AE79" s="91"/>
      <c r="AF79" s="91">
        <f>IFERROR(AF73/AF7,0)</f>
        <v>0.18147684023094343</v>
      </c>
      <c r="AG79" s="89"/>
      <c r="AH79" s="91">
        <f t="shared" ref="AH79:AS79" si="112">IFERROR(AH73/AH7,0)</f>
        <v>0.28060304131416069</v>
      </c>
      <c r="AI79" s="91">
        <f t="shared" si="112"/>
        <v>0.28171093693885085</v>
      </c>
      <c r="AJ79" s="91">
        <f t="shared" si="112"/>
        <v>0.30250594486769727</v>
      </c>
      <c r="AK79" s="91">
        <f t="shared" si="112"/>
        <v>0.3107291103258884</v>
      </c>
      <c r="AL79" s="91">
        <f t="shared" si="112"/>
        <v>0.30129496072770029</v>
      </c>
      <c r="AM79" s="91">
        <f t="shared" si="112"/>
        <v>0.31474605033069136</v>
      </c>
      <c r="AN79" s="91">
        <f t="shared" si="112"/>
        <v>0.31513611779418838</v>
      </c>
      <c r="AO79" s="91">
        <f t="shared" si="112"/>
        <v>0.30874924845524049</v>
      </c>
      <c r="AP79" s="91">
        <f t="shared" si="112"/>
        <v>0.31906112324910058</v>
      </c>
      <c r="AQ79" s="91">
        <f t="shared" si="112"/>
        <v>0.32086427822268321</v>
      </c>
      <c r="AR79" s="91">
        <f t="shared" si="112"/>
        <v>0.31403889776651428</v>
      </c>
      <c r="AS79" s="91">
        <f t="shared" si="112"/>
        <v>0.31924488613248486</v>
      </c>
      <c r="AT79" s="91"/>
      <c r="AU79" s="91">
        <f>IFERROR(AU73/AU7,0)</f>
        <v>0.3094406078901199</v>
      </c>
      <c r="AV79" s="89"/>
    </row>
    <row r="80" spans="2:48" outlineLevel="1">
      <c r="B80" s="67" t="s">
        <v>139</v>
      </c>
      <c r="C80" s="52"/>
      <c r="D80" s="97">
        <f t="shared" ref="D80:L80" si="113">IFERROR(D74/D8,0)</f>
        <v>0.33325773573398926</v>
      </c>
      <c r="E80" s="97">
        <f t="shared" si="113"/>
        <v>0.30448522444686604</v>
      </c>
      <c r="F80" s="97">
        <f t="shared" si="113"/>
        <v>0.41267567654181936</v>
      </c>
      <c r="G80" s="97">
        <f t="shared" si="113"/>
        <v>0.33121871946221543</v>
      </c>
      <c r="H80" s="97">
        <f t="shared" si="113"/>
        <v>0.37573799079445708</v>
      </c>
      <c r="I80" s="97">
        <f t="shared" si="113"/>
        <v>0.19067146088784415</v>
      </c>
      <c r="J80" s="97">
        <f t="shared" si="113"/>
        <v>0.15789442642940624</v>
      </c>
      <c r="K80" s="97">
        <f t="shared" si="113"/>
        <v>0.3116161708623934</v>
      </c>
      <c r="L80" s="97">
        <f t="shared" si="113"/>
        <v>0.34793019375854278</v>
      </c>
      <c r="M80" s="91">
        <f t="shared" si="110"/>
        <v>0.17473758489900326</v>
      </c>
      <c r="N80" s="91">
        <f t="shared" si="110"/>
        <v>0.16691811450331007</v>
      </c>
      <c r="O80" s="91">
        <f t="shared" si="110"/>
        <v>0.21770667230498608</v>
      </c>
      <c r="P80" s="91"/>
      <c r="Q80" s="91">
        <f>IFERROR(Q74/Q8,0)</f>
        <v>0.28417609513659187</v>
      </c>
      <c r="R80" s="503"/>
      <c r="S80" s="91">
        <f t="shared" ref="S80:AD80" si="114">IFERROR(S74/S8,0)</f>
        <v>0.29396461189245493</v>
      </c>
      <c r="T80" s="91">
        <f t="shared" si="114"/>
        <v>0.29757174631255784</v>
      </c>
      <c r="U80" s="91">
        <f t="shared" si="114"/>
        <v>0.28749751382114869</v>
      </c>
      <c r="V80" s="91">
        <f t="shared" si="114"/>
        <v>0.27393768343350111</v>
      </c>
      <c r="W80" s="91">
        <f t="shared" si="114"/>
        <v>0.29601733206294317</v>
      </c>
      <c r="X80" s="91">
        <f t="shared" si="114"/>
        <v>0.28407636549675636</v>
      </c>
      <c r="Y80" s="91">
        <f t="shared" si="114"/>
        <v>0.2835956360047705</v>
      </c>
      <c r="Z80" s="91">
        <f t="shared" si="114"/>
        <v>0.34493039662034897</v>
      </c>
      <c r="AA80" s="91">
        <f t="shared" si="114"/>
        <v>0.31921666044045705</v>
      </c>
      <c r="AB80" s="91">
        <f t="shared" si="114"/>
        <v>0.3008401388399336</v>
      </c>
      <c r="AC80" s="91">
        <f t="shared" si="114"/>
        <v>0.28914698736390726</v>
      </c>
      <c r="AD80" s="91">
        <f t="shared" si="114"/>
        <v>0.2830596619508714</v>
      </c>
      <c r="AE80" s="91"/>
      <c r="AF80" s="91">
        <f>IFERROR(AF74/AF8,0)</f>
        <v>0.30366751548199816</v>
      </c>
      <c r="AG80" s="89"/>
      <c r="AH80" s="91">
        <f t="shared" ref="AH80:AS80" si="115">IFERROR(AH74/AH8,0)</f>
        <v>0.28641133346356346</v>
      </c>
      <c r="AI80" s="91">
        <f t="shared" si="115"/>
        <v>0.31904960615405159</v>
      </c>
      <c r="AJ80" s="91">
        <f t="shared" si="115"/>
        <v>0.25894768511220095</v>
      </c>
      <c r="AK80" s="91">
        <f t="shared" si="115"/>
        <v>0.26202152031024811</v>
      </c>
      <c r="AL80" s="91">
        <f t="shared" si="115"/>
        <v>0.26623708183386646</v>
      </c>
      <c r="AM80" s="91">
        <f t="shared" si="115"/>
        <v>0.28595353430506198</v>
      </c>
      <c r="AN80" s="91">
        <f t="shared" si="115"/>
        <v>0.257919637608168</v>
      </c>
      <c r="AO80" s="91">
        <f t="shared" si="115"/>
        <v>0.34923173801216645</v>
      </c>
      <c r="AP80" s="91">
        <f t="shared" si="115"/>
        <v>0.31845189560465714</v>
      </c>
      <c r="AQ80" s="91">
        <f t="shared" si="115"/>
        <v>0.31810558503119052</v>
      </c>
      <c r="AR80" s="91">
        <f t="shared" si="115"/>
        <v>0.27608061857315119</v>
      </c>
      <c r="AS80" s="91">
        <f t="shared" si="115"/>
        <v>0.26578148716390937</v>
      </c>
      <c r="AT80" s="91"/>
      <c r="AU80" s="91">
        <f>IFERROR(AU74/AU8,0)</f>
        <v>0.29839720943935877</v>
      </c>
      <c r="AV80" s="89"/>
    </row>
    <row r="81" spans="2:48" outlineLevel="1">
      <c r="B81" s="67" t="s">
        <v>140</v>
      </c>
      <c r="C81" s="52"/>
      <c r="D81" s="97">
        <f t="shared" ref="D81:L81" si="116">IFERROR(D75/D9,0)</f>
        <v>0.21262461572669805</v>
      </c>
      <c r="E81" s="97">
        <f t="shared" si="116"/>
        <v>0.20478121749421632</v>
      </c>
      <c r="F81" s="97">
        <f t="shared" si="116"/>
        <v>0.18720163797503583</v>
      </c>
      <c r="G81" s="97">
        <f t="shared" si="116"/>
        <v>0.22037223870083217</v>
      </c>
      <c r="H81" s="97">
        <f t="shared" si="116"/>
        <v>0.25581897405426818</v>
      </c>
      <c r="I81" s="97">
        <f t="shared" si="116"/>
        <v>0.16968934901509852</v>
      </c>
      <c r="J81" s="97">
        <f t="shared" si="116"/>
        <v>0.14818639784941545</v>
      </c>
      <c r="K81" s="97">
        <f t="shared" si="116"/>
        <v>0.16109164738656212</v>
      </c>
      <c r="L81" s="97">
        <f t="shared" si="116"/>
        <v>0.15892676085276686</v>
      </c>
      <c r="M81" s="91">
        <f t="shared" si="110"/>
        <v>0.16537064934386403</v>
      </c>
      <c r="N81" s="91">
        <f t="shared" si="110"/>
        <v>0.1752235738729874</v>
      </c>
      <c r="O81" s="91">
        <f t="shared" si="110"/>
        <v>0.17419565058623265</v>
      </c>
      <c r="P81" s="91"/>
      <c r="Q81" s="91">
        <f>IFERROR(Q75/Q9,0)</f>
        <v>0.18359197194505267</v>
      </c>
      <c r="R81" s="503"/>
      <c r="S81" s="91">
        <f t="shared" ref="S81:AD81" ca="1" si="117">IFERROR(S75/S9,0)</f>
        <v>0.18281221444681856</v>
      </c>
      <c r="T81" s="91">
        <f t="shared" ca="1" si="117"/>
        <v>0.18281221444681853</v>
      </c>
      <c r="U81" s="91">
        <f t="shared" ca="1" si="117"/>
        <v>0.18281221444681856</v>
      </c>
      <c r="V81" s="91">
        <f t="shared" ca="1" si="117"/>
        <v>0.18281221444681856</v>
      </c>
      <c r="W81" s="91">
        <f t="shared" ca="1" si="117"/>
        <v>0.18281221444681856</v>
      </c>
      <c r="X81" s="91">
        <f t="shared" ca="1" si="117"/>
        <v>0.18281221444681858</v>
      </c>
      <c r="Y81" s="91">
        <f t="shared" ca="1" si="117"/>
        <v>0.18281221444681864</v>
      </c>
      <c r="Z81" s="91">
        <f t="shared" ca="1" si="117"/>
        <v>0.18281221444681853</v>
      </c>
      <c r="AA81" s="91">
        <f t="shared" ca="1" si="117"/>
        <v>0.18281221444681856</v>
      </c>
      <c r="AB81" s="91">
        <f t="shared" ca="1" si="117"/>
        <v>0.18281221444681847</v>
      </c>
      <c r="AC81" s="91">
        <f t="shared" ca="1" si="117"/>
        <v>0.18281221444681858</v>
      </c>
      <c r="AD81" s="91">
        <f t="shared" ca="1" si="117"/>
        <v>0.1828122144468185</v>
      </c>
      <c r="AE81" s="91"/>
      <c r="AF81" s="91">
        <f ca="1">IFERROR(AF75/AF9,0)</f>
        <v>0.18281221444681861</v>
      </c>
      <c r="AG81" s="89"/>
      <c r="AH81" s="91">
        <f t="shared" ref="AH81:AS81" ca="1" si="118">IFERROR(AH75/AH9,0)</f>
        <v>0.22281221444681854</v>
      </c>
      <c r="AI81" s="91">
        <f t="shared" ca="1" si="118"/>
        <v>0.22281221444681842</v>
      </c>
      <c r="AJ81" s="91">
        <f t="shared" ca="1" si="118"/>
        <v>0.22281221444681848</v>
      </c>
      <c r="AK81" s="91">
        <f t="shared" ca="1" si="118"/>
        <v>0.22281221444681862</v>
      </c>
      <c r="AL81" s="91">
        <f t="shared" ca="1" si="118"/>
        <v>0.18281221444681858</v>
      </c>
      <c r="AM81" s="91">
        <f t="shared" ca="1" si="118"/>
        <v>0.17281221444681855</v>
      </c>
      <c r="AN81" s="91">
        <f t="shared" ca="1" si="118"/>
        <v>0.1828122144468185</v>
      </c>
      <c r="AO81" s="91">
        <f t="shared" ca="1" si="118"/>
        <v>0.18281221444681858</v>
      </c>
      <c r="AP81" s="91">
        <f t="shared" ca="1" si="118"/>
        <v>0.1728122144468186</v>
      </c>
      <c r="AQ81" s="91">
        <f t="shared" ca="1" si="118"/>
        <v>0.17281221444681852</v>
      </c>
      <c r="AR81" s="91">
        <f t="shared" ca="1" si="118"/>
        <v>0.18281221444681853</v>
      </c>
      <c r="AS81" s="91">
        <f t="shared" ca="1" si="118"/>
        <v>0.18281221444681856</v>
      </c>
      <c r="AT81" s="91"/>
      <c r="AU81" s="91">
        <f ca="1">IFERROR(AU75/AU9,0)</f>
        <v>0.19183283792314595</v>
      </c>
      <c r="AV81" s="89"/>
    </row>
    <row r="82" spans="2:48" outlineLevel="1">
      <c r="B82" s="67" t="s">
        <v>141</v>
      </c>
      <c r="C82" s="52"/>
      <c r="D82" s="97">
        <f t="shared" ref="D82:L82" si="119">IFERROR(D76/D10,0)</f>
        <v>0.58595278600166456</v>
      </c>
      <c r="E82" s="97">
        <f t="shared" si="119"/>
        <v>0.38587110691416326</v>
      </c>
      <c r="F82" s="97">
        <f t="shared" si="119"/>
        <v>0.36152812762384551</v>
      </c>
      <c r="G82" s="97">
        <f t="shared" si="119"/>
        <v>0.16960342966488404</v>
      </c>
      <c r="H82" s="97">
        <f t="shared" si="119"/>
        <v>0.31708365395185223</v>
      </c>
      <c r="I82" s="97">
        <f t="shared" si="119"/>
        <v>0.41970714436345435</v>
      </c>
      <c r="J82" s="97">
        <f t="shared" si="119"/>
        <v>0.5206251520884192</v>
      </c>
      <c r="K82" s="97">
        <f t="shared" si="119"/>
        <v>0.54276117494474174</v>
      </c>
      <c r="L82" s="97">
        <f t="shared" si="119"/>
        <v>1.4466819221967964</v>
      </c>
      <c r="M82" s="91">
        <f t="shared" si="110"/>
        <v>0.52295589373226725</v>
      </c>
      <c r="N82" s="91">
        <f t="shared" si="110"/>
        <v>0.5061903533660046</v>
      </c>
      <c r="O82" s="91">
        <f t="shared" si="110"/>
        <v>0.4877482589631158</v>
      </c>
      <c r="P82" s="91"/>
      <c r="Q82" s="91">
        <f>IFERROR(Q76/Q10,0)</f>
        <v>0.46757802489991507</v>
      </c>
      <c r="R82" s="503"/>
      <c r="S82" s="91">
        <f t="shared" ref="S82:AD82" si="120">IFERROR(S76/S10,0)</f>
        <v>0</v>
      </c>
      <c r="T82" s="91">
        <f t="shared" si="120"/>
        <v>0</v>
      </c>
      <c r="U82" s="91">
        <f t="shared" si="120"/>
        <v>0</v>
      </c>
      <c r="V82" s="91">
        <f t="shared" si="120"/>
        <v>0</v>
      </c>
      <c r="W82" s="91">
        <f t="shared" si="120"/>
        <v>0</v>
      </c>
      <c r="X82" s="91">
        <f t="shared" si="120"/>
        <v>0</v>
      </c>
      <c r="Y82" s="91">
        <f t="shared" si="120"/>
        <v>0</v>
      </c>
      <c r="Z82" s="91">
        <f t="shared" si="120"/>
        <v>0</v>
      </c>
      <c r="AA82" s="91">
        <f t="shared" si="120"/>
        <v>0</v>
      </c>
      <c r="AB82" s="91">
        <f t="shared" si="120"/>
        <v>0</v>
      </c>
      <c r="AC82" s="91">
        <f t="shared" si="120"/>
        <v>0</v>
      </c>
      <c r="AD82" s="91">
        <f t="shared" si="120"/>
        <v>0</v>
      </c>
      <c r="AE82" s="91"/>
      <c r="AF82" s="91">
        <f>IFERROR(AF76/AF10,0)</f>
        <v>0</v>
      </c>
      <c r="AG82" s="89"/>
      <c r="AH82" s="91">
        <f t="shared" ref="AH82:AS82" si="121">IFERROR(AH76/AH10,0)</f>
        <v>0</v>
      </c>
      <c r="AI82" s="91">
        <f t="shared" si="121"/>
        <v>0</v>
      </c>
      <c r="AJ82" s="91">
        <f t="shared" si="121"/>
        <v>0</v>
      </c>
      <c r="AK82" s="91">
        <f t="shared" si="121"/>
        <v>0</v>
      </c>
      <c r="AL82" s="91">
        <f t="shared" si="121"/>
        <v>0</v>
      </c>
      <c r="AM82" s="91">
        <f t="shared" si="121"/>
        <v>0</v>
      </c>
      <c r="AN82" s="91">
        <f t="shared" si="121"/>
        <v>0</v>
      </c>
      <c r="AO82" s="91">
        <f t="shared" si="121"/>
        <v>0</v>
      </c>
      <c r="AP82" s="91">
        <f t="shared" si="121"/>
        <v>0</v>
      </c>
      <c r="AQ82" s="91">
        <f t="shared" si="121"/>
        <v>0</v>
      </c>
      <c r="AR82" s="91">
        <f t="shared" si="121"/>
        <v>0</v>
      </c>
      <c r="AS82" s="91">
        <f t="shared" si="121"/>
        <v>0</v>
      </c>
      <c r="AT82" s="91"/>
      <c r="AU82" s="91">
        <f>IFERROR(AU76/AU10,0)</f>
        <v>0</v>
      </c>
      <c r="AV82" s="89"/>
    </row>
    <row r="83" spans="2:48">
      <c r="B83" s="72" t="s">
        <v>142</v>
      </c>
      <c r="C83" s="73"/>
      <c r="D83" s="97">
        <f t="shared" ref="D83:L83" si="122">IFERROR(D77/D12,0)</f>
        <v>0.29836050908974437</v>
      </c>
      <c r="E83" s="97">
        <f t="shared" si="122"/>
        <v>0.2555075512305211</v>
      </c>
      <c r="F83" s="97">
        <f t="shared" si="122"/>
        <v>0.27377672970290723</v>
      </c>
      <c r="G83" s="97">
        <f t="shared" si="122"/>
        <v>0.29966023603517933</v>
      </c>
      <c r="H83" s="97">
        <f t="shared" si="122"/>
        <v>0.28735594075183413</v>
      </c>
      <c r="I83" s="97">
        <f t="shared" si="122"/>
        <v>0.21547311697115026</v>
      </c>
      <c r="J83" s="97">
        <f t="shared" si="122"/>
        <v>4.7794648398282791E-2</v>
      </c>
      <c r="K83" s="97">
        <f t="shared" si="122"/>
        <v>0.16449045543254506</v>
      </c>
      <c r="L83" s="97">
        <f t="shared" si="122"/>
        <v>0.22084810244752653</v>
      </c>
      <c r="M83" s="91">
        <f t="shared" ref="M83:O83" si="123">IFERROR(M77/M12,0)</f>
        <v>0.16566429689855383</v>
      </c>
      <c r="N83" s="91">
        <f t="shared" si="123"/>
        <v>0.16888010820353935</v>
      </c>
      <c r="O83" s="91">
        <f t="shared" si="123"/>
        <v>0.16961970185892741</v>
      </c>
      <c r="P83" s="91"/>
      <c r="Q83" s="91">
        <f>IFERROR(Q77/Q12,0)</f>
        <v>0.21355791720024239</v>
      </c>
      <c r="R83" s="503"/>
      <c r="S83" s="91">
        <f t="shared" ref="S83:AD83" ca="1" si="124">IFERROR(S77/S12,0)</f>
        <v>0.21314074737625399</v>
      </c>
      <c r="T83" s="91">
        <f t="shared" ca="1" si="124"/>
        <v>0.1845445720823051</v>
      </c>
      <c r="U83" s="91">
        <f t="shared" ca="1" si="124"/>
        <v>0.16950796536302409</v>
      </c>
      <c r="V83" s="91">
        <f t="shared" ca="1" si="124"/>
        <v>0.18933296508439912</v>
      </c>
      <c r="W83" s="91">
        <f t="shared" ca="1" si="124"/>
        <v>0.19702807896603258</v>
      </c>
      <c r="X83" s="91">
        <f t="shared" ca="1" si="124"/>
        <v>0.19757619696578921</v>
      </c>
      <c r="Y83" s="91">
        <f t="shared" ca="1" si="124"/>
        <v>0.21798072781776889</v>
      </c>
      <c r="Z83" s="91">
        <f t="shared" ca="1" si="124"/>
        <v>0.27232361726078169</v>
      </c>
      <c r="AA83" s="91">
        <f t="shared" ca="1" si="124"/>
        <v>0.25391202500568399</v>
      </c>
      <c r="AB83" s="91">
        <f t="shared" ca="1" si="124"/>
        <v>0.24432251045548095</v>
      </c>
      <c r="AC83" s="91">
        <f t="shared" ca="1" si="124"/>
        <v>0.23741270613628487</v>
      </c>
      <c r="AD83" s="91">
        <f t="shared" ca="1" si="124"/>
        <v>0.25196828110930364</v>
      </c>
      <c r="AE83" s="91"/>
      <c r="AF83" s="91">
        <f ca="1">IFERROR(AF77/AF12,0)</f>
        <v>0.22668464478045203</v>
      </c>
      <c r="AG83" s="89"/>
      <c r="AH83" s="91">
        <f t="shared" ref="AH83:AS83" ca="1" si="125">IFERROR(AH77/AH12,0)</f>
        <v>0.27549256542889033</v>
      </c>
      <c r="AI83" s="91">
        <f t="shared" ca="1" si="125"/>
        <v>0.28171595265092692</v>
      </c>
      <c r="AJ83" s="91">
        <f t="shared" ca="1" si="125"/>
        <v>0.28084870193274286</v>
      </c>
      <c r="AK83" s="91">
        <f t="shared" ca="1" si="125"/>
        <v>0.28741389803250711</v>
      </c>
      <c r="AL83" s="91">
        <f t="shared" ca="1" si="125"/>
        <v>0.27650698384710592</v>
      </c>
      <c r="AM83" s="91">
        <f t="shared" ca="1" si="125"/>
        <v>0.28629196162119741</v>
      </c>
      <c r="AN83" s="91">
        <f t="shared" ca="1" si="125"/>
        <v>0.28485782579512792</v>
      </c>
      <c r="AO83" s="91">
        <f t="shared" ca="1" si="125"/>
        <v>0.31566014723449387</v>
      </c>
      <c r="AP83" s="91">
        <f t="shared" ca="1" si="125"/>
        <v>0.30081524477314692</v>
      </c>
      <c r="AQ83" s="91">
        <f t="shared" ca="1" si="125"/>
        <v>0.30038228366949721</v>
      </c>
      <c r="AR83" s="91">
        <f t="shared" ca="1" si="125"/>
        <v>0.28818666480152233</v>
      </c>
      <c r="AS83" s="91">
        <f t="shared" ca="1" si="125"/>
        <v>0.29454715453926883</v>
      </c>
      <c r="AT83" s="91"/>
      <c r="AU83" s="91">
        <f ca="1">IFERROR(AU77/AU12,0)</f>
        <v>0.29135930065540461</v>
      </c>
      <c r="AV83" s="89"/>
    </row>
    <row r="84" spans="2:48">
      <c r="D84" s="53"/>
      <c r="E84" s="53"/>
      <c r="F84" s="53"/>
      <c r="G84" s="53"/>
      <c r="H84" s="53"/>
      <c r="I84" s="53"/>
      <c r="J84" s="53"/>
      <c r="K84" s="53"/>
      <c r="L84" s="53"/>
      <c r="M84" s="91"/>
      <c r="N84" s="91"/>
      <c r="O84" s="91"/>
      <c r="P84" s="91"/>
      <c r="Q84" s="91"/>
      <c r="R84" s="503"/>
      <c r="AG84" s="89"/>
      <c r="AV84" s="89"/>
    </row>
    <row r="85" spans="2:48" ht="10.5" customHeight="1">
      <c r="D85" s="59"/>
      <c r="E85" s="59"/>
      <c r="F85" s="59"/>
      <c r="G85" s="59"/>
      <c r="H85" s="59"/>
      <c r="I85" s="59"/>
      <c r="J85" s="59"/>
      <c r="K85" s="59"/>
      <c r="L85" s="59"/>
      <c r="M85" s="60"/>
      <c r="N85" s="60"/>
      <c r="O85" s="60"/>
      <c r="P85" s="60"/>
      <c r="Q85" s="61"/>
      <c r="R85" s="503"/>
      <c r="S85" s="83"/>
      <c r="T85" s="83"/>
      <c r="U85" s="83"/>
      <c r="V85" s="83"/>
      <c r="W85" s="83"/>
      <c r="X85" s="60"/>
      <c r="Y85" s="60"/>
      <c r="Z85" s="60"/>
      <c r="AA85" s="60"/>
      <c r="AB85" s="60"/>
      <c r="AC85" s="60"/>
      <c r="AD85" s="60"/>
      <c r="AE85" s="60"/>
      <c r="AF85" s="61"/>
      <c r="AG85" s="89"/>
      <c r="AH85" s="83"/>
      <c r="AI85" s="83"/>
      <c r="AJ85" s="83"/>
      <c r="AK85" s="83"/>
      <c r="AL85" s="83"/>
      <c r="AM85" s="60"/>
      <c r="AN85" s="60"/>
      <c r="AO85" s="60"/>
      <c r="AP85" s="60"/>
      <c r="AQ85" s="60"/>
      <c r="AR85" s="60"/>
      <c r="AS85" s="60"/>
      <c r="AT85" s="60"/>
      <c r="AU85" s="61"/>
      <c r="AV85" s="89"/>
    </row>
    <row r="86" spans="2:48" ht="10.5" customHeight="1">
      <c r="D86" s="53"/>
      <c r="E86" s="53"/>
      <c r="F86" s="53"/>
      <c r="G86" s="53"/>
      <c r="H86" s="53"/>
      <c r="I86" s="53"/>
      <c r="J86" s="53"/>
      <c r="K86" s="53"/>
      <c r="L86" s="53"/>
      <c r="M86" s="60"/>
      <c r="N86" s="60"/>
      <c r="O86" s="60"/>
      <c r="R86" s="503"/>
      <c r="X86" s="60"/>
      <c r="Y86" s="60"/>
      <c r="Z86" s="60"/>
      <c r="AA86" s="60"/>
      <c r="AB86" s="60"/>
      <c r="AC86" s="60"/>
      <c r="AD86" s="60"/>
      <c r="AG86" s="89"/>
      <c r="AM86" s="60"/>
      <c r="AN86" s="60"/>
      <c r="AO86" s="60"/>
      <c r="AP86" s="60"/>
      <c r="AQ86" s="60"/>
      <c r="AR86" s="60"/>
      <c r="AS86" s="60"/>
      <c r="AV86" s="89"/>
    </row>
    <row r="87" spans="2:48" hidden="1" outlineLevel="1">
      <c r="B87" s="58" t="s">
        <v>143</v>
      </c>
      <c r="D87" s="53"/>
      <c r="E87" s="53"/>
      <c r="F87" s="53"/>
      <c r="G87" s="53"/>
      <c r="H87" s="53"/>
      <c r="I87" s="53"/>
      <c r="J87" s="53"/>
      <c r="K87" s="53"/>
      <c r="L87" s="53"/>
      <c r="M87" s="60"/>
      <c r="N87" s="60"/>
      <c r="O87" s="60"/>
      <c r="R87" s="503"/>
      <c r="X87" s="60"/>
      <c r="Y87" s="60"/>
      <c r="Z87" s="60"/>
      <c r="AA87" s="60"/>
      <c r="AB87" s="60"/>
      <c r="AC87" s="60"/>
      <c r="AD87" s="60"/>
      <c r="AG87" s="89"/>
      <c r="AM87" s="60"/>
      <c r="AN87" s="60"/>
      <c r="AO87" s="60"/>
      <c r="AP87" s="60"/>
      <c r="AQ87" s="60"/>
      <c r="AR87" s="60"/>
      <c r="AS87" s="60"/>
      <c r="AV87" s="89"/>
    </row>
    <row r="88" spans="2:48" hidden="1" outlineLevel="1">
      <c r="B88" s="58"/>
      <c r="D88" s="53"/>
      <c r="E88" s="53"/>
      <c r="F88" s="53"/>
      <c r="G88" s="53"/>
      <c r="H88" s="53"/>
      <c r="I88" s="53"/>
      <c r="J88" s="53"/>
      <c r="K88" s="53"/>
      <c r="L88" s="53"/>
      <c r="R88" s="503"/>
      <c r="AG88" s="89"/>
      <c r="AV88" s="89"/>
    </row>
    <row r="89" spans="2:48" hidden="1" outlineLevel="1">
      <c r="B89" s="51" t="s">
        <v>144</v>
      </c>
      <c r="D89" s="59">
        <v>-5928.37</v>
      </c>
      <c r="E89" s="59">
        <v>-7679.11</v>
      </c>
      <c r="F89" s="59">
        <v>-2965.64</v>
      </c>
      <c r="G89" s="59">
        <v>-4255.6499999999996</v>
      </c>
      <c r="H89" s="59">
        <v>-151.43</v>
      </c>
      <c r="I89" s="59">
        <v>-3919.17</v>
      </c>
      <c r="J89" s="59"/>
      <c r="K89" s="59">
        <v>0</v>
      </c>
      <c r="L89" s="59">
        <v>-140</v>
      </c>
      <c r="M89" s="60"/>
      <c r="N89" s="60"/>
      <c r="O89" s="60"/>
      <c r="P89" s="60"/>
      <c r="Q89" s="61">
        <f>SUM(D89:O89)</f>
        <v>-25039.369999999995</v>
      </c>
      <c r="R89" s="505"/>
      <c r="S89" s="60">
        <f>SUMIFS(Payroll!I:I,Payroll!$C:$C,"Permanent",Payroll!$A:$A,"UK")</f>
        <v>0</v>
      </c>
      <c r="T89" s="60">
        <f>SUMIFS(Payroll!J:J,Payroll!$C:$C,"Permanent",Payroll!$A:$A,"UK")</f>
        <v>0</v>
      </c>
      <c r="U89" s="60">
        <f>SUMIFS(Payroll!K:K,Payroll!$C:$C,"Permanent",Payroll!$A:$A,"UK")</f>
        <v>0</v>
      </c>
      <c r="V89" s="60">
        <f>SUMIFS(Payroll!L:L,Payroll!$C:$C,"Permanent",Payroll!$A:$A,"UK")</f>
        <v>0</v>
      </c>
      <c r="W89" s="60">
        <f>SUMIFS(Payroll!M:M,Payroll!$C:$C,"Permanent",Payroll!$A:$A,"UK")</f>
        <v>0</v>
      </c>
      <c r="X89" s="60">
        <f>SUMIFS(Payroll!N:N,Payroll!$C:$C,"Permanent",Payroll!$A:$A,"UK")</f>
        <v>0</v>
      </c>
      <c r="Y89" s="60">
        <f>SUMIFS(Payroll!O:O,Payroll!$C:$C,"Permanent",Payroll!$A:$A,"UK")</f>
        <v>0</v>
      </c>
      <c r="Z89" s="60">
        <f>SUMIFS(Payroll!P:P,Payroll!$C:$C,"Permanent",Payroll!$A:$A,"UK")</f>
        <v>0</v>
      </c>
      <c r="AA89" s="60">
        <f>SUMIFS(Payroll!Q:Q,Payroll!$C:$C,"Permanent",Payroll!$A:$A,"UK")</f>
        <v>0</v>
      </c>
      <c r="AB89" s="60">
        <f>SUMIFS(Payroll!R:R,Payroll!$C:$C,"Permanent",Payroll!$A:$A,"UK")</f>
        <v>0</v>
      </c>
      <c r="AC89" s="60">
        <f>SUMIFS(Payroll!S:S,Payroll!$C:$C,"Permanent",Payroll!$A:$A,"UK")</f>
        <v>0</v>
      </c>
      <c r="AD89" s="60">
        <f>SUMIFS(Payroll!T:T,Payroll!$C:$C,"Permanent",Payroll!$A:$A,"UK")</f>
        <v>0</v>
      </c>
      <c r="AE89" s="60"/>
      <c r="AF89" s="61">
        <f>SUM(S89:AD89)</f>
        <v>0</v>
      </c>
      <c r="AG89" s="89"/>
      <c r="AH89" s="60">
        <f>SUMIFS(Payroll!U:U,Payroll!$C:$C,"Permanent",Payroll!$A:$A,"UK")</f>
        <v>0</v>
      </c>
      <c r="AI89" s="60">
        <f>SUMIFS(Payroll!V:V,Payroll!$C:$C,"Permanent",Payroll!$A:$A,"UK")</f>
        <v>0</v>
      </c>
      <c r="AJ89" s="60">
        <f>SUMIFS(Payroll!W:W,Payroll!$C:$C,"Permanent",Payroll!$A:$A,"UK")</f>
        <v>0</v>
      </c>
      <c r="AK89" s="60">
        <f>SUMIFS(Payroll!X:X,Payroll!$C:$C,"Permanent",Payroll!$A:$A,"UK")</f>
        <v>0</v>
      </c>
      <c r="AL89" s="60">
        <f>SUMIFS(Payroll!Y:Y,Payroll!$C:$C,"Permanent",Payroll!$A:$A,"UK")</f>
        <v>0</v>
      </c>
      <c r="AM89" s="60">
        <f>SUMIFS(Payroll!Z:Z,Payroll!$C:$C,"Permanent",Payroll!$A:$A,"UK")</f>
        <v>0</v>
      </c>
      <c r="AN89" s="60">
        <f>SUMIFS(Payroll!AA:AA,Payroll!$C:$C,"Permanent",Payroll!$A:$A,"UK")</f>
        <v>0</v>
      </c>
      <c r="AO89" s="60">
        <f>SUMIFS(Payroll!AB:AB,Payroll!$C:$C,"Permanent",Payroll!$A:$A,"UK")</f>
        <v>0</v>
      </c>
      <c r="AP89" s="60">
        <f>SUMIFS(Payroll!AC:AC,Payroll!$C:$C,"Permanent",Payroll!$A:$A,"UK")</f>
        <v>0</v>
      </c>
      <c r="AQ89" s="60">
        <f>SUMIFS(Payroll!AD:AD,Payroll!$C:$C,"Permanent",Payroll!$A:$A,"UK")</f>
        <v>0</v>
      </c>
      <c r="AR89" s="60">
        <f>SUMIFS(Payroll!AE:AE,Payroll!$C:$C,"Permanent",Payroll!$A:$A,"UK")</f>
        <v>0</v>
      </c>
      <c r="AS89" s="60">
        <f>SUMIFS(Payroll!AF:AF,Payroll!$C:$C,"Permanent",Payroll!$A:$A,"UK")</f>
        <v>0</v>
      </c>
      <c r="AT89" s="60"/>
      <c r="AU89" s="61">
        <f>SUM(AH89:AS89)</f>
        <v>0</v>
      </c>
      <c r="AV89" s="89"/>
    </row>
    <row r="90" spans="2:48" hidden="1" outlineLevel="1">
      <c r="B90" s="51" t="s">
        <v>145</v>
      </c>
      <c r="D90" s="59">
        <v>0</v>
      </c>
      <c r="E90" s="59">
        <v>0</v>
      </c>
      <c r="F90" s="59">
        <v>0</v>
      </c>
      <c r="G90" s="59">
        <v>0</v>
      </c>
      <c r="H90" s="59">
        <v>0</v>
      </c>
      <c r="I90" s="59">
        <v>-900</v>
      </c>
      <c r="J90" s="59">
        <v>-4875</v>
      </c>
      <c r="K90" s="59">
        <v>0</v>
      </c>
      <c r="L90" s="59">
        <v>-1500</v>
      </c>
      <c r="M90" s="60"/>
      <c r="N90" s="60"/>
      <c r="O90" s="60"/>
      <c r="P90" s="60"/>
      <c r="Q90" s="61">
        <f t="shared" ref="Q90:Q97" si="126">SUM(D90:O90)</f>
        <v>-7275</v>
      </c>
      <c r="R90" s="505"/>
      <c r="S90" s="60">
        <f>SUMIFS(Payroll!I:I,Payroll!$C:$C,"Freelancer",Payroll!$A:$A,"UK")</f>
        <v>-750</v>
      </c>
      <c r="T90" s="60">
        <f>SUMIFS(Payroll!J:J,Payroll!$C:$C,"Freelancer",Payroll!$A:$A,"UK")</f>
        <v>-750</v>
      </c>
      <c r="U90" s="60">
        <f>SUMIFS(Payroll!K:K,Payroll!$C:$C,"Freelancer",Payroll!$A:$A,"UK")</f>
        <v>-750</v>
      </c>
      <c r="V90" s="60">
        <f>SUMIFS(Payroll!L:L,Payroll!$C:$C,"Freelancer",Payroll!$A:$A,"UK")</f>
        <v>-750</v>
      </c>
      <c r="W90" s="60">
        <f>SUMIFS(Payroll!M:M,Payroll!$C:$C,"Freelancer",Payroll!$A:$A,"UK")</f>
        <v>-750</v>
      </c>
      <c r="X90" s="60">
        <f>SUMIFS(Payroll!N:N,Payroll!$C:$C,"Freelancer",Payroll!$A:$A,"UK")</f>
        <v>-750</v>
      </c>
      <c r="Y90" s="60">
        <f>SUMIFS(Payroll!O:O,Payroll!$C:$C,"Freelancer",Payroll!$A:$A,"UK")</f>
        <v>-750</v>
      </c>
      <c r="Z90" s="60">
        <f>SUMIFS(Payroll!P:P,Payroll!$C:$C,"Freelancer",Payroll!$A:$A,"UK")</f>
        <v>-750</v>
      </c>
      <c r="AA90" s="60">
        <f>SUMIFS(Payroll!Q:Q,Payroll!$C:$C,"Freelancer",Payroll!$A:$A,"UK")</f>
        <v>-750</v>
      </c>
      <c r="AB90" s="60">
        <f>SUMIFS(Payroll!R:R,Payroll!$C:$C,"Freelancer",Payroll!$A:$A,"UK")</f>
        <v>-750</v>
      </c>
      <c r="AC90" s="60">
        <f>SUMIFS(Payroll!S:S,Payroll!$C:$C,"Freelancer",Payroll!$A:$A,"UK")</f>
        <v>-750</v>
      </c>
      <c r="AD90" s="60">
        <f>SUMIFS(Payroll!T:T,Payroll!$C:$C,"Freelancer",Payroll!$A:$A,"UK")</f>
        <v>-750</v>
      </c>
      <c r="AE90" s="60"/>
      <c r="AF90" s="61">
        <f t="shared" ref="AF90:AF97" si="127">SUM(S90:AD90)</f>
        <v>-9000</v>
      </c>
      <c r="AG90" s="89"/>
      <c r="AH90" s="60">
        <f>SUMIFS(Payroll!U:U,Payroll!$C:$C,"Freelancer",Payroll!$A:$A,"UK")</f>
        <v>-750</v>
      </c>
      <c r="AI90" s="60">
        <f>SUMIFS(Payroll!V:V,Payroll!$C:$C,"Freelancer",Payroll!$A:$A,"UK")</f>
        <v>-750</v>
      </c>
      <c r="AJ90" s="60">
        <f>SUMIFS(Payroll!W:W,Payroll!$C:$C,"Freelancer",Payroll!$A:$A,"UK")</f>
        <v>-750</v>
      </c>
      <c r="AK90" s="60">
        <f>SUMIFS(Payroll!X:X,Payroll!$C:$C,"Freelancer",Payroll!$A:$A,"UK")</f>
        <v>-750</v>
      </c>
      <c r="AL90" s="60">
        <f>SUMIFS(Payroll!Y:Y,Payroll!$C:$C,"Freelancer",Payroll!$A:$A,"UK")</f>
        <v>-750</v>
      </c>
      <c r="AM90" s="60">
        <f>SUMIFS(Payroll!Z:Z,Payroll!$C:$C,"Freelancer",Payroll!$A:$A,"UK")</f>
        <v>-750</v>
      </c>
      <c r="AN90" s="60">
        <f>SUMIFS(Payroll!AA:AA,Payroll!$C:$C,"Freelancer",Payroll!$A:$A,"UK")</f>
        <v>-750</v>
      </c>
      <c r="AO90" s="60">
        <f>SUMIFS(Payroll!AB:AB,Payroll!$C:$C,"Freelancer",Payroll!$A:$A,"UK")</f>
        <v>-750</v>
      </c>
      <c r="AP90" s="60">
        <f>SUMIFS(Payroll!AC:AC,Payroll!$C:$C,"Freelancer",Payroll!$A:$A,"UK")</f>
        <v>-750</v>
      </c>
      <c r="AQ90" s="60">
        <f>SUMIFS(Payroll!AD:AD,Payroll!$C:$C,"Freelancer",Payroll!$A:$A,"UK")</f>
        <v>-750</v>
      </c>
      <c r="AR90" s="60">
        <f>SUMIFS(Payroll!AE:AE,Payroll!$C:$C,"Freelancer",Payroll!$A:$A,"UK")</f>
        <v>-750</v>
      </c>
      <c r="AS90" s="60">
        <f>SUMIFS(Payroll!AF:AF,Payroll!$C:$C,"Freelancer",Payroll!$A:$A,"UK")</f>
        <v>-750</v>
      </c>
      <c r="AT90" s="60"/>
      <c r="AU90" s="61">
        <f t="shared" ref="AU90:AU97" si="128">SUM(AH90:AS90)</f>
        <v>-9000</v>
      </c>
      <c r="AV90" s="89"/>
    </row>
    <row r="91" spans="2:48" hidden="1" outlineLevel="1">
      <c r="B91" s="51" t="s">
        <v>146</v>
      </c>
      <c r="D91" s="59">
        <v>-13671.43</v>
      </c>
      <c r="E91" s="59">
        <v>-225.76</v>
      </c>
      <c r="F91" s="59">
        <v>-2554.02</v>
      </c>
      <c r="G91" s="59">
        <v>-410.44</v>
      </c>
      <c r="H91" s="59">
        <v>-5359.5</v>
      </c>
      <c r="I91" s="59">
        <v>44.16</v>
      </c>
      <c r="J91" s="59">
        <v>-8240.6200000000008</v>
      </c>
      <c r="K91" s="59">
        <v>-2188.7399999999998</v>
      </c>
      <c r="L91" s="59">
        <v>-199</v>
      </c>
      <c r="M91" s="60"/>
      <c r="N91" s="60"/>
      <c r="O91" s="60"/>
      <c r="P91" s="60"/>
      <c r="Q91" s="61">
        <f t="shared" si="126"/>
        <v>-32805.35</v>
      </c>
      <c r="R91" s="505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1">
        <f t="shared" si="127"/>
        <v>0</v>
      </c>
      <c r="AG91" s="89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1">
        <f t="shared" si="128"/>
        <v>0</v>
      </c>
      <c r="AV91" s="89"/>
    </row>
    <row r="92" spans="2:48" hidden="1" outlineLevel="1">
      <c r="B92" s="51" t="s">
        <v>147</v>
      </c>
      <c r="D92" s="59">
        <v>-128.9</v>
      </c>
      <c r="E92" s="59">
        <v>-193.87</v>
      </c>
      <c r="F92" s="59">
        <v>-294.06</v>
      </c>
      <c r="G92" s="59">
        <v>-329.42</v>
      </c>
      <c r="H92" s="59">
        <v>-312.73</v>
      </c>
      <c r="I92" s="59">
        <v>-256.14999999999998</v>
      </c>
      <c r="J92" s="59">
        <v>-3779.55</v>
      </c>
      <c r="K92" s="59">
        <v>-2645.18</v>
      </c>
      <c r="L92" s="59">
        <v>-250</v>
      </c>
      <c r="M92" s="60"/>
      <c r="N92" s="60"/>
      <c r="O92" s="60"/>
      <c r="P92" s="60"/>
      <c r="Q92" s="61">
        <f t="shared" si="126"/>
        <v>-8189.8600000000006</v>
      </c>
      <c r="R92" s="505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1">
        <f t="shared" si="127"/>
        <v>0</v>
      </c>
      <c r="AG92" s="89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1">
        <f t="shared" si="128"/>
        <v>0</v>
      </c>
      <c r="AV92" s="89"/>
    </row>
    <row r="93" spans="2:48" hidden="1" outlineLevel="1">
      <c r="B93" s="51" t="s">
        <v>148</v>
      </c>
      <c r="D93" s="59">
        <v>-25</v>
      </c>
      <c r="E93" s="59">
        <v>-25</v>
      </c>
      <c r="F93" s="59">
        <v>-25</v>
      </c>
      <c r="G93" s="59">
        <v>-25</v>
      </c>
      <c r="H93" s="59">
        <v>0</v>
      </c>
      <c r="I93" s="59">
        <v>0</v>
      </c>
      <c r="J93" s="59">
        <v>-10.42</v>
      </c>
      <c r="K93" s="59">
        <v>0</v>
      </c>
      <c r="L93" s="59">
        <v>0</v>
      </c>
      <c r="M93" s="60"/>
      <c r="N93" s="60"/>
      <c r="O93" s="60"/>
      <c r="P93" s="60"/>
      <c r="Q93" s="61">
        <f t="shared" si="126"/>
        <v>-110.42</v>
      </c>
      <c r="R93" s="505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1">
        <f t="shared" si="127"/>
        <v>0</v>
      </c>
      <c r="AG93" s="89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1">
        <f t="shared" si="128"/>
        <v>0</v>
      </c>
      <c r="AV93" s="89"/>
    </row>
    <row r="94" spans="2:48" hidden="1" outlineLevel="1">
      <c r="B94" s="51" t="s">
        <v>149</v>
      </c>
      <c r="D94" s="59">
        <v>0</v>
      </c>
      <c r="E94" s="59">
        <v>0</v>
      </c>
      <c r="F94" s="59">
        <v>0</v>
      </c>
      <c r="G94" s="59">
        <v>0</v>
      </c>
      <c r="H94" s="59">
        <v>0</v>
      </c>
      <c r="I94" s="59">
        <v>0</v>
      </c>
      <c r="J94" s="59">
        <v>0</v>
      </c>
      <c r="K94" s="59">
        <v>0</v>
      </c>
      <c r="L94" s="59">
        <v>0</v>
      </c>
      <c r="M94" s="60"/>
      <c r="N94" s="60"/>
      <c r="O94" s="60"/>
      <c r="P94" s="60"/>
      <c r="Q94" s="61">
        <f t="shared" si="126"/>
        <v>0</v>
      </c>
      <c r="R94" s="505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1">
        <f t="shared" si="127"/>
        <v>0</v>
      </c>
      <c r="AG94" s="89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1">
        <f t="shared" si="128"/>
        <v>0</v>
      </c>
      <c r="AV94" s="89"/>
    </row>
    <row r="95" spans="2:48" hidden="1" outlineLevel="1">
      <c r="B95" s="51" t="s">
        <v>150</v>
      </c>
      <c r="D95" s="59">
        <v>0</v>
      </c>
      <c r="E95" s="59">
        <v>0</v>
      </c>
      <c r="F95" s="59">
        <v>0</v>
      </c>
      <c r="G95" s="59">
        <v>0</v>
      </c>
      <c r="H95" s="59">
        <v>-63.8</v>
      </c>
      <c r="I95" s="59">
        <v>63.8</v>
      </c>
      <c r="J95" s="59">
        <v>0</v>
      </c>
      <c r="K95" s="59">
        <v>-642</v>
      </c>
      <c r="L95" s="59">
        <v>-330</v>
      </c>
      <c r="M95" s="60"/>
      <c r="N95" s="60"/>
      <c r="O95" s="60"/>
      <c r="P95" s="60"/>
      <c r="Q95" s="61">
        <f t="shared" si="126"/>
        <v>-972</v>
      </c>
      <c r="R95" s="505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1">
        <f t="shared" si="127"/>
        <v>0</v>
      </c>
      <c r="AG95" s="89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1">
        <f t="shared" si="128"/>
        <v>0</v>
      </c>
      <c r="AV95" s="89"/>
    </row>
    <row r="96" spans="2:48" hidden="1" outlineLevel="1">
      <c r="B96" s="51" t="s">
        <v>151</v>
      </c>
      <c r="D96" s="59">
        <v>0</v>
      </c>
      <c r="E96" s="59">
        <v>-64.34</v>
      </c>
      <c r="F96" s="59">
        <v>-99</v>
      </c>
      <c r="G96" s="59">
        <v>-608.38</v>
      </c>
      <c r="H96" s="59">
        <v>-528.94000000000005</v>
      </c>
      <c r="I96" s="59">
        <v>-573.79</v>
      </c>
      <c r="J96" s="59">
        <v>-671.36</v>
      </c>
      <c r="K96" s="59">
        <v>-1438.52</v>
      </c>
      <c r="L96" s="59">
        <v>-1518</v>
      </c>
      <c r="M96" s="60"/>
      <c r="N96" s="60"/>
      <c r="O96" s="60"/>
      <c r="P96" s="60"/>
      <c r="Q96" s="61">
        <f t="shared" si="126"/>
        <v>-5502.33</v>
      </c>
      <c r="R96" s="505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1">
        <f t="shared" si="127"/>
        <v>0</v>
      </c>
      <c r="AG96" s="89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1">
        <f t="shared" si="128"/>
        <v>0</v>
      </c>
      <c r="AV96" s="89"/>
    </row>
    <row r="97" spans="2:48" hidden="1" outlineLevel="1">
      <c r="B97" s="51" t="s">
        <v>143</v>
      </c>
      <c r="D97" s="59">
        <v>-104</v>
      </c>
      <c r="E97" s="59">
        <v>-303.47000000000003</v>
      </c>
      <c r="F97" s="59">
        <v>-497.25</v>
      </c>
      <c r="G97" s="59">
        <v>-22.48</v>
      </c>
      <c r="H97" s="59">
        <v>-167.97</v>
      </c>
      <c r="I97" s="59">
        <v>-11.42</v>
      </c>
      <c r="J97" s="59">
        <v>-18.95</v>
      </c>
      <c r="K97" s="59">
        <v>-20.39</v>
      </c>
      <c r="L97" s="59">
        <v>-485</v>
      </c>
      <c r="M97" s="60"/>
      <c r="N97" s="60"/>
      <c r="O97" s="60"/>
      <c r="P97" s="60"/>
      <c r="Q97" s="61">
        <f t="shared" si="126"/>
        <v>-1630.9300000000003</v>
      </c>
      <c r="R97" s="505"/>
      <c r="S97" s="60">
        <f>SUMIF('OH Matrix'!$A$58:$A$70,"UK",'OH Matrix'!P58:P70)</f>
        <v>-52228.749274393391</v>
      </c>
      <c r="T97" s="60">
        <f>SUMIF('OH Matrix'!$A$58:$A$70,"UK",'OH Matrix'!Q58:Q70)</f>
        <v>-46869.490456780259</v>
      </c>
      <c r="U97" s="60">
        <f>SUMIF('OH Matrix'!$A$58:$A$70,"UK",'OH Matrix'!R58:R70)</f>
        <v>-46859.516477205747</v>
      </c>
      <c r="V97" s="60">
        <f>SUMIF('OH Matrix'!$A$58:$A$70,"UK",'OH Matrix'!S58:S70)</f>
        <v>-58177.855095816958</v>
      </c>
      <c r="W97" s="60">
        <f>SUMIF('OH Matrix'!$A$58:$A$70,"UK",'OH Matrix'!T58:T70)</f>
        <v>-49576.220581235968</v>
      </c>
      <c r="X97" s="60">
        <f>SUMIF('OH Matrix'!$A$58:$A$70,"UK",'OH Matrix'!U58:U70)</f>
        <v>-46378.924789458375</v>
      </c>
      <c r="Y97" s="60">
        <f>SUMIF('OH Matrix'!$A$58:$A$70,"UK",'OH Matrix'!V58:V70)</f>
        <v>-46875.629301355628</v>
      </c>
      <c r="Z97" s="60">
        <f>SUMIF('OH Matrix'!$A$58:$A$70,"UK",'OH Matrix'!W58:W70)</f>
        <v>-88507.152499905409</v>
      </c>
      <c r="AA97" s="60">
        <f>SUMIF('OH Matrix'!$A$58:$A$70,"UK",'OH Matrix'!X58:X70)</f>
        <v>-48659.632090318846</v>
      </c>
      <c r="AB97" s="60">
        <f>SUMIF('OH Matrix'!$A$58:$A$70,"UK",'OH Matrix'!Y58:Y70)</f>
        <v>-46670.049124335485</v>
      </c>
      <c r="AC97" s="60">
        <f>SUMIF('OH Matrix'!$A$58:$A$70,"UK",'OH Matrix'!Z58:Z70)</f>
        <v>-64579.89650623138</v>
      </c>
      <c r="AD97" s="60">
        <f>SUMIF('OH Matrix'!$A$58:$A$70,"UK",'OH Matrix'!AA58:AA70)</f>
        <v>-64448.1042042642</v>
      </c>
      <c r="AE97" s="60"/>
      <c r="AF97" s="61">
        <f t="shared" si="127"/>
        <v>-659831.22040130175</v>
      </c>
      <c r="AG97" s="89"/>
      <c r="AH97" s="60">
        <f>SUMIF('OH Matrix'!$A$58:$A$70,"UK",'OH Matrix'!AD58:AD70)</f>
        <v>-66240.849171368347</v>
      </c>
      <c r="AI97" s="60">
        <f>SUMIF('OH Matrix'!$A$58:$A$70,"UK",'OH Matrix'!AE58:AE70)</f>
        <v>-46460.845612949568</v>
      </c>
      <c r="AJ97" s="60">
        <f>SUMIF('OH Matrix'!$A$58:$A$70,"UK",'OH Matrix'!AF58:AF70)</f>
        <v>-46955.004608162009</v>
      </c>
      <c r="AK97" s="60">
        <f>SUMIF('OH Matrix'!$A$58:$A$70,"UK",'OH Matrix'!AG58:AG70)</f>
        <v>-57218.446651782535</v>
      </c>
      <c r="AL97" s="60">
        <f>SUMIF('OH Matrix'!$A$58:$A$70,"UK",'OH Matrix'!AH58:AH70)</f>
        <v>-71849.068561268054</v>
      </c>
      <c r="AM97" s="60">
        <f>SUMIF('OH Matrix'!$A$58:$A$70,"UK",'OH Matrix'!AI58:AI70)</f>
        <v>-53856.203833951186</v>
      </c>
      <c r="AN97" s="60">
        <f>SUMIF('OH Matrix'!$A$58:$A$70,"UK",'OH Matrix'!AJ58:AJ70)</f>
        <v>-59644.081795966507</v>
      </c>
      <c r="AO97" s="60">
        <f>SUMIF('OH Matrix'!$A$58:$A$70,"UK",'OH Matrix'!AK58:AK70)</f>
        <v>-88546.442635191968</v>
      </c>
      <c r="AP97" s="60">
        <f>SUMIF('OH Matrix'!$A$58:$A$70,"UK",'OH Matrix'!AL58:AL70)</f>
        <v>-42907.856642195016</v>
      </c>
      <c r="AQ97" s="60">
        <f>SUMIF('OH Matrix'!$A$58:$A$70,"UK",'OH Matrix'!AM58:AM70)</f>
        <v>-26070.715670406538</v>
      </c>
      <c r="AR97" s="60">
        <f>SUMIF('OH Matrix'!$A$58:$A$70,"UK",'OH Matrix'!AN58:AN70)</f>
        <v>-50191.38427121524</v>
      </c>
      <c r="AS97" s="60">
        <f>SUMIF('OH Matrix'!$A$58:$A$70,"UK",'OH Matrix'!AO58:AO70)</f>
        <v>-52779.89789892589</v>
      </c>
      <c r="AT97" s="60"/>
      <c r="AU97" s="61">
        <f t="shared" si="128"/>
        <v>-662720.79735338292</v>
      </c>
      <c r="AV97" s="89"/>
    </row>
    <row r="98" spans="2:48" hidden="1" outlineLevel="1">
      <c r="D98" s="53"/>
      <c r="E98" s="53"/>
      <c r="F98" s="53"/>
      <c r="G98" s="53"/>
      <c r="H98" s="53"/>
      <c r="I98" s="53"/>
      <c r="J98" s="53"/>
      <c r="K98" s="53"/>
      <c r="L98" s="53"/>
      <c r="R98" s="503"/>
      <c r="AG98" s="89"/>
      <c r="AV98" s="89"/>
    </row>
    <row r="99" spans="2:48" collapsed="1">
      <c r="B99" s="65" t="s">
        <v>152</v>
      </c>
      <c r="C99" s="61"/>
      <c r="D99" s="64">
        <f t="shared" ref="D99:O99" si="129">SUM(D89:D98)</f>
        <v>-19857.7</v>
      </c>
      <c r="E99" s="64">
        <f t="shared" si="129"/>
        <v>-8491.5499999999993</v>
      </c>
      <c r="F99" s="64">
        <f t="shared" si="129"/>
        <v>-6434.97</v>
      </c>
      <c r="G99" s="64">
        <f t="shared" si="129"/>
        <v>-5651.369999999999</v>
      </c>
      <c r="H99" s="64">
        <f t="shared" si="129"/>
        <v>-6584.37</v>
      </c>
      <c r="I99" s="64">
        <f t="shared" si="129"/>
        <v>-5552.57</v>
      </c>
      <c r="J99" s="64">
        <f t="shared" si="129"/>
        <v>-17595.900000000001</v>
      </c>
      <c r="K99" s="64">
        <f t="shared" si="129"/>
        <v>-6934.8300000000008</v>
      </c>
      <c r="L99" s="64">
        <f t="shared" si="129"/>
        <v>-4422</v>
      </c>
      <c r="M99" s="65">
        <f t="shared" si="129"/>
        <v>0</v>
      </c>
      <c r="N99" s="65">
        <f t="shared" si="129"/>
        <v>0</v>
      </c>
      <c r="O99" s="65">
        <f t="shared" si="129"/>
        <v>0</v>
      </c>
      <c r="P99" s="61"/>
      <c r="Q99" s="65">
        <f>SUM(D99:O99)</f>
        <v>-81525.259999999995</v>
      </c>
      <c r="R99" s="505"/>
      <c r="S99" s="84">
        <f>SUM(S89:S98)</f>
        <v>-52978.749274393391</v>
      </c>
      <c r="T99" s="84">
        <f t="shared" ref="T99:Z99" si="130">SUM(T89:T98)</f>
        <v>-47619.490456780259</v>
      </c>
      <c r="U99" s="84">
        <f t="shared" si="130"/>
        <v>-47609.516477205747</v>
      </c>
      <c r="V99" s="84">
        <f t="shared" si="130"/>
        <v>-58927.855095816958</v>
      </c>
      <c r="W99" s="84">
        <f t="shared" si="130"/>
        <v>-50326.220581235968</v>
      </c>
      <c r="X99" s="84">
        <f t="shared" si="130"/>
        <v>-47128.924789458375</v>
      </c>
      <c r="Y99" s="84">
        <f t="shared" si="130"/>
        <v>-47625.629301355628</v>
      </c>
      <c r="Z99" s="84">
        <f t="shared" si="130"/>
        <v>-89257.152499905409</v>
      </c>
      <c r="AA99" s="65">
        <f>SUM(AA89:AA98)</f>
        <v>-49409.632090318846</v>
      </c>
      <c r="AB99" s="65">
        <f>SUM(AB89:AB98)</f>
        <v>-47420.049124335485</v>
      </c>
      <c r="AC99" s="65">
        <f>SUM(AC89:AC98)</f>
        <v>-65329.89650623138</v>
      </c>
      <c r="AD99" s="65">
        <f>SUM(AD89:AD98)</f>
        <v>-65198.1042042642</v>
      </c>
      <c r="AE99" s="61"/>
      <c r="AF99" s="65">
        <f>SUM(S99:AD99)</f>
        <v>-668831.22040130175</v>
      </c>
      <c r="AG99" s="89"/>
      <c r="AH99" s="84">
        <f>SUM(AH89:AH98)</f>
        <v>-66990.849171368347</v>
      </c>
      <c r="AI99" s="84">
        <f t="shared" ref="AI99:AO99" si="131">SUM(AI89:AI98)</f>
        <v>-47210.845612949568</v>
      </c>
      <c r="AJ99" s="84">
        <f t="shared" si="131"/>
        <v>-47705.004608162009</v>
      </c>
      <c r="AK99" s="84">
        <f t="shared" si="131"/>
        <v>-57968.446651782535</v>
      </c>
      <c r="AL99" s="84">
        <f t="shared" si="131"/>
        <v>-72599.068561268054</v>
      </c>
      <c r="AM99" s="84">
        <f t="shared" si="131"/>
        <v>-54606.203833951186</v>
      </c>
      <c r="AN99" s="84">
        <f t="shared" si="131"/>
        <v>-60394.081795966507</v>
      </c>
      <c r="AO99" s="84">
        <f t="shared" si="131"/>
        <v>-89296.442635191968</v>
      </c>
      <c r="AP99" s="65">
        <f>SUM(AP89:AP98)</f>
        <v>-43657.856642195016</v>
      </c>
      <c r="AQ99" s="65">
        <f>SUM(AQ89:AQ98)</f>
        <v>-26820.715670406538</v>
      </c>
      <c r="AR99" s="65">
        <f>SUM(AR89:AR98)</f>
        <v>-50941.38427121524</v>
      </c>
      <c r="AS99" s="65">
        <f>SUM(AS89:AS98)</f>
        <v>-53529.89789892589</v>
      </c>
      <c r="AT99" s="61"/>
      <c r="AU99" s="65">
        <f>SUM(AH99:AS99)</f>
        <v>-671720.79735338292</v>
      </c>
      <c r="AV99" s="89"/>
    </row>
    <row r="100" spans="2:48">
      <c r="D100" s="76"/>
      <c r="E100" s="76"/>
      <c r="F100" s="76"/>
      <c r="G100" s="76"/>
      <c r="H100" s="76"/>
      <c r="I100" s="76"/>
      <c r="J100" s="76"/>
      <c r="K100" s="76"/>
      <c r="L100" s="76"/>
      <c r="M100" s="77"/>
      <c r="N100" s="77"/>
      <c r="O100" s="77"/>
      <c r="Q100" s="91">
        <f>-Q99/Q12</f>
        <v>1.0055949893290029E-2</v>
      </c>
      <c r="R100" s="503"/>
      <c r="S100" s="89"/>
      <c r="T100" s="89"/>
      <c r="U100" s="89"/>
      <c r="V100" s="89"/>
      <c r="W100" s="89"/>
      <c r="X100" s="77"/>
      <c r="Y100" s="77"/>
      <c r="Z100" s="77"/>
      <c r="AA100" s="77"/>
      <c r="AB100" s="77"/>
      <c r="AC100" s="77"/>
      <c r="AD100" s="77"/>
      <c r="AF100" s="91">
        <f ca="1">-AF99/AF12</f>
        <v>5.8864850038025864E-2</v>
      </c>
      <c r="AG100" s="89"/>
      <c r="AH100" s="89"/>
      <c r="AI100" s="89"/>
      <c r="AJ100" s="89"/>
      <c r="AK100" s="89"/>
      <c r="AL100" s="89"/>
      <c r="AM100" s="77"/>
      <c r="AN100" s="77"/>
      <c r="AO100" s="77"/>
      <c r="AP100" s="77"/>
      <c r="AQ100" s="77"/>
      <c r="AR100" s="77"/>
      <c r="AS100" s="77"/>
      <c r="AU100" s="91">
        <f ca="1">-AU99/AU12</f>
        <v>3.6410473046508053E-2</v>
      </c>
      <c r="AV100" s="89"/>
    </row>
    <row r="101" spans="2:48">
      <c r="B101" s="52" t="s">
        <v>153</v>
      </c>
      <c r="C101" s="52"/>
      <c r="D101" s="78">
        <f>D77+D85+D99</f>
        <v>133099.35999999999</v>
      </c>
      <c r="E101" s="78">
        <f>E77+E85+E99</f>
        <v>120402.17000000003</v>
      </c>
      <c r="F101" s="78">
        <f>F77+F85+F99-1</f>
        <v>143909.89000000001</v>
      </c>
      <c r="G101" s="78">
        <f>G77+G85+G99</f>
        <v>213615.94000000009</v>
      </c>
      <c r="H101" s="78">
        <f>H77+H85+H99</f>
        <v>179152.74000000002</v>
      </c>
      <c r="I101" s="78">
        <f>I77+I85+I99</f>
        <v>121606.69000000006</v>
      </c>
      <c r="J101" s="78">
        <f>J77+J85+J99+1</f>
        <v>3749.1600000001126</v>
      </c>
      <c r="K101" s="78">
        <f>K77+K85+K99</f>
        <v>82347.379999999961</v>
      </c>
      <c r="L101" s="78">
        <f>L77+L85+L99</f>
        <v>225050</v>
      </c>
      <c r="M101" s="61">
        <f>M77+M85+M99</f>
        <v>170341</v>
      </c>
      <c r="N101" s="61">
        <f>N77+N85+N99</f>
        <v>136598</v>
      </c>
      <c r="O101" s="61">
        <f>O77+O85+O99</f>
        <v>119952</v>
      </c>
      <c r="P101" s="61"/>
      <c r="Q101" s="79">
        <f>Q77+Q85+Q99</f>
        <v>1649824.3299999998</v>
      </c>
      <c r="R101" s="505"/>
      <c r="S101" s="90">
        <f ca="1">S77+S85+S99</f>
        <v>96384.409642314276</v>
      </c>
      <c r="T101" s="90">
        <f t="shared" ref="T101:Z101" ca="1" si="132">T77+T85+T99</f>
        <v>75726.824845573734</v>
      </c>
      <c r="U101" s="90">
        <f t="shared" ca="1" si="132"/>
        <v>63823.042472657966</v>
      </c>
      <c r="V101" s="90">
        <f t="shared" ca="1" si="132"/>
        <v>78533.766603573167</v>
      </c>
      <c r="W101" s="90">
        <f ca="1">W77+W85+W99</f>
        <v>111195.1706555461</v>
      </c>
      <c r="X101" s="61">
        <f t="shared" ca="1" si="132"/>
        <v>117487.8242578115</v>
      </c>
      <c r="Y101" s="61">
        <f t="shared" ca="1" si="132"/>
        <v>154529.09996815934</v>
      </c>
      <c r="Z101" s="61">
        <f t="shared" ca="1" si="132"/>
        <v>299975.99137572432</v>
      </c>
      <c r="AA101" s="61">
        <f ca="1">AA77+AA85+AA99</f>
        <v>268298.04011160939</v>
      </c>
      <c r="AB101" s="61">
        <f ca="1">AB77+AB85+AB99</f>
        <v>221311.741048803</v>
      </c>
      <c r="AC101" s="61">
        <f ca="1">AC77+AC85+AC99</f>
        <v>204734.2014309268</v>
      </c>
      <c r="AD101" s="61">
        <f ca="1">AD77+AD85+AD99</f>
        <v>214793.46733082013</v>
      </c>
      <c r="AE101" s="61"/>
      <c r="AF101" s="79">
        <f ca="1">AF77+AF85+AF99</f>
        <v>1906793.5797435206</v>
      </c>
      <c r="AG101" s="531">
        <f ca="1">IFERROR(AF101/Q101-1,0)</f>
        <v>0.15575552200974063</v>
      </c>
      <c r="AH101" s="90">
        <f ca="1">AH77+AH85+AH99</f>
        <v>262984.18971047993</v>
      </c>
      <c r="AI101" s="90">
        <f t="shared" ref="AI101:AO101" ca="1" si="133">AI77+AI85+AI99</f>
        <v>287143.62918708468</v>
      </c>
      <c r="AJ101" s="90">
        <f t="shared" ca="1" si="133"/>
        <v>294451.68867896916</v>
      </c>
      <c r="AK101" s="90">
        <f t="shared" ca="1" si="133"/>
        <v>311739.61261026142</v>
      </c>
      <c r="AL101" s="90">
        <f t="shared" ca="1" si="133"/>
        <v>305949.4110593886</v>
      </c>
      <c r="AM101" s="61">
        <f t="shared" ca="1" si="133"/>
        <v>349798.77794473886</v>
      </c>
      <c r="AN101" s="61">
        <f t="shared" ca="1" si="133"/>
        <v>368954.77562183246</v>
      </c>
      <c r="AO101" s="61">
        <f t="shared" ca="1" si="133"/>
        <v>588604.13697849785</v>
      </c>
      <c r="AP101" s="61">
        <f ca="1">AP77+AP85+AP99</f>
        <v>522726.06820999936</v>
      </c>
      <c r="AQ101" s="61">
        <f ca="1">AQ77+AQ85+AQ99</f>
        <v>495749.30222550541</v>
      </c>
      <c r="AR101" s="61">
        <f ca="1">AR77+AR85+AR99</f>
        <v>457742.10621750768</v>
      </c>
      <c r="AS101" s="61">
        <f ca="1">AS77+AS85+AS99</f>
        <v>457595.04971510248</v>
      </c>
      <c r="AT101" s="61"/>
      <c r="AU101" s="79">
        <f ca="1">AU77+AU85+AU99</f>
        <v>4703438.7481593657</v>
      </c>
      <c r="AV101" s="531">
        <f ca="1">IFERROR(AU101/AF101-1,0)</f>
        <v>1.4666743155239788</v>
      </c>
    </row>
    <row r="102" spans="2:48">
      <c r="B102" s="72" t="s">
        <v>186</v>
      </c>
      <c r="C102" s="73"/>
      <c r="D102" s="97">
        <f t="shared" ref="D102:L102" si="134">IFERROR(D101/D12,0)</f>
        <v>0.25962575907983032</v>
      </c>
      <c r="E102" s="97">
        <f t="shared" si="134"/>
        <v>0.23867465086383505</v>
      </c>
      <c r="F102" s="97">
        <f t="shared" si="134"/>
        <v>0.26205696023891256</v>
      </c>
      <c r="G102" s="97">
        <f t="shared" si="134"/>
        <v>0.29193682816319821</v>
      </c>
      <c r="H102" s="97">
        <f t="shared" si="134"/>
        <v>0.27716918897342996</v>
      </c>
      <c r="I102" s="97">
        <f t="shared" si="134"/>
        <v>0.20606421065083588</v>
      </c>
      <c r="J102" s="97">
        <f t="shared" si="134"/>
        <v>8.3952998627679232E-3</v>
      </c>
      <c r="K102" s="97">
        <f t="shared" si="134"/>
        <v>0.15171396451630006</v>
      </c>
      <c r="L102" s="97">
        <f t="shared" si="134"/>
        <v>0.2165922877554379</v>
      </c>
      <c r="M102" s="91">
        <f t="shared" ref="M102:O102" si="135">IFERROR(M101/M12,0)</f>
        <v>0.16566429689855383</v>
      </c>
      <c r="N102" s="91">
        <f t="shared" si="135"/>
        <v>0.16888010820353935</v>
      </c>
      <c r="O102" s="91">
        <f t="shared" si="135"/>
        <v>0.16961970185892741</v>
      </c>
      <c r="P102" s="91"/>
      <c r="Q102" s="91">
        <f>IFERROR(Q101/Q12,0)</f>
        <v>0.20350196730695236</v>
      </c>
      <c r="S102" s="91">
        <f t="shared" ref="S102:AD102" ca="1" si="136">IFERROR(S101/S12,0)</f>
        <v>0.13754024255765729</v>
      </c>
      <c r="T102" s="91">
        <f t="shared" ca="1" si="136"/>
        <v>0.11329867821362775</v>
      </c>
      <c r="U102" s="91">
        <f t="shared" ca="1" si="136"/>
        <v>9.7085754601450386E-2</v>
      </c>
      <c r="V102" s="91">
        <f t="shared" ca="1" si="136"/>
        <v>0.1081685979437753</v>
      </c>
      <c r="W102" s="91">
        <f t="shared" ca="1" si="136"/>
        <v>0.13563881970559283</v>
      </c>
      <c r="X102" s="91">
        <f t="shared" ca="1" si="136"/>
        <v>0.14101115251630814</v>
      </c>
      <c r="Y102" s="91">
        <f t="shared" ca="1" si="136"/>
        <v>0.1666266517820405</v>
      </c>
      <c r="Z102" s="91">
        <f t="shared" ca="1" si="136"/>
        <v>0.20987561914544609</v>
      </c>
      <c r="AA102" s="91">
        <f t="shared" ca="1" si="136"/>
        <v>0.21442383873719217</v>
      </c>
      <c r="AB102" s="91">
        <f t="shared" ca="1" si="136"/>
        <v>0.20120968989742419</v>
      </c>
      <c r="AC102" s="91">
        <f t="shared" ca="1" si="136"/>
        <v>0.17998134950791544</v>
      </c>
      <c r="AD102" s="91">
        <f t="shared" ca="1" si="136"/>
        <v>0.19329560693605546</v>
      </c>
      <c r="AE102" s="91"/>
      <c r="AF102" s="91">
        <f ca="1">IFERROR(AF101/AF12,0)</f>
        <v>0.16781979474242614</v>
      </c>
      <c r="AG102" s="89"/>
      <c r="AH102" s="91">
        <f t="shared" ref="AH102:AS102" ca="1" si="137">IFERROR(AH101/AH12,0)</f>
        <v>0.21956263521047664</v>
      </c>
      <c r="AI102" s="91">
        <f t="shared" ca="1" si="137"/>
        <v>0.24193766538480846</v>
      </c>
      <c r="AJ102" s="91">
        <f t="shared" ca="1" si="137"/>
        <v>0.24169152955308532</v>
      </c>
      <c r="AK102" s="91">
        <f t="shared" ca="1" si="137"/>
        <v>0.24234878030601142</v>
      </c>
      <c r="AL102" s="91">
        <f t="shared" ca="1" si="137"/>
        <v>0.22347771399479591</v>
      </c>
      <c r="AM102" s="91">
        <f t="shared" ca="1" si="137"/>
        <v>0.24763438340950231</v>
      </c>
      <c r="AN102" s="91">
        <f t="shared" ca="1" si="137"/>
        <v>0.24478848233685196</v>
      </c>
      <c r="AO102" s="91">
        <f t="shared" ca="1" si="137"/>
        <v>0.27407981956195504</v>
      </c>
      <c r="AP102" s="91">
        <f t="shared" ca="1" si="137"/>
        <v>0.27762788324003124</v>
      </c>
      <c r="AQ102" s="91">
        <f t="shared" ca="1" si="137"/>
        <v>0.28496527246176329</v>
      </c>
      <c r="AR102" s="91">
        <f t="shared" ca="1" si="137"/>
        <v>0.25932662135999118</v>
      </c>
      <c r="AS102" s="91">
        <f t="shared" ca="1" si="137"/>
        <v>0.26369935659376026</v>
      </c>
      <c r="AT102" s="91"/>
      <c r="AU102" s="91">
        <f ca="1">IFERROR(AU101/AU12,0)</f>
        <v>0.25494882760889653</v>
      </c>
      <c r="AV102" s="89"/>
    </row>
    <row r="103" spans="2:48">
      <c r="AG103" s="89"/>
    </row>
  </sheetData>
  <sheetProtection algorithmName="SHA-512" hashValue="/qaTiZas71fNu/oLCzSscCaxCPkJNBixMxsULgc4Q3kpM5kUhhasyocft/QF4Vtlp9GLaElU2kusvvvCBRk6eQ==" saltValue="8xXpxXCGOf13soq0XGbtSg==" spinCount="100000" sheet="1" objects="1" scenarios="1"/>
  <mergeCells count="2">
    <mergeCell ref="S2:AF2"/>
    <mergeCell ref="AH2:AU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858FF-A600-47BA-BA48-C39C0D76343F}">
  <sheetPr codeName="Sheet7">
    <tabColor theme="4" tint="0.79998168889431442"/>
  </sheetPr>
  <dimension ref="A2:AW102"/>
  <sheetViews>
    <sheetView showGridLines="0" topLeftCell="A12" zoomScale="141" workbookViewId="0">
      <selection activeCell="R99" sqref="R99"/>
    </sheetView>
  </sheetViews>
  <sheetFormatPr baseColWidth="10" defaultColWidth="8.5" defaultRowHeight="11" outlineLevelRow="2" outlineLevelCol="1"/>
  <cols>
    <col min="1" max="1" width="10.83203125" style="51" customWidth="1"/>
    <col min="2" max="2" width="22.5" style="51" bestFit="1" customWidth="1"/>
    <col min="3" max="3" width="5" style="51" customWidth="1" outlineLevel="1"/>
    <col min="4" max="4" width="8.5" style="7" customWidth="1" outlineLevel="1"/>
    <col min="5" max="5" width="9.1640625" style="7" customWidth="1" outlineLevel="1"/>
    <col min="6" max="6" width="8.5" style="7" customWidth="1" outlineLevel="1"/>
    <col min="7" max="7" width="9.1640625" style="7" customWidth="1" outlineLevel="1"/>
    <col min="8" max="8" width="8.5" style="7" customWidth="1" outlineLevel="1"/>
    <col min="9" max="11" width="8.83203125" style="51" customWidth="1" outlineLevel="1"/>
    <col min="12" max="12" width="8" style="51" customWidth="1" outlineLevel="1" collapsed="1"/>
    <col min="13" max="15" width="8.83203125" style="51" customWidth="1" outlineLevel="1"/>
    <col min="16" max="16" width="3.1640625" style="51" customWidth="1"/>
    <col min="17" max="17" width="8" style="52" customWidth="1"/>
    <col min="18" max="18" width="3.5" style="51" customWidth="1"/>
    <col min="19" max="19" width="8.5" style="7" customWidth="1" outlineLevel="1"/>
    <col min="20" max="22" width="8.83203125" style="7" customWidth="1" outlineLevel="1"/>
    <col min="23" max="23" width="9.1640625" style="7" customWidth="1" outlineLevel="1"/>
    <col min="24" max="30" width="8.83203125" style="51" customWidth="1" outlineLevel="1"/>
    <col min="31" max="31" width="3.1640625" style="51" customWidth="1"/>
    <col min="32" max="32" width="9.5" style="52" bestFit="1" customWidth="1"/>
    <col min="33" max="33" width="6.6640625" style="7" customWidth="1"/>
    <col min="34" max="35" width="8.83203125" style="7" hidden="1" customWidth="1" outlineLevel="1"/>
    <col min="36" max="36" width="0" style="7" hidden="1" customWidth="1" outlineLevel="1"/>
    <col min="37" max="37" width="8.83203125" style="7" hidden="1" customWidth="1" outlineLevel="1"/>
    <col min="38" max="38" width="9.1640625" style="7" hidden="1" customWidth="1" outlineLevel="1"/>
    <col min="39" max="45" width="8.83203125" style="51" hidden="1" customWidth="1" outlineLevel="1"/>
    <col min="46" max="46" width="3.1640625" style="51" customWidth="1" collapsed="1"/>
    <col min="47" max="47" width="9.5" style="52" bestFit="1" customWidth="1"/>
    <col min="48" max="48" width="6.6640625" style="7" customWidth="1"/>
    <col min="49" max="49" width="12.5" style="7" bestFit="1" customWidth="1"/>
    <col min="50" max="16384" width="8.5" style="7"/>
  </cols>
  <sheetData>
    <row r="2" spans="1:49" ht="16">
      <c r="B2" s="143" t="s">
        <v>189</v>
      </c>
      <c r="D2" s="546" t="s">
        <v>174</v>
      </c>
      <c r="E2" s="546"/>
      <c r="F2" s="546"/>
      <c r="G2" s="546"/>
      <c r="H2" s="546"/>
      <c r="I2" s="546"/>
      <c r="J2" s="546"/>
      <c r="K2" s="546"/>
      <c r="L2" s="546"/>
      <c r="M2" s="546"/>
      <c r="N2" s="546"/>
      <c r="O2" s="546"/>
      <c r="P2" s="546"/>
      <c r="Q2" s="546"/>
      <c r="S2" s="546" t="s">
        <v>75</v>
      </c>
      <c r="T2" s="546"/>
      <c r="U2" s="546"/>
      <c r="V2" s="546"/>
      <c r="W2" s="546"/>
      <c r="X2" s="546"/>
      <c r="Y2" s="546"/>
      <c r="Z2" s="546"/>
      <c r="AA2" s="546"/>
      <c r="AB2" s="546"/>
      <c r="AC2" s="546"/>
      <c r="AD2" s="546"/>
      <c r="AE2" s="546"/>
      <c r="AF2" s="546"/>
      <c r="AH2" s="546" t="s">
        <v>81</v>
      </c>
      <c r="AI2" s="546"/>
      <c r="AJ2" s="546"/>
      <c r="AK2" s="546"/>
      <c r="AL2" s="546"/>
      <c r="AM2" s="546"/>
      <c r="AN2" s="546"/>
      <c r="AO2" s="546"/>
      <c r="AP2" s="546"/>
      <c r="AQ2" s="546"/>
      <c r="AR2" s="546"/>
      <c r="AS2" s="546"/>
      <c r="AT2" s="546"/>
      <c r="AU2" s="546"/>
    </row>
    <row r="3" spans="1:49">
      <c r="B3" s="52"/>
      <c r="D3" s="54" t="s">
        <v>175</v>
      </c>
      <c r="E3" s="54" t="s">
        <v>175</v>
      </c>
      <c r="F3" s="54" t="s">
        <v>175</v>
      </c>
      <c r="G3" s="54" t="s">
        <v>176</v>
      </c>
      <c r="H3" s="54" t="s">
        <v>176</v>
      </c>
      <c r="I3" s="54" t="s">
        <v>176</v>
      </c>
      <c r="J3" s="54" t="s">
        <v>177</v>
      </c>
      <c r="K3" s="54" t="s">
        <v>177</v>
      </c>
      <c r="L3" s="54" t="s">
        <v>177</v>
      </c>
      <c r="M3" s="55" t="s">
        <v>178</v>
      </c>
      <c r="N3" s="55" t="s">
        <v>178</v>
      </c>
      <c r="O3" s="55" t="s">
        <v>178</v>
      </c>
      <c r="S3" s="80" t="s">
        <v>175</v>
      </c>
      <c r="T3" s="80" t="s">
        <v>175</v>
      </c>
      <c r="U3" s="80" t="s">
        <v>175</v>
      </c>
      <c r="V3" s="80" t="s">
        <v>176</v>
      </c>
      <c r="W3" s="80" t="s">
        <v>176</v>
      </c>
      <c r="X3" s="55" t="s">
        <v>176</v>
      </c>
      <c r="Y3" s="55" t="s">
        <v>177</v>
      </c>
      <c r="Z3" s="55" t="s">
        <v>177</v>
      </c>
      <c r="AA3" s="55" t="s">
        <v>177</v>
      </c>
      <c r="AB3" s="55" t="s">
        <v>178</v>
      </c>
      <c r="AC3" s="55" t="s">
        <v>178</v>
      </c>
      <c r="AD3" s="55" t="s">
        <v>178</v>
      </c>
      <c r="AH3" s="80" t="s">
        <v>175</v>
      </c>
      <c r="AI3" s="80" t="s">
        <v>175</v>
      </c>
      <c r="AJ3" s="80" t="s">
        <v>175</v>
      </c>
      <c r="AK3" s="80" t="s">
        <v>176</v>
      </c>
      <c r="AL3" s="80" t="s">
        <v>176</v>
      </c>
      <c r="AM3" s="55" t="s">
        <v>176</v>
      </c>
      <c r="AN3" s="55" t="s">
        <v>177</v>
      </c>
      <c r="AO3" s="55" t="s">
        <v>177</v>
      </c>
      <c r="AP3" s="55" t="s">
        <v>177</v>
      </c>
      <c r="AQ3" s="55" t="s">
        <v>178</v>
      </c>
      <c r="AR3" s="55" t="s">
        <v>178</v>
      </c>
      <c r="AS3" s="55" t="s">
        <v>178</v>
      </c>
    </row>
    <row r="4" spans="1:49" ht="32" customHeight="1">
      <c r="D4" s="56">
        <v>45716</v>
      </c>
      <c r="E4" s="56">
        <v>45747</v>
      </c>
      <c r="F4" s="56">
        <v>45777</v>
      </c>
      <c r="G4" s="56">
        <v>45808</v>
      </c>
      <c r="H4" s="56">
        <v>45838</v>
      </c>
      <c r="I4" s="56">
        <f t="shared" ref="I4:O4" si="0">EOMONTH(H4,1)</f>
        <v>45869</v>
      </c>
      <c r="J4" s="56">
        <f t="shared" si="0"/>
        <v>45900</v>
      </c>
      <c r="K4" s="56">
        <f t="shared" si="0"/>
        <v>45930</v>
      </c>
      <c r="L4" s="56">
        <f t="shared" si="0"/>
        <v>45961</v>
      </c>
      <c r="M4" s="57">
        <f t="shared" si="0"/>
        <v>45991</v>
      </c>
      <c r="N4" s="57">
        <f t="shared" si="0"/>
        <v>46022</v>
      </c>
      <c r="O4" s="57">
        <f t="shared" si="0"/>
        <v>46053</v>
      </c>
      <c r="P4" s="57"/>
      <c r="Q4" s="55" t="s">
        <v>174</v>
      </c>
      <c r="S4" s="81">
        <v>46081</v>
      </c>
      <c r="T4" s="81">
        <f>EOMONTH(S4,1)</f>
        <v>46112</v>
      </c>
      <c r="U4" s="81">
        <f>EOMONTH(T4,1)</f>
        <v>46142</v>
      </c>
      <c r="V4" s="81">
        <f>EOMONTH(U4,1)</f>
        <v>46173</v>
      </c>
      <c r="W4" s="81">
        <f>EOMONTH(V4,1)</f>
        <v>46203</v>
      </c>
      <c r="X4" s="57">
        <f t="shared" ref="X4:AD4" si="1">EOMONTH(W4,1)</f>
        <v>46234</v>
      </c>
      <c r="Y4" s="57">
        <f t="shared" si="1"/>
        <v>46265</v>
      </c>
      <c r="Z4" s="57">
        <f t="shared" si="1"/>
        <v>46295</v>
      </c>
      <c r="AA4" s="57">
        <f t="shared" si="1"/>
        <v>46326</v>
      </c>
      <c r="AB4" s="57">
        <f t="shared" si="1"/>
        <v>46356</v>
      </c>
      <c r="AC4" s="57">
        <f t="shared" si="1"/>
        <v>46387</v>
      </c>
      <c r="AD4" s="57">
        <f t="shared" si="1"/>
        <v>46418</v>
      </c>
      <c r="AE4" s="57"/>
      <c r="AF4" s="55" t="s">
        <v>75</v>
      </c>
      <c r="AG4" s="527" t="s">
        <v>179</v>
      </c>
      <c r="AH4" s="81">
        <v>46446</v>
      </c>
      <c r="AI4" s="81">
        <f>EOMONTH(AH4,1)</f>
        <v>46477</v>
      </c>
      <c r="AJ4" s="81">
        <f>EOMONTH(AI4,1)</f>
        <v>46507</v>
      </c>
      <c r="AK4" s="81">
        <f>EOMONTH(AJ4,1)</f>
        <v>46538</v>
      </c>
      <c r="AL4" s="81">
        <f>EOMONTH(AK4,1)</f>
        <v>46568</v>
      </c>
      <c r="AM4" s="57">
        <f t="shared" ref="AM4:AS4" si="2">EOMONTH(AL4,1)</f>
        <v>46599</v>
      </c>
      <c r="AN4" s="57">
        <f t="shared" si="2"/>
        <v>46630</v>
      </c>
      <c r="AO4" s="57">
        <f t="shared" si="2"/>
        <v>46660</v>
      </c>
      <c r="AP4" s="57">
        <f t="shared" si="2"/>
        <v>46691</v>
      </c>
      <c r="AQ4" s="57">
        <f t="shared" si="2"/>
        <v>46721</v>
      </c>
      <c r="AR4" s="57">
        <f t="shared" si="2"/>
        <v>46752</v>
      </c>
      <c r="AS4" s="57">
        <f t="shared" si="2"/>
        <v>46783</v>
      </c>
      <c r="AT4" s="57"/>
      <c r="AU4" s="55" t="s">
        <v>81</v>
      </c>
      <c r="AV4" s="527" t="s">
        <v>179</v>
      </c>
    </row>
    <row r="5" spans="1:49">
      <c r="B5" s="58" t="s">
        <v>82</v>
      </c>
      <c r="D5" s="46" t="s">
        <v>180</v>
      </c>
      <c r="E5" s="46" t="s">
        <v>180</v>
      </c>
      <c r="F5" s="46" t="s">
        <v>180</v>
      </c>
      <c r="G5" s="46" t="s">
        <v>180</v>
      </c>
      <c r="H5" s="46" t="s">
        <v>180</v>
      </c>
      <c r="I5" s="46" t="s">
        <v>180</v>
      </c>
      <c r="J5" s="46" t="s">
        <v>180</v>
      </c>
      <c r="K5" s="46" t="s">
        <v>180</v>
      </c>
      <c r="L5" s="46" t="s">
        <v>180</v>
      </c>
      <c r="M5" s="48" t="s">
        <v>42</v>
      </c>
      <c r="N5" s="48" t="s">
        <v>42</v>
      </c>
      <c r="O5" s="48" t="s">
        <v>42</v>
      </c>
      <c r="S5" s="82" t="s">
        <v>42</v>
      </c>
      <c r="T5" s="82" t="s">
        <v>42</v>
      </c>
      <c r="U5" s="82" t="s">
        <v>42</v>
      </c>
      <c r="V5" s="82" t="s">
        <v>42</v>
      </c>
      <c r="W5" s="82" t="s">
        <v>42</v>
      </c>
      <c r="X5" s="48" t="s">
        <v>42</v>
      </c>
      <c r="Y5" s="48" t="s">
        <v>42</v>
      </c>
      <c r="Z5" s="48" t="s">
        <v>42</v>
      </c>
      <c r="AA5" s="48" t="s">
        <v>42</v>
      </c>
      <c r="AB5" s="48" t="s">
        <v>42</v>
      </c>
      <c r="AC5" s="48" t="s">
        <v>42</v>
      </c>
      <c r="AD5" s="48" t="s">
        <v>42</v>
      </c>
      <c r="AH5" s="82" t="s">
        <v>42</v>
      </c>
      <c r="AI5" s="82" t="s">
        <v>42</v>
      </c>
      <c r="AJ5" s="82" t="s">
        <v>42</v>
      </c>
      <c r="AK5" s="82" t="s">
        <v>42</v>
      </c>
      <c r="AL5" s="82" t="s">
        <v>42</v>
      </c>
      <c r="AM5" s="48" t="s">
        <v>42</v>
      </c>
      <c r="AN5" s="48" t="s">
        <v>42</v>
      </c>
      <c r="AO5" s="48" t="s">
        <v>42</v>
      </c>
      <c r="AP5" s="48" t="s">
        <v>42</v>
      </c>
      <c r="AQ5" s="48" t="s">
        <v>42</v>
      </c>
      <c r="AR5" s="48" t="s">
        <v>42</v>
      </c>
      <c r="AS5" s="48" t="s">
        <v>42</v>
      </c>
    </row>
    <row r="6" spans="1:49">
      <c r="D6" s="53"/>
      <c r="E6" s="53"/>
      <c r="F6" s="53"/>
      <c r="G6" s="53"/>
      <c r="H6" s="53"/>
      <c r="I6" s="53"/>
      <c r="J6" s="53"/>
      <c r="K6" s="53"/>
      <c r="L6" s="53"/>
      <c r="R6" s="503"/>
    </row>
    <row r="7" spans="1:49">
      <c r="B7" s="51" t="s">
        <v>83</v>
      </c>
      <c r="D7" s="480">
        <v>40401</v>
      </c>
      <c r="E7" s="480">
        <v>42066</v>
      </c>
      <c r="F7" s="480">
        <v>46836</v>
      </c>
      <c r="G7" s="480">
        <v>168684</v>
      </c>
      <c r="H7" s="480">
        <v>46685</v>
      </c>
      <c r="I7" s="480">
        <v>99524</v>
      </c>
      <c r="J7" s="480">
        <v>95951</v>
      </c>
      <c r="K7" s="480">
        <v>31066</v>
      </c>
      <c r="L7" s="480">
        <v>130254</v>
      </c>
      <c r="M7" s="60">
        <v>236470</v>
      </c>
      <c r="N7" s="60">
        <v>104883</v>
      </c>
      <c r="O7" s="60">
        <v>110091</v>
      </c>
      <c r="P7" s="60"/>
      <c r="Q7" s="517">
        <f>SUM(D7:O7)</f>
        <v>1152911</v>
      </c>
      <c r="R7" s="504"/>
      <c r="S7" s="60">
        <f>'IT P&amp;L'!S6+'ES P&amp;L'!S7+'Other EU'!Q25</f>
        <v>97398.311843237709</v>
      </c>
      <c r="T7" s="60">
        <f>'IT P&amp;L'!T6+'ES P&amp;L'!T7+'Other EU'!R25</f>
        <v>166326.09485786036</v>
      </c>
      <c r="U7" s="60">
        <f>'IT P&amp;L'!U6+'ES P&amp;L'!U7+'Other EU'!S25</f>
        <v>158211.4578643929</v>
      </c>
      <c r="V7" s="60">
        <f>'IT P&amp;L'!V6+'ES P&amp;L'!V7+'Other EU'!T25</f>
        <v>123092.10980736534</v>
      </c>
      <c r="W7" s="60">
        <f>'IT P&amp;L'!W6+'ES P&amp;L'!W7+'Other EU'!U25</f>
        <v>102083.10486666733</v>
      </c>
      <c r="X7" s="60">
        <f>'IT P&amp;L'!X6+'ES P&amp;L'!X7+'Other EU'!V25</f>
        <v>206196.59993289915</v>
      </c>
      <c r="Y7" s="60">
        <f>'IT P&amp;L'!Y6+'ES P&amp;L'!Y7+'Other EU'!W25</f>
        <v>117246.48618609624</v>
      </c>
      <c r="Z7" s="60">
        <f>'IT P&amp;L'!Z6+'ES P&amp;L'!Z7+'Other EU'!X25</f>
        <v>97258.764340919035</v>
      </c>
      <c r="AA7" s="60">
        <f>'IT P&amp;L'!AA6+'ES P&amp;L'!AA7+'Other EU'!Y25</f>
        <v>198530.64404293062</v>
      </c>
      <c r="AB7" s="60">
        <f>'IT P&amp;L'!AB6+'ES P&amp;L'!AB7+'Other EU'!Z25</f>
        <v>171181.09411490944</v>
      </c>
      <c r="AC7" s="60">
        <f>'IT P&amp;L'!AC6+'ES P&amp;L'!AC7+'Other EU'!AA25</f>
        <v>104107.70219561497</v>
      </c>
      <c r="AD7" s="60">
        <f>'IT P&amp;L'!AD6+'ES P&amp;L'!AD7+'Other EU'!AB25</f>
        <v>124565.94032306719</v>
      </c>
      <c r="AE7" s="60"/>
      <c r="AF7" s="61">
        <f>SUM(S7:AD7)</f>
        <v>1666198.3103759601</v>
      </c>
      <c r="AG7" s="531">
        <f>IFERROR(AF7/Q7-1,0)</f>
        <v>0.44520983005276227</v>
      </c>
      <c r="AH7" s="60">
        <f>'IT P&amp;L'!AH6+'ES P&amp;L'!AH7+'Other EU'!AH25</f>
        <v>195351.23910896646</v>
      </c>
      <c r="AI7" s="60">
        <f>'IT P&amp;L'!AI6+'ES P&amp;L'!AI7+'Other EU'!AI25</f>
        <v>309148.29395463679</v>
      </c>
      <c r="AJ7" s="60">
        <f>'IT P&amp;L'!AJ6+'ES P&amp;L'!AJ7+'Other EU'!AJ25</f>
        <v>276651.9173043606</v>
      </c>
      <c r="AK7" s="60">
        <f>'IT P&amp;L'!AK6+'ES P&amp;L'!AK7+'Other EU'!AK25</f>
        <v>264021.00453479786</v>
      </c>
      <c r="AL7" s="60">
        <f>'IT P&amp;L'!AL6+'ES P&amp;L'!AL7+'Other EU'!AL25</f>
        <v>269511.90213407355</v>
      </c>
      <c r="AM7" s="60">
        <f>'IT P&amp;L'!AM6+'ES P&amp;L'!AM7+'Other EU'!AM25</f>
        <v>436248.39173405356</v>
      </c>
      <c r="AN7" s="60">
        <f>'IT P&amp;L'!AN6+'ES P&amp;L'!AN7+'Other EU'!AN25</f>
        <v>267641.85476210091</v>
      </c>
      <c r="AO7" s="60">
        <f>'IT P&amp;L'!AO6+'ES P&amp;L'!AO7+'Other EU'!AO25</f>
        <v>236963.74521725124</v>
      </c>
      <c r="AP7" s="60">
        <f>'IT P&amp;L'!AP6+'ES P&amp;L'!AP7+'Other EU'!AP25</f>
        <v>392693.92568953533</v>
      </c>
      <c r="AQ7" s="60">
        <f>'IT P&amp;L'!AQ6+'ES P&amp;L'!AQ7+'Other EU'!AQ25</f>
        <v>351432.01809610927</v>
      </c>
      <c r="AR7" s="60">
        <f>'IT P&amp;L'!AR6+'ES P&amp;L'!AR7+'Other EU'!AR25</f>
        <v>224118.49038529454</v>
      </c>
      <c r="AS7" s="60">
        <f>'IT P&amp;L'!AS6+'ES P&amp;L'!AS7+'Other EU'!AS25</f>
        <v>259452.41282693006</v>
      </c>
      <c r="AT7" s="60"/>
      <c r="AU7" s="61">
        <f>SUM(AH7:AS7)</f>
        <v>3483235.1957481103</v>
      </c>
      <c r="AV7" s="531">
        <f>IFERROR(AU7/AF7-1,0)</f>
        <v>1.0905285847770156</v>
      </c>
    </row>
    <row r="8" spans="1:49">
      <c r="B8" s="51" t="s">
        <v>84</v>
      </c>
      <c r="D8" s="480">
        <v>142112</v>
      </c>
      <c r="E8" s="480">
        <v>91208</v>
      </c>
      <c r="F8" s="480">
        <v>32803</v>
      </c>
      <c r="G8" s="480">
        <v>148566</v>
      </c>
      <c r="H8" s="480">
        <v>158395</v>
      </c>
      <c r="I8" s="480">
        <v>97031</v>
      </c>
      <c r="J8" s="480">
        <v>63167</v>
      </c>
      <c r="K8" s="480">
        <v>51274</v>
      </c>
      <c r="L8" s="480">
        <v>67021</v>
      </c>
      <c r="M8" s="60">
        <v>203049</v>
      </c>
      <c r="N8" s="60">
        <v>68889</v>
      </c>
      <c r="O8" s="60">
        <v>119484</v>
      </c>
      <c r="P8" s="60"/>
      <c r="Q8" s="517">
        <f>SUM(D8:O8)</f>
        <v>1242999</v>
      </c>
      <c r="R8" s="504"/>
      <c r="S8" s="83">
        <f>SUMIF(B2B!$C$7:$C$111,"CE",B2B!V7:V111)</f>
        <v>75931.48</v>
      </c>
      <c r="T8" s="83">
        <f>SUMIF(B2B!$C$7:$C$111,"CE",B2B!W7:W111)</f>
        <v>347908.02</v>
      </c>
      <c r="U8" s="83">
        <f>SUMIF(B2B!$C$7:$C$111,"CE",B2B!X7:X111)</f>
        <v>134938.32</v>
      </c>
      <c r="V8" s="83">
        <f>SUMIF(B2B!$C$7:$C$111,"CE",B2B!Y7:Y111)</f>
        <v>173440.97028519155</v>
      </c>
      <c r="W8" s="83">
        <f>SUMIF(B2B!$C$7:$C$111,"CE",B2B!Z7:Z111)</f>
        <v>194930.32613782567</v>
      </c>
      <c r="X8" s="83">
        <f>SUMIF(B2B!$C$7:$C$111,"CE",B2B!AA7:AA111)</f>
        <v>99337.225950779233</v>
      </c>
      <c r="Y8" s="83">
        <f>SUMIF(B2B!$C$7:$C$111,"CE",B2B!AB7:AB111)</f>
        <v>95367.509506222195</v>
      </c>
      <c r="Z8" s="83">
        <f>SUMIF(B2B!$C$7:$C$111,"CE",B2B!AC7:AC111)</f>
        <v>167256.33038830882</v>
      </c>
      <c r="AA8" s="83">
        <f>SUMIF(B2B!$C$7:$C$111,"CE",B2B!AD7:AD111)</f>
        <v>139421.53302355835</v>
      </c>
      <c r="AB8" s="83">
        <f>SUMIF(B2B!$C$7:$C$111,"CE",B2B!AE7:AE111)</f>
        <v>178330.07836573353</v>
      </c>
      <c r="AC8" s="83">
        <f>SUMIF(B2B!$C$7:$C$111,"CE",B2B!AF7:AF111)</f>
        <v>87306.352058381541</v>
      </c>
      <c r="AD8" s="83">
        <f>SUMIF(B2B!$C$7:$C$111,"CE",B2B!AG7:AG111)</f>
        <v>109565.0791136575</v>
      </c>
      <c r="AE8" s="60"/>
      <c r="AF8" s="61">
        <f>SUM(S8:AD8)</f>
        <v>1803733.2248296586</v>
      </c>
      <c r="AG8" s="531">
        <f>IFERROR(AF8/Q8-1,0)</f>
        <v>0.45111397903752026</v>
      </c>
      <c r="AH8" s="83">
        <f>SUMIF(B2B!$C$7:$C$111,"CE",B2B!AK7:AK111)</f>
        <v>120075.42879999999</v>
      </c>
      <c r="AI8" s="83">
        <f>SUMIF(B2B!$C$7:$C$111,"CE",B2B!AL7:AL111)</f>
        <v>217945.43494000001</v>
      </c>
      <c r="AJ8" s="83">
        <f>SUMIF(B2B!$C$7:$C$111,"CE",B2B!AM7:AM111)</f>
        <v>228469.73320000002</v>
      </c>
      <c r="AK8" s="83">
        <f>SUMIF(B2B!$C$7:$C$111,"CE",B2B!AN7:AN111)</f>
        <v>281028.41970800684</v>
      </c>
      <c r="AL8" s="83">
        <f>SUMIF(B2B!$C$7:$C$111,"CE",B2B!AO7:AO111)</f>
        <v>271841.8992034042</v>
      </c>
      <c r="AM8" s="83">
        <f>SUMIF(B2B!$C$7:$C$111,"CE",B2B!AP7:AP111)</f>
        <v>137339.68141286779</v>
      </c>
      <c r="AN8" s="83">
        <f>SUMIF(B2B!$C$7:$C$111,"CE",B2B!AQ7:AQ111)</f>
        <v>157660.82058225491</v>
      </c>
      <c r="AO8" s="83">
        <f>SUMIF(B2B!$C$7:$C$111,"CE",B2B!AR7:AR111)</f>
        <v>222175.51950089086</v>
      </c>
      <c r="AP8" s="83">
        <f>SUMIF(B2B!$C$7:$C$111,"CE",B2B!AS7:AS111)</f>
        <v>303407.42592597794</v>
      </c>
      <c r="AQ8" s="83">
        <f>SUMIF(B2B!$C$7:$C$111,"CE",B2B!AT7:AT111)</f>
        <v>287925.9086248636</v>
      </c>
      <c r="AR8" s="83">
        <f>SUMIF(B2B!$C$7:$C$111,"CE",B2B!AU7:AU111)</f>
        <v>198972.06133780716</v>
      </c>
      <c r="AS8" s="83">
        <f>SUMIF(B2B!$C$7:$C$111,"CE",B2B!AV7:AV111)</f>
        <v>165997.56728019446</v>
      </c>
      <c r="AT8" s="60"/>
      <c r="AU8" s="61">
        <f>SUM(AH8:AS8)</f>
        <v>2592839.9005162674</v>
      </c>
      <c r="AV8" s="531">
        <f>IFERROR(AU8/AF8-1,0)</f>
        <v>0.4374852471662658</v>
      </c>
    </row>
    <row r="9" spans="1:49">
      <c r="B9" s="51" t="s">
        <v>85</v>
      </c>
      <c r="D9" s="480">
        <v>31548</v>
      </c>
      <c r="E9" s="480">
        <v>39254</v>
      </c>
      <c r="F9" s="480">
        <v>40525</v>
      </c>
      <c r="G9" s="480">
        <v>42173</v>
      </c>
      <c r="H9" s="480">
        <v>41823</v>
      </c>
      <c r="I9" s="480">
        <v>58903</v>
      </c>
      <c r="J9" s="480">
        <v>50119</v>
      </c>
      <c r="K9" s="480">
        <v>49413</v>
      </c>
      <c r="L9" s="480">
        <v>54370</v>
      </c>
      <c r="M9" s="60">
        <v>71300</v>
      </c>
      <c r="N9" s="60">
        <v>71300</v>
      </c>
      <c r="O9" s="60">
        <v>55200</v>
      </c>
      <c r="P9" s="60"/>
      <c r="Q9" s="517">
        <f>SUM(D9:O9)</f>
        <v>605928</v>
      </c>
      <c r="R9" s="504"/>
      <c r="S9" s="60">
        <f ca="1">'IT P&amp;L'!S8+'ES P&amp;L'!S9+SUM(Amazon!Q26,Amazon!Q28,Amazon!Q36)</f>
        <v>45066.16</v>
      </c>
      <c r="T9" s="60">
        <f ca="1">'IT P&amp;L'!T8+'ES P&amp;L'!T9+SUM(Amazon!R26,Amazon!R28,Amazon!R36)</f>
        <v>69368</v>
      </c>
      <c r="U9" s="60">
        <f ca="1">'IT P&amp;L'!U8+'ES P&amp;L'!U9+SUM(Amazon!S26,Amazon!S28,Amazon!S36)</f>
        <v>59449.18</v>
      </c>
      <c r="V9" s="60">
        <f ca="1">'IT P&amp;L'!V8+'ES P&amp;L'!V9+SUM(Amazon!T26,Amazon!T28,Amazon!T36)</f>
        <v>56761.919999999998</v>
      </c>
      <c r="W9" s="60">
        <f ca="1">'IT P&amp;L'!W8+'ES P&amp;L'!W9+SUM(Amazon!U26,Amazon!U28,Amazon!U36)</f>
        <v>52567.985744680853</v>
      </c>
      <c r="X9" s="60">
        <f ca="1">'IT P&amp;L'!X8+'ES P&amp;L'!X9+SUM(Amazon!V26,Amazon!V28,Amazon!V36)</f>
        <v>74417.239999999991</v>
      </c>
      <c r="Y9" s="60">
        <f ca="1">'IT P&amp;L'!Y8+'ES P&amp;L'!Y9+SUM(Amazon!W26,Amazon!W28,Amazon!W36)</f>
        <v>54316.200000000004</v>
      </c>
      <c r="Z9" s="60">
        <f ca="1">'IT P&amp;L'!Z8+'ES P&amp;L'!Z9+SUM(Amazon!X26,Amazon!X28,Amazon!X36)</f>
        <v>65380.764893617023</v>
      </c>
      <c r="AA9" s="60">
        <f ca="1">'IT P&amp;L'!AA8+'ES P&amp;L'!AA9+SUM(Amazon!Y26,Amazon!Y28,Amazon!Y36)</f>
        <v>82058.179999999993</v>
      </c>
      <c r="AB9" s="60">
        <f ca="1">'IT P&amp;L'!AB8+'ES P&amp;L'!AB9+SUM(Amazon!Z26,Amazon!Z28,Amazon!Z36)</f>
        <v>98265.56</v>
      </c>
      <c r="AC9" s="60">
        <f ca="1">'IT P&amp;L'!AC8+'ES P&amp;L'!AC9+SUM(Amazon!AA26,Amazon!AA28,Amazon!AA36)</f>
        <v>93585.611999999994</v>
      </c>
      <c r="AD9" s="60">
        <f ca="1">'IT P&amp;L'!AD8+'ES P&amp;L'!AD9+SUM(Amazon!AB26,Amazon!AB28,Amazon!AB36)</f>
        <v>80839.212</v>
      </c>
      <c r="AE9" s="60"/>
      <c r="AF9" s="61">
        <f ca="1">SUM(S9:AD9)</f>
        <v>832076.01463829796</v>
      </c>
      <c r="AG9" s="531">
        <f ca="1">IFERROR(AF9/Q9-1,0)</f>
        <v>0.37322588597704343</v>
      </c>
      <c r="AH9" s="60">
        <f ca="1">'IT P&amp;L'!AH8+'ES P&amp;L'!AH9+SUM(Amazon!AE26,Amazon!AE28)</f>
        <v>73607.34</v>
      </c>
      <c r="AI9" s="60">
        <f ca="1">'IT P&amp;L'!AI8+'ES P&amp;L'!AI9+SUM(Amazon!AF26,Amazon!AF28)</f>
        <v>82992.554000000004</v>
      </c>
      <c r="AJ9" s="60">
        <f ca="1">'IT P&amp;L'!AJ8+'ES P&amp;L'!AJ9+SUM(Amazon!AG26,Amazon!AG28)</f>
        <v>72714.979400000011</v>
      </c>
      <c r="AK9" s="60">
        <f ca="1">'IT P&amp;L'!AK8+'ES P&amp;L'!AK9+SUM(Amazon!AH26,Amazon!AH28)</f>
        <v>69340.8894</v>
      </c>
      <c r="AL9" s="60">
        <f ca="1">'IT P&amp;L'!AL8+'ES P&amp;L'!AL9+SUM(Amazon!AI26,Amazon!AI28)</f>
        <v>64448.245020851071</v>
      </c>
      <c r="AM9" s="60">
        <f ca="1">'IT P&amp;L'!AM8+'ES P&amp;L'!AM9+SUM(Amazon!AJ26,Amazon!AJ28)</f>
        <v>94877.287374000007</v>
      </c>
      <c r="AN9" s="60">
        <f ca="1">'IT P&amp;L'!AN8+'ES P&amp;L'!AN9+SUM(Amazon!AK26,Amazon!AK28)</f>
        <v>69341.00940000001</v>
      </c>
      <c r="AO9" s="60">
        <f ca="1">'IT P&amp;L'!AO8+'ES P&amp;L'!AO9+SUM(Amazon!AL26,Amazon!AL28)</f>
        <v>75416.953957021295</v>
      </c>
      <c r="AP9" s="60">
        <f ca="1">'IT P&amp;L'!AP8+'ES P&amp;L'!AP9+SUM(Amazon!AM26,Amazon!AM28)</f>
        <v>94395.662374000007</v>
      </c>
      <c r="AQ9" s="60">
        <f ca="1">'IT P&amp;L'!AQ8+'ES P&amp;L'!AQ9+SUM(Amazon!AN26,Amazon!AN28)</f>
        <v>106682.59911140002</v>
      </c>
      <c r="AR9" s="60">
        <f ca="1">'IT P&amp;L'!AR8+'ES P&amp;L'!AR9+SUM(Amazon!AO26,Amazon!AO28)</f>
        <v>100900.30411140001</v>
      </c>
      <c r="AS9" s="60">
        <f ca="1">'IT P&amp;L'!AS8+'ES P&amp;L'!AS9+SUM(Amazon!AP26,Amazon!AP28)</f>
        <v>102867.95602254001</v>
      </c>
      <c r="AT9" s="60"/>
      <c r="AU9" s="61">
        <f ca="1">SUM(AH9:AS9)</f>
        <v>1007585.7801712125</v>
      </c>
      <c r="AV9" s="531">
        <f ca="1">IFERROR(AU9/AF9-1,0)</f>
        <v>0.21092996606711267</v>
      </c>
    </row>
    <row r="10" spans="1:49">
      <c r="B10" s="51" t="s">
        <v>86</v>
      </c>
      <c r="D10" s="480"/>
      <c r="E10" s="480"/>
      <c r="F10" s="480"/>
      <c r="G10" s="480"/>
      <c r="H10" s="480"/>
      <c r="I10" s="480"/>
      <c r="J10" s="480"/>
      <c r="K10" s="480"/>
      <c r="L10" s="480"/>
      <c r="M10" s="60"/>
      <c r="N10" s="60"/>
      <c r="O10" s="60"/>
      <c r="P10" s="60"/>
      <c r="Q10" s="61">
        <f>SUM(D10:O10)</f>
        <v>0</v>
      </c>
      <c r="R10" s="504"/>
      <c r="S10" s="60">
        <f>'IT P&amp;L'!S9+'ES P&amp;L'!S10</f>
        <v>0</v>
      </c>
      <c r="T10" s="60">
        <f>'IT P&amp;L'!T9+'ES P&amp;L'!T10</f>
        <v>0</v>
      </c>
      <c r="U10" s="60">
        <f>'IT P&amp;L'!U9+'ES P&amp;L'!U10</f>
        <v>0</v>
      </c>
      <c r="V10" s="60">
        <f>'IT P&amp;L'!V9+'ES P&amp;L'!V10</f>
        <v>0</v>
      </c>
      <c r="W10" s="60">
        <f>'IT P&amp;L'!W9+'ES P&amp;L'!W10</f>
        <v>0</v>
      </c>
      <c r="X10" s="60">
        <f>'IT P&amp;L'!X9+'ES P&amp;L'!X10</f>
        <v>0</v>
      </c>
      <c r="Y10" s="60">
        <f>'IT P&amp;L'!Y9+'ES P&amp;L'!Y10</f>
        <v>0</v>
      </c>
      <c r="Z10" s="60">
        <f>'IT P&amp;L'!Z9+'ES P&amp;L'!Z10</f>
        <v>0</v>
      </c>
      <c r="AA10" s="60">
        <f>'IT P&amp;L'!AA9+'ES P&amp;L'!AA10</f>
        <v>0</v>
      </c>
      <c r="AB10" s="60">
        <f>'IT P&amp;L'!AB9+'ES P&amp;L'!AB10</f>
        <v>0</v>
      </c>
      <c r="AC10" s="60">
        <f>'IT P&amp;L'!AC9+'ES P&amp;L'!AC10</f>
        <v>0</v>
      </c>
      <c r="AD10" s="60">
        <f>'IT P&amp;L'!AD9+'ES P&amp;L'!AD10</f>
        <v>0</v>
      </c>
      <c r="AE10" s="60"/>
      <c r="AF10" s="61">
        <f>SUM(S10:AD10)</f>
        <v>0</v>
      </c>
      <c r="AG10" s="89"/>
      <c r="AH10" s="60">
        <f>'IT P&amp;L'!AH9+'ES P&amp;L'!AH10</f>
        <v>0</v>
      </c>
      <c r="AI10" s="60">
        <f>'IT P&amp;L'!AI9+'ES P&amp;L'!AI10</f>
        <v>0</v>
      </c>
      <c r="AJ10" s="60">
        <f>'IT P&amp;L'!AJ9+'ES P&amp;L'!AJ10</f>
        <v>0</v>
      </c>
      <c r="AK10" s="60">
        <f>'IT P&amp;L'!AK9+'ES P&amp;L'!AK10</f>
        <v>0</v>
      </c>
      <c r="AL10" s="60">
        <f>'IT P&amp;L'!AL9+'ES P&amp;L'!AL10</f>
        <v>0</v>
      </c>
      <c r="AM10" s="60">
        <f>'IT P&amp;L'!AM9+'ES P&amp;L'!AM10</f>
        <v>0</v>
      </c>
      <c r="AN10" s="60">
        <f>'IT P&amp;L'!AN9+'ES P&amp;L'!AN10</f>
        <v>0</v>
      </c>
      <c r="AO10" s="60">
        <f>'IT P&amp;L'!AO9+'ES P&amp;L'!AO10</f>
        <v>0</v>
      </c>
      <c r="AP10" s="60">
        <f>'IT P&amp;L'!AP9+'ES P&amp;L'!AP10</f>
        <v>0</v>
      </c>
      <c r="AQ10" s="60">
        <f>'IT P&amp;L'!AQ9+'ES P&amp;L'!AQ10</f>
        <v>0</v>
      </c>
      <c r="AR10" s="60">
        <f>'IT P&amp;L'!AR9+'ES P&amp;L'!AR10</f>
        <v>0</v>
      </c>
      <c r="AS10" s="60">
        <f>'IT P&amp;L'!AS9+'ES P&amp;L'!AS10</f>
        <v>0</v>
      </c>
      <c r="AT10" s="60"/>
      <c r="AU10" s="61">
        <f>SUM(AH10:AS10)</f>
        <v>0</v>
      </c>
      <c r="AV10" s="89"/>
    </row>
    <row r="11" spans="1:49">
      <c r="D11" s="480"/>
      <c r="E11" s="480"/>
      <c r="F11" s="480"/>
      <c r="G11" s="480"/>
      <c r="H11" s="480"/>
      <c r="I11" s="480"/>
      <c r="J11" s="480"/>
      <c r="K11" s="480"/>
      <c r="L11" s="480"/>
      <c r="M11" s="60"/>
      <c r="N11" s="60"/>
      <c r="O11" s="60"/>
      <c r="P11" s="60"/>
      <c r="Q11" s="61"/>
      <c r="R11" s="503"/>
      <c r="S11" s="83"/>
      <c r="T11" s="83"/>
      <c r="U11" s="83"/>
      <c r="V11" s="83"/>
      <c r="W11" s="83"/>
      <c r="X11" s="60"/>
      <c r="Y11" s="60"/>
      <c r="Z11" s="60"/>
      <c r="AA11" s="60"/>
      <c r="AB11" s="60"/>
      <c r="AC11" s="60"/>
      <c r="AD11" s="60"/>
      <c r="AE11" s="60"/>
      <c r="AF11" s="61"/>
      <c r="AG11" s="89"/>
      <c r="AH11" s="83"/>
      <c r="AI11" s="83"/>
      <c r="AJ11" s="83"/>
      <c r="AK11" s="83"/>
      <c r="AL11" s="83"/>
      <c r="AM11" s="60"/>
      <c r="AN11" s="60"/>
      <c r="AO11" s="60"/>
      <c r="AP11" s="60"/>
      <c r="AQ11" s="60"/>
      <c r="AR11" s="60"/>
      <c r="AS11" s="60"/>
      <c r="AT11" s="60"/>
      <c r="AU11" s="61"/>
      <c r="AV11" s="89"/>
    </row>
    <row r="12" spans="1:49" s="10" customFormat="1">
      <c r="A12" s="52"/>
      <c r="B12" s="63" t="s">
        <v>87</v>
      </c>
      <c r="C12" s="52"/>
      <c r="D12" s="500">
        <f>SUM(D7:D11)</f>
        <v>214061</v>
      </c>
      <c r="E12" s="500">
        <f t="shared" ref="E12:L12" si="3">SUM(E7:E11)</f>
        <v>172528</v>
      </c>
      <c r="F12" s="500">
        <f t="shared" si="3"/>
        <v>120164</v>
      </c>
      <c r="G12" s="500">
        <f t="shared" si="3"/>
        <v>359423</v>
      </c>
      <c r="H12" s="500">
        <f t="shared" si="3"/>
        <v>246903</v>
      </c>
      <c r="I12" s="500">
        <f t="shared" si="3"/>
        <v>255458</v>
      </c>
      <c r="J12" s="500">
        <f t="shared" si="3"/>
        <v>209237</v>
      </c>
      <c r="K12" s="500">
        <f t="shared" si="3"/>
        <v>131753</v>
      </c>
      <c r="L12" s="500">
        <f t="shared" si="3"/>
        <v>251645</v>
      </c>
      <c r="M12" s="65">
        <f t="shared" ref="M12:O12" si="4">SUM(M7:M11)</f>
        <v>510819</v>
      </c>
      <c r="N12" s="65">
        <f t="shared" si="4"/>
        <v>245072</v>
      </c>
      <c r="O12" s="65">
        <f t="shared" si="4"/>
        <v>284775</v>
      </c>
      <c r="P12" s="61"/>
      <c r="Q12" s="65">
        <f>SUM(D12:O12)</f>
        <v>3001838</v>
      </c>
      <c r="R12" s="505"/>
      <c r="S12" s="84">
        <f ca="1">SUM(S7:S11)</f>
        <v>218395.95184323771</v>
      </c>
      <c r="T12" s="84">
        <f t="shared" ref="T12:AD12" ca="1" si="5">SUM(T7:T11)</f>
        <v>583602.11485786038</v>
      </c>
      <c r="U12" s="84">
        <f t="shared" ca="1" si="5"/>
        <v>352598.9578643929</v>
      </c>
      <c r="V12" s="84">
        <f t="shared" ca="1" si="5"/>
        <v>353295.00009255687</v>
      </c>
      <c r="W12" s="84">
        <f t="shared" ca="1" si="5"/>
        <v>349581.41674917389</v>
      </c>
      <c r="X12" s="65">
        <f t="shared" ca="1" si="5"/>
        <v>379951.06588367838</v>
      </c>
      <c r="Y12" s="65">
        <f t="shared" ca="1" si="5"/>
        <v>266930.19569231843</v>
      </c>
      <c r="Z12" s="65">
        <f t="shared" ca="1" si="5"/>
        <v>329895.85962284484</v>
      </c>
      <c r="AA12" s="65">
        <f t="shared" ca="1" si="5"/>
        <v>420010.357066489</v>
      </c>
      <c r="AB12" s="65">
        <f t="shared" ca="1" si="5"/>
        <v>447776.73248064297</v>
      </c>
      <c r="AC12" s="65">
        <f t="shared" ca="1" si="5"/>
        <v>284999.66625399655</v>
      </c>
      <c r="AD12" s="65">
        <f t="shared" ca="1" si="5"/>
        <v>314970.23143672466</v>
      </c>
      <c r="AE12" s="61"/>
      <c r="AF12" s="65">
        <f ca="1">SUM(S12:AD12)</f>
        <v>4302007.5498439167</v>
      </c>
      <c r="AG12" s="531">
        <f ca="1">IFERROR(AF12/Q12-1,0)</f>
        <v>0.43312448901103817</v>
      </c>
      <c r="AH12" s="84">
        <f ca="1">SUM(AH7:AH11)</f>
        <v>389034.00790896639</v>
      </c>
      <c r="AI12" s="84">
        <f t="shared" ref="AI12:AS12" ca="1" si="6">SUM(AI7:AI11)</f>
        <v>610086.28289463674</v>
      </c>
      <c r="AJ12" s="84">
        <f t="shared" ca="1" si="6"/>
        <v>577836.62990436063</v>
      </c>
      <c r="AK12" s="84">
        <f t="shared" ca="1" si="6"/>
        <v>614390.31364280474</v>
      </c>
      <c r="AL12" s="84">
        <f t="shared" ca="1" si="6"/>
        <v>605802.04635832878</v>
      </c>
      <c r="AM12" s="65">
        <f t="shared" ca="1" si="6"/>
        <v>668465.36052092141</v>
      </c>
      <c r="AN12" s="65">
        <f t="shared" ca="1" si="6"/>
        <v>494643.68474435585</v>
      </c>
      <c r="AO12" s="65">
        <f t="shared" ca="1" si="6"/>
        <v>534556.21867516334</v>
      </c>
      <c r="AP12" s="65">
        <f t="shared" ca="1" si="6"/>
        <v>790497.01398951327</v>
      </c>
      <c r="AQ12" s="65">
        <f t="shared" ca="1" si="6"/>
        <v>746040.52583237295</v>
      </c>
      <c r="AR12" s="65">
        <f t="shared" ca="1" si="6"/>
        <v>523990.85583450168</v>
      </c>
      <c r="AS12" s="65">
        <f t="shared" ca="1" si="6"/>
        <v>528317.93612966454</v>
      </c>
      <c r="AT12" s="61"/>
      <c r="AU12" s="65">
        <f ca="1">SUM(AH12:AS12)</f>
        <v>7083660.8764355909</v>
      </c>
      <c r="AV12" s="531">
        <f ca="1">IFERROR(AU12/AF12-1,0)</f>
        <v>0.64659424567783397</v>
      </c>
      <c r="AW12" s="7"/>
    </row>
    <row r="13" spans="1:49" outlineLevel="1">
      <c r="D13" s="480"/>
      <c r="E13" s="480"/>
      <c r="F13" s="480"/>
      <c r="G13" s="480"/>
      <c r="H13" s="480"/>
      <c r="I13" s="480"/>
      <c r="J13" s="480"/>
      <c r="K13" s="480"/>
      <c r="L13" s="480"/>
      <c r="M13" s="60"/>
      <c r="N13" s="60"/>
      <c r="O13" s="60"/>
      <c r="P13" s="60"/>
      <c r="Q13" s="61"/>
      <c r="R13" s="506"/>
      <c r="S13" s="83"/>
      <c r="T13" s="83"/>
      <c r="U13" s="83"/>
      <c r="V13" s="83"/>
      <c r="W13" s="83"/>
      <c r="X13" s="60"/>
      <c r="Y13" s="60"/>
      <c r="Z13" s="60"/>
      <c r="AA13" s="60"/>
      <c r="AB13" s="60"/>
      <c r="AC13" s="60"/>
      <c r="AD13" s="60"/>
      <c r="AE13" s="60"/>
      <c r="AF13" s="61"/>
      <c r="AG13" s="89"/>
      <c r="AH13" s="83"/>
      <c r="AI13" s="83"/>
      <c r="AJ13" s="83"/>
      <c r="AK13" s="83"/>
      <c r="AL13" s="83"/>
      <c r="AM13" s="60"/>
      <c r="AN13" s="60"/>
      <c r="AO13" s="60"/>
      <c r="AP13" s="60"/>
      <c r="AQ13" s="60"/>
      <c r="AR13" s="60"/>
      <c r="AS13" s="60"/>
      <c r="AT13" s="60"/>
      <c r="AU13" s="61"/>
      <c r="AV13" s="89"/>
    </row>
    <row r="14" spans="1:49" outlineLevel="1">
      <c r="B14" s="58" t="s">
        <v>88</v>
      </c>
      <c r="D14" s="480"/>
      <c r="E14" s="480"/>
      <c r="F14" s="480"/>
      <c r="G14" s="480"/>
      <c r="H14" s="480"/>
      <c r="I14" s="480"/>
      <c r="J14" s="480"/>
      <c r="K14" s="480"/>
      <c r="L14" s="480"/>
      <c r="M14" s="60"/>
      <c r="N14" s="60"/>
      <c r="O14" s="60"/>
      <c r="P14" s="60"/>
      <c r="Q14" s="61"/>
      <c r="R14" s="503"/>
      <c r="S14" s="83"/>
      <c r="T14" s="83"/>
      <c r="U14" s="83"/>
      <c r="V14" s="83"/>
      <c r="W14" s="83"/>
      <c r="X14" s="60"/>
      <c r="Y14" s="60"/>
      <c r="Z14" s="60"/>
      <c r="AA14" s="60"/>
      <c r="AB14" s="60"/>
      <c r="AC14" s="60"/>
      <c r="AD14" s="60"/>
      <c r="AE14" s="60"/>
      <c r="AF14" s="61"/>
      <c r="AG14" s="89"/>
      <c r="AH14" s="83"/>
      <c r="AI14" s="83"/>
      <c r="AJ14" s="83"/>
      <c r="AK14" s="83"/>
      <c r="AL14" s="83"/>
      <c r="AM14" s="60"/>
      <c r="AN14" s="60"/>
      <c r="AO14" s="60"/>
      <c r="AP14" s="60"/>
      <c r="AQ14" s="60"/>
      <c r="AR14" s="60"/>
      <c r="AS14" s="60"/>
      <c r="AT14" s="60"/>
      <c r="AU14" s="61"/>
      <c r="AV14" s="89"/>
    </row>
    <row r="15" spans="1:49">
      <c r="D15" s="480"/>
      <c r="E15" s="480"/>
      <c r="F15" s="480"/>
      <c r="G15" s="480"/>
      <c r="H15" s="480"/>
      <c r="I15" s="480"/>
      <c r="J15" s="480"/>
      <c r="K15" s="480"/>
      <c r="L15" s="480"/>
      <c r="M15" s="60"/>
      <c r="N15" s="60"/>
      <c r="O15" s="60"/>
      <c r="P15" s="60"/>
      <c r="Q15" s="61"/>
      <c r="R15" s="503"/>
      <c r="S15" s="83"/>
      <c r="T15" s="83"/>
      <c r="U15" s="83"/>
      <c r="V15" s="83"/>
      <c r="W15" s="83"/>
      <c r="X15" s="60"/>
      <c r="Y15" s="60"/>
      <c r="Z15" s="60"/>
      <c r="AA15" s="60"/>
      <c r="AB15" s="60"/>
      <c r="AC15" s="60"/>
      <c r="AD15" s="60"/>
      <c r="AE15" s="60"/>
      <c r="AF15" s="61"/>
      <c r="AG15" s="89"/>
      <c r="AH15" s="83"/>
      <c r="AI15" s="83"/>
      <c r="AJ15" s="83"/>
      <c r="AK15" s="83"/>
      <c r="AL15" s="83"/>
      <c r="AM15" s="60"/>
      <c r="AN15" s="60"/>
      <c r="AO15" s="60"/>
      <c r="AP15" s="60"/>
      <c r="AQ15" s="60"/>
      <c r="AR15" s="60"/>
      <c r="AS15" s="60"/>
      <c r="AT15" s="60"/>
      <c r="AU15" s="61"/>
      <c r="AV15" s="89"/>
    </row>
    <row r="16" spans="1:49" outlineLevel="1">
      <c r="B16" s="51" t="s">
        <v>89</v>
      </c>
      <c r="C16" s="75">
        <v>-0.24</v>
      </c>
      <c r="D16" s="480">
        <v>-7789</v>
      </c>
      <c r="E16" s="480">
        <v>-7113</v>
      </c>
      <c r="F16" s="480">
        <v>-9647</v>
      </c>
      <c r="G16" s="480">
        <v>-44472</v>
      </c>
      <c r="H16" s="480">
        <v>-9767</v>
      </c>
      <c r="I16" s="480">
        <v>-23948</v>
      </c>
      <c r="J16" s="480">
        <v>-24598</v>
      </c>
      <c r="K16" s="480">
        <v>-5233</v>
      </c>
      <c r="L16" s="480">
        <v>-33131</v>
      </c>
      <c r="M16" s="60">
        <v>-63847</v>
      </c>
      <c r="N16" s="60">
        <v>-25172</v>
      </c>
      <c r="O16" s="60">
        <v>-25321</v>
      </c>
      <c r="P16" s="60"/>
      <c r="Q16" s="61">
        <f>SUM(D16:O16)</f>
        <v>-280038</v>
      </c>
      <c r="R16" s="503"/>
      <c r="S16" s="60">
        <f t="shared" ref="S16:AD16" si="7">S7*$C$16</f>
        <v>-23375.59484237705</v>
      </c>
      <c r="T16" s="60">
        <f t="shared" si="7"/>
        <v>-39918.262765886488</v>
      </c>
      <c r="U16" s="60">
        <f t="shared" si="7"/>
        <v>-37970.749887454294</v>
      </c>
      <c r="V16" s="60">
        <f t="shared" si="7"/>
        <v>-29542.106353767682</v>
      </c>
      <c r="W16" s="60">
        <f t="shared" si="7"/>
        <v>-24499.945168000158</v>
      </c>
      <c r="X16" s="60">
        <f t="shared" si="7"/>
        <v>-49487.183983895797</v>
      </c>
      <c r="Y16" s="60">
        <f t="shared" si="7"/>
        <v>-28139.156684663096</v>
      </c>
      <c r="Z16" s="60">
        <f t="shared" si="7"/>
        <v>-23342.103441820567</v>
      </c>
      <c r="AA16" s="60">
        <f t="shared" si="7"/>
        <v>-47647.354570303345</v>
      </c>
      <c r="AB16" s="60">
        <f t="shared" si="7"/>
        <v>-41083.462587578266</v>
      </c>
      <c r="AC16" s="60">
        <f t="shared" si="7"/>
        <v>-24985.848526947593</v>
      </c>
      <c r="AD16" s="60">
        <f t="shared" si="7"/>
        <v>-29895.825677536122</v>
      </c>
      <c r="AE16" s="60"/>
      <c r="AF16" s="61">
        <f>SUM(S16:AD16)</f>
        <v>-399887.59449023049</v>
      </c>
      <c r="AG16" s="89"/>
      <c r="AH16" s="60">
        <f>AH7*$C$16</f>
        <v>-46884.297386151949</v>
      </c>
      <c r="AI16" s="60">
        <f t="shared" ref="AI16:AR16" si="8">AI7*$C$16</f>
        <v>-74195.590549112821</v>
      </c>
      <c r="AJ16" s="60">
        <f t="shared" si="8"/>
        <v>-66396.460153046544</v>
      </c>
      <c r="AK16" s="60">
        <f t="shared" si="8"/>
        <v>-63365.041088351485</v>
      </c>
      <c r="AL16" s="60">
        <f t="shared" si="8"/>
        <v>-64682.856512177648</v>
      </c>
      <c r="AM16" s="60">
        <f t="shared" si="8"/>
        <v>-104699.61401617285</v>
      </c>
      <c r="AN16" s="60">
        <f t="shared" si="8"/>
        <v>-64234.045142904215</v>
      </c>
      <c r="AO16" s="60">
        <f t="shared" si="8"/>
        <v>-56871.298852140295</v>
      </c>
      <c r="AP16" s="60">
        <f t="shared" si="8"/>
        <v>-94246.54216548847</v>
      </c>
      <c r="AQ16" s="60">
        <f t="shared" si="8"/>
        <v>-84343.684343066227</v>
      </c>
      <c r="AR16" s="60">
        <f t="shared" si="8"/>
        <v>-53788.437692470688</v>
      </c>
      <c r="AS16" s="60">
        <f>AS7*$C$16</f>
        <v>-62268.579078463212</v>
      </c>
      <c r="AT16" s="60"/>
      <c r="AU16" s="61">
        <f>SUM(AH16:AS16)</f>
        <v>-835976.44697954645</v>
      </c>
      <c r="AV16" s="89"/>
    </row>
    <row r="17" spans="1:49" outlineLevel="1">
      <c r="B17" s="51" t="s">
        <v>90</v>
      </c>
      <c r="C17" s="75">
        <v>-0.32</v>
      </c>
      <c r="D17" s="480">
        <v>-42441</v>
      </c>
      <c r="E17" s="480">
        <v>-32686</v>
      </c>
      <c r="F17" s="480">
        <v>-13615</v>
      </c>
      <c r="G17" s="480">
        <v>-38186</v>
      </c>
      <c r="H17" s="480">
        <v>-67402</v>
      </c>
      <c r="I17" s="480">
        <v>-28096</v>
      </c>
      <c r="J17" s="480">
        <v>-16880</v>
      </c>
      <c r="K17" s="480">
        <v>-16969</v>
      </c>
      <c r="L17" s="480">
        <v>-18578</v>
      </c>
      <c r="M17" s="60">
        <v>-67006</v>
      </c>
      <c r="N17" s="60">
        <v>-22733</v>
      </c>
      <c r="O17" s="60">
        <v>-39430</v>
      </c>
      <c r="P17" s="60"/>
      <c r="Q17" s="61">
        <f>SUM(D17:O17)</f>
        <v>-404022</v>
      </c>
      <c r="R17" s="503"/>
      <c r="S17" s="60">
        <f t="shared" ref="S17:AD17" si="9">S8*$C$17</f>
        <v>-24298.0736</v>
      </c>
      <c r="T17" s="60">
        <f t="shared" si="9"/>
        <v>-111330.56640000001</v>
      </c>
      <c r="U17" s="60">
        <f t="shared" si="9"/>
        <v>-43180.2624</v>
      </c>
      <c r="V17" s="60">
        <f t="shared" si="9"/>
        <v>-55501.110491261294</v>
      </c>
      <c r="W17" s="60">
        <f t="shared" si="9"/>
        <v>-62377.704364104218</v>
      </c>
      <c r="X17" s="60">
        <f t="shared" si="9"/>
        <v>-31787.912304249356</v>
      </c>
      <c r="Y17" s="60">
        <f t="shared" si="9"/>
        <v>-30517.603041991104</v>
      </c>
      <c r="Z17" s="60">
        <f t="shared" si="9"/>
        <v>-53522.025724258827</v>
      </c>
      <c r="AA17" s="60">
        <f t="shared" si="9"/>
        <v>-44614.89056753867</v>
      </c>
      <c r="AB17" s="60">
        <f t="shared" si="9"/>
        <v>-57065.625077034732</v>
      </c>
      <c r="AC17" s="60">
        <f t="shared" si="9"/>
        <v>-27938.032658682092</v>
      </c>
      <c r="AD17" s="60">
        <f t="shared" si="9"/>
        <v>-35060.825316370399</v>
      </c>
      <c r="AE17" s="60"/>
      <c r="AF17" s="61">
        <f>SUM(S17:AD17)</f>
        <v>-577194.63194549072</v>
      </c>
      <c r="AG17" s="89"/>
      <c r="AH17" s="60">
        <f t="shared" ref="AH17:AS17" si="10">AH8*$C$17</f>
        <v>-38424.137215999996</v>
      </c>
      <c r="AI17" s="60">
        <f t="shared" si="10"/>
        <v>-69742.539180799999</v>
      </c>
      <c r="AJ17" s="60">
        <f t="shared" si="10"/>
        <v>-73110.314624000006</v>
      </c>
      <c r="AK17" s="60">
        <f t="shared" si="10"/>
        <v>-89929.094306562198</v>
      </c>
      <c r="AL17" s="60">
        <f t="shared" si="10"/>
        <v>-86989.407745089353</v>
      </c>
      <c r="AM17" s="60">
        <f t="shared" si="10"/>
        <v>-43948.698052117696</v>
      </c>
      <c r="AN17" s="60">
        <f t="shared" si="10"/>
        <v>-50451.46258632157</v>
      </c>
      <c r="AO17" s="60">
        <f t="shared" si="10"/>
        <v>-71096.166240285078</v>
      </c>
      <c r="AP17" s="60">
        <f t="shared" si="10"/>
        <v>-97090.376296312941</v>
      </c>
      <c r="AQ17" s="60">
        <f t="shared" si="10"/>
        <v>-92136.290759956348</v>
      </c>
      <c r="AR17" s="60">
        <f t="shared" si="10"/>
        <v>-63671.059628098294</v>
      </c>
      <c r="AS17" s="60">
        <f t="shared" si="10"/>
        <v>-53119.221529662231</v>
      </c>
      <c r="AT17" s="60"/>
      <c r="AU17" s="61">
        <f>SUM(AH17:AS17)</f>
        <v>-829708.76816520572</v>
      </c>
      <c r="AV17" s="89"/>
    </row>
    <row r="18" spans="1:49" outlineLevel="1">
      <c r="B18" s="51" t="s">
        <v>91</v>
      </c>
      <c r="C18" s="75">
        <v>-0.18</v>
      </c>
      <c r="D18" s="480">
        <v>-4520</v>
      </c>
      <c r="E18" s="480">
        <v>-6001</v>
      </c>
      <c r="F18" s="480">
        <v>-6267</v>
      </c>
      <c r="G18" s="480">
        <v>-6686</v>
      </c>
      <c r="H18" s="480">
        <v>-9096</v>
      </c>
      <c r="I18" s="480">
        <v>-10660</v>
      </c>
      <c r="J18" s="480">
        <v>-7664</v>
      </c>
      <c r="K18" s="480">
        <v>-11887</v>
      </c>
      <c r="L18" s="480">
        <v>-9323</v>
      </c>
      <c r="M18" s="60">
        <v>-12520</v>
      </c>
      <c r="N18" s="60">
        <v>-12520</v>
      </c>
      <c r="O18" s="60">
        <v>-9693</v>
      </c>
      <c r="P18" s="60"/>
      <c r="Q18" s="61">
        <f>SUM(D18:O18)</f>
        <v>-106837</v>
      </c>
      <c r="R18" s="503"/>
      <c r="S18" s="60">
        <f t="shared" ref="S18:AD18" ca="1" si="11">S9*$C$18</f>
        <v>-8111.9088000000002</v>
      </c>
      <c r="T18" s="60">
        <f t="shared" ca="1" si="11"/>
        <v>-12486.24</v>
      </c>
      <c r="U18" s="60">
        <f t="shared" ca="1" si="11"/>
        <v>-10700.8524</v>
      </c>
      <c r="V18" s="60">
        <f t="shared" ca="1" si="11"/>
        <v>-10217.1456</v>
      </c>
      <c r="W18" s="60">
        <f t="shared" ca="1" si="11"/>
        <v>-9462.237434042554</v>
      </c>
      <c r="X18" s="60">
        <f t="shared" ca="1" si="11"/>
        <v>-13395.103199999998</v>
      </c>
      <c r="Y18" s="60">
        <f t="shared" ca="1" si="11"/>
        <v>-9776.9160000000011</v>
      </c>
      <c r="Z18" s="60">
        <f t="shared" ca="1" si="11"/>
        <v>-11768.537680851063</v>
      </c>
      <c r="AA18" s="60">
        <f t="shared" ca="1" si="11"/>
        <v>-14770.472399999999</v>
      </c>
      <c r="AB18" s="60">
        <f t="shared" ca="1" si="11"/>
        <v>-17687.800799999997</v>
      </c>
      <c r="AC18" s="60">
        <f t="shared" ca="1" si="11"/>
        <v>-16845.410159999999</v>
      </c>
      <c r="AD18" s="60">
        <f t="shared" ca="1" si="11"/>
        <v>-14551.058159999999</v>
      </c>
      <c r="AE18" s="60"/>
      <c r="AF18" s="61">
        <f ca="1">SUM(S18:AD18)</f>
        <v>-149773.6826348936</v>
      </c>
      <c r="AG18" s="89"/>
      <c r="AH18" s="60">
        <f t="shared" ref="AH18:AS18" ca="1" si="12">AH9*$C$18</f>
        <v>-13249.321199999998</v>
      </c>
      <c r="AI18" s="60">
        <f t="shared" ca="1" si="12"/>
        <v>-14938.65972</v>
      </c>
      <c r="AJ18" s="60">
        <f t="shared" ca="1" si="12"/>
        <v>-13088.696292000002</v>
      </c>
      <c r="AK18" s="60">
        <f t="shared" ca="1" si="12"/>
        <v>-12481.360091999999</v>
      </c>
      <c r="AL18" s="60">
        <f ca="1">AL9*$C$18</f>
        <v>-11600.684103753192</v>
      </c>
      <c r="AM18" s="60">
        <f t="shared" ca="1" si="12"/>
        <v>-17077.911727319999</v>
      </c>
      <c r="AN18" s="60">
        <f t="shared" ca="1" si="12"/>
        <v>-12481.381692000001</v>
      </c>
      <c r="AO18" s="60">
        <f t="shared" ca="1" si="12"/>
        <v>-13575.051712263832</v>
      </c>
      <c r="AP18" s="60">
        <f t="shared" ca="1" si="12"/>
        <v>-16991.219227320002</v>
      </c>
      <c r="AQ18" s="60">
        <f t="shared" ca="1" si="12"/>
        <v>-19202.867840052004</v>
      </c>
      <c r="AR18" s="60">
        <f t="shared" ca="1" si="12"/>
        <v>-18162.054740052001</v>
      </c>
      <c r="AS18" s="60">
        <f t="shared" ca="1" si="12"/>
        <v>-18516.232084057199</v>
      </c>
      <c r="AT18" s="60"/>
      <c r="AU18" s="61">
        <f ca="1">SUM(AH18:AS18)</f>
        <v>-181365.44043081824</v>
      </c>
      <c r="AV18" s="89"/>
    </row>
    <row r="19" spans="1:49" outlineLevel="1">
      <c r="B19" s="51" t="s">
        <v>92</v>
      </c>
      <c r="D19" s="480"/>
      <c r="E19" s="480"/>
      <c r="F19" s="480"/>
      <c r="G19" s="480"/>
      <c r="H19" s="480"/>
      <c r="I19" s="480"/>
      <c r="J19" s="480"/>
      <c r="K19" s="480"/>
      <c r="L19" s="480"/>
      <c r="M19" s="60"/>
      <c r="N19" s="60"/>
      <c r="O19" s="60"/>
      <c r="P19" s="60"/>
      <c r="Q19" s="61">
        <f>SUM(D19:O19)</f>
        <v>0</v>
      </c>
      <c r="R19" s="503"/>
      <c r="S19" s="60">
        <f t="shared" ref="S19:AD19" si="13">S10*$C$19</f>
        <v>0</v>
      </c>
      <c r="T19" s="60">
        <f t="shared" si="13"/>
        <v>0</v>
      </c>
      <c r="U19" s="60">
        <f t="shared" si="13"/>
        <v>0</v>
      </c>
      <c r="V19" s="60">
        <f t="shared" si="13"/>
        <v>0</v>
      </c>
      <c r="W19" s="60">
        <f t="shared" si="13"/>
        <v>0</v>
      </c>
      <c r="X19" s="60">
        <f t="shared" si="13"/>
        <v>0</v>
      </c>
      <c r="Y19" s="60">
        <f t="shared" si="13"/>
        <v>0</v>
      </c>
      <c r="Z19" s="60">
        <f t="shared" si="13"/>
        <v>0</v>
      </c>
      <c r="AA19" s="60">
        <f t="shared" si="13"/>
        <v>0</v>
      </c>
      <c r="AB19" s="60">
        <f t="shared" si="13"/>
        <v>0</v>
      </c>
      <c r="AC19" s="60">
        <f t="shared" si="13"/>
        <v>0</v>
      </c>
      <c r="AD19" s="60">
        <f t="shared" si="13"/>
        <v>0</v>
      </c>
      <c r="AE19" s="60"/>
      <c r="AF19" s="61">
        <f>SUM(S19:AD19)</f>
        <v>0</v>
      </c>
      <c r="AG19" s="89"/>
      <c r="AH19" s="60">
        <f t="shared" ref="AH19:AS19" si="14">AH10*$C$19</f>
        <v>0</v>
      </c>
      <c r="AI19" s="60">
        <f t="shared" si="14"/>
        <v>0</v>
      </c>
      <c r="AJ19" s="60">
        <f t="shared" si="14"/>
        <v>0</v>
      </c>
      <c r="AK19" s="60">
        <f t="shared" si="14"/>
        <v>0</v>
      </c>
      <c r="AL19" s="60">
        <f t="shared" si="14"/>
        <v>0</v>
      </c>
      <c r="AM19" s="60">
        <f t="shared" si="14"/>
        <v>0</v>
      </c>
      <c r="AN19" s="60">
        <f t="shared" si="14"/>
        <v>0</v>
      </c>
      <c r="AO19" s="60">
        <f t="shared" si="14"/>
        <v>0</v>
      </c>
      <c r="AP19" s="60">
        <f t="shared" si="14"/>
        <v>0</v>
      </c>
      <c r="AQ19" s="60">
        <f t="shared" si="14"/>
        <v>0</v>
      </c>
      <c r="AR19" s="60">
        <f t="shared" si="14"/>
        <v>0</v>
      </c>
      <c r="AS19" s="60">
        <f t="shared" si="14"/>
        <v>0</v>
      </c>
      <c r="AT19" s="60"/>
      <c r="AU19" s="61">
        <f>SUM(AH19:AS19)</f>
        <v>0</v>
      </c>
      <c r="AV19" s="89"/>
    </row>
    <row r="20" spans="1:49" outlineLevel="1">
      <c r="D20" s="480"/>
      <c r="E20" s="480"/>
      <c r="F20" s="480"/>
      <c r="G20" s="480"/>
      <c r="H20" s="480"/>
      <c r="I20" s="480"/>
      <c r="J20" s="480"/>
      <c r="K20" s="480"/>
      <c r="L20" s="480"/>
      <c r="M20" s="60"/>
      <c r="N20" s="60"/>
      <c r="O20" s="60"/>
      <c r="P20" s="60"/>
      <c r="Q20" s="61"/>
      <c r="R20" s="503"/>
      <c r="S20" s="83"/>
      <c r="T20" s="83"/>
      <c r="U20" s="83"/>
      <c r="V20" s="83"/>
      <c r="W20" s="83"/>
      <c r="X20" s="60"/>
      <c r="Y20" s="60"/>
      <c r="Z20" s="60"/>
      <c r="AA20" s="60"/>
      <c r="AB20" s="60"/>
      <c r="AC20" s="60"/>
      <c r="AD20" s="60"/>
      <c r="AE20" s="60"/>
      <c r="AF20" s="61"/>
      <c r="AG20" s="89"/>
      <c r="AH20" s="83"/>
      <c r="AI20" s="83"/>
      <c r="AJ20" s="83"/>
      <c r="AK20" s="83"/>
      <c r="AL20" s="83"/>
      <c r="AM20" s="60"/>
      <c r="AN20" s="60"/>
      <c r="AO20" s="60"/>
      <c r="AP20" s="60"/>
      <c r="AQ20" s="60"/>
      <c r="AR20" s="60"/>
      <c r="AS20" s="60"/>
      <c r="AT20" s="60"/>
      <c r="AU20" s="61"/>
      <c r="AV20" s="89"/>
    </row>
    <row r="21" spans="1:49" s="10" customFormat="1">
      <c r="A21" s="52"/>
      <c r="B21" s="63" t="s">
        <v>93</v>
      </c>
      <c r="C21" s="52"/>
      <c r="D21" s="500">
        <f>SUM(D16:D20)</f>
        <v>-54750</v>
      </c>
      <c r="E21" s="500">
        <f t="shared" ref="E21:L21" si="15">SUM(E16:E20)</f>
        <v>-45800</v>
      </c>
      <c r="F21" s="500">
        <f t="shared" si="15"/>
        <v>-29529</v>
      </c>
      <c r="G21" s="500">
        <f t="shared" si="15"/>
        <v>-89344</v>
      </c>
      <c r="H21" s="500">
        <f t="shared" si="15"/>
        <v>-86265</v>
      </c>
      <c r="I21" s="500">
        <f t="shared" si="15"/>
        <v>-62704</v>
      </c>
      <c r="J21" s="500">
        <f t="shared" si="15"/>
        <v>-49142</v>
      </c>
      <c r="K21" s="500">
        <f t="shared" si="15"/>
        <v>-34089</v>
      </c>
      <c r="L21" s="500">
        <f t="shared" si="15"/>
        <v>-61032</v>
      </c>
      <c r="M21" s="65">
        <f t="shared" ref="M21:O21" si="16">SUM(M16:M20)</f>
        <v>-143373</v>
      </c>
      <c r="N21" s="65">
        <f t="shared" si="16"/>
        <v>-60425</v>
      </c>
      <c r="O21" s="65">
        <f t="shared" si="16"/>
        <v>-74444</v>
      </c>
      <c r="P21" s="61"/>
      <c r="Q21" s="65">
        <f>SUM(D21:O21)</f>
        <v>-790897</v>
      </c>
      <c r="R21" s="505"/>
      <c r="S21" s="84">
        <f t="shared" ref="S21:AD21" ca="1" si="17">SUM(S16:S20)</f>
        <v>-55785.577242377047</v>
      </c>
      <c r="T21" s="84">
        <f t="shared" ca="1" si="17"/>
        <v>-163735.0691658865</v>
      </c>
      <c r="U21" s="84">
        <f t="shared" ca="1" si="17"/>
        <v>-91851.864687454305</v>
      </c>
      <c r="V21" s="84">
        <f t="shared" ca="1" si="17"/>
        <v>-95260.362445028979</v>
      </c>
      <c r="W21" s="84">
        <f t="shared" ca="1" si="17"/>
        <v>-96339.886966146936</v>
      </c>
      <c r="X21" s="65">
        <f t="shared" ca="1" si="17"/>
        <v>-94670.199488145154</v>
      </c>
      <c r="Y21" s="65">
        <f t="shared" ca="1" si="17"/>
        <v>-68433.675726654197</v>
      </c>
      <c r="Z21" s="65">
        <f t="shared" ca="1" si="17"/>
        <v>-88632.666846930457</v>
      </c>
      <c r="AA21" s="65">
        <f t="shared" ca="1" si="17"/>
        <v>-107032.71753784202</v>
      </c>
      <c r="AB21" s="65">
        <f t="shared" ca="1" si="17"/>
        <v>-115836.888464613</v>
      </c>
      <c r="AC21" s="65">
        <f t="shared" ca="1" si="17"/>
        <v>-69769.291345629681</v>
      </c>
      <c r="AD21" s="65">
        <f t="shared" ca="1" si="17"/>
        <v>-79507.709153906515</v>
      </c>
      <c r="AE21" s="61"/>
      <c r="AF21" s="65">
        <f ca="1">SUM(S21:AD21)</f>
        <v>-1126855.9090706147</v>
      </c>
      <c r="AG21" s="89"/>
      <c r="AH21" s="84">
        <f t="shared" ref="AH21:AS21" ca="1" si="18">SUM(AH16:AH20)</f>
        <v>-98557.755802151951</v>
      </c>
      <c r="AI21" s="84">
        <f t="shared" ca="1" si="18"/>
        <v>-158876.78944991282</v>
      </c>
      <c r="AJ21" s="84">
        <f t="shared" ca="1" si="18"/>
        <v>-152595.47106904656</v>
      </c>
      <c r="AK21" s="84">
        <f t="shared" ca="1" si="18"/>
        <v>-165775.49548691366</v>
      </c>
      <c r="AL21" s="84">
        <f t="shared" ca="1" si="18"/>
        <v>-163272.94836102019</v>
      </c>
      <c r="AM21" s="65">
        <f t="shared" ca="1" si="18"/>
        <v>-165726.22379561054</v>
      </c>
      <c r="AN21" s="65">
        <f t="shared" ca="1" si="18"/>
        <v>-127166.88942122579</v>
      </c>
      <c r="AO21" s="65">
        <f t="shared" ca="1" si="18"/>
        <v>-141542.51680468922</v>
      </c>
      <c r="AP21" s="65">
        <f t="shared" ca="1" si="18"/>
        <v>-208328.13768912142</v>
      </c>
      <c r="AQ21" s="65">
        <f t="shared" ca="1" si="18"/>
        <v>-195682.84294307459</v>
      </c>
      <c r="AR21" s="65">
        <f t="shared" ca="1" si="18"/>
        <v>-135621.55206062098</v>
      </c>
      <c r="AS21" s="65">
        <f t="shared" ca="1" si="18"/>
        <v>-133904.03269218263</v>
      </c>
      <c r="AT21" s="61"/>
      <c r="AU21" s="65">
        <f ca="1">SUM(AH21:AS21)</f>
        <v>-1847050.6555755704</v>
      </c>
      <c r="AV21" s="89"/>
      <c r="AW21" s="7"/>
    </row>
    <row r="22" spans="1:49">
      <c r="D22" s="97">
        <v>-0.25576354403651297</v>
      </c>
      <c r="E22" s="97">
        <v>-0.26547728761295336</v>
      </c>
      <c r="F22" s="97">
        <v>-0.24573915648613562</v>
      </c>
      <c r="G22" s="97">
        <v>-0.24857062569729818</v>
      </c>
      <c r="H22" s="97">
        <v>-0.34934435922149237</v>
      </c>
      <c r="I22" s="97">
        <v>-0.24545621802324444</v>
      </c>
      <c r="J22" s="97">
        <v>-0.23485727326276751</v>
      </c>
      <c r="K22" s="97">
        <v>-0.25873879967778807</v>
      </c>
      <c r="L22" s="97">
        <v>-0.2425241908243756</v>
      </c>
      <c r="M22" s="91">
        <f t="shared" ref="M22:O22" si="19">M21/M12</f>
        <v>-0.28067280191222332</v>
      </c>
      <c r="N22" s="91">
        <f t="shared" si="19"/>
        <v>-0.24656019455506953</v>
      </c>
      <c r="O22" s="91">
        <f t="shared" si="19"/>
        <v>-0.26141339654112894</v>
      </c>
      <c r="P22" s="60"/>
      <c r="Q22" s="91">
        <f>Q21/Q12</f>
        <v>-0.26347091348700363</v>
      </c>
      <c r="R22" s="503"/>
      <c r="S22" s="91">
        <f t="shared" ref="S22:AD22" ca="1" si="20">S21/S12</f>
        <v>-0.25543320181327966</v>
      </c>
      <c r="T22" s="91">
        <f t="shared" ca="1" si="20"/>
        <v>-0.28055941710520549</v>
      </c>
      <c r="U22" s="91">
        <f t="shared" ca="1" si="20"/>
        <v>-0.26049953534683984</v>
      </c>
      <c r="V22" s="91">
        <f t="shared" ca="1" si="20"/>
        <v>-0.26963405205302227</v>
      </c>
      <c r="W22" s="91">
        <f t="shared" ca="1" si="20"/>
        <v>-0.2755864080591881</v>
      </c>
      <c r="X22" s="91">
        <f t="shared" ca="1" si="20"/>
        <v>-0.2491641897831347</v>
      </c>
      <c r="Y22" s="91">
        <f t="shared" ca="1" si="20"/>
        <v>-0.25637292757068003</v>
      </c>
      <c r="Z22" s="91">
        <f t="shared" ca="1" si="20"/>
        <v>-0.26866862454187879</v>
      </c>
      <c r="AA22" s="91">
        <f t="shared" ca="1" si="20"/>
        <v>-0.25483351954794392</v>
      </c>
      <c r="AB22" s="91">
        <f t="shared" ca="1" si="20"/>
        <v>-0.25869340691930781</v>
      </c>
      <c r="AC22" s="91">
        <f t="shared" ca="1" si="20"/>
        <v>-0.24480481771319024</v>
      </c>
      <c r="AD22" s="91">
        <f t="shared" ca="1" si="20"/>
        <v>-0.2524292813045701</v>
      </c>
      <c r="AE22" s="60"/>
      <c r="AF22" s="91">
        <f ca="1">AF21/AF12</f>
        <v>-0.26193722256751939</v>
      </c>
      <c r="AG22" s="89"/>
      <c r="AH22" s="91">
        <f t="shared" ref="AH22:AS22" ca="1" si="21">AH21/AH12</f>
        <v>-0.25333969215671853</v>
      </c>
      <c r="AI22" s="91">
        <f t="shared" ca="1" si="21"/>
        <v>-0.2604169179088906</v>
      </c>
      <c r="AJ22" s="91">
        <f t="shared" ca="1" si="21"/>
        <v>-0.26408064697162426</v>
      </c>
      <c r="AK22" s="91">
        <f t="shared" ca="1" si="21"/>
        <v>-0.26982114106586075</v>
      </c>
      <c r="AL22" s="91">
        <f t="shared" ca="1" si="21"/>
        <v>-0.26951534637841928</v>
      </c>
      <c r="AM22" s="91">
        <f t="shared" ca="1" si="21"/>
        <v>-0.24792043624588636</v>
      </c>
      <c r="AN22" s="91">
        <f t="shared" ca="1" si="21"/>
        <v>-0.25708786616157608</v>
      </c>
      <c r="AO22" s="91">
        <f t="shared" ca="1" si="21"/>
        <v>-0.26478509062243483</v>
      </c>
      <c r="AP22" s="91">
        <f t="shared" ca="1" si="21"/>
        <v>-0.26354070161216964</v>
      </c>
      <c r="AQ22" s="91">
        <f t="shared" ca="1" si="21"/>
        <v>-0.26229519197331425</v>
      </c>
      <c r="AR22" s="91">
        <f t="shared" ca="1" si="21"/>
        <v>-0.25882427250496898</v>
      </c>
      <c r="AS22" s="91">
        <f t="shared" ca="1" si="21"/>
        <v>-0.25345350504874531</v>
      </c>
      <c r="AT22" s="60"/>
      <c r="AU22" s="91">
        <f ca="1">AU21/AU12</f>
        <v>-0.26074803520308881</v>
      </c>
      <c r="AV22" s="89"/>
    </row>
    <row r="23" spans="1:49" outlineLevel="1">
      <c r="B23" s="67" t="s">
        <v>94</v>
      </c>
      <c r="C23" s="52"/>
      <c r="D23" s="68">
        <v>32613</v>
      </c>
      <c r="E23" s="68">
        <v>34951</v>
      </c>
      <c r="F23" s="68">
        <v>37189</v>
      </c>
      <c r="G23" s="68">
        <v>124213</v>
      </c>
      <c r="H23" s="68">
        <v>36917</v>
      </c>
      <c r="I23" s="68">
        <v>75577</v>
      </c>
      <c r="J23" s="68">
        <v>71353.38</v>
      </c>
      <c r="K23" s="68">
        <v>25831.640000000003</v>
      </c>
      <c r="L23" s="68">
        <v>97124</v>
      </c>
      <c r="M23" s="69">
        <f t="shared" ref="M23:O26" si="22">M7+M16</f>
        <v>172623</v>
      </c>
      <c r="N23" s="69">
        <f t="shared" si="22"/>
        <v>79711</v>
      </c>
      <c r="O23" s="69">
        <f t="shared" si="22"/>
        <v>84770</v>
      </c>
      <c r="P23" s="69"/>
      <c r="Q23" s="69">
        <f>Q7+Q16</f>
        <v>872873</v>
      </c>
      <c r="R23" s="503"/>
      <c r="S23" s="85">
        <f t="shared" ref="S23:AD26" si="23">S7+S16</f>
        <v>74022.717000860663</v>
      </c>
      <c r="T23" s="85">
        <f t="shared" si="23"/>
        <v>126407.83209197386</v>
      </c>
      <c r="U23" s="85">
        <f t="shared" si="23"/>
        <v>120240.7079769386</v>
      </c>
      <c r="V23" s="85">
        <f t="shared" si="23"/>
        <v>93550.003453597659</v>
      </c>
      <c r="W23" s="85">
        <f t="shared" si="23"/>
        <v>77583.159698667179</v>
      </c>
      <c r="X23" s="69">
        <f t="shared" si="23"/>
        <v>156709.41594900336</v>
      </c>
      <c r="Y23" s="69">
        <f t="shared" si="23"/>
        <v>89107.329501433152</v>
      </c>
      <c r="Z23" s="69">
        <f t="shared" si="23"/>
        <v>73916.660899098468</v>
      </c>
      <c r="AA23" s="69">
        <f t="shared" si="23"/>
        <v>150883.28947262728</v>
      </c>
      <c r="AB23" s="69">
        <f t="shared" si="23"/>
        <v>130097.63152733118</v>
      </c>
      <c r="AC23" s="69">
        <f t="shared" si="23"/>
        <v>79121.853668667376</v>
      </c>
      <c r="AD23" s="69">
        <f t="shared" si="23"/>
        <v>94670.114645531066</v>
      </c>
      <c r="AE23" s="69"/>
      <c r="AF23" s="69">
        <f>AF7+AF16</f>
        <v>1266310.7158857295</v>
      </c>
      <c r="AG23" s="89"/>
      <c r="AH23" s="85">
        <f t="shared" ref="AH23:AS26" si="24">AH7+AH16</f>
        <v>148466.94172281452</v>
      </c>
      <c r="AI23" s="85">
        <f t="shared" si="24"/>
        <v>234952.70340552396</v>
      </c>
      <c r="AJ23" s="85">
        <f t="shared" si="24"/>
        <v>210255.45715131407</v>
      </c>
      <c r="AK23" s="85">
        <f t="shared" si="24"/>
        <v>200655.96344644637</v>
      </c>
      <c r="AL23" s="85">
        <f t="shared" si="24"/>
        <v>204829.0456218959</v>
      </c>
      <c r="AM23" s="69">
        <f t="shared" si="24"/>
        <v>331548.77771788067</v>
      </c>
      <c r="AN23" s="69">
        <f t="shared" si="24"/>
        <v>203407.80961919669</v>
      </c>
      <c r="AO23" s="69">
        <f t="shared" si="24"/>
        <v>180092.44636511095</v>
      </c>
      <c r="AP23" s="69">
        <f t="shared" si="24"/>
        <v>298447.38352404686</v>
      </c>
      <c r="AQ23" s="69">
        <f t="shared" si="24"/>
        <v>267088.33375304303</v>
      </c>
      <c r="AR23" s="69">
        <f t="shared" si="24"/>
        <v>170330.05269282387</v>
      </c>
      <c r="AS23" s="69">
        <f t="shared" si="24"/>
        <v>197183.83374846686</v>
      </c>
      <c r="AT23" s="69"/>
      <c r="AU23" s="69">
        <f>AU7+AU16</f>
        <v>2647258.7487685638</v>
      </c>
      <c r="AV23" s="89"/>
    </row>
    <row r="24" spans="1:49" outlineLevel="1">
      <c r="B24" s="67" t="s">
        <v>95</v>
      </c>
      <c r="C24" s="52"/>
      <c r="D24" s="68">
        <v>99671</v>
      </c>
      <c r="E24" s="68">
        <v>58522</v>
      </c>
      <c r="F24" s="68">
        <v>19189</v>
      </c>
      <c r="G24" s="68">
        <v>110381</v>
      </c>
      <c r="H24" s="68">
        <v>90993</v>
      </c>
      <c r="I24" s="68">
        <v>68936</v>
      </c>
      <c r="J24" s="68">
        <v>46288.229999999996</v>
      </c>
      <c r="K24" s="68">
        <v>34304.910000000003</v>
      </c>
      <c r="L24" s="68">
        <v>48444</v>
      </c>
      <c r="M24" s="69">
        <f t="shared" si="22"/>
        <v>136043</v>
      </c>
      <c r="N24" s="69">
        <f t="shared" si="22"/>
        <v>46156</v>
      </c>
      <c r="O24" s="69">
        <f t="shared" si="22"/>
        <v>80054</v>
      </c>
      <c r="P24" s="69"/>
      <c r="Q24" s="69">
        <f>Q8+Q17</f>
        <v>838977</v>
      </c>
      <c r="R24" s="503"/>
      <c r="S24" s="85">
        <f t="shared" si="23"/>
        <v>51633.406399999993</v>
      </c>
      <c r="T24" s="85">
        <f t="shared" si="23"/>
        <v>236577.45360000001</v>
      </c>
      <c r="U24" s="85">
        <f t="shared" si="23"/>
        <v>91758.0576</v>
      </c>
      <c r="V24" s="85">
        <f t="shared" si="23"/>
        <v>117939.85979393026</v>
      </c>
      <c r="W24" s="85">
        <f t="shared" si="23"/>
        <v>132552.62177372145</v>
      </c>
      <c r="X24" s="69">
        <f t="shared" si="23"/>
        <v>67549.313646529874</v>
      </c>
      <c r="Y24" s="69">
        <f t="shared" si="23"/>
        <v>64849.906464231091</v>
      </c>
      <c r="Z24" s="69">
        <f t="shared" si="23"/>
        <v>113734.30466405</v>
      </c>
      <c r="AA24" s="69">
        <f t="shared" si="23"/>
        <v>94806.642456019676</v>
      </c>
      <c r="AB24" s="69">
        <f t="shared" si="23"/>
        <v>121264.4532886988</v>
      </c>
      <c r="AC24" s="69">
        <f t="shared" si="23"/>
        <v>59368.319399699452</v>
      </c>
      <c r="AD24" s="69">
        <f t="shared" si="23"/>
        <v>74504.253797287092</v>
      </c>
      <c r="AE24" s="69"/>
      <c r="AF24" s="69">
        <f>AF8+AF17</f>
        <v>1226538.592884168</v>
      </c>
      <c r="AG24" s="89"/>
      <c r="AH24" s="85">
        <f t="shared" si="24"/>
        <v>81651.291583999991</v>
      </c>
      <c r="AI24" s="85">
        <f t="shared" si="24"/>
        <v>148202.89575920001</v>
      </c>
      <c r="AJ24" s="85">
        <f t="shared" si="24"/>
        <v>155359.41857600003</v>
      </c>
      <c r="AK24" s="85">
        <f t="shared" si="24"/>
        <v>191099.32540144463</v>
      </c>
      <c r="AL24" s="85">
        <f t="shared" si="24"/>
        <v>184852.49145831485</v>
      </c>
      <c r="AM24" s="69">
        <f t="shared" si="24"/>
        <v>93390.983360750106</v>
      </c>
      <c r="AN24" s="69">
        <f t="shared" si="24"/>
        <v>107209.35799593333</v>
      </c>
      <c r="AO24" s="69">
        <f t="shared" si="24"/>
        <v>151079.35326060577</v>
      </c>
      <c r="AP24" s="69">
        <f t="shared" si="24"/>
        <v>206317.04962966498</v>
      </c>
      <c r="AQ24" s="69">
        <f t="shared" si="24"/>
        <v>195789.61786490725</v>
      </c>
      <c r="AR24" s="69">
        <f t="shared" si="24"/>
        <v>135301.00170970886</v>
      </c>
      <c r="AS24" s="69">
        <f t="shared" si="24"/>
        <v>112878.34575053223</v>
      </c>
      <c r="AT24" s="69"/>
      <c r="AU24" s="69">
        <f>AU8+AU17</f>
        <v>1763131.1323510618</v>
      </c>
      <c r="AV24" s="89"/>
    </row>
    <row r="25" spans="1:49" outlineLevel="1">
      <c r="B25" s="67" t="s">
        <v>96</v>
      </c>
      <c r="C25" s="52"/>
      <c r="D25" s="68">
        <v>27028</v>
      </c>
      <c r="E25" s="68">
        <v>33252</v>
      </c>
      <c r="F25" s="68">
        <v>34257</v>
      </c>
      <c r="G25" s="68">
        <v>35487</v>
      </c>
      <c r="H25" s="68">
        <v>32758</v>
      </c>
      <c r="I25" s="68">
        <v>48242</v>
      </c>
      <c r="J25" s="68">
        <v>42454.750000000007</v>
      </c>
      <c r="K25" s="68">
        <v>37525.94</v>
      </c>
      <c r="L25" s="68">
        <v>45047</v>
      </c>
      <c r="M25" s="69">
        <f t="shared" si="22"/>
        <v>58780</v>
      </c>
      <c r="N25" s="69">
        <f t="shared" si="22"/>
        <v>58780</v>
      </c>
      <c r="O25" s="69">
        <f t="shared" si="22"/>
        <v>45507</v>
      </c>
      <c r="P25" s="69"/>
      <c r="Q25" s="69">
        <f>Q9+Q18</f>
        <v>499091</v>
      </c>
      <c r="R25" s="503"/>
      <c r="S25" s="85">
        <f t="shared" ca="1" si="23"/>
        <v>36954.251200000006</v>
      </c>
      <c r="T25" s="85">
        <f t="shared" ca="1" si="23"/>
        <v>56881.760000000002</v>
      </c>
      <c r="U25" s="85">
        <f t="shared" ca="1" si="23"/>
        <v>48748.327600000004</v>
      </c>
      <c r="V25" s="85">
        <f t="shared" ca="1" si="23"/>
        <v>46544.774399999995</v>
      </c>
      <c r="W25" s="85">
        <f t="shared" ca="1" si="23"/>
        <v>43105.748310638301</v>
      </c>
      <c r="X25" s="69">
        <f t="shared" ca="1" si="23"/>
        <v>61022.136799999993</v>
      </c>
      <c r="Y25" s="69">
        <f t="shared" ca="1" si="23"/>
        <v>44539.284</v>
      </c>
      <c r="Z25" s="69">
        <f t="shared" ca="1" si="23"/>
        <v>53612.22721276596</v>
      </c>
      <c r="AA25" s="69">
        <f t="shared" ca="1" si="23"/>
        <v>67287.707599999994</v>
      </c>
      <c r="AB25" s="69">
        <f t="shared" ca="1" si="23"/>
        <v>80577.7592</v>
      </c>
      <c r="AC25" s="69">
        <f t="shared" ca="1" si="23"/>
        <v>76740.201839999994</v>
      </c>
      <c r="AD25" s="69">
        <f t="shared" ca="1" si="23"/>
        <v>66288.153839999999</v>
      </c>
      <c r="AE25" s="69"/>
      <c r="AF25" s="69">
        <f ca="1">AF9+AF18</f>
        <v>682302.33200340439</v>
      </c>
      <c r="AG25" s="89"/>
      <c r="AH25" s="85">
        <f t="shared" ca="1" si="24"/>
        <v>60358.018799999998</v>
      </c>
      <c r="AI25" s="85">
        <f t="shared" ca="1" si="24"/>
        <v>68053.894280000008</v>
      </c>
      <c r="AJ25" s="85">
        <f t="shared" ca="1" si="24"/>
        <v>59626.283108000011</v>
      </c>
      <c r="AK25" s="85">
        <f t="shared" ca="1" si="24"/>
        <v>56859.529307999997</v>
      </c>
      <c r="AL25" s="85">
        <f t="shared" ca="1" si="24"/>
        <v>52847.560917097879</v>
      </c>
      <c r="AM25" s="69">
        <f t="shared" ca="1" si="24"/>
        <v>77799.375646680011</v>
      </c>
      <c r="AN25" s="69">
        <f t="shared" ca="1" si="24"/>
        <v>56859.627708000007</v>
      </c>
      <c r="AO25" s="69">
        <f t="shared" ca="1" si="24"/>
        <v>61841.902244757461</v>
      </c>
      <c r="AP25" s="69">
        <f t="shared" ca="1" si="24"/>
        <v>77404.443146680002</v>
      </c>
      <c r="AQ25" s="69">
        <f t="shared" ca="1" si="24"/>
        <v>87479.731271348021</v>
      </c>
      <c r="AR25" s="69">
        <f t="shared" ca="1" si="24"/>
        <v>82738.249371348007</v>
      </c>
      <c r="AS25" s="69">
        <f t="shared" ca="1" si="24"/>
        <v>84351.723938482814</v>
      </c>
      <c r="AT25" s="69"/>
      <c r="AU25" s="69">
        <f ca="1">AU9+AU18</f>
        <v>826220.33974039427</v>
      </c>
      <c r="AV25" s="89"/>
    </row>
    <row r="26" spans="1:49" outlineLevel="1">
      <c r="B26" s="67" t="s">
        <v>97</v>
      </c>
      <c r="C26" s="52"/>
      <c r="D26" s="68">
        <v>0</v>
      </c>
      <c r="E26" s="68">
        <v>0</v>
      </c>
      <c r="F26" s="68">
        <v>0</v>
      </c>
      <c r="G26" s="68">
        <v>0</v>
      </c>
      <c r="H26" s="68">
        <v>0</v>
      </c>
      <c r="I26" s="68">
        <v>0</v>
      </c>
      <c r="J26" s="68">
        <v>0</v>
      </c>
      <c r="K26" s="68">
        <v>0</v>
      </c>
      <c r="L26" s="68">
        <v>0</v>
      </c>
      <c r="M26" s="69">
        <f t="shared" si="22"/>
        <v>0</v>
      </c>
      <c r="N26" s="69">
        <f t="shared" si="22"/>
        <v>0</v>
      </c>
      <c r="O26" s="69">
        <f t="shared" si="22"/>
        <v>0</v>
      </c>
      <c r="P26" s="69"/>
      <c r="Q26" s="69">
        <f>Q10+Q19</f>
        <v>0</v>
      </c>
      <c r="R26" s="503"/>
      <c r="S26" s="85">
        <f t="shared" si="23"/>
        <v>0</v>
      </c>
      <c r="T26" s="85">
        <f t="shared" si="23"/>
        <v>0</v>
      </c>
      <c r="U26" s="85">
        <f t="shared" si="23"/>
        <v>0</v>
      </c>
      <c r="V26" s="85">
        <f t="shared" si="23"/>
        <v>0</v>
      </c>
      <c r="W26" s="85">
        <f t="shared" si="23"/>
        <v>0</v>
      </c>
      <c r="X26" s="69">
        <f t="shared" si="23"/>
        <v>0</v>
      </c>
      <c r="Y26" s="69">
        <f t="shared" si="23"/>
        <v>0</v>
      </c>
      <c r="Z26" s="69">
        <f t="shared" si="23"/>
        <v>0</v>
      </c>
      <c r="AA26" s="69">
        <f t="shared" si="23"/>
        <v>0</v>
      </c>
      <c r="AB26" s="69">
        <f t="shared" si="23"/>
        <v>0</v>
      </c>
      <c r="AC26" s="69">
        <f t="shared" si="23"/>
        <v>0</v>
      </c>
      <c r="AD26" s="69">
        <f t="shared" si="23"/>
        <v>0</v>
      </c>
      <c r="AE26" s="69"/>
      <c r="AF26" s="69">
        <f>AF10+AF19</f>
        <v>0</v>
      </c>
      <c r="AG26" s="89"/>
      <c r="AH26" s="85">
        <f t="shared" si="24"/>
        <v>0</v>
      </c>
      <c r="AI26" s="85">
        <f t="shared" si="24"/>
        <v>0</v>
      </c>
      <c r="AJ26" s="85">
        <f t="shared" si="24"/>
        <v>0</v>
      </c>
      <c r="AK26" s="85">
        <f t="shared" si="24"/>
        <v>0</v>
      </c>
      <c r="AL26" s="85">
        <f t="shared" si="24"/>
        <v>0</v>
      </c>
      <c r="AM26" s="69">
        <f t="shared" si="24"/>
        <v>0</v>
      </c>
      <c r="AN26" s="69">
        <f t="shared" si="24"/>
        <v>0</v>
      </c>
      <c r="AO26" s="69">
        <f t="shared" si="24"/>
        <v>0</v>
      </c>
      <c r="AP26" s="69">
        <f t="shared" si="24"/>
        <v>0</v>
      </c>
      <c r="AQ26" s="69">
        <f t="shared" si="24"/>
        <v>0</v>
      </c>
      <c r="AR26" s="69">
        <f t="shared" si="24"/>
        <v>0</v>
      </c>
      <c r="AS26" s="69">
        <f t="shared" si="24"/>
        <v>0</v>
      </c>
      <c r="AT26" s="69"/>
      <c r="AU26" s="69">
        <f>AU10+AU19</f>
        <v>0</v>
      </c>
      <c r="AV26" s="89"/>
    </row>
    <row r="27" spans="1:49">
      <c r="B27" s="67" t="s">
        <v>98</v>
      </c>
      <c r="C27" s="52"/>
      <c r="D27" s="68">
        <v>159312</v>
      </c>
      <c r="E27" s="68">
        <v>126725</v>
      </c>
      <c r="F27" s="68">
        <v>90635</v>
      </c>
      <c r="G27" s="68">
        <v>270081</v>
      </c>
      <c r="H27" s="68">
        <v>160669</v>
      </c>
      <c r="I27" s="68">
        <v>192755</v>
      </c>
      <c r="J27" s="68">
        <v>160096.35999999999</v>
      </c>
      <c r="K27" s="68">
        <v>97662.49</v>
      </c>
      <c r="L27" s="68">
        <v>190615</v>
      </c>
      <c r="M27" s="69">
        <f t="shared" ref="M27:O27" si="25">M12+M21</f>
        <v>367446</v>
      </c>
      <c r="N27" s="69">
        <f t="shared" si="25"/>
        <v>184647</v>
      </c>
      <c r="O27" s="69">
        <f t="shared" si="25"/>
        <v>210331</v>
      </c>
      <c r="P27" s="69"/>
      <c r="Q27" s="69">
        <f>Q12+Q21</f>
        <v>2210941</v>
      </c>
      <c r="R27" s="503"/>
      <c r="S27" s="85">
        <f t="shared" ref="S27:AD27" ca="1" si="26">S12+S21</f>
        <v>162610.37460086067</v>
      </c>
      <c r="T27" s="85">
        <f t="shared" ca="1" si="26"/>
        <v>419867.04569197388</v>
      </c>
      <c r="U27" s="85">
        <f t="shared" ca="1" si="26"/>
        <v>260747.09317693859</v>
      </c>
      <c r="V27" s="85">
        <f t="shared" ca="1" si="26"/>
        <v>258034.63764752791</v>
      </c>
      <c r="W27" s="85">
        <f t="shared" ca="1" si="26"/>
        <v>253241.52978302696</v>
      </c>
      <c r="X27" s="69">
        <f t="shared" ca="1" si="26"/>
        <v>285280.8663955332</v>
      </c>
      <c r="Y27" s="69">
        <f t="shared" ca="1" si="26"/>
        <v>198496.51996566425</v>
      </c>
      <c r="Z27" s="69">
        <f t="shared" ca="1" si="26"/>
        <v>241263.19277591439</v>
      </c>
      <c r="AA27" s="69">
        <f t="shared" ca="1" si="26"/>
        <v>312977.63952864695</v>
      </c>
      <c r="AB27" s="69">
        <f t="shared" ca="1" si="26"/>
        <v>331939.84401602997</v>
      </c>
      <c r="AC27" s="69">
        <f t="shared" ca="1" si="26"/>
        <v>215230.37490836688</v>
      </c>
      <c r="AD27" s="69">
        <f t="shared" ca="1" si="26"/>
        <v>235462.52228281816</v>
      </c>
      <c r="AE27" s="69"/>
      <c r="AF27" s="69">
        <f ca="1">AF12+AF21</f>
        <v>3175151.6407733019</v>
      </c>
      <c r="AG27" s="89"/>
      <c r="AH27" s="85">
        <f t="shared" ref="AH27:AS27" ca="1" si="27">AH12+AH21</f>
        <v>290476.25210681441</v>
      </c>
      <c r="AI27" s="85">
        <f t="shared" ca="1" si="27"/>
        <v>451209.49344472389</v>
      </c>
      <c r="AJ27" s="85">
        <f t="shared" ca="1" si="27"/>
        <v>425241.1588353141</v>
      </c>
      <c r="AK27" s="85">
        <f t="shared" ca="1" si="27"/>
        <v>448614.81815589109</v>
      </c>
      <c r="AL27" s="85">
        <f t="shared" ca="1" si="27"/>
        <v>442529.09799730859</v>
      </c>
      <c r="AM27" s="69">
        <f t="shared" ca="1" si="27"/>
        <v>502739.13672531088</v>
      </c>
      <c r="AN27" s="69">
        <f t="shared" ca="1" si="27"/>
        <v>367476.79532313009</v>
      </c>
      <c r="AO27" s="69">
        <f t="shared" ca="1" si="27"/>
        <v>393013.70187047415</v>
      </c>
      <c r="AP27" s="69">
        <f t="shared" ca="1" si="27"/>
        <v>582168.87630039186</v>
      </c>
      <c r="AQ27" s="69">
        <f t="shared" ca="1" si="27"/>
        <v>550357.6828892983</v>
      </c>
      <c r="AR27" s="69">
        <f t="shared" ca="1" si="27"/>
        <v>388369.3037738807</v>
      </c>
      <c r="AS27" s="69">
        <f t="shared" ca="1" si="27"/>
        <v>394413.9034374819</v>
      </c>
      <c r="AT27" s="69"/>
      <c r="AU27" s="69">
        <f ca="1">AU12+AU21</f>
        <v>5236610.2208600203</v>
      </c>
      <c r="AV27" s="89"/>
    </row>
    <row r="28" spans="1:49">
      <c r="B28" s="52"/>
      <c r="C28" s="52"/>
      <c r="D28" s="70"/>
      <c r="E28" s="70"/>
      <c r="F28" s="70"/>
      <c r="G28" s="70"/>
      <c r="H28" s="70"/>
      <c r="I28" s="70"/>
      <c r="J28" s="70"/>
      <c r="K28" s="70"/>
      <c r="L28" s="70"/>
      <c r="M28" s="52"/>
      <c r="N28" s="52"/>
      <c r="O28" s="52"/>
      <c r="P28" s="52"/>
      <c r="R28" s="503"/>
      <c r="S28" s="10"/>
      <c r="T28" s="10"/>
      <c r="U28" s="10"/>
      <c r="V28" s="10"/>
      <c r="W28" s="10"/>
      <c r="X28" s="52"/>
      <c r="Y28" s="52"/>
      <c r="Z28" s="52"/>
      <c r="AA28" s="52"/>
      <c r="AB28" s="52"/>
      <c r="AC28" s="52"/>
      <c r="AD28" s="52"/>
      <c r="AE28" s="52"/>
      <c r="AG28" s="89"/>
      <c r="AH28" s="10"/>
      <c r="AI28" s="10"/>
      <c r="AJ28" s="10"/>
      <c r="AK28" s="10"/>
      <c r="AL28" s="10"/>
      <c r="AM28" s="52"/>
      <c r="AN28" s="52"/>
      <c r="AO28" s="52"/>
      <c r="AP28" s="52"/>
      <c r="AQ28" s="52"/>
      <c r="AR28" s="52"/>
      <c r="AS28" s="52"/>
      <c r="AT28" s="52"/>
      <c r="AV28" s="89"/>
    </row>
    <row r="29" spans="1:49" outlineLevel="1">
      <c r="B29" s="67" t="s">
        <v>99</v>
      </c>
      <c r="C29" s="52"/>
      <c r="D29" s="97">
        <v>0.80721251423196871</v>
      </c>
      <c r="E29" s="97">
        <v>0.83088077974563179</v>
      </c>
      <c r="F29" s="97">
        <v>0.79402596293449479</v>
      </c>
      <c r="G29" s="97">
        <v>0.73636503758507033</v>
      </c>
      <c r="H29" s="97">
        <v>0.79076791260576207</v>
      </c>
      <c r="I29" s="97">
        <v>0.75937704094448633</v>
      </c>
      <c r="J29" s="97">
        <v>0.74364154069392074</v>
      </c>
      <c r="K29" s="97">
        <v>0.8315324914453841</v>
      </c>
      <c r="L29" s="97">
        <v>0.74565080534954775</v>
      </c>
      <c r="M29" s="91">
        <f t="shared" ref="M29:O32" si="28">IFERROR(M23/M7,0)</f>
        <v>0.72999957711337593</v>
      </c>
      <c r="N29" s="91">
        <f t="shared" si="28"/>
        <v>0.75999923724531149</v>
      </c>
      <c r="O29" s="91">
        <f t="shared" si="28"/>
        <v>0.7699993641623748</v>
      </c>
      <c r="P29" s="91"/>
      <c r="Q29" s="91">
        <f>IFERROR(Q23/Q7,0)</f>
        <v>0.75710354051613693</v>
      </c>
      <c r="R29" s="503"/>
      <c r="S29" s="91">
        <f t="shared" ref="S29:AD32" si="29">IFERROR(S23/S7,0)</f>
        <v>0.76</v>
      </c>
      <c r="T29" s="91">
        <f t="shared" si="29"/>
        <v>0.7599999999999999</v>
      </c>
      <c r="U29" s="91">
        <f t="shared" si="29"/>
        <v>0.76</v>
      </c>
      <c r="V29" s="91">
        <f t="shared" si="29"/>
        <v>0.76</v>
      </c>
      <c r="W29" s="91">
        <f t="shared" si="29"/>
        <v>0.76000000000000012</v>
      </c>
      <c r="X29" s="91">
        <f t="shared" si="29"/>
        <v>0.76</v>
      </c>
      <c r="Y29" s="91">
        <f t="shared" si="29"/>
        <v>0.76000000000000012</v>
      </c>
      <c r="Z29" s="91">
        <f t="shared" si="29"/>
        <v>0.76</v>
      </c>
      <c r="AA29" s="91">
        <f t="shared" si="29"/>
        <v>0.76</v>
      </c>
      <c r="AB29" s="91">
        <f t="shared" si="29"/>
        <v>0.76</v>
      </c>
      <c r="AC29" s="91">
        <f t="shared" si="29"/>
        <v>0.76</v>
      </c>
      <c r="AD29" s="91">
        <f t="shared" si="29"/>
        <v>0.76</v>
      </c>
      <c r="AE29" s="91"/>
      <c r="AF29" s="91">
        <f>IFERROR(AF23/AF7,0)</f>
        <v>0.7599999999999999</v>
      </c>
      <c r="AG29" s="89"/>
      <c r="AH29" s="91">
        <f t="shared" ref="AH29:AS32" si="30">IFERROR(AH23/AH7,0)</f>
        <v>0.76</v>
      </c>
      <c r="AI29" s="91">
        <f t="shared" si="30"/>
        <v>0.76</v>
      </c>
      <c r="AJ29" s="91">
        <f t="shared" si="30"/>
        <v>0.76</v>
      </c>
      <c r="AK29" s="91">
        <f t="shared" si="30"/>
        <v>0.76</v>
      </c>
      <c r="AL29" s="91">
        <f t="shared" si="30"/>
        <v>0.76</v>
      </c>
      <c r="AM29" s="91">
        <f t="shared" si="30"/>
        <v>0.7599999999999999</v>
      </c>
      <c r="AN29" s="91">
        <f t="shared" si="30"/>
        <v>0.76</v>
      </c>
      <c r="AO29" s="91">
        <f t="shared" si="30"/>
        <v>0.76</v>
      </c>
      <c r="AP29" s="91">
        <f t="shared" si="30"/>
        <v>0.76</v>
      </c>
      <c r="AQ29" s="91">
        <f t="shared" si="30"/>
        <v>0.76</v>
      </c>
      <c r="AR29" s="91">
        <f t="shared" si="30"/>
        <v>0.76000000000000012</v>
      </c>
      <c r="AS29" s="91">
        <f t="shared" si="30"/>
        <v>0.76</v>
      </c>
      <c r="AT29" s="91"/>
      <c r="AU29" s="91">
        <f>IFERROR(AU23/AU7,0)</f>
        <v>0.76</v>
      </c>
      <c r="AV29" s="89"/>
    </row>
    <row r="30" spans="1:49" outlineLevel="1">
      <c r="B30" s="67" t="s">
        <v>100</v>
      </c>
      <c r="C30" s="52"/>
      <c r="D30" s="97">
        <v>0.70136020434730595</v>
      </c>
      <c r="E30" s="97">
        <v>0.64163231295500389</v>
      </c>
      <c r="F30" s="97">
        <v>0.58497698381245622</v>
      </c>
      <c r="G30" s="97">
        <v>0.74297618566832246</v>
      </c>
      <c r="H30" s="97">
        <v>0.57446889106348054</v>
      </c>
      <c r="I30" s="97">
        <v>0.71044603842031495</v>
      </c>
      <c r="J30" s="97">
        <v>0.73278587855426214</v>
      </c>
      <c r="K30" s="97">
        <v>0.66905196034396441</v>
      </c>
      <c r="L30" s="97">
        <v>0.72281822115456351</v>
      </c>
      <c r="M30" s="91">
        <f t="shared" si="28"/>
        <v>0.67000083723633208</v>
      </c>
      <c r="N30" s="91">
        <f t="shared" si="28"/>
        <v>0.67000537095907908</v>
      </c>
      <c r="O30" s="91">
        <f t="shared" si="28"/>
        <v>0.66999765659000365</v>
      </c>
      <c r="P30" s="91"/>
      <c r="Q30" s="91">
        <f>IFERROR(Q24/Q8,0)</f>
        <v>0.67496192675939404</v>
      </c>
      <c r="R30" s="503"/>
      <c r="S30" s="91">
        <f t="shared" si="29"/>
        <v>0.67999999999999994</v>
      </c>
      <c r="T30" s="91">
        <f t="shared" si="29"/>
        <v>0.67999999999999994</v>
      </c>
      <c r="U30" s="91">
        <f t="shared" si="29"/>
        <v>0.67999999999999994</v>
      </c>
      <c r="V30" s="91">
        <f t="shared" si="29"/>
        <v>0.68</v>
      </c>
      <c r="W30" s="91">
        <f t="shared" si="29"/>
        <v>0.67999999999999994</v>
      </c>
      <c r="X30" s="91">
        <f t="shared" si="29"/>
        <v>0.67999999999999994</v>
      </c>
      <c r="Y30" s="91">
        <f t="shared" si="29"/>
        <v>0.67999999999999994</v>
      </c>
      <c r="Z30" s="91">
        <f t="shared" si="29"/>
        <v>0.67999999999999994</v>
      </c>
      <c r="AA30" s="91">
        <f t="shared" si="29"/>
        <v>0.67999999999999994</v>
      </c>
      <c r="AB30" s="91">
        <f t="shared" si="29"/>
        <v>0.68</v>
      </c>
      <c r="AC30" s="91">
        <f t="shared" si="29"/>
        <v>0.68</v>
      </c>
      <c r="AD30" s="91">
        <f t="shared" si="29"/>
        <v>0.67999999999999994</v>
      </c>
      <c r="AE30" s="91"/>
      <c r="AF30" s="91">
        <f>IFERROR(AF24/AF8,0)</f>
        <v>0.68</v>
      </c>
      <c r="AG30" s="89"/>
      <c r="AH30" s="91">
        <f t="shared" si="30"/>
        <v>0.67999999999999994</v>
      </c>
      <c r="AI30" s="91">
        <f t="shared" si="30"/>
        <v>0.68</v>
      </c>
      <c r="AJ30" s="91">
        <f t="shared" si="30"/>
        <v>0.68</v>
      </c>
      <c r="AK30" s="91">
        <f t="shared" si="30"/>
        <v>0.67999999999999994</v>
      </c>
      <c r="AL30" s="91">
        <f t="shared" si="30"/>
        <v>0.67999999999999994</v>
      </c>
      <c r="AM30" s="91">
        <f t="shared" si="30"/>
        <v>0.68</v>
      </c>
      <c r="AN30" s="91">
        <f t="shared" si="30"/>
        <v>0.67999999999999994</v>
      </c>
      <c r="AO30" s="91">
        <f t="shared" si="30"/>
        <v>0.67999999999999994</v>
      </c>
      <c r="AP30" s="91">
        <f t="shared" si="30"/>
        <v>0.67999999999999994</v>
      </c>
      <c r="AQ30" s="91">
        <f t="shared" si="30"/>
        <v>0.68</v>
      </c>
      <c r="AR30" s="91">
        <f t="shared" si="30"/>
        <v>0.67999999999999994</v>
      </c>
      <c r="AS30" s="91">
        <f t="shared" si="30"/>
        <v>0.67999999999999994</v>
      </c>
      <c r="AT30" s="91"/>
      <c r="AU30" s="91">
        <f>IFERROR(AU24/AU8,0)</f>
        <v>0.67999999999999994</v>
      </c>
      <c r="AV30" s="89"/>
    </row>
    <row r="31" spans="1:49" outlineLevel="1">
      <c r="B31" s="67" t="s">
        <v>101</v>
      </c>
      <c r="C31" s="52"/>
      <c r="D31" s="97">
        <v>0.85672625839989858</v>
      </c>
      <c r="E31" s="97">
        <v>0.84709838487797418</v>
      </c>
      <c r="F31" s="97">
        <v>0.84533004318322025</v>
      </c>
      <c r="G31" s="97">
        <v>0.84146254712730895</v>
      </c>
      <c r="H31" s="97">
        <v>0.78267310173460125</v>
      </c>
      <c r="I31" s="97">
        <v>0.81902142541849177</v>
      </c>
      <c r="J31" s="97">
        <v>0.84708790990626814</v>
      </c>
      <c r="K31" s="97">
        <v>0.75943794297750511</v>
      </c>
      <c r="L31" s="97">
        <v>0.82852676108147871</v>
      </c>
      <c r="M31" s="91">
        <f t="shared" si="28"/>
        <v>0.82440392706872367</v>
      </c>
      <c r="N31" s="91">
        <f t="shared" si="28"/>
        <v>0.82440392706872367</v>
      </c>
      <c r="O31" s="91">
        <f t="shared" si="28"/>
        <v>0.82440217391304349</v>
      </c>
      <c r="P31" s="91"/>
      <c r="Q31" s="91">
        <f>IFERROR(Q25/Q9,0)</f>
        <v>0.82368037126523286</v>
      </c>
      <c r="R31" s="503"/>
      <c r="S31" s="91">
        <f t="shared" ca="1" si="29"/>
        <v>0.82000000000000006</v>
      </c>
      <c r="T31" s="91">
        <f t="shared" ca="1" si="29"/>
        <v>0.82000000000000006</v>
      </c>
      <c r="U31" s="91">
        <f t="shared" ca="1" si="29"/>
        <v>0.82000000000000006</v>
      </c>
      <c r="V31" s="91">
        <f t="shared" ca="1" si="29"/>
        <v>0.82</v>
      </c>
      <c r="W31" s="91">
        <f t="shared" ca="1" si="29"/>
        <v>0.82000000000000006</v>
      </c>
      <c r="X31" s="91">
        <f t="shared" ca="1" si="29"/>
        <v>0.82000000000000006</v>
      </c>
      <c r="Y31" s="91">
        <f t="shared" ca="1" si="29"/>
        <v>0.82</v>
      </c>
      <c r="Z31" s="91">
        <f t="shared" ca="1" si="29"/>
        <v>0.82000000000000006</v>
      </c>
      <c r="AA31" s="91">
        <f t="shared" ca="1" si="29"/>
        <v>0.82</v>
      </c>
      <c r="AB31" s="91">
        <f t="shared" ca="1" si="29"/>
        <v>0.82000000000000006</v>
      </c>
      <c r="AC31" s="91">
        <f t="shared" ca="1" si="29"/>
        <v>0.82</v>
      </c>
      <c r="AD31" s="91">
        <f t="shared" ca="1" si="29"/>
        <v>0.82</v>
      </c>
      <c r="AE31" s="91"/>
      <c r="AF31" s="91">
        <f ca="1">IFERROR(AF25/AF9,0)</f>
        <v>0.82000000000000006</v>
      </c>
      <c r="AG31" s="89"/>
      <c r="AH31" s="91">
        <f t="shared" ca="1" si="30"/>
        <v>0.82000000000000006</v>
      </c>
      <c r="AI31" s="91">
        <f t="shared" ca="1" si="30"/>
        <v>0.82000000000000006</v>
      </c>
      <c r="AJ31" s="91">
        <f t="shared" ca="1" si="30"/>
        <v>0.82000000000000006</v>
      </c>
      <c r="AK31" s="91">
        <f t="shared" ca="1" si="30"/>
        <v>0.82</v>
      </c>
      <c r="AL31" s="91">
        <f t="shared" ca="1" si="30"/>
        <v>0.82000000000000006</v>
      </c>
      <c r="AM31" s="91">
        <f t="shared" ca="1" si="30"/>
        <v>0.82000000000000006</v>
      </c>
      <c r="AN31" s="91">
        <f t="shared" ca="1" si="30"/>
        <v>0.82</v>
      </c>
      <c r="AO31" s="91">
        <f t="shared" ca="1" si="30"/>
        <v>0.82</v>
      </c>
      <c r="AP31" s="91">
        <f t="shared" ca="1" si="30"/>
        <v>0.82</v>
      </c>
      <c r="AQ31" s="91">
        <f t="shared" ca="1" si="30"/>
        <v>0.82000000000000006</v>
      </c>
      <c r="AR31" s="91">
        <f t="shared" ca="1" si="30"/>
        <v>0.82</v>
      </c>
      <c r="AS31" s="91">
        <f t="shared" ca="1" si="30"/>
        <v>0.82000000000000006</v>
      </c>
      <c r="AT31" s="91"/>
      <c r="AU31" s="91">
        <f ca="1">IFERROR(AU25/AU9,0)</f>
        <v>0.82000000000000006</v>
      </c>
      <c r="AV31" s="89"/>
    </row>
    <row r="32" spans="1:49" outlineLevel="1">
      <c r="B32" s="67" t="s">
        <v>102</v>
      </c>
      <c r="C32" s="52"/>
      <c r="D32" s="97">
        <v>0</v>
      </c>
      <c r="E32" s="97">
        <v>0</v>
      </c>
      <c r="F32" s="97">
        <v>0</v>
      </c>
      <c r="G32" s="97">
        <v>0</v>
      </c>
      <c r="H32" s="97">
        <v>0</v>
      </c>
      <c r="I32" s="97">
        <v>0</v>
      </c>
      <c r="J32" s="97">
        <v>0</v>
      </c>
      <c r="K32" s="97">
        <v>0</v>
      </c>
      <c r="L32" s="97">
        <v>0</v>
      </c>
      <c r="M32" s="91">
        <f t="shared" si="28"/>
        <v>0</v>
      </c>
      <c r="N32" s="91">
        <f t="shared" si="28"/>
        <v>0</v>
      </c>
      <c r="O32" s="91">
        <f t="shared" si="28"/>
        <v>0</v>
      </c>
      <c r="P32" s="91"/>
      <c r="Q32" s="91">
        <f>IFERROR(Q26/Q10,0)</f>
        <v>0</v>
      </c>
      <c r="R32" s="503"/>
      <c r="S32" s="91">
        <f t="shared" si="29"/>
        <v>0</v>
      </c>
      <c r="T32" s="91">
        <f t="shared" si="29"/>
        <v>0</v>
      </c>
      <c r="U32" s="91">
        <f t="shared" si="29"/>
        <v>0</v>
      </c>
      <c r="V32" s="91">
        <f t="shared" si="29"/>
        <v>0</v>
      </c>
      <c r="W32" s="91">
        <f t="shared" si="29"/>
        <v>0</v>
      </c>
      <c r="X32" s="91">
        <f t="shared" si="29"/>
        <v>0</v>
      </c>
      <c r="Y32" s="91">
        <f t="shared" si="29"/>
        <v>0</v>
      </c>
      <c r="Z32" s="91">
        <f t="shared" si="29"/>
        <v>0</v>
      </c>
      <c r="AA32" s="91">
        <f t="shared" si="29"/>
        <v>0</v>
      </c>
      <c r="AB32" s="91">
        <f t="shared" si="29"/>
        <v>0</v>
      </c>
      <c r="AC32" s="91">
        <f t="shared" si="29"/>
        <v>0</v>
      </c>
      <c r="AD32" s="91">
        <f t="shared" si="29"/>
        <v>0</v>
      </c>
      <c r="AE32" s="91"/>
      <c r="AF32" s="91">
        <f>IFERROR(AF26/AF10,0)</f>
        <v>0</v>
      </c>
      <c r="AG32" s="89"/>
      <c r="AH32" s="91">
        <f t="shared" si="30"/>
        <v>0</v>
      </c>
      <c r="AI32" s="91">
        <f t="shared" si="30"/>
        <v>0</v>
      </c>
      <c r="AJ32" s="91">
        <f t="shared" si="30"/>
        <v>0</v>
      </c>
      <c r="AK32" s="91">
        <f t="shared" si="30"/>
        <v>0</v>
      </c>
      <c r="AL32" s="91">
        <f t="shared" si="30"/>
        <v>0</v>
      </c>
      <c r="AM32" s="91">
        <f t="shared" si="30"/>
        <v>0</v>
      </c>
      <c r="AN32" s="91">
        <f t="shared" si="30"/>
        <v>0</v>
      </c>
      <c r="AO32" s="91">
        <f t="shared" si="30"/>
        <v>0</v>
      </c>
      <c r="AP32" s="91">
        <f t="shared" si="30"/>
        <v>0</v>
      </c>
      <c r="AQ32" s="91">
        <f t="shared" si="30"/>
        <v>0</v>
      </c>
      <c r="AR32" s="91">
        <f t="shared" si="30"/>
        <v>0</v>
      </c>
      <c r="AS32" s="91">
        <f t="shared" si="30"/>
        <v>0</v>
      </c>
      <c r="AT32" s="91"/>
      <c r="AU32" s="91">
        <f>IFERROR(AU26/AU10,0)</f>
        <v>0</v>
      </c>
      <c r="AV32" s="89"/>
    </row>
    <row r="33" spans="1:49">
      <c r="B33" s="72" t="s">
        <v>103</v>
      </c>
      <c r="C33" s="73"/>
      <c r="D33" s="97">
        <v>0.74423645596348709</v>
      </c>
      <c r="E33" s="97">
        <v>0.73452271238704669</v>
      </c>
      <c r="F33" s="97">
        <v>0.75426084351386435</v>
      </c>
      <c r="G33" s="97">
        <v>0.75142937430270185</v>
      </c>
      <c r="H33" s="97">
        <v>0.65065564077850757</v>
      </c>
      <c r="I33" s="97">
        <v>0.75454378197675553</v>
      </c>
      <c r="J33" s="97">
        <v>0.76514272673723238</v>
      </c>
      <c r="K33" s="97">
        <v>0.74126120032221199</v>
      </c>
      <c r="L33" s="97">
        <v>0.7574758091756244</v>
      </c>
      <c r="M33" s="91">
        <f t="shared" ref="M33:O33" si="31">IFERROR(M27/M12,0)</f>
        <v>0.71932719808777668</v>
      </c>
      <c r="N33" s="91">
        <f t="shared" si="31"/>
        <v>0.7534398054449305</v>
      </c>
      <c r="O33" s="91">
        <f t="shared" si="31"/>
        <v>0.73858660345887106</v>
      </c>
      <c r="P33" s="91"/>
      <c r="Q33" s="91">
        <f>IFERROR(Q27/Q12,0)</f>
        <v>0.73652908651299642</v>
      </c>
      <c r="R33" s="503"/>
      <c r="S33" s="91">
        <f t="shared" ref="S33:AD33" ca="1" si="32">IFERROR(S27/S12,0)</f>
        <v>0.74456679818672034</v>
      </c>
      <c r="T33" s="91">
        <f t="shared" ca="1" si="32"/>
        <v>0.71944058289479451</v>
      </c>
      <c r="U33" s="91">
        <f t="shared" ca="1" si="32"/>
        <v>0.73950046465316022</v>
      </c>
      <c r="V33" s="91">
        <f t="shared" ca="1" si="32"/>
        <v>0.73036594794697784</v>
      </c>
      <c r="W33" s="91">
        <f t="shared" ca="1" si="32"/>
        <v>0.7244135919408119</v>
      </c>
      <c r="X33" s="91">
        <f t="shared" ca="1" si="32"/>
        <v>0.75083581021686518</v>
      </c>
      <c r="Y33" s="91">
        <f t="shared" ca="1" si="32"/>
        <v>0.74362707242932002</v>
      </c>
      <c r="Z33" s="91">
        <f t="shared" ca="1" si="32"/>
        <v>0.73133137545812121</v>
      </c>
      <c r="AA33" s="91">
        <f t="shared" ca="1" si="32"/>
        <v>0.74516648045205602</v>
      </c>
      <c r="AB33" s="91">
        <f t="shared" ca="1" si="32"/>
        <v>0.74130659308069224</v>
      </c>
      <c r="AC33" s="91">
        <f t="shared" ca="1" si="32"/>
        <v>0.75519518228680982</v>
      </c>
      <c r="AD33" s="91">
        <f t="shared" ca="1" si="32"/>
        <v>0.7475707186954299</v>
      </c>
      <c r="AE33" s="91"/>
      <c r="AF33" s="91">
        <f ca="1">IFERROR(AF27/AF12,0)</f>
        <v>0.73806277743248061</v>
      </c>
      <c r="AG33" s="89"/>
      <c r="AH33" s="91">
        <f t="shared" ref="AH33:AS33" ca="1" si="33">IFERROR(AH27/AH12,0)</f>
        <v>0.74666030784328141</v>
      </c>
      <c r="AI33" s="91">
        <f t="shared" ca="1" si="33"/>
        <v>0.73958308209110935</v>
      </c>
      <c r="AJ33" s="91">
        <f t="shared" ca="1" si="33"/>
        <v>0.73591935302837574</v>
      </c>
      <c r="AK33" s="91">
        <f t="shared" ca="1" si="33"/>
        <v>0.73017885893413925</v>
      </c>
      <c r="AL33" s="91">
        <f t="shared" ca="1" si="33"/>
        <v>0.73048465362158077</v>
      </c>
      <c r="AM33" s="91">
        <f t="shared" ca="1" si="33"/>
        <v>0.75207956375411367</v>
      </c>
      <c r="AN33" s="91">
        <f t="shared" ca="1" si="33"/>
        <v>0.74291213383842403</v>
      </c>
      <c r="AO33" s="91">
        <f t="shared" ca="1" si="33"/>
        <v>0.73521490937756517</v>
      </c>
      <c r="AP33" s="91">
        <f t="shared" ca="1" si="33"/>
        <v>0.73645929838783031</v>
      </c>
      <c r="AQ33" s="91">
        <f t="shared" ca="1" si="33"/>
        <v>0.7377048080266857</v>
      </c>
      <c r="AR33" s="91">
        <f t="shared" ca="1" si="33"/>
        <v>0.74117572749503102</v>
      </c>
      <c r="AS33" s="91">
        <f t="shared" ca="1" si="33"/>
        <v>0.74654649495125469</v>
      </c>
      <c r="AT33" s="91"/>
      <c r="AU33" s="91">
        <f ca="1">IFERROR(AU27/AU12,0)</f>
        <v>0.73925196479691113</v>
      </c>
      <c r="AV33" s="89"/>
    </row>
    <row r="34" spans="1:49">
      <c r="D34" s="71"/>
      <c r="E34" s="71"/>
      <c r="F34" s="71"/>
      <c r="G34" s="71"/>
      <c r="H34" s="71"/>
      <c r="I34" s="71"/>
      <c r="J34" s="71"/>
      <c r="K34" s="71"/>
      <c r="L34" s="71"/>
      <c r="R34" s="503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89"/>
      <c r="AH34" s="86"/>
      <c r="AI34" s="86"/>
      <c r="AJ34" s="86"/>
      <c r="AK34" s="86"/>
      <c r="AL34" s="86"/>
      <c r="AV34" s="89"/>
    </row>
    <row r="35" spans="1:49" outlineLevel="1">
      <c r="B35" s="58" t="s">
        <v>104</v>
      </c>
      <c r="D35" s="74"/>
      <c r="E35" s="74"/>
      <c r="F35" s="74"/>
      <c r="G35" s="74"/>
      <c r="H35" s="74"/>
      <c r="I35" s="74"/>
      <c r="J35" s="74"/>
      <c r="K35" s="74"/>
      <c r="L35" s="74"/>
      <c r="R35" s="503"/>
      <c r="S35" s="87"/>
      <c r="T35" s="87"/>
      <c r="U35" s="87"/>
      <c r="V35" s="87"/>
      <c r="W35" s="87"/>
      <c r="AG35" s="89"/>
      <c r="AH35" s="87"/>
      <c r="AI35" s="87"/>
      <c r="AJ35" s="87"/>
      <c r="AK35" s="87"/>
      <c r="AL35" s="87"/>
      <c r="AV35" s="89"/>
    </row>
    <row r="36" spans="1:49" outlineLevel="1">
      <c r="D36" s="53"/>
      <c r="E36" s="53"/>
      <c r="F36" s="53"/>
      <c r="G36" s="53"/>
      <c r="H36" s="53"/>
      <c r="I36" s="53"/>
      <c r="J36" s="53"/>
      <c r="K36" s="53"/>
      <c r="L36" s="53"/>
      <c r="R36" s="503"/>
      <c r="AG36" s="89"/>
      <c r="AV36" s="89"/>
    </row>
    <row r="37" spans="1:49" outlineLevel="1">
      <c r="B37" s="51" t="s">
        <v>104</v>
      </c>
      <c r="D37" s="59">
        <v>-522</v>
      </c>
      <c r="E37" s="59" t="s">
        <v>184</v>
      </c>
      <c r="F37" s="59" t="s">
        <v>184</v>
      </c>
      <c r="G37" s="59" t="s">
        <v>184</v>
      </c>
      <c r="H37" s="59">
        <v>-4491</v>
      </c>
      <c r="I37" s="59" t="s">
        <v>184</v>
      </c>
      <c r="J37" s="59">
        <v>-14435</v>
      </c>
      <c r="K37" s="59" t="s">
        <v>184</v>
      </c>
      <c r="L37" s="59">
        <v>33646</v>
      </c>
      <c r="M37" s="60" t="s">
        <v>184</v>
      </c>
      <c r="N37" s="60" t="s">
        <v>184</v>
      </c>
      <c r="O37" s="60" t="s">
        <v>184</v>
      </c>
      <c r="P37" s="60"/>
      <c r="Q37" s="61">
        <f>SUM(D37:O37)</f>
        <v>14198</v>
      </c>
      <c r="R37" s="504"/>
      <c r="S37" s="83"/>
      <c r="T37" s="83"/>
      <c r="U37" s="83"/>
      <c r="V37" s="83"/>
      <c r="W37" s="83"/>
      <c r="X37" s="83"/>
      <c r="Y37" s="83"/>
      <c r="Z37" s="83"/>
      <c r="AA37" s="83"/>
      <c r="AB37" s="83"/>
      <c r="AC37" s="83"/>
      <c r="AD37" s="83"/>
      <c r="AE37" s="60"/>
      <c r="AF37" s="61">
        <f>SUM(S37:AD37)</f>
        <v>0</v>
      </c>
      <c r="AG37" s="89"/>
      <c r="AH37" s="60">
        <f>'IT P&amp;L'!AH36+'ES P&amp;L'!AH37</f>
        <v>0</v>
      </c>
      <c r="AI37" s="60">
        <f>'IT P&amp;L'!AI36+'ES P&amp;L'!AI37</f>
        <v>0</v>
      </c>
      <c r="AJ37" s="60">
        <f>'IT P&amp;L'!AJ36+'ES P&amp;L'!AJ37</f>
        <v>0</v>
      </c>
      <c r="AK37" s="60">
        <f>'IT P&amp;L'!AK36+'ES P&amp;L'!AK37</f>
        <v>0</v>
      </c>
      <c r="AL37" s="60">
        <f>'IT P&amp;L'!AL36+'ES P&amp;L'!AL37</f>
        <v>0</v>
      </c>
      <c r="AM37" s="60">
        <f>'IT P&amp;L'!AM36+'ES P&amp;L'!AM37</f>
        <v>0</v>
      </c>
      <c r="AN37" s="60">
        <f>'IT P&amp;L'!AN36+'ES P&amp;L'!AN37</f>
        <v>0</v>
      </c>
      <c r="AO37" s="60">
        <f>'IT P&amp;L'!AO36+'ES P&amp;L'!AO37</f>
        <v>0</v>
      </c>
      <c r="AP37" s="60">
        <f>'IT P&amp;L'!AP36+'ES P&amp;L'!AP37</f>
        <v>0</v>
      </c>
      <c r="AQ37" s="60">
        <f>'IT P&amp;L'!AQ36+'ES P&amp;L'!AQ37</f>
        <v>0</v>
      </c>
      <c r="AR37" s="60">
        <f>'IT P&amp;L'!AR36+'ES P&amp;L'!AR37</f>
        <v>0</v>
      </c>
      <c r="AS37" s="60">
        <f>'IT P&amp;L'!AS36+'ES P&amp;L'!AS37</f>
        <v>0</v>
      </c>
      <c r="AT37" s="60"/>
      <c r="AU37" s="61">
        <f>SUM(AH37:AS37)</f>
        <v>0</v>
      </c>
      <c r="AV37" s="89"/>
    </row>
    <row r="38" spans="1:49" outlineLevel="1">
      <c r="B38" s="51" t="s">
        <v>106</v>
      </c>
      <c r="C38" s="75">
        <f>SUMIFS(Fulfilment!E:E,Fulfilment!A:A,"IT",Fulfilment!B:B,"DTC")</f>
        <v>-0.19331097168536487</v>
      </c>
      <c r="D38" s="59">
        <v>-9956</v>
      </c>
      <c r="E38" s="59">
        <v>-9330</v>
      </c>
      <c r="F38" s="59">
        <v>-12495</v>
      </c>
      <c r="G38" s="59">
        <v>-36874</v>
      </c>
      <c r="H38" s="59">
        <v>-8765</v>
      </c>
      <c r="I38" s="59">
        <v>-14969</v>
      </c>
      <c r="J38" s="59">
        <v>-17884</v>
      </c>
      <c r="K38" s="59">
        <v>-1384</v>
      </c>
      <c r="L38" s="59">
        <v>-58549</v>
      </c>
      <c r="M38" s="60">
        <v>-36403</v>
      </c>
      <c r="N38" s="60">
        <v>-16545</v>
      </c>
      <c r="O38" s="60">
        <v>-19384</v>
      </c>
      <c r="P38" s="60"/>
      <c r="Q38" s="61">
        <f>SUM(D38:O38)</f>
        <v>-242538</v>
      </c>
      <c r="R38" s="504"/>
      <c r="S38" s="60">
        <f>$C$38*S7</f>
        <v>-18828.162302930465</v>
      </c>
      <c r="T38" s="60">
        <f t="shared" ref="T38:AD38" si="34">$C$38*T7</f>
        <v>-32152.659013605156</v>
      </c>
      <c r="U38" s="60">
        <f t="shared" si="34"/>
        <v>-30584.010651523953</v>
      </c>
      <c r="V38" s="60">
        <f t="shared" si="34"/>
        <v>-23795.055353663425</v>
      </c>
      <c r="W38" s="60">
        <f t="shared" si="34"/>
        <v>-19733.784194434462</v>
      </c>
      <c r="X38" s="60">
        <f t="shared" si="34"/>
        <v>-39860.065091247176</v>
      </c>
      <c r="Y38" s="60">
        <f t="shared" si="34"/>
        <v>-22665.032171328974</v>
      </c>
      <c r="Z38" s="60">
        <f t="shared" si="34"/>
        <v>-18801.186239660976</v>
      </c>
      <c r="AA38" s="60">
        <f t="shared" si="34"/>
        <v>-38378.151709260215</v>
      </c>
      <c r="AB38" s="60">
        <f t="shared" si="34"/>
        <v>-33091.183637517039</v>
      </c>
      <c r="AC38" s="60">
        <f t="shared" si="34"/>
        <v>-20125.161071364924</v>
      </c>
      <c r="AD38" s="60">
        <f t="shared" si="34"/>
        <v>-24079.962962753292</v>
      </c>
      <c r="AE38" s="60"/>
      <c r="AF38" s="61">
        <f>SUM(S38:AD38)</f>
        <v>-322094.41439929011</v>
      </c>
      <c r="AG38" s="89"/>
      <c r="AH38" s="60">
        <f t="shared" ref="AH38:AS38" si="35">$C$38*AH7</f>
        <v>-37763.537852094356</v>
      </c>
      <c r="AI38" s="60">
        <f t="shared" si="35"/>
        <v>-59761.757099243645</v>
      </c>
      <c r="AJ38" s="60">
        <f t="shared" si="35"/>
        <v>-53479.850952725159</v>
      </c>
      <c r="AK38" s="60">
        <f t="shared" si="35"/>
        <v>-51038.156931967897</v>
      </c>
      <c r="AL38" s="60">
        <f t="shared" si="35"/>
        <v>-52099.607682308721</v>
      </c>
      <c r="AM38" s="60">
        <f t="shared" si="35"/>
        <v>-84331.600502287591</v>
      </c>
      <c r="AN38" s="60">
        <f t="shared" si="35"/>
        <v>-51738.107007735023</v>
      </c>
      <c r="AO38" s="60">
        <f t="shared" si="35"/>
        <v>-45807.691842150074</v>
      </c>
      <c r="AP38" s="60">
        <f t="shared" si="35"/>
        <v>-75912.044349984542</v>
      </c>
      <c r="AQ38" s="60">
        <f t="shared" si="35"/>
        <v>-67935.66489950761</v>
      </c>
      <c r="AR38" s="60">
        <f t="shared" si="35"/>
        <v>-43324.563149038397</v>
      </c>
      <c r="AS38" s="60">
        <f t="shared" si="35"/>
        <v>-50154.998029686278</v>
      </c>
      <c r="AT38" s="60"/>
      <c r="AU38" s="61">
        <f>SUM(AH38:AS38)</f>
        <v>-673347.58029872924</v>
      </c>
      <c r="AV38" s="89"/>
    </row>
    <row r="39" spans="1:49" outlineLevel="1">
      <c r="B39" s="51" t="s">
        <v>107</v>
      </c>
      <c r="C39" s="75">
        <f>SUMIFS(Fulfilment!E:E,Fulfilment!A:A,"IT",Fulfilment!B:B,"B2B")</f>
        <v>-6.9695862933924754E-2</v>
      </c>
      <c r="D39" s="59">
        <v>-6556</v>
      </c>
      <c r="E39" s="59">
        <v>-6681</v>
      </c>
      <c r="F39" s="59">
        <v>-2949</v>
      </c>
      <c r="G39" s="59">
        <v>-11545</v>
      </c>
      <c r="H39" s="59">
        <v>-10998</v>
      </c>
      <c r="I39" s="59">
        <v>-7258</v>
      </c>
      <c r="J39" s="59">
        <v>-8173</v>
      </c>
      <c r="K39" s="59">
        <v>-2567</v>
      </c>
      <c r="L39" s="59">
        <v>-5964</v>
      </c>
      <c r="M39" s="60">
        <v>-16244</v>
      </c>
      <c r="N39" s="60">
        <v>-5511</v>
      </c>
      <c r="O39" s="60">
        <v>-9559</v>
      </c>
      <c r="P39" s="60"/>
      <c r="Q39" s="61">
        <f>SUM(D39:O39)</f>
        <v>-94005</v>
      </c>
      <c r="R39" s="504"/>
      <c r="S39" s="60">
        <f t="shared" ref="S39:AD39" si="36">$C$39*S8</f>
        <v>-5292.1100224500487</v>
      </c>
      <c r="T39" s="60">
        <f t="shared" si="36"/>
        <v>-24247.749675533152</v>
      </c>
      <c r="U39" s="60">
        <f t="shared" si="36"/>
        <v>-9404.6426552540779</v>
      </c>
      <c r="V39" s="60">
        <f t="shared" si="36"/>
        <v>-12088.118092123626</v>
      </c>
      <c r="W39" s="60">
        <f t="shared" si="36"/>
        <v>-13585.837292167147</v>
      </c>
      <c r="X39" s="60">
        <f t="shared" si="36"/>
        <v>-6923.3936841018221</v>
      </c>
      <c r="Y39" s="60">
        <f t="shared" si="36"/>
        <v>-6646.7208708954286</v>
      </c>
      <c r="Z39" s="60">
        <f t="shared" si="36"/>
        <v>-11657.074277574806</v>
      </c>
      <c r="AA39" s="60">
        <f t="shared" si="36"/>
        <v>-9717.1040556475873</v>
      </c>
      <c r="AB39" s="60">
        <f t="shared" si="36"/>
        <v>-12428.868698774224</v>
      </c>
      <c r="AC39" s="60">
        <f t="shared" si="36"/>
        <v>-6084.8915463219391</v>
      </c>
      <c r="AD39" s="60">
        <f t="shared" si="36"/>
        <v>-7636.2327362500946</v>
      </c>
      <c r="AE39" s="60"/>
      <c r="AF39" s="61">
        <f>SUM(S39:AD39)</f>
        <v>-125712.74360709397</v>
      </c>
      <c r="AG39" s="89"/>
      <c r="AH39" s="60">
        <f t="shared" ref="AH39:AS39" si="37">$C$39*AH8</f>
        <v>-8368.7606273770398</v>
      </c>
      <c r="AI39" s="60">
        <f t="shared" si="37"/>
        <v>-15189.895160652855</v>
      </c>
      <c r="AJ39" s="60">
        <f t="shared" si="37"/>
        <v>-15923.395209657559</v>
      </c>
      <c r="AK39" s="60">
        <f t="shared" si="37"/>
        <v>-19586.518220506721</v>
      </c>
      <c r="AL39" s="60">
        <f t="shared" si="37"/>
        <v>-18946.255746578248</v>
      </c>
      <c r="AM39" s="60">
        <f t="shared" si="37"/>
        <v>-9572.0076111401268</v>
      </c>
      <c r="AN39" s="60">
        <f t="shared" si="37"/>
        <v>-10988.30694135094</v>
      </c>
      <c r="AO39" s="60">
        <f t="shared" si="37"/>
        <v>-15484.714554407616</v>
      </c>
      <c r="AP39" s="60">
        <f t="shared" si="37"/>
        <v>-21146.242370471886</v>
      </c>
      <c r="AQ39" s="60">
        <f t="shared" si="37"/>
        <v>-20067.244662644236</v>
      </c>
      <c r="AR39" s="60">
        <f t="shared" si="37"/>
        <v>-13867.529514680276</v>
      </c>
      <c r="AS39" s="60">
        <f t="shared" si="37"/>
        <v>-11569.343696525386</v>
      </c>
      <c r="AT39" s="60"/>
      <c r="AU39" s="61">
        <f>SUM(AH39:AS39)</f>
        <v>-180710.21431599287</v>
      </c>
      <c r="AV39" s="89"/>
    </row>
    <row r="40" spans="1:49" outlineLevel="1">
      <c r="B40" s="51" t="s">
        <v>108</v>
      </c>
      <c r="C40" s="75">
        <f>SUMIFS(Fulfilment!E:E,Fulfilment!A:A,"IT",Fulfilment!B:B,"Marketplace")</f>
        <v>-0.43369654447462291</v>
      </c>
      <c r="D40" s="59">
        <v>-12887</v>
      </c>
      <c r="E40" s="59">
        <v>-15599</v>
      </c>
      <c r="F40" s="59">
        <v>-18256</v>
      </c>
      <c r="G40" s="59">
        <v>-17485</v>
      </c>
      <c r="H40" s="59">
        <v>-14866</v>
      </c>
      <c r="I40" s="59">
        <v>-25154</v>
      </c>
      <c r="J40" s="59">
        <v>-20364</v>
      </c>
      <c r="K40" s="59">
        <v>-20281</v>
      </c>
      <c r="L40" s="59">
        <v>-23128</v>
      </c>
      <c r="M40" s="60">
        <v>-24010</v>
      </c>
      <c r="N40" s="60">
        <v>-24010</v>
      </c>
      <c r="O40" s="60">
        <v>-18650</v>
      </c>
      <c r="P40" s="60"/>
      <c r="Q40" s="61">
        <f>SUM(D40:O40)</f>
        <v>-234690</v>
      </c>
      <c r="R40" s="504"/>
      <c r="S40" s="60">
        <f t="shared" ref="S40:AD40" ca="1" si="38">$C$40*S9</f>
        <v>-19545.037864740472</v>
      </c>
      <c r="T40" s="60">
        <f t="shared" ca="1" si="38"/>
        <v>-30084.661897115642</v>
      </c>
      <c r="U40" s="60">
        <f t="shared" ca="1" si="38"/>
        <v>-25782.903937849864</v>
      </c>
      <c r="V40" s="60">
        <f t="shared" ca="1" si="38"/>
        <v>-24617.448561744986</v>
      </c>
      <c r="W40" s="60">
        <f t="shared" ca="1" si="38"/>
        <v>-22798.553767459322</v>
      </c>
      <c r="X40" s="60">
        <f t="shared" ca="1" si="38"/>
        <v>-32274.499837338684</v>
      </c>
      <c r="Y40" s="60">
        <f t="shared" ca="1" si="38"/>
        <v>-23556.748248992513</v>
      </c>
      <c r="Z40" s="60">
        <f t="shared" ca="1" si="38"/>
        <v>-28355.411809469439</v>
      </c>
      <c r="AA40" s="60">
        <f t="shared" ca="1" si="38"/>
        <v>-35588.349111876611</v>
      </c>
      <c r="AB40" s="60">
        <f t="shared" ca="1" si="38"/>
        <v>-42617.433812863725</v>
      </c>
      <c r="AC40" s="60">
        <f t="shared" ca="1" si="38"/>
        <v>-40587.756536942798</v>
      </c>
      <c r="AD40" s="60">
        <f t="shared" ca="1" si="38"/>
        <v>-35059.686902451467</v>
      </c>
      <c r="AE40" s="60"/>
      <c r="AF40" s="61">
        <f ca="1">SUM(S40:AD40)</f>
        <v>-360868.49228884547</v>
      </c>
      <c r="AG40" s="89"/>
      <c r="AH40" s="60">
        <f t="shared" ref="AH40:AS40" ca="1" si="39">$C$40*AH9</f>
        <v>-31923.24900596869</v>
      </c>
      <c r="AI40" s="60">
        <f t="shared" ca="1" si="39"/>
        <v>-35993.583886923545</v>
      </c>
      <c r="AJ40" s="60">
        <f t="shared" ca="1" si="39"/>
        <v>-31536.235297323394</v>
      </c>
      <c r="AK40" s="60">
        <f t="shared" ca="1" si="39"/>
        <v>-30072.904123577009</v>
      </c>
      <c r="AL40" s="60">
        <f t="shared" ca="1" si="39"/>
        <v>-27950.98116299693</v>
      </c>
      <c r="AM40" s="60">
        <f t="shared" ca="1" si="39"/>
        <v>-41147.95168322957</v>
      </c>
      <c r="AN40" s="60">
        <f t="shared" ca="1" si="39"/>
        <v>-30072.956167162349</v>
      </c>
      <c r="AO40" s="60">
        <f t="shared" ca="1" si="39"/>
        <v>-32708.072325961875</v>
      </c>
      <c r="AP40" s="60">
        <f t="shared" ca="1" si="39"/>
        <v>-40939.072584996982</v>
      </c>
      <c r="AQ40" s="60">
        <f t="shared" ca="1" si="39"/>
        <v>-46267.874590185667</v>
      </c>
      <c r="AR40" s="60">
        <f t="shared" ca="1" si="39"/>
        <v>-43760.113229552771</v>
      </c>
      <c r="AS40" s="60">
        <f t="shared" ca="1" si="39"/>
        <v>-44613.477064143073</v>
      </c>
      <c r="AT40" s="60"/>
      <c r="AU40" s="61">
        <f ca="1">SUM(AH40:AS40)</f>
        <v>-436986.47112202179</v>
      </c>
      <c r="AV40" s="89"/>
    </row>
    <row r="41" spans="1:49" outlineLevel="1">
      <c r="B41" s="51" t="s">
        <v>109</v>
      </c>
      <c r="C41" s="75">
        <f>SUMIFS(Fulfilment!E:E,Fulfilment!A:A,"IT",Fulfilment!B:B,"TikTok")</f>
        <v>0</v>
      </c>
      <c r="D41" s="59" t="s">
        <v>184</v>
      </c>
      <c r="E41" s="59" t="s">
        <v>184</v>
      </c>
      <c r="F41" s="59" t="s">
        <v>184</v>
      </c>
      <c r="G41" s="59" t="s">
        <v>184</v>
      </c>
      <c r="H41" s="59" t="s">
        <v>184</v>
      </c>
      <c r="I41" s="59" t="s">
        <v>184</v>
      </c>
      <c r="J41" s="59" t="s">
        <v>184</v>
      </c>
      <c r="K41" s="59" t="s">
        <v>184</v>
      </c>
      <c r="L41" s="59">
        <v>-1531</v>
      </c>
      <c r="M41" s="60" t="s">
        <v>184</v>
      </c>
      <c r="N41" s="60" t="s">
        <v>184</v>
      </c>
      <c r="O41" s="60" t="s">
        <v>184</v>
      </c>
      <c r="P41" s="60"/>
      <c r="Q41" s="61">
        <f>SUM(D41:O41)</f>
        <v>-1531</v>
      </c>
      <c r="R41" s="506"/>
      <c r="S41" s="60">
        <f t="shared" ref="S41:AD41" si="40">$C$41*S10</f>
        <v>0</v>
      </c>
      <c r="T41" s="60">
        <f t="shared" si="40"/>
        <v>0</v>
      </c>
      <c r="U41" s="60">
        <f t="shared" si="40"/>
        <v>0</v>
      </c>
      <c r="V41" s="60">
        <f t="shared" si="40"/>
        <v>0</v>
      </c>
      <c r="W41" s="60">
        <f t="shared" si="40"/>
        <v>0</v>
      </c>
      <c r="X41" s="60">
        <f t="shared" si="40"/>
        <v>0</v>
      </c>
      <c r="Y41" s="60">
        <f t="shared" si="40"/>
        <v>0</v>
      </c>
      <c r="Z41" s="60">
        <f t="shared" si="40"/>
        <v>0</v>
      </c>
      <c r="AA41" s="60">
        <f t="shared" si="40"/>
        <v>0</v>
      </c>
      <c r="AB41" s="60">
        <f t="shared" si="40"/>
        <v>0</v>
      </c>
      <c r="AC41" s="60">
        <f t="shared" si="40"/>
        <v>0</v>
      </c>
      <c r="AD41" s="60">
        <f t="shared" si="40"/>
        <v>0</v>
      </c>
      <c r="AE41" s="60"/>
      <c r="AF41" s="61">
        <f>SUM(S41:AD41)</f>
        <v>0</v>
      </c>
      <c r="AG41" s="89"/>
      <c r="AH41" s="60">
        <f t="shared" ref="AH41:AS41" si="41">$C$41*AH10</f>
        <v>0</v>
      </c>
      <c r="AI41" s="60">
        <f t="shared" si="41"/>
        <v>0</v>
      </c>
      <c r="AJ41" s="60">
        <f t="shared" si="41"/>
        <v>0</v>
      </c>
      <c r="AK41" s="60">
        <f t="shared" si="41"/>
        <v>0</v>
      </c>
      <c r="AL41" s="60">
        <f t="shared" si="41"/>
        <v>0</v>
      </c>
      <c r="AM41" s="60">
        <f t="shared" si="41"/>
        <v>0</v>
      </c>
      <c r="AN41" s="60">
        <f t="shared" si="41"/>
        <v>0</v>
      </c>
      <c r="AO41" s="60">
        <f t="shared" si="41"/>
        <v>0</v>
      </c>
      <c r="AP41" s="60">
        <f t="shared" si="41"/>
        <v>0</v>
      </c>
      <c r="AQ41" s="60">
        <f t="shared" si="41"/>
        <v>0</v>
      </c>
      <c r="AR41" s="60">
        <f t="shared" si="41"/>
        <v>0</v>
      </c>
      <c r="AS41" s="60">
        <f t="shared" si="41"/>
        <v>0</v>
      </c>
      <c r="AT41" s="60"/>
      <c r="AU41" s="61">
        <f>SUM(AH41:AS41)</f>
        <v>0</v>
      </c>
      <c r="AV41" s="89"/>
    </row>
    <row r="42" spans="1:49" outlineLevel="1">
      <c r="D42" s="53"/>
      <c r="E42" s="53"/>
      <c r="F42" s="53"/>
      <c r="G42" s="53"/>
      <c r="H42" s="53"/>
      <c r="I42" s="53"/>
      <c r="J42" s="53"/>
      <c r="K42" s="53"/>
      <c r="L42" s="53"/>
      <c r="R42" s="503"/>
      <c r="AG42" s="89"/>
      <c r="AV42" s="89"/>
    </row>
    <row r="43" spans="1:49" s="10" customFormat="1">
      <c r="A43" s="52"/>
      <c r="B43" s="63" t="s">
        <v>110</v>
      </c>
      <c r="C43" s="52"/>
      <c r="D43" s="64">
        <f>SUM(D37:D42)-0.5</f>
        <v>-29921.5</v>
      </c>
      <c r="E43" s="64">
        <f>SUM(E37:E42)+1</f>
        <v>-31609</v>
      </c>
      <c r="F43" s="64">
        <f t="shared" ref="F43:J43" si="42">SUM(F37:F42)</f>
        <v>-33700</v>
      </c>
      <c r="G43" s="64">
        <f t="shared" si="42"/>
        <v>-65904</v>
      </c>
      <c r="H43" s="64">
        <f>SUM(H37:H42)-0.5</f>
        <v>-39120.5</v>
      </c>
      <c r="I43" s="64">
        <f t="shared" si="42"/>
        <v>-47381</v>
      </c>
      <c r="J43" s="64">
        <f t="shared" si="42"/>
        <v>-60856</v>
      </c>
      <c r="K43" s="64">
        <f>SUM(K37:K42)-0.5</f>
        <v>-24232.5</v>
      </c>
      <c r="L43" s="64">
        <f>SUM(L37:L42)-0.5</f>
        <v>-55526.5</v>
      </c>
      <c r="M43" s="65">
        <f>SUM(M37:M42)</f>
        <v>-76657</v>
      </c>
      <c r="N43" s="65">
        <f>SUM(N37:N42)-0.5</f>
        <v>-46066.5</v>
      </c>
      <c r="O43" s="65">
        <f>SUM(O37:O42)</f>
        <v>-47593</v>
      </c>
      <c r="P43" s="61"/>
      <c r="Q43" s="65">
        <f>SUM(D43:O43)-1</f>
        <v>-558568.5</v>
      </c>
      <c r="R43" s="505"/>
      <c r="S43" s="84">
        <f ca="1">SUM(S37:S42)</f>
        <v>-43665.310190120988</v>
      </c>
      <c r="T43" s="84">
        <f t="shared" ref="T43:Z43" ca="1" si="43">SUM(T37:T42)</f>
        <v>-86485.070586253947</v>
      </c>
      <c r="U43" s="84">
        <f t="shared" ca="1" si="43"/>
        <v>-65771.557244627897</v>
      </c>
      <c r="V43" s="84">
        <f t="shared" ca="1" si="43"/>
        <v>-60500.622007532031</v>
      </c>
      <c r="W43" s="84">
        <f t="shared" ca="1" si="43"/>
        <v>-56118.17525406093</v>
      </c>
      <c r="X43" s="65">
        <f t="shared" ca="1" si="43"/>
        <v>-79057.958612687682</v>
      </c>
      <c r="Y43" s="65">
        <f t="shared" ca="1" si="43"/>
        <v>-52868.501291216919</v>
      </c>
      <c r="Z43" s="65">
        <f t="shared" ca="1" si="43"/>
        <v>-58813.672326705215</v>
      </c>
      <c r="AA43" s="65">
        <f ca="1">SUM(AA37:AA42)</f>
        <v>-83683.604876784404</v>
      </c>
      <c r="AB43" s="65">
        <f ca="1">SUM(AB37:AB42)</f>
        <v>-88137.486149154982</v>
      </c>
      <c r="AC43" s="65">
        <f ca="1">SUM(AC37:AC42)</f>
        <v>-66797.809154629664</v>
      </c>
      <c r="AD43" s="65">
        <f ca="1">SUM(AD37:AD42)</f>
        <v>-66775.882601454854</v>
      </c>
      <c r="AE43" s="61"/>
      <c r="AF43" s="65">
        <f ca="1">SUM(S43:AD43)</f>
        <v>-808675.65029522951</v>
      </c>
      <c r="AG43" s="89"/>
      <c r="AH43" s="84">
        <f ca="1">SUM(AH37:AH42)</f>
        <v>-78055.547485440096</v>
      </c>
      <c r="AI43" s="84">
        <f t="shared" ref="AI43:AO43" ca="1" si="44">SUM(AI37:AI42)</f>
        <v>-110945.23614682004</v>
      </c>
      <c r="AJ43" s="84">
        <f t="shared" ca="1" si="44"/>
        <v>-100939.4814597061</v>
      </c>
      <c r="AK43" s="84">
        <f t="shared" ca="1" si="44"/>
        <v>-100697.57927605163</v>
      </c>
      <c r="AL43" s="84">
        <f t="shared" ca="1" si="44"/>
        <v>-98996.844591883899</v>
      </c>
      <c r="AM43" s="65">
        <f t="shared" ca="1" si="44"/>
        <v>-135051.5597966573</v>
      </c>
      <c r="AN43" s="65">
        <f t="shared" ca="1" si="44"/>
        <v>-92799.370116248319</v>
      </c>
      <c r="AO43" s="65">
        <f t="shared" ca="1" si="44"/>
        <v>-94000.478722519561</v>
      </c>
      <c r="AP43" s="65">
        <f ca="1">SUM(AP37:AP42)</f>
        <v>-137997.3593054534</v>
      </c>
      <c r="AQ43" s="65">
        <f ca="1">SUM(AQ37:AQ42)</f>
        <v>-134270.78415233752</v>
      </c>
      <c r="AR43" s="65">
        <f ca="1">SUM(AR37:AR42)</f>
        <v>-100952.20589327144</v>
      </c>
      <c r="AS43" s="65">
        <f ca="1">SUM(AS37:AS42)</f>
        <v>-106337.81879035474</v>
      </c>
      <c r="AT43" s="61"/>
      <c r="AU43" s="65">
        <f ca="1">SUM(AH43:AS43)</f>
        <v>-1291044.265736744</v>
      </c>
      <c r="AV43" s="89"/>
      <c r="AW43" s="7"/>
    </row>
    <row r="44" spans="1:49">
      <c r="D44" s="53"/>
      <c r="E44" s="53"/>
      <c r="F44" s="53"/>
      <c r="G44" s="53"/>
      <c r="H44" s="53"/>
      <c r="I44" s="53"/>
      <c r="J44" s="53"/>
      <c r="K44" s="53"/>
      <c r="L44" s="53"/>
      <c r="Q44" s="91">
        <f>-Q43/Q12</f>
        <v>0.1860754977450482</v>
      </c>
      <c r="R44" s="503"/>
      <c r="AF44" s="91">
        <f ca="1">-AF43/AF12</f>
        <v>0.18797634381756709</v>
      </c>
      <c r="AG44" s="89"/>
      <c r="AU44" s="91">
        <f ca="1">-AU43/AU12</f>
        <v>0.18225664501127012</v>
      </c>
      <c r="AV44" s="89"/>
    </row>
    <row r="45" spans="1:49" outlineLevel="1">
      <c r="B45" s="67" t="s">
        <v>111</v>
      </c>
      <c r="C45" s="52"/>
      <c r="D45" s="68">
        <v>22761</v>
      </c>
      <c r="E45" s="68">
        <v>25621</v>
      </c>
      <c r="F45" s="68">
        <v>24694</v>
      </c>
      <c r="G45" s="68">
        <v>87339</v>
      </c>
      <c r="H45" s="68">
        <v>28152</v>
      </c>
      <c r="I45" s="68">
        <v>60609</v>
      </c>
      <c r="J45" s="68">
        <v>53468.780000000006</v>
      </c>
      <c r="K45" s="68">
        <v>24447.640000000003</v>
      </c>
      <c r="L45" s="68">
        <v>38576</v>
      </c>
      <c r="M45" s="69">
        <f t="shared" ref="M45:O48" si="45">M23+M38</f>
        <v>136220</v>
      </c>
      <c r="N45" s="69">
        <f t="shared" si="45"/>
        <v>63166</v>
      </c>
      <c r="O45" s="69">
        <f t="shared" si="45"/>
        <v>65386</v>
      </c>
      <c r="P45" s="69"/>
      <c r="Q45" s="69">
        <f>Q23+Q38</f>
        <v>630335</v>
      </c>
      <c r="R45" s="503"/>
      <c r="S45" s="85">
        <f t="shared" ref="S45:AD48" si="46">S23+S38</f>
        <v>55194.554697930202</v>
      </c>
      <c r="T45" s="85">
        <f t="shared" si="46"/>
        <v>94255.173078368709</v>
      </c>
      <c r="U45" s="85">
        <f t="shared" si="46"/>
        <v>89656.697325414658</v>
      </c>
      <c r="V45" s="85">
        <f t="shared" si="46"/>
        <v>69754.948099934234</v>
      </c>
      <c r="W45" s="85">
        <f t="shared" si="46"/>
        <v>57849.375504232718</v>
      </c>
      <c r="X45" s="69">
        <f t="shared" si="46"/>
        <v>116849.35085775619</v>
      </c>
      <c r="Y45" s="69">
        <f t="shared" si="46"/>
        <v>66442.297330104178</v>
      </c>
      <c r="Z45" s="69">
        <f t="shared" si="46"/>
        <v>55115.474659437488</v>
      </c>
      <c r="AA45" s="69">
        <f t="shared" si="46"/>
        <v>112505.13776336706</v>
      </c>
      <c r="AB45" s="69">
        <f t="shared" si="46"/>
        <v>97006.447889814139</v>
      </c>
      <c r="AC45" s="69">
        <f t="shared" si="46"/>
        <v>58996.692597302448</v>
      </c>
      <c r="AD45" s="69">
        <f t="shared" si="46"/>
        <v>70590.151682777767</v>
      </c>
      <c r="AE45" s="69"/>
      <c r="AF45" s="69">
        <f>AF23+AF38</f>
        <v>944216.30148643942</v>
      </c>
      <c r="AG45" s="89"/>
      <c r="AH45" s="85">
        <f t="shared" ref="AH45:AS48" si="47">AH23+AH38</f>
        <v>110703.40387072015</v>
      </c>
      <c r="AI45" s="85">
        <f t="shared" si="47"/>
        <v>175190.94630628033</v>
      </c>
      <c r="AJ45" s="85">
        <f t="shared" si="47"/>
        <v>156775.60619858891</v>
      </c>
      <c r="AK45" s="85">
        <f t="shared" si="47"/>
        <v>149617.80651447846</v>
      </c>
      <c r="AL45" s="85">
        <f t="shared" si="47"/>
        <v>152729.43793958717</v>
      </c>
      <c r="AM45" s="69">
        <f t="shared" si="47"/>
        <v>247217.17721559308</v>
      </c>
      <c r="AN45" s="69">
        <f t="shared" si="47"/>
        <v>151669.70261146166</v>
      </c>
      <c r="AO45" s="69">
        <f t="shared" si="47"/>
        <v>134284.75452296087</v>
      </c>
      <c r="AP45" s="69">
        <f t="shared" si="47"/>
        <v>222535.3391740623</v>
      </c>
      <c r="AQ45" s="69">
        <f t="shared" si="47"/>
        <v>199152.66885353543</v>
      </c>
      <c r="AR45" s="69">
        <f t="shared" si="47"/>
        <v>127005.48954378547</v>
      </c>
      <c r="AS45" s="69">
        <f t="shared" si="47"/>
        <v>147028.83571878058</v>
      </c>
      <c r="AT45" s="69"/>
      <c r="AU45" s="69">
        <f>AU23+AU38</f>
        <v>1973911.1684698346</v>
      </c>
      <c r="AV45" s="89"/>
    </row>
    <row r="46" spans="1:49" outlineLevel="1">
      <c r="B46" s="67" t="s">
        <v>112</v>
      </c>
      <c r="C46" s="52"/>
      <c r="D46" s="68">
        <v>93115</v>
      </c>
      <c r="E46" s="68">
        <v>51842</v>
      </c>
      <c r="F46" s="68">
        <v>16240</v>
      </c>
      <c r="G46" s="68">
        <v>98836</v>
      </c>
      <c r="H46" s="68">
        <v>79995</v>
      </c>
      <c r="I46" s="68">
        <v>61678</v>
      </c>
      <c r="J46" s="68">
        <v>38115.299999999996</v>
      </c>
      <c r="K46" s="68">
        <v>31736.910000000003</v>
      </c>
      <c r="L46" s="68">
        <v>42480</v>
      </c>
      <c r="M46" s="69">
        <f t="shared" si="45"/>
        <v>119799</v>
      </c>
      <c r="N46" s="69">
        <f t="shared" si="45"/>
        <v>40645</v>
      </c>
      <c r="O46" s="69">
        <f t="shared" si="45"/>
        <v>70495</v>
      </c>
      <c r="P46" s="69"/>
      <c r="Q46" s="69">
        <f>Q24+Q39</f>
        <v>744972</v>
      </c>
      <c r="R46" s="503"/>
      <c r="S46" s="85">
        <f t="shared" si="46"/>
        <v>46341.296377549945</v>
      </c>
      <c r="T46" s="85">
        <f t="shared" si="46"/>
        <v>212329.70392446686</v>
      </c>
      <c r="U46" s="85">
        <f t="shared" si="46"/>
        <v>82353.41494474592</v>
      </c>
      <c r="V46" s="85">
        <f t="shared" si="46"/>
        <v>105851.74170180663</v>
      </c>
      <c r="W46" s="85">
        <f t="shared" si="46"/>
        <v>118966.78448155429</v>
      </c>
      <c r="X46" s="69">
        <f t="shared" si="46"/>
        <v>60625.919962428052</v>
      </c>
      <c r="Y46" s="69">
        <f t="shared" si="46"/>
        <v>58203.185593335664</v>
      </c>
      <c r="Z46" s="69">
        <f t="shared" si="46"/>
        <v>102077.23038647519</v>
      </c>
      <c r="AA46" s="69">
        <f t="shared" si="46"/>
        <v>85089.538400372083</v>
      </c>
      <c r="AB46" s="69">
        <f t="shared" si="46"/>
        <v>108835.58458992458</v>
      </c>
      <c r="AC46" s="69">
        <f t="shared" si="46"/>
        <v>53283.427853377514</v>
      </c>
      <c r="AD46" s="69">
        <f t="shared" si="46"/>
        <v>66868.021061036998</v>
      </c>
      <c r="AE46" s="69"/>
      <c r="AF46" s="69">
        <f>AF24+AF39</f>
        <v>1100825.849277074</v>
      </c>
      <c r="AG46" s="89"/>
      <c r="AH46" s="85">
        <f t="shared" si="47"/>
        <v>73282.530956622955</v>
      </c>
      <c r="AI46" s="85">
        <f t="shared" si="47"/>
        <v>133013.00059854717</v>
      </c>
      <c r="AJ46" s="85">
        <f t="shared" si="47"/>
        <v>139436.02336634247</v>
      </c>
      <c r="AK46" s="85">
        <f t="shared" si="47"/>
        <v>171512.8071809379</v>
      </c>
      <c r="AL46" s="85">
        <f t="shared" si="47"/>
        <v>165906.2357117366</v>
      </c>
      <c r="AM46" s="69">
        <f t="shared" si="47"/>
        <v>83818.975749609977</v>
      </c>
      <c r="AN46" s="69">
        <f t="shared" si="47"/>
        <v>96221.051054582393</v>
      </c>
      <c r="AO46" s="69">
        <f t="shared" si="47"/>
        <v>135594.63870619817</v>
      </c>
      <c r="AP46" s="69">
        <f t="shared" si="47"/>
        <v>185170.8072591931</v>
      </c>
      <c r="AQ46" s="69">
        <f t="shared" si="47"/>
        <v>175722.37320226303</v>
      </c>
      <c r="AR46" s="69">
        <f t="shared" si="47"/>
        <v>121433.47219502857</v>
      </c>
      <c r="AS46" s="69">
        <f t="shared" si="47"/>
        <v>101309.00205400685</v>
      </c>
      <c r="AT46" s="69"/>
      <c r="AU46" s="69">
        <f>AU24+AU39</f>
        <v>1582420.918035069</v>
      </c>
      <c r="AV46" s="89"/>
    </row>
    <row r="47" spans="1:49" outlineLevel="1">
      <c r="B47" s="67" t="s">
        <v>113</v>
      </c>
      <c r="C47" s="52"/>
      <c r="D47" s="68">
        <v>14141</v>
      </c>
      <c r="E47" s="68">
        <v>17653</v>
      </c>
      <c r="F47" s="68">
        <v>16002</v>
      </c>
      <c r="G47" s="68">
        <v>18002</v>
      </c>
      <c r="H47" s="68">
        <v>17879</v>
      </c>
      <c r="I47" s="68">
        <v>23088</v>
      </c>
      <c r="J47" s="68">
        <v>22090.220000000008</v>
      </c>
      <c r="K47" s="68">
        <v>17245.150000000001</v>
      </c>
      <c r="L47" s="68">
        <v>21919</v>
      </c>
      <c r="M47" s="69">
        <f t="shared" si="45"/>
        <v>34770</v>
      </c>
      <c r="N47" s="69">
        <f t="shared" si="45"/>
        <v>34770</v>
      </c>
      <c r="O47" s="69">
        <f t="shared" si="45"/>
        <v>26857</v>
      </c>
      <c r="P47" s="69"/>
      <c r="Q47" s="69">
        <f>Q25+Q40</f>
        <v>264401</v>
      </c>
      <c r="R47" s="503"/>
      <c r="S47" s="85">
        <f t="shared" ca="1" si="46"/>
        <v>17409.213335259534</v>
      </c>
      <c r="T47" s="85">
        <f t="shared" ca="1" si="46"/>
        <v>26797.09810288436</v>
      </c>
      <c r="U47" s="85">
        <f t="shared" ca="1" si="46"/>
        <v>22965.42366215014</v>
      </c>
      <c r="V47" s="85">
        <f t="shared" ca="1" si="46"/>
        <v>21927.325838255008</v>
      </c>
      <c r="W47" s="85">
        <f t="shared" ca="1" si="46"/>
        <v>20307.194543178979</v>
      </c>
      <c r="X47" s="69">
        <f t="shared" ca="1" si="46"/>
        <v>28747.636962661309</v>
      </c>
      <c r="Y47" s="69">
        <f t="shared" ca="1" si="46"/>
        <v>20982.535751007486</v>
      </c>
      <c r="Z47" s="69">
        <f t="shared" ca="1" si="46"/>
        <v>25256.815403296521</v>
      </c>
      <c r="AA47" s="69">
        <f t="shared" ca="1" si="46"/>
        <v>31699.358488123384</v>
      </c>
      <c r="AB47" s="69">
        <f t="shared" ca="1" si="46"/>
        <v>37960.325387136276</v>
      </c>
      <c r="AC47" s="69">
        <f t="shared" ca="1" si="46"/>
        <v>36152.445303057197</v>
      </c>
      <c r="AD47" s="69">
        <f t="shared" ca="1" si="46"/>
        <v>31228.466937548532</v>
      </c>
      <c r="AE47" s="69"/>
      <c r="AF47" s="69">
        <f ca="1">AF25+AF40</f>
        <v>321433.83971455891</v>
      </c>
      <c r="AG47" s="89"/>
      <c r="AH47" s="85">
        <f t="shared" ca="1" si="47"/>
        <v>28434.769794031308</v>
      </c>
      <c r="AI47" s="85">
        <f t="shared" ca="1" si="47"/>
        <v>32060.310393076463</v>
      </c>
      <c r="AJ47" s="85">
        <f t="shared" ca="1" si="47"/>
        <v>28090.047810676617</v>
      </c>
      <c r="AK47" s="85">
        <f t="shared" ca="1" si="47"/>
        <v>26786.625184422988</v>
      </c>
      <c r="AL47" s="85">
        <f t="shared" ca="1" si="47"/>
        <v>24896.579754100949</v>
      </c>
      <c r="AM47" s="69">
        <f t="shared" ca="1" si="47"/>
        <v>36651.423963450441</v>
      </c>
      <c r="AN47" s="69">
        <f t="shared" ca="1" si="47"/>
        <v>26786.671540837659</v>
      </c>
      <c r="AO47" s="69">
        <f t="shared" ca="1" si="47"/>
        <v>29133.829918795585</v>
      </c>
      <c r="AP47" s="69">
        <f t="shared" ca="1" si="47"/>
        <v>36465.370561683019</v>
      </c>
      <c r="AQ47" s="69">
        <f t="shared" ca="1" si="47"/>
        <v>41211.856681162353</v>
      </c>
      <c r="AR47" s="69">
        <f t="shared" ca="1" si="47"/>
        <v>38978.136141795236</v>
      </c>
      <c r="AS47" s="69">
        <f t="shared" ca="1" si="47"/>
        <v>39738.24687433974</v>
      </c>
      <c r="AT47" s="69"/>
      <c r="AU47" s="69">
        <f ca="1">AU25+AU40</f>
        <v>389233.86861837248</v>
      </c>
      <c r="AV47" s="89"/>
    </row>
    <row r="48" spans="1:49" outlineLevel="1">
      <c r="B48" s="67" t="s">
        <v>114</v>
      </c>
      <c r="C48" s="52"/>
      <c r="D48" s="68">
        <v>0</v>
      </c>
      <c r="E48" s="68">
        <v>0</v>
      </c>
      <c r="F48" s="68">
        <v>0</v>
      </c>
      <c r="G48" s="68">
        <v>0</v>
      </c>
      <c r="H48" s="68">
        <v>0</v>
      </c>
      <c r="I48" s="68">
        <v>0</v>
      </c>
      <c r="J48" s="68">
        <v>0</v>
      </c>
      <c r="K48" s="68">
        <v>0</v>
      </c>
      <c r="L48" s="68">
        <v>-1531</v>
      </c>
      <c r="M48" s="69" t="e">
        <f t="shared" si="45"/>
        <v>#VALUE!</v>
      </c>
      <c r="N48" s="69" t="e">
        <f t="shared" si="45"/>
        <v>#VALUE!</v>
      </c>
      <c r="O48" s="69" t="e">
        <f t="shared" si="45"/>
        <v>#VALUE!</v>
      </c>
      <c r="P48" s="69"/>
      <c r="Q48" s="69">
        <f>Q26+Q41</f>
        <v>-1531</v>
      </c>
      <c r="R48" s="503"/>
      <c r="S48" s="85">
        <f t="shared" si="46"/>
        <v>0</v>
      </c>
      <c r="T48" s="85">
        <f t="shared" si="46"/>
        <v>0</v>
      </c>
      <c r="U48" s="85">
        <f t="shared" si="46"/>
        <v>0</v>
      </c>
      <c r="V48" s="85">
        <f t="shared" si="46"/>
        <v>0</v>
      </c>
      <c r="W48" s="85">
        <f t="shared" si="46"/>
        <v>0</v>
      </c>
      <c r="X48" s="69">
        <f t="shared" si="46"/>
        <v>0</v>
      </c>
      <c r="Y48" s="69">
        <f t="shared" si="46"/>
        <v>0</v>
      </c>
      <c r="Z48" s="69">
        <f t="shared" si="46"/>
        <v>0</v>
      </c>
      <c r="AA48" s="69">
        <f t="shared" si="46"/>
        <v>0</v>
      </c>
      <c r="AB48" s="69">
        <f t="shared" si="46"/>
        <v>0</v>
      </c>
      <c r="AC48" s="69">
        <f t="shared" si="46"/>
        <v>0</v>
      </c>
      <c r="AD48" s="69">
        <f t="shared" si="46"/>
        <v>0</v>
      </c>
      <c r="AE48" s="69"/>
      <c r="AF48" s="69">
        <f>AF26+AF41</f>
        <v>0</v>
      </c>
      <c r="AG48" s="89"/>
      <c r="AH48" s="85">
        <f t="shared" si="47"/>
        <v>0</v>
      </c>
      <c r="AI48" s="85">
        <f t="shared" si="47"/>
        <v>0</v>
      </c>
      <c r="AJ48" s="85">
        <f t="shared" si="47"/>
        <v>0</v>
      </c>
      <c r="AK48" s="85">
        <f t="shared" si="47"/>
        <v>0</v>
      </c>
      <c r="AL48" s="85">
        <f t="shared" si="47"/>
        <v>0</v>
      </c>
      <c r="AM48" s="69">
        <f t="shared" si="47"/>
        <v>0</v>
      </c>
      <c r="AN48" s="69">
        <f t="shared" si="47"/>
        <v>0</v>
      </c>
      <c r="AO48" s="69">
        <f t="shared" si="47"/>
        <v>0</v>
      </c>
      <c r="AP48" s="69">
        <f t="shared" si="47"/>
        <v>0</v>
      </c>
      <c r="AQ48" s="69">
        <f t="shared" si="47"/>
        <v>0</v>
      </c>
      <c r="AR48" s="69">
        <f t="shared" si="47"/>
        <v>0</v>
      </c>
      <c r="AS48" s="69">
        <f t="shared" si="47"/>
        <v>0</v>
      </c>
      <c r="AT48" s="69"/>
      <c r="AU48" s="69">
        <f>AU26+AU41</f>
        <v>0</v>
      </c>
      <c r="AV48" s="89"/>
    </row>
    <row r="49" spans="2:48">
      <c r="B49" s="67" t="s">
        <v>115</v>
      </c>
      <c r="C49" s="52"/>
      <c r="D49" s="68">
        <v>129389.63</v>
      </c>
      <c r="E49" s="68">
        <v>95116</v>
      </c>
      <c r="F49" s="68">
        <v>56936</v>
      </c>
      <c r="G49" s="68">
        <v>204177</v>
      </c>
      <c r="H49" s="68">
        <v>121536</v>
      </c>
      <c r="I49" s="68">
        <v>130655</v>
      </c>
      <c r="J49" s="68">
        <v>99239.299999999988</v>
      </c>
      <c r="K49" s="68">
        <v>73429.700000000012</v>
      </c>
      <c r="L49" s="68">
        <v>135090</v>
      </c>
      <c r="M49" s="69">
        <f t="shared" ref="M49:Q49" si="48">M27+M43</f>
        <v>290789</v>
      </c>
      <c r="N49" s="69">
        <f t="shared" si="48"/>
        <v>138580.5</v>
      </c>
      <c r="O49" s="69">
        <f t="shared" si="48"/>
        <v>162738</v>
      </c>
      <c r="P49" s="69"/>
      <c r="Q49" s="69">
        <f t="shared" si="48"/>
        <v>1652372.5</v>
      </c>
      <c r="R49" s="503"/>
      <c r="S49" s="85">
        <f ca="1">S27+S43</f>
        <v>118945.06441073968</v>
      </c>
      <c r="T49" s="85">
        <f t="shared" ref="T49:AD49" ca="1" si="49">T27+T43</f>
        <v>333381.97510571993</v>
      </c>
      <c r="U49" s="85">
        <f t="shared" ca="1" si="49"/>
        <v>194975.53593231068</v>
      </c>
      <c r="V49" s="85">
        <f t="shared" ca="1" si="49"/>
        <v>197534.01563999587</v>
      </c>
      <c r="W49" s="85">
        <f t="shared" ca="1" si="49"/>
        <v>197123.35452896601</v>
      </c>
      <c r="X49" s="69">
        <f t="shared" ca="1" si="49"/>
        <v>206222.90778284552</v>
      </c>
      <c r="Y49" s="69">
        <f t="shared" ca="1" si="49"/>
        <v>145628.01867444732</v>
      </c>
      <c r="Z49" s="69">
        <f t="shared" ca="1" si="49"/>
        <v>182449.52044920917</v>
      </c>
      <c r="AA49" s="69">
        <f t="shared" ca="1" si="49"/>
        <v>229294.03465186254</v>
      </c>
      <c r="AB49" s="69">
        <f t="shared" ca="1" si="49"/>
        <v>243802.35786687498</v>
      </c>
      <c r="AC49" s="69">
        <f t="shared" ca="1" si="49"/>
        <v>148432.56575373723</v>
      </c>
      <c r="AD49" s="69">
        <f t="shared" ca="1" si="49"/>
        <v>168686.6396813633</v>
      </c>
      <c r="AE49" s="69"/>
      <c r="AF49" s="69">
        <f t="shared" ref="AF49" ca="1" si="50">AF27+AF43</f>
        <v>2366475.9904780723</v>
      </c>
      <c r="AG49" s="89"/>
      <c r="AH49" s="85">
        <f ca="1">AH27+AH43</f>
        <v>212420.70462137432</v>
      </c>
      <c r="AI49" s="85">
        <f t="shared" ref="AI49:AS49" ca="1" si="51">AI27+AI43</f>
        <v>340264.25729790388</v>
      </c>
      <c r="AJ49" s="85">
        <f t="shared" ca="1" si="51"/>
        <v>324301.67737560801</v>
      </c>
      <c r="AK49" s="85">
        <f t="shared" ca="1" si="51"/>
        <v>347917.23887983942</v>
      </c>
      <c r="AL49" s="85">
        <f t="shared" ca="1" si="51"/>
        <v>343532.25340542471</v>
      </c>
      <c r="AM49" s="69">
        <f t="shared" ca="1" si="51"/>
        <v>367687.57692865358</v>
      </c>
      <c r="AN49" s="69">
        <f t="shared" ca="1" si="51"/>
        <v>274677.42520688177</v>
      </c>
      <c r="AO49" s="69">
        <f t="shared" ca="1" si="51"/>
        <v>299013.22314795456</v>
      </c>
      <c r="AP49" s="69">
        <f t="shared" ca="1" si="51"/>
        <v>444171.51699493849</v>
      </c>
      <c r="AQ49" s="69">
        <f t="shared" ca="1" si="51"/>
        <v>416086.89873696078</v>
      </c>
      <c r="AR49" s="69">
        <f t="shared" ca="1" si="51"/>
        <v>287417.09788060928</v>
      </c>
      <c r="AS49" s="69">
        <f t="shared" ca="1" si="51"/>
        <v>288076.08464712719</v>
      </c>
      <c r="AT49" s="69"/>
      <c r="AU49" s="69">
        <f t="shared" ref="AU49" ca="1" si="52">AU27+AU43</f>
        <v>3945565.9551232764</v>
      </c>
      <c r="AV49" s="89"/>
    </row>
    <row r="50" spans="2:48">
      <c r="B50" s="52"/>
      <c r="C50" s="52"/>
      <c r="D50" s="70"/>
      <c r="E50" s="70"/>
      <c r="F50" s="70"/>
      <c r="G50" s="70"/>
      <c r="H50" s="70"/>
      <c r="I50" s="70"/>
      <c r="J50" s="70"/>
      <c r="K50" s="70"/>
      <c r="L50" s="70"/>
      <c r="M50" s="52"/>
      <c r="N50" s="52"/>
      <c r="O50" s="52"/>
      <c r="P50" s="52"/>
      <c r="R50" s="503"/>
      <c r="S50" s="10"/>
      <c r="T50" s="10"/>
      <c r="U50" s="10"/>
      <c r="V50" s="10"/>
      <c r="W50" s="10"/>
      <c r="X50" s="52"/>
      <c r="Y50" s="52"/>
      <c r="Z50" s="52"/>
      <c r="AA50" s="52"/>
      <c r="AB50" s="52"/>
      <c r="AC50" s="52"/>
      <c r="AD50" s="52"/>
      <c r="AE50" s="52"/>
      <c r="AG50" s="89"/>
      <c r="AH50" s="10"/>
      <c r="AI50" s="10"/>
      <c r="AJ50" s="10"/>
      <c r="AK50" s="10"/>
      <c r="AL50" s="10"/>
      <c r="AM50" s="52"/>
      <c r="AN50" s="52"/>
      <c r="AO50" s="52"/>
      <c r="AP50" s="52"/>
      <c r="AQ50" s="52"/>
      <c r="AR50" s="52"/>
      <c r="AS50" s="52"/>
      <c r="AT50" s="52"/>
      <c r="AV50" s="89"/>
    </row>
    <row r="51" spans="2:48" outlineLevel="1">
      <c r="B51" s="67" t="s">
        <v>116</v>
      </c>
      <c r="C51" s="52"/>
      <c r="D51" s="97">
        <v>0.563363199841592</v>
      </c>
      <c r="E51" s="97">
        <v>0.60908118388208721</v>
      </c>
      <c r="F51" s="97">
        <v>0.52724400034161756</v>
      </c>
      <c r="G51" s="97">
        <v>0.51776694885110619</v>
      </c>
      <c r="H51" s="97">
        <v>0.60302024204776694</v>
      </c>
      <c r="I51" s="97">
        <v>0.60898266767143938</v>
      </c>
      <c r="J51" s="97">
        <v>0.55724908810520679</v>
      </c>
      <c r="K51" s="97">
        <v>0.78698088852120229</v>
      </c>
      <c r="L51" s="97">
        <v>0.29615981083114529</v>
      </c>
      <c r="M51" s="91">
        <f t="shared" ref="M51:O54" si="53">IFERROR(M45/M7,0)</f>
        <v>0.57605615934367993</v>
      </c>
      <c r="N51" s="91">
        <f t="shared" si="53"/>
        <v>0.60225203321796672</v>
      </c>
      <c r="O51" s="91">
        <f t="shared" si="53"/>
        <v>0.59392684233951909</v>
      </c>
      <c r="P51" s="91"/>
      <c r="Q51" s="91">
        <f>IFERROR(Q45/Q7,0)</f>
        <v>0.54673344256408341</v>
      </c>
      <c r="R51" s="503"/>
      <c r="S51" s="91">
        <f t="shared" ref="S51:AD54" si="54">IFERROR(S45/S7,0)</f>
        <v>0.56668902831463519</v>
      </c>
      <c r="T51" s="91">
        <f t="shared" si="54"/>
        <v>0.56668902831463508</v>
      </c>
      <c r="U51" s="91">
        <f t="shared" si="54"/>
        <v>0.56668902831463519</v>
      </c>
      <c r="V51" s="91">
        <f t="shared" si="54"/>
        <v>0.56668902831463508</v>
      </c>
      <c r="W51" s="91">
        <f t="shared" si="54"/>
        <v>0.56668902831463519</v>
      </c>
      <c r="X51" s="91">
        <f t="shared" si="54"/>
        <v>0.56668902831463519</v>
      </c>
      <c r="Y51" s="91">
        <f t="shared" si="54"/>
        <v>0.56668902831463519</v>
      </c>
      <c r="Z51" s="91">
        <f t="shared" si="54"/>
        <v>0.56668902831463508</v>
      </c>
      <c r="AA51" s="91">
        <f t="shared" si="54"/>
        <v>0.56668902831463519</v>
      </c>
      <c r="AB51" s="91">
        <f t="shared" si="54"/>
        <v>0.56668902831463508</v>
      </c>
      <c r="AC51" s="91">
        <f t="shared" si="54"/>
        <v>0.56668902831463508</v>
      </c>
      <c r="AD51" s="91">
        <f t="shared" si="54"/>
        <v>0.56668902831463508</v>
      </c>
      <c r="AE51" s="91"/>
      <c r="AF51" s="91">
        <f>IFERROR(AF45/AF7,0)</f>
        <v>0.56668902831463497</v>
      </c>
      <c r="AG51" s="89"/>
      <c r="AH51" s="91">
        <f t="shared" ref="AH51:AS54" si="55">IFERROR(AH45/AH7,0)</f>
        <v>0.56668902831463519</v>
      </c>
      <c r="AI51" s="91">
        <f t="shared" si="55"/>
        <v>0.56668902831463519</v>
      </c>
      <c r="AJ51" s="91">
        <f t="shared" si="55"/>
        <v>0.56668902831463519</v>
      </c>
      <c r="AK51" s="91">
        <f t="shared" si="55"/>
        <v>0.56668902831463508</v>
      </c>
      <c r="AL51" s="91">
        <f t="shared" si="55"/>
        <v>0.56668902831463508</v>
      </c>
      <c r="AM51" s="91">
        <f t="shared" si="55"/>
        <v>0.56668902831463508</v>
      </c>
      <c r="AN51" s="91">
        <f t="shared" si="55"/>
        <v>0.56668902831463508</v>
      </c>
      <c r="AO51" s="91">
        <f t="shared" si="55"/>
        <v>0.56668902831463508</v>
      </c>
      <c r="AP51" s="91">
        <f t="shared" si="55"/>
        <v>0.56668902831463508</v>
      </c>
      <c r="AQ51" s="91">
        <f t="shared" si="55"/>
        <v>0.56668902831463519</v>
      </c>
      <c r="AR51" s="91">
        <f t="shared" si="55"/>
        <v>0.56668902831463519</v>
      </c>
      <c r="AS51" s="91">
        <f t="shared" si="55"/>
        <v>0.56668902831463519</v>
      </c>
      <c r="AT51" s="91"/>
      <c r="AU51" s="91">
        <f>IFERROR(AU45/AU7,0)</f>
        <v>0.56668902831463519</v>
      </c>
      <c r="AV51" s="89"/>
    </row>
    <row r="52" spans="2:48" outlineLevel="1">
      <c r="B52" s="67" t="s">
        <v>117</v>
      </c>
      <c r="C52" s="52"/>
      <c r="D52" s="97">
        <v>0.65522725193686626</v>
      </c>
      <c r="E52" s="97">
        <v>0.56839312341022719</v>
      </c>
      <c r="F52" s="97">
        <v>0.49507666981678505</v>
      </c>
      <c r="G52" s="97">
        <v>0.66526661551095134</v>
      </c>
      <c r="H52" s="97">
        <v>0.50503488115155148</v>
      </c>
      <c r="I52" s="97">
        <v>0.63564597246269272</v>
      </c>
      <c r="J52" s="97">
        <v>0.60340076941501697</v>
      </c>
      <c r="K52" s="97">
        <v>0.61896800926631113</v>
      </c>
      <c r="L52" s="97">
        <v>0.63383118723982035</v>
      </c>
      <c r="M52" s="91">
        <f t="shared" si="53"/>
        <v>0.59000044324276402</v>
      </c>
      <c r="N52" s="91">
        <f t="shared" si="53"/>
        <v>0.59000711289175345</v>
      </c>
      <c r="O52" s="91">
        <f t="shared" si="53"/>
        <v>0.58999531318000742</v>
      </c>
      <c r="P52" s="91"/>
      <c r="Q52" s="91">
        <f>IFERROR(Q46/Q8,0)</f>
        <v>0.59933435183777295</v>
      </c>
      <c r="R52" s="503"/>
      <c r="S52" s="91">
        <f t="shared" si="54"/>
        <v>0.61030413706607523</v>
      </c>
      <c r="T52" s="91">
        <f t="shared" si="54"/>
        <v>0.61030413706607523</v>
      </c>
      <c r="U52" s="91">
        <f t="shared" si="54"/>
        <v>0.61030413706607523</v>
      </c>
      <c r="V52" s="91">
        <f t="shared" si="54"/>
        <v>0.61030413706607523</v>
      </c>
      <c r="W52" s="91">
        <f t="shared" si="54"/>
        <v>0.61030413706607511</v>
      </c>
      <c r="X52" s="91">
        <f t="shared" si="54"/>
        <v>0.61030413706607523</v>
      </c>
      <c r="Y52" s="91">
        <f t="shared" si="54"/>
        <v>0.61030413706607523</v>
      </c>
      <c r="Z52" s="91">
        <f t="shared" si="54"/>
        <v>0.61030413706607523</v>
      </c>
      <c r="AA52" s="91">
        <f t="shared" si="54"/>
        <v>0.61030413706607511</v>
      </c>
      <c r="AB52" s="91">
        <f t="shared" si="54"/>
        <v>0.61030413706607523</v>
      </c>
      <c r="AC52" s="91">
        <f t="shared" si="54"/>
        <v>0.61030413706607534</v>
      </c>
      <c r="AD52" s="91">
        <f t="shared" si="54"/>
        <v>0.61030413706607523</v>
      </c>
      <c r="AE52" s="91"/>
      <c r="AF52" s="91">
        <f>IFERROR(AF46/AF8,0)</f>
        <v>0.61030413706607534</v>
      </c>
      <c r="AG52" s="89"/>
      <c r="AH52" s="91">
        <f t="shared" si="55"/>
        <v>0.61030413706607523</v>
      </c>
      <c r="AI52" s="91">
        <f t="shared" si="55"/>
        <v>0.61030413706607534</v>
      </c>
      <c r="AJ52" s="91">
        <f t="shared" si="55"/>
        <v>0.61030413706607534</v>
      </c>
      <c r="AK52" s="91">
        <f t="shared" si="55"/>
        <v>0.61030413706607511</v>
      </c>
      <c r="AL52" s="91">
        <f t="shared" si="55"/>
        <v>0.61030413706607523</v>
      </c>
      <c r="AM52" s="91">
        <f t="shared" si="55"/>
        <v>0.61030413706607523</v>
      </c>
      <c r="AN52" s="91">
        <f t="shared" si="55"/>
        <v>0.61030413706607523</v>
      </c>
      <c r="AO52" s="91">
        <f t="shared" si="55"/>
        <v>0.61030413706607523</v>
      </c>
      <c r="AP52" s="91">
        <f t="shared" si="55"/>
        <v>0.61030413706607523</v>
      </c>
      <c r="AQ52" s="91">
        <f t="shared" si="55"/>
        <v>0.61030413706607534</v>
      </c>
      <c r="AR52" s="91">
        <f t="shared" si="55"/>
        <v>0.61030413706607511</v>
      </c>
      <c r="AS52" s="91">
        <f t="shared" si="55"/>
        <v>0.61030413706607523</v>
      </c>
      <c r="AT52" s="91"/>
      <c r="AU52" s="91">
        <f>IFERROR(AU46/AU8,0)</f>
        <v>0.61030413706607523</v>
      </c>
      <c r="AV52" s="89"/>
    </row>
    <row r="53" spans="2:48" outlineLevel="1">
      <c r="B53" s="67" t="s">
        <v>118</v>
      </c>
      <c r="C53" s="52"/>
      <c r="D53" s="97">
        <v>0.448237606187397</v>
      </c>
      <c r="E53" s="97">
        <v>0.44971213124777093</v>
      </c>
      <c r="F53" s="97">
        <v>0.39486736582356569</v>
      </c>
      <c r="G53" s="97">
        <v>0.42686078770777514</v>
      </c>
      <c r="H53" s="97">
        <v>0.42717541931476083</v>
      </c>
      <c r="I53" s="97">
        <v>0.39197310787409595</v>
      </c>
      <c r="J53" s="97">
        <v>0.44076006310647559</v>
      </c>
      <c r="K53" s="97">
        <v>0.34900181693885673</v>
      </c>
      <c r="L53" s="97">
        <v>0.40314511679234871</v>
      </c>
      <c r="M53" s="91">
        <f t="shared" si="53"/>
        <v>0.48765778401122017</v>
      </c>
      <c r="N53" s="91">
        <f t="shared" si="53"/>
        <v>0.48765778401122017</v>
      </c>
      <c r="O53" s="91">
        <f t="shared" si="53"/>
        <v>0.48653985507246378</v>
      </c>
      <c r="P53" s="91"/>
      <c r="Q53" s="91">
        <f>IFERROR(Q47/Q9,0)</f>
        <v>0.43635712493893664</v>
      </c>
      <c r="R53" s="503"/>
      <c r="S53" s="91">
        <f t="shared" ca="1" si="54"/>
        <v>0.3863034555253772</v>
      </c>
      <c r="T53" s="91">
        <f t="shared" ca="1" si="54"/>
        <v>0.38630345552537709</v>
      </c>
      <c r="U53" s="91">
        <f t="shared" ca="1" si="54"/>
        <v>0.38630345552537715</v>
      </c>
      <c r="V53" s="91">
        <f t="shared" ca="1" si="54"/>
        <v>0.38630345552537704</v>
      </c>
      <c r="W53" s="91">
        <f t="shared" ca="1" si="54"/>
        <v>0.38630345552537715</v>
      </c>
      <c r="X53" s="91">
        <f t="shared" ca="1" si="54"/>
        <v>0.38630345552537709</v>
      </c>
      <c r="Y53" s="91">
        <f t="shared" ca="1" si="54"/>
        <v>0.38630345552537704</v>
      </c>
      <c r="Z53" s="91">
        <f t="shared" ca="1" si="54"/>
        <v>0.38630345552537709</v>
      </c>
      <c r="AA53" s="91">
        <f t="shared" ca="1" si="54"/>
        <v>0.38630345552537709</v>
      </c>
      <c r="AB53" s="91">
        <f t="shared" ca="1" si="54"/>
        <v>0.38630345552537709</v>
      </c>
      <c r="AC53" s="91">
        <f t="shared" ca="1" si="54"/>
        <v>0.38630345552537709</v>
      </c>
      <c r="AD53" s="91">
        <f t="shared" ca="1" si="54"/>
        <v>0.38630345552537709</v>
      </c>
      <c r="AE53" s="91"/>
      <c r="AF53" s="91">
        <f ca="1">IFERROR(AF47/AF9,0)</f>
        <v>0.38630345552537726</v>
      </c>
      <c r="AG53" s="89"/>
      <c r="AH53" s="91">
        <f t="shared" ca="1" si="55"/>
        <v>0.38630345552537709</v>
      </c>
      <c r="AI53" s="91">
        <f t="shared" ca="1" si="55"/>
        <v>0.38630345552537715</v>
      </c>
      <c r="AJ53" s="91">
        <f t="shared" ca="1" si="55"/>
        <v>0.38630345552537709</v>
      </c>
      <c r="AK53" s="91">
        <f t="shared" ca="1" si="55"/>
        <v>0.38630345552537704</v>
      </c>
      <c r="AL53" s="91">
        <f t="shared" ca="1" si="55"/>
        <v>0.38630345552537709</v>
      </c>
      <c r="AM53" s="91">
        <f t="shared" ca="1" si="55"/>
        <v>0.38630345552537715</v>
      </c>
      <c r="AN53" s="91">
        <f t="shared" ca="1" si="55"/>
        <v>0.38630345552537709</v>
      </c>
      <c r="AO53" s="91">
        <f t="shared" ca="1" si="55"/>
        <v>0.38630345552537704</v>
      </c>
      <c r="AP53" s="91">
        <f t="shared" ca="1" si="55"/>
        <v>0.38630345552537704</v>
      </c>
      <c r="AQ53" s="91">
        <f t="shared" ca="1" si="55"/>
        <v>0.38630345552537709</v>
      </c>
      <c r="AR53" s="91">
        <f t="shared" ca="1" si="55"/>
        <v>0.38630345552537709</v>
      </c>
      <c r="AS53" s="91">
        <f t="shared" ca="1" si="55"/>
        <v>0.3863034555253772</v>
      </c>
      <c r="AT53" s="91"/>
      <c r="AU53" s="91">
        <f ca="1">IFERROR(AU47/AU9,0)</f>
        <v>0.3863034555253772</v>
      </c>
      <c r="AV53" s="89"/>
    </row>
    <row r="54" spans="2:48" outlineLevel="1">
      <c r="B54" s="67" t="s">
        <v>119</v>
      </c>
      <c r="C54" s="52"/>
      <c r="D54" s="97">
        <v>0</v>
      </c>
      <c r="E54" s="97">
        <v>0</v>
      </c>
      <c r="F54" s="97">
        <v>0</v>
      </c>
      <c r="G54" s="97">
        <v>0</v>
      </c>
      <c r="H54" s="97">
        <v>0</v>
      </c>
      <c r="I54" s="97">
        <v>0</v>
      </c>
      <c r="J54" s="97">
        <v>0</v>
      </c>
      <c r="K54" s="97">
        <v>0</v>
      </c>
      <c r="L54" s="97">
        <v>0</v>
      </c>
      <c r="M54" s="91">
        <f t="shared" si="53"/>
        <v>0</v>
      </c>
      <c r="N54" s="91">
        <f t="shared" si="53"/>
        <v>0</v>
      </c>
      <c r="O54" s="91">
        <f t="shared" si="53"/>
        <v>0</v>
      </c>
      <c r="P54" s="91"/>
      <c r="Q54" s="91">
        <f>IFERROR(Q48/Q10,0)</f>
        <v>0</v>
      </c>
      <c r="R54" s="503"/>
      <c r="S54" s="91">
        <f t="shared" si="54"/>
        <v>0</v>
      </c>
      <c r="T54" s="91">
        <f t="shared" si="54"/>
        <v>0</v>
      </c>
      <c r="U54" s="91">
        <f t="shared" si="54"/>
        <v>0</v>
      </c>
      <c r="V54" s="91">
        <f t="shared" si="54"/>
        <v>0</v>
      </c>
      <c r="W54" s="91">
        <f t="shared" si="54"/>
        <v>0</v>
      </c>
      <c r="X54" s="91">
        <f t="shared" si="54"/>
        <v>0</v>
      </c>
      <c r="Y54" s="91">
        <f t="shared" si="54"/>
        <v>0</v>
      </c>
      <c r="Z54" s="91">
        <f t="shared" si="54"/>
        <v>0</v>
      </c>
      <c r="AA54" s="91">
        <f t="shared" si="54"/>
        <v>0</v>
      </c>
      <c r="AB54" s="91">
        <f t="shared" si="54"/>
        <v>0</v>
      </c>
      <c r="AC54" s="91">
        <f t="shared" si="54"/>
        <v>0</v>
      </c>
      <c r="AD54" s="91">
        <f t="shared" si="54"/>
        <v>0</v>
      </c>
      <c r="AE54" s="91"/>
      <c r="AF54" s="91">
        <f>IFERROR(AF48/AF10,0)</f>
        <v>0</v>
      </c>
      <c r="AG54" s="89"/>
      <c r="AH54" s="91">
        <f t="shared" si="55"/>
        <v>0</v>
      </c>
      <c r="AI54" s="91">
        <f t="shared" si="55"/>
        <v>0</v>
      </c>
      <c r="AJ54" s="91">
        <f t="shared" si="55"/>
        <v>0</v>
      </c>
      <c r="AK54" s="91">
        <f t="shared" si="55"/>
        <v>0</v>
      </c>
      <c r="AL54" s="91">
        <f t="shared" si="55"/>
        <v>0</v>
      </c>
      <c r="AM54" s="91">
        <f t="shared" si="55"/>
        <v>0</v>
      </c>
      <c r="AN54" s="91">
        <f t="shared" si="55"/>
        <v>0</v>
      </c>
      <c r="AO54" s="91">
        <f t="shared" si="55"/>
        <v>0</v>
      </c>
      <c r="AP54" s="91">
        <f t="shared" si="55"/>
        <v>0</v>
      </c>
      <c r="AQ54" s="91">
        <f t="shared" si="55"/>
        <v>0</v>
      </c>
      <c r="AR54" s="91">
        <f t="shared" si="55"/>
        <v>0</v>
      </c>
      <c r="AS54" s="91">
        <f t="shared" si="55"/>
        <v>0</v>
      </c>
      <c r="AT54" s="91"/>
      <c r="AU54" s="91">
        <f>IFERROR(AU48/AU10,0)</f>
        <v>0</v>
      </c>
      <c r="AV54" s="89"/>
    </row>
    <row r="55" spans="2:48">
      <c r="B55" s="72" t="s">
        <v>120</v>
      </c>
      <c r="C55" s="73"/>
      <c r="D55" s="97">
        <v>0.60445214214639753</v>
      </c>
      <c r="E55" s="97">
        <v>0.55131080932259879</v>
      </c>
      <c r="F55" s="97">
        <v>0.47381911387770048</v>
      </c>
      <c r="G55" s="97">
        <v>0.56806882141654824</v>
      </c>
      <c r="H55" s="97">
        <v>0.49218009670600243</v>
      </c>
      <c r="I55" s="97">
        <v>0.51145193553564372</v>
      </c>
      <c r="J55" s="97">
        <v>0.47429078713278822</v>
      </c>
      <c r="K55" s="97">
        <v>0.55733360434799406</v>
      </c>
      <c r="L55" s="97">
        <v>0.53682767390570052</v>
      </c>
      <c r="M55" s="91">
        <f t="shared" ref="M55:O55" si="56">IFERROR(M49/M12,0)</f>
        <v>0.56926034466219932</v>
      </c>
      <c r="N55" s="91">
        <f t="shared" si="56"/>
        <v>0.56546851537507348</v>
      </c>
      <c r="O55" s="91">
        <f t="shared" si="56"/>
        <v>0.57146168027390043</v>
      </c>
      <c r="P55" s="91"/>
      <c r="Q55" s="91">
        <f>IFERROR(Q49/Q12,0)</f>
        <v>0.55045358876794814</v>
      </c>
      <c r="R55" s="503"/>
      <c r="S55" s="91">
        <f t="shared" ref="S55:AD55" ca="1" si="57">IFERROR(S49/S12,0)</f>
        <v>0.54463035329572951</v>
      </c>
      <c r="T55" s="91">
        <f t="shared" ca="1" si="57"/>
        <v>0.57124874399558512</v>
      </c>
      <c r="U55" s="91">
        <f t="shared" ca="1" si="57"/>
        <v>0.55296685252058209</v>
      </c>
      <c r="V55" s="91">
        <f t="shared" ca="1" si="57"/>
        <v>0.55911919384153619</v>
      </c>
      <c r="W55" s="91">
        <f t="shared" ca="1" si="57"/>
        <v>0.56388396260320328</v>
      </c>
      <c r="X55" s="91">
        <f t="shared" ca="1" si="57"/>
        <v>0.54276175618357247</v>
      </c>
      <c r="Y55" s="91">
        <f t="shared" ca="1" si="57"/>
        <v>0.54556592331842402</v>
      </c>
      <c r="Z55" s="91">
        <f t="shared" ca="1" si="57"/>
        <v>0.55305186508795701</v>
      </c>
      <c r="AA55" s="91">
        <f t="shared" ca="1" si="57"/>
        <v>0.54592471541258814</v>
      </c>
      <c r="AB55" s="91">
        <f t="shared" ca="1" si="57"/>
        <v>0.54447303797191915</v>
      </c>
      <c r="AC55" s="91">
        <f t="shared" ca="1" si="57"/>
        <v>0.52081663008493351</v>
      </c>
      <c r="AD55" s="91">
        <f t="shared" ca="1" si="57"/>
        <v>0.5355637544281745</v>
      </c>
      <c r="AE55" s="91"/>
      <c r="AF55" s="91">
        <f ca="1">IFERROR(AF49/AF12,0)</f>
        <v>0.55008643361491349</v>
      </c>
      <c r="AG55" s="89"/>
      <c r="AH55" s="91">
        <f t="shared" ref="AH55:AS55" ca="1" si="58">IFERROR(AH49/AH12,0)</f>
        <v>0.54602091411782328</v>
      </c>
      <c r="AI55" s="91">
        <f t="shared" ca="1" si="58"/>
        <v>0.55773136823118552</v>
      </c>
      <c r="AJ55" s="91">
        <f t="shared" ca="1" si="58"/>
        <v>0.56123419768193672</v>
      </c>
      <c r="AK55" s="91">
        <f t="shared" ca="1" si="58"/>
        <v>0.56628047538215609</v>
      </c>
      <c r="AL55" s="91">
        <f t="shared" ca="1" si="58"/>
        <v>0.56707014357331365</v>
      </c>
      <c r="AM55" s="91">
        <f t="shared" ca="1" si="58"/>
        <v>0.55004731530459883</v>
      </c>
      <c r="AN55" s="91">
        <f t="shared" ca="1" si="58"/>
        <v>0.55530361283969876</v>
      </c>
      <c r="AO55" s="91">
        <f t="shared" ca="1" si="58"/>
        <v>0.55936721471321527</v>
      </c>
      <c r="AP55" s="91">
        <f t="shared" ca="1" si="58"/>
        <v>0.561888924479645</v>
      </c>
      <c r="AQ55" s="91">
        <f t="shared" ca="1" si="58"/>
        <v>0.55772693885861491</v>
      </c>
      <c r="AR55" s="91">
        <f t="shared" ca="1" si="58"/>
        <v>0.54851548396368899</v>
      </c>
      <c r="AS55" s="91">
        <f t="shared" ca="1" si="58"/>
        <v>0.5452703096879622</v>
      </c>
      <c r="AT55" s="91"/>
      <c r="AU55" s="91">
        <f ca="1">IFERROR(AU49/AU12,0)</f>
        <v>0.5569953197856411</v>
      </c>
      <c r="AV55" s="89"/>
    </row>
    <row r="56" spans="2:48">
      <c r="D56" s="53"/>
      <c r="E56" s="53"/>
      <c r="F56" s="53"/>
      <c r="G56" s="53"/>
      <c r="H56" s="53"/>
      <c r="I56" s="53"/>
      <c r="J56" s="53"/>
      <c r="K56" s="53"/>
      <c r="L56" s="53"/>
      <c r="Q56" s="51"/>
      <c r="R56" s="503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1"/>
      <c r="AE56" s="91"/>
      <c r="AF56" s="91"/>
      <c r="AG56" s="89"/>
      <c r="AU56" s="51"/>
      <c r="AV56" s="89"/>
    </row>
    <row r="57" spans="2:48" outlineLevel="1">
      <c r="B57" s="58" t="s">
        <v>121</v>
      </c>
      <c r="D57" s="53"/>
      <c r="E57" s="53"/>
      <c r="F57" s="53"/>
      <c r="G57" s="53"/>
      <c r="H57" s="53"/>
      <c r="I57" s="53"/>
      <c r="J57" s="53"/>
      <c r="K57" s="53"/>
      <c r="L57" s="53"/>
      <c r="Q57" s="51"/>
      <c r="R57" s="507"/>
      <c r="AF57" s="51"/>
      <c r="AG57" s="89"/>
      <c r="AU57" s="51"/>
      <c r="AV57" s="89"/>
    </row>
    <row r="58" spans="2:48" outlineLevel="1">
      <c r="D58" s="53"/>
      <c r="E58" s="53"/>
      <c r="F58" s="53"/>
      <c r="G58" s="53"/>
      <c r="H58" s="53"/>
      <c r="I58" s="53"/>
      <c r="J58" s="53"/>
      <c r="K58" s="53"/>
      <c r="L58" s="53"/>
      <c r="Q58" s="51"/>
      <c r="R58" s="508"/>
      <c r="AF58" s="51"/>
      <c r="AG58" s="89"/>
      <c r="AU58" s="51"/>
      <c r="AV58" s="89"/>
    </row>
    <row r="59" spans="2:48" ht="13" outlineLevel="1">
      <c r="B59" s="51" t="s">
        <v>122</v>
      </c>
      <c r="D59" s="59" t="s">
        <v>184</v>
      </c>
      <c r="E59" s="59" t="s">
        <v>184</v>
      </c>
      <c r="F59" s="59">
        <v>-908</v>
      </c>
      <c r="G59" s="59">
        <v>-1130</v>
      </c>
      <c r="H59" s="59">
        <v>-1945</v>
      </c>
      <c r="I59" s="59">
        <v>-2507</v>
      </c>
      <c r="J59" s="59">
        <v>-2269</v>
      </c>
      <c r="K59" s="59">
        <v>-2127</v>
      </c>
      <c r="L59" s="59">
        <v>-3350</v>
      </c>
      <c r="M59" s="60">
        <v>-3134</v>
      </c>
      <c r="N59" s="60">
        <v>-2535</v>
      </c>
      <c r="O59" s="60">
        <v>-2266</v>
      </c>
      <c r="P59" s="60"/>
      <c r="Q59" s="61">
        <f t="shared" ref="Q59:Q69" si="59">SUM(D59:O59)</f>
        <v>-22171</v>
      </c>
      <c r="R59" s="509"/>
      <c r="S59" s="60">
        <f>'IT P&amp;L'!S58+'ES P&amp;L'!S59</f>
        <v>-17471.300000000003</v>
      </c>
      <c r="T59" s="60">
        <f>'IT P&amp;L'!T58+'ES P&amp;L'!T59</f>
        <v>-58416</v>
      </c>
      <c r="U59" s="60">
        <f>'IT P&amp;L'!U58+'ES P&amp;L'!U59</f>
        <v>-49947.9</v>
      </c>
      <c r="V59" s="60">
        <f>'IT P&amp;L'!V58+'ES P&amp;L'!V59</f>
        <v>-23571.300000000003</v>
      </c>
      <c r="W59" s="60">
        <f>'IT P&amp;L'!W58+'ES P&amp;L'!W59</f>
        <v>-33065</v>
      </c>
      <c r="X59" s="60">
        <f>'IT P&amp;L'!X58+'ES P&amp;L'!X59</f>
        <v>-62966.8</v>
      </c>
      <c r="Y59" s="60">
        <f>'IT P&amp;L'!Y58+'ES P&amp;L'!Y59</f>
        <v>-34078.5</v>
      </c>
      <c r="Z59" s="60">
        <f>'IT P&amp;L'!Z58+'ES P&amp;L'!Z59</f>
        <v>-24710</v>
      </c>
      <c r="AA59" s="60">
        <f>'IT P&amp;L'!AA58+'ES P&amp;L'!AA59</f>
        <v>-53400</v>
      </c>
      <c r="AB59" s="60">
        <f>'IT P&amp;L'!AB58+'ES P&amp;L'!AB59</f>
        <v>-49500</v>
      </c>
      <c r="AC59" s="60">
        <f>'IT P&amp;L'!AC58+'ES P&amp;L'!AC59</f>
        <v>-23500</v>
      </c>
      <c r="AD59" s="60">
        <f>'IT P&amp;L'!AD58+'ES P&amp;L'!AD59</f>
        <v>-23500</v>
      </c>
      <c r="AE59" s="60"/>
      <c r="AF59" s="61">
        <f t="shared" ref="AF59" si="60">SUM(S59:AD59)</f>
        <v>-454126.8</v>
      </c>
      <c r="AG59" s="89">
        <f>AF59/AF7</f>
        <v>-0.27255267105482245</v>
      </c>
      <c r="AH59" s="60">
        <f>'IT P&amp;L'!AH58+'ES P&amp;L'!AH59</f>
        <v>-34942.600000000006</v>
      </c>
      <c r="AI59" s="60">
        <f>'IT P&amp;L'!AI58+'ES P&amp;L'!AI59</f>
        <v>-116832</v>
      </c>
      <c r="AJ59" s="60">
        <f>'IT P&amp;L'!AJ58+'ES P&amp;L'!AJ59</f>
        <v>-99895.8</v>
      </c>
      <c r="AK59" s="60">
        <f>'IT P&amp;L'!AK58+'ES P&amp;L'!AK59</f>
        <v>-47142.600000000006</v>
      </c>
      <c r="AL59" s="60">
        <f>'IT P&amp;L'!AL58+'ES P&amp;L'!AL59</f>
        <v>-66130</v>
      </c>
      <c r="AM59" s="60">
        <f>'IT P&amp;L'!AM58+'ES P&amp;L'!AM59</f>
        <v>-125933.6</v>
      </c>
      <c r="AN59" s="60">
        <f>'IT P&amp;L'!AN58+'ES P&amp;L'!AN59</f>
        <v>-54401.399999999994</v>
      </c>
      <c r="AO59" s="60">
        <f>'IT P&amp;L'!AO58+'ES P&amp;L'!AO59</f>
        <v>-49420</v>
      </c>
      <c r="AP59" s="60">
        <f>'IT P&amp;L'!AP58+'ES P&amp;L'!AP59</f>
        <v>-106800</v>
      </c>
      <c r="AQ59" s="60">
        <f>'IT P&amp;L'!AQ58+'ES P&amp;L'!AQ59</f>
        <v>-99000</v>
      </c>
      <c r="AR59" s="60">
        <f>'IT P&amp;L'!AR58+'ES P&amp;L'!AR59</f>
        <v>-47000</v>
      </c>
      <c r="AS59" s="60">
        <f>'IT P&amp;L'!AS58+'ES P&amp;L'!AS59</f>
        <v>-47000</v>
      </c>
      <c r="AT59" s="60"/>
      <c r="AU59" s="61">
        <f t="shared" ref="AU59" si="61">SUM(AH59:AS59)</f>
        <v>-894498</v>
      </c>
      <c r="AV59" s="89">
        <f>AU59/AU7</f>
        <v>-0.25680091918337561</v>
      </c>
    </row>
    <row r="60" spans="2:48" ht="13" outlineLevel="1">
      <c r="B60" s="51" t="s">
        <v>123</v>
      </c>
      <c r="D60" s="59" t="s">
        <v>184</v>
      </c>
      <c r="E60" s="59" t="s">
        <v>184</v>
      </c>
      <c r="F60" s="59">
        <v>-437</v>
      </c>
      <c r="G60" s="59">
        <v>-375</v>
      </c>
      <c r="H60" s="59">
        <v>-884</v>
      </c>
      <c r="I60" s="59">
        <v>-423</v>
      </c>
      <c r="J60" s="59">
        <v>-527</v>
      </c>
      <c r="K60" s="59">
        <v>-707</v>
      </c>
      <c r="L60" s="59">
        <v>-314</v>
      </c>
      <c r="M60" s="60">
        <v>-1000</v>
      </c>
      <c r="N60" s="60" t="s">
        <v>184</v>
      </c>
      <c r="O60" s="60">
        <v>-2000</v>
      </c>
      <c r="P60" s="60"/>
      <c r="Q60" s="61">
        <f>SUM(D60:O60)</f>
        <v>-6667</v>
      </c>
      <c r="R60" s="509"/>
      <c r="S60" s="60">
        <f>'IT P&amp;L'!S59+'ES P&amp;L'!S60</f>
        <v>-20000</v>
      </c>
      <c r="T60" s="60">
        <f>'IT P&amp;L'!T59+'ES P&amp;L'!T60</f>
        <v>-10000</v>
      </c>
      <c r="U60" s="60">
        <f>'IT P&amp;L'!U59+'ES P&amp;L'!U60</f>
        <v>-10000</v>
      </c>
      <c r="V60" s="60">
        <f>'IT P&amp;L'!V59+'ES P&amp;L'!V60</f>
        <v>-5000</v>
      </c>
      <c r="W60" s="60">
        <f>'IT P&amp;L'!W59+'ES P&amp;L'!W60</f>
        <v>-5000</v>
      </c>
      <c r="X60" s="60">
        <f>'IT P&amp;L'!X59+'ES P&amp;L'!X60</f>
        <v>-10000</v>
      </c>
      <c r="Y60" s="60">
        <f>'IT P&amp;L'!Y59+'ES P&amp;L'!Y60</f>
        <v>-5000</v>
      </c>
      <c r="Z60" s="60">
        <f>'IT P&amp;L'!Z59+'ES P&amp;L'!Z60</f>
        <v>-10000</v>
      </c>
      <c r="AA60" s="60">
        <f>'IT P&amp;L'!AA59+'ES P&amp;L'!AA60</f>
        <v>-10000</v>
      </c>
      <c r="AB60" s="60">
        <f>'IT P&amp;L'!AB59+'ES P&amp;L'!AB60</f>
        <v>-5000</v>
      </c>
      <c r="AC60" s="60">
        <f>'IT P&amp;L'!AC59+'ES P&amp;L'!AC60</f>
        <v>-5000</v>
      </c>
      <c r="AD60" s="60">
        <f>'IT P&amp;L'!AD59+'ES P&amp;L'!AD60</f>
        <v>-2500</v>
      </c>
      <c r="AE60" s="60"/>
      <c r="AF60" s="61">
        <f>SUM(S60:AD60)</f>
        <v>-97500</v>
      </c>
      <c r="AG60" s="89"/>
      <c r="AH60" s="60">
        <f>'IT P&amp;L'!AH59+'ES P&amp;L'!AH60</f>
        <v>-10000</v>
      </c>
      <c r="AI60" s="60">
        <f>'IT P&amp;L'!AI59+'ES P&amp;L'!AI60</f>
        <v>-5000</v>
      </c>
      <c r="AJ60" s="60">
        <f>'IT P&amp;L'!AJ59+'ES P&amp;L'!AJ60</f>
        <v>-5000</v>
      </c>
      <c r="AK60" s="60">
        <f>'IT P&amp;L'!AK59+'ES P&amp;L'!AK60</f>
        <v>-2500</v>
      </c>
      <c r="AL60" s="60">
        <f>'IT P&amp;L'!AL59+'ES P&amp;L'!AL60</f>
        <v>-2500</v>
      </c>
      <c r="AM60" s="60">
        <f>'IT P&amp;L'!AM59+'ES P&amp;L'!AM60</f>
        <v>-5000</v>
      </c>
      <c r="AN60" s="60">
        <f>'IT P&amp;L'!AN59+'ES P&amp;L'!AN60</f>
        <v>-2500</v>
      </c>
      <c r="AO60" s="60">
        <f>'IT P&amp;L'!AO59+'ES P&amp;L'!AO60</f>
        <v>-5000</v>
      </c>
      <c r="AP60" s="60">
        <f>'IT P&amp;L'!AP59+'ES P&amp;L'!AP60</f>
        <v>-5000</v>
      </c>
      <c r="AQ60" s="60">
        <f>'IT P&amp;L'!AQ59+'ES P&amp;L'!AQ60</f>
        <v>-2500</v>
      </c>
      <c r="AR60" s="60">
        <f>'IT P&amp;L'!AR59+'ES P&amp;L'!AR60</f>
        <v>-2500</v>
      </c>
      <c r="AS60" s="60">
        <f>'IT P&amp;L'!AS59+'ES P&amp;L'!AS60</f>
        <v>-2500</v>
      </c>
      <c r="AT60" s="60"/>
      <c r="AU60" s="61">
        <f>SUM(AH60:AS60)</f>
        <v>-50000</v>
      </c>
      <c r="AV60" s="89"/>
    </row>
    <row r="61" spans="2:48" ht="13" outlineLevel="1">
      <c r="B61" s="51" t="s">
        <v>124</v>
      </c>
      <c r="D61" s="59">
        <v>-5495</v>
      </c>
      <c r="E61" s="59">
        <v>-6991</v>
      </c>
      <c r="F61" s="59">
        <v>-7435</v>
      </c>
      <c r="G61" s="59">
        <v>-24404</v>
      </c>
      <c r="H61" s="59">
        <v>-3556</v>
      </c>
      <c r="I61" s="59">
        <v>-11174</v>
      </c>
      <c r="J61" s="59">
        <v>-10701</v>
      </c>
      <c r="K61" s="59">
        <v>-266</v>
      </c>
      <c r="L61" s="59">
        <v>-19411</v>
      </c>
      <c r="M61" s="60">
        <v>-38500</v>
      </c>
      <c r="N61" s="60">
        <v>-17850</v>
      </c>
      <c r="O61" s="60">
        <v>-25500</v>
      </c>
      <c r="P61" s="60"/>
      <c r="Q61" s="61">
        <f t="shared" si="59"/>
        <v>-171283</v>
      </c>
      <c r="R61" s="509"/>
      <c r="S61" s="60">
        <f>'IT P&amp;L'!S60+'ES P&amp;L'!S61</f>
        <v>0</v>
      </c>
      <c r="T61" s="60">
        <f>'IT P&amp;L'!T60+'ES P&amp;L'!T61</f>
        <v>0</v>
      </c>
      <c r="U61" s="60">
        <f>'IT P&amp;L'!U60+'ES P&amp;L'!U61</f>
        <v>0</v>
      </c>
      <c r="V61" s="60">
        <f>'IT P&amp;L'!V60+'ES P&amp;L'!V61</f>
        <v>0</v>
      </c>
      <c r="W61" s="60">
        <f>'IT P&amp;L'!W60+'ES P&amp;L'!W61</f>
        <v>0</v>
      </c>
      <c r="X61" s="60">
        <f>'IT P&amp;L'!X60+'ES P&amp;L'!X61</f>
        <v>0</v>
      </c>
      <c r="Y61" s="60">
        <f>'IT P&amp;L'!Y60+'ES P&amp;L'!Y61</f>
        <v>0</v>
      </c>
      <c r="Z61" s="60">
        <f>'IT P&amp;L'!Z60+'ES P&amp;L'!Z61</f>
        <v>0</v>
      </c>
      <c r="AA61" s="60">
        <f>'IT P&amp;L'!AA60+'ES P&amp;L'!AA61</f>
        <v>0</v>
      </c>
      <c r="AB61" s="60">
        <f>'IT P&amp;L'!AB60+'ES P&amp;L'!AB61</f>
        <v>0</v>
      </c>
      <c r="AC61" s="60">
        <f>'IT P&amp;L'!AC60+'ES P&amp;L'!AC61</f>
        <v>0</v>
      </c>
      <c r="AD61" s="60">
        <f>'IT P&amp;L'!AD60+'ES P&amp;L'!AD61</f>
        <v>0</v>
      </c>
      <c r="AE61" s="60"/>
      <c r="AF61" s="61">
        <f t="shared" ref="AF61:AF69" si="62">SUM(S61:AD61)</f>
        <v>0</v>
      </c>
      <c r="AG61" s="89"/>
      <c r="AH61" s="60">
        <f>'IT P&amp;L'!AH60+'ES P&amp;L'!AH61</f>
        <v>0</v>
      </c>
      <c r="AI61" s="60">
        <f>'IT P&amp;L'!AI60+'ES P&amp;L'!AI61</f>
        <v>0</v>
      </c>
      <c r="AJ61" s="60">
        <f>'IT P&amp;L'!AJ60+'ES P&amp;L'!AJ61</f>
        <v>0</v>
      </c>
      <c r="AK61" s="60">
        <f>'IT P&amp;L'!AK60+'ES P&amp;L'!AK61</f>
        <v>0</v>
      </c>
      <c r="AL61" s="60">
        <f>'IT P&amp;L'!AL60+'ES P&amp;L'!AL61</f>
        <v>0</v>
      </c>
      <c r="AM61" s="60">
        <f>'IT P&amp;L'!AM60+'ES P&amp;L'!AM61</f>
        <v>0</v>
      </c>
      <c r="AN61" s="60">
        <f>'IT P&amp;L'!AN60+'ES P&amp;L'!AN61</f>
        <v>0</v>
      </c>
      <c r="AO61" s="60">
        <f>'IT P&amp;L'!AO60+'ES P&amp;L'!AO61</f>
        <v>0</v>
      </c>
      <c r="AP61" s="60">
        <f>'IT P&amp;L'!AP60+'ES P&amp;L'!AP61</f>
        <v>0</v>
      </c>
      <c r="AQ61" s="60">
        <f>'IT P&amp;L'!AQ60+'ES P&amp;L'!AQ61</f>
        <v>0</v>
      </c>
      <c r="AR61" s="60">
        <f>'IT P&amp;L'!AR60+'ES P&amp;L'!AR61</f>
        <v>0</v>
      </c>
      <c r="AS61" s="60">
        <f>'IT P&amp;L'!AS60+'ES P&amp;L'!AS61</f>
        <v>0</v>
      </c>
      <c r="AT61" s="60"/>
      <c r="AU61" s="61">
        <f t="shared" ref="AU61:AU69" si="63">SUM(AH61:AS61)</f>
        <v>0</v>
      </c>
      <c r="AV61" s="89"/>
    </row>
    <row r="62" spans="2:48" ht="13" outlineLevel="1">
      <c r="B62" s="51" t="s">
        <v>125</v>
      </c>
      <c r="D62" s="59">
        <v>-8449</v>
      </c>
      <c r="E62" s="59">
        <v>-18032</v>
      </c>
      <c r="F62" s="59">
        <v>-8001</v>
      </c>
      <c r="G62" s="59">
        <v>-17931</v>
      </c>
      <c r="H62" s="59">
        <v>-13461</v>
      </c>
      <c r="I62" s="59">
        <v>-17359</v>
      </c>
      <c r="J62" s="59">
        <v>-11538</v>
      </c>
      <c r="K62" s="59">
        <v>-15626</v>
      </c>
      <c r="L62" s="59">
        <v>-5941</v>
      </c>
      <c r="M62" s="60">
        <v>-5548</v>
      </c>
      <c r="N62" s="60">
        <v>-2749</v>
      </c>
      <c r="O62" s="60">
        <v>-3602</v>
      </c>
      <c r="P62" s="60"/>
      <c r="Q62" s="61">
        <f t="shared" si="59"/>
        <v>-128237</v>
      </c>
      <c r="R62" s="509"/>
      <c r="S62" s="60">
        <f>'IT P&amp;L'!S61+'ES P&amp;L'!S62</f>
        <v>0</v>
      </c>
      <c r="T62" s="60">
        <f>'IT P&amp;L'!T61+'ES P&amp;L'!T62</f>
        <v>0</v>
      </c>
      <c r="U62" s="60">
        <f>'IT P&amp;L'!U61+'ES P&amp;L'!U62</f>
        <v>0</v>
      </c>
      <c r="V62" s="60">
        <f>'IT P&amp;L'!V61+'ES P&amp;L'!V62</f>
        <v>0</v>
      </c>
      <c r="W62" s="60">
        <f>'IT P&amp;L'!W61+'ES P&amp;L'!W62</f>
        <v>0</v>
      </c>
      <c r="X62" s="60">
        <f>'IT P&amp;L'!X61+'ES P&amp;L'!X62</f>
        <v>0</v>
      </c>
      <c r="Y62" s="60">
        <f>'IT P&amp;L'!Y61+'ES P&amp;L'!Y62</f>
        <v>0</v>
      </c>
      <c r="Z62" s="60">
        <f>'IT P&amp;L'!Z61+'ES P&amp;L'!Z62</f>
        <v>0</v>
      </c>
      <c r="AA62" s="60">
        <f>'IT P&amp;L'!AA61+'ES P&amp;L'!AA62</f>
        <v>0</v>
      </c>
      <c r="AB62" s="60">
        <f>'IT P&amp;L'!AB61+'ES P&amp;L'!AB62</f>
        <v>0</v>
      </c>
      <c r="AC62" s="60">
        <f>'IT P&amp;L'!AC61+'ES P&amp;L'!AC62</f>
        <v>0</v>
      </c>
      <c r="AD62" s="60">
        <f>'IT P&amp;L'!AD61+'ES P&amp;L'!AD62</f>
        <v>0</v>
      </c>
      <c r="AE62" s="60"/>
      <c r="AF62" s="61">
        <f t="shared" si="62"/>
        <v>0</v>
      </c>
      <c r="AG62" s="89"/>
      <c r="AH62" s="60">
        <f>'IT P&amp;L'!AH61+'ES P&amp;L'!AH62</f>
        <v>0</v>
      </c>
      <c r="AI62" s="60">
        <f>'IT P&amp;L'!AI61+'ES P&amp;L'!AI62</f>
        <v>0</v>
      </c>
      <c r="AJ62" s="60">
        <f>'IT P&amp;L'!AJ61+'ES P&amp;L'!AJ62</f>
        <v>0</v>
      </c>
      <c r="AK62" s="60">
        <f>'IT P&amp;L'!AK61+'ES P&amp;L'!AK62</f>
        <v>0</v>
      </c>
      <c r="AL62" s="60">
        <f>'IT P&amp;L'!AL61+'ES P&amp;L'!AL62</f>
        <v>0</v>
      </c>
      <c r="AM62" s="60">
        <f>'IT P&amp;L'!AM61+'ES P&amp;L'!AM62</f>
        <v>0</v>
      </c>
      <c r="AN62" s="60">
        <f>'IT P&amp;L'!AN61+'ES P&amp;L'!AN62</f>
        <v>0</v>
      </c>
      <c r="AO62" s="60">
        <f>'IT P&amp;L'!AO61+'ES P&amp;L'!AO62</f>
        <v>0</v>
      </c>
      <c r="AP62" s="60">
        <f>'IT P&amp;L'!AP61+'ES P&amp;L'!AP62</f>
        <v>0</v>
      </c>
      <c r="AQ62" s="60">
        <f>'IT P&amp;L'!AQ61+'ES P&amp;L'!AQ62</f>
        <v>0</v>
      </c>
      <c r="AR62" s="60">
        <f>'IT P&amp;L'!AR61+'ES P&amp;L'!AR62</f>
        <v>0</v>
      </c>
      <c r="AS62" s="60">
        <f>'IT P&amp;L'!AS61+'ES P&amp;L'!AS62</f>
        <v>0</v>
      </c>
      <c r="AT62" s="60"/>
      <c r="AU62" s="61">
        <f t="shared" si="63"/>
        <v>0</v>
      </c>
      <c r="AV62" s="89"/>
    </row>
    <row r="63" spans="2:48" ht="13" outlineLevel="1">
      <c r="B63" s="51" t="s">
        <v>126</v>
      </c>
      <c r="D63" s="59">
        <v>-1177</v>
      </c>
      <c r="E63" s="59">
        <v>-862</v>
      </c>
      <c r="F63" s="59">
        <v>-777</v>
      </c>
      <c r="G63" s="59">
        <v>-2145</v>
      </c>
      <c r="H63" s="59">
        <v>-1177</v>
      </c>
      <c r="I63" s="59">
        <v>-5251</v>
      </c>
      <c r="J63" s="59">
        <v>-6645</v>
      </c>
      <c r="K63" s="59">
        <v>-4268</v>
      </c>
      <c r="L63" s="59">
        <v>-7130</v>
      </c>
      <c r="M63" s="60">
        <v>-3209</v>
      </c>
      <c r="N63" s="60">
        <v>-1364</v>
      </c>
      <c r="O63" s="60">
        <v>-2518</v>
      </c>
      <c r="P63" s="60"/>
      <c r="Q63" s="61">
        <f t="shared" si="59"/>
        <v>-36523</v>
      </c>
      <c r="R63" s="509"/>
      <c r="S63" s="60">
        <f>'IT P&amp;L'!S62+'ES P&amp;L'!S63</f>
        <v>0</v>
      </c>
      <c r="T63" s="60">
        <f>'IT P&amp;L'!T62+'ES P&amp;L'!T63</f>
        <v>0</v>
      </c>
      <c r="U63" s="60">
        <f>'IT P&amp;L'!U62+'ES P&amp;L'!U63</f>
        <v>0</v>
      </c>
      <c r="V63" s="60">
        <f>'IT P&amp;L'!V62+'ES P&amp;L'!V63</f>
        <v>0</v>
      </c>
      <c r="W63" s="60">
        <f>'IT P&amp;L'!W62+'ES P&amp;L'!W63</f>
        <v>0</v>
      </c>
      <c r="X63" s="60">
        <f>'IT P&amp;L'!X62+'ES P&amp;L'!X63</f>
        <v>0</v>
      </c>
      <c r="Y63" s="60">
        <f>'IT P&amp;L'!Y62+'ES P&amp;L'!Y63</f>
        <v>0</v>
      </c>
      <c r="Z63" s="60">
        <f>'IT P&amp;L'!Z62+'ES P&amp;L'!Z63</f>
        <v>0</v>
      </c>
      <c r="AA63" s="60">
        <f>'IT P&amp;L'!AA62+'ES P&amp;L'!AA63</f>
        <v>0</v>
      </c>
      <c r="AB63" s="60">
        <f>'IT P&amp;L'!AB62+'ES P&amp;L'!AB63</f>
        <v>0</v>
      </c>
      <c r="AC63" s="60">
        <f>'IT P&amp;L'!AC62+'ES P&amp;L'!AC63</f>
        <v>0</v>
      </c>
      <c r="AD63" s="60">
        <f>'IT P&amp;L'!AD62+'ES P&amp;L'!AD63</f>
        <v>0</v>
      </c>
      <c r="AE63" s="60"/>
      <c r="AF63" s="61">
        <f t="shared" si="62"/>
        <v>0</v>
      </c>
      <c r="AG63" s="89"/>
      <c r="AH63" s="60">
        <f>'IT P&amp;L'!AH62+'ES P&amp;L'!AH63</f>
        <v>0</v>
      </c>
      <c r="AI63" s="60">
        <f>'IT P&amp;L'!AI62+'ES P&amp;L'!AI63</f>
        <v>0</v>
      </c>
      <c r="AJ63" s="60">
        <f>'IT P&amp;L'!AJ62+'ES P&amp;L'!AJ63</f>
        <v>0</v>
      </c>
      <c r="AK63" s="60">
        <f>'IT P&amp;L'!AK62+'ES P&amp;L'!AK63</f>
        <v>0</v>
      </c>
      <c r="AL63" s="60">
        <f>'IT P&amp;L'!AL62+'ES P&amp;L'!AL63</f>
        <v>0</v>
      </c>
      <c r="AM63" s="60">
        <f>'IT P&amp;L'!AM62+'ES P&amp;L'!AM63</f>
        <v>0</v>
      </c>
      <c r="AN63" s="60">
        <f>'IT P&amp;L'!AN62+'ES P&amp;L'!AN63</f>
        <v>0</v>
      </c>
      <c r="AO63" s="60">
        <f>'IT P&amp;L'!AO62+'ES P&amp;L'!AO63</f>
        <v>0</v>
      </c>
      <c r="AP63" s="60">
        <f>'IT P&amp;L'!AP62+'ES P&amp;L'!AP63</f>
        <v>0</v>
      </c>
      <c r="AQ63" s="60">
        <f>'IT P&amp;L'!AQ62+'ES P&amp;L'!AQ63</f>
        <v>0</v>
      </c>
      <c r="AR63" s="60">
        <f>'IT P&amp;L'!AR62+'ES P&amp;L'!AR63</f>
        <v>0</v>
      </c>
      <c r="AS63" s="60">
        <f>'IT P&amp;L'!AS62+'ES P&amp;L'!AS63</f>
        <v>0</v>
      </c>
      <c r="AT63" s="60"/>
      <c r="AU63" s="61">
        <f t="shared" si="63"/>
        <v>0</v>
      </c>
      <c r="AV63" s="89"/>
    </row>
    <row r="64" spans="2:48" outlineLevel="2">
      <c r="B64" s="51" t="s">
        <v>127</v>
      </c>
      <c r="D64" s="59" t="s">
        <v>184</v>
      </c>
      <c r="E64" s="59" t="s">
        <v>184</v>
      </c>
      <c r="F64" s="59">
        <v>-1181</v>
      </c>
      <c r="G64" s="59">
        <v>-1000</v>
      </c>
      <c r="H64" s="59">
        <v>-1169</v>
      </c>
      <c r="I64" s="59">
        <v>-3335</v>
      </c>
      <c r="J64" s="59">
        <v>-2894</v>
      </c>
      <c r="K64" s="59">
        <v>-4811</v>
      </c>
      <c r="L64" s="59">
        <v>-5005</v>
      </c>
      <c r="M64" s="60"/>
      <c r="N64" s="60"/>
      <c r="O64" s="60"/>
      <c r="P64" s="60"/>
      <c r="Q64" s="61">
        <f>SUM(D64:O64)</f>
        <v>-19395</v>
      </c>
      <c r="R64" s="510"/>
      <c r="S64" s="60">
        <f>-SUMIFS(B2B!V$144:V$162,B2B!$C$144:$C$162,LEFT($B$2,2))</f>
        <v>-5157.9160000000002</v>
      </c>
      <c r="T64" s="60">
        <f>-SUMIFS(B2B!W$144:W$162,B2B!$C$144:$C$162,LEFT($B$2,2))</f>
        <v>-19463.715</v>
      </c>
      <c r="U64" s="60">
        <f>-SUMIFS(B2B!X$144:X$162,B2B!$C$144:$C$162,LEFT($B$2,2))</f>
        <v>-6840</v>
      </c>
      <c r="V64" s="60">
        <f>-SUMIFS(B2B!Y$144:Y$162,B2B!$C$144:$C$162,LEFT($B$2,2))</f>
        <v>-11544.191028519153</v>
      </c>
      <c r="W64" s="60">
        <f>-SUMIFS(B2B!Z$144:Z$162,B2B!$C$144:$C$162,LEFT($B$2,2))</f>
        <v>-10354.08591760353</v>
      </c>
      <c r="X64" s="60">
        <f>-SUMIFS(B2B!AA$144:AA$162,B2B!$C$144:$C$162,LEFT($B$2,2))</f>
        <v>-6222.3569094884042</v>
      </c>
      <c r="Y64" s="60">
        <f>-SUMIFS(B2B!AB$144:AB$162,B2B!$C$144:$C$162,LEFT($B$2,2))</f>
        <v>-5781.7827948361928</v>
      </c>
      <c r="Z64" s="60">
        <f>-SUMIFS(B2B!AC$144:AC$162,B2B!$C$144:$C$162,LEFT($B$2,2))</f>
        <v>-9758.791373437869</v>
      </c>
      <c r="AA64" s="60">
        <f>-SUMIFS(B2B!AD$144:AD$162,B2B!$C$144:$C$162,LEFT($B$2,2))</f>
        <v>-8274.9138965698075</v>
      </c>
      <c r="AB64" s="60">
        <f>-SUMIFS(B2B!AE$144:AE$162,B2B!$C$144:$C$162,LEFT($B$2,2))</f>
        <v>-11510.900791457729</v>
      </c>
      <c r="AC64" s="60">
        <f>-SUMIFS(B2B!AF$144:AF$162,B2B!$C$144:$C$162,LEFT($B$2,2))</f>
        <v>-4847.4235807860259</v>
      </c>
      <c r="AD64" s="60">
        <f>-SUMIFS(B2B!AG$144:AG$162,B2B!$C$144:$C$162,LEFT($B$2,2))</f>
        <v>-7162.6602952777303</v>
      </c>
      <c r="AE64" s="60"/>
      <c r="AF64" s="61">
        <f>SUM(S64:AD64)</f>
        <v>-106918.73758797644</v>
      </c>
      <c r="AG64" s="89"/>
      <c r="AH64" s="60">
        <f>-SUMIFS(B2B!AK$144:AK$162,B2B!$C$144:$C$162,LEFT($B$2,2))</f>
        <v>-7460.5492800000011</v>
      </c>
      <c r="AI64" s="60">
        <f>-SUMIFS(B2B!AL$144:AL$162,B2B!$C$144:$C$162,LEFT($B$2,2))</f>
        <v>-15759.852144</v>
      </c>
      <c r="AJ64" s="60">
        <f>-SUMIFS(B2B!AM$144:AM$162,B2B!$C$144:$C$162,LEFT($B$2,2))</f>
        <v>-15860.449720000001</v>
      </c>
      <c r="AK64" s="60">
        <f>-SUMIFS(B2B!AN$144:AN$162,B2B!$C$144:$C$162,LEFT($B$2,2))</f>
        <v>-15292.940670800685</v>
      </c>
      <c r="AL64" s="60">
        <f>-SUMIFS(B2B!AO$144:AO$162,B2B!$C$144:$C$162,LEFT($B$2,2))</f>
        <v>-15259.911609876441</v>
      </c>
      <c r="AM64" s="60">
        <f>-SUMIFS(B2B!AP$144:AP$162,B2B!$C$144:$C$162,LEFT($B$2,2))</f>
        <v>-8722.842031679791</v>
      </c>
      <c r="AN64" s="60">
        <f>-SUMIFS(B2B!AQ$144:AQ$162,B2B!$C$144:$C$162,LEFT($B$2,2))</f>
        <v>-10337.775974999509</v>
      </c>
      <c r="AO64" s="60">
        <f>-SUMIFS(B2B!AR$144:AR$162,B2B!$C$144:$C$162,LEFT($B$2,2))</f>
        <v>-13219.573441601109</v>
      </c>
      <c r="AP64" s="60">
        <f>-SUMIFS(B2B!AS$144:AS$162,B2B!$C$144:$C$162,LEFT($B$2,2))</f>
        <v>-22904.551696871815</v>
      </c>
      <c r="AQ64" s="60">
        <f>-SUMIFS(B2B!AT$144:AT$162,B2B!$C$144:$C$162,LEFT($B$2,2))</f>
        <v>-19925.994185638978</v>
      </c>
      <c r="AR64" s="60">
        <f>-SUMIFS(B2B!AU$144:AU$162,B2B!$C$144:$C$162,LEFT($B$2,2))</f>
        <v>-14334.244407825327</v>
      </c>
      <c r="AS64" s="60">
        <f>-SUMIFS(B2B!AV$144:AV$162,B2B!$C$144:$C$162,LEFT($B$2,2))</f>
        <v>-11130.627211476371</v>
      </c>
      <c r="AT64" s="60"/>
      <c r="AU64" s="61">
        <f>SUM(AH64:AS64)</f>
        <v>-170209.31237477</v>
      </c>
      <c r="AV64" s="89"/>
    </row>
    <row r="65" spans="2:48" outlineLevel="2">
      <c r="B65" s="51" t="s">
        <v>128</v>
      </c>
      <c r="D65" s="59">
        <v>-2773</v>
      </c>
      <c r="E65" s="59">
        <v>-4690</v>
      </c>
      <c r="F65" s="59">
        <v>-5440</v>
      </c>
      <c r="G65" s="59">
        <v>-7400</v>
      </c>
      <c r="H65" s="59">
        <v>-4000</v>
      </c>
      <c r="I65" s="59">
        <v>-4000</v>
      </c>
      <c r="J65" s="59">
        <v>-4000</v>
      </c>
      <c r="K65" s="59">
        <v>-5000</v>
      </c>
      <c r="L65" s="59"/>
      <c r="M65" s="60"/>
      <c r="N65" s="60"/>
      <c r="O65" s="60"/>
      <c r="P65" s="60"/>
      <c r="Q65" s="61">
        <f>SUM(D65:O65)</f>
        <v>-37303</v>
      </c>
      <c r="R65" s="510"/>
      <c r="S65" s="60">
        <f>-SUMIFS(B2B!V$124:V$142,B2B!$C$124:$C$142,LEFT($B$2,2))</f>
        <v>-2578.9580000000001</v>
      </c>
      <c r="T65" s="60">
        <f>-SUMIFS(B2B!W$124:W$142,B2B!$C$124:$C$142,LEFT($B$2,2))</f>
        <v>-15919.3575</v>
      </c>
      <c r="U65" s="60">
        <f>-SUMIFS(B2B!X$124:X$142,B2B!$C$124:$C$142,LEFT($B$2,2))</f>
        <v>-4770</v>
      </c>
      <c r="V65" s="60">
        <f>-SUMIFS(B2B!Y$124:Y$142,B2B!$C$124:$C$142,LEFT($B$2,2))</f>
        <v>-8272.0955142595776</v>
      </c>
      <c r="W65" s="60">
        <f>-SUMIFS(B2B!Z$124:Z$142,B2B!$C$124:$C$142,LEFT($B$2,2))</f>
        <v>-6720.1106443912849</v>
      </c>
      <c r="X65" s="60">
        <f>-SUMIFS(B2B!AA$124:AA$142,B2B!$C$124:$C$142,LEFT($B$2,2))</f>
        <v>-4051.462297538962</v>
      </c>
      <c r="Y65" s="60">
        <f>-SUMIFS(B2B!AB$124:AB$142,B2B!$C$124:$C$142,LEFT($B$2,2))</f>
        <v>-3807.1031878111098</v>
      </c>
      <c r="Z65" s="60">
        <f>-SUMIFS(B2B!AC$124:AC$142,B2B!$C$124:$C$142,LEFT($B$2,2))</f>
        <v>-5931.2515819154396</v>
      </c>
      <c r="AA65" s="60">
        <f>-SUMIFS(B2B!AD$124:AD$142,B2B!$C$124:$C$142,LEFT($B$2,2))</f>
        <v>-4941.1687386779176</v>
      </c>
      <c r="AB65" s="60">
        <f>-SUMIFS(B2B!AE$124:AE$142,B2B!$C$124:$C$142,LEFT($B$2,2))</f>
        <v>-7186.0180813183833</v>
      </c>
      <c r="AC65" s="60">
        <f>-SUMIFS(B2B!AF$124:AF$142,B2B!$C$124:$C$142,LEFT($B$2,2))</f>
        <v>-3227.4235807860264</v>
      </c>
      <c r="AD65" s="60">
        <f>-SUMIFS(B2B!AG$124:AG$142,B2B!$C$124:$C$142,LEFT($B$2,2))</f>
        <v>-4385.0419380318781</v>
      </c>
      <c r="AE65" s="60"/>
      <c r="AF65" s="61">
        <f>SUM(S65:AD65)</f>
        <v>-71789.991064730581</v>
      </c>
      <c r="AG65" s="89"/>
      <c r="AH65" s="60">
        <f>-SUMIFS(B2B!AK$124:AK$142,B2B!$C$124:$C$142,LEFT($B$2,2))</f>
        <v>-4675.2746400000005</v>
      </c>
      <c r="AI65" s="60">
        <f>-SUMIFS(B2B!AL$124:AL$142,B2B!$C$124:$C$142,LEFT($B$2,2))</f>
        <v>-9297.4260720000002</v>
      </c>
      <c r="AJ65" s="60">
        <f>-SUMIFS(B2B!AM$124:AM$142,B2B!$C$124:$C$142,LEFT($B$2,2))</f>
        <v>-9347.7248600000003</v>
      </c>
      <c r="AK65" s="60">
        <f>-SUMIFS(B2B!AN$124:AN$142,B2B!$C$124:$C$142,LEFT($B$2,2))</f>
        <v>-10271.470335400343</v>
      </c>
      <c r="AL65" s="60">
        <f>-SUMIFS(B2B!AO$124:AO$142,B2B!$C$124:$C$142,LEFT($B$2,2))</f>
        <v>-9250.1768748072172</v>
      </c>
      <c r="AM65" s="60">
        <f>-SUMIFS(B2B!AP$124:AP$142,B2B!$C$124:$C$142,LEFT($B$2,2))</f>
        <v>-5348.7190507743935</v>
      </c>
      <c r="AN65" s="60">
        <f>-SUMIFS(B2B!AQ$124:AQ$142,B2B!$C$124:$C$142,LEFT($B$2,2))</f>
        <v>-6130.9103674124181</v>
      </c>
      <c r="AO65" s="60">
        <f>-SUMIFS(B2B!AR$124:AR$142,B2B!$C$124:$C$142,LEFT($B$2,2))</f>
        <v>-7714.2354107568854</v>
      </c>
      <c r="AP65" s="60">
        <f>-SUMIFS(B2B!AS$124:AS$142,B2B!$C$124:$C$142,LEFT($B$2,2))</f>
        <v>-12296.173228348569</v>
      </c>
      <c r="AQ65" s="60">
        <f>-SUMIFS(B2B!AT$124:AT$142,B2B!$C$124:$C$142,LEFT($B$2,2))</f>
        <v>-11465.093162688483</v>
      </c>
      <c r="AR65" s="60">
        <f>-SUMIFS(B2B!AU$124:AU$142,B2B!$C$124:$C$142,LEFT($B$2,2))</f>
        <v>-8011.0195838253276</v>
      </c>
      <c r="AS65" s="60">
        <f>-SUMIFS(B2B!AV$124:AV$142,B2B!$C$124:$C$142,LEFT($B$2,2))</f>
        <v>-6409.2109856508487</v>
      </c>
      <c r="AT65" s="60"/>
      <c r="AU65" s="61">
        <f>SUM(AH65:AS65)</f>
        <v>-100217.43457166449</v>
      </c>
      <c r="AV65" s="89"/>
    </row>
    <row r="66" spans="2:48" outlineLevel="2">
      <c r="B66" s="51" t="s">
        <v>166</v>
      </c>
      <c r="D66" s="59">
        <v>-17852</v>
      </c>
      <c r="E66" s="59" t="s">
        <v>184</v>
      </c>
      <c r="F66" s="59">
        <v>-14262</v>
      </c>
      <c r="G66" s="59"/>
      <c r="H66" s="59"/>
      <c r="I66" s="59"/>
      <c r="J66" s="59"/>
      <c r="K66" s="59"/>
      <c r="L66" s="59"/>
      <c r="M66" s="60"/>
      <c r="N66" s="60"/>
      <c r="O66" s="60"/>
      <c r="P66" s="60"/>
      <c r="Q66" s="61"/>
      <c r="R66" s="510"/>
      <c r="S66" s="60">
        <f>-SUMIFS(B2B!V$162:V$189,B2B!$C$162:$C$189,LEFT($B$2,2))</f>
        <v>-2603.9580000000001</v>
      </c>
      <c r="T66" s="60">
        <f>-SUMIFS(B2B!W$162:W$189,B2B!$C$162:$C$189,LEFT($B$2,2))</f>
        <v>-15944.3575</v>
      </c>
      <c r="U66" s="60">
        <f>-SUMIFS(B2B!X$162:X$189,B2B!$C$162:$C$189,LEFT($B$2,2))</f>
        <v>-4832.5</v>
      </c>
      <c r="V66" s="60">
        <f>-SUMIFS(B2B!Y$162:Y$189,B2B!$C$162:$C$189,LEFT($B$2,2))</f>
        <v>-8297.0955142595776</v>
      </c>
      <c r="W66" s="60">
        <f>-SUMIFS(B2B!Z$162:Z$189,B2B!$C$162:$C$189,LEFT($B$2,2))</f>
        <v>-6745.1106443912849</v>
      </c>
      <c r="X66" s="60">
        <f>-SUMIFS(B2B!AA$162:AA$189,B2B!$C$162:$C$189,LEFT($B$2,2))</f>
        <v>-4113.962297538962</v>
      </c>
      <c r="Y66" s="60">
        <f>-SUMIFS(B2B!AB$162:AB$189,B2B!$C$162:$C$189,LEFT($B$2,2))</f>
        <v>-3832.1031878111098</v>
      </c>
      <c r="Z66" s="60">
        <f>-SUMIFS(B2B!AC$162:AC$189,B2B!$C$162:$C$189,LEFT($B$2,2))</f>
        <v>-5956.2515819154396</v>
      </c>
      <c r="AA66" s="60">
        <f>-SUMIFS(B2B!AD$162:AD$189,B2B!$C$162:$C$189,LEFT($B$2,2))</f>
        <v>-5003.6687386779176</v>
      </c>
      <c r="AB66" s="60">
        <f>-SUMIFS(B2B!AE$162:AE$189,B2B!$C$162:$C$189,LEFT($B$2,2))</f>
        <v>-7211.0180813183833</v>
      </c>
      <c r="AC66" s="60">
        <f>-SUMIFS(B2B!AF$162:AF$189,B2B!$C$162:$C$189,LEFT($B$2,2))</f>
        <v>-3252.4235807860264</v>
      </c>
      <c r="AD66" s="60">
        <f>-SUMIFS(B2B!AG$162:AG$189,B2B!$C$162:$C$189,LEFT($B$2,2))</f>
        <v>-4410.0419380318781</v>
      </c>
      <c r="AE66" s="60"/>
      <c r="AF66" s="61">
        <f>SUM(S66:AD66)</f>
        <v>-72202.491064730581</v>
      </c>
      <c r="AG66" s="89"/>
      <c r="AH66" s="60">
        <f>-SUMIFS(B2B!AK$162:AK$189,B2B!$C$162:$C$189,LEFT($B$2,2))</f>
        <v>-4701.5246400000005</v>
      </c>
      <c r="AI66" s="60">
        <f>-SUMIFS(B2B!AL$162:AL$189,B2B!$C$162:$C$189,LEFT($B$2,2))</f>
        <v>-6689.1561000000002</v>
      </c>
      <c r="AJ66" s="60">
        <f>-SUMIFS(B2B!AM$162:AM$189,B2B!$C$162:$C$189,LEFT($B$2,2))</f>
        <v>-5136.2250000000004</v>
      </c>
      <c r="AK66" s="60">
        <f>-SUMIFS(B2B!AN$162:AN$189,B2B!$C$162:$C$189,LEFT($B$2,2))</f>
        <v>-8810.1131554003423</v>
      </c>
      <c r="AL66" s="60">
        <f>-SUMIFS(B2B!AO$162:AO$189,B2B!$C$162:$C$189,LEFT($B$2,2))</f>
        <v>-7191.3854348072164</v>
      </c>
      <c r="AM66" s="60">
        <f>-SUMIFS(B2B!AP$162:AP$189,B2B!$C$162:$C$189,LEFT($B$2,2))</f>
        <v>-4384.7872507743932</v>
      </c>
      <c r="AN66" s="60">
        <f>-SUMIFS(B2B!AQ$162:AQ$189,B2B!$C$162:$C$189,LEFT($B$2,2))</f>
        <v>-4082.948735412418</v>
      </c>
      <c r="AO66" s="60">
        <f>-SUMIFS(B2B!AR$162:AR$189,B2B!$C$162:$C$189,LEFT($B$2,2))</f>
        <v>-6368.8903547568852</v>
      </c>
      <c r="AP66" s="60">
        <f>-SUMIFS(B2B!AS$162:AS$189,B2B!$C$162:$C$189,LEFT($B$2,2))</f>
        <v>-5353.86453034857</v>
      </c>
      <c r="AQ66" s="60">
        <f>-SUMIFS(B2B!AT$162:AT$189,B2B!$C$162:$C$189,LEFT($B$2,2))</f>
        <v>-7701.315466688483</v>
      </c>
      <c r="AR66" s="60">
        <f>-SUMIFS(B2B!AU$162:AU$189,B2B!$C$162:$C$189,LEFT($B$2,2))</f>
        <v>-3463.6447598253276</v>
      </c>
      <c r="AS66" s="60">
        <f>-SUMIFS(B2B!AV$162:AV$189,B2B!$C$162:$C$189,LEFT($B$2,2))</f>
        <v>-4713.8725856508481</v>
      </c>
      <c r="AT66" s="60"/>
      <c r="AU66" s="61">
        <f>SUM(AH66:AS66)</f>
        <v>-68597.728013664484</v>
      </c>
      <c r="AV66" s="89"/>
    </row>
    <row r="67" spans="2:48" outlineLevel="2">
      <c r="B67" s="51" t="s">
        <v>129</v>
      </c>
      <c r="D67" s="59">
        <v>-4848</v>
      </c>
      <c r="E67" s="59">
        <v>-4872</v>
      </c>
      <c r="F67" s="59">
        <v>-4437</v>
      </c>
      <c r="G67" s="59">
        <v>-5734</v>
      </c>
      <c r="H67" s="59">
        <v>-8132</v>
      </c>
      <c r="I67" s="59">
        <v>-15491</v>
      </c>
      <c r="J67" s="59">
        <v>-15532</v>
      </c>
      <c r="K67" s="59">
        <v>-16225</v>
      </c>
      <c r="L67" s="59">
        <v>-18409</v>
      </c>
      <c r="M67" s="60">
        <v>-13702</v>
      </c>
      <c r="N67" s="60">
        <v>-13702</v>
      </c>
      <c r="O67" s="60">
        <v>-10608</v>
      </c>
      <c r="P67" s="60"/>
      <c r="Q67" s="61">
        <f>SUM(D67:O67)</f>
        <v>-131692</v>
      </c>
      <c r="R67" s="503"/>
      <c r="S67" s="60">
        <f>-SUMIFS(B2B!V124:V204,B2B!$C$124:$C$204,"CE",B2B!$A$124:$A$204,"Trade Shows")</f>
        <v>-8500</v>
      </c>
      <c r="T67" s="60">
        <f>-SUMIFS(B2B!W124:W204,B2B!$C$124:$C$204,"CE",B2B!$A$124:$A$204,"Trade Shows")</f>
        <v>-17000</v>
      </c>
      <c r="U67" s="60">
        <f>-SUMIFS(B2B!X124:X204,B2B!$C$124:$C$204,"CE",B2B!$A$124:$A$204,"Trade Shows")</f>
        <v>0</v>
      </c>
      <c r="V67" s="60">
        <f>-SUMIFS(B2B!Y124:Y204,B2B!$C$124:$C$204,"CE",B2B!$A$124:$A$204,"Trade Shows")</f>
        <v>-14000</v>
      </c>
      <c r="W67" s="60">
        <f>-SUMIFS(B2B!Z124:Z204,B2B!$C$124:$C$204,"CE",B2B!$A$124:$A$204,"Trade Shows")</f>
        <v>0</v>
      </c>
      <c r="X67" s="60">
        <f>-SUMIFS(B2B!AA124:AA204,B2B!$C$124:$C$204,"CE",B2B!$A$124:$A$204,"Trade Shows")</f>
        <v>0</v>
      </c>
      <c r="Y67" s="60">
        <f>-SUMIFS(B2B!AB124:AB204,B2B!$C$124:$C$204,"CE",B2B!$A$124:$A$204,"Trade Shows")</f>
        <v>0</v>
      </c>
      <c r="Z67" s="60">
        <f>-SUMIFS(B2B!AC124:AC204,B2B!$C$124:$C$204,"CE",B2B!$A$124:$A$204,"Trade Shows")</f>
        <v>0</v>
      </c>
      <c r="AA67" s="60">
        <f>-SUMIFS(B2B!AD124:AD204,B2B!$C$124:$C$204,"CE",B2B!$A$124:$A$204,"Trade Shows")</f>
        <v>0</v>
      </c>
      <c r="AB67" s="60">
        <f>-SUMIFS(B2B!AE124:AE204,B2B!$C$124:$C$204,"CE",B2B!$A$124:$A$204,"Trade Shows")</f>
        <v>0</v>
      </c>
      <c r="AC67" s="60">
        <f>-SUMIFS(B2B!AF124:AF204,B2B!$C$124:$C$204,"CE",B2B!$A$124:$A$204,"Trade Shows")</f>
        <v>0</v>
      </c>
      <c r="AD67" s="60">
        <f>-SUMIFS(B2B!AG124:AG204,B2B!$C$124:$C$204,"CE",B2B!$A$124:$A$204,"Trade Shows")</f>
        <v>0</v>
      </c>
      <c r="AE67" s="60"/>
      <c r="AF67" s="61">
        <f>SUM(S67:AD67)</f>
        <v>-39500</v>
      </c>
      <c r="AG67" s="89"/>
      <c r="AH67" s="60">
        <f>-SUMIFS(B2B!AK124:AK204,B2B!$C$124:$C$204,"CE",B2B!$A$124:$A$204,"Trade Shows")</f>
        <v>-8500</v>
      </c>
      <c r="AI67" s="60">
        <f>-SUMIFS(B2B!AL124:AL204,B2B!$C$124:$C$204,"CE",B2B!$A$124:$A$204,"Trade Shows")</f>
        <v>-17000</v>
      </c>
      <c r="AJ67" s="60">
        <f>-SUMIFS(B2B!AM124:AM204,B2B!$C$124:$C$204,"CE",B2B!$A$124:$A$204,"Trade Shows")</f>
        <v>0</v>
      </c>
      <c r="AK67" s="60">
        <f>-SUMIFS(B2B!AN124:AN204,B2B!$C$124:$C$204,"CE",B2B!$A$124:$A$204,"Trade Shows")</f>
        <v>-14000</v>
      </c>
      <c r="AL67" s="60">
        <f>-SUMIFS(B2B!AO124:AO204,B2B!$C$124:$C$204,"CE",B2B!$A$124:$A$204,"Trade Shows")</f>
        <v>0</v>
      </c>
      <c r="AM67" s="60">
        <f>-SUMIFS(B2B!AP124:AP204,B2B!$C$124:$C$204,"CE",B2B!$A$124:$A$204,"Trade Shows")</f>
        <v>0</v>
      </c>
      <c r="AN67" s="60">
        <f>-SUMIFS(B2B!AQ124:AQ204,B2B!$C$124:$C$204,"CE",B2B!$A$124:$A$204,"Trade Shows")</f>
        <v>0</v>
      </c>
      <c r="AO67" s="60">
        <f>-SUMIFS(B2B!AR124:AR204,B2B!$C$124:$C$204,"CE",B2B!$A$124:$A$204,"Trade Shows")</f>
        <v>0</v>
      </c>
      <c r="AP67" s="60">
        <f>-SUMIFS(B2B!AS124:AS204,B2B!$C$124:$C$204,"CE",B2B!$A$124:$A$204,"Trade Shows")</f>
        <v>0</v>
      </c>
      <c r="AQ67" s="60">
        <f>-SUMIFS(B2B!AT124:AT204,B2B!$C$124:$C$204,"CE",B2B!$A$124:$A$204,"Trade Shows")</f>
        <v>0</v>
      </c>
      <c r="AR67" s="60">
        <f>-SUMIFS(B2B!AU124:AU204,B2B!$C$124:$C$204,"CE",B2B!$A$124:$A$204,"Trade Shows")</f>
        <v>0</v>
      </c>
      <c r="AS67" s="60">
        <f>-SUMIFS(B2B!AV124:AV204,B2B!$C$124:$C$204,"CE",B2B!$A$124:$A$204,"Trade Shows")</f>
        <v>0</v>
      </c>
      <c r="AT67" s="60"/>
      <c r="AU67" s="61">
        <f>SUM(AH67:AS67)</f>
        <v>-39500</v>
      </c>
      <c r="AV67" s="89"/>
    </row>
    <row r="68" spans="2:48" outlineLevel="2">
      <c r="B68" s="51" t="s">
        <v>130</v>
      </c>
      <c r="D68" s="59"/>
      <c r="E68" s="59"/>
      <c r="F68" s="59"/>
      <c r="G68" s="59"/>
      <c r="H68" s="59"/>
      <c r="I68" s="59"/>
      <c r="J68" s="59"/>
      <c r="K68" s="59"/>
      <c r="L68" s="59"/>
      <c r="M68" s="60"/>
      <c r="N68" s="60"/>
      <c r="O68" s="60"/>
      <c r="P68" s="60"/>
      <c r="Q68" s="61">
        <f>SUM(D68:O68)</f>
        <v>0</v>
      </c>
      <c r="R68" s="503"/>
      <c r="S68" s="60">
        <f>-SUMIF(Amazon!$B$53:$B$58,"CE",Amazon!Q53:Q58)</f>
        <v>-15956.655999999999</v>
      </c>
      <c r="T68" s="60">
        <f>-SUMIF(Amazon!$B$53:$B$58,"CE",Amazon!R53:R58)</f>
        <v>-24171.96</v>
      </c>
      <c r="U68" s="60">
        <f>-SUMIF(Amazon!$B$53:$B$58,"CE",Amazon!S53:S58)</f>
        <v>-18758.0046</v>
      </c>
      <c r="V68" s="60">
        <f>-SUMIF(Amazon!$B$53:$B$58,"CE",Amazon!T53:T58)</f>
        <v>-18761.2624</v>
      </c>
      <c r="W68" s="60">
        <f>-SUMIF(Amazon!$B$53:$B$58,"CE",Amazon!U53:U58)</f>
        <v>-17702.495999999999</v>
      </c>
      <c r="X68" s="60">
        <f>-SUMIF(Amazon!$B$53:$B$58,"CE",Amazon!V53:V58)</f>
        <v>-23853.4192</v>
      </c>
      <c r="Y68" s="60">
        <f>-SUMIF(Amazon!$B$53:$B$58,"CE",Amazon!W53:W58)</f>
        <v>-17674.316000000003</v>
      </c>
      <c r="Z68" s="60">
        <f>-SUMIF(Amazon!$B$53:$B$58,"CE",Amazon!X53:X58)</f>
        <v>-20520.096400000002</v>
      </c>
      <c r="AA68" s="60">
        <f>-SUMIF(Amazon!$B$53:$B$58,"CE",Amazon!Y53:Y58)</f>
        <v>-26132.081600000001</v>
      </c>
      <c r="AB68" s="60">
        <f>-SUMIF(Amazon!$B$53:$B$58,"CE",Amazon!Z53:Z58)</f>
        <v>-29114.678199999998</v>
      </c>
      <c r="AC68" s="60">
        <f>-SUMIF(Amazon!$B$53:$B$58,"CE",Amazon!AA53:AA58)</f>
        <v>-27599.227800000001</v>
      </c>
      <c r="AD68" s="60">
        <f>-SUMIF(Amazon!$B$53:$B$58,"CE",Amazon!AB53:AB58)</f>
        <v>-22641.766800000001</v>
      </c>
      <c r="AE68" s="60"/>
      <c r="AF68" s="61">
        <f>SUM(S68:AD68)</f>
        <v>-262885.96500000003</v>
      </c>
      <c r="AG68" s="89"/>
      <c r="AH68" s="60">
        <f>-SUMIF(Amazon!$B$53:$B$58,"CE",Amazon!AE53:AE58)</f>
        <v>-18740</v>
      </c>
      <c r="AI68" s="60">
        <f>-SUMIF(Amazon!$B$53:$B$58,"CE",Amazon!AF53:AF58)</f>
        <v>-25240</v>
      </c>
      <c r="AJ68" s="60">
        <f>-SUMIF(Amazon!$B$53:$B$58,"CE",Amazon!AG53:AG58)</f>
        <v>-19740</v>
      </c>
      <c r="AK68" s="60">
        <f>-SUMIF(Amazon!$B$53:$B$58,"CE",Amazon!AH53:AH58)</f>
        <v>-19740</v>
      </c>
      <c r="AL68" s="60">
        <f>-SUMIF(Amazon!$B$53:$B$58,"CE",Amazon!AI53:AI58)</f>
        <v>-18642</v>
      </c>
      <c r="AM68" s="60">
        <f>-SUMIF(Amazon!$B$53:$B$58,"CE",Amazon!AJ53:AJ58)</f>
        <v>-25662</v>
      </c>
      <c r="AN68" s="60">
        <f>-SUMIF(Amazon!$B$53:$B$58,"CE",Amazon!AK53:AK58)</f>
        <v>-19060</v>
      </c>
      <c r="AO68" s="60">
        <f>-SUMIF(Amazon!$B$53:$B$58,"CE",Amazon!AL53:AL58)</f>
        <v>-19560</v>
      </c>
      <c r="AP68" s="60">
        <f>-SUMIF(Amazon!$B$53:$B$58,"CE",Amazon!AM53:AM58)</f>
        <v>-24560</v>
      </c>
      <c r="AQ68" s="60">
        <f>-SUMIF(Amazon!$B$53:$B$58,"CE",Amazon!AN53:AN58)</f>
        <v>-25060</v>
      </c>
      <c r="AR68" s="60">
        <f>-SUMIF(Amazon!$B$53:$B$58,"CE",Amazon!AO53:AO58)</f>
        <v>-23560</v>
      </c>
      <c r="AS68" s="60">
        <f>-SUMIF(Amazon!$B$53:$B$58,"CE",Amazon!AP53:AP58)</f>
        <v>-21560</v>
      </c>
      <c r="AT68" s="60"/>
      <c r="AU68" s="61">
        <f>SUM(AH68:AS68)</f>
        <v>-261124</v>
      </c>
      <c r="AV68" s="89"/>
    </row>
    <row r="69" spans="2:48" outlineLevel="1">
      <c r="B69" s="51" t="s">
        <v>131</v>
      </c>
      <c r="D69" s="59">
        <v>-1138</v>
      </c>
      <c r="E69" s="59">
        <v>-967</v>
      </c>
      <c r="F69" s="59">
        <v>-1180</v>
      </c>
      <c r="G69" s="59">
        <v>-1456</v>
      </c>
      <c r="H69" s="59">
        <v>-2086</v>
      </c>
      <c r="I69" s="59">
        <v>-4362</v>
      </c>
      <c r="J69" s="59">
        <v>-4346</v>
      </c>
      <c r="K69" s="59"/>
      <c r="L69" s="59"/>
      <c r="M69" s="60"/>
      <c r="N69" s="60"/>
      <c r="O69" s="60"/>
      <c r="P69" s="60"/>
      <c r="Q69" s="61">
        <f t="shared" si="59"/>
        <v>-15535</v>
      </c>
      <c r="R69" s="503"/>
      <c r="S69" s="60">
        <f>'IT P&amp;L'!S68+'ES P&amp;L'!S69</f>
        <v>0</v>
      </c>
      <c r="T69" s="60">
        <f>'IT P&amp;L'!T68+'ES P&amp;L'!T69</f>
        <v>0</v>
      </c>
      <c r="U69" s="60">
        <f>'IT P&amp;L'!U68+'ES P&amp;L'!U69</f>
        <v>0</v>
      </c>
      <c r="V69" s="60">
        <f>'IT P&amp;L'!V68+'ES P&amp;L'!V69</f>
        <v>0</v>
      </c>
      <c r="W69" s="60">
        <f>'IT P&amp;L'!W68+'ES P&amp;L'!W69</f>
        <v>0</v>
      </c>
      <c r="X69" s="60">
        <f>'IT P&amp;L'!X68+'ES P&amp;L'!X69</f>
        <v>0</v>
      </c>
      <c r="Y69" s="60">
        <f>'IT P&amp;L'!Y68+'ES P&amp;L'!Y69</f>
        <v>0</v>
      </c>
      <c r="Z69" s="60">
        <f>'IT P&amp;L'!Z68+'ES P&amp;L'!Z69</f>
        <v>0</v>
      </c>
      <c r="AA69" s="60">
        <f>'IT P&amp;L'!AA68+'ES P&amp;L'!AA69</f>
        <v>0</v>
      </c>
      <c r="AB69" s="60">
        <f>'IT P&amp;L'!AB68+'ES P&amp;L'!AB69</f>
        <v>0</v>
      </c>
      <c r="AC69" s="60">
        <f>'IT P&amp;L'!AC68+'ES P&amp;L'!AC69</f>
        <v>0</v>
      </c>
      <c r="AD69" s="60">
        <f>'IT P&amp;L'!AD68+'ES P&amp;L'!AD69</f>
        <v>0</v>
      </c>
      <c r="AE69" s="60"/>
      <c r="AF69" s="61">
        <f t="shared" si="62"/>
        <v>0</v>
      </c>
      <c r="AG69" s="89"/>
      <c r="AH69" s="60">
        <f>'IT P&amp;L'!AH68+'ES P&amp;L'!AH69</f>
        <v>0</v>
      </c>
      <c r="AI69" s="60">
        <f>'IT P&amp;L'!AI68+'ES P&amp;L'!AI69</f>
        <v>0</v>
      </c>
      <c r="AJ69" s="60">
        <f>'IT P&amp;L'!AJ68+'ES P&amp;L'!AJ69</f>
        <v>0</v>
      </c>
      <c r="AK69" s="60">
        <f>'IT P&amp;L'!AK68+'ES P&amp;L'!AK69</f>
        <v>0</v>
      </c>
      <c r="AL69" s="60">
        <f>'IT P&amp;L'!AL68+'ES P&amp;L'!AL69</f>
        <v>0</v>
      </c>
      <c r="AM69" s="60">
        <f>'IT P&amp;L'!AM68+'ES P&amp;L'!AM69</f>
        <v>0</v>
      </c>
      <c r="AN69" s="60">
        <f>'IT P&amp;L'!AN68+'ES P&amp;L'!AN69</f>
        <v>0</v>
      </c>
      <c r="AO69" s="60">
        <f>'IT P&amp;L'!AO68+'ES P&amp;L'!AO69</f>
        <v>0</v>
      </c>
      <c r="AP69" s="60">
        <f>'IT P&amp;L'!AP68+'ES P&amp;L'!AP69</f>
        <v>0</v>
      </c>
      <c r="AQ69" s="60">
        <f>'IT P&amp;L'!AQ68+'ES P&amp;L'!AQ69</f>
        <v>0</v>
      </c>
      <c r="AR69" s="60">
        <f>'IT P&amp;L'!AR68+'ES P&amp;L'!AR69</f>
        <v>0</v>
      </c>
      <c r="AS69" s="60">
        <f>'IT P&amp;L'!AS68+'ES P&amp;L'!AS69</f>
        <v>0</v>
      </c>
      <c r="AT69" s="60"/>
      <c r="AU69" s="61">
        <f t="shared" si="63"/>
        <v>0</v>
      </c>
      <c r="AV69" s="89"/>
    </row>
    <row r="70" spans="2:48" outlineLevel="1">
      <c r="D70" s="59"/>
      <c r="E70" s="59"/>
      <c r="F70" s="59"/>
      <c r="G70" s="59"/>
      <c r="H70" s="59"/>
      <c r="I70" s="59"/>
      <c r="J70" s="59"/>
      <c r="K70" s="59"/>
      <c r="L70" s="59"/>
      <c r="M70" s="60"/>
      <c r="N70" s="60"/>
      <c r="O70" s="60"/>
      <c r="Q70" s="61"/>
      <c r="R70" s="503"/>
      <c r="S70" s="83"/>
      <c r="T70" s="83"/>
      <c r="U70" s="83"/>
      <c r="V70" s="83"/>
      <c r="W70" s="83"/>
      <c r="AG70" s="89"/>
      <c r="AH70" s="83"/>
      <c r="AI70" s="83"/>
      <c r="AJ70" s="83"/>
      <c r="AK70" s="83"/>
      <c r="AL70" s="83"/>
      <c r="AV70" s="89"/>
    </row>
    <row r="71" spans="2:48">
      <c r="B71" s="63" t="s">
        <v>132</v>
      </c>
      <c r="C71" s="52"/>
      <c r="D71" s="64">
        <f>SUM(D59:D69)</f>
        <v>-41732</v>
      </c>
      <c r="E71" s="64">
        <f t="shared" ref="E71:L71" si="64">SUM(E59:E69)</f>
        <v>-36414</v>
      </c>
      <c r="F71" s="64">
        <f t="shared" si="64"/>
        <v>-44058</v>
      </c>
      <c r="G71" s="64">
        <f t="shared" si="64"/>
        <v>-61575</v>
      </c>
      <c r="H71" s="64">
        <f t="shared" si="64"/>
        <v>-36410</v>
      </c>
      <c r="I71" s="64">
        <f t="shared" si="64"/>
        <v>-63902</v>
      </c>
      <c r="J71" s="64">
        <f t="shared" si="64"/>
        <v>-58452</v>
      </c>
      <c r="K71" s="64">
        <f t="shared" si="64"/>
        <v>-49030</v>
      </c>
      <c r="L71" s="64">
        <f t="shared" si="64"/>
        <v>-59560</v>
      </c>
      <c r="M71" s="65">
        <f t="shared" ref="M71:O71" si="65">SUM(M59:M70)</f>
        <v>-65093</v>
      </c>
      <c r="N71" s="65">
        <f t="shared" si="65"/>
        <v>-38200</v>
      </c>
      <c r="O71" s="65">
        <f t="shared" si="65"/>
        <v>-46494</v>
      </c>
      <c r="P71" s="61"/>
      <c r="Q71" s="65">
        <f>SUM(D71:O71)</f>
        <v>-600920</v>
      </c>
      <c r="R71" s="505"/>
      <c r="S71" s="84">
        <f t="shared" ref="S71" si="66">SUM(S59:S70)</f>
        <v>-72268.788</v>
      </c>
      <c r="T71" s="84">
        <f>SUM(T59:T70)</f>
        <v>-160915.38999999998</v>
      </c>
      <c r="U71" s="84">
        <f>SUM(U59:U70)</f>
        <v>-95148.404599999994</v>
      </c>
      <c r="V71" s="84">
        <f>SUM(V59:V70)</f>
        <v>-89445.944457038306</v>
      </c>
      <c r="W71" s="84">
        <f>SUM(W59:W70)</f>
        <v>-79586.803206386103</v>
      </c>
      <c r="X71" s="65">
        <f t="shared" ref="X71:AD71" si="67">SUM(X59:X70)</f>
        <v>-111208.00070456634</v>
      </c>
      <c r="Y71" s="65">
        <f t="shared" si="67"/>
        <v>-70173.805170458421</v>
      </c>
      <c r="Z71" s="65">
        <f t="shared" si="67"/>
        <v>-76876.390937268734</v>
      </c>
      <c r="AA71" s="65">
        <f t="shared" si="67"/>
        <v>-107751.83297392566</v>
      </c>
      <c r="AB71" s="65">
        <f t="shared" si="67"/>
        <v>-109522.61515409448</v>
      </c>
      <c r="AC71" s="65">
        <f t="shared" si="67"/>
        <v>-67426.49854235808</v>
      </c>
      <c r="AD71" s="65">
        <f t="shared" si="67"/>
        <v>-64599.510971341486</v>
      </c>
      <c r="AE71" s="61"/>
      <c r="AF71" s="65">
        <f>SUM(S71:AD71)</f>
        <v>-1104923.9847174375</v>
      </c>
      <c r="AG71" s="531">
        <f>IFERROR(AF71/Q71-1,0)</f>
        <v>0.83872060293789108</v>
      </c>
      <c r="AH71" s="84">
        <f t="shared" ref="AH71" si="68">SUM(AH59:AH70)</f>
        <v>-89019.948560000019</v>
      </c>
      <c r="AI71" s="84">
        <f>SUM(AI59:AI70)</f>
        <v>-195818.434316</v>
      </c>
      <c r="AJ71" s="84">
        <f>SUM(AJ59:AJ70)</f>
        <v>-154980.19958000001</v>
      </c>
      <c r="AK71" s="84">
        <f>SUM(AK59:AK70)</f>
        <v>-117757.12416160137</v>
      </c>
      <c r="AL71" s="84">
        <f>SUM(AL59:AL70)</f>
        <v>-118973.47391949088</v>
      </c>
      <c r="AM71" s="65">
        <f t="shared" ref="AM71:AS71" si="69">SUM(AM59:AM70)</f>
        <v>-175051.94833322856</v>
      </c>
      <c r="AN71" s="65">
        <f t="shared" si="69"/>
        <v>-96513.03507782433</v>
      </c>
      <c r="AO71" s="65">
        <f t="shared" si="69"/>
        <v>-101282.69920711489</v>
      </c>
      <c r="AP71" s="65">
        <f t="shared" si="69"/>
        <v>-176914.58945556896</v>
      </c>
      <c r="AQ71" s="65">
        <f t="shared" si="69"/>
        <v>-165652.40281501593</v>
      </c>
      <c r="AR71" s="65">
        <f t="shared" si="69"/>
        <v>-98868.908751475989</v>
      </c>
      <c r="AS71" s="65">
        <f t="shared" si="69"/>
        <v>-93313.710782778071</v>
      </c>
      <c r="AT71" s="61"/>
      <c r="AU71" s="65">
        <f>SUM(AH71:AS71)</f>
        <v>-1584146.4749600992</v>
      </c>
      <c r="AV71" s="531">
        <f>IFERROR(AU71/AF71-1,0)</f>
        <v>0.4337153477261273</v>
      </c>
    </row>
    <row r="72" spans="2:48">
      <c r="D72" s="53"/>
      <c r="E72" s="53"/>
      <c r="F72" s="53"/>
      <c r="G72" s="53"/>
      <c r="H72" s="53"/>
      <c r="I72" s="53"/>
      <c r="J72" s="53"/>
      <c r="K72" s="53"/>
      <c r="L72" s="53"/>
      <c r="R72" s="503"/>
      <c r="S72" s="88"/>
      <c r="T72" s="88"/>
      <c r="U72" s="88"/>
      <c r="V72" s="88"/>
      <c r="W72" s="88"/>
      <c r="AF72" s="141"/>
      <c r="AG72" s="89"/>
      <c r="AH72" s="88"/>
      <c r="AI72" s="88"/>
      <c r="AJ72" s="88"/>
      <c r="AK72" s="88"/>
      <c r="AL72" s="88"/>
      <c r="AV72" s="89"/>
    </row>
    <row r="73" spans="2:48" outlineLevel="1">
      <c r="B73" s="67" t="s">
        <v>133</v>
      </c>
      <c r="C73" s="52"/>
      <c r="D73" s="68">
        <v>7639</v>
      </c>
      <c r="E73" s="68">
        <v>-4955</v>
      </c>
      <c r="F73" s="68">
        <v>7136</v>
      </c>
      <c r="G73" s="68">
        <v>41354</v>
      </c>
      <c r="H73" s="68">
        <v>7129.3100000000013</v>
      </c>
      <c r="I73" s="68">
        <v>24452</v>
      </c>
      <c r="J73" s="68">
        <v>19938.940000000002</v>
      </c>
      <c r="K73" s="68">
        <v>-3358.2400000000016</v>
      </c>
      <c r="L73" s="68">
        <v>2428</v>
      </c>
      <c r="M73" s="69">
        <f>M45+SUM(M59:M63)</f>
        <v>84829</v>
      </c>
      <c r="N73" s="69">
        <f>N45+SUM(N59:N63)</f>
        <v>38668</v>
      </c>
      <c r="O73" s="69">
        <f t="shared" ref="O73" si="70">O45+SUM(O59:O63)</f>
        <v>29500</v>
      </c>
      <c r="P73" s="69"/>
      <c r="Q73" s="69">
        <f>Q45+SUM(Q59:Q63)</f>
        <v>265454</v>
      </c>
      <c r="R73" s="503"/>
      <c r="S73" s="85">
        <f>S45+SUM(S59:S63)</f>
        <v>17723.254697930199</v>
      </c>
      <c r="T73" s="85">
        <f t="shared" ref="T73:AD73" si="71">T45+SUM(T59:T63)</f>
        <v>25839.173078368709</v>
      </c>
      <c r="U73" s="85">
        <f t="shared" si="71"/>
        <v>29708.797325414656</v>
      </c>
      <c r="V73" s="85">
        <f t="shared" si="71"/>
        <v>41183.648099934231</v>
      </c>
      <c r="W73" s="85">
        <f t="shared" si="71"/>
        <v>19784.375504232718</v>
      </c>
      <c r="X73" s="69">
        <f t="shared" si="71"/>
        <v>43882.550857756185</v>
      </c>
      <c r="Y73" s="69">
        <f t="shared" si="71"/>
        <v>27363.797330104178</v>
      </c>
      <c r="Z73" s="69">
        <f t="shared" si="71"/>
        <v>20405.474659437488</v>
      </c>
      <c r="AA73" s="69">
        <f t="shared" si="71"/>
        <v>49105.137763367064</v>
      </c>
      <c r="AB73" s="69">
        <f t="shared" si="71"/>
        <v>42506.447889814139</v>
      </c>
      <c r="AC73" s="69">
        <f t="shared" si="71"/>
        <v>30496.692597302448</v>
      </c>
      <c r="AD73" s="69">
        <f t="shared" si="71"/>
        <v>44590.151682777767</v>
      </c>
      <c r="AE73" s="69"/>
      <c r="AF73" s="69">
        <f>AF45+SUM(AF59:AF63)</f>
        <v>392589.50148643937</v>
      </c>
      <c r="AG73" s="89"/>
      <c r="AH73" s="85">
        <f>AH45+SUM(AH59:AH63)</f>
        <v>65760.803870720149</v>
      </c>
      <c r="AI73" s="85">
        <f t="shared" ref="AI73:AS73" si="72">AI45+SUM(AI59:AI63)</f>
        <v>53358.946306280326</v>
      </c>
      <c r="AJ73" s="85">
        <f t="shared" si="72"/>
        <v>51879.806198588907</v>
      </c>
      <c r="AK73" s="85">
        <f t="shared" si="72"/>
        <v>99975.206514478457</v>
      </c>
      <c r="AL73" s="85">
        <f t="shared" si="72"/>
        <v>84099.437939587166</v>
      </c>
      <c r="AM73" s="69">
        <f t="shared" si="72"/>
        <v>116283.57721559308</v>
      </c>
      <c r="AN73" s="69">
        <f t="shared" si="72"/>
        <v>94768.302611461666</v>
      </c>
      <c r="AO73" s="69">
        <f t="shared" si="72"/>
        <v>79864.754522960866</v>
      </c>
      <c r="AP73" s="69">
        <f t="shared" si="72"/>
        <v>110735.3391740623</v>
      </c>
      <c r="AQ73" s="69">
        <f t="shared" si="72"/>
        <v>97652.668853535433</v>
      </c>
      <c r="AR73" s="69">
        <f t="shared" si="72"/>
        <v>77505.489543785472</v>
      </c>
      <c r="AS73" s="69">
        <f t="shared" si="72"/>
        <v>97528.835718780581</v>
      </c>
      <c r="AT73" s="69"/>
      <c r="AU73" s="69">
        <f>AU45+SUM(AU59:AU63)</f>
        <v>1029413.1684698346</v>
      </c>
      <c r="AV73" s="89"/>
    </row>
    <row r="74" spans="2:48" outlineLevel="1">
      <c r="B74" s="67" t="s">
        <v>134</v>
      </c>
      <c r="C74" s="52"/>
      <c r="D74" s="68">
        <v>72490</v>
      </c>
      <c r="E74" s="68">
        <v>46002</v>
      </c>
      <c r="F74" s="68">
        <v>-4643</v>
      </c>
      <c r="G74" s="68">
        <v>90436</v>
      </c>
      <c r="H74" s="68">
        <v>74826</v>
      </c>
      <c r="I74" s="68">
        <v>55901</v>
      </c>
      <c r="J74" s="68">
        <v>13194.439999999995</v>
      </c>
      <c r="K74" s="68">
        <v>10511.820000000003</v>
      </c>
      <c r="L74" s="68">
        <v>37475</v>
      </c>
      <c r="M74" s="69">
        <f t="shared" ref="M74:O74" si="73">M46+SUM(M64:M67)</f>
        <v>106097</v>
      </c>
      <c r="N74" s="69">
        <f t="shared" si="73"/>
        <v>26943</v>
      </c>
      <c r="O74" s="69">
        <f t="shared" si="73"/>
        <v>59887</v>
      </c>
      <c r="P74" s="69"/>
      <c r="Q74" s="69">
        <f>Q46+SUM(Q64:Q67)</f>
        <v>556582</v>
      </c>
      <c r="R74" s="503"/>
      <c r="S74" s="85">
        <f>S46+SUM(S64:S67)</f>
        <v>27500.464377549943</v>
      </c>
      <c r="T74" s="85">
        <f t="shared" ref="T74:AD74" si="74">T46+SUM(T64:T67)</f>
        <v>144002.27392446686</v>
      </c>
      <c r="U74" s="85">
        <f t="shared" si="74"/>
        <v>65910.91494474592</v>
      </c>
      <c r="V74" s="85">
        <f t="shared" si="74"/>
        <v>63738.359644768323</v>
      </c>
      <c r="W74" s="85">
        <f t="shared" si="74"/>
        <v>95147.477275168188</v>
      </c>
      <c r="X74" s="69">
        <f t="shared" si="74"/>
        <v>46238.138457861729</v>
      </c>
      <c r="Y74" s="69">
        <f t="shared" si="74"/>
        <v>44782.196422877256</v>
      </c>
      <c r="Z74" s="69">
        <f t="shared" si="74"/>
        <v>80430.935849206435</v>
      </c>
      <c r="AA74" s="69">
        <f t="shared" si="74"/>
        <v>66869.787026446444</v>
      </c>
      <c r="AB74" s="69">
        <f t="shared" si="74"/>
        <v>82927.647635830072</v>
      </c>
      <c r="AC74" s="69">
        <f t="shared" si="74"/>
        <v>41956.157111019435</v>
      </c>
      <c r="AD74" s="69">
        <f t="shared" si="74"/>
        <v>50910.276889695509</v>
      </c>
      <c r="AE74" s="69"/>
      <c r="AF74" s="69">
        <f>AF46+SUM(AF64:AF67)</f>
        <v>810414.62955963635</v>
      </c>
      <c r="AG74" s="89"/>
      <c r="AH74" s="85">
        <f>AH46+SUM(AH64:AH67)</f>
        <v>47945.182396622957</v>
      </c>
      <c r="AI74" s="85">
        <f t="shared" ref="AI74:AS74" si="75">AI46+SUM(AI64:AI67)</f>
        <v>84266.566282547166</v>
      </c>
      <c r="AJ74" s="85">
        <f t="shared" si="75"/>
        <v>109091.62378634248</v>
      </c>
      <c r="AK74" s="85">
        <f t="shared" si="75"/>
        <v>123138.28301933652</v>
      </c>
      <c r="AL74" s="85">
        <f t="shared" si="75"/>
        <v>134204.76179224573</v>
      </c>
      <c r="AM74" s="69">
        <f t="shared" si="75"/>
        <v>65362.627416381401</v>
      </c>
      <c r="AN74" s="69">
        <f t="shared" si="75"/>
        <v>75669.415976758042</v>
      </c>
      <c r="AO74" s="69">
        <f t="shared" si="75"/>
        <v>108291.9394990833</v>
      </c>
      <c r="AP74" s="69">
        <f t="shared" si="75"/>
        <v>144616.21780362414</v>
      </c>
      <c r="AQ74" s="69">
        <f t="shared" si="75"/>
        <v>136629.9703872471</v>
      </c>
      <c r="AR74" s="69">
        <f t="shared" si="75"/>
        <v>95624.563443552586</v>
      </c>
      <c r="AS74" s="69">
        <f t="shared" si="75"/>
        <v>79055.29127122878</v>
      </c>
      <c r="AT74" s="69"/>
      <c r="AU74" s="69">
        <f>AU46+SUM(AU64:AU67)</f>
        <v>1203896.44307497</v>
      </c>
      <c r="AV74" s="89"/>
    </row>
    <row r="75" spans="2:48" outlineLevel="1">
      <c r="B75" s="67" t="s">
        <v>135</v>
      </c>
      <c r="C75" s="52"/>
      <c r="D75" s="68">
        <v>8155</v>
      </c>
      <c r="E75" s="68">
        <v>17653</v>
      </c>
      <c r="F75" s="68">
        <v>10385</v>
      </c>
      <c r="G75" s="68">
        <v>10812</v>
      </c>
      <c r="H75" s="68">
        <v>7661</v>
      </c>
      <c r="I75" s="68">
        <v>3235</v>
      </c>
      <c r="J75" s="68">
        <v>22090.220000000008</v>
      </c>
      <c r="K75" s="68">
        <v>17245.150000000001</v>
      </c>
      <c r="L75" s="68">
        <v>3510</v>
      </c>
      <c r="M75" s="69">
        <f t="shared" ref="M75:O76" si="76">M47+M68</f>
        <v>34770</v>
      </c>
      <c r="N75" s="69">
        <f t="shared" si="76"/>
        <v>34770</v>
      </c>
      <c r="O75" s="69">
        <f t="shared" si="76"/>
        <v>26857</v>
      </c>
      <c r="P75" s="69"/>
      <c r="Q75" s="69">
        <f>Q47+Q68</f>
        <v>264401</v>
      </c>
      <c r="R75" s="503"/>
      <c r="S75" s="85">
        <f t="shared" ref="S75:AD75" ca="1" si="77">S47+S68</f>
        <v>1452.5573352595347</v>
      </c>
      <c r="T75" s="85">
        <f t="shared" ca="1" si="77"/>
        <v>2625.1381028843607</v>
      </c>
      <c r="U75" s="85">
        <f t="shared" ca="1" si="77"/>
        <v>4207.4190621501402</v>
      </c>
      <c r="V75" s="85">
        <f t="shared" ca="1" si="77"/>
        <v>3166.0634382550088</v>
      </c>
      <c r="W75" s="85">
        <f t="shared" ca="1" si="77"/>
        <v>2604.6985431789799</v>
      </c>
      <c r="X75" s="69">
        <f t="shared" ca="1" si="77"/>
        <v>4894.2177626613084</v>
      </c>
      <c r="Y75" s="69">
        <f t="shared" ca="1" si="77"/>
        <v>3308.2197510074839</v>
      </c>
      <c r="Z75" s="69">
        <f t="shared" ca="1" si="77"/>
        <v>4736.7190032965191</v>
      </c>
      <c r="AA75" s="69">
        <f t="shared" ca="1" si="77"/>
        <v>5567.2768881233824</v>
      </c>
      <c r="AB75" s="69">
        <f t="shared" ca="1" si="77"/>
        <v>8845.6471871362774</v>
      </c>
      <c r="AC75" s="69">
        <f t="shared" ca="1" si="77"/>
        <v>8553.2175030571962</v>
      </c>
      <c r="AD75" s="69">
        <f t="shared" ca="1" si="77"/>
        <v>8586.7001375485306</v>
      </c>
      <c r="AE75" s="69"/>
      <c r="AF75" s="69">
        <f ca="1">AF47+AF68</f>
        <v>58547.874714558886</v>
      </c>
      <c r="AG75" s="89"/>
      <c r="AH75" s="85">
        <f t="shared" ref="AH75:AS75" ca="1" si="78">AH47+AH68</f>
        <v>9694.7697940313083</v>
      </c>
      <c r="AI75" s="85">
        <f t="shared" ca="1" si="78"/>
        <v>6820.3103930764628</v>
      </c>
      <c r="AJ75" s="85">
        <f t="shared" ca="1" si="78"/>
        <v>8350.0478106766168</v>
      </c>
      <c r="AK75" s="85">
        <f t="shared" ca="1" si="78"/>
        <v>7046.6251844229882</v>
      </c>
      <c r="AL75" s="85">
        <f t="shared" ca="1" si="78"/>
        <v>6254.5797541009488</v>
      </c>
      <c r="AM75" s="69">
        <f t="shared" ca="1" si="78"/>
        <v>10989.423963450441</v>
      </c>
      <c r="AN75" s="69">
        <f t="shared" ca="1" si="78"/>
        <v>7726.6715408376585</v>
      </c>
      <c r="AO75" s="69">
        <f t="shared" ca="1" si="78"/>
        <v>9573.8299187955854</v>
      </c>
      <c r="AP75" s="69">
        <f t="shared" ca="1" si="78"/>
        <v>11905.370561683019</v>
      </c>
      <c r="AQ75" s="69">
        <f t="shared" ca="1" si="78"/>
        <v>16151.856681162353</v>
      </c>
      <c r="AR75" s="69">
        <f t="shared" ca="1" si="78"/>
        <v>15418.136141795236</v>
      </c>
      <c r="AS75" s="69">
        <f t="shared" ca="1" si="78"/>
        <v>18178.24687433974</v>
      </c>
      <c r="AT75" s="69"/>
      <c r="AU75" s="69">
        <f ca="1">AU47+AU68</f>
        <v>128109.86861837248</v>
      </c>
      <c r="AV75" s="89"/>
    </row>
    <row r="76" spans="2:48" outlineLevel="1">
      <c r="B76" s="67" t="s">
        <v>136</v>
      </c>
      <c r="C76" s="52"/>
      <c r="D76" s="68">
        <v>0</v>
      </c>
      <c r="E76" s="68">
        <v>0</v>
      </c>
      <c r="F76" s="68">
        <v>0</v>
      </c>
      <c r="G76" s="68">
        <v>0</v>
      </c>
      <c r="H76" s="68">
        <v>0</v>
      </c>
      <c r="I76" s="68">
        <v>0</v>
      </c>
      <c r="J76" s="68">
        <v>0</v>
      </c>
      <c r="K76" s="68">
        <v>0</v>
      </c>
      <c r="L76" s="68">
        <v>0</v>
      </c>
      <c r="M76" s="69" t="e">
        <f t="shared" si="76"/>
        <v>#VALUE!</v>
      </c>
      <c r="N76" s="69" t="e">
        <f t="shared" si="76"/>
        <v>#VALUE!</v>
      </c>
      <c r="O76" s="69" t="e">
        <f t="shared" si="76"/>
        <v>#VALUE!</v>
      </c>
      <c r="P76" s="69"/>
      <c r="Q76" s="69">
        <f>Q48+Q69</f>
        <v>-17066</v>
      </c>
      <c r="R76" s="503"/>
      <c r="S76" s="85">
        <f t="shared" ref="S76:AD76" si="79">S48+S69</f>
        <v>0</v>
      </c>
      <c r="T76" s="85">
        <f t="shared" si="79"/>
        <v>0</v>
      </c>
      <c r="U76" s="85">
        <f t="shared" si="79"/>
        <v>0</v>
      </c>
      <c r="V76" s="85">
        <f t="shared" si="79"/>
        <v>0</v>
      </c>
      <c r="W76" s="85">
        <f t="shared" si="79"/>
        <v>0</v>
      </c>
      <c r="X76" s="69">
        <f t="shared" si="79"/>
        <v>0</v>
      </c>
      <c r="Y76" s="69">
        <f t="shared" si="79"/>
        <v>0</v>
      </c>
      <c r="Z76" s="69">
        <f t="shared" si="79"/>
        <v>0</v>
      </c>
      <c r="AA76" s="69">
        <f t="shared" si="79"/>
        <v>0</v>
      </c>
      <c r="AB76" s="69">
        <f t="shared" si="79"/>
        <v>0</v>
      </c>
      <c r="AC76" s="69">
        <f t="shared" si="79"/>
        <v>0</v>
      </c>
      <c r="AD76" s="69">
        <f t="shared" si="79"/>
        <v>0</v>
      </c>
      <c r="AE76" s="69"/>
      <c r="AF76" s="69">
        <f>AF48+AF69</f>
        <v>0</v>
      </c>
      <c r="AG76" s="89"/>
      <c r="AH76" s="85">
        <f t="shared" ref="AH76:AS76" si="80">AH48+AH69</f>
        <v>0</v>
      </c>
      <c r="AI76" s="85">
        <f t="shared" si="80"/>
        <v>0</v>
      </c>
      <c r="AJ76" s="85">
        <f t="shared" si="80"/>
        <v>0</v>
      </c>
      <c r="AK76" s="85">
        <f t="shared" si="80"/>
        <v>0</v>
      </c>
      <c r="AL76" s="85">
        <f t="shared" si="80"/>
        <v>0</v>
      </c>
      <c r="AM76" s="69">
        <f t="shared" si="80"/>
        <v>0</v>
      </c>
      <c r="AN76" s="69">
        <f t="shared" si="80"/>
        <v>0</v>
      </c>
      <c r="AO76" s="69">
        <f t="shared" si="80"/>
        <v>0</v>
      </c>
      <c r="AP76" s="69">
        <f t="shared" si="80"/>
        <v>0</v>
      </c>
      <c r="AQ76" s="69">
        <f t="shared" si="80"/>
        <v>0</v>
      </c>
      <c r="AR76" s="69">
        <f t="shared" si="80"/>
        <v>0</v>
      </c>
      <c r="AS76" s="69">
        <f t="shared" si="80"/>
        <v>0</v>
      </c>
      <c r="AT76" s="69"/>
      <c r="AU76" s="69">
        <f>AU48+AU69</f>
        <v>0</v>
      </c>
      <c r="AV76" s="89"/>
    </row>
    <row r="77" spans="2:48">
      <c r="B77" s="67" t="s">
        <v>137</v>
      </c>
      <c r="C77" s="52"/>
      <c r="D77" s="68">
        <v>87656.63</v>
      </c>
      <c r="E77" s="68">
        <v>58700</v>
      </c>
      <c r="F77" s="68">
        <v>12878</v>
      </c>
      <c r="G77" s="68">
        <v>142602</v>
      </c>
      <c r="H77" s="68">
        <v>85127.31</v>
      </c>
      <c r="I77" s="68">
        <v>68867</v>
      </c>
      <c r="J77" s="68">
        <v>40788.599999999984</v>
      </c>
      <c r="K77" s="68">
        <v>24398.73000000001</v>
      </c>
      <c r="L77" s="68">
        <v>75528</v>
      </c>
      <c r="M77" s="69">
        <f t="shared" ref="M77:O77" si="81">M49+M71</f>
        <v>225696</v>
      </c>
      <c r="N77" s="69">
        <f t="shared" si="81"/>
        <v>100380.5</v>
      </c>
      <c r="O77" s="69">
        <f t="shared" si="81"/>
        <v>116244</v>
      </c>
      <c r="P77" s="69"/>
      <c r="Q77" s="69">
        <f>Q49+Q71</f>
        <v>1051452.5</v>
      </c>
      <c r="R77" s="503"/>
      <c r="S77" s="85">
        <f t="shared" ref="S77:AD77" ca="1" si="82">S49+S71</f>
        <v>46676.27641073968</v>
      </c>
      <c r="T77" s="85">
        <f t="shared" ca="1" si="82"/>
        <v>172466.58510571995</v>
      </c>
      <c r="U77" s="85">
        <f t="shared" ca="1" si="82"/>
        <v>99827.131332310688</v>
      </c>
      <c r="V77" s="85">
        <f t="shared" ca="1" si="82"/>
        <v>108088.07118295756</v>
      </c>
      <c r="W77" s="85">
        <f t="shared" ca="1" si="82"/>
        <v>117536.55132257991</v>
      </c>
      <c r="X77" s="69">
        <f t="shared" ca="1" si="82"/>
        <v>95014.907078279182</v>
      </c>
      <c r="Y77" s="69">
        <f t="shared" ca="1" si="82"/>
        <v>75454.213503988896</v>
      </c>
      <c r="Z77" s="69">
        <f t="shared" ca="1" si="82"/>
        <v>105573.12951194044</v>
      </c>
      <c r="AA77" s="69">
        <f t="shared" ca="1" si="82"/>
        <v>121542.20167793689</v>
      </c>
      <c r="AB77" s="69">
        <f t="shared" ca="1" si="82"/>
        <v>134279.74271278048</v>
      </c>
      <c r="AC77" s="69">
        <f t="shared" ca="1" si="82"/>
        <v>81006.067211379152</v>
      </c>
      <c r="AD77" s="69">
        <f t="shared" ca="1" si="82"/>
        <v>104087.12871002182</v>
      </c>
      <c r="AE77" s="69"/>
      <c r="AF77" s="69">
        <f ca="1">AF49+AF71</f>
        <v>1261552.0057606348</v>
      </c>
      <c r="AG77" s="531">
        <f ca="1">IFERROR(AF77/Q77-1,0)</f>
        <v>0.19981835200414166</v>
      </c>
      <c r="AH77" s="85">
        <f t="shared" ref="AH77:AS77" ca="1" si="83">AH49+AH71</f>
        <v>123400.7560613743</v>
      </c>
      <c r="AI77" s="85">
        <f t="shared" ca="1" si="83"/>
        <v>144445.82298190388</v>
      </c>
      <c r="AJ77" s="85">
        <f t="shared" ca="1" si="83"/>
        <v>169321.47779560799</v>
      </c>
      <c r="AK77" s="85">
        <f t="shared" ca="1" si="83"/>
        <v>230160.11471823807</v>
      </c>
      <c r="AL77" s="85">
        <f t="shared" ca="1" si="83"/>
        <v>224558.77948593383</v>
      </c>
      <c r="AM77" s="69">
        <f t="shared" ca="1" si="83"/>
        <v>192635.62859542502</v>
      </c>
      <c r="AN77" s="69">
        <f t="shared" ca="1" si="83"/>
        <v>178164.39012905746</v>
      </c>
      <c r="AO77" s="69">
        <f t="shared" ca="1" si="83"/>
        <v>197730.52394083969</v>
      </c>
      <c r="AP77" s="69">
        <f t="shared" ca="1" si="83"/>
        <v>267256.92753936956</v>
      </c>
      <c r="AQ77" s="69">
        <f t="shared" ca="1" si="83"/>
        <v>250434.49592194485</v>
      </c>
      <c r="AR77" s="69">
        <f t="shared" ca="1" si="83"/>
        <v>188548.1891291333</v>
      </c>
      <c r="AS77" s="69">
        <f t="shared" ca="1" si="83"/>
        <v>194762.37386434912</v>
      </c>
      <c r="AT77" s="69"/>
      <c r="AU77" s="69">
        <f ca="1">AU49+AU71</f>
        <v>2361419.4801631775</v>
      </c>
      <c r="AV77" s="531">
        <f ca="1">IFERROR(AU77/AF77-1,0)</f>
        <v>0.87183680845514822</v>
      </c>
    </row>
    <row r="78" spans="2:48">
      <c r="B78" s="52"/>
      <c r="C78" s="52"/>
      <c r="D78" s="70"/>
      <c r="E78" s="70"/>
      <c r="F78" s="70"/>
      <c r="G78" s="70"/>
      <c r="H78" s="70"/>
      <c r="I78" s="70"/>
      <c r="J78" s="70"/>
      <c r="K78" s="70"/>
      <c r="L78" s="70"/>
      <c r="M78" s="52"/>
      <c r="N78" s="52"/>
      <c r="O78" s="52"/>
      <c r="P78" s="52"/>
      <c r="R78" s="503"/>
      <c r="S78" s="10"/>
      <c r="T78" s="10"/>
      <c r="U78" s="10"/>
      <c r="V78" s="10"/>
      <c r="W78" s="10"/>
      <c r="X78" s="52"/>
      <c r="Y78" s="52"/>
      <c r="Z78" s="52"/>
      <c r="AA78" s="52"/>
      <c r="AB78" s="52"/>
      <c r="AC78" s="52"/>
      <c r="AD78" s="52"/>
      <c r="AE78" s="52"/>
      <c r="AG78" s="89"/>
      <c r="AH78" s="10"/>
      <c r="AI78" s="10"/>
      <c r="AJ78" s="10"/>
      <c r="AK78" s="10"/>
      <c r="AL78" s="10"/>
      <c r="AM78" s="52"/>
      <c r="AN78" s="52"/>
      <c r="AO78" s="52"/>
      <c r="AP78" s="52"/>
      <c r="AQ78" s="52"/>
      <c r="AR78" s="52"/>
      <c r="AS78" s="52"/>
      <c r="AT78" s="52"/>
      <c r="AV78" s="89"/>
    </row>
    <row r="79" spans="2:48" outlineLevel="1">
      <c r="B79" s="67" t="s">
        <v>138</v>
      </c>
      <c r="C79" s="52"/>
      <c r="D79" s="97">
        <v>0.18907479827731299</v>
      </c>
      <c r="E79" s="97">
        <v>-0.11779389040770237</v>
      </c>
      <c r="F79" s="97">
        <v>0.1523614313775728</v>
      </c>
      <c r="G79" s="97">
        <v>0.24515662422043585</v>
      </c>
      <c r="H79" s="97">
        <v>0.15271093498982546</v>
      </c>
      <c r="I79" s="97">
        <v>0.24568701331323789</v>
      </c>
      <c r="J79" s="97">
        <v>0.20780268659177245</v>
      </c>
      <c r="K79" s="97">
        <v>-0.10810330563880372</v>
      </c>
      <c r="L79" s="97">
        <v>1.8640502402997222E-2</v>
      </c>
      <c r="M79" s="91">
        <f t="shared" ref="M79:O82" si="84">IFERROR(M73/M7,0)</f>
        <v>0.35873049435446358</v>
      </c>
      <c r="N79" s="91">
        <f t="shared" si="84"/>
        <v>0.36867747871437695</v>
      </c>
      <c r="O79" s="91">
        <f t="shared" si="84"/>
        <v>0.26796014206429225</v>
      </c>
      <c r="P79" s="91"/>
      <c r="Q79" s="91">
        <f>IFERROR(Q73/Q7,0)</f>
        <v>0.23024674064173209</v>
      </c>
      <c r="R79" s="503"/>
      <c r="S79" s="91">
        <f t="shared" ref="S79:AD79" si="85">IFERROR(S73/S7,0)</f>
        <v>0.18196675447984895</v>
      </c>
      <c r="T79" s="91">
        <f t="shared" si="85"/>
        <v>0.1553524905424519</v>
      </c>
      <c r="U79" s="91">
        <f t="shared" si="85"/>
        <v>0.1877790504331161</v>
      </c>
      <c r="V79" s="91">
        <f t="shared" si="85"/>
        <v>0.33457585676600343</v>
      </c>
      <c r="W79" s="91">
        <f t="shared" si="85"/>
        <v>0.19380656113539516</v>
      </c>
      <c r="X79" s="91">
        <f t="shared" si="85"/>
        <v>0.21281898378555475</v>
      </c>
      <c r="Y79" s="91">
        <f t="shared" si="85"/>
        <v>0.23338692885577611</v>
      </c>
      <c r="Z79" s="91">
        <f t="shared" si="85"/>
        <v>0.20980602414308516</v>
      </c>
      <c r="AA79" s="91">
        <f t="shared" si="85"/>
        <v>0.24734286235805733</v>
      </c>
      <c r="AB79" s="91">
        <f t="shared" si="85"/>
        <v>0.24831274802625491</v>
      </c>
      <c r="AC79" s="91">
        <f t="shared" si="85"/>
        <v>0.29293406687624474</v>
      </c>
      <c r="AD79" s="91">
        <f t="shared" si="85"/>
        <v>0.357964236187928</v>
      </c>
      <c r="AE79" s="91"/>
      <c r="AF79" s="91">
        <f>IFERROR(AF73/AF7,0)</f>
        <v>0.23561991333303878</v>
      </c>
      <c r="AG79" s="89"/>
      <c r="AH79" s="91">
        <f t="shared" ref="AH79:AS79" si="86">IFERROR(AH73/AH7,0)</f>
        <v>0.33662854748537802</v>
      </c>
      <c r="AI79" s="91">
        <f t="shared" si="86"/>
        <v>0.17259984075509732</v>
      </c>
      <c r="AJ79" s="91">
        <f t="shared" si="86"/>
        <v>0.187527369063967</v>
      </c>
      <c r="AK79" s="91">
        <f t="shared" si="86"/>
        <v>0.37866383657858466</v>
      </c>
      <c r="AL79" s="91">
        <f t="shared" si="86"/>
        <v>0.31204350261960001</v>
      </c>
      <c r="AM79" s="91">
        <f t="shared" si="86"/>
        <v>0.26655359519693556</v>
      </c>
      <c r="AN79" s="91">
        <f t="shared" si="86"/>
        <v>0.35408625715771724</v>
      </c>
      <c r="AO79" s="91">
        <f t="shared" si="86"/>
        <v>0.33703364390084184</v>
      </c>
      <c r="AP79" s="91">
        <f t="shared" si="86"/>
        <v>0.28198892809360615</v>
      </c>
      <c r="AQ79" s="91">
        <f t="shared" si="86"/>
        <v>0.27787072271493907</v>
      </c>
      <c r="AR79" s="91">
        <f t="shared" si="86"/>
        <v>0.34582371767069053</v>
      </c>
      <c r="AS79" s="91">
        <f t="shared" si="86"/>
        <v>0.375902596765743</v>
      </c>
      <c r="AT79" s="91"/>
      <c r="AU79" s="91">
        <f>IFERROR(AU73/AU7,0)</f>
        <v>0.29553363773035224</v>
      </c>
      <c r="AV79" s="89"/>
    </row>
    <row r="80" spans="2:48" outlineLevel="1">
      <c r="B80" s="67" t="s">
        <v>139</v>
      </c>
      <c r="C80" s="52"/>
      <c r="D80" s="97">
        <v>0.51009422212214395</v>
      </c>
      <c r="E80" s="97">
        <v>0.50436365231120073</v>
      </c>
      <c r="F80" s="97">
        <v>-0.14154193214035302</v>
      </c>
      <c r="G80" s="97">
        <v>0.60872608806860251</v>
      </c>
      <c r="H80" s="97">
        <v>0.4724012752927807</v>
      </c>
      <c r="I80" s="97">
        <v>0.57610891252370355</v>
      </c>
      <c r="J80" s="97">
        <v>0.20888029867271868</v>
      </c>
      <c r="K80" s="97">
        <v>0.20501303684466432</v>
      </c>
      <c r="L80" s="97">
        <v>0.55915310126676709</v>
      </c>
      <c r="M80" s="91">
        <f t="shared" si="84"/>
        <v>0.52251919487414367</v>
      </c>
      <c r="N80" s="91">
        <f t="shared" si="84"/>
        <v>0.39110743369768758</v>
      </c>
      <c r="O80" s="91">
        <f t="shared" si="84"/>
        <v>0.50121355160523584</v>
      </c>
      <c r="P80" s="91"/>
      <c r="Q80" s="91">
        <f>IFERROR(Q74/Q8,0)</f>
        <v>0.44777348976145598</v>
      </c>
      <c r="R80" s="503"/>
      <c r="S80" s="91">
        <f t="shared" ref="S80:AD80" si="87">IFERROR(S74/S8,0)</f>
        <v>0.36217474461909532</v>
      </c>
      <c r="T80" s="91">
        <f t="shared" si="87"/>
        <v>0.41390903815458713</v>
      </c>
      <c r="U80" s="91">
        <f t="shared" si="87"/>
        <v>0.48845216795900465</v>
      </c>
      <c r="V80" s="91">
        <f t="shared" si="87"/>
        <v>0.36749309889100829</v>
      </c>
      <c r="W80" s="91">
        <f t="shared" si="87"/>
        <v>0.48811018357345831</v>
      </c>
      <c r="X80" s="91">
        <f t="shared" si="87"/>
        <v>0.46546637491943194</v>
      </c>
      <c r="Y80" s="91">
        <f t="shared" si="87"/>
        <v>0.46957498056458596</v>
      </c>
      <c r="Z80" s="91">
        <f t="shared" si="87"/>
        <v>0.48088425509799743</v>
      </c>
      <c r="AA80" s="91">
        <f t="shared" si="87"/>
        <v>0.47962309391008712</v>
      </c>
      <c r="AB80" s="91">
        <f t="shared" si="87"/>
        <v>0.46502333423392239</v>
      </c>
      <c r="AC80" s="91">
        <f t="shared" si="87"/>
        <v>0.48056248052791689</v>
      </c>
      <c r="AD80" s="91">
        <f t="shared" si="87"/>
        <v>0.46465787549775467</v>
      </c>
      <c r="AE80" s="91"/>
      <c r="AF80" s="91">
        <f>IFERROR(AF74/AF8,0)</f>
        <v>0.4492984984717851</v>
      </c>
      <c r="AG80" s="89"/>
      <c r="AH80" s="91">
        <f t="shared" ref="AH80:AS80" si="88">IFERROR(AH74/AH8,0)</f>
        <v>0.39929220220800876</v>
      </c>
      <c r="AI80" s="91">
        <f t="shared" si="88"/>
        <v>0.38664065758360849</v>
      </c>
      <c r="AJ80" s="91">
        <f t="shared" si="88"/>
        <v>0.47748829684518784</v>
      </c>
      <c r="AK80" s="91">
        <f t="shared" si="88"/>
        <v>0.43817021476788443</v>
      </c>
      <c r="AL80" s="91">
        <f t="shared" si="88"/>
        <v>0.49368681643821122</v>
      </c>
      <c r="AM80" s="91">
        <f t="shared" si="88"/>
        <v>0.47591946292557341</v>
      </c>
      <c r="AN80" s="91">
        <f t="shared" si="88"/>
        <v>0.479950666863869</v>
      </c>
      <c r="AO80" s="91">
        <f t="shared" si="88"/>
        <v>0.48741616422168005</v>
      </c>
      <c r="AP80" s="91">
        <f t="shared" si="88"/>
        <v>0.47664033720422533</v>
      </c>
      <c r="AQ80" s="91">
        <f t="shared" si="88"/>
        <v>0.47453169824067903</v>
      </c>
      <c r="AR80" s="91">
        <f t="shared" si="88"/>
        <v>0.48059291742072702</v>
      </c>
      <c r="AS80" s="91">
        <f t="shared" si="88"/>
        <v>0.47624367372678383</v>
      </c>
      <c r="AT80" s="91"/>
      <c r="AU80" s="91">
        <f>IFERROR(AU74/AU8,0)</f>
        <v>0.46431576544130587</v>
      </c>
      <c r="AV80" s="89"/>
    </row>
    <row r="81" spans="2:48" outlineLevel="1">
      <c r="B81" s="67" t="s">
        <v>140</v>
      </c>
      <c r="C81" s="52"/>
      <c r="D81" s="97">
        <v>0.25849499175859009</v>
      </c>
      <c r="E81" s="97">
        <v>0.44971213124777093</v>
      </c>
      <c r="F81" s="97">
        <v>0.25626156693399138</v>
      </c>
      <c r="G81" s="97">
        <v>0.25637256064306546</v>
      </c>
      <c r="H81" s="97">
        <v>0.18304104745066183</v>
      </c>
      <c r="I81" s="97">
        <v>5.4921734406301992E-2</v>
      </c>
      <c r="J81" s="97">
        <v>0.44076006310647559</v>
      </c>
      <c r="K81" s="97">
        <v>0.34900181693885673</v>
      </c>
      <c r="L81" s="97">
        <v>6.4557660474526393E-2</v>
      </c>
      <c r="M81" s="91">
        <f t="shared" si="84"/>
        <v>0.48765778401122017</v>
      </c>
      <c r="N81" s="91">
        <f t="shared" si="84"/>
        <v>0.48765778401122017</v>
      </c>
      <c r="O81" s="91">
        <f t="shared" si="84"/>
        <v>0.48653985507246378</v>
      </c>
      <c r="P81" s="91"/>
      <c r="Q81" s="91">
        <f>IFERROR(Q75/Q9,0)</f>
        <v>0.43635712493893664</v>
      </c>
      <c r="R81" s="503"/>
      <c r="S81" s="91">
        <f t="shared" ref="S81:AD81" ca="1" si="89">IFERROR(S75/S9,0)</f>
        <v>3.2231664185711287E-2</v>
      </c>
      <c r="T81" s="91">
        <f t="shared" ca="1" si="89"/>
        <v>3.7843646968117296E-2</v>
      </c>
      <c r="U81" s="91">
        <f t="shared" ca="1" si="89"/>
        <v>7.0773374202136016E-2</v>
      </c>
      <c r="V81" s="91">
        <f t="shared" ca="1" si="89"/>
        <v>5.5777948283902465E-2</v>
      </c>
      <c r="W81" s="91">
        <f t="shared" ca="1" si="89"/>
        <v>4.9549141103290971E-2</v>
      </c>
      <c r="X81" s="91">
        <f t="shared" ca="1" si="89"/>
        <v>6.5767257192840115E-2</v>
      </c>
      <c r="Y81" s="91">
        <f t="shared" ca="1" si="89"/>
        <v>6.0906686237392961E-2</v>
      </c>
      <c r="Z81" s="91">
        <f t="shared" ca="1" si="89"/>
        <v>7.2448204162245192E-2</v>
      </c>
      <c r="AA81" s="91">
        <f t="shared" ca="1" si="89"/>
        <v>6.7845483389022063E-2</v>
      </c>
      <c r="AB81" s="91">
        <f t="shared" ca="1" si="89"/>
        <v>9.0017776188689891E-2</v>
      </c>
      <c r="AC81" s="91">
        <f t="shared" ca="1" si="89"/>
        <v>9.1394577865849688E-2</v>
      </c>
      <c r="AD81" s="91">
        <f t="shared" ca="1" si="89"/>
        <v>0.10621949330169783</v>
      </c>
      <c r="AE81" s="91"/>
      <c r="AF81" s="91">
        <f ca="1">IFERROR(AF75/AF9,0)</f>
        <v>7.036361304082242E-2</v>
      </c>
      <c r="AG81" s="89"/>
      <c r="AH81" s="91">
        <f t="shared" ref="AH81:AS81" ca="1" si="90">IFERROR(AH75/AH9,0)</f>
        <v>0.13170928054228434</v>
      </c>
      <c r="AI81" s="91">
        <f t="shared" ca="1" si="90"/>
        <v>8.2179786792396611E-2</v>
      </c>
      <c r="AJ81" s="91">
        <f t="shared" ca="1" si="90"/>
        <v>0.11483256791896465</v>
      </c>
      <c r="AK81" s="91">
        <f t="shared" ca="1" si="90"/>
        <v>0.1016229420389146</v>
      </c>
      <c r="AL81" s="91">
        <f t="shared" ca="1" si="90"/>
        <v>9.7048100411072355E-2</v>
      </c>
      <c r="AM81" s="91">
        <f t="shared" ca="1" si="90"/>
        <v>0.11582776307812065</v>
      </c>
      <c r="AN81" s="91">
        <f t="shared" ca="1" si="90"/>
        <v>0.11143004129440402</v>
      </c>
      <c r="AO81" s="91">
        <f t="shared" ca="1" si="90"/>
        <v>0.12694532749561235</v>
      </c>
      <c r="AP81" s="91">
        <f t="shared" ca="1" si="90"/>
        <v>0.12612200881130944</v>
      </c>
      <c r="AQ81" s="91">
        <f t="shared" ca="1" si="90"/>
        <v>0.15140104211649619</v>
      </c>
      <c r="AR81" s="91">
        <f t="shared" ca="1" si="90"/>
        <v>0.15280564590541457</v>
      </c>
      <c r="AS81" s="91">
        <f t="shared" ca="1" si="90"/>
        <v>0.17671437809415205</v>
      </c>
      <c r="AT81" s="91"/>
      <c r="AU81" s="91">
        <f ca="1">IFERROR(AU75/AU9,0)</f>
        <v>0.1271453717782754</v>
      </c>
      <c r="AV81" s="89"/>
    </row>
    <row r="82" spans="2:48" outlineLevel="1">
      <c r="B82" s="67" t="s">
        <v>141</v>
      </c>
      <c r="C82" s="52"/>
      <c r="D82" s="97">
        <v>0</v>
      </c>
      <c r="E82" s="97">
        <v>0</v>
      </c>
      <c r="F82" s="97">
        <v>0</v>
      </c>
      <c r="G82" s="97">
        <v>0</v>
      </c>
      <c r="H82" s="97">
        <v>0</v>
      </c>
      <c r="I82" s="97">
        <v>0</v>
      </c>
      <c r="J82" s="97">
        <v>0</v>
      </c>
      <c r="K82" s="97">
        <v>0</v>
      </c>
      <c r="L82" s="97">
        <v>0</v>
      </c>
      <c r="M82" s="91">
        <f t="shared" si="84"/>
        <v>0</v>
      </c>
      <c r="N82" s="91">
        <f t="shared" si="84"/>
        <v>0</v>
      </c>
      <c r="O82" s="91">
        <f t="shared" si="84"/>
        <v>0</v>
      </c>
      <c r="P82" s="91"/>
      <c r="Q82" s="91">
        <f>IFERROR(Q76/Q10,0)</f>
        <v>0</v>
      </c>
      <c r="R82" s="503"/>
      <c r="S82" s="91">
        <f t="shared" ref="S82:AD82" si="91">IFERROR(S76/S10,0)</f>
        <v>0</v>
      </c>
      <c r="T82" s="91">
        <f t="shared" si="91"/>
        <v>0</v>
      </c>
      <c r="U82" s="91">
        <f t="shared" si="91"/>
        <v>0</v>
      </c>
      <c r="V82" s="91">
        <f t="shared" si="91"/>
        <v>0</v>
      </c>
      <c r="W82" s="91">
        <f t="shared" si="91"/>
        <v>0</v>
      </c>
      <c r="X82" s="91">
        <f t="shared" si="91"/>
        <v>0</v>
      </c>
      <c r="Y82" s="91">
        <f t="shared" si="91"/>
        <v>0</v>
      </c>
      <c r="Z82" s="91">
        <f t="shared" si="91"/>
        <v>0</v>
      </c>
      <c r="AA82" s="91">
        <f t="shared" si="91"/>
        <v>0</v>
      </c>
      <c r="AB82" s="91">
        <f t="shared" si="91"/>
        <v>0</v>
      </c>
      <c r="AC82" s="91">
        <f t="shared" si="91"/>
        <v>0</v>
      </c>
      <c r="AD82" s="91">
        <f t="shared" si="91"/>
        <v>0</v>
      </c>
      <c r="AE82" s="91"/>
      <c r="AF82" s="91">
        <f>IFERROR(AF76/AF10,0)</f>
        <v>0</v>
      </c>
      <c r="AG82" s="89"/>
      <c r="AH82" s="91">
        <f t="shared" ref="AH82:AS82" si="92">IFERROR(AH76/AH10,0)</f>
        <v>0</v>
      </c>
      <c r="AI82" s="91">
        <f t="shared" si="92"/>
        <v>0</v>
      </c>
      <c r="AJ82" s="91">
        <f t="shared" si="92"/>
        <v>0</v>
      </c>
      <c r="AK82" s="91">
        <f t="shared" si="92"/>
        <v>0</v>
      </c>
      <c r="AL82" s="91">
        <f t="shared" si="92"/>
        <v>0</v>
      </c>
      <c r="AM82" s="91">
        <f t="shared" si="92"/>
        <v>0</v>
      </c>
      <c r="AN82" s="91">
        <f t="shared" si="92"/>
        <v>0</v>
      </c>
      <c r="AO82" s="91">
        <f t="shared" si="92"/>
        <v>0</v>
      </c>
      <c r="AP82" s="91">
        <f t="shared" si="92"/>
        <v>0</v>
      </c>
      <c r="AQ82" s="91">
        <f t="shared" si="92"/>
        <v>0</v>
      </c>
      <c r="AR82" s="91">
        <f t="shared" si="92"/>
        <v>0</v>
      </c>
      <c r="AS82" s="91">
        <f t="shared" si="92"/>
        <v>0</v>
      </c>
      <c r="AT82" s="91"/>
      <c r="AU82" s="91">
        <f>IFERROR(AU76/AU10,0)</f>
        <v>0</v>
      </c>
      <c r="AV82" s="89"/>
    </row>
    <row r="83" spans="2:48">
      <c r="B83" s="72" t="s">
        <v>142</v>
      </c>
      <c r="C83" s="73"/>
      <c r="D83" s="97">
        <v>0.40949369572224742</v>
      </c>
      <c r="E83" s="97">
        <v>0.34023660064801453</v>
      </c>
      <c r="F83" s="97">
        <v>0.10717020072567492</v>
      </c>
      <c r="G83" s="97">
        <v>0.39675257287374488</v>
      </c>
      <c r="H83" s="97">
        <v>0.34473709574218209</v>
      </c>
      <c r="I83" s="97">
        <v>0.26958142011046782</v>
      </c>
      <c r="J83" s="97">
        <v>0.19493947659893249</v>
      </c>
      <c r="K83" s="97">
        <v>0.18518708550373403</v>
      </c>
      <c r="L83" s="97">
        <v>0.30013709789584536</v>
      </c>
      <c r="M83" s="91">
        <f t="shared" ref="M83:O83" si="93">IFERROR(M77/M12,0)</f>
        <v>0.44183164682597947</v>
      </c>
      <c r="N83" s="91">
        <f t="shared" si="93"/>
        <v>0.4095959554743096</v>
      </c>
      <c r="O83" s="91">
        <f t="shared" si="93"/>
        <v>0.40819594416644722</v>
      </c>
      <c r="P83" s="91"/>
      <c r="Q83" s="91">
        <f>IFERROR(Q77/Q12,0)</f>
        <v>0.35026956817789634</v>
      </c>
      <c r="R83" s="503"/>
      <c r="S83" s="91">
        <f t="shared" ref="S83:AD83" ca="1" si="94">IFERROR(S77/S12,0)</f>
        <v>0.21372317580429978</v>
      </c>
      <c r="T83" s="91">
        <f t="shared" ca="1" si="94"/>
        <v>0.29552083639677207</v>
      </c>
      <c r="U83" s="91">
        <f t="shared" ca="1" si="94"/>
        <v>0.28311805552954444</v>
      </c>
      <c r="V83" s="91">
        <f t="shared" ca="1" si="94"/>
        <v>0.30594282725382599</v>
      </c>
      <c r="W83" s="91">
        <f t="shared" ca="1" si="94"/>
        <v>0.3362208220779449</v>
      </c>
      <c r="X83" s="91">
        <f t="shared" ca="1" si="94"/>
        <v>0.25007143184951058</v>
      </c>
      <c r="Y83" s="91">
        <f t="shared" ca="1" si="94"/>
        <v>0.2826739526724899</v>
      </c>
      <c r="Z83" s="91">
        <f t="shared" ca="1" si="94"/>
        <v>0.32001956506103918</v>
      </c>
      <c r="AA83" s="91">
        <f t="shared" ca="1" si="94"/>
        <v>0.28937905847568507</v>
      </c>
      <c r="AB83" s="91">
        <f t="shared" ca="1" si="94"/>
        <v>0.29988101875879691</v>
      </c>
      <c r="AC83" s="91">
        <f t="shared" ca="1" si="94"/>
        <v>0.28423214762358762</v>
      </c>
      <c r="AD83" s="91">
        <f t="shared" ca="1" si="94"/>
        <v>0.33046655944351427</v>
      </c>
      <c r="AE83" s="91"/>
      <c r="AF83" s="91">
        <f ca="1">IFERROR(AF77/AF12,0)</f>
        <v>0.29324727842618636</v>
      </c>
      <c r="AG83" s="89"/>
      <c r="AH83" s="91">
        <f t="shared" ref="AH83:AS83" ca="1" si="95">IFERROR(AH77/AH12,0)</f>
        <v>0.31719786330415095</v>
      </c>
      <c r="AI83" s="91">
        <f t="shared" ca="1" si="95"/>
        <v>0.23676294162288189</v>
      </c>
      <c r="AJ83" s="91">
        <f t="shared" ca="1" si="95"/>
        <v>0.2930265563531908</v>
      </c>
      <c r="AK83" s="91">
        <f t="shared" ca="1" si="95"/>
        <v>0.37461546773676663</v>
      </c>
      <c r="AL83" s="91">
        <f t="shared" ca="1" si="95"/>
        <v>0.37068012700820174</v>
      </c>
      <c r="AM83" s="91">
        <f t="shared" ca="1" si="95"/>
        <v>0.28817593247510687</v>
      </c>
      <c r="AN83" s="91">
        <f t="shared" ca="1" si="95"/>
        <v>0.36018733408299197</v>
      </c>
      <c r="AO83" s="91">
        <f t="shared" ca="1" si="95"/>
        <v>0.36989659278661513</v>
      </c>
      <c r="AP83" s="91">
        <f t="shared" ca="1" si="95"/>
        <v>0.33808720692133443</v>
      </c>
      <c r="AQ83" s="91">
        <f t="shared" ca="1" si="95"/>
        <v>0.33568484184224423</v>
      </c>
      <c r="AR83" s="91">
        <f t="shared" ca="1" si="95"/>
        <v>0.35983106771749607</v>
      </c>
      <c r="AS83" s="91">
        <f t="shared" ca="1" si="95"/>
        <v>0.36864615138969803</v>
      </c>
      <c r="AT83" s="91"/>
      <c r="AU83" s="91">
        <f ca="1">IFERROR(AU77/AU12,0)</f>
        <v>0.33336145269441725</v>
      </c>
      <c r="AV83" s="89"/>
    </row>
    <row r="84" spans="2:48">
      <c r="D84" s="53"/>
      <c r="E84" s="53"/>
      <c r="F84" s="53"/>
      <c r="G84" s="53"/>
      <c r="H84" s="53"/>
      <c r="I84" s="53"/>
      <c r="J84" s="53"/>
      <c r="K84" s="53"/>
      <c r="L84" s="53"/>
      <c r="M84" s="91"/>
      <c r="N84" s="91"/>
      <c r="O84" s="91"/>
      <c r="P84" s="91"/>
      <c r="Q84" s="91"/>
      <c r="R84" s="503"/>
      <c r="AG84" s="89"/>
      <c r="AV84" s="89"/>
    </row>
    <row r="85" spans="2:48" ht="10.5" customHeight="1">
      <c r="D85" s="59"/>
      <c r="E85" s="59"/>
      <c r="F85" s="59"/>
      <c r="G85" s="59"/>
      <c r="H85" s="59"/>
      <c r="I85" s="59"/>
      <c r="J85" s="59"/>
      <c r="K85" s="59"/>
      <c r="L85" s="59"/>
      <c r="M85" s="60"/>
      <c r="N85" s="60"/>
      <c r="O85" s="60"/>
      <c r="P85" s="60"/>
      <c r="Q85" s="61"/>
      <c r="R85" s="503"/>
      <c r="S85" s="83"/>
      <c r="T85" s="83"/>
      <c r="U85" s="83"/>
      <c r="V85" s="83"/>
      <c r="W85" s="83"/>
      <c r="X85" s="60"/>
      <c r="Y85" s="60"/>
      <c r="Z85" s="60"/>
      <c r="AA85" s="60"/>
      <c r="AB85" s="60"/>
      <c r="AC85" s="60"/>
      <c r="AD85" s="60"/>
      <c r="AE85" s="60"/>
      <c r="AF85" s="61"/>
      <c r="AG85" s="89"/>
      <c r="AH85" s="83"/>
      <c r="AI85" s="83"/>
      <c r="AJ85" s="83"/>
      <c r="AK85" s="83"/>
      <c r="AL85" s="83"/>
      <c r="AM85" s="60"/>
      <c r="AN85" s="60"/>
      <c r="AO85" s="60"/>
      <c r="AP85" s="60"/>
      <c r="AQ85" s="60"/>
      <c r="AR85" s="60"/>
      <c r="AS85" s="60"/>
      <c r="AT85" s="60"/>
      <c r="AU85" s="61"/>
      <c r="AV85" s="89"/>
    </row>
    <row r="86" spans="2:48" ht="10.5" customHeight="1">
      <c r="D86" s="53"/>
      <c r="E86" s="53"/>
      <c r="F86" s="53"/>
      <c r="G86" s="53"/>
      <c r="H86" s="53"/>
      <c r="I86" s="53"/>
      <c r="J86" s="53"/>
      <c r="K86" s="53"/>
      <c r="L86" s="53"/>
      <c r="M86" s="60"/>
      <c r="N86" s="60"/>
      <c r="O86" s="60"/>
      <c r="R86" s="503"/>
      <c r="X86" s="60"/>
      <c r="Y86" s="60"/>
      <c r="Z86" s="60"/>
      <c r="AA86" s="60"/>
      <c r="AB86" s="60"/>
      <c r="AC86" s="60"/>
      <c r="AD86" s="60"/>
      <c r="AG86" s="89"/>
      <c r="AM86" s="60"/>
      <c r="AN86" s="60"/>
      <c r="AO86" s="60"/>
      <c r="AP86" s="60"/>
      <c r="AQ86" s="60"/>
      <c r="AR86" s="60"/>
      <c r="AS86" s="60"/>
      <c r="AV86" s="89"/>
    </row>
    <row r="87" spans="2:48" outlineLevel="1">
      <c r="B87" s="58" t="s">
        <v>143</v>
      </c>
      <c r="D87" s="53"/>
      <c r="E87" s="53"/>
      <c r="F87" s="53"/>
      <c r="G87" s="53"/>
      <c r="H87" s="53"/>
      <c r="I87" s="53"/>
      <c r="J87" s="53"/>
      <c r="K87" s="53"/>
      <c r="L87" s="53"/>
      <c r="M87" s="60"/>
      <c r="N87" s="60"/>
      <c r="O87" s="60"/>
      <c r="R87" s="503"/>
      <c r="X87" s="60"/>
      <c r="Y87" s="60"/>
      <c r="Z87" s="60"/>
      <c r="AA87" s="60"/>
      <c r="AB87" s="60"/>
      <c r="AC87" s="60"/>
      <c r="AD87" s="60"/>
      <c r="AG87" s="89"/>
      <c r="AM87" s="60"/>
      <c r="AN87" s="60"/>
      <c r="AO87" s="60"/>
      <c r="AP87" s="60"/>
      <c r="AQ87" s="60"/>
      <c r="AR87" s="60"/>
      <c r="AS87" s="60"/>
      <c r="AV87" s="89"/>
    </row>
    <row r="88" spans="2:48" outlineLevel="1">
      <c r="B88" s="58"/>
      <c r="D88" s="53"/>
      <c r="E88" s="53"/>
      <c r="F88" s="53"/>
      <c r="G88" s="53"/>
      <c r="H88" s="53"/>
      <c r="I88" s="53"/>
      <c r="J88" s="53"/>
      <c r="K88" s="53"/>
      <c r="L88" s="53"/>
      <c r="R88" s="503"/>
      <c r="AG88" s="89"/>
      <c r="AV88" s="89"/>
    </row>
    <row r="89" spans="2:48" outlineLevel="1">
      <c r="B89" s="51" t="s">
        <v>144</v>
      </c>
      <c r="D89" s="59">
        <v>-5977</v>
      </c>
      <c r="E89" s="59">
        <v>-3275</v>
      </c>
      <c r="F89" s="59">
        <v>-9550</v>
      </c>
      <c r="G89" s="59">
        <v>-6035</v>
      </c>
      <c r="H89" s="59">
        <v>-6536</v>
      </c>
      <c r="I89" s="59">
        <v>-6264</v>
      </c>
      <c r="J89" s="59">
        <v>-6216</v>
      </c>
      <c r="K89" s="59">
        <v>-7017</v>
      </c>
      <c r="L89" s="59">
        <v>-6738</v>
      </c>
      <c r="M89" s="60">
        <f>SUMIFS(Payroll!F:F,Payroll!$C:$C,"Permanent",Payroll!$D:$D,"Central Europe")+SUMIFS(Payroll!F:F,Payroll!$C:$C,"Permanent",Payroll!$D:$D,"Spain")+SUMIFS(Payroll!F:F,Payroll!$C:$C,"Permanent",Payroll!$D:$D,"Italy")</f>
        <v>-6012.3622881355932</v>
      </c>
      <c r="N89" s="60">
        <f>SUMIFS(Payroll!G:G,Payroll!$C:$C,"Permanent",Payroll!$D:$D,"Central Europe")+SUMIFS(Payroll!G:G,Payroll!$C:$C,"Permanent",Payroll!$D:$D,"Spain")+SUMIFS(Payroll!G:G,Payroll!$C:$C,"Permanent",Payroll!$D:$D,"Italy")</f>
        <v>-6012.3622881355932</v>
      </c>
      <c r="O89" s="60">
        <f>SUMIFS(Payroll!H:H,Payroll!$C:$C,"Permanent",Payroll!$D:$D,"Central Europe")+SUMIFS(Payroll!H:H,Payroll!$C:$C,"Permanent",Payroll!$D:$D,"Spain")+SUMIFS(Payroll!H:H,Payroll!$C:$C,"Permanent",Payroll!$D:$D,"Italy")</f>
        <v>-12154.862288135593</v>
      </c>
      <c r="P89" s="60"/>
      <c r="Q89" s="61">
        <f>SUM(D89:O89)</f>
        <v>-81787.586864406781</v>
      </c>
      <c r="R89" s="505"/>
      <c r="S89" s="60">
        <f>SUMIFS(Payroll!I:I,Payroll!$C:$C,"Permanent",Payroll!$B:$B,"CE")</f>
        <v>-3803.532839</v>
      </c>
      <c r="T89" s="60">
        <f>SUMIFS(Payroll!J:J,Payroll!$C:$C,"Permanent",Payroll!$B:$B,"CE")</f>
        <v>-3803.532839</v>
      </c>
      <c r="U89" s="60">
        <f>SUMIFS(Payroll!K:K,Payroll!$C:$C,"Permanent",Payroll!$B:$B,"CE")</f>
        <v>-3803.532839</v>
      </c>
      <c r="V89" s="60">
        <f>SUMIFS(Payroll!L:L,Payroll!$C:$C,"Permanent",Payroll!$B:$B,"CE")</f>
        <v>-7216.0328389999995</v>
      </c>
      <c r="W89" s="60">
        <f>SUMIFS(Payroll!M:M,Payroll!$C:$C,"Permanent",Payroll!$B:$B,"CE")</f>
        <v>-7216.0328389999995</v>
      </c>
      <c r="X89" s="60">
        <f>SUMIFS(Payroll!N:N,Payroll!$C:$C,"Permanent",Payroll!$B:$B,"CE")</f>
        <v>-7216.0328389999995</v>
      </c>
      <c r="Y89" s="60">
        <f>SUMIFS(Payroll!O:O,Payroll!$C:$C,"Permanent",Payroll!$B:$B,"CE")</f>
        <v>-7216.0328389999995</v>
      </c>
      <c r="Z89" s="60">
        <f>SUMIFS(Payroll!P:P,Payroll!$C:$C,"Permanent",Payroll!$B:$B,"CE")</f>
        <v>-7216.0328389999995</v>
      </c>
      <c r="AA89" s="60">
        <f>SUMIFS(Payroll!Q:Q,Payroll!$C:$C,"Permanent",Payroll!$B:$B,"CE")</f>
        <v>-7216.0328389999995</v>
      </c>
      <c r="AB89" s="60">
        <f>SUMIFS(Payroll!R:R,Payroll!$C:$C,"Permanent",Payroll!$B:$B,"CE")</f>
        <v>-7216.0328389999995</v>
      </c>
      <c r="AC89" s="60">
        <f>SUMIFS(Payroll!S:S,Payroll!$C:$C,"Permanent",Payroll!$B:$B,"CE")</f>
        <v>-7216.0328389999995</v>
      </c>
      <c r="AD89" s="60">
        <f>SUMIFS(Payroll!T:T,Payroll!$C:$C,"Permanent",Payroll!$B:$B,"CE")</f>
        <v>-13066.032839</v>
      </c>
      <c r="AE89" s="60"/>
      <c r="AF89" s="61">
        <f>SUM(S89:AD89)</f>
        <v>-82204.894067999994</v>
      </c>
      <c r="AG89" s="89"/>
      <c r="AH89" s="60">
        <f>SUMIFS(Payroll!U:U,Payroll!$C:$C,"Permanent",Payroll!$B:$B,"CE")</f>
        <v>-13066.032839</v>
      </c>
      <c r="AI89" s="60">
        <f>SUMIFS(Payroll!V:V,Payroll!$C:$C,"Permanent",Payroll!$B:$B,"CE")</f>
        <v>-13066.032839</v>
      </c>
      <c r="AJ89" s="60">
        <f>SUMIFS(Payroll!W:W,Payroll!$C:$C,"Permanent",Payroll!$B:$B,"CE")</f>
        <v>-13066.032839</v>
      </c>
      <c r="AK89" s="60">
        <f>SUMIFS(Payroll!X:X,Payroll!$C:$C,"Permanent",Payroll!$B:$B,"CE")</f>
        <v>-13066.032839</v>
      </c>
      <c r="AL89" s="60">
        <f>SUMIFS(Payroll!Y:Y,Payroll!$C:$C,"Permanent",Payroll!$B:$B,"CE")</f>
        <v>-13066.032839</v>
      </c>
      <c r="AM89" s="60">
        <f>SUMIFS(Payroll!Z:Z,Payroll!$C:$C,"Permanent",Payroll!$B:$B,"CE")</f>
        <v>-13066.032839</v>
      </c>
      <c r="AN89" s="60">
        <f>SUMIFS(Payroll!AA:AA,Payroll!$C:$C,"Permanent",Payroll!$B:$B,"CE")</f>
        <v>-13066.032839</v>
      </c>
      <c r="AO89" s="60">
        <f>SUMIFS(Payroll!AB:AB,Payroll!$C:$C,"Permanent",Payroll!$B:$B,"CE")</f>
        <v>-13066.032839</v>
      </c>
      <c r="AP89" s="60">
        <f>SUMIFS(Payroll!AC:AC,Payroll!$C:$C,"Permanent",Payroll!$B:$B,"CE")</f>
        <v>-13066.032839</v>
      </c>
      <c r="AQ89" s="60">
        <f>SUMIFS(Payroll!AD:AD,Payroll!$C:$C,"Permanent",Payroll!$B:$B,"CE")</f>
        <v>-13066.032839</v>
      </c>
      <c r="AR89" s="60">
        <f>SUMIFS(Payroll!AE:AE,Payroll!$C:$C,"Permanent",Payroll!$B:$B,"CE")</f>
        <v>-13066.032839</v>
      </c>
      <c r="AS89" s="60">
        <f>SUMIFS(Payroll!AF:AF,Payroll!$C:$C,"Permanent",Payroll!$B:$B,"CE")</f>
        <v>-13066.032839</v>
      </c>
      <c r="AT89" s="60"/>
      <c r="AU89" s="61">
        <f>SUM(AH89:AS89)</f>
        <v>-156792.39406799997</v>
      </c>
      <c r="AV89" s="89"/>
    </row>
    <row r="90" spans="2:48" outlineLevel="1">
      <c r="B90" s="51" t="s">
        <v>145</v>
      </c>
      <c r="D90" s="59" t="s">
        <v>184</v>
      </c>
      <c r="E90" s="59" t="s">
        <v>184</v>
      </c>
      <c r="F90" s="59" t="s">
        <v>184</v>
      </c>
      <c r="G90" s="59" t="s">
        <v>184</v>
      </c>
      <c r="H90" s="59" t="s">
        <v>184</v>
      </c>
      <c r="I90" s="59" t="s">
        <v>184</v>
      </c>
      <c r="J90" s="59" t="s">
        <v>184</v>
      </c>
      <c r="K90" s="59" t="s">
        <v>184</v>
      </c>
      <c r="L90" s="59" t="s">
        <v>184</v>
      </c>
      <c r="M90" s="60">
        <f>SUMIFS(Payroll!F:F,Payroll!$C:$C,"Freelancer",Payroll!$D:$D,"Central Europe")+SUMIFS(Payroll!F:F,Payroll!$C:$C,"Freelancer",Payroll!$D:$D,"Spain")+SUMIFS(Payroll!F:F,Payroll!$C:$C,"Freelancer",Payroll!$D:$D,"Italy")</f>
        <v>0</v>
      </c>
      <c r="N90" s="60">
        <f>SUMIFS(Payroll!G:G,Payroll!$C:$C,"Freelancer",Payroll!$D:$D,"Central Europe")+SUMIFS(Payroll!G:G,Payroll!$C:$C,"Freelancer",Payroll!$D:$D,"Spain")+SUMIFS(Payroll!G:G,Payroll!$C:$C,"Freelancer",Payroll!$D:$D,"Italy")</f>
        <v>0</v>
      </c>
      <c r="O90" s="60">
        <f>SUMIFS(Payroll!H:H,Payroll!$C:$C,"Freelancer",Payroll!$D:$D,"Central Europe")+SUMIFS(Payroll!H:H,Payroll!$C:$C,"Freelancer",Payroll!$D:$D,"Spain")+SUMIFS(Payroll!H:H,Payroll!$C:$C,"Freelancer",Payroll!$D:$D,"Italy")</f>
        <v>0</v>
      </c>
      <c r="P90" s="60"/>
      <c r="Q90" s="61">
        <f t="shared" ref="Q90" si="96">SUM(D90:O90)</f>
        <v>0</v>
      </c>
      <c r="R90" s="505"/>
      <c r="S90" s="60">
        <f>SUMIFS(Payroll!I:I,Payroll!$C:$C,"Freelancer",Payroll!$B:$B,"CE")</f>
        <v>0</v>
      </c>
      <c r="T90" s="60">
        <f>SUMIFS(Payroll!J:J,Payroll!$C:$C,"Freelancer",Payroll!$B:$B,"CE")</f>
        <v>0</v>
      </c>
      <c r="U90" s="60">
        <f>SUMIFS(Payroll!K:K,Payroll!$C:$C,"Freelancer",Payroll!$B:$B,"CE")</f>
        <v>0</v>
      </c>
      <c r="V90" s="60">
        <f>SUMIFS(Payroll!L:L,Payroll!$C:$C,"Freelancer",Payroll!$B:$B,"CE")</f>
        <v>0</v>
      </c>
      <c r="W90" s="60">
        <f>SUMIFS(Payroll!M:M,Payroll!$C:$C,"Freelancer",Payroll!$B:$B,"CE")</f>
        <v>0</v>
      </c>
      <c r="X90" s="60">
        <f>SUMIFS(Payroll!N:N,Payroll!$C:$C,"Freelancer",Payroll!$B:$B,"CE")</f>
        <v>0</v>
      </c>
      <c r="Y90" s="60">
        <f>SUMIFS(Payroll!O:O,Payroll!$C:$C,"Freelancer",Payroll!$B:$B,"CE")</f>
        <v>0</v>
      </c>
      <c r="Z90" s="60">
        <f>SUMIFS(Payroll!P:P,Payroll!$C:$C,"Freelancer",Payroll!$B:$B,"CE")</f>
        <v>0</v>
      </c>
      <c r="AA90" s="60">
        <f>SUMIFS(Payroll!Q:Q,Payroll!$C:$C,"Freelancer",Payroll!$B:$B,"CE")</f>
        <v>0</v>
      </c>
      <c r="AB90" s="60">
        <f>SUMIFS(Payroll!R:R,Payroll!$C:$C,"Freelancer",Payroll!$B:$B,"CE")</f>
        <v>0</v>
      </c>
      <c r="AC90" s="60">
        <f>SUMIFS(Payroll!S:S,Payroll!$C:$C,"Freelancer",Payroll!$B:$B,"CE")</f>
        <v>0</v>
      </c>
      <c r="AD90" s="60">
        <f>SUMIFS(Payroll!T:T,Payroll!$C:$C,"Freelancer",Payroll!$B:$B,"CE")</f>
        <v>0</v>
      </c>
      <c r="AE90" s="60"/>
      <c r="AF90" s="61">
        <f t="shared" ref="AF90" si="97">SUM(S90:AD90)</f>
        <v>0</v>
      </c>
      <c r="AG90" s="89"/>
      <c r="AH90" s="60">
        <f>SUMIFS(Payroll!U:U,Payroll!$C:$C,"Freelancer",Payroll!$B:$B,"CE")</f>
        <v>0</v>
      </c>
      <c r="AI90" s="60">
        <f>SUMIFS(Payroll!V:V,Payroll!$C:$C,"Freelancer",Payroll!$B:$B,"CE")</f>
        <v>0</v>
      </c>
      <c r="AJ90" s="60">
        <f>SUMIFS(Payroll!W:W,Payroll!$C:$C,"Freelancer",Payroll!$B:$B,"CE")</f>
        <v>0</v>
      </c>
      <c r="AK90" s="60">
        <f>SUMIFS(Payroll!X:X,Payroll!$C:$C,"Freelancer",Payroll!$B:$B,"CE")</f>
        <v>0</v>
      </c>
      <c r="AL90" s="60">
        <f>SUMIFS(Payroll!Y:Y,Payroll!$C:$C,"Freelancer",Payroll!$B:$B,"CE")</f>
        <v>0</v>
      </c>
      <c r="AM90" s="60">
        <f>SUMIFS(Payroll!Z:Z,Payroll!$C:$C,"Freelancer",Payroll!$B:$B,"CE")</f>
        <v>0</v>
      </c>
      <c r="AN90" s="60">
        <f>SUMIFS(Payroll!AA:AA,Payroll!$C:$C,"Freelancer",Payroll!$B:$B,"CE")</f>
        <v>0</v>
      </c>
      <c r="AO90" s="60">
        <f>SUMIFS(Payroll!AB:AB,Payroll!$C:$C,"Freelancer",Payroll!$B:$B,"CE")</f>
        <v>0</v>
      </c>
      <c r="AP90" s="60">
        <f>SUMIFS(Payroll!AC:AC,Payroll!$C:$C,"Freelancer",Payroll!$B:$B,"CE")</f>
        <v>0</v>
      </c>
      <c r="AQ90" s="60">
        <f>SUMIFS(Payroll!AD:AD,Payroll!$C:$C,"Freelancer",Payroll!$B:$B,"CE")</f>
        <v>0</v>
      </c>
      <c r="AR90" s="60">
        <f>SUMIFS(Payroll!AE:AE,Payroll!$C:$C,"Freelancer",Payroll!$B:$B,"CE")</f>
        <v>0</v>
      </c>
      <c r="AS90" s="60">
        <f>SUMIFS(Payroll!AF:AF,Payroll!$C:$C,"Freelancer",Payroll!$B:$B,"CE")</f>
        <v>0</v>
      </c>
      <c r="AT90" s="60"/>
      <c r="AU90" s="61">
        <f t="shared" ref="AU90" si="98">SUM(AH90:AS90)</f>
        <v>0</v>
      </c>
      <c r="AV90" s="89"/>
    </row>
    <row r="91" spans="2:48" outlineLevel="1">
      <c r="B91" s="51" t="s">
        <v>146</v>
      </c>
      <c r="D91" s="59">
        <v>-2104</v>
      </c>
      <c r="E91" s="59">
        <v>-957</v>
      </c>
      <c r="F91" s="59">
        <v>-2071</v>
      </c>
      <c r="G91" s="59">
        <v>-1437</v>
      </c>
      <c r="H91" s="59">
        <v>-1188</v>
      </c>
      <c r="I91" s="59">
        <v>-3055</v>
      </c>
      <c r="J91" s="59">
        <v>-1492</v>
      </c>
      <c r="K91" s="59">
        <v>-3612</v>
      </c>
      <c r="L91" s="59">
        <v>-2506</v>
      </c>
      <c r="M91" s="60">
        <f>'IT P&amp;L'!M88+'ES P&amp;L'!M89</f>
        <v>-1200</v>
      </c>
      <c r="N91" s="60">
        <f>'IT P&amp;L'!N88+'ES P&amp;L'!N89</f>
        <v>-1200</v>
      </c>
      <c r="O91" s="60">
        <f>'IT P&amp;L'!O88+'ES P&amp;L'!O89</f>
        <v>-1200</v>
      </c>
      <c r="P91" s="60"/>
      <c r="Q91" s="61">
        <f t="shared" ref="Q91:Q97" si="99">SUM(D91:O91)</f>
        <v>-22022</v>
      </c>
      <c r="R91" s="505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1"/>
      <c r="AG91" s="89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1">
        <f t="shared" ref="AU91:AU97" si="100">SUM(AH91:AS91)</f>
        <v>0</v>
      </c>
      <c r="AV91" s="89"/>
    </row>
    <row r="92" spans="2:48" outlineLevel="1">
      <c r="B92" s="51" t="s">
        <v>147</v>
      </c>
      <c r="D92" s="59">
        <v>-158</v>
      </c>
      <c r="E92" s="59">
        <v>-186</v>
      </c>
      <c r="F92" s="59">
        <v>-343</v>
      </c>
      <c r="G92" s="59">
        <v>-466</v>
      </c>
      <c r="H92" s="59">
        <v>-465</v>
      </c>
      <c r="I92" s="59">
        <v>-702</v>
      </c>
      <c r="J92" s="59">
        <v>-692</v>
      </c>
      <c r="K92" s="59">
        <v>-1038</v>
      </c>
      <c r="L92" s="59">
        <v>-185</v>
      </c>
      <c r="M92" s="60">
        <f>'IT P&amp;L'!M89+'ES P&amp;L'!M90</f>
        <v>-800</v>
      </c>
      <c r="N92" s="60">
        <f>'IT P&amp;L'!N89+'ES P&amp;L'!N90</f>
        <v>-800</v>
      </c>
      <c r="O92" s="60">
        <f>'IT P&amp;L'!O89+'ES P&amp;L'!O90</f>
        <v>-800</v>
      </c>
      <c r="P92" s="60"/>
      <c r="Q92" s="61">
        <f t="shared" si="99"/>
        <v>-6635</v>
      </c>
      <c r="R92" s="505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1"/>
      <c r="AG92" s="89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1">
        <f t="shared" si="100"/>
        <v>0</v>
      </c>
      <c r="AV92" s="89"/>
    </row>
    <row r="93" spans="2:48" outlineLevel="1">
      <c r="B93" s="51" t="s">
        <v>148</v>
      </c>
      <c r="D93" s="59" t="s">
        <v>184</v>
      </c>
      <c r="E93" s="59" t="s">
        <v>184</v>
      </c>
      <c r="F93" s="59" t="s">
        <v>184</v>
      </c>
      <c r="G93" s="59" t="s">
        <v>184</v>
      </c>
      <c r="H93" s="59" t="s">
        <v>184</v>
      </c>
      <c r="I93" s="59" t="s">
        <v>184</v>
      </c>
      <c r="J93" s="59" t="s">
        <v>184</v>
      </c>
      <c r="K93" s="59" t="s">
        <v>184</v>
      </c>
      <c r="L93" s="59" t="s">
        <v>184</v>
      </c>
      <c r="M93" s="60">
        <f>'IT P&amp;L'!M90+'ES P&amp;L'!M91</f>
        <v>0</v>
      </c>
      <c r="N93" s="60">
        <f>'IT P&amp;L'!N90+'ES P&amp;L'!N91</f>
        <v>0</v>
      </c>
      <c r="O93" s="60">
        <f>'IT P&amp;L'!O90+'ES P&amp;L'!O91</f>
        <v>0</v>
      </c>
      <c r="P93" s="60"/>
      <c r="Q93" s="61">
        <f t="shared" si="99"/>
        <v>0</v>
      </c>
      <c r="R93" s="505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1"/>
      <c r="AG93" s="89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1">
        <f t="shared" si="100"/>
        <v>0</v>
      </c>
      <c r="AV93" s="89"/>
    </row>
    <row r="94" spans="2:48" outlineLevel="1">
      <c r="B94" s="51" t="s">
        <v>149</v>
      </c>
      <c r="D94" s="59" t="s">
        <v>184</v>
      </c>
      <c r="E94" s="59" t="s">
        <v>184</v>
      </c>
      <c r="F94" s="59" t="s">
        <v>184</v>
      </c>
      <c r="G94" s="59" t="s">
        <v>184</v>
      </c>
      <c r="H94" s="59" t="s">
        <v>184</v>
      </c>
      <c r="I94" s="59" t="s">
        <v>184</v>
      </c>
      <c r="J94" s="59" t="s">
        <v>184</v>
      </c>
      <c r="K94" s="59" t="s">
        <v>184</v>
      </c>
      <c r="L94" s="59" t="s">
        <v>184</v>
      </c>
      <c r="M94" s="60">
        <f>'IT P&amp;L'!M91+'ES P&amp;L'!M92</f>
        <v>0</v>
      </c>
      <c r="N94" s="60">
        <f>'IT P&amp;L'!N91+'ES P&amp;L'!N92</f>
        <v>0</v>
      </c>
      <c r="O94" s="60">
        <f>'IT P&amp;L'!O91+'ES P&amp;L'!O92</f>
        <v>0</v>
      </c>
      <c r="P94" s="60"/>
      <c r="Q94" s="61">
        <f t="shared" si="99"/>
        <v>0</v>
      </c>
      <c r="R94" s="505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1"/>
      <c r="AG94" s="89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1">
        <f t="shared" si="100"/>
        <v>0</v>
      </c>
      <c r="AV94" s="89"/>
    </row>
    <row r="95" spans="2:48" outlineLevel="1">
      <c r="B95" s="51" t="s">
        <v>150</v>
      </c>
      <c r="D95" s="59" t="s">
        <v>184</v>
      </c>
      <c r="E95" s="59" t="s">
        <v>184</v>
      </c>
      <c r="F95" s="59" t="s">
        <v>184</v>
      </c>
      <c r="G95" s="59" t="s">
        <v>184</v>
      </c>
      <c r="H95" s="59" t="s">
        <v>184</v>
      </c>
      <c r="I95" s="59" t="s">
        <v>184</v>
      </c>
      <c r="J95" s="59" t="s">
        <v>184</v>
      </c>
      <c r="K95" s="59" t="s">
        <v>184</v>
      </c>
      <c r="L95" s="59" t="s">
        <v>184</v>
      </c>
      <c r="M95" s="60">
        <f>'IT P&amp;L'!M92+'ES P&amp;L'!M93</f>
        <v>0</v>
      </c>
      <c r="N95" s="60">
        <f>'IT P&amp;L'!N92+'ES P&amp;L'!N93</f>
        <v>0</v>
      </c>
      <c r="O95" s="60">
        <f>'IT P&amp;L'!O92+'ES P&amp;L'!O93</f>
        <v>0</v>
      </c>
      <c r="P95" s="60"/>
      <c r="Q95" s="61">
        <f t="shared" si="99"/>
        <v>0</v>
      </c>
      <c r="R95" s="505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1"/>
      <c r="AG95" s="89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1">
        <f t="shared" si="100"/>
        <v>0</v>
      </c>
      <c r="AV95" s="89"/>
    </row>
    <row r="96" spans="2:48" outlineLevel="1">
      <c r="B96" s="51" t="s">
        <v>151</v>
      </c>
      <c r="D96" s="59" t="s">
        <v>184</v>
      </c>
      <c r="E96" s="59" t="s">
        <v>184</v>
      </c>
      <c r="F96" s="59" t="s">
        <v>184</v>
      </c>
      <c r="G96" s="59" t="s">
        <v>184</v>
      </c>
      <c r="H96" s="59" t="s">
        <v>184</v>
      </c>
      <c r="I96" s="59" t="s">
        <v>184</v>
      </c>
      <c r="J96" s="59" t="s">
        <v>184</v>
      </c>
      <c r="K96" s="59" t="s">
        <v>184</v>
      </c>
      <c r="L96" s="59" t="s">
        <v>184</v>
      </c>
      <c r="M96" s="60">
        <f>'IT P&amp;L'!M93+'ES P&amp;L'!M94</f>
        <v>0</v>
      </c>
      <c r="N96" s="60">
        <f>'IT P&amp;L'!N93+'ES P&amp;L'!N94</f>
        <v>0</v>
      </c>
      <c r="O96" s="60">
        <f>'IT P&amp;L'!O93+'ES P&amp;L'!O94</f>
        <v>0</v>
      </c>
      <c r="P96" s="60"/>
      <c r="Q96" s="61">
        <f t="shared" si="99"/>
        <v>0</v>
      </c>
      <c r="R96" s="505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1"/>
      <c r="AG96" s="89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1">
        <f t="shared" si="100"/>
        <v>0</v>
      </c>
      <c r="AV96" s="89"/>
    </row>
    <row r="97" spans="2:48" outlineLevel="1">
      <c r="B97" s="51" t="s">
        <v>143</v>
      </c>
      <c r="D97" s="59" t="s">
        <v>184</v>
      </c>
      <c r="E97" s="59" t="s">
        <v>184</v>
      </c>
      <c r="F97" s="59" t="s">
        <v>184</v>
      </c>
      <c r="G97" s="59" t="s">
        <v>184</v>
      </c>
      <c r="H97" s="59" t="s">
        <v>184</v>
      </c>
      <c r="I97" s="59" t="s">
        <v>184</v>
      </c>
      <c r="J97" s="59" t="s">
        <v>184</v>
      </c>
      <c r="K97" s="59" t="s">
        <v>184</v>
      </c>
      <c r="L97" s="59" t="s">
        <v>184</v>
      </c>
      <c r="M97" s="60">
        <f>'IT P&amp;L'!M94+'ES P&amp;L'!M95</f>
        <v>0</v>
      </c>
      <c r="N97" s="60">
        <f>'IT P&amp;L'!N94+'ES P&amp;L'!N95</f>
        <v>0</v>
      </c>
      <c r="O97" s="60">
        <f>'IT P&amp;L'!O94+'ES P&amp;L'!O95</f>
        <v>0</v>
      </c>
      <c r="P97" s="60"/>
      <c r="Q97" s="61">
        <f t="shared" si="99"/>
        <v>0</v>
      </c>
      <c r="R97" s="505"/>
      <c r="S97" s="60">
        <f>SUMIF('OH Matrix'!$A$58:$A$70,"CE",'OH Matrix'!P58:P70)</f>
        <v>-14263.712321861358</v>
      </c>
      <c r="T97" s="60">
        <f>SUMIF('OH Matrix'!$A$58:$A$70,"CE",'OH Matrix'!Q58:Q70)</f>
        <v>-11697.007845591028</v>
      </c>
      <c r="U97" s="60">
        <f>SUMIF('OH Matrix'!$A$58:$A$70,"CE",'OH Matrix'!R58:R70)</f>
        <v>-9299.2308728388925</v>
      </c>
      <c r="V97" s="60">
        <f>SUMIF('OH Matrix'!$A$58:$A$70,"CE",'OH Matrix'!S58:S70)</f>
        <v>-14334.956577663628</v>
      </c>
      <c r="W97" s="60">
        <f>SUMIF('OH Matrix'!$A$58:$A$70,"CE",'OH Matrix'!T58:T70)</f>
        <v>-20084.46603868308</v>
      </c>
      <c r="X97" s="60">
        <f>SUMIF('OH Matrix'!$A$58:$A$70,"CE",'OH Matrix'!U58:U70)</f>
        <v>-13740.882044342041</v>
      </c>
      <c r="Y97" s="60">
        <f>SUMIF('OH Matrix'!$A$58:$A$70,"CE",'OH Matrix'!V58:V70)</f>
        <v>-11258.488261053984</v>
      </c>
      <c r="Z97" s="60">
        <f>SUMIF('OH Matrix'!$A$58:$A$70,"CE",'OH Matrix'!W58:W70)</f>
        <v>-12387.272212308377</v>
      </c>
      <c r="AA97" s="60">
        <f>SUMIF('OH Matrix'!$A$58:$A$70,"CE",'OH Matrix'!X58:X70)</f>
        <v>-11004.73550009461</v>
      </c>
      <c r="AB97" s="60">
        <f>SUMIF('OH Matrix'!$A$58:$A$70,"CE",'OH Matrix'!Y58:Y70)</f>
        <v>-11055.011617213871</v>
      </c>
      <c r="AC97" s="60">
        <f>SUMIF('OH Matrix'!$A$58:$A$70,"CE",'OH Matrix'!Z58:Z70)</f>
        <v>-10512.964743890017</v>
      </c>
      <c r="AD97" s="60">
        <f>SUMIF('OH Matrix'!$A$58:$A$70,"CE",'OH Matrix'!AA58:AA70)</f>
        <v>-9720.1397692817645</v>
      </c>
      <c r="AE97" s="60"/>
      <c r="AF97" s="61">
        <f t="shared" ref="AF97" si="101">SUM(S97:AD97)</f>
        <v>-149358.86780482266</v>
      </c>
      <c r="AG97" s="89"/>
      <c r="AH97" s="60">
        <f>SUMIF('OH Matrix'!$A$58:$A$70,"CE",'OH Matrix'!AD58:AD70)</f>
        <v>-12476.854166348063</v>
      </c>
      <c r="AI97" s="60">
        <f>SUMIF('OH Matrix'!$A$58:$A$70,"CE",'OH Matrix'!AE58:AE70)</f>
        <v>-14488.966297243591</v>
      </c>
      <c r="AJ97" s="60">
        <f>SUMIF('OH Matrix'!$A$58:$A$70,"CE",'OH Matrix'!AF58:AF70)</f>
        <v>-14726.439343264339</v>
      </c>
      <c r="AK97" s="60">
        <f>SUMIF('OH Matrix'!$A$58:$A$70,"CE",'OH Matrix'!AG58:AG70)</f>
        <v>-17794.681359859198</v>
      </c>
      <c r="AL97" s="60">
        <f>SUMIF('OH Matrix'!$A$58:$A$70,"CE",'OH Matrix'!AH58:AH70)</f>
        <v>-10369.703127208117</v>
      </c>
      <c r="AM97" s="60">
        <f>SUMIF('OH Matrix'!$A$58:$A$70,"CE",'OH Matrix'!AI58:AI70)</f>
        <v>-15437.328773795867</v>
      </c>
      <c r="AN97" s="60">
        <f>SUMIF('OH Matrix'!$A$58:$A$70,"CE",'OH Matrix'!AJ58:AJ70)</f>
        <v>-12777.752468153647</v>
      </c>
      <c r="AO97" s="60">
        <f>SUMIF('OH Matrix'!$A$58:$A$70,"CE",'OH Matrix'!AK58:AK70)</f>
        <v>-24591.707325304003</v>
      </c>
      <c r="AP97" s="60">
        <f>SUMIF('OH Matrix'!$A$58:$A$70,"CE",'OH Matrix'!AL58:AL70)</f>
        <v>-16848.75289362613</v>
      </c>
      <c r="AQ97" s="60">
        <f>SUMIF('OH Matrix'!$A$58:$A$70,"CE",'OH Matrix'!AM58:AM70)</f>
        <v>-21580.363653503548</v>
      </c>
      <c r="AR97" s="60">
        <f>SUMIF('OH Matrix'!$A$58:$A$70,"CE",'OH Matrix'!AN58:AN70)</f>
        <v>-19401.41457426214</v>
      </c>
      <c r="AS97" s="60">
        <f>SUMIF('OH Matrix'!$A$58:$A$70,"CE",'OH Matrix'!AO58:AO70)</f>
        <v>-18028.982194859622</v>
      </c>
      <c r="AT97" s="60"/>
      <c r="AU97" s="61">
        <f t="shared" si="100"/>
        <v>-198522.94617742824</v>
      </c>
      <c r="AV97" s="89"/>
    </row>
    <row r="98" spans="2:48" outlineLevel="1">
      <c r="D98" s="53"/>
      <c r="E98" s="53"/>
      <c r="F98" s="53"/>
      <c r="G98" s="53"/>
      <c r="H98" s="53"/>
      <c r="I98" s="53"/>
      <c r="J98" s="53"/>
      <c r="K98" s="53"/>
      <c r="L98" s="53"/>
      <c r="R98" s="503"/>
      <c r="AG98" s="89"/>
      <c r="AV98" s="89"/>
    </row>
    <row r="99" spans="2:48">
      <c r="B99" s="65" t="s">
        <v>152</v>
      </c>
      <c r="C99" s="61"/>
      <c r="D99" s="64">
        <f>SUM(D89:D98)</f>
        <v>-8239</v>
      </c>
      <c r="E99" s="64">
        <f t="shared" ref="E99:L99" si="102">SUM(E89:E98)</f>
        <v>-4418</v>
      </c>
      <c r="F99" s="64">
        <f t="shared" si="102"/>
        <v>-11964</v>
      </c>
      <c r="G99" s="64">
        <f t="shared" si="102"/>
        <v>-7938</v>
      </c>
      <c r="H99" s="64">
        <f t="shared" si="102"/>
        <v>-8189</v>
      </c>
      <c r="I99" s="64">
        <f t="shared" si="102"/>
        <v>-10021</v>
      </c>
      <c r="J99" s="64">
        <f t="shared" si="102"/>
        <v>-8400</v>
      </c>
      <c r="K99" s="64">
        <f t="shared" si="102"/>
        <v>-11667</v>
      </c>
      <c r="L99" s="64">
        <f t="shared" si="102"/>
        <v>-9429</v>
      </c>
      <c r="M99" s="65">
        <f>SUM(M89:M98)</f>
        <v>-8012.3622881355932</v>
      </c>
      <c r="N99" s="65">
        <f>SUM(N89:N98)</f>
        <v>-8012.3622881355932</v>
      </c>
      <c r="O99" s="65">
        <f>SUM(O89:O98)</f>
        <v>-14154.862288135593</v>
      </c>
      <c r="P99" s="61"/>
      <c r="Q99" s="65">
        <f>SUM(D99:O99)</f>
        <v>-110444.5868644068</v>
      </c>
      <c r="R99" s="536"/>
      <c r="S99" s="84">
        <f>SUM(S89:S98)</f>
        <v>-18067.245160861359</v>
      </c>
      <c r="T99" s="84">
        <f t="shared" ref="T99:Z99" si="103">SUM(T89:T98)</f>
        <v>-15500.540684591027</v>
      </c>
      <c r="U99" s="84">
        <f t="shared" si="103"/>
        <v>-13102.763711838892</v>
      </c>
      <c r="V99" s="84">
        <f t="shared" si="103"/>
        <v>-21550.98941666363</v>
      </c>
      <c r="W99" s="84">
        <f t="shared" si="103"/>
        <v>-27300.49887768308</v>
      </c>
      <c r="X99" s="84">
        <f t="shared" si="103"/>
        <v>-20956.91488334204</v>
      </c>
      <c r="Y99" s="84">
        <f t="shared" si="103"/>
        <v>-18474.521100053986</v>
      </c>
      <c r="Z99" s="84">
        <f t="shared" si="103"/>
        <v>-19603.305051308376</v>
      </c>
      <c r="AA99" s="65">
        <f>SUM(AA89:AA98)</f>
        <v>-18220.768339094611</v>
      </c>
      <c r="AB99" s="65">
        <f>SUM(AB89:AB98)</f>
        <v>-18271.044456213873</v>
      </c>
      <c r="AC99" s="65">
        <f>SUM(AC89:AC98)</f>
        <v>-17728.997582890017</v>
      </c>
      <c r="AD99" s="65">
        <f>SUM(AD89:AD98)</f>
        <v>-22786.172608281762</v>
      </c>
      <c r="AE99" s="61"/>
      <c r="AF99" s="65">
        <f>SUM(S99:AD99)</f>
        <v>-231563.76187282265</v>
      </c>
      <c r="AG99" s="89"/>
      <c r="AH99" s="84">
        <f>SUM(AH89:AH98)</f>
        <v>-25542.887005348064</v>
      </c>
      <c r="AI99" s="84">
        <f t="shared" ref="AI99:AO99" si="104">SUM(AI89:AI98)</f>
        <v>-27554.99913624359</v>
      </c>
      <c r="AJ99" s="84">
        <f t="shared" si="104"/>
        <v>-27792.472182264341</v>
      </c>
      <c r="AK99" s="84">
        <f t="shared" si="104"/>
        <v>-30860.714198859197</v>
      </c>
      <c r="AL99" s="84">
        <f t="shared" si="104"/>
        <v>-23435.735966208114</v>
      </c>
      <c r="AM99" s="84">
        <f t="shared" si="104"/>
        <v>-28503.361612795867</v>
      </c>
      <c r="AN99" s="84">
        <f t="shared" si="104"/>
        <v>-25843.785307153645</v>
      </c>
      <c r="AO99" s="84">
        <f t="shared" si="104"/>
        <v>-37657.740164304007</v>
      </c>
      <c r="AP99" s="65">
        <f>SUM(AP89:AP98)</f>
        <v>-29914.785732626129</v>
      </c>
      <c r="AQ99" s="65">
        <f>SUM(AQ89:AQ98)</f>
        <v>-34646.396492503547</v>
      </c>
      <c r="AR99" s="65">
        <f>SUM(AR89:AR98)</f>
        <v>-32467.44741326214</v>
      </c>
      <c r="AS99" s="65">
        <f>SUM(AS89:AS98)</f>
        <v>-31095.015033859621</v>
      </c>
      <c r="AT99" s="61"/>
      <c r="AU99" s="65">
        <f>SUM(AH99:AS99)</f>
        <v>-355315.34024542826</v>
      </c>
      <c r="AV99" s="89"/>
    </row>
    <row r="100" spans="2:48">
      <c r="D100" s="76"/>
      <c r="E100" s="76"/>
      <c r="F100" s="76"/>
      <c r="G100" s="76"/>
      <c r="H100" s="76"/>
      <c r="I100" s="76"/>
      <c r="J100" s="76"/>
      <c r="K100" s="76"/>
      <c r="L100" s="76"/>
      <c r="M100" s="77"/>
      <c r="N100" s="77"/>
      <c r="O100" s="77"/>
      <c r="Q100" s="91">
        <f>-Q99/Q12</f>
        <v>3.6792320859555645E-2</v>
      </c>
      <c r="R100" s="535"/>
      <c r="S100" s="89"/>
      <c r="T100" s="89"/>
      <c r="U100" s="89"/>
      <c r="V100" s="89"/>
      <c r="W100" s="89"/>
      <c r="X100" s="77"/>
      <c r="Y100" s="77"/>
      <c r="Z100" s="77"/>
      <c r="AA100" s="77"/>
      <c r="AB100" s="77"/>
      <c r="AC100" s="77"/>
      <c r="AD100" s="77"/>
      <c r="AF100" s="91">
        <f ca="1">-AF99/AF12</f>
        <v>5.3826907365893427E-2</v>
      </c>
      <c r="AG100" s="89"/>
      <c r="AH100" s="89"/>
      <c r="AI100" s="89"/>
      <c r="AJ100" s="89"/>
      <c r="AK100" s="89"/>
      <c r="AL100" s="89"/>
      <c r="AM100" s="77"/>
      <c r="AN100" s="77"/>
      <c r="AO100" s="77"/>
      <c r="AP100" s="77"/>
      <c r="AQ100" s="77"/>
      <c r="AR100" s="77"/>
      <c r="AS100" s="77"/>
      <c r="AU100" s="91">
        <f ca="1">-AU99/AU12</f>
        <v>5.0159846221240686E-2</v>
      </c>
      <c r="AV100" s="89"/>
    </row>
    <row r="101" spans="2:48">
      <c r="B101" s="52" t="s">
        <v>153</v>
      </c>
      <c r="C101" s="52"/>
      <c r="D101" s="78">
        <v>79418.63</v>
      </c>
      <c r="E101" s="78">
        <v>54281.65</v>
      </c>
      <c r="F101" s="78">
        <v>913</v>
      </c>
      <c r="G101" s="78">
        <v>134663</v>
      </c>
      <c r="H101" s="78">
        <v>76938.31</v>
      </c>
      <c r="I101" s="78">
        <v>58845</v>
      </c>
      <c r="J101" s="78">
        <v>32387.729999999981</v>
      </c>
      <c r="K101" s="78">
        <v>12731.38000000001</v>
      </c>
      <c r="L101" s="78">
        <v>66100</v>
      </c>
      <c r="M101" s="61">
        <f>M77+M85+M99</f>
        <v>217683.6377118644</v>
      </c>
      <c r="N101" s="61">
        <f>N77+N85+N99</f>
        <v>92368.137711864401</v>
      </c>
      <c r="O101" s="61">
        <f>O77+O85+O99</f>
        <v>102089.1377118644</v>
      </c>
      <c r="P101" s="61"/>
      <c r="Q101" s="79">
        <f>Q77+Q85+Q99</f>
        <v>941007.91313559317</v>
      </c>
      <c r="R101" s="505"/>
      <c r="S101" s="90">
        <f ca="1">S77+S85+S99</f>
        <v>28609.031249878321</v>
      </c>
      <c r="T101" s="90">
        <f t="shared" ref="T101:Z101" ca="1" si="105">T77+T85+T99</f>
        <v>156966.04442112893</v>
      </c>
      <c r="U101" s="90">
        <f t="shared" ca="1" si="105"/>
        <v>86724.367620471792</v>
      </c>
      <c r="V101" s="90">
        <f t="shared" ca="1" si="105"/>
        <v>86537.081766293937</v>
      </c>
      <c r="W101" s="90">
        <f t="shared" ca="1" si="105"/>
        <v>90236.052444896835</v>
      </c>
      <c r="X101" s="61">
        <f t="shared" ca="1" si="105"/>
        <v>74057.992194937135</v>
      </c>
      <c r="Y101" s="61">
        <f t="shared" ca="1" si="105"/>
        <v>56979.692403934911</v>
      </c>
      <c r="Z101" s="61">
        <f t="shared" ca="1" si="105"/>
        <v>85969.824460632066</v>
      </c>
      <c r="AA101" s="61">
        <f ca="1">AA77+AA85+AA99</f>
        <v>103321.43333884227</v>
      </c>
      <c r="AB101" s="61">
        <f ca="1">AB77+AB85+AB99</f>
        <v>116008.69825656661</v>
      </c>
      <c r="AC101" s="61">
        <f ca="1">AC77+AC85+AC99</f>
        <v>63277.069628489131</v>
      </c>
      <c r="AD101" s="61">
        <f ca="1">AD77+AD85+AD99</f>
        <v>81300.956101740056</v>
      </c>
      <c r="AE101" s="61"/>
      <c r="AF101" s="79">
        <f ca="1">AF77+AF85+AF99</f>
        <v>1029988.2438878121</v>
      </c>
      <c r="AG101" s="531">
        <f ca="1">IFERROR(AF101/Q101-1,0)</f>
        <v>9.4558536129331738E-2</v>
      </c>
      <c r="AH101" s="90">
        <f ca="1">AH77+AH85+AH99</f>
        <v>97857.869056026233</v>
      </c>
      <c r="AI101" s="90">
        <f t="shared" ref="AI101:AO101" ca="1" si="106">AI77+AI85+AI99</f>
        <v>116890.82384566028</v>
      </c>
      <c r="AJ101" s="90">
        <f t="shared" ca="1" si="106"/>
        <v>141529.00561334364</v>
      </c>
      <c r="AK101" s="90">
        <f t="shared" ca="1" si="106"/>
        <v>199299.40051937886</v>
      </c>
      <c r="AL101" s="90">
        <f t="shared" ca="1" si="106"/>
        <v>201123.04351972573</v>
      </c>
      <c r="AM101" s="61">
        <f t="shared" ca="1" si="106"/>
        <v>164132.26698262914</v>
      </c>
      <c r="AN101" s="61">
        <f t="shared" ca="1" si="106"/>
        <v>152320.60482190381</v>
      </c>
      <c r="AO101" s="61">
        <f t="shared" ca="1" si="106"/>
        <v>160072.78377653568</v>
      </c>
      <c r="AP101" s="61">
        <f ca="1">AP77+AP85+AP99</f>
        <v>237342.14180674343</v>
      </c>
      <c r="AQ101" s="61">
        <f ca="1">AQ77+AQ85+AQ99</f>
        <v>215788.0994294413</v>
      </c>
      <c r="AR101" s="61">
        <f ca="1">AR77+AR85+AR99</f>
        <v>156080.74171587115</v>
      </c>
      <c r="AS101" s="61">
        <f ca="1">AS77+AS85+AS99</f>
        <v>163667.35883048951</v>
      </c>
      <c r="AT101" s="61"/>
      <c r="AU101" s="79">
        <f ca="1">AU77+AU85+AU99</f>
        <v>2006104.1399177492</v>
      </c>
      <c r="AV101" s="531">
        <f ca="1">IFERROR(AU101/AF101-1,0)</f>
        <v>0.94769615267206597</v>
      </c>
    </row>
    <row r="102" spans="2:48">
      <c r="B102" s="72" t="s">
        <v>186</v>
      </c>
      <c r="C102" s="73"/>
      <c r="D102" s="97">
        <v>0.37100933845959799</v>
      </c>
      <c r="E102" s="97">
        <v>0.31462698592104427</v>
      </c>
      <c r="F102" s="97">
        <v>7.5979494690589528E-3</v>
      </c>
      <c r="G102" s="97">
        <v>0.37466439265155543</v>
      </c>
      <c r="H102" s="97">
        <v>0.31157438829808776</v>
      </c>
      <c r="I102" s="97">
        <v>0.23035007574601013</v>
      </c>
      <c r="J102" s="97">
        <v>0.15478950330306857</v>
      </c>
      <c r="K102" s="97">
        <v>9.6631552406233029E-2</v>
      </c>
      <c r="L102" s="97">
        <v>0.26267162073556</v>
      </c>
      <c r="M102" s="91">
        <f t="shared" ref="M102:O102" si="107">IFERROR(M101/M12,0)</f>
        <v>0.42614632132294294</v>
      </c>
      <c r="N102" s="91">
        <f t="shared" si="107"/>
        <v>0.37690204393755466</v>
      </c>
      <c r="O102" s="91">
        <f t="shared" si="107"/>
        <v>0.35849051957462696</v>
      </c>
      <c r="P102" s="91"/>
      <c r="Q102" s="91">
        <f>IFERROR(Q101/Q12,0)</f>
        <v>0.3134772473183407</v>
      </c>
      <c r="S102" s="91">
        <f t="shared" ref="S102:AD102" ca="1" si="108">IFERROR(S101/S12,0)</f>
        <v>0.13099616091059041</v>
      </c>
      <c r="T102" s="91">
        <f t="shared" ca="1" si="108"/>
        <v>0.268960718998352</v>
      </c>
      <c r="U102" s="91">
        <f t="shared" ca="1" si="108"/>
        <v>0.24595752677699456</v>
      </c>
      <c r="V102" s="91">
        <f t="shared" ca="1" si="108"/>
        <v>0.24494284307341682</v>
      </c>
      <c r="W102" s="91">
        <f t="shared" ca="1" si="108"/>
        <v>0.2581259990419959</v>
      </c>
      <c r="X102" s="91">
        <f t="shared" ca="1" si="108"/>
        <v>0.19491455306934161</v>
      </c>
      <c r="Y102" s="91">
        <f t="shared" ca="1" si="108"/>
        <v>0.2134628952567566</v>
      </c>
      <c r="Z102" s="91">
        <f t="shared" ca="1" si="108"/>
        <v>0.26059685792636961</v>
      </c>
      <c r="AA102" s="91">
        <f t="shared" ca="1" si="108"/>
        <v>0.24599734649516308</v>
      </c>
      <c r="AB102" s="91">
        <f t="shared" ca="1" si="108"/>
        <v>0.2590771021394721</v>
      </c>
      <c r="AC102" s="91">
        <f t="shared" ca="1" si="108"/>
        <v>0.22202506571392097</v>
      </c>
      <c r="AD102" s="91">
        <f t="shared" ca="1" si="108"/>
        <v>0.25812266680215734</v>
      </c>
      <c r="AE102" s="91"/>
      <c r="AF102" s="91">
        <f ca="1">IFERROR(AF101/AF12,0)</f>
        <v>0.23942037106029293</v>
      </c>
      <c r="AH102" s="91">
        <f t="shared" ref="AH102:AS102" ca="1" si="109">IFERROR(AH101/AH12,0)</f>
        <v>0.25154065471552522</v>
      </c>
      <c r="AI102" s="91">
        <f t="shared" ca="1" si="109"/>
        <v>0.19159720046655696</v>
      </c>
      <c r="AJ102" s="91">
        <f t="shared" ca="1" si="109"/>
        <v>0.24492909983357841</v>
      </c>
      <c r="AK102" s="91">
        <f t="shared" ca="1" si="109"/>
        <v>0.32438564881940485</v>
      </c>
      <c r="AL102" s="91">
        <f t="shared" ca="1" si="109"/>
        <v>0.33199465853365984</v>
      </c>
      <c r="AM102" s="91">
        <f t="shared" ca="1" si="109"/>
        <v>0.24553593450934272</v>
      </c>
      <c r="AN102" s="91">
        <f t="shared" ca="1" si="109"/>
        <v>0.30794005770158955</v>
      </c>
      <c r="AO102" s="91">
        <f t="shared" ca="1" si="109"/>
        <v>0.29944985800232171</v>
      </c>
      <c r="AP102" s="91">
        <f t="shared" ca="1" si="109"/>
        <v>0.30024419777238021</v>
      </c>
      <c r="AQ102" s="91">
        <f t="shared" ca="1" si="109"/>
        <v>0.28924447393616054</v>
      </c>
      <c r="AR102" s="91">
        <f t="shared" ca="1" si="109"/>
        <v>0.29786920893361546</v>
      </c>
      <c r="AS102" s="91">
        <f t="shared" ca="1" si="109"/>
        <v>0.3097895180873072</v>
      </c>
      <c r="AT102" s="91"/>
      <c r="AU102" s="91">
        <f ca="1">IFERROR(AU101/AU12,0)</f>
        <v>0.28320160647317655</v>
      </c>
    </row>
  </sheetData>
  <sheetProtection algorithmName="SHA-512" hashValue="wgeoQ8qWzDzvBZlykFO0EPwLd6vg5W9C64EuEZNiIyrT1iJiwZtC9LESpBgEd2dd/7PpifgCua44r/E/LEwhXg==" saltValue="KwWX9jsI++iT9CeUIRdbwQ==" spinCount="100000" sheet="1" objects="1" scenarios="1"/>
  <mergeCells count="3">
    <mergeCell ref="D2:Q2"/>
    <mergeCell ref="S2:AF2"/>
    <mergeCell ref="AH2:AU2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AD8E6-6FF7-4F21-B324-D58066FFC45D}">
  <sheetPr codeName="Sheet8">
    <tabColor theme="4" tint="0.79998168889431442"/>
  </sheetPr>
  <dimension ref="A2:AZ102"/>
  <sheetViews>
    <sheetView showGridLines="0" zoomScale="140" workbookViewId="0">
      <selection activeCell="N12" sqref="N12"/>
    </sheetView>
  </sheetViews>
  <sheetFormatPr baseColWidth="10" defaultColWidth="8.5" defaultRowHeight="11" outlineLevelRow="2" outlineLevelCol="1"/>
  <cols>
    <col min="1" max="1" width="16" style="51" bestFit="1" customWidth="1"/>
    <col min="2" max="2" width="22.5" style="51" bestFit="1" customWidth="1"/>
    <col min="3" max="3" width="5" style="51" customWidth="1" outlineLevel="1"/>
    <col min="4" max="4" width="8.5" style="7" customWidth="1" outlineLevel="1"/>
    <col min="5" max="5" width="9.1640625" style="7" customWidth="1" outlineLevel="1"/>
    <col min="6" max="6" width="8.5" style="7" customWidth="1" outlineLevel="1"/>
    <col min="7" max="7" width="9.1640625" style="7" customWidth="1" outlineLevel="1"/>
    <col min="8" max="8" width="8.5" style="7" customWidth="1" outlineLevel="1"/>
    <col min="9" max="11" width="8.83203125" style="51" customWidth="1" outlineLevel="1"/>
    <col min="12" max="12" width="9" style="51" customWidth="1" outlineLevel="1" collapsed="1"/>
    <col min="13" max="15" width="8.83203125" style="51" customWidth="1" outlineLevel="1"/>
    <col min="16" max="16" width="3.1640625" style="51" customWidth="1" outlineLevel="1"/>
    <col min="17" max="17" width="9.6640625" style="52" bestFit="1" customWidth="1"/>
    <col min="18" max="18" width="4" style="51" customWidth="1"/>
    <col min="19" max="19" width="9.1640625" style="7" hidden="1" customWidth="1" outlineLevel="1"/>
    <col min="20" max="22" width="8.83203125" style="7" hidden="1" customWidth="1" outlineLevel="1"/>
    <col min="23" max="23" width="9.1640625" style="7" hidden="1" customWidth="1" outlineLevel="1"/>
    <col min="24" max="30" width="8.83203125" style="51" hidden="1" customWidth="1" outlineLevel="1"/>
    <col min="31" max="31" width="3.1640625" style="51" hidden="1" customWidth="1" outlineLevel="1"/>
    <col min="32" max="32" width="9.6640625" style="52" bestFit="1" customWidth="1" collapsed="1"/>
    <col min="33" max="33" width="6.6640625" style="7" customWidth="1"/>
    <col min="34" max="35" width="8.83203125" style="7" hidden="1" customWidth="1" outlineLevel="1"/>
    <col min="36" max="36" width="0" style="7" hidden="1" customWidth="1" outlineLevel="1"/>
    <col min="37" max="37" width="8.83203125" style="7" hidden="1" customWidth="1" outlineLevel="1"/>
    <col min="38" max="38" width="9.1640625" style="7" hidden="1" customWidth="1" outlineLevel="1"/>
    <col min="39" max="45" width="8.83203125" style="51" hidden="1" customWidth="1" outlineLevel="1"/>
    <col min="46" max="46" width="3.1640625" style="51" hidden="1" customWidth="1" outlineLevel="1"/>
    <col min="47" max="47" width="9.6640625" style="52" bestFit="1" customWidth="1" collapsed="1"/>
    <col min="48" max="48" width="6.6640625" style="7" customWidth="1"/>
    <col min="49" max="49" width="12.5" style="7" bestFit="1" customWidth="1"/>
    <col min="50" max="51" width="8.5" style="7"/>
    <col min="52" max="52" width="9.6640625" style="7" bestFit="1" customWidth="1"/>
    <col min="53" max="16384" width="8.5" style="7"/>
  </cols>
  <sheetData>
    <row r="2" spans="1:52" ht="16">
      <c r="B2" s="143" t="s">
        <v>190</v>
      </c>
      <c r="D2" s="546" t="s">
        <v>174</v>
      </c>
      <c r="E2" s="546"/>
      <c r="F2" s="546"/>
      <c r="G2" s="546"/>
      <c r="H2" s="546"/>
      <c r="I2" s="546"/>
      <c r="J2" s="546"/>
      <c r="K2" s="546"/>
      <c r="L2" s="546"/>
      <c r="M2" s="546"/>
      <c r="N2" s="546"/>
      <c r="O2" s="546"/>
      <c r="P2" s="546"/>
      <c r="Q2" s="546"/>
      <c r="S2" s="546" t="s">
        <v>75</v>
      </c>
      <c r="T2" s="546"/>
      <c r="U2" s="546"/>
      <c r="V2" s="546"/>
      <c r="W2" s="546"/>
      <c r="X2" s="546"/>
      <c r="Y2" s="546"/>
      <c r="Z2" s="546"/>
      <c r="AA2" s="546"/>
      <c r="AB2" s="546"/>
      <c r="AC2" s="546"/>
      <c r="AD2" s="546"/>
      <c r="AE2" s="546"/>
      <c r="AF2" s="546"/>
      <c r="AH2" s="546" t="s">
        <v>81</v>
      </c>
      <c r="AI2" s="546"/>
      <c r="AJ2" s="546"/>
      <c r="AK2" s="546"/>
      <c r="AL2" s="546"/>
      <c r="AM2" s="546"/>
      <c r="AN2" s="546"/>
      <c r="AO2" s="546"/>
      <c r="AP2" s="546"/>
      <c r="AQ2" s="546"/>
      <c r="AR2" s="546"/>
      <c r="AS2" s="546"/>
      <c r="AT2" s="546"/>
      <c r="AU2" s="546"/>
    </row>
    <row r="3" spans="1:52">
      <c r="B3" s="52"/>
      <c r="D3" s="54" t="s">
        <v>175</v>
      </c>
      <c r="E3" s="54" t="s">
        <v>175</v>
      </c>
      <c r="F3" s="54" t="s">
        <v>175</v>
      </c>
      <c r="G3" s="54" t="s">
        <v>176</v>
      </c>
      <c r="H3" s="54" t="s">
        <v>176</v>
      </c>
      <c r="I3" s="54" t="s">
        <v>176</v>
      </c>
      <c r="J3" s="54" t="s">
        <v>177</v>
      </c>
      <c r="K3" s="54" t="s">
        <v>177</v>
      </c>
      <c r="L3" s="54" t="s">
        <v>177</v>
      </c>
      <c r="M3" s="55" t="s">
        <v>178</v>
      </c>
      <c r="N3" s="55" t="s">
        <v>178</v>
      </c>
      <c r="O3" s="55" t="s">
        <v>178</v>
      </c>
      <c r="S3" s="80" t="s">
        <v>175</v>
      </c>
      <c r="T3" s="80" t="s">
        <v>175</v>
      </c>
      <c r="U3" s="80" t="s">
        <v>175</v>
      </c>
      <c r="V3" s="80" t="s">
        <v>176</v>
      </c>
      <c r="W3" s="80" t="s">
        <v>176</v>
      </c>
      <c r="X3" s="55" t="s">
        <v>176</v>
      </c>
      <c r="Y3" s="55" t="s">
        <v>177</v>
      </c>
      <c r="Z3" s="55" t="s">
        <v>177</v>
      </c>
      <c r="AA3" s="55" t="s">
        <v>177</v>
      </c>
      <c r="AB3" s="55" t="s">
        <v>178</v>
      </c>
      <c r="AC3" s="55" t="s">
        <v>178</v>
      </c>
      <c r="AD3" s="55" t="s">
        <v>178</v>
      </c>
      <c r="AH3" s="80" t="s">
        <v>175</v>
      </c>
      <c r="AI3" s="80" t="s">
        <v>175</v>
      </c>
      <c r="AJ3" s="80" t="s">
        <v>175</v>
      </c>
      <c r="AK3" s="80" t="s">
        <v>176</v>
      </c>
      <c r="AL3" s="80" t="s">
        <v>176</v>
      </c>
      <c r="AM3" s="55" t="s">
        <v>176</v>
      </c>
      <c r="AN3" s="55" t="s">
        <v>177</v>
      </c>
      <c r="AO3" s="55" t="s">
        <v>177</v>
      </c>
      <c r="AP3" s="55" t="s">
        <v>177</v>
      </c>
      <c r="AQ3" s="55" t="s">
        <v>178</v>
      </c>
      <c r="AR3" s="55" t="s">
        <v>178</v>
      </c>
      <c r="AS3" s="55" t="s">
        <v>178</v>
      </c>
    </row>
    <row r="4" spans="1:52" ht="36">
      <c r="D4" s="56">
        <v>45716</v>
      </c>
      <c r="E4" s="56">
        <v>45747</v>
      </c>
      <c r="F4" s="56">
        <v>45777</v>
      </c>
      <c r="G4" s="56">
        <v>45808</v>
      </c>
      <c r="H4" s="56">
        <v>45838</v>
      </c>
      <c r="I4" s="56">
        <f t="shared" ref="I4:O4" si="0">EOMONTH(H4,1)</f>
        <v>45869</v>
      </c>
      <c r="J4" s="56">
        <f t="shared" si="0"/>
        <v>45900</v>
      </c>
      <c r="K4" s="56">
        <f t="shared" si="0"/>
        <v>45930</v>
      </c>
      <c r="L4" s="56">
        <f t="shared" si="0"/>
        <v>45961</v>
      </c>
      <c r="M4" s="57">
        <f t="shared" si="0"/>
        <v>45991</v>
      </c>
      <c r="N4" s="57">
        <f t="shared" si="0"/>
        <v>46022</v>
      </c>
      <c r="O4" s="57">
        <f t="shared" si="0"/>
        <v>46053</v>
      </c>
      <c r="P4" s="57"/>
      <c r="Q4" s="55" t="s">
        <v>174</v>
      </c>
      <c r="S4" s="81">
        <v>46081</v>
      </c>
      <c r="T4" s="81">
        <f>EOMONTH(S4,1)</f>
        <v>46112</v>
      </c>
      <c r="U4" s="81">
        <f>EOMONTH(T4,1)</f>
        <v>46142</v>
      </c>
      <c r="V4" s="81">
        <f>EOMONTH(U4,1)</f>
        <v>46173</v>
      </c>
      <c r="W4" s="81">
        <f>EOMONTH(V4,1)</f>
        <v>46203</v>
      </c>
      <c r="X4" s="57">
        <f t="shared" ref="X4:AD4" si="1">EOMONTH(W4,1)</f>
        <v>46234</v>
      </c>
      <c r="Y4" s="57">
        <f t="shared" si="1"/>
        <v>46265</v>
      </c>
      <c r="Z4" s="57">
        <f t="shared" si="1"/>
        <v>46295</v>
      </c>
      <c r="AA4" s="57">
        <f t="shared" si="1"/>
        <v>46326</v>
      </c>
      <c r="AB4" s="57">
        <f t="shared" si="1"/>
        <v>46356</v>
      </c>
      <c r="AC4" s="57">
        <f t="shared" si="1"/>
        <v>46387</v>
      </c>
      <c r="AD4" s="57">
        <f t="shared" si="1"/>
        <v>46418</v>
      </c>
      <c r="AE4" s="57"/>
      <c r="AF4" s="55" t="s">
        <v>75</v>
      </c>
      <c r="AG4" s="527" t="s">
        <v>179</v>
      </c>
      <c r="AH4" s="81">
        <v>46446</v>
      </c>
      <c r="AI4" s="81">
        <f>EOMONTH(AH4,1)</f>
        <v>46477</v>
      </c>
      <c r="AJ4" s="81">
        <f>EOMONTH(AI4,1)</f>
        <v>46507</v>
      </c>
      <c r="AK4" s="81">
        <f>EOMONTH(AJ4,1)</f>
        <v>46538</v>
      </c>
      <c r="AL4" s="81">
        <f>EOMONTH(AK4,1)</f>
        <v>46568</v>
      </c>
      <c r="AM4" s="57">
        <f t="shared" ref="AM4:AS4" si="2">EOMONTH(AL4,1)</f>
        <v>46599</v>
      </c>
      <c r="AN4" s="57">
        <f t="shared" si="2"/>
        <v>46630</v>
      </c>
      <c r="AO4" s="57">
        <f t="shared" si="2"/>
        <v>46660</v>
      </c>
      <c r="AP4" s="57">
        <f t="shared" si="2"/>
        <v>46691</v>
      </c>
      <c r="AQ4" s="57">
        <f t="shared" si="2"/>
        <v>46721</v>
      </c>
      <c r="AR4" s="57">
        <f t="shared" si="2"/>
        <v>46752</v>
      </c>
      <c r="AS4" s="57">
        <f t="shared" si="2"/>
        <v>46783</v>
      </c>
      <c r="AT4" s="57"/>
      <c r="AU4" s="55" t="s">
        <v>81</v>
      </c>
      <c r="AV4" s="527" t="s">
        <v>179</v>
      </c>
    </row>
    <row r="5" spans="1:52">
      <c r="B5" s="58" t="s">
        <v>82</v>
      </c>
      <c r="D5" s="46" t="s">
        <v>180</v>
      </c>
      <c r="E5" s="46" t="s">
        <v>180</v>
      </c>
      <c r="F5" s="46" t="s">
        <v>180</v>
      </c>
      <c r="G5" s="46" t="s">
        <v>180</v>
      </c>
      <c r="H5" s="46" t="s">
        <v>180</v>
      </c>
      <c r="I5" s="46" t="s">
        <v>180</v>
      </c>
      <c r="J5" s="46" t="s">
        <v>180</v>
      </c>
      <c r="K5" s="46" t="s">
        <v>180</v>
      </c>
      <c r="L5" s="46" t="s">
        <v>180</v>
      </c>
      <c r="M5" s="48" t="s">
        <v>42</v>
      </c>
      <c r="N5" s="48" t="s">
        <v>42</v>
      </c>
      <c r="O5" s="48" t="s">
        <v>42</v>
      </c>
      <c r="S5" s="82" t="s">
        <v>42</v>
      </c>
      <c r="T5" s="82" t="s">
        <v>42</v>
      </c>
      <c r="U5" s="82" t="s">
        <v>42</v>
      </c>
      <c r="V5" s="82" t="s">
        <v>42</v>
      </c>
      <c r="W5" s="82" t="s">
        <v>42</v>
      </c>
      <c r="X5" s="48" t="s">
        <v>42</v>
      </c>
      <c r="Y5" s="48" t="s">
        <v>42</v>
      </c>
      <c r="Z5" s="48" t="s">
        <v>42</v>
      </c>
      <c r="AA5" s="48" t="s">
        <v>42</v>
      </c>
      <c r="AB5" s="48" t="s">
        <v>42</v>
      </c>
      <c r="AC5" s="48" t="s">
        <v>42</v>
      </c>
      <c r="AD5" s="48" t="s">
        <v>42</v>
      </c>
      <c r="AH5" s="82" t="s">
        <v>42</v>
      </c>
      <c r="AI5" s="82" t="s">
        <v>42</v>
      </c>
      <c r="AJ5" s="82" t="s">
        <v>42</v>
      </c>
      <c r="AK5" s="82" t="s">
        <v>42</v>
      </c>
      <c r="AL5" s="82" t="s">
        <v>42</v>
      </c>
      <c r="AM5" s="48" t="s">
        <v>42</v>
      </c>
      <c r="AN5" s="48" t="s">
        <v>42</v>
      </c>
      <c r="AO5" s="48" t="s">
        <v>42</v>
      </c>
      <c r="AP5" s="48" t="s">
        <v>42</v>
      </c>
      <c r="AQ5" s="48" t="s">
        <v>42</v>
      </c>
      <c r="AR5" s="48" t="s">
        <v>42</v>
      </c>
      <c r="AS5" s="48" t="s">
        <v>42</v>
      </c>
    </row>
    <row r="6" spans="1:52">
      <c r="D6" s="53"/>
      <c r="E6" s="53"/>
      <c r="F6" s="53"/>
      <c r="G6" s="53"/>
      <c r="H6" s="53"/>
      <c r="I6" s="53"/>
      <c r="J6" s="53"/>
      <c r="K6" s="53"/>
      <c r="L6" s="53"/>
      <c r="R6" s="503"/>
    </row>
    <row r="7" spans="1:52">
      <c r="B7" s="51" t="s">
        <v>83</v>
      </c>
      <c r="D7" s="59">
        <v>103324</v>
      </c>
      <c r="E7" s="59">
        <v>477702</v>
      </c>
      <c r="F7" s="59">
        <v>430312</v>
      </c>
      <c r="G7" s="59">
        <v>116071</v>
      </c>
      <c r="H7" s="59">
        <v>134087</v>
      </c>
      <c r="I7" s="59">
        <v>561171</v>
      </c>
      <c r="J7" s="59">
        <v>548336</v>
      </c>
      <c r="K7" s="59">
        <v>110976</v>
      </c>
      <c r="L7" s="59">
        <v>952458</v>
      </c>
      <c r="M7" s="60">
        <v>1015500</v>
      </c>
      <c r="N7" s="60">
        <v>322774</v>
      </c>
      <c r="O7" s="60">
        <v>178000</v>
      </c>
      <c r="P7" s="60"/>
      <c r="Q7" s="61">
        <f>SUM(D7:O7)</f>
        <v>4950711</v>
      </c>
      <c r="R7" s="504"/>
      <c r="S7" s="60">
        <f>'HU P&amp;L'!S7+'SK P&amp;L'!S7+'CZ P&amp;L'!S6+'RO P&amp;L'!S7</f>
        <v>269332.84703525715</v>
      </c>
      <c r="T7" s="60">
        <f>'HU P&amp;L'!T7+'SK P&amp;L'!T7+'CZ P&amp;L'!T6+'RO P&amp;L'!T7</f>
        <v>648406.10537907295</v>
      </c>
      <c r="U7" s="60">
        <f>'HU P&amp;L'!U7+'SK P&amp;L'!U7+'CZ P&amp;L'!U6+'RO P&amp;L'!U7</f>
        <v>547417.8866220034</v>
      </c>
      <c r="V7" s="60">
        <f>'HU P&amp;L'!V7+'SK P&amp;L'!V7+'CZ P&amp;L'!V6+'RO P&amp;L'!V7</f>
        <v>260112.6250167879</v>
      </c>
      <c r="W7" s="60">
        <f>'HU P&amp;L'!W7+'SK P&amp;L'!W7+'CZ P&amp;L'!W6+'RO P&amp;L'!W7</f>
        <v>256884.96556172136</v>
      </c>
      <c r="X7" s="60">
        <f>'HU P&amp;L'!X7+'SK P&amp;L'!X7+'CZ P&amp;L'!X6+'RO P&amp;L'!X7</f>
        <v>842117.18019447976</v>
      </c>
      <c r="Y7" s="60">
        <f>'HU P&amp;L'!Y7+'SK P&amp;L'!Y7+'CZ P&amp;L'!Y6+'RO P&amp;L'!Y7</f>
        <v>304183.08726804773</v>
      </c>
      <c r="Z7" s="60">
        <f>'HU P&amp;L'!Z7+'SK P&amp;L'!Z7+'CZ P&amp;L'!Z6+'RO P&amp;L'!Z7</f>
        <v>283575.48223165225</v>
      </c>
      <c r="AA7" s="60">
        <f>'HU P&amp;L'!AA7+'SK P&amp;L'!AA7+'CZ P&amp;L'!AA6+'RO P&amp;L'!AA7</f>
        <v>1060110.475209051</v>
      </c>
      <c r="AB7" s="60">
        <f>'HU P&amp;L'!AB7+'SK P&amp;L'!AB7+'CZ P&amp;L'!AB6+'RO P&amp;L'!AB7</f>
        <v>962357.3364308842</v>
      </c>
      <c r="AC7" s="60">
        <f>'HU P&amp;L'!AC7+'SK P&amp;L'!AC7+'CZ P&amp;L'!AC6+'RO P&amp;L'!AC7</f>
        <v>292885.70960242103</v>
      </c>
      <c r="AD7" s="60">
        <f>'HU P&amp;L'!AD7+'SK P&amp;L'!AD7+'CZ P&amp;L'!AD6+'RO P&amp;L'!AD7</f>
        <v>295430.80866529187</v>
      </c>
      <c r="AE7" s="60"/>
      <c r="AF7" s="61">
        <f>SUM(S7:AD7)</f>
        <v>6022814.5092166699</v>
      </c>
      <c r="AG7" s="531">
        <f>IFERROR(AF7/Q7-1,0)</f>
        <v>0.21655546227939171</v>
      </c>
      <c r="AH7" s="60">
        <f>'HU P&amp;L'!AH7+'SK P&amp;L'!AH7+'CZ P&amp;L'!AH6+'RO P&amp;L'!AH7</f>
        <v>276775.61752394558</v>
      </c>
      <c r="AI7" s="60">
        <f>'HU P&amp;L'!AI7+'SK P&amp;L'!AI7+'CZ P&amp;L'!AI6+'RO P&amp;L'!AI7</f>
        <v>804595.89971136267</v>
      </c>
      <c r="AJ7" s="60">
        <f>'HU P&amp;L'!AJ7+'SK P&amp;L'!AJ7+'CZ P&amp;L'!AJ6+'RO P&amp;L'!AJ7</f>
        <v>601245.28696505504</v>
      </c>
      <c r="AK7" s="60">
        <f>'HU P&amp;L'!AK7+'SK P&amp;L'!AK7+'CZ P&amp;L'!AK6+'RO P&amp;L'!AK7</f>
        <v>306658.82550752559</v>
      </c>
      <c r="AL7" s="60">
        <f>'HU P&amp;L'!AL7+'SK P&amp;L'!AL7+'CZ P&amp;L'!AL6+'RO P&amp;L'!AL7</f>
        <v>298529.37213477923</v>
      </c>
      <c r="AM7" s="60">
        <f>'HU P&amp;L'!AM7+'SK P&amp;L'!AM7+'CZ P&amp;L'!AM6+'RO P&amp;L'!AM7</f>
        <v>1065351.3638273943</v>
      </c>
      <c r="AN7" s="60">
        <f>'HU P&amp;L'!AN7+'SK P&amp;L'!AN7+'CZ P&amp;L'!AN6+'RO P&amp;L'!AN7</f>
        <v>312138.71362818487</v>
      </c>
      <c r="AO7" s="60">
        <f>'HU P&amp;L'!AO7+'SK P&amp;L'!AO7+'CZ P&amp;L'!AO6+'RO P&amp;L'!AO7</f>
        <v>313598.03121232754</v>
      </c>
      <c r="AP7" s="60">
        <f>'HU P&amp;L'!AP7+'SK P&amp;L'!AP7+'CZ P&amp;L'!AP6+'RO P&amp;L'!AP7</f>
        <v>1239076.2482427964</v>
      </c>
      <c r="AQ7" s="60">
        <f>'HU P&amp;L'!AQ7+'SK P&amp;L'!AQ7+'CZ P&amp;L'!AQ6+'RO P&amp;L'!AQ7</f>
        <v>1084597.522530942</v>
      </c>
      <c r="AR7" s="60">
        <f>'HU P&amp;L'!AR7+'SK P&amp;L'!AR7+'CZ P&amp;L'!AR6+'RO P&amp;L'!AR7</f>
        <v>304441.40119909594</v>
      </c>
      <c r="AS7" s="60">
        <f>'HU P&amp;L'!AS7+'SK P&amp;L'!AS7+'CZ P&amp;L'!AS6+'RO P&amp;L'!AS7</f>
        <v>329054.9193926907</v>
      </c>
      <c r="AT7" s="60"/>
      <c r="AU7" s="61">
        <f>SUM(AH7:AS7)</f>
        <v>6936063.2018761011</v>
      </c>
      <c r="AV7" s="531">
        <f>IFERROR(AU7/AF7-1,0)</f>
        <v>0.15163154888165553</v>
      </c>
    </row>
    <row r="8" spans="1:52">
      <c r="B8" s="51" t="s">
        <v>84</v>
      </c>
      <c r="D8" s="59">
        <v>39702</v>
      </c>
      <c r="E8" s="59">
        <v>102120</v>
      </c>
      <c r="F8" s="59">
        <v>30774</v>
      </c>
      <c r="G8" s="59">
        <v>35800</v>
      </c>
      <c r="H8" s="59">
        <v>15428</v>
      </c>
      <c r="I8" s="59">
        <v>28444</v>
      </c>
      <c r="J8" s="59">
        <v>77496</v>
      </c>
      <c r="K8" s="59">
        <v>20076</v>
      </c>
      <c r="L8" s="59">
        <v>78055</v>
      </c>
      <c r="M8" s="60">
        <v>123324</v>
      </c>
      <c r="N8" s="60">
        <v>37017</v>
      </c>
      <c r="O8" s="60">
        <v>54622</v>
      </c>
      <c r="P8" s="60"/>
      <c r="Q8" s="61">
        <f>SUM(D8:O8)</f>
        <v>642858</v>
      </c>
      <c r="R8" s="504"/>
      <c r="S8" s="83">
        <f>SUMIF(B2B!$C$7:$C$111,"EE",B2B!V7:V111)</f>
        <v>36500</v>
      </c>
      <c r="T8" s="83">
        <f>SUMIF(B2B!$C$7:$C$111,"EE",B2B!W7:W111)</f>
        <v>66319.399999999994</v>
      </c>
      <c r="U8" s="83">
        <f>SUMIF(B2B!$C$7:$C$111,"EE",B2B!X7:X111)</f>
        <v>67838.600000000006</v>
      </c>
      <c r="V8" s="83">
        <f>SUMIF(B2B!$C$7:$C$111,"EE",B2B!Y7:Y111)</f>
        <v>66541.682214808476</v>
      </c>
      <c r="W8" s="83">
        <f>SUMIF(B2B!$C$7:$C$111,"EE",B2B!Z7:Z111)</f>
        <v>57244.749535755094</v>
      </c>
      <c r="X8" s="83">
        <f>SUMIF(B2B!$C$7:$C$111,"EE",B2B!AA7:AA111)</f>
        <v>61309.687761011155</v>
      </c>
      <c r="Y8" s="83">
        <f>SUMIF(B2B!$C$7:$C$111,"EE",B2B!AB7:AB111)</f>
        <v>54246.557859498331</v>
      </c>
      <c r="Z8" s="83">
        <f>SUMIF(B2B!$C$7:$C$111,"EE",B2B!AC7:AC111)</f>
        <v>54155.34416955139</v>
      </c>
      <c r="AA8" s="83">
        <f>SUMIF(B2B!$C$7:$C$111,"EE",B2B!AD7:AD111)</f>
        <v>89104.396842162198</v>
      </c>
      <c r="AB8" s="83">
        <f>SUMIF(B2B!$C$7:$C$111,"EE",B2B!AE7:AE111)</f>
        <v>139602.34579721311</v>
      </c>
      <c r="AC8" s="83">
        <f>SUMIF(B2B!$C$7:$C$111,"EE",B2B!AF7:AF111)</f>
        <v>51136.766918545123</v>
      </c>
      <c r="AD8" s="83">
        <f>SUMIF(B2B!$C$7:$C$111,"EE",B2B!AG7:AG111)</f>
        <v>73347.632855082949</v>
      </c>
      <c r="AE8" s="60"/>
      <c r="AF8" s="61">
        <f>SUM(S8:AD8)</f>
        <v>817347.16395362793</v>
      </c>
      <c r="AG8" s="531">
        <f>IFERROR(AF8/Q8-1,0)</f>
        <v>0.27142722646934159</v>
      </c>
      <c r="AH8" s="83">
        <f>SUMIF(B2B!$C$7:$C$111,"EE",B2B!AK7:AK111)</f>
        <v>38325</v>
      </c>
      <c r="AI8" s="83">
        <f>SUMIF(B2B!$C$7:$C$111,"EE",B2B!AL7:AL111)</f>
        <v>69635.37</v>
      </c>
      <c r="AJ8" s="83">
        <f>SUMIF(B2B!$C$7:$C$111,"EE",B2B!AM7:AM111)</f>
        <v>71230.53</v>
      </c>
      <c r="AK8" s="83">
        <f>SUMIF(B2B!$C$7:$C$111,"EE",B2B!AN7:AN111)</f>
        <v>76168.766325548902</v>
      </c>
      <c r="AL8" s="83">
        <f>SUMIF(B2B!$C$7:$C$111,"EE",B2B!AO7:AO111)</f>
        <v>68506.987012542842</v>
      </c>
      <c r="AM8" s="83">
        <f>SUMIF(B2B!$C$7:$C$111,"EE",B2B!AP7:AP111)</f>
        <v>72775.17214906172</v>
      </c>
      <c r="AN8" s="83">
        <f>SUMIF(B2B!$C$7:$C$111,"EE",B2B!AQ7:AQ111)</f>
        <v>63258.885752473252</v>
      </c>
      <c r="AO8" s="83">
        <f>SUMIF(B2B!$C$7:$C$111,"EE",B2B!AR7:AR111)</f>
        <v>65263.111378028967</v>
      </c>
      <c r="AP8" s="83">
        <f>SUMIF(B2B!$C$7:$C$111,"EE",B2B!AS7:AS111)</f>
        <v>101959.6166842703</v>
      </c>
      <c r="AQ8" s="83">
        <f>SUMIF(B2B!$C$7:$C$111,"EE",B2B!AT7:AT111)</f>
        <v>152882.46308707376</v>
      </c>
      <c r="AR8" s="83">
        <f>SUMIF(B2B!$C$7:$C$111,"EE",B2B!AU7:AU111)</f>
        <v>59993.605264472375</v>
      </c>
      <c r="AS8" s="83">
        <f>SUMIF(B2B!$C$7:$C$111,"EE",B2B!AV7:AV111)</f>
        <v>85415.01449783711</v>
      </c>
      <c r="AT8" s="60"/>
      <c r="AU8" s="61">
        <f>SUM(AH8:AS8)</f>
        <v>925414.5221513093</v>
      </c>
      <c r="AV8" s="531">
        <f>IFERROR(AU8/AF8-1,0)</f>
        <v>0.13221720581367613</v>
      </c>
    </row>
    <row r="9" spans="1:52">
      <c r="B9" s="51" t="s">
        <v>85</v>
      </c>
      <c r="D9" s="59">
        <v>0</v>
      </c>
      <c r="E9" s="59">
        <v>0</v>
      </c>
      <c r="F9" s="59">
        <v>0</v>
      </c>
      <c r="G9" s="59">
        <v>0</v>
      </c>
      <c r="H9" s="59">
        <v>0</v>
      </c>
      <c r="I9" s="59">
        <v>0</v>
      </c>
      <c r="J9" s="59"/>
      <c r="K9" s="59"/>
      <c r="L9" s="59"/>
      <c r="M9" s="60"/>
      <c r="N9" s="60"/>
      <c r="O9" s="60"/>
      <c r="P9" s="60"/>
      <c r="Q9" s="61">
        <f>SUM(D9:O9)</f>
        <v>0</v>
      </c>
      <c r="R9" s="504"/>
      <c r="S9" s="60">
        <f ca="1">'HU P&amp;L'!S9+'SK P&amp;L'!S9+'CZ P&amp;L'!S8+'RO P&amp;L'!S9</f>
        <v>0</v>
      </c>
      <c r="T9" s="60">
        <f ca="1">'HU P&amp;L'!T9+'SK P&amp;L'!T9+'CZ P&amp;L'!T8+'RO P&amp;L'!T9</f>
        <v>0</v>
      </c>
      <c r="U9" s="60">
        <f ca="1">'HU P&amp;L'!U9+'SK P&amp;L'!U9+'CZ P&amp;L'!U8+'RO P&amp;L'!U9</f>
        <v>0</v>
      </c>
      <c r="V9" s="60">
        <f ca="1">'HU P&amp;L'!V9+'SK P&amp;L'!V9+'CZ P&amp;L'!V8+'RO P&amp;L'!V9</f>
        <v>0</v>
      </c>
      <c r="W9" s="60">
        <f ca="1">'HU P&amp;L'!W9+'SK P&amp;L'!W9+'CZ P&amp;L'!W8+'RO P&amp;L'!W9</f>
        <v>0</v>
      </c>
      <c r="X9" s="60">
        <f ca="1">'HU P&amp;L'!X9+'SK P&amp;L'!X9+'CZ P&amp;L'!X8+'RO P&amp;L'!X9</f>
        <v>0</v>
      </c>
      <c r="Y9" s="60">
        <f ca="1">'HU P&amp;L'!Y9+'SK P&amp;L'!Y9+'CZ P&amp;L'!Y8+'RO P&amp;L'!Y9</f>
        <v>0</v>
      </c>
      <c r="Z9" s="60">
        <f ca="1">'HU P&amp;L'!Z9+'SK P&amp;L'!Z9+'CZ P&amp;L'!Z8+'RO P&amp;L'!Z9</f>
        <v>0</v>
      </c>
      <c r="AA9" s="60">
        <f ca="1">'HU P&amp;L'!AA9+'SK P&amp;L'!AA9+'CZ P&amp;L'!AA8+'RO P&amp;L'!AA9</f>
        <v>0</v>
      </c>
      <c r="AB9" s="60">
        <f ca="1">'HU P&amp;L'!AB9+'SK P&amp;L'!AB9+'CZ P&amp;L'!AB8+'RO P&amp;L'!AB9</f>
        <v>0</v>
      </c>
      <c r="AC9" s="60">
        <f ca="1">'HU P&amp;L'!AC9+'SK P&amp;L'!AC9+'CZ P&amp;L'!AC8+'RO P&amp;L'!AC9</f>
        <v>0</v>
      </c>
      <c r="AD9" s="60">
        <f ca="1">'HU P&amp;L'!AD9+'SK P&amp;L'!AD9+'CZ P&amp;L'!AD8+'RO P&amp;L'!AD9</f>
        <v>0</v>
      </c>
      <c r="AE9" s="60"/>
      <c r="AF9" s="61">
        <f ca="1">SUM(S9:AD9)</f>
        <v>0</v>
      </c>
      <c r="AG9" s="531">
        <f ca="1">IFERROR(AF9/Q9-1,0)</f>
        <v>0</v>
      </c>
      <c r="AH9" s="60">
        <f ca="1">'HU P&amp;L'!AH9+'SK P&amp;L'!AH9+'CZ P&amp;L'!AH8+'RO P&amp;L'!AH9</f>
        <v>0</v>
      </c>
      <c r="AI9" s="60">
        <f ca="1">'HU P&amp;L'!AI9+'SK P&amp;L'!AI9+'CZ P&amp;L'!AI8+'RO P&amp;L'!AI9</f>
        <v>0</v>
      </c>
      <c r="AJ9" s="60">
        <f ca="1">'HU P&amp;L'!AJ9+'SK P&amp;L'!AJ9+'CZ P&amp;L'!AJ8+'RO P&amp;L'!AJ9</f>
        <v>0</v>
      </c>
      <c r="AK9" s="60">
        <f ca="1">'HU P&amp;L'!AK9+'SK P&amp;L'!AK9+'CZ P&amp;L'!AK8+'RO P&amp;L'!AK9</f>
        <v>0</v>
      </c>
      <c r="AL9" s="60">
        <f ca="1">'HU P&amp;L'!AL9+'SK P&amp;L'!AL9+'CZ P&amp;L'!AL8+'RO P&amp;L'!AL9</f>
        <v>0</v>
      </c>
      <c r="AM9" s="60">
        <f ca="1">'HU P&amp;L'!AM9+'SK P&amp;L'!AM9+'CZ P&amp;L'!AM8+'RO P&amp;L'!AM9</f>
        <v>0</v>
      </c>
      <c r="AN9" s="60">
        <f ca="1">'HU P&amp;L'!AN9+'SK P&amp;L'!AN9+'CZ P&amp;L'!AN8+'RO P&amp;L'!AN9</f>
        <v>0</v>
      </c>
      <c r="AO9" s="60">
        <f ca="1">'HU P&amp;L'!AO9+'SK P&amp;L'!AO9+'CZ P&amp;L'!AO8+'RO P&amp;L'!AO9</f>
        <v>0</v>
      </c>
      <c r="AP9" s="60">
        <f ca="1">'HU P&amp;L'!AP9+'SK P&amp;L'!AP9+'CZ P&amp;L'!AP8+'RO P&amp;L'!AP9</f>
        <v>0</v>
      </c>
      <c r="AQ9" s="60">
        <f ca="1">'HU P&amp;L'!AQ9+'SK P&amp;L'!AQ9+'CZ P&amp;L'!AQ8+'RO P&amp;L'!AQ9</f>
        <v>0</v>
      </c>
      <c r="AR9" s="60">
        <f ca="1">'HU P&amp;L'!AR9+'SK P&amp;L'!AR9+'CZ P&amp;L'!AR8+'RO P&amp;L'!AR9</f>
        <v>0</v>
      </c>
      <c r="AS9" s="60">
        <f ca="1">'HU P&amp;L'!AS9+'SK P&amp;L'!AS9+'CZ P&amp;L'!AS8+'RO P&amp;L'!AS9</f>
        <v>0</v>
      </c>
      <c r="AT9" s="60"/>
      <c r="AU9" s="61">
        <f ca="1">SUM(AH9:AS9)</f>
        <v>0</v>
      </c>
      <c r="AV9" s="531">
        <f ca="1">IFERROR(AU9/AF9-1,0)</f>
        <v>0</v>
      </c>
    </row>
    <row r="10" spans="1:52">
      <c r="B10" s="51" t="s">
        <v>86</v>
      </c>
      <c r="D10" s="59"/>
      <c r="E10" s="59"/>
      <c r="F10" s="59"/>
      <c r="G10" s="59"/>
      <c r="H10" s="59"/>
      <c r="I10" s="59"/>
      <c r="J10" s="59"/>
      <c r="K10" s="59"/>
      <c r="L10" s="59"/>
      <c r="M10" s="60"/>
      <c r="N10" s="60"/>
      <c r="O10" s="60"/>
      <c r="P10" s="60"/>
      <c r="Q10" s="61">
        <f>SUM(D10:O10)</f>
        <v>0</v>
      </c>
      <c r="R10" s="504"/>
      <c r="S10" s="60">
        <f>'HU P&amp;L'!S10+'SK P&amp;L'!S10+'CZ P&amp;L'!S9+'RO P&amp;L'!S10</f>
        <v>0</v>
      </c>
      <c r="T10" s="60">
        <f>'HU P&amp;L'!T10+'SK P&amp;L'!T10+'CZ P&amp;L'!T9+'RO P&amp;L'!T10</f>
        <v>0</v>
      </c>
      <c r="U10" s="60">
        <f>'HU P&amp;L'!U10+'SK P&amp;L'!U10+'CZ P&amp;L'!U9+'RO P&amp;L'!U10</f>
        <v>0</v>
      </c>
      <c r="V10" s="60">
        <f>'HU P&amp;L'!V10+'SK P&amp;L'!V10+'CZ P&amp;L'!V9+'RO P&amp;L'!V10</f>
        <v>0</v>
      </c>
      <c r="W10" s="60">
        <f>'HU P&amp;L'!W10+'SK P&amp;L'!W10+'CZ P&amp;L'!W9+'RO P&amp;L'!W10</f>
        <v>0</v>
      </c>
      <c r="X10" s="60">
        <f>'HU P&amp;L'!X10+'SK P&amp;L'!X10+'CZ P&amp;L'!X9+'RO P&amp;L'!X10</f>
        <v>0</v>
      </c>
      <c r="Y10" s="60">
        <f>'HU P&amp;L'!Y10+'SK P&amp;L'!Y10+'CZ P&amp;L'!Y9+'RO P&amp;L'!Y10</f>
        <v>0</v>
      </c>
      <c r="Z10" s="60">
        <f>'HU P&amp;L'!Z10+'SK P&amp;L'!Z10+'CZ P&amp;L'!Z9+'RO P&amp;L'!Z10</f>
        <v>0</v>
      </c>
      <c r="AA10" s="60">
        <f>'HU P&amp;L'!AA10+'SK P&amp;L'!AA10+'CZ P&amp;L'!AA9+'RO P&amp;L'!AA10</f>
        <v>0</v>
      </c>
      <c r="AB10" s="60">
        <f>'HU P&amp;L'!AB10+'SK P&amp;L'!AB10+'CZ P&amp;L'!AB9+'RO P&amp;L'!AB10</f>
        <v>0</v>
      </c>
      <c r="AC10" s="60">
        <f>'HU P&amp;L'!AC10+'SK P&amp;L'!AC10+'CZ P&amp;L'!AC9+'RO P&amp;L'!AC10</f>
        <v>0</v>
      </c>
      <c r="AD10" s="60">
        <f>'HU P&amp;L'!AD10+'SK P&amp;L'!AD10+'CZ P&amp;L'!AD9+'RO P&amp;L'!AD10</f>
        <v>0</v>
      </c>
      <c r="AE10" s="60"/>
      <c r="AF10" s="61">
        <f>SUM(S10:AD10)</f>
        <v>0</v>
      </c>
      <c r="AG10" s="89"/>
      <c r="AH10" s="60">
        <f>'HU P&amp;L'!AH10+'SK P&amp;L'!AH10+'CZ P&amp;L'!AH9+'RO P&amp;L'!AH10</f>
        <v>0</v>
      </c>
      <c r="AI10" s="60">
        <f>'HU P&amp;L'!AI10+'SK P&amp;L'!AI10+'CZ P&amp;L'!AI9+'RO P&amp;L'!AI10</f>
        <v>0</v>
      </c>
      <c r="AJ10" s="60">
        <f>'HU P&amp;L'!AJ10+'SK P&amp;L'!AJ10+'CZ P&amp;L'!AJ9+'RO P&amp;L'!AJ10</f>
        <v>0</v>
      </c>
      <c r="AK10" s="60">
        <f>'HU P&amp;L'!AK10+'SK P&amp;L'!AK10+'CZ P&amp;L'!AK9+'RO P&amp;L'!AK10</f>
        <v>0</v>
      </c>
      <c r="AL10" s="60">
        <f>'HU P&amp;L'!AL10+'SK P&amp;L'!AL10+'CZ P&amp;L'!AL9+'RO P&amp;L'!AL10</f>
        <v>0</v>
      </c>
      <c r="AM10" s="60">
        <f>'HU P&amp;L'!AM10+'SK P&amp;L'!AM10+'CZ P&amp;L'!AM9+'RO P&amp;L'!AM10</f>
        <v>0</v>
      </c>
      <c r="AN10" s="60">
        <f>'HU P&amp;L'!AN10+'SK P&amp;L'!AN10+'CZ P&amp;L'!AN9+'RO P&amp;L'!AN10</f>
        <v>0</v>
      </c>
      <c r="AO10" s="60">
        <f>'HU P&amp;L'!AO10+'SK P&amp;L'!AO10+'CZ P&amp;L'!AO9+'RO P&amp;L'!AO10</f>
        <v>0</v>
      </c>
      <c r="AP10" s="60">
        <f>'HU P&amp;L'!AP10+'SK P&amp;L'!AP10+'CZ P&amp;L'!AP9+'RO P&amp;L'!AP10</f>
        <v>0</v>
      </c>
      <c r="AQ10" s="60">
        <f>'HU P&amp;L'!AQ10+'SK P&amp;L'!AQ10+'CZ P&amp;L'!AQ9+'RO P&amp;L'!AQ10</f>
        <v>0</v>
      </c>
      <c r="AR10" s="60">
        <f>'HU P&amp;L'!AR10+'SK P&amp;L'!AR10+'CZ P&amp;L'!AR9+'RO P&amp;L'!AR10</f>
        <v>0</v>
      </c>
      <c r="AS10" s="60">
        <f>'HU P&amp;L'!AS10+'SK P&amp;L'!AS10+'CZ P&amp;L'!AS9+'RO P&amp;L'!AS10</f>
        <v>0</v>
      </c>
      <c r="AT10" s="60"/>
      <c r="AU10" s="61">
        <f>SUM(AH10:AS10)</f>
        <v>0</v>
      </c>
      <c r="AV10" s="89"/>
    </row>
    <row r="11" spans="1:52">
      <c r="D11" s="59"/>
      <c r="E11" s="59"/>
      <c r="F11" s="59"/>
      <c r="G11" s="59"/>
      <c r="H11" s="59"/>
      <c r="I11" s="59"/>
      <c r="J11" s="59"/>
      <c r="K11" s="59"/>
      <c r="L11" s="59"/>
      <c r="M11" s="60"/>
      <c r="N11" s="60"/>
      <c r="O11" s="60"/>
      <c r="P11" s="60"/>
      <c r="Q11" s="61"/>
      <c r="R11" s="503"/>
      <c r="S11" s="83"/>
      <c r="T11" s="83"/>
      <c r="U11" s="83"/>
      <c r="V11" s="83"/>
      <c r="W11" s="83"/>
      <c r="X11" s="60"/>
      <c r="Y11" s="60"/>
      <c r="Z11" s="60"/>
      <c r="AA11" s="60"/>
      <c r="AB11" s="60"/>
      <c r="AC11" s="60"/>
      <c r="AD11" s="60"/>
      <c r="AE11" s="60"/>
      <c r="AF11" s="61"/>
      <c r="AG11" s="89"/>
      <c r="AH11" s="83"/>
      <c r="AI11" s="83"/>
      <c r="AJ11" s="83"/>
      <c r="AK11" s="83"/>
      <c r="AL11" s="83"/>
      <c r="AM11" s="60"/>
      <c r="AN11" s="60"/>
      <c r="AO11" s="60"/>
      <c r="AP11" s="60"/>
      <c r="AQ11" s="60"/>
      <c r="AR11" s="60"/>
      <c r="AS11" s="60"/>
      <c r="AT11" s="60"/>
      <c r="AU11" s="61"/>
      <c r="AV11" s="89"/>
    </row>
    <row r="12" spans="1:52" s="10" customFormat="1">
      <c r="A12" s="52"/>
      <c r="B12" s="63" t="s">
        <v>87</v>
      </c>
      <c r="C12" s="52"/>
      <c r="D12" s="64">
        <v>143026.14000000001</v>
      </c>
      <c r="E12" s="64">
        <v>579821.18000000005</v>
      </c>
      <c r="F12" s="64">
        <v>461086.33999999997</v>
      </c>
      <c r="G12" s="64">
        <v>151869.79</v>
      </c>
      <c r="H12" s="64">
        <v>149612</v>
      </c>
      <c r="I12" s="64">
        <v>589614.72</v>
      </c>
      <c r="J12" s="64">
        <v>625832.42000000004</v>
      </c>
      <c r="K12" s="64">
        <v>131051.39</v>
      </c>
      <c r="L12" s="64">
        <v>1030512</v>
      </c>
      <c r="M12" s="65">
        <f t="shared" ref="M12:O12" si="3">SUM(M7:M11)</f>
        <v>1138824</v>
      </c>
      <c r="N12" s="65">
        <f t="shared" si="3"/>
        <v>359791</v>
      </c>
      <c r="O12" s="65">
        <f t="shared" si="3"/>
        <v>232622</v>
      </c>
      <c r="P12" s="61"/>
      <c r="Q12" s="65">
        <f>SUM(D12:O12)</f>
        <v>5593662.9800000004</v>
      </c>
      <c r="R12" s="505"/>
      <c r="S12" s="84">
        <f ca="1">SUM(S7:S11)</f>
        <v>305832.84703525715</v>
      </c>
      <c r="T12" s="84">
        <f t="shared" ref="T12:AD12" ca="1" si="4">SUM(T7:T11)</f>
        <v>714725.50537907297</v>
      </c>
      <c r="U12" s="84">
        <f t="shared" ca="1" si="4"/>
        <v>615256.48662200337</v>
      </c>
      <c r="V12" s="84">
        <f t="shared" ca="1" si="4"/>
        <v>326654.30723159638</v>
      </c>
      <c r="W12" s="84">
        <f t="shared" ca="1" si="4"/>
        <v>314129.71509747644</v>
      </c>
      <c r="X12" s="65">
        <f t="shared" ca="1" si="4"/>
        <v>903426.86795549095</v>
      </c>
      <c r="Y12" s="65">
        <f t="shared" ca="1" si="4"/>
        <v>358429.64512754604</v>
      </c>
      <c r="Z12" s="65">
        <f t="shared" ca="1" si="4"/>
        <v>337730.82640120364</v>
      </c>
      <c r="AA12" s="65">
        <f t="shared" ca="1" si="4"/>
        <v>1149214.8720512132</v>
      </c>
      <c r="AB12" s="65">
        <f t="shared" ca="1" si="4"/>
        <v>1101959.6822280972</v>
      </c>
      <c r="AC12" s="65">
        <f t="shared" ca="1" si="4"/>
        <v>344022.47652096616</v>
      </c>
      <c r="AD12" s="65">
        <f t="shared" ca="1" si="4"/>
        <v>368778.44152037485</v>
      </c>
      <c r="AE12" s="61"/>
      <c r="AF12" s="65">
        <f ca="1">SUM(S12:AD12)</f>
        <v>6840161.6731702983</v>
      </c>
      <c r="AG12" s="531">
        <f ca="1">IFERROR(AF12/Q12-1,0)</f>
        <v>0.22284122186608712</v>
      </c>
      <c r="AH12" s="84">
        <f ca="1">SUM(AH7:AH11)</f>
        <v>315100.61752394558</v>
      </c>
      <c r="AI12" s="84">
        <f t="shared" ref="AI12:AS12" ca="1" si="5">SUM(AI7:AI11)</f>
        <v>874231.26971136266</v>
      </c>
      <c r="AJ12" s="84">
        <f t="shared" ca="1" si="5"/>
        <v>672475.81696505507</v>
      </c>
      <c r="AK12" s="84">
        <f t="shared" ca="1" si="5"/>
        <v>382827.59183307446</v>
      </c>
      <c r="AL12" s="84">
        <f t="shared" ca="1" si="5"/>
        <v>367036.35914732207</v>
      </c>
      <c r="AM12" s="65">
        <f t="shared" ca="1" si="5"/>
        <v>1138126.535976456</v>
      </c>
      <c r="AN12" s="65">
        <f t="shared" ca="1" si="5"/>
        <v>375397.59938065812</v>
      </c>
      <c r="AO12" s="65">
        <f t="shared" ca="1" si="5"/>
        <v>378861.14259035653</v>
      </c>
      <c r="AP12" s="65">
        <f t="shared" ca="1" si="5"/>
        <v>1341035.8649270667</v>
      </c>
      <c r="AQ12" s="65">
        <f t="shared" ca="1" si="5"/>
        <v>1237479.9856180158</v>
      </c>
      <c r="AR12" s="65">
        <f t="shared" ca="1" si="5"/>
        <v>364435.00646356831</v>
      </c>
      <c r="AS12" s="65">
        <f t="shared" ca="1" si="5"/>
        <v>414469.93389052781</v>
      </c>
      <c r="AT12" s="61"/>
      <c r="AU12" s="65">
        <f ca="1">SUM(AH12:AS12)</f>
        <v>7861477.7240274092</v>
      </c>
      <c r="AV12" s="531">
        <f ca="1">IFERROR(AU12/AF12-1,0)</f>
        <v>0.14931168291870911</v>
      </c>
      <c r="AY12" s="7"/>
      <c r="AZ12" s="140">
        <f ca="1">AR12*12</f>
        <v>4373220.0775628202</v>
      </c>
    </row>
    <row r="13" spans="1:52" hidden="1" outlineLevel="1">
      <c r="D13" s="59"/>
      <c r="E13" s="59"/>
      <c r="F13" s="59"/>
      <c r="G13" s="59"/>
      <c r="H13" s="59"/>
      <c r="I13" s="59"/>
      <c r="J13" s="59"/>
      <c r="K13" s="59"/>
      <c r="L13" s="59"/>
      <c r="M13" s="60"/>
      <c r="N13" s="60"/>
      <c r="O13" s="60"/>
      <c r="P13" s="60"/>
      <c r="Q13" s="61"/>
      <c r="R13" s="506"/>
      <c r="S13" s="83"/>
      <c r="T13" s="83"/>
      <c r="U13" s="83"/>
      <c r="V13" s="83"/>
      <c r="W13" s="83"/>
      <c r="X13" s="60"/>
      <c r="Y13" s="60"/>
      <c r="Z13" s="60"/>
      <c r="AA13" s="60"/>
      <c r="AB13" s="60"/>
      <c r="AC13" s="60"/>
      <c r="AD13" s="60"/>
      <c r="AE13" s="60"/>
      <c r="AF13" s="61"/>
      <c r="AG13" s="89"/>
      <c r="AH13" s="83"/>
      <c r="AI13" s="83"/>
      <c r="AJ13" s="83"/>
      <c r="AK13" s="83"/>
      <c r="AL13" s="83"/>
      <c r="AM13" s="60"/>
      <c r="AN13" s="60"/>
      <c r="AO13" s="60"/>
      <c r="AP13" s="60"/>
      <c r="AQ13" s="60"/>
      <c r="AR13" s="60"/>
      <c r="AS13" s="60"/>
      <c r="AT13" s="60"/>
      <c r="AU13" s="61"/>
      <c r="AV13" s="89"/>
    </row>
    <row r="14" spans="1:52" hidden="1" outlineLevel="1">
      <c r="B14" s="58" t="s">
        <v>88</v>
      </c>
      <c r="D14" s="59"/>
      <c r="E14" s="59"/>
      <c r="F14" s="59"/>
      <c r="G14" s="59"/>
      <c r="H14" s="59"/>
      <c r="I14" s="59"/>
      <c r="J14" s="59"/>
      <c r="K14" s="59"/>
      <c r="L14" s="59"/>
      <c r="M14" s="60"/>
      <c r="N14" s="60"/>
      <c r="O14" s="60"/>
      <c r="P14" s="60"/>
      <c r="Q14" s="61"/>
      <c r="R14" s="503"/>
      <c r="S14" s="83"/>
      <c r="T14" s="83"/>
      <c r="U14" s="83"/>
      <c r="V14" s="83"/>
      <c r="W14" s="83"/>
      <c r="X14" s="60"/>
      <c r="Y14" s="60"/>
      <c r="Z14" s="60"/>
      <c r="AA14" s="60"/>
      <c r="AB14" s="60"/>
      <c r="AC14" s="60"/>
      <c r="AD14" s="60"/>
      <c r="AE14" s="60"/>
      <c r="AF14" s="61"/>
      <c r="AG14" s="89"/>
      <c r="AH14" s="83"/>
      <c r="AI14" s="83"/>
      <c r="AJ14" s="83"/>
      <c r="AK14" s="83"/>
      <c r="AL14" s="83"/>
      <c r="AM14" s="60"/>
      <c r="AN14" s="60"/>
      <c r="AO14" s="60"/>
      <c r="AP14" s="60"/>
      <c r="AQ14" s="60"/>
      <c r="AR14" s="60"/>
      <c r="AS14" s="60"/>
      <c r="AT14" s="60"/>
      <c r="AU14" s="61"/>
      <c r="AV14" s="89"/>
    </row>
    <row r="15" spans="1:52" collapsed="1">
      <c r="D15" s="59"/>
      <c r="E15" s="59"/>
      <c r="F15" s="59"/>
      <c r="G15" s="59"/>
      <c r="H15" s="59"/>
      <c r="I15" s="59"/>
      <c r="J15" s="59"/>
      <c r="K15" s="59"/>
      <c r="L15" s="59"/>
      <c r="M15" s="60"/>
      <c r="N15" s="60"/>
      <c r="O15" s="60"/>
      <c r="P15" s="60"/>
      <c r="Q15" s="61"/>
      <c r="R15" s="503"/>
      <c r="S15" s="83"/>
      <c r="T15" s="83"/>
      <c r="U15" s="83"/>
      <c r="V15" s="83"/>
      <c r="W15" s="83"/>
      <c r="X15" s="60"/>
      <c r="Y15" s="60"/>
      <c r="Z15" s="60"/>
      <c r="AA15" s="60"/>
      <c r="AB15" s="60"/>
      <c r="AC15" s="60"/>
      <c r="AD15" s="60"/>
      <c r="AE15" s="60"/>
      <c r="AF15" s="61"/>
      <c r="AG15" s="89"/>
      <c r="AH15" s="83"/>
      <c r="AI15" s="83"/>
      <c r="AJ15" s="83"/>
      <c r="AK15" s="83"/>
      <c r="AL15" s="83"/>
      <c r="AM15" s="60"/>
      <c r="AN15" s="60"/>
      <c r="AO15" s="60"/>
      <c r="AP15" s="60"/>
      <c r="AQ15" s="60"/>
      <c r="AR15" s="60"/>
      <c r="AS15" s="60"/>
      <c r="AT15" s="60"/>
      <c r="AU15" s="61"/>
      <c r="AV15" s="89"/>
    </row>
    <row r="16" spans="1:52" hidden="1" outlineLevel="1">
      <c r="B16" s="51" t="s">
        <v>89</v>
      </c>
      <c r="C16" s="75">
        <v>-0.24</v>
      </c>
      <c r="D16" s="59">
        <v>-26766</v>
      </c>
      <c r="E16" s="59">
        <v>-116841</v>
      </c>
      <c r="F16" s="59">
        <v>-105856</v>
      </c>
      <c r="G16" s="59">
        <v>-19444</v>
      </c>
      <c r="H16" s="59">
        <v>-24770</v>
      </c>
      <c r="I16" s="59">
        <v>-146516</v>
      </c>
      <c r="J16" s="59">
        <v>-151074</v>
      </c>
      <c r="K16" s="59">
        <v>-18480</v>
      </c>
      <c r="L16" s="59">
        <v>-267514</v>
      </c>
      <c r="M16" s="60">
        <v>-274185</v>
      </c>
      <c r="N16" s="60">
        <v>-77466</v>
      </c>
      <c r="O16" s="60">
        <v>-40940</v>
      </c>
      <c r="P16" s="60"/>
      <c r="Q16" s="61">
        <f>SUM(D16:O16)</f>
        <v>-1269852</v>
      </c>
      <c r="R16" s="503"/>
      <c r="S16" s="60">
        <f t="shared" ref="S16:AD16" si="6">S7*$C$16</f>
        <v>-64639.883288461715</v>
      </c>
      <c r="T16" s="60">
        <f t="shared" si="6"/>
        <v>-155617.4652909775</v>
      </c>
      <c r="U16" s="60">
        <f t="shared" si="6"/>
        <v>-131380.29278928082</v>
      </c>
      <c r="V16" s="60">
        <f t="shared" si="6"/>
        <v>-62427.030004029097</v>
      </c>
      <c r="W16" s="60">
        <f t="shared" si="6"/>
        <v>-61652.391734813122</v>
      </c>
      <c r="X16" s="60">
        <f t="shared" si="6"/>
        <v>-202108.12324667512</v>
      </c>
      <c r="Y16" s="60">
        <f t="shared" si="6"/>
        <v>-73003.940944331451</v>
      </c>
      <c r="Z16" s="60">
        <f t="shared" si="6"/>
        <v>-68058.115735596541</v>
      </c>
      <c r="AA16" s="60">
        <f t="shared" si="6"/>
        <v>-254426.51405017223</v>
      </c>
      <c r="AB16" s="60">
        <f t="shared" si="6"/>
        <v>-230965.76074341219</v>
      </c>
      <c r="AC16" s="60">
        <f t="shared" si="6"/>
        <v>-70292.570304581051</v>
      </c>
      <c r="AD16" s="60">
        <f t="shared" si="6"/>
        <v>-70903.394079670048</v>
      </c>
      <c r="AE16" s="60"/>
      <c r="AF16" s="61">
        <f>SUM(S16:AD16)</f>
        <v>-1445475.4822120008</v>
      </c>
      <c r="AG16" s="89"/>
      <c r="AH16" s="60">
        <f t="shared" ref="AH16:AS16" si="7">AH7*$C$16</f>
        <v>-66426.14820574694</v>
      </c>
      <c r="AI16" s="60">
        <f t="shared" si="7"/>
        <v>-193103.01593072704</v>
      </c>
      <c r="AJ16" s="60">
        <f t="shared" si="7"/>
        <v>-144298.8688716132</v>
      </c>
      <c r="AK16" s="60">
        <f t="shared" si="7"/>
        <v>-73598.118121806139</v>
      </c>
      <c r="AL16" s="60">
        <f t="shared" si="7"/>
        <v>-71647.049312347008</v>
      </c>
      <c r="AM16" s="60">
        <f t="shared" si="7"/>
        <v>-255684.32731857462</v>
      </c>
      <c r="AN16" s="60">
        <f t="shared" si="7"/>
        <v>-74913.29127076437</v>
      </c>
      <c r="AO16" s="60">
        <f t="shared" si="7"/>
        <v>-75263.527490958601</v>
      </c>
      <c r="AP16" s="60">
        <f t="shared" si="7"/>
        <v>-297378.29957827111</v>
      </c>
      <c r="AQ16" s="60">
        <f t="shared" si="7"/>
        <v>-260303.40540742606</v>
      </c>
      <c r="AR16" s="60">
        <f t="shared" si="7"/>
        <v>-73065.936287783028</v>
      </c>
      <c r="AS16" s="60">
        <f t="shared" si="7"/>
        <v>-78973.180654245763</v>
      </c>
      <c r="AT16" s="60"/>
      <c r="AU16" s="61">
        <f>SUM(AH16:AS16)</f>
        <v>-1664655.168450264</v>
      </c>
      <c r="AV16" s="89"/>
    </row>
    <row r="17" spans="1:48" hidden="1" outlineLevel="1">
      <c r="B17" s="51" t="s">
        <v>90</v>
      </c>
      <c r="C17" s="75">
        <v>-0.4</v>
      </c>
      <c r="D17" s="59">
        <v>-22147</v>
      </c>
      <c r="E17" s="59">
        <v>-26370</v>
      </c>
      <c r="F17" s="59">
        <v>-12146</v>
      </c>
      <c r="G17" s="59">
        <v>-14275</v>
      </c>
      <c r="H17" s="59">
        <v>-6272</v>
      </c>
      <c r="I17" s="59">
        <v>-16427</v>
      </c>
      <c r="J17" s="59">
        <v>-29664</v>
      </c>
      <c r="K17" s="59">
        <v>-9629</v>
      </c>
      <c r="L17" s="59">
        <v>-27687</v>
      </c>
      <c r="M17" s="60">
        <v>-40697</v>
      </c>
      <c r="N17" s="60">
        <v>-12216</v>
      </c>
      <c r="O17" s="60">
        <v>-18025</v>
      </c>
      <c r="P17" s="60"/>
      <c r="Q17" s="61">
        <f>SUM(D17:O17)</f>
        <v>-235555</v>
      </c>
      <c r="R17" s="503"/>
      <c r="S17" s="60">
        <f t="shared" ref="S17:AD17" si="8">S8*$C$17</f>
        <v>-14600</v>
      </c>
      <c r="T17" s="60">
        <f t="shared" si="8"/>
        <v>-26527.759999999998</v>
      </c>
      <c r="U17" s="60">
        <f t="shared" si="8"/>
        <v>-27135.440000000002</v>
      </c>
      <c r="V17" s="60">
        <f t="shared" si="8"/>
        <v>-26616.672885923392</v>
      </c>
      <c r="W17" s="60">
        <f t="shared" si="8"/>
        <v>-22897.89981430204</v>
      </c>
      <c r="X17" s="60">
        <f t="shared" si="8"/>
        <v>-24523.875104404462</v>
      </c>
      <c r="Y17" s="60">
        <f t="shared" si="8"/>
        <v>-21698.623143799334</v>
      </c>
      <c r="Z17" s="60">
        <f t="shared" si="8"/>
        <v>-21662.137667820556</v>
      </c>
      <c r="AA17" s="60">
        <f t="shared" si="8"/>
        <v>-35641.758736864882</v>
      </c>
      <c r="AB17" s="60">
        <f t="shared" si="8"/>
        <v>-55840.938318885252</v>
      </c>
      <c r="AC17" s="60">
        <f t="shared" si="8"/>
        <v>-20454.706767418051</v>
      </c>
      <c r="AD17" s="60">
        <f t="shared" si="8"/>
        <v>-29339.053142033183</v>
      </c>
      <c r="AE17" s="60"/>
      <c r="AF17" s="61">
        <f>SUM(S17:AD17)</f>
        <v>-326938.86558145122</v>
      </c>
      <c r="AG17" s="89"/>
      <c r="AH17" s="60">
        <f t="shared" ref="AH17:AS17" si="9">AH8*$C$17</f>
        <v>-15330</v>
      </c>
      <c r="AI17" s="60">
        <f t="shared" si="9"/>
        <v>-27854.148000000001</v>
      </c>
      <c r="AJ17" s="60">
        <f t="shared" si="9"/>
        <v>-28492.212</v>
      </c>
      <c r="AK17" s="60">
        <f t="shared" si="9"/>
        <v>-30467.506530219562</v>
      </c>
      <c r="AL17" s="60">
        <f t="shared" si="9"/>
        <v>-27402.79480501714</v>
      </c>
      <c r="AM17" s="60">
        <f t="shared" si="9"/>
        <v>-29110.068859624691</v>
      </c>
      <c r="AN17" s="60">
        <f t="shared" si="9"/>
        <v>-25303.554300989301</v>
      </c>
      <c r="AO17" s="60">
        <f t="shared" si="9"/>
        <v>-26105.244551211588</v>
      </c>
      <c r="AP17" s="60">
        <f t="shared" si="9"/>
        <v>-40783.846673708118</v>
      </c>
      <c r="AQ17" s="60">
        <f t="shared" si="9"/>
        <v>-61152.98523482951</v>
      </c>
      <c r="AR17" s="60">
        <f t="shared" si="9"/>
        <v>-23997.442105788952</v>
      </c>
      <c r="AS17" s="60">
        <f t="shared" si="9"/>
        <v>-34166.005799134844</v>
      </c>
      <c r="AT17" s="60"/>
      <c r="AU17" s="61">
        <f>SUM(AH17:AS17)</f>
        <v>-370165.80886052374</v>
      </c>
      <c r="AV17" s="89"/>
    </row>
    <row r="18" spans="1:48" hidden="1" outlineLevel="1">
      <c r="B18" s="51" t="s">
        <v>91</v>
      </c>
      <c r="C18" s="75">
        <v>-0.18</v>
      </c>
      <c r="D18" s="59"/>
      <c r="E18" s="59"/>
      <c r="F18" s="59"/>
      <c r="G18" s="59"/>
      <c r="H18" s="59"/>
      <c r="I18" s="59"/>
      <c r="J18" s="59"/>
      <c r="K18" s="59"/>
      <c r="L18" s="59"/>
      <c r="M18" s="60"/>
      <c r="N18" s="60"/>
      <c r="O18" s="60"/>
      <c r="P18" s="60"/>
      <c r="Q18" s="61">
        <f>SUM(D18:O18)</f>
        <v>0</v>
      </c>
      <c r="R18" s="503"/>
      <c r="S18" s="60">
        <f t="shared" ref="S18:AD18" ca="1" si="10">S9*$C$18</f>
        <v>0</v>
      </c>
      <c r="T18" s="60">
        <f t="shared" ca="1" si="10"/>
        <v>0</v>
      </c>
      <c r="U18" s="60">
        <f t="shared" ca="1" si="10"/>
        <v>0</v>
      </c>
      <c r="V18" s="60">
        <f t="shared" ca="1" si="10"/>
        <v>0</v>
      </c>
      <c r="W18" s="60">
        <f t="shared" ca="1" si="10"/>
        <v>0</v>
      </c>
      <c r="X18" s="60">
        <f t="shared" ca="1" si="10"/>
        <v>0</v>
      </c>
      <c r="Y18" s="60">
        <f t="shared" ca="1" si="10"/>
        <v>0</v>
      </c>
      <c r="Z18" s="60">
        <f t="shared" ca="1" si="10"/>
        <v>0</v>
      </c>
      <c r="AA18" s="60">
        <f t="shared" ca="1" si="10"/>
        <v>0</v>
      </c>
      <c r="AB18" s="60">
        <f t="shared" ca="1" si="10"/>
        <v>0</v>
      </c>
      <c r="AC18" s="60">
        <f t="shared" ca="1" si="10"/>
        <v>0</v>
      </c>
      <c r="AD18" s="60">
        <f t="shared" ca="1" si="10"/>
        <v>0</v>
      </c>
      <c r="AE18" s="60"/>
      <c r="AF18" s="61">
        <f ca="1">SUM(S18:AD18)</f>
        <v>0</v>
      </c>
      <c r="AG18" s="89"/>
      <c r="AH18" s="60">
        <f t="shared" ref="AH18:AS18" ca="1" si="11">AH9*$C$18</f>
        <v>0</v>
      </c>
      <c r="AI18" s="60">
        <f t="shared" ca="1" si="11"/>
        <v>0</v>
      </c>
      <c r="AJ18" s="60">
        <f t="shared" ca="1" si="11"/>
        <v>0</v>
      </c>
      <c r="AK18" s="60">
        <f t="shared" ca="1" si="11"/>
        <v>0</v>
      </c>
      <c r="AL18" s="60">
        <f t="shared" ca="1" si="11"/>
        <v>0</v>
      </c>
      <c r="AM18" s="60">
        <f t="shared" ca="1" si="11"/>
        <v>0</v>
      </c>
      <c r="AN18" s="60">
        <f t="shared" ca="1" si="11"/>
        <v>0</v>
      </c>
      <c r="AO18" s="60">
        <f t="shared" ca="1" si="11"/>
        <v>0</v>
      </c>
      <c r="AP18" s="60">
        <f t="shared" ca="1" si="11"/>
        <v>0</v>
      </c>
      <c r="AQ18" s="60">
        <f t="shared" ca="1" si="11"/>
        <v>0</v>
      </c>
      <c r="AR18" s="60">
        <f t="shared" ca="1" si="11"/>
        <v>0</v>
      </c>
      <c r="AS18" s="60">
        <f t="shared" ca="1" si="11"/>
        <v>0</v>
      </c>
      <c r="AT18" s="60"/>
      <c r="AU18" s="61">
        <f ca="1">SUM(AH18:AS18)</f>
        <v>0</v>
      </c>
      <c r="AV18" s="89"/>
    </row>
    <row r="19" spans="1:48" hidden="1" outlineLevel="1">
      <c r="B19" s="51" t="s">
        <v>92</v>
      </c>
      <c r="D19" s="59"/>
      <c r="E19" s="59"/>
      <c r="F19" s="59"/>
      <c r="G19" s="59"/>
      <c r="H19" s="59"/>
      <c r="I19" s="59"/>
      <c r="J19" s="59"/>
      <c r="K19" s="59"/>
      <c r="L19" s="59"/>
      <c r="M19" s="60"/>
      <c r="N19" s="60"/>
      <c r="O19" s="60"/>
      <c r="P19" s="60"/>
      <c r="Q19" s="61">
        <f>SUM(D19:O19)</f>
        <v>0</v>
      </c>
      <c r="R19" s="503"/>
      <c r="S19" s="60">
        <f t="shared" ref="S19:AD19" si="12">S10*$C$19</f>
        <v>0</v>
      </c>
      <c r="T19" s="60">
        <f t="shared" si="12"/>
        <v>0</v>
      </c>
      <c r="U19" s="60">
        <f t="shared" si="12"/>
        <v>0</v>
      </c>
      <c r="V19" s="60">
        <f t="shared" si="12"/>
        <v>0</v>
      </c>
      <c r="W19" s="60">
        <f t="shared" si="12"/>
        <v>0</v>
      </c>
      <c r="X19" s="60">
        <f t="shared" si="12"/>
        <v>0</v>
      </c>
      <c r="Y19" s="60">
        <f t="shared" si="12"/>
        <v>0</v>
      </c>
      <c r="Z19" s="60">
        <f t="shared" si="12"/>
        <v>0</v>
      </c>
      <c r="AA19" s="60">
        <f t="shared" si="12"/>
        <v>0</v>
      </c>
      <c r="AB19" s="60">
        <f t="shared" si="12"/>
        <v>0</v>
      </c>
      <c r="AC19" s="60">
        <f t="shared" si="12"/>
        <v>0</v>
      </c>
      <c r="AD19" s="60">
        <f t="shared" si="12"/>
        <v>0</v>
      </c>
      <c r="AE19" s="60"/>
      <c r="AF19" s="61">
        <f>SUM(S19:AD19)</f>
        <v>0</v>
      </c>
      <c r="AG19" s="89"/>
      <c r="AH19" s="60">
        <f t="shared" ref="AH19:AS19" si="13">AH10*$C$19</f>
        <v>0</v>
      </c>
      <c r="AI19" s="60">
        <f t="shared" si="13"/>
        <v>0</v>
      </c>
      <c r="AJ19" s="60">
        <f t="shared" si="13"/>
        <v>0</v>
      </c>
      <c r="AK19" s="60">
        <f t="shared" si="13"/>
        <v>0</v>
      </c>
      <c r="AL19" s="60">
        <f t="shared" si="13"/>
        <v>0</v>
      </c>
      <c r="AM19" s="60">
        <f t="shared" si="13"/>
        <v>0</v>
      </c>
      <c r="AN19" s="60">
        <f t="shared" si="13"/>
        <v>0</v>
      </c>
      <c r="AO19" s="60">
        <f t="shared" si="13"/>
        <v>0</v>
      </c>
      <c r="AP19" s="60">
        <f t="shared" si="13"/>
        <v>0</v>
      </c>
      <c r="AQ19" s="60">
        <f t="shared" si="13"/>
        <v>0</v>
      </c>
      <c r="AR19" s="60">
        <f t="shared" si="13"/>
        <v>0</v>
      </c>
      <c r="AS19" s="60">
        <f t="shared" si="13"/>
        <v>0</v>
      </c>
      <c r="AT19" s="60"/>
      <c r="AU19" s="61">
        <f>SUM(AH19:AS19)</f>
        <v>0</v>
      </c>
      <c r="AV19" s="89"/>
    </row>
    <row r="20" spans="1:48" hidden="1" outlineLevel="1">
      <c r="D20" s="59"/>
      <c r="E20" s="59"/>
      <c r="F20" s="59"/>
      <c r="G20" s="59"/>
      <c r="H20" s="59"/>
      <c r="I20" s="59"/>
      <c r="J20" s="59"/>
      <c r="K20" s="59"/>
      <c r="L20" s="59"/>
      <c r="M20" s="60"/>
      <c r="N20" s="60"/>
      <c r="O20" s="60"/>
      <c r="P20" s="60"/>
      <c r="Q20" s="61"/>
      <c r="R20" s="503"/>
      <c r="S20" s="83"/>
      <c r="T20" s="83"/>
      <c r="U20" s="83"/>
      <c r="V20" s="83"/>
      <c r="W20" s="83"/>
      <c r="X20" s="60"/>
      <c r="Y20" s="60"/>
      <c r="Z20" s="60"/>
      <c r="AA20" s="60"/>
      <c r="AB20" s="60"/>
      <c r="AC20" s="60"/>
      <c r="AD20" s="60"/>
      <c r="AE20" s="60"/>
      <c r="AF20" s="61"/>
      <c r="AG20" s="89"/>
      <c r="AH20" s="83"/>
      <c r="AI20" s="83"/>
      <c r="AJ20" s="83"/>
      <c r="AK20" s="83"/>
      <c r="AL20" s="83"/>
      <c r="AM20" s="60"/>
      <c r="AN20" s="60"/>
      <c r="AO20" s="60"/>
      <c r="AP20" s="60"/>
      <c r="AQ20" s="60"/>
      <c r="AR20" s="60"/>
      <c r="AS20" s="60"/>
      <c r="AT20" s="60"/>
      <c r="AU20" s="61"/>
      <c r="AV20" s="89"/>
    </row>
    <row r="21" spans="1:48" s="10" customFormat="1" collapsed="1">
      <c r="A21" s="52"/>
      <c r="B21" s="63" t="s">
        <v>93</v>
      </c>
      <c r="C21" s="52"/>
      <c r="D21" s="64">
        <f>SUM(D16:D20)</f>
        <v>-48913</v>
      </c>
      <c r="E21" s="64">
        <f t="shared" ref="E21:L21" si="14">SUM(E16:E20)</f>
        <v>-143211</v>
      </c>
      <c r="F21" s="64">
        <f t="shared" si="14"/>
        <v>-118002</v>
      </c>
      <c r="G21" s="64">
        <f t="shared" si="14"/>
        <v>-33719</v>
      </c>
      <c r="H21" s="64">
        <f t="shared" si="14"/>
        <v>-31042</v>
      </c>
      <c r="I21" s="64">
        <f t="shared" si="14"/>
        <v>-162943</v>
      </c>
      <c r="J21" s="64">
        <f t="shared" si="14"/>
        <v>-180738</v>
      </c>
      <c r="K21" s="64">
        <f t="shared" si="14"/>
        <v>-28109</v>
      </c>
      <c r="L21" s="64">
        <f t="shared" si="14"/>
        <v>-295201</v>
      </c>
      <c r="M21" s="65">
        <f t="shared" ref="M21:O21" si="15">SUM(M16:M20)</f>
        <v>-314882</v>
      </c>
      <c r="N21" s="65">
        <f t="shared" si="15"/>
        <v>-89682</v>
      </c>
      <c r="O21" s="65">
        <f t="shared" si="15"/>
        <v>-58965</v>
      </c>
      <c r="P21" s="61"/>
      <c r="Q21" s="65">
        <f>SUM(D21:O21)</f>
        <v>-1505407</v>
      </c>
      <c r="R21" s="505"/>
      <c r="S21" s="84">
        <f t="shared" ref="S21:AD21" ca="1" si="16">SUM(S16:S20)</f>
        <v>-79239.883288461715</v>
      </c>
      <c r="T21" s="84">
        <f t="shared" ca="1" si="16"/>
        <v>-182145.22529097751</v>
      </c>
      <c r="U21" s="84">
        <f t="shared" ca="1" si="16"/>
        <v>-158515.73278928082</v>
      </c>
      <c r="V21" s="84">
        <f t="shared" ca="1" si="16"/>
        <v>-89043.702889952488</v>
      </c>
      <c r="W21" s="84">
        <f t="shared" ca="1" si="16"/>
        <v>-84550.291549115165</v>
      </c>
      <c r="X21" s="65">
        <f t="shared" ca="1" si="16"/>
        <v>-226631.99835107959</v>
      </c>
      <c r="Y21" s="65">
        <f t="shared" ca="1" si="16"/>
        <v>-94702.564088130777</v>
      </c>
      <c r="Z21" s="65">
        <f t="shared" ca="1" si="16"/>
        <v>-89720.253403417097</v>
      </c>
      <c r="AA21" s="65">
        <f t="shared" ca="1" si="16"/>
        <v>-290068.27278703713</v>
      </c>
      <c r="AB21" s="65">
        <f t="shared" ca="1" si="16"/>
        <v>-286806.69906229747</v>
      </c>
      <c r="AC21" s="65">
        <f t="shared" ca="1" si="16"/>
        <v>-90747.277071999095</v>
      </c>
      <c r="AD21" s="65">
        <f t="shared" ca="1" si="16"/>
        <v>-100242.44722170323</v>
      </c>
      <c r="AE21" s="61"/>
      <c r="AF21" s="65">
        <f ca="1">SUM(S21:AD21)</f>
        <v>-1772414.347793452</v>
      </c>
      <c r="AG21" s="89"/>
      <c r="AH21" s="84">
        <f t="shared" ref="AH21:AS21" ca="1" si="17">SUM(AH16:AH20)</f>
        <v>-81756.14820574694</v>
      </c>
      <c r="AI21" s="84">
        <f t="shared" ca="1" si="17"/>
        <v>-220957.16393072705</v>
      </c>
      <c r="AJ21" s="84">
        <f t="shared" ca="1" si="17"/>
        <v>-172791.0808716132</v>
      </c>
      <c r="AK21" s="84">
        <f t="shared" ca="1" si="17"/>
        <v>-104065.6246520257</v>
      </c>
      <c r="AL21" s="84">
        <f t="shared" ca="1" si="17"/>
        <v>-99049.844117364148</v>
      </c>
      <c r="AM21" s="65">
        <f t="shared" ca="1" si="17"/>
        <v>-284794.39617819933</v>
      </c>
      <c r="AN21" s="65">
        <f t="shared" ca="1" si="17"/>
        <v>-100216.84557175367</v>
      </c>
      <c r="AO21" s="65">
        <f t="shared" ca="1" si="17"/>
        <v>-101368.7720421702</v>
      </c>
      <c r="AP21" s="65">
        <f t="shared" ca="1" si="17"/>
        <v>-338162.14625197923</v>
      </c>
      <c r="AQ21" s="65">
        <f t="shared" ca="1" si="17"/>
        <v>-321456.39064225554</v>
      </c>
      <c r="AR21" s="65">
        <f t="shared" ca="1" si="17"/>
        <v>-97063.378393571984</v>
      </c>
      <c r="AS21" s="65">
        <f t="shared" ca="1" si="17"/>
        <v>-113139.18645338061</v>
      </c>
      <c r="AT21" s="61"/>
      <c r="AU21" s="65">
        <f ca="1">SUM(AH21:AS21)</f>
        <v>-2034820.9773107877</v>
      </c>
      <c r="AV21" s="89"/>
    </row>
    <row r="22" spans="1:48">
      <c r="D22" s="97">
        <v>-0.34198790514796801</v>
      </c>
      <c r="E22" s="97">
        <v>-0.24699284010287445</v>
      </c>
      <c r="F22" s="97">
        <v>-0.25592091927945643</v>
      </c>
      <c r="G22" s="97">
        <v>-0.22202651363381751</v>
      </c>
      <c r="H22" s="97">
        <v>-0.20748222067748578</v>
      </c>
      <c r="I22" s="97">
        <v>-0.27635592272865916</v>
      </c>
      <c r="J22" s="97">
        <v>-0.28879536154422936</v>
      </c>
      <c r="K22" s="97">
        <v>-0.21448646977342248</v>
      </c>
      <c r="L22" s="97">
        <v>-0.28646148710543884</v>
      </c>
      <c r="M22" s="91">
        <f t="shared" ref="M22:O22" si="18">M21/M12</f>
        <v>-0.27649750971177284</v>
      </c>
      <c r="N22" s="91">
        <f t="shared" si="18"/>
        <v>-0.24926137674372065</v>
      </c>
      <c r="O22" s="91">
        <f t="shared" si="18"/>
        <v>-0.253479894420992</v>
      </c>
      <c r="P22" s="60"/>
      <c r="Q22" s="91">
        <f>Q21/Q12</f>
        <v>-0.2691272258236766</v>
      </c>
      <c r="R22" s="503"/>
      <c r="S22" s="91">
        <f t="shared" ref="S22:AD22" ca="1" si="19">S21/S12</f>
        <v>-0.2590953982105354</v>
      </c>
      <c r="T22" s="91">
        <f t="shared" ca="1" si="19"/>
        <v>-0.25484640455691043</v>
      </c>
      <c r="U22" s="91">
        <f t="shared" ca="1" si="19"/>
        <v>-0.25764170916684465</v>
      </c>
      <c r="V22" s="91">
        <f t="shared" ca="1" si="19"/>
        <v>-0.27259307750937117</v>
      </c>
      <c r="W22" s="91">
        <f t="shared" ca="1" si="19"/>
        <v>-0.26915725410720431</v>
      </c>
      <c r="X22" s="91">
        <f t="shared" ca="1" si="19"/>
        <v>-0.25085815619360685</v>
      </c>
      <c r="Y22" s="91">
        <f t="shared" ca="1" si="19"/>
        <v>-0.26421521036417389</v>
      </c>
      <c r="Z22" s="91">
        <f t="shared" ca="1" si="19"/>
        <v>-0.26565609766647391</v>
      </c>
      <c r="AA22" s="91">
        <f t="shared" ca="1" si="19"/>
        <v>-0.25240560302643789</v>
      </c>
      <c r="AB22" s="91">
        <f t="shared" ca="1" si="19"/>
        <v>-0.26026968471513523</v>
      </c>
      <c r="AC22" s="91">
        <f t="shared" ca="1" si="19"/>
        <v>-0.26378298880267664</v>
      </c>
      <c r="AD22" s="91">
        <f t="shared" ca="1" si="19"/>
        <v>-0.27182295908738713</v>
      </c>
      <c r="AE22" s="60"/>
      <c r="AF22" s="91">
        <f ca="1">AF21/AF12</f>
        <v>-0.25911878000567318</v>
      </c>
      <c r="AG22" s="89"/>
      <c r="AH22" s="91">
        <f t="shared" ref="AH22:AS22" ca="1" si="20">AH21/AH12</f>
        <v>-0.25946045059570222</v>
      </c>
      <c r="AI22" s="91">
        <f t="shared" ca="1" si="20"/>
        <v>-0.25274452148534854</v>
      </c>
      <c r="AJ22" s="91">
        <f t="shared" ca="1" si="20"/>
        <v>-0.25694765003065118</v>
      </c>
      <c r="AK22" s="91">
        <f t="shared" ca="1" si="20"/>
        <v>-0.27183418037799573</v>
      </c>
      <c r="AL22" s="91">
        <f t="shared" ca="1" si="20"/>
        <v>-0.26986384767839106</v>
      </c>
      <c r="AM22" s="91">
        <f t="shared" ca="1" si="20"/>
        <v>-0.25023087255746995</v>
      </c>
      <c r="AN22" s="91">
        <f t="shared" ca="1" si="20"/>
        <v>-0.26696187119228876</v>
      </c>
      <c r="AO22" s="91">
        <f t="shared" ca="1" si="20"/>
        <v>-0.26756180733946405</v>
      </c>
      <c r="AP22" s="91">
        <f t="shared" ca="1" si="20"/>
        <v>-0.25216487873004834</v>
      </c>
      <c r="AQ22" s="91">
        <f t="shared" ca="1" si="20"/>
        <v>-0.25976694118548954</v>
      </c>
      <c r="AR22" s="91">
        <f t="shared" ca="1" si="20"/>
        <v>-0.2663393380769396</v>
      </c>
      <c r="AS22" s="91">
        <f t="shared" ca="1" si="20"/>
        <v>-0.27297320553838672</v>
      </c>
      <c r="AT22" s="60"/>
      <c r="AU22" s="91">
        <f ca="1">AU21/AU12</f>
        <v>-0.25883441367411975</v>
      </c>
      <c r="AV22" s="89"/>
    </row>
    <row r="23" spans="1:48" hidden="1" outlineLevel="1">
      <c r="B23" s="67" t="s">
        <v>94</v>
      </c>
      <c r="C23" s="52"/>
      <c r="D23" s="68">
        <v>76557.66</v>
      </c>
      <c r="E23" s="68">
        <v>360858.83</v>
      </c>
      <c r="F23" s="68">
        <v>324457.12</v>
      </c>
      <c r="G23" s="68">
        <v>96625.85</v>
      </c>
      <c r="H23" s="68">
        <v>109317.34</v>
      </c>
      <c r="I23" s="68">
        <v>414655.26</v>
      </c>
      <c r="J23" s="68">
        <v>397262.44000000006</v>
      </c>
      <c r="K23" s="68">
        <v>92495.57</v>
      </c>
      <c r="L23" s="68">
        <v>684943</v>
      </c>
      <c r="M23" s="69">
        <f t="shared" ref="M23:O26" si="21">M7+M16</f>
        <v>741315</v>
      </c>
      <c r="N23" s="69">
        <f t="shared" si="21"/>
        <v>245308</v>
      </c>
      <c r="O23" s="69">
        <f t="shared" si="21"/>
        <v>137060</v>
      </c>
      <c r="P23" s="69"/>
      <c r="Q23" s="69">
        <f>Q7+Q16</f>
        <v>3680859</v>
      </c>
      <c r="R23" s="503"/>
      <c r="S23" s="85">
        <f t="shared" ref="S23:AD26" si="22">S7+S16</f>
        <v>204692.96374679543</v>
      </c>
      <c r="T23" s="85">
        <f t="shared" si="22"/>
        <v>492788.64008809545</v>
      </c>
      <c r="U23" s="85">
        <f t="shared" si="22"/>
        <v>416037.59383272257</v>
      </c>
      <c r="V23" s="85">
        <f t="shared" si="22"/>
        <v>197685.5950127588</v>
      </c>
      <c r="W23" s="85">
        <f t="shared" si="22"/>
        <v>195232.57382690825</v>
      </c>
      <c r="X23" s="69">
        <f t="shared" si="22"/>
        <v>640009.05694780464</v>
      </c>
      <c r="Y23" s="69">
        <f t="shared" si="22"/>
        <v>231179.14632371627</v>
      </c>
      <c r="Z23" s="69">
        <f t="shared" si="22"/>
        <v>215517.36649605571</v>
      </c>
      <c r="AA23" s="69">
        <f t="shared" si="22"/>
        <v>805683.96115887887</v>
      </c>
      <c r="AB23" s="69">
        <f t="shared" si="22"/>
        <v>731391.57568747201</v>
      </c>
      <c r="AC23" s="69">
        <f t="shared" si="22"/>
        <v>222593.13929783998</v>
      </c>
      <c r="AD23" s="69">
        <f t="shared" si="22"/>
        <v>224527.41458562182</v>
      </c>
      <c r="AE23" s="69"/>
      <c r="AF23" s="69">
        <f>AF7+AF16</f>
        <v>4577339.0270046694</v>
      </c>
      <c r="AG23" s="89"/>
      <c r="AH23" s="85">
        <f t="shared" ref="AH23:AS26" si="23">AH7+AH16</f>
        <v>210349.46931819862</v>
      </c>
      <c r="AI23" s="85">
        <f t="shared" si="23"/>
        <v>611492.88378063566</v>
      </c>
      <c r="AJ23" s="85">
        <f t="shared" si="23"/>
        <v>456946.41809344187</v>
      </c>
      <c r="AK23" s="85">
        <f t="shared" si="23"/>
        <v>233060.70738571946</v>
      </c>
      <c r="AL23" s="85">
        <f t="shared" si="23"/>
        <v>226882.32282243221</v>
      </c>
      <c r="AM23" s="69">
        <f t="shared" si="23"/>
        <v>809667.03650881967</v>
      </c>
      <c r="AN23" s="69">
        <f t="shared" si="23"/>
        <v>237225.4223574205</v>
      </c>
      <c r="AO23" s="69">
        <f t="shared" si="23"/>
        <v>238334.50372136894</v>
      </c>
      <c r="AP23" s="69">
        <f t="shared" si="23"/>
        <v>941697.94866452529</v>
      </c>
      <c r="AQ23" s="69">
        <f t="shared" si="23"/>
        <v>824294.11712351593</v>
      </c>
      <c r="AR23" s="69">
        <f t="shared" si="23"/>
        <v>231375.46491131291</v>
      </c>
      <c r="AS23" s="69">
        <f t="shared" si="23"/>
        <v>250081.73873844492</v>
      </c>
      <c r="AT23" s="69"/>
      <c r="AU23" s="69">
        <f>AU7+AU16</f>
        <v>5271408.0334258368</v>
      </c>
      <c r="AV23" s="89"/>
    </row>
    <row r="24" spans="1:48" hidden="1" outlineLevel="1">
      <c r="B24" s="67" t="s">
        <v>95</v>
      </c>
      <c r="C24" s="52"/>
      <c r="D24" s="68">
        <v>17555.270000000004</v>
      </c>
      <c r="E24" s="68">
        <v>75750.67</v>
      </c>
      <c r="F24" s="68">
        <v>18627.580000000002</v>
      </c>
      <c r="G24" s="68">
        <v>21524.82</v>
      </c>
      <c r="H24" s="68">
        <v>9252.83</v>
      </c>
      <c r="I24" s="68">
        <v>12015.940000000002</v>
      </c>
      <c r="J24" s="68">
        <v>47832.479999999996</v>
      </c>
      <c r="K24" s="68">
        <v>10447.069999999998</v>
      </c>
      <c r="L24" s="68">
        <v>50367</v>
      </c>
      <c r="M24" s="69">
        <f t="shared" si="21"/>
        <v>82627</v>
      </c>
      <c r="N24" s="69">
        <f t="shared" si="21"/>
        <v>24801</v>
      </c>
      <c r="O24" s="69">
        <f t="shared" si="21"/>
        <v>36597</v>
      </c>
      <c r="P24" s="69"/>
      <c r="Q24" s="69">
        <f>Q8+Q17</f>
        <v>407303</v>
      </c>
      <c r="R24" s="503"/>
      <c r="S24" s="85">
        <f t="shared" si="22"/>
        <v>21900</v>
      </c>
      <c r="T24" s="85">
        <f t="shared" si="22"/>
        <v>39791.64</v>
      </c>
      <c r="U24" s="85">
        <f t="shared" si="22"/>
        <v>40703.160000000003</v>
      </c>
      <c r="V24" s="85">
        <f t="shared" si="22"/>
        <v>39925.009328885084</v>
      </c>
      <c r="W24" s="85">
        <f t="shared" si="22"/>
        <v>34346.849721453051</v>
      </c>
      <c r="X24" s="69">
        <f t="shared" si="22"/>
        <v>36785.812656606693</v>
      </c>
      <c r="Y24" s="69">
        <f t="shared" si="22"/>
        <v>32547.934715698997</v>
      </c>
      <c r="Z24" s="69">
        <f t="shared" si="22"/>
        <v>32493.206501730834</v>
      </c>
      <c r="AA24" s="69">
        <f t="shared" si="22"/>
        <v>53462.638105297316</v>
      </c>
      <c r="AB24" s="69">
        <f t="shared" si="22"/>
        <v>83761.407478327863</v>
      </c>
      <c r="AC24" s="69">
        <f t="shared" si="22"/>
        <v>30682.060151127072</v>
      </c>
      <c r="AD24" s="69">
        <f t="shared" si="22"/>
        <v>44008.579713049767</v>
      </c>
      <c r="AE24" s="69"/>
      <c r="AF24" s="69">
        <f>AF8+AF17</f>
        <v>490408.29837217671</v>
      </c>
      <c r="AG24" s="89"/>
      <c r="AH24" s="85">
        <f t="shared" si="23"/>
        <v>22995</v>
      </c>
      <c r="AI24" s="85">
        <f t="shared" si="23"/>
        <v>41781.221999999994</v>
      </c>
      <c r="AJ24" s="85">
        <f t="shared" si="23"/>
        <v>42738.317999999999</v>
      </c>
      <c r="AK24" s="85">
        <f t="shared" si="23"/>
        <v>45701.259795329344</v>
      </c>
      <c r="AL24" s="85">
        <f t="shared" si="23"/>
        <v>41104.192207525703</v>
      </c>
      <c r="AM24" s="69">
        <f t="shared" si="23"/>
        <v>43665.103289437029</v>
      </c>
      <c r="AN24" s="69">
        <f t="shared" si="23"/>
        <v>37955.331451483951</v>
      </c>
      <c r="AO24" s="69">
        <f t="shared" si="23"/>
        <v>39157.866826817379</v>
      </c>
      <c r="AP24" s="69">
        <f t="shared" si="23"/>
        <v>61175.770010562177</v>
      </c>
      <c r="AQ24" s="69">
        <f t="shared" si="23"/>
        <v>91729.47785224425</v>
      </c>
      <c r="AR24" s="69">
        <f t="shared" si="23"/>
        <v>35996.163158683426</v>
      </c>
      <c r="AS24" s="69">
        <f t="shared" si="23"/>
        <v>51249.008698702266</v>
      </c>
      <c r="AT24" s="69"/>
      <c r="AU24" s="69">
        <f>AU8+AU17</f>
        <v>555248.71329078556</v>
      </c>
      <c r="AV24" s="89"/>
    </row>
    <row r="25" spans="1:48" hidden="1" outlineLevel="1">
      <c r="B25" s="67" t="s">
        <v>96</v>
      </c>
      <c r="C25" s="52"/>
      <c r="D25" s="68">
        <v>0</v>
      </c>
      <c r="E25" s="68">
        <v>0</v>
      </c>
      <c r="F25" s="68">
        <v>0</v>
      </c>
      <c r="G25" s="68">
        <v>0</v>
      </c>
      <c r="H25" s="68">
        <v>0</v>
      </c>
      <c r="I25" s="68">
        <v>0</v>
      </c>
      <c r="J25" s="68">
        <v>0</v>
      </c>
      <c r="K25" s="68">
        <v>0</v>
      </c>
      <c r="L25" s="68">
        <v>0</v>
      </c>
      <c r="M25" s="69">
        <f t="shared" si="21"/>
        <v>0</v>
      </c>
      <c r="N25" s="69">
        <f t="shared" si="21"/>
        <v>0</v>
      </c>
      <c r="O25" s="69">
        <f t="shared" si="21"/>
        <v>0</v>
      </c>
      <c r="P25" s="69"/>
      <c r="Q25" s="69">
        <f>Q9+Q18</f>
        <v>0</v>
      </c>
      <c r="R25" s="503"/>
      <c r="S25" s="85">
        <f t="shared" ca="1" si="22"/>
        <v>0</v>
      </c>
      <c r="T25" s="85">
        <f t="shared" ca="1" si="22"/>
        <v>0</v>
      </c>
      <c r="U25" s="85">
        <f t="shared" ca="1" si="22"/>
        <v>0</v>
      </c>
      <c r="V25" s="85">
        <f t="shared" ca="1" si="22"/>
        <v>0</v>
      </c>
      <c r="W25" s="85">
        <f t="shared" ca="1" si="22"/>
        <v>0</v>
      </c>
      <c r="X25" s="69">
        <f t="shared" ca="1" si="22"/>
        <v>0</v>
      </c>
      <c r="Y25" s="69">
        <f t="shared" ca="1" si="22"/>
        <v>0</v>
      </c>
      <c r="Z25" s="69">
        <f t="shared" ca="1" si="22"/>
        <v>0</v>
      </c>
      <c r="AA25" s="69">
        <f t="shared" ca="1" si="22"/>
        <v>0</v>
      </c>
      <c r="AB25" s="69">
        <f t="shared" ca="1" si="22"/>
        <v>0</v>
      </c>
      <c r="AC25" s="69">
        <f t="shared" ca="1" si="22"/>
        <v>0</v>
      </c>
      <c r="AD25" s="69">
        <f t="shared" ca="1" si="22"/>
        <v>0</v>
      </c>
      <c r="AE25" s="69"/>
      <c r="AF25" s="69">
        <f ca="1">AF9+AF18</f>
        <v>0</v>
      </c>
      <c r="AG25" s="89"/>
      <c r="AH25" s="85">
        <f t="shared" ca="1" si="23"/>
        <v>0</v>
      </c>
      <c r="AI25" s="85">
        <f t="shared" ca="1" si="23"/>
        <v>0</v>
      </c>
      <c r="AJ25" s="85">
        <f t="shared" ca="1" si="23"/>
        <v>0</v>
      </c>
      <c r="AK25" s="85">
        <f t="shared" ca="1" si="23"/>
        <v>0</v>
      </c>
      <c r="AL25" s="85">
        <f t="shared" ca="1" si="23"/>
        <v>0</v>
      </c>
      <c r="AM25" s="69">
        <f t="shared" ca="1" si="23"/>
        <v>0</v>
      </c>
      <c r="AN25" s="69">
        <f t="shared" ca="1" si="23"/>
        <v>0</v>
      </c>
      <c r="AO25" s="69">
        <f t="shared" ca="1" si="23"/>
        <v>0</v>
      </c>
      <c r="AP25" s="69">
        <f t="shared" ca="1" si="23"/>
        <v>0</v>
      </c>
      <c r="AQ25" s="69">
        <f t="shared" ca="1" si="23"/>
        <v>0</v>
      </c>
      <c r="AR25" s="69">
        <f t="shared" ca="1" si="23"/>
        <v>0</v>
      </c>
      <c r="AS25" s="69">
        <f t="shared" ca="1" si="23"/>
        <v>0</v>
      </c>
      <c r="AT25" s="69"/>
      <c r="AU25" s="69">
        <f ca="1">AU9+AU18</f>
        <v>0</v>
      </c>
      <c r="AV25" s="89"/>
    </row>
    <row r="26" spans="1:48" hidden="1" outlineLevel="1">
      <c r="B26" s="67" t="s">
        <v>97</v>
      </c>
      <c r="C26" s="52"/>
      <c r="D26" s="68">
        <v>0</v>
      </c>
      <c r="E26" s="68">
        <v>0</v>
      </c>
      <c r="F26" s="68">
        <v>0</v>
      </c>
      <c r="G26" s="68">
        <v>0</v>
      </c>
      <c r="H26" s="68">
        <v>0</v>
      </c>
      <c r="I26" s="68">
        <v>0</v>
      </c>
      <c r="J26" s="68">
        <v>0</v>
      </c>
      <c r="K26" s="68">
        <v>0</v>
      </c>
      <c r="L26" s="68">
        <v>0</v>
      </c>
      <c r="M26" s="69">
        <f t="shared" si="21"/>
        <v>0</v>
      </c>
      <c r="N26" s="69">
        <f t="shared" si="21"/>
        <v>0</v>
      </c>
      <c r="O26" s="69">
        <f t="shared" si="21"/>
        <v>0</v>
      </c>
      <c r="P26" s="69"/>
      <c r="Q26" s="69">
        <f>Q10+Q19</f>
        <v>0</v>
      </c>
      <c r="R26" s="503"/>
      <c r="S26" s="85">
        <f t="shared" si="22"/>
        <v>0</v>
      </c>
      <c r="T26" s="85">
        <f t="shared" si="22"/>
        <v>0</v>
      </c>
      <c r="U26" s="85">
        <f t="shared" si="22"/>
        <v>0</v>
      </c>
      <c r="V26" s="85">
        <f t="shared" si="22"/>
        <v>0</v>
      </c>
      <c r="W26" s="85">
        <f t="shared" si="22"/>
        <v>0</v>
      </c>
      <c r="X26" s="69">
        <f t="shared" si="22"/>
        <v>0</v>
      </c>
      <c r="Y26" s="69">
        <f t="shared" si="22"/>
        <v>0</v>
      </c>
      <c r="Z26" s="69">
        <f t="shared" si="22"/>
        <v>0</v>
      </c>
      <c r="AA26" s="69">
        <f t="shared" si="22"/>
        <v>0</v>
      </c>
      <c r="AB26" s="69">
        <f t="shared" si="22"/>
        <v>0</v>
      </c>
      <c r="AC26" s="69">
        <f t="shared" si="22"/>
        <v>0</v>
      </c>
      <c r="AD26" s="69">
        <f t="shared" si="22"/>
        <v>0</v>
      </c>
      <c r="AE26" s="69"/>
      <c r="AF26" s="69">
        <f>AF10+AF19</f>
        <v>0</v>
      </c>
      <c r="AG26" s="89"/>
      <c r="AH26" s="85">
        <f t="shared" si="23"/>
        <v>0</v>
      </c>
      <c r="AI26" s="85">
        <f t="shared" si="23"/>
        <v>0</v>
      </c>
      <c r="AJ26" s="85">
        <f t="shared" si="23"/>
        <v>0</v>
      </c>
      <c r="AK26" s="85">
        <f t="shared" si="23"/>
        <v>0</v>
      </c>
      <c r="AL26" s="85">
        <f t="shared" si="23"/>
        <v>0</v>
      </c>
      <c r="AM26" s="69">
        <f t="shared" si="23"/>
        <v>0</v>
      </c>
      <c r="AN26" s="69">
        <f t="shared" si="23"/>
        <v>0</v>
      </c>
      <c r="AO26" s="69">
        <f t="shared" si="23"/>
        <v>0</v>
      </c>
      <c r="AP26" s="69">
        <f t="shared" si="23"/>
        <v>0</v>
      </c>
      <c r="AQ26" s="69">
        <f t="shared" si="23"/>
        <v>0</v>
      </c>
      <c r="AR26" s="69">
        <f t="shared" si="23"/>
        <v>0</v>
      </c>
      <c r="AS26" s="69">
        <f t="shared" si="23"/>
        <v>0</v>
      </c>
      <c r="AT26" s="69"/>
      <c r="AU26" s="69">
        <f>AU10+AU19</f>
        <v>0</v>
      </c>
      <c r="AV26" s="89"/>
    </row>
    <row r="27" spans="1:48" collapsed="1">
      <c r="B27" s="67" t="s">
        <v>98</v>
      </c>
      <c r="C27" s="52"/>
      <c r="D27" s="68">
        <v>94112.930000000022</v>
      </c>
      <c r="E27" s="68">
        <v>436609.50000000006</v>
      </c>
      <c r="F27" s="68">
        <v>343084.69999999995</v>
      </c>
      <c r="G27" s="68">
        <v>118150.67000000001</v>
      </c>
      <c r="H27" s="68">
        <v>118570.17</v>
      </c>
      <c r="I27" s="68">
        <v>426671.19999999995</v>
      </c>
      <c r="J27" s="68">
        <v>445094.92000000004</v>
      </c>
      <c r="K27" s="68">
        <v>102942.64</v>
      </c>
      <c r="L27" s="68">
        <v>735310</v>
      </c>
      <c r="M27" s="69">
        <f t="shared" ref="M27:O27" si="24">M12+M21</f>
        <v>823942</v>
      </c>
      <c r="N27" s="69">
        <f t="shared" si="24"/>
        <v>270109</v>
      </c>
      <c r="O27" s="69">
        <f t="shared" si="24"/>
        <v>173657</v>
      </c>
      <c r="P27" s="69"/>
      <c r="Q27" s="69">
        <f>Q12+Q21</f>
        <v>4088255.9800000004</v>
      </c>
      <c r="R27" s="503"/>
      <c r="S27" s="85">
        <f t="shared" ref="S27:AD27" ca="1" si="25">S12+S21</f>
        <v>226592.96374679543</v>
      </c>
      <c r="T27" s="85">
        <f t="shared" ca="1" si="25"/>
        <v>532580.28008809546</v>
      </c>
      <c r="U27" s="85">
        <f t="shared" ca="1" si="25"/>
        <v>456740.75383272255</v>
      </c>
      <c r="V27" s="85">
        <f t="shared" ca="1" si="25"/>
        <v>237610.60434164389</v>
      </c>
      <c r="W27" s="85">
        <f t="shared" ca="1" si="25"/>
        <v>229579.42354836129</v>
      </c>
      <c r="X27" s="69">
        <f t="shared" ca="1" si="25"/>
        <v>676794.8696044113</v>
      </c>
      <c r="Y27" s="69">
        <f t="shared" ca="1" si="25"/>
        <v>263727.08103941526</v>
      </c>
      <c r="Z27" s="69">
        <f t="shared" ca="1" si="25"/>
        <v>248010.57299778654</v>
      </c>
      <c r="AA27" s="69">
        <f t="shared" ca="1" si="25"/>
        <v>859146.5992641761</v>
      </c>
      <c r="AB27" s="69">
        <f t="shared" ca="1" si="25"/>
        <v>815152.98316579976</v>
      </c>
      <c r="AC27" s="69">
        <f t="shared" ca="1" si="25"/>
        <v>253275.19944896706</v>
      </c>
      <c r="AD27" s="69">
        <f t="shared" ca="1" si="25"/>
        <v>268535.99429867161</v>
      </c>
      <c r="AE27" s="69"/>
      <c r="AF27" s="69">
        <f ca="1">AF12+AF21</f>
        <v>5067747.3253768459</v>
      </c>
      <c r="AG27" s="89"/>
      <c r="AH27" s="85">
        <f t="shared" ref="AH27:AS27" ca="1" si="26">AH12+AH21</f>
        <v>233344.46931819862</v>
      </c>
      <c r="AI27" s="85">
        <f t="shared" ca="1" si="26"/>
        <v>653274.10578063561</v>
      </c>
      <c r="AJ27" s="85">
        <f t="shared" ca="1" si="26"/>
        <v>499684.73609344184</v>
      </c>
      <c r="AK27" s="85">
        <f t="shared" ca="1" si="26"/>
        <v>278761.96718104876</v>
      </c>
      <c r="AL27" s="85">
        <f t="shared" ca="1" si="26"/>
        <v>267986.51502995793</v>
      </c>
      <c r="AM27" s="69">
        <f t="shared" ca="1" si="26"/>
        <v>853332.13979825669</v>
      </c>
      <c r="AN27" s="69">
        <f t="shared" ca="1" si="26"/>
        <v>275180.75380890444</v>
      </c>
      <c r="AO27" s="69">
        <f t="shared" ca="1" si="26"/>
        <v>277492.37054818636</v>
      </c>
      <c r="AP27" s="69">
        <f t="shared" ca="1" si="26"/>
        <v>1002873.7186750874</v>
      </c>
      <c r="AQ27" s="69">
        <f t="shared" ca="1" si="26"/>
        <v>916023.59497576021</v>
      </c>
      <c r="AR27" s="69">
        <f t="shared" ca="1" si="26"/>
        <v>267371.62806999631</v>
      </c>
      <c r="AS27" s="69">
        <f t="shared" ca="1" si="26"/>
        <v>301330.74743714719</v>
      </c>
      <c r="AT27" s="69"/>
      <c r="AU27" s="69">
        <f ca="1">AU12+AU21</f>
        <v>5826656.7467166213</v>
      </c>
      <c r="AV27" s="89"/>
    </row>
    <row r="28" spans="1:48">
      <c r="B28" s="52"/>
      <c r="C28" s="52"/>
      <c r="D28" s="70"/>
      <c r="E28" s="70"/>
      <c r="F28" s="70"/>
      <c r="G28" s="70"/>
      <c r="H28" s="70"/>
      <c r="I28" s="70"/>
      <c r="J28" s="70"/>
      <c r="K28" s="70"/>
      <c r="L28" s="70"/>
      <c r="M28" s="52"/>
      <c r="N28" s="52"/>
      <c r="O28" s="52"/>
      <c r="P28" s="52"/>
      <c r="R28" s="503"/>
      <c r="S28" s="10"/>
      <c r="T28" s="10"/>
      <c r="U28" s="10"/>
      <c r="V28" s="10"/>
      <c r="W28" s="10"/>
      <c r="X28" s="52"/>
      <c r="Y28" s="52"/>
      <c r="Z28" s="52"/>
      <c r="AA28" s="52"/>
      <c r="AB28" s="52"/>
      <c r="AC28" s="52"/>
      <c r="AD28" s="52"/>
      <c r="AE28" s="52"/>
      <c r="AG28" s="89"/>
      <c r="AH28" s="10"/>
      <c r="AI28" s="10"/>
      <c r="AJ28" s="10"/>
      <c r="AK28" s="10"/>
      <c r="AL28" s="10"/>
      <c r="AM28" s="52"/>
      <c r="AN28" s="52"/>
      <c r="AO28" s="52"/>
      <c r="AP28" s="52"/>
      <c r="AQ28" s="52"/>
      <c r="AR28" s="52"/>
      <c r="AS28" s="52"/>
      <c r="AT28" s="52"/>
      <c r="AV28" s="89"/>
    </row>
    <row r="29" spans="1:48" hidden="1" outlineLevel="1">
      <c r="B29" s="67" t="s">
        <v>99</v>
      </c>
      <c r="C29" s="52"/>
      <c r="D29" s="97">
        <v>0.74094406282034997</v>
      </c>
      <c r="E29" s="97">
        <v>0.75540796380427333</v>
      </c>
      <c r="F29" s="97">
        <v>0.75400284341955293</v>
      </c>
      <c r="G29" s="97">
        <v>0.83247516273507793</v>
      </c>
      <c r="H29" s="97">
        <v>0.815271726565588</v>
      </c>
      <c r="I29" s="97">
        <v>0.73890974515056207</v>
      </c>
      <c r="J29" s="97">
        <v>0.72448669377095187</v>
      </c>
      <c r="K29" s="97">
        <v>0.83348016803404512</v>
      </c>
      <c r="L29" s="97">
        <v>0.71913197222344716</v>
      </c>
      <c r="M29" s="91">
        <f t="shared" ref="M29:O32" si="27">IFERROR(M23/M7,0)</f>
        <v>0.73</v>
      </c>
      <c r="N29" s="91">
        <f t="shared" si="27"/>
        <v>0.75999925644568644</v>
      </c>
      <c r="O29" s="91">
        <f t="shared" si="27"/>
        <v>0.77</v>
      </c>
      <c r="P29" s="91"/>
      <c r="Q29" s="91">
        <f>IFERROR(Q23/Q7,0)</f>
        <v>0.74350108499567036</v>
      </c>
      <c r="R29" s="503"/>
      <c r="S29" s="91">
        <f t="shared" ref="S29:AD32" si="28">IFERROR(S23/S7,0)</f>
        <v>0.76</v>
      </c>
      <c r="T29" s="91">
        <f t="shared" si="28"/>
        <v>0.76</v>
      </c>
      <c r="U29" s="91">
        <f t="shared" si="28"/>
        <v>0.76</v>
      </c>
      <c r="V29" s="91">
        <f t="shared" si="28"/>
        <v>0.76</v>
      </c>
      <c r="W29" s="91">
        <f t="shared" si="28"/>
        <v>0.76000000000000012</v>
      </c>
      <c r="X29" s="91">
        <f t="shared" si="28"/>
        <v>0.76</v>
      </c>
      <c r="Y29" s="91">
        <f t="shared" si="28"/>
        <v>0.76</v>
      </c>
      <c r="Z29" s="91">
        <f t="shared" si="28"/>
        <v>0.76</v>
      </c>
      <c r="AA29" s="91">
        <f t="shared" si="28"/>
        <v>0.76000000000000012</v>
      </c>
      <c r="AB29" s="91">
        <f t="shared" si="28"/>
        <v>0.76</v>
      </c>
      <c r="AC29" s="91">
        <f t="shared" si="28"/>
        <v>0.76</v>
      </c>
      <c r="AD29" s="91">
        <f t="shared" si="28"/>
        <v>0.76</v>
      </c>
      <c r="AE29" s="91"/>
      <c r="AF29" s="91">
        <f>IFERROR(AF23/AF7,0)</f>
        <v>0.76</v>
      </c>
      <c r="AG29" s="89"/>
      <c r="AH29" s="91">
        <f t="shared" ref="AH29:AS32" si="29">IFERROR(AH23/AH7,0)</f>
        <v>0.7599999999999999</v>
      </c>
      <c r="AI29" s="91">
        <f t="shared" si="29"/>
        <v>0.76</v>
      </c>
      <c r="AJ29" s="91">
        <f t="shared" si="29"/>
        <v>0.76</v>
      </c>
      <c r="AK29" s="91">
        <f t="shared" si="29"/>
        <v>0.76</v>
      </c>
      <c r="AL29" s="91">
        <f t="shared" si="29"/>
        <v>0.76</v>
      </c>
      <c r="AM29" s="91">
        <f t="shared" si="29"/>
        <v>0.76</v>
      </c>
      <c r="AN29" s="91">
        <f t="shared" si="29"/>
        <v>0.76</v>
      </c>
      <c r="AO29" s="91">
        <f t="shared" si="29"/>
        <v>0.76</v>
      </c>
      <c r="AP29" s="91">
        <f t="shared" si="29"/>
        <v>0.76</v>
      </c>
      <c r="AQ29" s="91">
        <f t="shared" si="29"/>
        <v>0.76</v>
      </c>
      <c r="AR29" s="91">
        <f t="shared" si="29"/>
        <v>0.76</v>
      </c>
      <c r="AS29" s="91">
        <f t="shared" si="29"/>
        <v>0.76</v>
      </c>
      <c r="AT29" s="91"/>
      <c r="AU29" s="91">
        <f>IFERROR(AU23/AU7,0)</f>
        <v>0.76</v>
      </c>
      <c r="AV29" s="89"/>
    </row>
    <row r="30" spans="1:48" hidden="1" outlineLevel="1">
      <c r="B30" s="67" t="s">
        <v>100</v>
      </c>
      <c r="C30" s="52"/>
      <c r="D30" s="97">
        <v>0.44217974764783141</v>
      </c>
      <c r="E30" s="97">
        <v>0.74177665836047368</v>
      </c>
      <c r="F30" s="97">
        <v>0.60531275630835391</v>
      </c>
      <c r="G30" s="97">
        <v>0.60126471958622585</v>
      </c>
      <c r="H30" s="97">
        <v>0.59599549114331718</v>
      </c>
      <c r="I30" s="97">
        <v>0.42245699203916331</v>
      </c>
      <c r="J30" s="97">
        <v>0.6172251471043666</v>
      </c>
      <c r="K30" s="97">
        <v>0.52036933173808264</v>
      </c>
      <c r="L30" s="97">
        <v>0.64528403413021751</v>
      </c>
      <c r="M30" s="91">
        <f>IFERROR(M24/M8,0)</f>
        <v>0.66999935130226074</v>
      </c>
      <c r="N30" s="91">
        <f t="shared" si="27"/>
        <v>0.66998946430018635</v>
      </c>
      <c r="O30" s="91">
        <f t="shared" si="27"/>
        <v>0.67000475998681852</v>
      </c>
      <c r="P30" s="91"/>
      <c r="Q30" s="91">
        <f>IFERROR(Q24/Q8,0)</f>
        <v>0.6335815996689782</v>
      </c>
      <c r="R30" s="503"/>
      <c r="S30" s="91">
        <f t="shared" si="28"/>
        <v>0.6</v>
      </c>
      <c r="T30" s="91">
        <f t="shared" si="28"/>
        <v>0.60000000000000009</v>
      </c>
      <c r="U30" s="91">
        <f t="shared" si="28"/>
        <v>0.6</v>
      </c>
      <c r="V30" s="91">
        <f t="shared" si="28"/>
        <v>0.6</v>
      </c>
      <c r="W30" s="91">
        <f t="shared" si="28"/>
        <v>0.59999999999999987</v>
      </c>
      <c r="X30" s="91">
        <f t="shared" si="28"/>
        <v>0.6</v>
      </c>
      <c r="Y30" s="91">
        <f t="shared" si="28"/>
        <v>0.6</v>
      </c>
      <c r="Z30" s="91">
        <f t="shared" si="28"/>
        <v>0.6</v>
      </c>
      <c r="AA30" s="91">
        <f t="shared" si="28"/>
        <v>0.6</v>
      </c>
      <c r="AB30" s="91">
        <f t="shared" si="28"/>
        <v>0.6</v>
      </c>
      <c r="AC30" s="91">
        <f t="shared" si="28"/>
        <v>0.6</v>
      </c>
      <c r="AD30" s="91">
        <f t="shared" si="28"/>
        <v>0.6</v>
      </c>
      <c r="AE30" s="91"/>
      <c r="AF30" s="91">
        <f>IFERROR(AF24/AF8,0)</f>
        <v>0.6</v>
      </c>
      <c r="AG30" s="89"/>
      <c r="AH30" s="91">
        <f t="shared" si="29"/>
        <v>0.6</v>
      </c>
      <c r="AI30" s="91">
        <f t="shared" si="29"/>
        <v>0.6</v>
      </c>
      <c r="AJ30" s="91">
        <f t="shared" si="29"/>
        <v>0.6</v>
      </c>
      <c r="AK30" s="91">
        <f t="shared" si="29"/>
        <v>0.60000000000000009</v>
      </c>
      <c r="AL30" s="91">
        <f t="shared" si="29"/>
        <v>0.6</v>
      </c>
      <c r="AM30" s="91">
        <f t="shared" si="29"/>
        <v>0.6</v>
      </c>
      <c r="AN30" s="91">
        <f t="shared" si="29"/>
        <v>0.6</v>
      </c>
      <c r="AO30" s="91">
        <f t="shared" si="29"/>
        <v>0.6</v>
      </c>
      <c r="AP30" s="91">
        <f t="shared" si="29"/>
        <v>0.6</v>
      </c>
      <c r="AQ30" s="91">
        <f t="shared" si="29"/>
        <v>0.6</v>
      </c>
      <c r="AR30" s="91">
        <f t="shared" si="29"/>
        <v>0.6</v>
      </c>
      <c r="AS30" s="91">
        <f t="shared" si="29"/>
        <v>0.6</v>
      </c>
      <c r="AT30" s="91"/>
      <c r="AU30" s="91">
        <f>IFERROR(AU24/AU8,0)</f>
        <v>0.6</v>
      </c>
      <c r="AV30" s="89"/>
    </row>
    <row r="31" spans="1:48" hidden="1" outlineLevel="1">
      <c r="B31" s="67" t="s">
        <v>101</v>
      </c>
      <c r="C31" s="52"/>
      <c r="D31" s="97">
        <v>0</v>
      </c>
      <c r="E31" s="97">
        <v>0</v>
      </c>
      <c r="F31" s="97">
        <v>0</v>
      </c>
      <c r="G31" s="97">
        <v>0</v>
      </c>
      <c r="H31" s="97">
        <v>0</v>
      </c>
      <c r="I31" s="97">
        <v>0</v>
      </c>
      <c r="J31" s="97">
        <v>0</v>
      </c>
      <c r="K31" s="97">
        <v>0</v>
      </c>
      <c r="L31" s="97">
        <v>0</v>
      </c>
      <c r="M31" s="91">
        <f t="shared" si="27"/>
        <v>0</v>
      </c>
      <c r="N31" s="91">
        <f t="shared" si="27"/>
        <v>0</v>
      </c>
      <c r="O31" s="91">
        <f t="shared" si="27"/>
        <v>0</v>
      </c>
      <c r="P31" s="91"/>
      <c r="Q31" s="91">
        <f>IFERROR(Q25/Q9,0)</f>
        <v>0</v>
      </c>
      <c r="R31" s="503"/>
      <c r="S31" s="91">
        <f t="shared" ca="1" si="28"/>
        <v>0</v>
      </c>
      <c r="T31" s="91">
        <f t="shared" ca="1" si="28"/>
        <v>0</v>
      </c>
      <c r="U31" s="91">
        <f t="shared" ca="1" si="28"/>
        <v>0</v>
      </c>
      <c r="V31" s="91">
        <f t="shared" ca="1" si="28"/>
        <v>0</v>
      </c>
      <c r="W31" s="91">
        <f t="shared" ca="1" si="28"/>
        <v>0</v>
      </c>
      <c r="X31" s="91">
        <f t="shared" ca="1" si="28"/>
        <v>0</v>
      </c>
      <c r="Y31" s="91">
        <f t="shared" ca="1" si="28"/>
        <v>0</v>
      </c>
      <c r="Z31" s="91">
        <f t="shared" ca="1" si="28"/>
        <v>0</v>
      </c>
      <c r="AA31" s="91">
        <f t="shared" ca="1" si="28"/>
        <v>0</v>
      </c>
      <c r="AB31" s="91">
        <f t="shared" ca="1" si="28"/>
        <v>0</v>
      </c>
      <c r="AC31" s="91">
        <f t="shared" ca="1" si="28"/>
        <v>0</v>
      </c>
      <c r="AD31" s="91">
        <f t="shared" ca="1" si="28"/>
        <v>0</v>
      </c>
      <c r="AE31" s="91"/>
      <c r="AF31" s="91">
        <f ca="1">IFERROR(AF25/AF9,0)</f>
        <v>0</v>
      </c>
      <c r="AG31" s="89"/>
      <c r="AH31" s="91">
        <f t="shared" ca="1" si="29"/>
        <v>0</v>
      </c>
      <c r="AI31" s="91">
        <f t="shared" ca="1" si="29"/>
        <v>0</v>
      </c>
      <c r="AJ31" s="91">
        <f t="shared" ca="1" si="29"/>
        <v>0</v>
      </c>
      <c r="AK31" s="91">
        <f t="shared" ca="1" si="29"/>
        <v>0</v>
      </c>
      <c r="AL31" s="91">
        <f t="shared" ca="1" si="29"/>
        <v>0</v>
      </c>
      <c r="AM31" s="91">
        <f t="shared" ca="1" si="29"/>
        <v>0</v>
      </c>
      <c r="AN31" s="91">
        <f t="shared" ca="1" si="29"/>
        <v>0</v>
      </c>
      <c r="AO31" s="91">
        <f t="shared" ca="1" si="29"/>
        <v>0</v>
      </c>
      <c r="AP31" s="91">
        <f t="shared" ca="1" si="29"/>
        <v>0</v>
      </c>
      <c r="AQ31" s="91">
        <f t="shared" ca="1" si="29"/>
        <v>0</v>
      </c>
      <c r="AR31" s="91">
        <f t="shared" ca="1" si="29"/>
        <v>0</v>
      </c>
      <c r="AS31" s="91">
        <f t="shared" ca="1" si="29"/>
        <v>0</v>
      </c>
      <c r="AT31" s="91"/>
      <c r="AU31" s="91">
        <f ca="1">IFERROR(AU25/AU9,0)</f>
        <v>0</v>
      </c>
      <c r="AV31" s="89"/>
    </row>
    <row r="32" spans="1:48" hidden="1" outlineLevel="1">
      <c r="B32" s="67" t="s">
        <v>102</v>
      </c>
      <c r="C32" s="52"/>
      <c r="D32" s="97">
        <v>0</v>
      </c>
      <c r="E32" s="97">
        <v>0</v>
      </c>
      <c r="F32" s="97">
        <v>0</v>
      </c>
      <c r="G32" s="97">
        <v>0</v>
      </c>
      <c r="H32" s="97">
        <v>0</v>
      </c>
      <c r="I32" s="97">
        <v>0</v>
      </c>
      <c r="J32" s="97">
        <v>0</v>
      </c>
      <c r="K32" s="97">
        <v>0</v>
      </c>
      <c r="L32" s="97">
        <v>0</v>
      </c>
      <c r="M32" s="91">
        <f t="shared" si="27"/>
        <v>0</v>
      </c>
      <c r="N32" s="91">
        <f t="shared" si="27"/>
        <v>0</v>
      </c>
      <c r="O32" s="91">
        <f t="shared" si="27"/>
        <v>0</v>
      </c>
      <c r="P32" s="91"/>
      <c r="Q32" s="91">
        <f>IFERROR(Q26/Q10,0)</f>
        <v>0</v>
      </c>
      <c r="R32" s="503"/>
      <c r="S32" s="91">
        <f t="shared" si="28"/>
        <v>0</v>
      </c>
      <c r="T32" s="91">
        <f t="shared" si="28"/>
        <v>0</v>
      </c>
      <c r="U32" s="91">
        <f t="shared" si="28"/>
        <v>0</v>
      </c>
      <c r="V32" s="91">
        <f t="shared" si="28"/>
        <v>0</v>
      </c>
      <c r="W32" s="91">
        <f t="shared" si="28"/>
        <v>0</v>
      </c>
      <c r="X32" s="91">
        <f t="shared" si="28"/>
        <v>0</v>
      </c>
      <c r="Y32" s="91">
        <f t="shared" si="28"/>
        <v>0</v>
      </c>
      <c r="Z32" s="91">
        <f t="shared" si="28"/>
        <v>0</v>
      </c>
      <c r="AA32" s="91">
        <f t="shared" si="28"/>
        <v>0</v>
      </c>
      <c r="AB32" s="91">
        <f t="shared" si="28"/>
        <v>0</v>
      </c>
      <c r="AC32" s="91">
        <f t="shared" si="28"/>
        <v>0</v>
      </c>
      <c r="AD32" s="91">
        <f t="shared" si="28"/>
        <v>0</v>
      </c>
      <c r="AE32" s="91"/>
      <c r="AF32" s="91">
        <f>IFERROR(AF26/AF10,0)</f>
        <v>0</v>
      </c>
      <c r="AG32" s="89"/>
      <c r="AH32" s="91">
        <f t="shared" si="29"/>
        <v>0</v>
      </c>
      <c r="AI32" s="91">
        <f t="shared" si="29"/>
        <v>0</v>
      </c>
      <c r="AJ32" s="91">
        <f t="shared" si="29"/>
        <v>0</v>
      </c>
      <c r="AK32" s="91">
        <f t="shared" si="29"/>
        <v>0</v>
      </c>
      <c r="AL32" s="91">
        <f t="shared" si="29"/>
        <v>0</v>
      </c>
      <c r="AM32" s="91">
        <f t="shared" si="29"/>
        <v>0</v>
      </c>
      <c r="AN32" s="91">
        <f t="shared" si="29"/>
        <v>0</v>
      </c>
      <c r="AO32" s="91">
        <f t="shared" si="29"/>
        <v>0</v>
      </c>
      <c r="AP32" s="91">
        <f t="shared" si="29"/>
        <v>0</v>
      </c>
      <c r="AQ32" s="91">
        <f t="shared" si="29"/>
        <v>0</v>
      </c>
      <c r="AR32" s="91">
        <f t="shared" si="29"/>
        <v>0</v>
      </c>
      <c r="AS32" s="91">
        <f t="shared" si="29"/>
        <v>0</v>
      </c>
      <c r="AT32" s="91"/>
      <c r="AU32" s="91">
        <f>IFERROR(AU26/AU10,0)</f>
        <v>0</v>
      </c>
      <c r="AV32" s="89"/>
    </row>
    <row r="33" spans="1:48" collapsed="1">
      <c r="B33" s="72" t="s">
        <v>103</v>
      </c>
      <c r="C33" s="73"/>
      <c r="D33" s="97">
        <v>0.65801209485203205</v>
      </c>
      <c r="E33" s="97">
        <v>0.75300715989712552</v>
      </c>
      <c r="F33" s="97">
        <v>0.74407908072054352</v>
      </c>
      <c r="G33" s="97">
        <v>0.77797348636618258</v>
      </c>
      <c r="H33" s="97">
        <v>0.79251777932251422</v>
      </c>
      <c r="I33" s="97">
        <v>0.72364407727134084</v>
      </c>
      <c r="J33" s="97">
        <v>0.71120463845577064</v>
      </c>
      <c r="K33" s="97">
        <v>0.78551353022657755</v>
      </c>
      <c r="L33" s="97">
        <v>0.71353851289456116</v>
      </c>
      <c r="M33" s="91">
        <f t="shared" ref="M33:O33" si="30">IFERROR(M27/M12,0)</f>
        <v>0.72350249028822711</v>
      </c>
      <c r="N33" s="91">
        <f t="shared" si="30"/>
        <v>0.75073862325627938</v>
      </c>
      <c r="O33" s="91">
        <f t="shared" si="30"/>
        <v>0.74652010557900805</v>
      </c>
      <c r="P33" s="91"/>
      <c r="Q33" s="91">
        <f>IFERROR(Q27/Q12,0)</f>
        <v>0.73087277417632335</v>
      </c>
      <c r="R33" s="503"/>
      <c r="S33" s="91">
        <f t="shared" ref="S33:AD33" ca="1" si="31">IFERROR(S27/S12,0)</f>
        <v>0.7409046017894646</v>
      </c>
      <c r="T33" s="91">
        <f t="shared" ca="1" si="31"/>
        <v>0.74515359544308957</v>
      </c>
      <c r="U33" s="91">
        <f t="shared" ca="1" si="31"/>
        <v>0.74235829083315541</v>
      </c>
      <c r="V33" s="91">
        <f t="shared" ca="1" si="31"/>
        <v>0.72740692249062888</v>
      </c>
      <c r="W33" s="91">
        <f t="shared" ca="1" si="31"/>
        <v>0.73084274589279574</v>
      </c>
      <c r="X33" s="91">
        <f t="shared" ca="1" si="31"/>
        <v>0.74914184380639304</v>
      </c>
      <c r="Y33" s="91">
        <f t="shared" ca="1" si="31"/>
        <v>0.73578478963582605</v>
      </c>
      <c r="Z33" s="91">
        <f t="shared" ca="1" si="31"/>
        <v>0.73434390233352609</v>
      </c>
      <c r="AA33" s="91">
        <f t="shared" ca="1" si="31"/>
        <v>0.74759439697356211</v>
      </c>
      <c r="AB33" s="91">
        <f t="shared" ca="1" si="31"/>
        <v>0.73973031528486477</v>
      </c>
      <c r="AC33" s="91">
        <f t="shared" ca="1" si="31"/>
        <v>0.73621701119732341</v>
      </c>
      <c r="AD33" s="91">
        <f t="shared" ca="1" si="31"/>
        <v>0.72817704091261282</v>
      </c>
      <c r="AE33" s="91"/>
      <c r="AF33" s="91">
        <f ca="1">IFERROR(AF27/AF12,0)</f>
        <v>0.74088121999432677</v>
      </c>
      <c r="AG33" s="89"/>
      <c r="AH33" s="91">
        <f t="shared" ref="AH33:AS33" ca="1" si="32">IFERROR(AH27/AH12,0)</f>
        <v>0.74053954940429778</v>
      </c>
      <c r="AI33" s="91">
        <f t="shared" ca="1" si="32"/>
        <v>0.74725547851465146</v>
      </c>
      <c r="AJ33" s="91">
        <f t="shared" ca="1" si="32"/>
        <v>0.74305234996934877</v>
      </c>
      <c r="AK33" s="91">
        <f t="shared" ca="1" si="32"/>
        <v>0.72816581962200422</v>
      </c>
      <c r="AL33" s="91">
        <f t="shared" ca="1" si="32"/>
        <v>0.730136152321609</v>
      </c>
      <c r="AM33" s="91">
        <f t="shared" ca="1" si="32"/>
        <v>0.74976912744252999</v>
      </c>
      <c r="AN33" s="91">
        <f t="shared" ca="1" si="32"/>
        <v>0.73303812880771124</v>
      </c>
      <c r="AO33" s="91">
        <f t="shared" ca="1" si="32"/>
        <v>0.732438192660536</v>
      </c>
      <c r="AP33" s="91">
        <f t="shared" ca="1" si="32"/>
        <v>0.74783512126995166</v>
      </c>
      <c r="AQ33" s="91">
        <f t="shared" ca="1" si="32"/>
        <v>0.7402330588145104</v>
      </c>
      <c r="AR33" s="91">
        <f t="shared" ca="1" si="32"/>
        <v>0.73366066192306034</v>
      </c>
      <c r="AS33" s="91">
        <f t="shared" ca="1" si="32"/>
        <v>0.72702679446161322</v>
      </c>
      <c r="AT33" s="91"/>
      <c r="AU33" s="91">
        <f ca="1">IFERROR(AU27/AU12,0)</f>
        <v>0.74116558632588025</v>
      </c>
      <c r="AV33" s="89"/>
    </row>
    <row r="34" spans="1:48">
      <c r="D34" s="71"/>
      <c r="E34" s="71"/>
      <c r="F34" s="71"/>
      <c r="G34" s="71"/>
      <c r="H34" s="71"/>
      <c r="I34" s="71"/>
      <c r="J34" s="71"/>
      <c r="K34" s="71"/>
      <c r="L34" s="71"/>
      <c r="R34" s="503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89"/>
      <c r="AH34" s="86"/>
      <c r="AI34" s="86"/>
      <c r="AJ34" s="86"/>
      <c r="AK34" s="86"/>
      <c r="AL34" s="86"/>
      <c r="AV34" s="89"/>
    </row>
    <row r="35" spans="1:48" hidden="1" outlineLevel="1">
      <c r="B35" s="58" t="s">
        <v>104</v>
      </c>
      <c r="D35" s="74"/>
      <c r="E35" s="74"/>
      <c r="F35" s="74"/>
      <c r="G35" s="74"/>
      <c r="H35" s="74"/>
      <c r="I35" s="74"/>
      <c r="J35" s="74"/>
      <c r="K35" s="74"/>
      <c r="L35" s="74"/>
      <c r="R35" s="503"/>
      <c r="S35" s="87"/>
      <c r="T35" s="87"/>
      <c r="U35" s="87"/>
      <c r="V35" s="87"/>
      <c r="W35" s="87"/>
      <c r="AG35" s="89"/>
      <c r="AH35" s="87"/>
      <c r="AI35" s="87"/>
      <c r="AJ35" s="87"/>
      <c r="AK35" s="87"/>
      <c r="AL35" s="87"/>
      <c r="AV35" s="89"/>
    </row>
    <row r="36" spans="1:48" hidden="1" outlineLevel="1">
      <c r="D36" s="53"/>
      <c r="E36" s="53"/>
      <c r="F36" s="53"/>
      <c r="G36" s="53"/>
      <c r="H36" s="53"/>
      <c r="I36" s="53"/>
      <c r="J36" s="53"/>
      <c r="K36" s="53"/>
      <c r="L36" s="53"/>
      <c r="R36" s="503"/>
      <c r="AG36" s="89"/>
      <c r="AV36" s="89"/>
    </row>
    <row r="37" spans="1:48" hidden="1" outlineLevel="1">
      <c r="B37" s="51" t="s">
        <v>104</v>
      </c>
      <c r="D37" s="59" t="s">
        <v>184</v>
      </c>
      <c r="E37" s="59" t="s">
        <v>184</v>
      </c>
      <c r="F37" s="59" t="s">
        <v>184</v>
      </c>
      <c r="G37" s="59" t="s">
        <v>184</v>
      </c>
      <c r="H37" s="59" t="s">
        <v>184</v>
      </c>
      <c r="I37" s="59" t="s">
        <v>184</v>
      </c>
      <c r="J37" s="59" t="s">
        <v>184</v>
      </c>
      <c r="K37" s="59" t="s">
        <v>184</v>
      </c>
      <c r="L37" s="59" t="s">
        <v>184</v>
      </c>
      <c r="M37" s="60"/>
      <c r="N37" s="60"/>
      <c r="O37" s="60"/>
      <c r="P37" s="60"/>
      <c r="Q37" s="61">
        <f>SUM(D37:O37)</f>
        <v>0</v>
      </c>
      <c r="R37" s="504"/>
      <c r="S37" s="60">
        <f>'HU P&amp;L'!S37+'SK P&amp;L'!S37+'CZ P&amp;L'!S36+'RO P&amp;L'!S37</f>
        <v>0</v>
      </c>
      <c r="T37" s="60">
        <f>'HU P&amp;L'!T37+'SK P&amp;L'!T37+'CZ P&amp;L'!T36+'RO P&amp;L'!T37</f>
        <v>0</v>
      </c>
      <c r="U37" s="60">
        <f>'HU P&amp;L'!U37+'SK P&amp;L'!U37+'CZ P&amp;L'!U36+'RO P&amp;L'!U37</f>
        <v>0</v>
      </c>
      <c r="V37" s="60">
        <f>'HU P&amp;L'!V37+'SK P&amp;L'!V37+'CZ P&amp;L'!V36+'RO P&amp;L'!V37</f>
        <v>0</v>
      </c>
      <c r="W37" s="60">
        <f>'HU P&amp;L'!W37+'SK P&amp;L'!W37+'CZ P&amp;L'!W36+'RO P&amp;L'!W37</f>
        <v>0</v>
      </c>
      <c r="X37" s="60">
        <f>'HU P&amp;L'!X37+'SK P&amp;L'!X37+'CZ P&amp;L'!X36+'RO P&amp;L'!X37</f>
        <v>0</v>
      </c>
      <c r="Y37" s="60">
        <f>'HU P&amp;L'!Y37+'SK P&amp;L'!Y37+'CZ P&amp;L'!Y36+'RO P&amp;L'!Y37</f>
        <v>0</v>
      </c>
      <c r="Z37" s="60">
        <f>'HU P&amp;L'!Z37+'SK P&amp;L'!Z37+'CZ P&amp;L'!Z36+'RO P&amp;L'!Z37</f>
        <v>0</v>
      </c>
      <c r="AA37" s="60">
        <f>'HU P&amp;L'!AA37+'SK P&amp;L'!AA37+'CZ P&amp;L'!AA36+'RO P&amp;L'!AA37</f>
        <v>0</v>
      </c>
      <c r="AB37" s="60">
        <f>'HU P&amp;L'!AB37+'SK P&amp;L'!AB37+'CZ P&amp;L'!AB36+'RO P&amp;L'!AB37</f>
        <v>0</v>
      </c>
      <c r="AC37" s="60">
        <f>'HU P&amp;L'!AC37+'SK P&amp;L'!AC37+'CZ P&amp;L'!AC36+'RO P&amp;L'!AC37</f>
        <v>0</v>
      </c>
      <c r="AD37" s="60">
        <f>'HU P&amp;L'!AD37+'SK P&amp;L'!AD37+'CZ P&amp;L'!AD36+'RO P&amp;L'!AD37</f>
        <v>0</v>
      </c>
      <c r="AE37" s="60"/>
      <c r="AF37" s="61">
        <f>SUM(S37:AD37)</f>
        <v>0</v>
      </c>
      <c r="AG37" s="89"/>
      <c r="AH37" s="60">
        <f>'HU P&amp;L'!AH37+'SK P&amp;L'!AH37+'CZ P&amp;L'!AH36+'RO P&amp;L'!AH37</f>
        <v>0</v>
      </c>
      <c r="AI37" s="60">
        <f>'HU P&amp;L'!AI37+'SK P&amp;L'!AI37+'CZ P&amp;L'!AI36+'RO P&amp;L'!AI37</f>
        <v>0</v>
      </c>
      <c r="AJ37" s="60">
        <f>'HU P&amp;L'!AJ37+'SK P&amp;L'!AJ37+'CZ P&amp;L'!AJ36+'RO P&amp;L'!AJ37</f>
        <v>0</v>
      </c>
      <c r="AK37" s="60">
        <f>'HU P&amp;L'!AK37+'SK P&amp;L'!AK37+'CZ P&amp;L'!AK36+'RO P&amp;L'!AK37</f>
        <v>0</v>
      </c>
      <c r="AL37" s="60">
        <f>'HU P&amp;L'!AL37+'SK P&amp;L'!AL37+'CZ P&amp;L'!AL36+'RO P&amp;L'!AL37</f>
        <v>0</v>
      </c>
      <c r="AM37" s="60">
        <f>'HU P&amp;L'!AM37+'SK P&amp;L'!AM37+'CZ P&amp;L'!AM36+'RO P&amp;L'!AM37</f>
        <v>0</v>
      </c>
      <c r="AN37" s="60">
        <f>'HU P&amp;L'!AN37+'SK P&amp;L'!AN37+'CZ P&amp;L'!AN36+'RO P&amp;L'!AN37</f>
        <v>0</v>
      </c>
      <c r="AO37" s="60">
        <f>'HU P&amp;L'!AO37+'SK P&amp;L'!AO37+'CZ P&amp;L'!AO36+'RO P&amp;L'!AO37</f>
        <v>0</v>
      </c>
      <c r="AP37" s="60">
        <f>'HU P&amp;L'!AP37+'SK P&amp;L'!AP37+'CZ P&amp;L'!AP36+'RO P&amp;L'!AP37</f>
        <v>0</v>
      </c>
      <c r="AQ37" s="60">
        <f>'HU P&amp;L'!AQ37+'SK P&amp;L'!AQ37+'CZ P&amp;L'!AQ36+'RO P&amp;L'!AQ37</f>
        <v>0</v>
      </c>
      <c r="AR37" s="60">
        <f>'HU P&amp;L'!AR37+'SK P&amp;L'!AR37+'CZ P&amp;L'!AR36+'RO P&amp;L'!AR37</f>
        <v>0</v>
      </c>
      <c r="AS37" s="60">
        <f>'HU P&amp;L'!AS37+'SK P&amp;L'!AS37+'CZ P&amp;L'!AS36+'RO P&amp;L'!AS37</f>
        <v>0</v>
      </c>
      <c r="AT37" s="60"/>
      <c r="AU37" s="61">
        <f>SUM(AH37:AS37)</f>
        <v>0</v>
      </c>
      <c r="AV37" s="89"/>
    </row>
    <row r="38" spans="1:48" hidden="1" outlineLevel="1">
      <c r="B38" s="51" t="s">
        <v>106</v>
      </c>
      <c r="C38" s="75">
        <f>SUMIFS(Fulfilment!E:E,Fulfilment!A:A,"IT",Fulfilment!B:B,"DTC")</f>
        <v>-0.19331097168536487</v>
      </c>
      <c r="D38" s="59">
        <v>-17903</v>
      </c>
      <c r="E38" s="59">
        <v>-69597</v>
      </c>
      <c r="F38" s="59">
        <v>-76643</v>
      </c>
      <c r="G38" s="59">
        <v>-20861</v>
      </c>
      <c r="H38" s="59">
        <v>-21722</v>
      </c>
      <c r="I38" s="59">
        <v>-92516</v>
      </c>
      <c r="J38" s="59">
        <v>-92533</v>
      </c>
      <c r="K38" s="59">
        <v>-23854</v>
      </c>
      <c r="L38" s="59">
        <v>-170541</v>
      </c>
      <c r="M38" s="60">
        <v>-166641</v>
      </c>
      <c r="N38" s="60">
        <v>-51300</v>
      </c>
      <c r="O38" s="60">
        <v>-29309</v>
      </c>
      <c r="P38" s="60"/>
      <c r="Q38" s="61">
        <f>SUM(D38:O38)</f>
        <v>-833420</v>
      </c>
      <c r="R38" s="504"/>
      <c r="S38" s="60">
        <f>$C$38*S7</f>
        <v>-52064.994367171304</v>
      </c>
      <c r="T38" s="60">
        <f t="shared" ref="T38:AD38" si="33">$C$38*T7</f>
        <v>-125344.01427755169</v>
      </c>
      <c r="U38" s="60">
        <f t="shared" si="33"/>
        <v>-105821.88358084837</v>
      </c>
      <c r="V38" s="60">
        <f t="shared" si="33"/>
        <v>-50282.624289626219</v>
      </c>
      <c r="W38" s="60">
        <f t="shared" si="33"/>
        <v>-49658.682304097849</v>
      </c>
      <c r="X38" s="60">
        <f t="shared" si="33"/>
        <v>-162790.49037633438</v>
      </c>
      <c r="Y38" s="60">
        <f t="shared" si="33"/>
        <v>-58801.928170040446</v>
      </c>
      <c r="Z38" s="60">
        <f t="shared" si="33"/>
        <v>-54818.252016346618</v>
      </c>
      <c r="AA38" s="60">
        <f t="shared" si="33"/>
        <v>-204930.98605649557</v>
      </c>
      <c r="AB38" s="60">
        <f t="shared" si="33"/>
        <v>-186034.2318139938</v>
      </c>
      <c r="AC38" s="60">
        <f t="shared" si="33"/>
        <v>-56618.021116001612</v>
      </c>
      <c r="AD38" s="60">
        <f t="shared" si="33"/>
        <v>-57110.016688880685</v>
      </c>
      <c r="AE38" s="60"/>
      <c r="AF38" s="61">
        <f>SUM(S38:AD38)</f>
        <v>-1164276.1250573886</v>
      </c>
      <c r="AG38" s="89"/>
      <c r="AH38" s="60">
        <f t="shared" ref="AH38:AS38" si="34">$C$38*AH7</f>
        <v>-53503.763562370819</v>
      </c>
      <c r="AI38" s="60">
        <f t="shared" si="34"/>
        <v>-155537.21518726391</v>
      </c>
      <c r="AJ38" s="60">
        <f t="shared" si="34"/>
        <v>-116227.31064446083</v>
      </c>
      <c r="AK38" s="60">
        <f t="shared" si="34"/>
        <v>-59280.515534752529</v>
      </c>
      <c r="AL38" s="60">
        <f t="shared" si="34"/>
        <v>-57709.003003996062</v>
      </c>
      <c r="AM38" s="60">
        <f t="shared" si="34"/>
        <v>-205944.10732780228</v>
      </c>
      <c r="AN38" s="60">
        <f t="shared" si="34"/>
        <v>-60339.838032084263</v>
      </c>
      <c r="AO38" s="60">
        <f t="shared" si="34"/>
        <v>-60621.940132272415</v>
      </c>
      <c r="AP38" s="60">
        <f t="shared" si="34"/>
        <v>-239527.03354007137</v>
      </c>
      <c r="AQ38" s="60">
        <f t="shared" si="34"/>
        <v>-209664.60096799582</v>
      </c>
      <c r="AR38" s="60">
        <f t="shared" si="34"/>
        <v>-58851.863087051242</v>
      </c>
      <c r="AS38" s="60">
        <f t="shared" si="34"/>
        <v>-63609.926205650452</v>
      </c>
      <c r="AT38" s="60"/>
      <c r="AU38" s="61">
        <f>SUM(AH38:AS38)</f>
        <v>-1340817.117225772</v>
      </c>
      <c r="AV38" s="89"/>
    </row>
    <row r="39" spans="1:48" hidden="1" outlineLevel="1">
      <c r="B39" s="51" t="s">
        <v>107</v>
      </c>
      <c r="C39" s="75">
        <v>-0.06</v>
      </c>
      <c r="D39" s="59">
        <v>-1326</v>
      </c>
      <c r="E39" s="59">
        <v>-1739</v>
      </c>
      <c r="F39" s="59">
        <v>-1285</v>
      </c>
      <c r="G39" s="59">
        <v>-833</v>
      </c>
      <c r="H39" s="59">
        <v>-677</v>
      </c>
      <c r="I39" s="59">
        <v>-488</v>
      </c>
      <c r="J39" s="59">
        <v>-3892</v>
      </c>
      <c r="K39" s="59">
        <v>-5202</v>
      </c>
      <c r="L39" s="59">
        <v>-4195</v>
      </c>
      <c r="M39" s="60">
        <v>-9866</v>
      </c>
      <c r="N39" s="60">
        <v>-2961</v>
      </c>
      <c r="O39" s="60">
        <v>-4370</v>
      </c>
      <c r="P39" s="60"/>
      <c r="Q39" s="61">
        <f>SUM(D39:O39)</f>
        <v>-36834</v>
      </c>
      <c r="R39" s="504"/>
      <c r="S39" s="60">
        <f t="shared" ref="S39:AD39" si="35">$C$39*S8</f>
        <v>-2190</v>
      </c>
      <c r="T39" s="60">
        <f t="shared" si="35"/>
        <v>-3979.1639999999993</v>
      </c>
      <c r="U39" s="60">
        <f t="shared" si="35"/>
        <v>-4070.3160000000003</v>
      </c>
      <c r="V39" s="60">
        <f t="shared" si="35"/>
        <v>-3992.5009328885085</v>
      </c>
      <c r="W39" s="60">
        <f t="shared" si="35"/>
        <v>-3434.6849721453054</v>
      </c>
      <c r="X39" s="60">
        <f t="shared" si="35"/>
        <v>-3678.581265660669</v>
      </c>
      <c r="Y39" s="60">
        <f t="shared" si="35"/>
        <v>-3254.7934715698998</v>
      </c>
      <c r="Z39" s="60">
        <f t="shared" si="35"/>
        <v>-3249.3206501730833</v>
      </c>
      <c r="AA39" s="60">
        <f t="shared" si="35"/>
        <v>-5346.2638105297319</v>
      </c>
      <c r="AB39" s="60">
        <f t="shared" si="35"/>
        <v>-8376.1407478327874</v>
      </c>
      <c r="AC39" s="60">
        <f t="shared" si="35"/>
        <v>-3068.2060151127071</v>
      </c>
      <c r="AD39" s="60">
        <f t="shared" si="35"/>
        <v>-4400.8579713049767</v>
      </c>
      <c r="AE39" s="60"/>
      <c r="AF39" s="61">
        <f>SUM(S39:AD39)</f>
        <v>-49040.829837217672</v>
      </c>
      <c r="AG39" s="89"/>
      <c r="AH39" s="60">
        <f t="shared" ref="AH39:AS39" si="36">$C$39*AH8</f>
        <v>-2299.5</v>
      </c>
      <c r="AI39" s="60">
        <f t="shared" si="36"/>
        <v>-4178.1221999999998</v>
      </c>
      <c r="AJ39" s="60">
        <f t="shared" si="36"/>
        <v>-4273.8317999999999</v>
      </c>
      <c r="AK39" s="60">
        <f t="shared" si="36"/>
        <v>-4570.1259795329343</v>
      </c>
      <c r="AL39" s="60">
        <f t="shared" si="36"/>
        <v>-4110.4192207525703</v>
      </c>
      <c r="AM39" s="60">
        <f t="shared" si="36"/>
        <v>-4366.5103289437029</v>
      </c>
      <c r="AN39" s="60">
        <f t="shared" si="36"/>
        <v>-3795.5331451483949</v>
      </c>
      <c r="AO39" s="60">
        <f t="shared" si="36"/>
        <v>-3915.7866826817381</v>
      </c>
      <c r="AP39" s="60">
        <f t="shared" si="36"/>
        <v>-6117.5770010562173</v>
      </c>
      <c r="AQ39" s="60">
        <f t="shared" si="36"/>
        <v>-9172.9477852244254</v>
      </c>
      <c r="AR39" s="60">
        <f t="shared" si="36"/>
        <v>-3599.6163158683426</v>
      </c>
      <c r="AS39" s="60">
        <f t="shared" si="36"/>
        <v>-5124.9008698702264</v>
      </c>
      <c r="AT39" s="60"/>
      <c r="AU39" s="61">
        <f>SUM(AH39:AS39)</f>
        <v>-55524.871329078545</v>
      </c>
      <c r="AV39" s="89"/>
    </row>
    <row r="40" spans="1:48" hidden="1" outlineLevel="1">
      <c r="B40" s="51" t="s">
        <v>108</v>
      </c>
      <c r="C40" s="75">
        <f>SUMIFS(Fulfilment!E:E,Fulfilment!A:A,"IT",Fulfilment!B:B,"Marketplace")</f>
        <v>-0.43369654447462291</v>
      </c>
      <c r="D40" s="59" t="s">
        <v>184</v>
      </c>
      <c r="E40" s="59" t="s">
        <v>184</v>
      </c>
      <c r="F40" s="59" t="s">
        <v>184</v>
      </c>
      <c r="G40" s="59" t="s">
        <v>184</v>
      </c>
      <c r="H40" s="59" t="s">
        <v>184</v>
      </c>
      <c r="I40" s="59" t="s">
        <v>184</v>
      </c>
      <c r="J40" s="59" t="s">
        <v>184</v>
      </c>
      <c r="K40" s="59" t="s">
        <v>184</v>
      </c>
      <c r="L40" s="59" t="s">
        <v>184</v>
      </c>
      <c r="M40" s="60"/>
      <c r="N40" s="60"/>
      <c r="O40" s="60"/>
      <c r="P40" s="60"/>
      <c r="Q40" s="61">
        <f>SUM(D40:O40)</f>
        <v>0</v>
      </c>
      <c r="R40" s="504"/>
      <c r="S40" s="60">
        <f t="shared" ref="S40:AD40" ca="1" si="37">$C$40*S9</f>
        <v>0</v>
      </c>
      <c r="T40" s="60">
        <f t="shared" ca="1" si="37"/>
        <v>0</v>
      </c>
      <c r="U40" s="60">
        <f t="shared" ca="1" si="37"/>
        <v>0</v>
      </c>
      <c r="V40" s="60">
        <f t="shared" ca="1" si="37"/>
        <v>0</v>
      </c>
      <c r="W40" s="60">
        <f t="shared" ca="1" si="37"/>
        <v>0</v>
      </c>
      <c r="X40" s="60">
        <f t="shared" ca="1" si="37"/>
        <v>0</v>
      </c>
      <c r="Y40" s="60">
        <f t="shared" ca="1" si="37"/>
        <v>0</v>
      </c>
      <c r="Z40" s="60">
        <f t="shared" ca="1" si="37"/>
        <v>0</v>
      </c>
      <c r="AA40" s="60">
        <f t="shared" ca="1" si="37"/>
        <v>0</v>
      </c>
      <c r="AB40" s="60">
        <f t="shared" ca="1" si="37"/>
        <v>0</v>
      </c>
      <c r="AC40" s="60">
        <f t="shared" ca="1" si="37"/>
        <v>0</v>
      </c>
      <c r="AD40" s="60">
        <f t="shared" ca="1" si="37"/>
        <v>0</v>
      </c>
      <c r="AE40" s="60"/>
      <c r="AF40" s="61">
        <f ca="1">SUM(S40:AD40)</f>
        <v>0</v>
      </c>
      <c r="AG40" s="89"/>
      <c r="AH40" s="60">
        <f t="shared" ref="AH40:AS40" ca="1" si="38">$C$40*AH9</f>
        <v>0</v>
      </c>
      <c r="AI40" s="60">
        <f t="shared" ca="1" si="38"/>
        <v>0</v>
      </c>
      <c r="AJ40" s="60">
        <f t="shared" ca="1" si="38"/>
        <v>0</v>
      </c>
      <c r="AK40" s="60">
        <f t="shared" ca="1" si="38"/>
        <v>0</v>
      </c>
      <c r="AL40" s="60">
        <f t="shared" ca="1" si="38"/>
        <v>0</v>
      </c>
      <c r="AM40" s="60">
        <f t="shared" ca="1" si="38"/>
        <v>0</v>
      </c>
      <c r="AN40" s="60">
        <f t="shared" ca="1" si="38"/>
        <v>0</v>
      </c>
      <c r="AO40" s="60">
        <f t="shared" ca="1" si="38"/>
        <v>0</v>
      </c>
      <c r="AP40" s="60">
        <f t="shared" ca="1" si="38"/>
        <v>0</v>
      </c>
      <c r="AQ40" s="60">
        <f t="shared" ca="1" si="38"/>
        <v>0</v>
      </c>
      <c r="AR40" s="60">
        <f t="shared" ca="1" si="38"/>
        <v>0</v>
      </c>
      <c r="AS40" s="60">
        <f t="shared" ca="1" si="38"/>
        <v>0</v>
      </c>
      <c r="AT40" s="60"/>
      <c r="AU40" s="61">
        <f ca="1">SUM(AH40:AS40)</f>
        <v>0</v>
      </c>
      <c r="AV40" s="89"/>
    </row>
    <row r="41" spans="1:48" hidden="1" outlineLevel="1">
      <c r="B41" s="51" t="s">
        <v>109</v>
      </c>
      <c r="C41" s="75">
        <f>SUMIFS(Fulfilment!E:E,Fulfilment!A:A,"IT",Fulfilment!B:B,"TikTok")</f>
        <v>0</v>
      </c>
      <c r="D41" s="59" t="s">
        <v>184</v>
      </c>
      <c r="E41" s="59" t="s">
        <v>184</v>
      </c>
      <c r="F41" s="59" t="s">
        <v>184</v>
      </c>
      <c r="G41" s="59" t="s">
        <v>184</v>
      </c>
      <c r="H41" s="59" t="s">
        <v>184</v>
      </c>
      <c r="I41" s="59" t="s">
        <v>184</v>
      </c>
      <c r="J41" s="59" t="s">
        <v>184</v>
      </c>
      <c r="K41" s="59" t="s">
        <v>184</v>
      </c>
      <c r="L41" s="59">
        <v>-6</v>
      </c>
      <c r="M41" s="60"/>
      <c r="N41" s="60"/>
      <c r="O41" s="60"/>
      <c r="P41" s="60"/>
      <c r="Q41" s="61">
        <f>SUM(D41:O41)</f>
        <v>-6</v>
      </c>
      <c r="R41" s="506"/>
      <c r="S41" s="60">
        <f t="shared" ref="S41:AD41" si="39">$C$41*S10</f>
        <v>0</v>
      </c>
      <c r="T41" s="60">
        <f t="shared" si="39"/>
        <v>0</v>
      </c>
      <c r="U41" s="60">
        <f t="shared" si="39"/>
        <v>0</v>
      </c>
      <c r="V41" s="60">
        <f t="shared" si="39"/>
        <v>0</v>
      </c>
      <c r="W41" s="60">
        <f t="shared" si="39"/>
        <v>0</v>
      </c>
      <c r="X41" s="60">
        <f t="shared" si="39"/>
        <v>0</v>
      </c>
      <c r="Y41" s="60">
        <f t="shared" si="39"/>
        <v>0</v>
      </c>
      <c r="Z41" s="60">
        <f t="shared" si="39"/>
        <v>0</v>
      </c>
      <c r="AA41" s="60">
        <f t="shared" si="39"/>
        <v>0</v>
      </c>
      <c r="AB41" s="60">
        <f t="shared" si="39"/>
        <v>0</v>
      </c>
      <c r="AC41" s="60">
        <f t="shared" si="39"/>
        <v>0</v>
      </c>
      <c r="AD41" s="60">
        <f t="shared" si="39"/>
        <v>0</v>
      </c>
      <c r="AE41" s="60"/>
      <c r="AF41" s="61">
        <f>SUM(S41:AD41)</f>
        <v>0</v>
      </c>
      <c r="AG41" s="89"/>
      <c r="AH41" s="60">
        <f t="shared" ref="AH41:AS41" si="40">$C$41*AH10</f>
        <v>0</v>
      </c>
      <c r="AI41" s="60">
        <f t="shared" si="40"/>
        <v>0</v>
      </c>
      <c r="AJ41" s="60">
        <f t="shared" si="40"/>
        <v>0</v>
      </c>
      <c r="AK41" s="60">
        <f t="shared" si="40"/>
        <v>0</v>
      </c>
      <c r="AL41" s="60">
        <f t="shared" si="40"/>
        <v>0</v>
      </c>
      <c r="AM41" s="60">
        <f t="shared" si="40"/>
        <v>0</v>
      </c>
      <c r="AN41" s="60">
        <f t="shared" si="40"/>
        <v>0</v>
      </c>
      <c r="AO41" s="60">
        <f t="shared" si="40"/>
        <v>0</v>
      </c>
      <c r="AP41" s="60">
        <f t="shared" si="40"/>
        <v>0</v>
      </c>
      <c r="AQ41" s="60">
        <f t="shared" si="40"/>
        <v>0</v>
      </c>
      <c r="AR41" s="60">
        <f t="shared" si="40"/>
        <v>0</v>
      </c>
      <c r="AS41" s="60">
        <f t="shared" si="40"/>
        <v>0</v>
      </c>
      <c r="AT41" s="60"/>
      <c r="AU41" s="61">
        <f>SUM(AH41:AS41)</f>
        <v>0</v>
      </c>
      <c r="AV41" s="89"/>
    </row>
    <row r="42" spans="1:48" hidden="1" outlineLevel="1">
      <c r="D42" s="53"/>
      <c r="E42" s="53"/>
      <c r="F42" s="53"/>
      <c r="G42" s="53"/>
      <c r="H42" s="53"/>
      <c r="I42" s="53"/>
      <c r="J42" s="53"/>
      <c r="K42" s="53"/>
      <c r="L42" s="53"/>
      <c r="R42" s="503"/>
      <c r="AG42" s="89"/>
      <c r="AV42" s="89"/>
    </row>
    <row r="43" spans="1:48" s="10" customFormat="1" collapsed="1">
      <c r="A43" s="52"/>
      <c r="B43" s="63" t="s">
        <v>110</v>
      </c>
      <c r="C43" s="52"/>
      <c r="D43" s="64">
        <f>SUM(D38:D42)</f>
        <v>-19229</v>
      </c>
      <c r="E43" s="64">
        <f t="shared" ref="E43:M43" si="41">SUM(E38:E42)</f>
        <v>-71336</v>
      </c>
      <c r="F43" s="64">
        <f t="shared" si="41"/>
        <v>-77928</v>
      </c>
      <c r="G43" s="64">
        <f t="shared" si="41"/>
        <v>-21694</v>
      </c>
      <c r="H43" s="64">
        <f t="shared" si="41"/>
        <v>-22399</v>
      </c>
      <c r="I43" s="64">
        <f t="shared" si="41"/>
        <v>-93004</v>
      </c>
      <c r="J43" s="64">
        <f>SUM(J37:J42)</f>
        <v>-96425</v>
      </c>
      <c r="K43" s="64">
        <f t="shared" si="41"/>
        <v>-29056</v>
      </c>
      <c r="L43" s="64">
        <f t="shared" si="41"/>
        <v>-174742</v>
      </c>
      <c r="M43" s="84">
        <f t="shared" si="41"/>
        <v>-176507</v>
      </c>
      <c r="N43" s="65">
        <f>SUM(N37:N42)</f>
        <v>-54261</v>
      </c>
      <c r="O43" s="65">
        <f>SUM(O37:O42)</f>
        <v>-33679</v>
      </c>
      <c r="P43" s="61"/>
      <c r="Q43" s="65">
        <f>SUM(D43:O43)</f>
        <v>-870260</v>
      </c>
      <c r="R43" s="505"/>
      <c r="S43" s="84">
        <f ca="1">SUM(S37:S42)</f>
        <v>-54254.994367171304</v>
      </c>
      <c r="T43" s="84">
        <f t="shared" ref="T43:Z43" ca="1" si="42">SUM(T37:T42)</f>
        <v>-129323.17827755169</v>
      </c>
      <c r="U43" s="84">
        <f t="shared" ca="1" si="42"/>
        <v>-109892.19958084838</v>
      </c>
      <c r="V43" s="84">
        <f t="shared" ca="1" si="42"/>
        <v>-54275.125222514725</v>
      </c>
      <c r="W43" s="84">
        <f t="shared" ca="1" si="42"/>
        <v>-53093.367276243152</v>
      </c>
      <c r="X43" s="65">
        <f t="shared" ca="1" si="42"/>
        <v>-166469.07164199505</v>
      </c>
      <c r="Y43" s="65">
        <f t="shared" ca="1" si="42"/>
        <v>-62056.721641610347</v>
      </c>
      <c r="Z43" s="65">
        <f t="shared" ca="1" si="42"/>
        <v>-58067.5726665197</v>
      </c>
      <c r="AA43" s="65">
        <f ca="1">SUM(AA37:AA42)</f>
        <v>-210277.2498670253</v>
      </c>
      <c r="AB43" s="65">
        <f ca="1">SUM(AB37:AB42)</f>
        <v>-194410.37256182657</v>
      </c>
      <c r="AC43" s="65">
        <f ca="1">SUM(AC37:AC42)</f>
        <v>-59686.227131114319</v>
      </c>
      <c r="AD43" s="65">
        <f ca="1">SUM(AD37:AD42)</f>
        <v>-61510.874660185662</v>
      </c>
      <c r="AE43" s="61"/>
      <c r="AF43" s="65">
        <f ca="1">SUM(S43:AD43)</f>
        <v>-1213316.9548946063</v>
      </c>
      <c r="AG43" s="89"/>
      <c r="AH43" s="84">
        <f ca="1">SUM(AH37:AH42)</f>
        <v>-55803.263562370819</v>
      </c>
      <c r="AI43" s="84">
        <f t="shared" ref="AI43:AO43" ca="1" si="43">SUM(AI37:AI42)</f>
        <v>-159715.33738726392</v>
      </c>
      <c r="AJ43" s="84">
        <f t="shared" ca="1" si="43"/>
        <v>-120501.14244446083</v>
      </c>
      <c r="AK43" s="84">
        <f t="shared" ca="1" si="43"/>
        <v>-63850.64151428546</v>
      </c>
      <c r="AL43" s="84">
        <f t="shared" ca="1" si="43"/>
        <v>-61819.422224748632</v>
      </c>
      <c r="AM43" s="65">
        <f t="shared" ca="1" si="43"/>
        <v>-210310.61765674598</v>
      </c>
      <c r="AN43" s="65">
        <f t="shared" ca="1" si="43"/>
        <v>-64135.371177232657</v>
      </c>
      <c r="AO43" s="65">
        <f t="shared" ca="1" si="43"/>
        <v>-64537.726814954156</v>
      </c>
      <c r="AP43" s="65">
        <f ca="1">SUM(AP37:AP42)</f>
        <v>-245644.61054112759</v>
      </c>
      <c r="AQ43" s="65">
        <f ca="1">SUM(AQ37:AQ42)</f>
        <v>-218837.54875322024</v>
      </c>
      <c r="AR43" s="65">
        <f ca="1">SUM(AR37:AR42)</f>
        <v>-62451.479402919584</v>
      </c>
      <c r="AS43" s="65">
        <f ca="1">SUM(AS37:AS42)</f>
        <v>-68734.827075520676</v>
      </c>
      <c r="AT43" s="61"/>
      <c r="AU43" s="65">
        <f ca="1">SUM(AH43:AS43)</f>
        <v>-1396341.9885548507</v>
      </c>
      <c r="AV43" s="89"/>
    </row>
    <row r="44" spans="1:48">
      <c r="D44" s="53"/>
      <c r="E44" s="53"/>
      <c r="F44" s="53"/>
      <c r="G44" s="53"/>
      <c r="H44" s="53"/>
      <c r="I44" s="53"/>
      <c r="J44" s="53"/>
      <c r="K44" s="53"/>
      <c r="L44" s="53"/>
      <c r="Q44" s="91">
        <f>-Q43/Q12</f>
        <v>0.15557962700141079</v>
      </c>
      <c r="R44" s="503"/>
      <c r="AF44" s="91">
        <f ca="1">-AF43/AF12</f>
        <v>0.177381327060396</v>
      </c>
      <c r="AG44" s="89"/>
      <c r="AU44" s="91">
        <f ca="1">-AU43/AU12</f>
        <v>0.1776182592602335</v>
      </c>
      <c r="AV44" s="89"/>
    </row>
    <row r="45" spans="1:48" hidden="1" outlineLevel="1">
      <c r="B45" s="67" t="s">
        <v>111</v>
      </c>
      <c r="C45" s="52"/>
      <c r="D45" s="68">
        <v>58654.66</v>
      </c>
      <c r="E45" s="68">
        <v>291261.84000000003</v>
      </c>
      <c r="F45" s="68">
        <v>247813.19</v>
      </c>
      <c r="G45" s="68">
        <v>75763.290000000008</v>
      </c>
      <c r="H45" s="68">
        <v>87594.329999999987</v>
      </c>
      <c r="I45" s="68">
        <v>322140.11</v>
      </c>
      <c r="J45" s="68">
        <v>304730.60000000009</v>
      </c>
      <c r="K45" s="68">
        <v>68641.430000000008</v>
      </c>
      <c r="L45" s="68">
        <v>514402</v>
      </c>
      <c r="M45" s="69">
        <f t="shared" ref="M45:O48" si="44">M23+M38</f>
        <v>574674</v>
      </c>
      <c r="N45" s="69">
        <f t="shared" si="44"/>
        <v>194008</v>
      </c>
      <c r="O45" s="69">
        <f t="shared" si="44"/>
        <v>107751</v>
      </c>
      <c r="P45" s="69"/>
      <c r="Q45" s="69">
        <f>Q23+Q38</f>
        <v>2847439</v>
      </c>
      <c r="R45" s="503"/>
      <c r="S45" s="85">
        <f t="shared" ref="S45:AD48" si="45">S23+S38</f>
        <v>152627.96937962412</v>
      </c>
      <c r="T45" s="85">
        <f t="shared" si="45"/>
        <v>367444.62581054377</v>
      </c>
      <c r="U45" s="85">
        <f t="shared" si="45"/>
        <v>310215.71025187417</v>
      </c>
      <c r="V45" s="85">
        <f t="shared" si="45"/>
        <v>147402.97072313257</v>
      </c>
      <c r="W45" s="85">
        <f t="shared" si="45"/>
        <v>145573.89152281039</v>
      </c>
      <c r="X45" s="69">
        <f t="shared" si="45"/>
        <v>477218.56657147023</v>
      </c>
      <c r="Y45" s="69">
        <f t="shared" si="45"/>
        <v>172377.21815367581</v>
      </c>
      <c r="Z45" s="69">
        <f t="shared" si="45"/>
        <v>160699.1144797091</v>
      </c>
      <c r="AA45" s="69">
        <f t="shared" si="45"/>
        <v>600752.97510238329</v>
      </c>
      <c r="AB45" s="69">
        <f t="shared" si="45"/>
        <v>545357.34387347824</v>
      </c>
      <c r="AC45" s="69">
        <f t="shared" si="45"/>
        <v>165975.11818183836</v>
      </c>
      <c r="AD45" s="69">
        <f t="shared" si="45"/>
        <v>167417.39789674114</v>
      </c>
      <c r="AE45" s="69"/>
      <c r="AF45" s="69">
        <f>AF23+AF38</f>
        <v>3413062.9019472809</v>
      </c>
      <c r="AG45" s="89"/>
      <c r="AH45" s="85">
        <f t="shared" ref="AH45:AS48" si="46">AH23+AH38</f>
        <v>156845.7057558278</v>
      </c>
      <c r="AI45" s="85">
        <f t="shared" si="46"/>
        <v>455955.66859337175</v>
      </c>
      <c r="AJ45" s="85">
        <f t="shared" si="46"/>
        <v>340719.10744898103</v>
      </c>
      <c r="AK45" s="85">
        <f t="shared" si="46"/>
        <v>173780.19185096695</v>
      </c>
      <c r="AL45" s="85">
        <f t="shared" si="46"/>
        <v>169173.31981843614</v>
      </c>
      <c r="AM45" s="69">
        <f t="shared" si="46"/>
        <v>603722.92918101745</v>
      </c>
      <c r="AN45" s="69">
        <f t="shared" si="46"/>
        <v>176885.58432533624</v>
      </c>
      <c r="AO45" s="69">
        <f t="shared" si="46"/>
        <v>177712.56358909653</v>
      </c>
      <c r="AP45" s="69">
        <f t="shared" si="46"/>
        <v>702170.91512445395</v>
      </c>
      <c r="AQ45" s="69">
        <f t="shared" si="46"/>
        <v>614629.5161555201</v>
      </c>
      <c r="AR45" s="69">
        <f t="shared" si="46"/>
        <v>172523.60182426166</v>
      </c>
      <c r="AS45" s="69">
        <f t="shared" si="46"/>
        <v>186471.81253279449</v>
      </c>
      <c r="AT45" s="69"/>
      <c r="AU45" s="69">
        <f>AU23+AU38</f>
        <v>3930590.9162000651</v>
      </c>
      <c r="AV45" s="89"/>
    </row>
    <row r="46" spans="1:48" hidden="1" outlineLevel="1">
      <c r="B46" s="67" t="s">
        <v>112</v>
      </c>
      <c r="C46" s="52"/>
      <c r="D46" s="68">
        <v>16229.270000000004</v>
      </c>
      <c r="E46" s="68">
        <v>74012.099999999991</v>
      </c>
      <c r="F46" s="68">
        <v>17342.830000000002</v>
      </c>
      <c r="G46" s="68">
        <v>20690.96</v>
      </c>
      <c r="H46" s="68">
        <v>8574.7900000000009</v>
      </c>
      <c r="I46" s="68">
        <v>11528.090000000002</v>
      </c>
      <c r="J46" s="68">
        <v>43940.78</v>
      </c>
      <c r="K46" s="68">
        <v>5245.0699999999979</v>
      </c>
      <c r="L46" s="68">
        <v>46172</v>
      </c>
      <c r="M46" s="69">
        <f t="shared" si="44"/>
        <v>72761</v>
      </c>
      <c r="N46" s="69">
        <f t="shared" si="44"/>
        <v>21840</v>
      </c>
      <c r="O46" s="69">
        <f t="shared" si="44"/>
        <v>32227</v>
      </c>
      <c r="P46" s="69"/>
      <c r="Q46" s="69">
        <f>Q24+Q39</f>
        <v>370469</v>
      </c>
      <c r="R46" s="503"/>
      <c r="S46" s="85">
        <f t="shared" si="45"/>
        <v>19710</v>
      </c>
      <c r="T46" s="85">
        <f t="shared" si="45"/>
        <v>35812.476000000002</v>
      </c>
      <c r="U46" s="85">
        <f t="shared" si="45"/>
        <v>36632.844000000005</v>
      </c>
      <c r="V46" s="85">
        <f t="shared" si="45"/>
        <v>35932.508395996578</v>
      </c>
      <c r="W46" s="85">
        <f t="shared" si="45"/>
        <v>30912.164749307747</v>
      </c>
      <c r="X46" s="69">
        <f t="shared" si="45"/>
        <v>33107.231390946021</v>
      </c>
      <c r="Y46" s="69">
        <f t="shared" si="45"/>
        <v>29293.141244129096</v>
      </c>
      <c r="Z46" s="69">
        <f t="shared" si="45"/>
        <v>29243.885851557752</v>
      </c>
      <c r="AA46" s="69">
        <f t="shared" si="45"/>
        <v>48116.374294767586</v>
      </c>
      <c r="AB46" s="69">
        <f t="shared" si="45"/>
        <v>75385.266730495074</v>
      </c>
      <c r="AC46" s="69">
        <f t="shared" si="45"/>
        <v>27613.854136014364</v>
      </c>
      <c r="AD46" s="69">
        <f t="shared" si="45"/>
        <v>39607.72174174479</v>
      </c>
      <c r="AE46" s="69"/>
      <c r="AF46" s="69">
        <f>AF24+AF39</f>
        <v>441367.46853495901</v>
      </c>
      <c r="AG46" s="89"/>
      <c r="AH46" s="85">
        <f t="shared" si="46"/>
        <v>20695.5</v>
      </c>
      <c r="AI46" s="85">
        <f t="shared" si="46"/>
        <v>37603.099799999996</v>
      </c>
      <c r="AJ46" s="85">
        <f t="shared" si="46"/>
        <v>38464.486199999999</v>
      </c>
      <c r="AK46" s="85">
        <f t="shared" si="46"/>
        <v>41131.133815796413</v>
      </c>
      <c r="AL46" s="85">
        <f t="shared" si="46"/>
        <v>36993.772986773132</v>
      </c>
      <c r="AM46" s="69">
        <f t="shared" si="46"/>
        <v>39298.592960493326</v>
      </c>
      <c r="AN46" s="69">
        <f t="shared" si="46"/>
        <v>34159.798306335557</v>
      </c>
      <c r="AO46" s="69">
        <f t="shared" si="46"/>
        <v>35242.080144135638</v>
      </c>
      <c r="AP46" s="69">
        <f t="shared" si="46"/>
        <v>55058.193009505958</v>
      </c>
      <c r="AQ46" s="69">
        <f t="shared" si="46"/>
        <v>82556.530067019819</v>
      </c>
      <c r="AR46" s="69">
        <f t="shared" si="46"/>
        <v>32396.546842815085</v>
      </c>
      <c r="AS46" s="69">
        <f t="shared" si="46"/>
        <v>46124.107828832042</v>
      </c>
      <c r="AT46" s="69"/>
      <c r="AU46" s="69">
        <f>AU24+AU39</f>
        <v>499723.84196170699</v>
      </c>
      <c r="AV46" s="89"/>
    </row>
    <row r="47" spans="1:48" hidden="1" outlineLevel="1">
      <c r="B47" s="67" t="s">
        <v>113</v>
      </c>
      <c r="C47" s="52"/>
      <c r="D47" s="68">
        <v>0</v>
      </c>
      <c r="E47" s="68">
        <v>0</v>
      </c>
      <c r="F47" s="68">
        <v>0</v>
      </c>
      <c r="G47" s="68">
        <v>0</v>
      </c>
      <c r="H47" s="68">
        <v>0</v>
      </c>
      <c r="I47" s="68">
        <v>0</v>
      </c>
      <c r="J47" s="68">
        <v>0</v>
      </c>
      <c r="K47" s="68">
        <v>0</v>
      </c>
      <c r="L47" s="68">
        <v>0</v>
      </c>
      <c r="M47" s="69">
        <f t="shared" si="44"/>
        <v>0</v>
      </c>
      <c r="N47" s="69">
        <f t="shared" si="44"/>
        <v>0</v>
      </c>
      <c r="O47" s="69">
        <f t="shared" si="44"/>
        <v>0</v>
      </c>
      <c r="P47" s="69"/>
      <c r="Q47" s="69">
        <f>Q25+Q40</f>
        <v>0</v>
      </c>
      <c r="R47" s="503"/>
      <c r="S47" s="85">
        <f t="shared" ca="1" si="45"/>
        <v>0</v>
      </c>
      <c r="T47" s="85">
        <f t="shared" ca="1" si="45"/>
        <v>0</v>
      </c>
      <c r="U47" s="85">
        <f t="shared" ca="1" si="45"/>
        <v>0</v>
      </c>
      <c r="V47" s="85">
        <f t="shared" ca="1" si="45"/>
        <v>0</v>
      </c>
      <c r="W47" s="85">
        <f t="shared" ca="1" si="45"/>
        <v>0</v>
      </c>
      <c r="X47" s="69">
        <f t="shared" ca="1" si="45"/>
        <v>0</v>
      </c>
      <c r="Y47" s="69">
        <f t="shared" ca="1" si="45"/>
        <v>0</v>
      </c>
      <c r="Z47" s="69">
        <f t="shared" ca="1" si="45"/>
        <v>0</v>
      </c>
      <c r="AA47" s="69">
        <f t="shared" ca="1" si="45"/>
        <v>0</v>
      </c>
      <c r="AB47" s="69">
        <f t="shared" ca="1" si="45"/>
        <v>0</v>
      </c>
      <c r="AC47" s="69">
        <f t="shared" ca="1" si="45"/>
        <v>0</v>
      </c>
      <c r="AD47" s="69">
        <f t="shared" ca="1" si="45"/>
        <v>0</v>
      </c>
      <c r="AE47" s="69"/>
      <c r="AF47" s="69">
        <f ca="1">AF25+AF40</f>
        <v>0</v>
      </c>
      <c r="AG47" s="89"/>
      <c r="AH47" s="85">
        <f t="shared" ca="1" si="46"/>
        <v>0</v>
      </c>
      <c r="AI47" s="85">
        <f t="shared" ca="1" si="46"/>
        <v>0</v>
      </c>
      <c r="AJ47" s="85">
        <f t="shared" ca="1" si="46"/>
        <v>0</v>
      </c>
      <c r="AK47" s="85">
        <f t="shared" ca="1" si="46"/>
        <v>0</v>
      </c>
      <c r="AL47" s="85">
        <f t="shared" ca="1" si="46"/>
        <v>0</v>
      </c>
      <c r="AM47" s="69">
        <f t="shared" ca="1" si="46"/>
        <v>0</v>
      </c>
      <c r="AN47" s="69">
        <f t="shared" ca="1" si="46"/>
        <v>0</v>
      </c>
      <c r="AO47" s="69">
        <f t="shared" ca="1" si="46"/>
        <v>0</v>
      </c>
      <c r="AP47" s="69">
        <f t="shared" ca="1" si="46"/>
        <v>0</v>
      </c>
      <c r="AQ47" s="69">
        <f t="shared" ca="1" si="46"/>
        <v>0</v>
      </c>
      <c r="AR47" s="69">
        <f t="shared" ca="1" si="46"/>
        <v>0</v>
      </c>
      <c r="AS47" s="69">
        <f t="shared" ca="1" si="46"/>
        <v>0</v>
      </c>
      <c r="AT47" s="69"/>
      <c r="AU47" s="69">
        <f ca="1">AU25+AU40</f>
        <v>0</v>
      </c>
      <c r="AV47" s="89"/>
    </row>
    <row r="48" spans="1:48" hidden="1" outlineLevel="1">
      <c r="B48" s="67" t="s">
        <v>114</v>
      </c>
      <c r="C48" s="52"/>
      <c r="D48" s="68">
        <v>0</v>
      </c>
      <c r="E48" s="68">
        <v>0</v>
      </c>
      <c r="F48" s="68">
        <v>0</v>
      </c>
      <c r="G48" s="68">
        <v>0</v>
      </c>
      <c r="H48" s="68">
        <v>0</v>
      </c>
      <c r="I48" s="68">
        <v>0</v>
      </c>
      <c r="J48" s="68">
        <v>0</v>
      </c>
      <c r="K48" s="68">
        <v>0</v>
      </c>
      <c r="L48" s="68">
        <v>-6</v>
      </c>
      <c r="M48" s="69">
        <f t="shared" si="44"/>
        <v>0</v>
      </c>
      <c r="N48" s="69">
        <f t="shared" si="44"/>
        <v>0</v>
      </c>
      <c r="O48" s="69">
        <f t="shared" si="44"/>
        <v>0</v>
      </c>
      <c r="P48" s="69"/>
      <c r="Q48" s="69">
        <f>Q26+Q41</f>
        <v>-6</v>
      </c>
      <c r="R48" s="503"/>
      <c r="S48" s="85">
        <f t="shared" si="45"/>
        <v>0</v>
      </c>
      <c r="T48" s="85">
        <f t="shared" si="45"/>
        <v>0</v>
      </c>
      <c r="U48" s="85">
        <f t="shared" si="45"/>
        <v>0</v>
      </c>
      <c r="V48" s="85">
        <f t="shared" si="45"/>
        <v>0</v>
      </c>
      <c r="W48" s="85">
        <f t="shared" si="45"/>
        <v>0</v>
      </c>
      <c r="X48" s="69">
        <f t="shared" si="45"/>
        <v>0</v>
      </c>
      <c r="Y48" s="69">
        <f t="shared" si="45"/>
        <v>0</v>
      </c>
      <c r="Z48" s="69">
        <f t="shared" si="45"/>
        <v>0</v>
      </c>
      <c r="AA48" s="69">
        <f t="shared" si="45"/>
        <v>0</v>
      </c>
      <c r="AB48" s="69">
        <f t="shared" si="45"/>
        <v>0</v>
      </c>
      <c r="AC48" s="69">
        <f t="shared" si="45"/>
        <v>0</v>
      </c>
      <c r="AD48" s="69">
        <f t="shared" si="45"/>
        <v>0</v>
      </c>
      <c r="AE48" s="69"/>
      <c r="AF48" s="69">
        <f>AF26+AF41</f>
        <v>0</v>
      </c>
      <c r="AG48" s="89"/>
      <c r="AH48" s="85">
        <f t="shared" si="46"/>
        <v>0</v>
      </c>
      <c r="AI48" s="85">
        <f t="shared" si="46"/>
        <v>0</v>
      </c>
      <c r="AJ48" s="85">
        <f t="shared" si="46"/>
        <v>0</v>
      </c>
      <c r="AK48" s="85">
        <f t="shared" si="46"/>
        <v>0</v>
      </c>
      <c r="AL48" s="85">
        <f t="shared" si="46"/>
        <v>0</v>
      </c>
      <c r="AM48" s="69">
        <f t="shared" si="46"/>
        <v>0</v>
      </c>
      <c r="AN48" s="69">
        <f t="shared" si="46"/>
        <v>0</v>
      </c>
      <c r="AO48" s="69">
        <f t="shared" si="46"/>
        <v>0</v>
      </c>
      <c r="AP48" s="69">
        <f t="shared" si="46"/>
        <v>0</v>
      </c>
      <c r="AQ48" s="69">
        <f t="shared" si="46"/>
        <v>0</v>
      </c>
      <c r="AR48" s="69">
        <f t="shared" si="46"/>
        <v>0</v>
      </c>
      <c r="AS48" s="69">
        <f t="shared" si="46"/>
        <v>0</v>
      </c>
      <c r="AT48" s="69"/>
      <c r="AU48" s="69">
        <f>AU26+AU41</f>
        <v>0</v>
      </c>
      <c r="AV48" s="89"/>
    </row>
    <row r="49" spans="2:48" collapsed="1">
      <c r="B49" s="67" t="s">
        <v>115</v>
      </c>
      <c r="C49" s="52"/>
      <c r="D49" s="68">
        <v>74883.930000000022</v>
      </c>
      <c r="E49" s="68">
        <v>365273.94000000006</v>
      </c>
      <c r="F49" s="68">
        <v>265156.01999999996</v>
      </c>
      <c r="G49" s="68">
        <v>96454.25</v>
      </c>
      <c r="H49" s="68">
        <v>96169.12</v>
      </c>
      <c r="I49" s="68">
        <v>333668.19999999995</v>
      </c>
      <c r="J49" s="68">
        <v>348671.38000000006</v>
      </c>
      <c r="K49" s="68">
        <v>73886.5</v>
      </c>
      <c r="L49" s="68">
        <v>560568</v>
      </c>
      <c r="M49" s="69">
        <f t="shared" ref="M49:Q49" si="47">M27+M43</f>
        <v>647435</v>
      </c>
      <c r="N49" s="69">
        <f t="shared" si="47"/>
        <v>215848</v>
      </c>
      <c r="O49" s="69">
        <f t="shared" si="47"/>
        <v>139978</v>
      </c>
      <c r="P49" s="69"/>
      <c r="Q49" s="69">
        <f t="shared" si="47"/>
        <v>3217995.9800000004</v>
      </c>
      <c r="R49" s="503"/>
      <c r="S49" s="85">
        <f ca="1">S27+S43</f>
        <v>172337.96937962412</v>
      </c>
      <c r="T49" s="85">
        <f t="shared" ref="T49:AD49" ca="1" si="48">T27+T43</f>
        <v>403257.1018105438</v>
      </c>
      <c r="U49" s="85">
        <f t="shared" ca="1" si="48"/>
        <v>346848.55425187416</v>
      </c>
      <c r="V49" s="85">
        <f t="shared" ca="1" si="48"/>
        <v>183335.47911912916</v>
      </c>
      <c r="W49" s="85">
        <f t="shared" ca="1" si="48"/>
        <v>176486.05627211812</v>
      </c>
      <c r="X49" s="69">
        <f t="shared" ca="1" si="48"/>
        <v>510325.79796241625</v>
      </c>
      <c r="Y49" s="69">
        <f t="shared" ca="1" si="48"/>
        <v>201670.35939780492</v>
      </c>
      <c r="Z49" s="69">
        <f t="shared" ca="1" si="48"/>
        <v>189943.00033126684</v>
      </c>
      <c r="AA49" s="69">
        <f t="shared" ca="1" si="48"/>
        <v>648869.3493971508</v>
      </c>
      <c r="AB49" s="69">
        <f t="shared" ca="1" si="48"/>
        <v>620742.61060397315</v>
      </c>
      <c r="AC49" s="69">
        <f t="shared" ca="1" si="48"/>
        <v>193588.97231785275</v>
      </c>
      <c r="AD49" s="69">
        <f t="shared" ca="1" si="48"/>
        <v>207025.11963848595</v>
      </c>
      <c r="AE49" s="69"/>
      <c r="AF49" s="69">
        <f t="shared" ref="AF49" ca="1" si="49">AF27+AF43</f>
        <v>3854430.3704822399</v>
      </c>
      <c r="AG49" s="89"/>
      <c r="AH49" s="85">
        <f ca="1">AH27+AH43</f>
        <v>177541.2057558278</v>
      </c>
      <c r="AI49" s="85">
        <f t="shared" ref="AI49:AS49" ca="1" si="50">AI27+AI43</f>
        <v>493558.76839337172</v>
      </c>
      <c r="AJ49" s="85">
        <f t="shared" ca="1" si="50"/>
        <v>379183.59364898101</v>
      </c>
      <c r="AK49" s="85">
        <f t="shared" ca="1" si="50"/>
        <v>214911.3256667633</v>
      </c>
      <c r="AL49" s="85">
        <f t="shared" ca="1" si="50"/>
        <v>206167.09280520928</v>
      </c>
      <c r="AM49" s="69">
        <f t="shared" ca="1" si="50"/>
        <v>643021.52214151074</v>
      </c>
      <c r="AN49" s="69">
        <f t="shared" ca="1" si="50"/>
        <v>211045.38263167179</v>
      </c>
      <c r="AO49" s="69">
        <f t="shared" ca="1" si="50"/>
        <v>212954.64373323219</v>
      </c>
      <c r="AP49" s="69">
        <f t="shared" ca="1" si="50"/>
        <v>757229.10813395982</v>
      </c>
      <c r="AQ49" s="69">
        <f t="shared" ca="1" si="50"/>
        <v>697186.04622253997</v>
      </c>
      <c r="AR49" s="69">
        <f t="shared" ca="1" si="50"/>
        <v>204920.14866707672</v>
      </c>
      <c r="AS49" s="69">
        <f t="shared" ca="1" si="50"/>
        <v>232595.92036162651</v>
      </c>
      <c r="AT49" s="69"/>
      <c r="AU49" s="69">
        <f t="shared" ref="AU49" ca="1" si="51">AU27+AU43</f>
        <v>4430314.7581617702</v>
      </c>
      <c r="AV49" s="89"/>
    </row>
    <row r="50" spans="2:48">
      <c r="B50" s="52"/>
      <c r="C50" s="52"/>
      <c r="D50" s="70"/>
      <c r="E50" s="70"/>
      <c r="F50" s="70"/>
      <c r="G50" s="70"/>
      <c r="H50" s="70"/>
      <c r="I50" s="70"/>
      <c r="J50" s="70"/>
      <c r="K50" s="70"/>
      <c r="L50" s="70"/>
      <c r="M50" s="52"/>
      <c r="N50" s="52"/>
      <c r="O50" s="52"/>
      <c r="P50" s="52"/>
      <c r="R50" s="503"/>
      <c r="S50" s="10"/>
      <c r="T50" s="10"/>
      <c r="U50" s="10"/>
      <c r="V50" s="10"/>
      <c r="W50" s="10"/>
      <c r="X50" s="52"/>
      <c r="Y50" s="52"/>
      <c r="Z50" s="52"/>
      <c r="AA50" s="52"/>
      <c r="AB50" s="52"/>
      <c r="AC50" s="52"/>
      <c r="AD50" s="52"/>
      <c r="AE50" s="52"/>
      <c r="AG50" s="89"/>
      <c r="AH50" s="10"/>
      <c r="AI50" s="10"/>
      <c r="AJ50" s="10"/>
      <c r="AK50" s="10"/>
      <c r="AL50" s="10"/>
      <c r="AM50" s="52"/>
      <c r="AN50" s="52"/>
      <c r="AO50" s="52"/>
      <c r="AP50" s="52"/>
      <c r="AQ50" s="52"/>
      <c r="AR50" s="52"/>
      <c r="AS50" s="52"/>
      <c r="AT50" s="52"/>
      <c r="AV50" s="89"/>
    </row>
    <row r="51" spans="2:48" hidden="1" outlineLevel="1">
      <c r="B51" s="67" t="s">
        <v>116</v>
      </c>
      <c r="C51" s="52"/>
      <c r="D51" s="97">
        <v>0.56767437881129423</v>
      </c>
      <c r="E51" s="97">
        <v>0.60971630786556075</v>
      </c>
      <c r="F51" s="97">
        <v>0.57589073680019698</v>
      </c>
      <c r="G51" s="97">
        <v>0.65273482377743541</v>
      </c>
      <c r="H51" s="97">
        <v>0.65326489517999498</v>
      </c>
      <c r="I51" s="97">
        <v>0.57404907050467424</v>
      </c>
      <c r="J51" s="97">
        <v>0.55573656770783175</v>
      </c>
      <c r="K51" s="97">
        <v>0.61852984538067224</v>
      </c>
      <c r="L51" s="97">
        <v>0.54007840765682058</v>
      </c>
      <c r="M51" s="91">
        <f t="shared" ref="M51:O54" si="52">IFERROR(M45/M7,0)</f>
        <v>0.5659025110782866</v>
      </c>
      <c r="N51" s="91">
        <f t="shared" si="52"/>
        <v>0.60106452192555782</v>
      </c>
      <c r="O51" s="91">
        <f t="shared" si="52"/>
        <v>0.60534269662921347</v>
      </c>
      <c r="P51" s="91"/>
      <c r="Q51" s="91">
        <f>IFERROR(Q45/Q7,0)</f>
        <v>0.57515758847567555</v>
      </c>
      <c r="R51" s="503"/>
      <c r="S51" s="91">
        <f t="shared" ref="S51:AD54" si="53">IFERROR(S45/S7,0)</f>
        <v>0.56668902831463508</v>
      </c>
      <c r="T51" s="91">
        <f t="shared" si="53"/>
        <v>0.56668902831463519</v>
      </c>
      <c r="U51" s="91">
        <f t="shared" si="53"/>
        <v>0.56668902831463508</v>
      </c>
      <c r="V51" s="91">
        <f t="shared" si="53"/>
        <v>0.56668902831463508</v>
      </c>
      <c r="W51" s="91">
        <f t="shared" si="53"/>
        <v>0.56668902831463519</v>
      </c>
      <c r="X51" s="91">
        <f t="shared" si="53"/>
        <v>0.56668902831463508</v>
      </c>
      <c r="Y51" s="91">
        <f t="shared" si="53"/>
        <v>0.56668902831463508</v>
      </c>
      <c r="Z51" s="91">
        <f t="shared" si="53"/>
        <v>0.56668902831463519</v>
      </c>
      <c r="AA51" s="91">
        <f t="shared" si="53"/>
        <v>0.56668902831463519</v>
      </c>
      <c r="AB51" s="91">
        <f t="shared" si="53"/>
        <v>0.56668902831463519</v>
      </c>
      <c r="AC51" s="91">
        <f t="shared" si="53"/>
        <v>0.56668902831463508</v>
      </c>
      <c r="AD51" s="91">
        <f t="shared" si="53"/>
        <v>0.56668902831463508</v>
      </c>
      <c r="AE51" s="91"/>
      <c r="AF51" s="91">
        <f>IFERROR(AF45/AF7,0)</f>
        <v>0.56668902831463519</v>
      </c>
      <c r="AG51" s="89"/>
      <c r="AH51" s="91">
        <f t="shared" ref="AH51:AS54" si="54">IFERROR(AH45/AH7,0)</f>
        <v>0.56668902831463508</v>
      </c>
      <c r="AI51" s="91">
        <f t="shared" si="54"/>
        <v>0.56668902831463519</v>
      </c>
      <c r="AJ51" s="91">
        <f t="shared" si="54"/>
        <v>0.56668902831463519</v>
      </c>
      <c r="AK51" s="91">
        <f t="shared" si="54"/>
        <v>0.56668902831463519</v>
      </c>
      <c r="AL51" s="91">
        <f t="shared" si="54"/>
        <v>0.56668902831463508</v>
      </c>
      <c r="AM51" s="91">
        <f t="shared" si="54"/>
        <v>0.56668902831463519</v>
      </c>
      <c r="AN51" s="91">
        <f t="shared" si="54"/>
        <v>0.56668902831463508</v>
      </c>
      <c r="AO51" s="91">
        <f t="shared" si="54"/>
        <v>0.56668902831463519</v>
      </c>
      <c r="AP51" s="91">
        <f t="shared" si="54"/>
        <v>0.56668902831463519</v>
      </c>
      <c r="AQ51" s="91">
        <f t="shared" si="54"/>
        <v>0.56668902831463519</v>
      </c>
      <c r="AR51" s="91">
        <f t="shared" si="54"/>
        <v>0.56668902831463508</v>
      </c>
      <c r="AS51" s="91">
        <f t="shared" si="54"/>
        <v>0.56668902831463519</v>
      </c>
      <c r="AT51" s="91"/>
      <c r="AU51" s="91">
        <f>IFERROR(AU45/AU7,0)</f>
        <v>0.56668902831463519</v>
      </c>
      <c r="AV51" s="89"/>
    </row>
    <row r="52" spans="2:48" hidden="1" outlineLevel="1">
      <c r="B52" s="67" t="s">
        <v>117</v>
      </c>
      <c r="C52" s="52"/>
      <c r="D52" s="97">
        <v>0.40878064040647172</v>
      </c>
      <c r="E52" s="97">
        <v>0.72475198194605017</v>
      </c>
      <c r="F52" s="97">
        <v>0.56356414679132816</v>
      </c>
      <c r="G52" s="97">
        <v>0.5779720463339445</v>
      </c>
      <c r="H52" s="97">
        <v>0.5523214170692432</v>
      </c>
      <c r="I52" s="97">
        <v>0.40530513845414989</v>
      </c>
      <c r="J52" s="97">
        <v>0.56700707133271389</v>
      </c>
      <c r="K52" s="97">
        <v>0.261257325816661</v>
      </c>
      <c r="L52" s="97">
        <v>0.5915391908166141</v>
      </c>
      <c r="M52" s="91">
        <f t="shared" si="52"/>
        <v>0.58999870260452147</v>
      </c>
      <c r="N52" s="91">
        <f t="shared" si="52"/>
        <v>0.58999918956155284</v>
      </c>
      <c r="O52" s="91">
        <f t="shared" si="52"/>
        <v>0.59000036615283225</v>
      </c>
      <c r="P52" s="91"/>
      <c r="Q52" s="91">
        <f>IFERROR(Q46/Q8,0)</f>
        <v>0.57628434273198748</v>
      </c>
      <c r="R52" s="503"/>
      <c r="S52" s="91">
        <f t="shared" si="53"/>
        <v>0.54</v>
      </c>
      <c r="T52" s="91">
        <f t="shared" si="53"/>
        <v>0.54</v>
      </c>
      <c r="U52" s="91">
        <f t="shared" si="53"/>
        <v>0.54</v>
      </c>
      <c r="V52" s="91">
        <f t="shared" si="53"/>
        <v>0.54</v>
      </c>
      <c r="W52" s="91">
        <f t="shared" si="53"/>
        <v>0.53999999999999992</v>
      </c>
      <c r="X52" s="91">
        <f t="shared" si="53"/>
        <v>0.53999999999999992</v>
      </c>
      <c r="Y52" s="91">
        <f t="shared" si="53"/>
        <v>0.53999999999999992</v>
      </c>
      <c r="Z52" s="91">
        <f t="shared" si="53"/>
        <v>0.54</v>
      </c>
      <c r="AA52" s="91">
        <f t="shared" si="53"/>
        <v>0.54</v>
      </c>
      <c r="AB52" s="91">
        <f t="shared" si="53"/>
        <v>0.53999999999999992</v>
      </c>
      <c r="AC52" s="91">
        <f t="shared" si="53"/>
        <v>0.53999999999999992</v>
      </c>
      <c r="AD52" s="91">
        <f t="shared" si="53"/>
        <v>0.53999999999999992</v>
      </c>
      <c r="AE52" s="91"/>
      <c r="AF52" s="91">
        <f>IFERROR(AF46/AF8,0)</f>
        <v>0.53999999999999992</v>
      </c>
      <c r="AG52" s="89"/>
      <c r="AH52" s="91">
        <f t="shared" si="54"/>
        <v>0.54</v>
      </c>
      <c r="AI52" s="91">
        <f t="shared" si="54"/>
        <v>0.54</v>
      </c>
      <c r="AJ52" s="91">
        <f t="shared" si="54"/>
        <v>0.54</v>
      </c>
      <c r="AK52" s="91">
        <f t="shared" si="54"/>
        <v>0.54</v>
      </c>
      <c r="AL52" s="91">
        <f t="shared" si="54"/>
        <v>0.53999999999999992</v>
      </c>
      <c r="AM52" s="91">
        <f t="shared" si="54"/>
        <v>0.53999999999999992</v>
      </c>
      <c r="AN52" s="91">
        <f t="shared" si="54"/>
        <v>0.54</v>
      </c>
      <c r="AO52" s="91">
        <f t="shared" si="54"/>
        <v>0.53999999999999992</v>
      </c>
      <c r="AP52" s="91">
        <f t="shared" si="54"/>
        <v>0.54</v>
      </c>
      <c r="AQ52" s="91">
        <f t="shared" si="54"/>
        <v>0.53999999999999992</v>
      </c>
      <c r="AR52" s="91">
        <f t="shared" si="54"/>
        <v>0.54</v>
      </c>
      <c r="AS52" s="91">
        <f t="shared" si="54"/>
        <v>0.54</v>
      </c>
      <c r="AT52" s="91"/>
      <c r="AU52" s="91">
        <f>IFERROR(AU46/AU8,0)</f>
        <v>0.53999999999999992</v>
      </c>
      <c r="AV52" s="89"/>
    </row>
    <row r="53" spans="2:48" hidden="1" outlineLevel="1">
      <c r="B53" s="67" t="s">
        <v>118</v>
      </c>
      <c r="C53" s="52"/>
      <c r="D53" s="97">
        <v>0</v>
      </c>
      <c r="E53" s="97">
        <v>0</v>
      </c>
      <c r="F53" s="97">
        <v>0</v>
      </c>
      <c r="G53" s="97">
        <v>0</v>
      </c>
      <c r="H53" s="97">
        <v>0</v>
      </c>
      <c r="I53" s="97">
        <v>0</v>
      </c>
      <c r="J53" s="97">
        <v>0</v>
      </c>
      <c r="K53" s="97">
        <v>0</v>
      </c>
      <c r="L53" s="97">
        <v>0</v>
      </c>
      <c r="M53" s="91">
        <f t="shared" si="52"/>
        <v>0</v>
      </c>
      <c r="N53" s="91">
        <f t="shared" si="52"/>
        <v>0</v>
      </c>
      <c r="O53" s="91">
        <f t="shared" si="52"/>
        <v>0</v>
      </c>
      <c r="P53" s="91"/>
      <c r="Q53" s="91">
        <f>IFERROR(Q47/Q9,0)</f>
        <v>0</v>
      </c>
      <c r="R53" s="503"/>
      <c r="S53" s="91">
        <f t="shared" ca="1" si="53"/>
        <v>0</v>
      </c>
      <c r="T53" s="91">
        <f t="shared" ca="1" si="53"/>
        <v>0</v>
      </c>
      <c r="U53" s="91">
        <f t="shared" ca="1" si="53"/>
        <v>0</v>
      </c>
      <c r="V53" s="91">
        <f t="shared" ca="1" si="53"/>
        <v>0</v>
      </c>
      <c r="W53" s="91">
        <f t="shared" ca="1" si="53"/>
        <v>0</v>
      </c>
      <c r="X53" s="91">
        <f t="shared" ca="1" si="53"/>
        <v>0</v>
      </c>
      <c r="Y53" s="91">
        <f t="shared" ca="1" si="53"/>
        <v>0</v>
      </c>
      <c r="Z53" s="91">
        <f t="shared" ca="1" si="53"/>
        <v>0</v>
      </c>
      <c r="AA53" s="91">
        <f t="shared" ca="1" si="53"/>
        <v>0</v>
      </c>
      <c r="AB53" s="91">
        <f t="shared" ca="1" si="53"/>
        <v>0</v>
      </c>
      <c r="AC53" s="91">
        <f t="shared" ca="1" si="53"/>
        <v>0</v>
      </c>
      <c r="AD53" s="91">
        <f t="shared" ca="1" si="53"/>
        <v>0</v>
      </c>
      <c r="AE53" s="91"/>
      <c r="AF53" s="91">
        <f ca="1">IFERROR(AF47/AF9,0)</f>
        <v>0</v>
      </c>
      <c r="AG53" s="89"/>
      <c r="AH53" s="91">
        <f t="shared" ca="1" si="54"/>
        <v>0</v>
      </c>
      <c r="AI53" s="91">
        <f t="shared" ca="1" si="54"/>
        <v>0</v>
      </c>
      <c r="AJ53" s="91">
        <f t="shared" ca="1" si="54"/>
        <v>0</v>
      </c>
      <c r="AK53" s="91">
        <f t="shared" ca="1" si="54"/>
        <v>0</v>
      </c>
      <c r="AL53" s="91">
        <f t="shared" ca="1" si="54"/>
        <v>0</v>
      </c>
      <c r="AM53" s="91">
        <f t="shared" ca="1" si="54"/>
        <v>0</v>
      </c>
      <c r="AN53" s="91">
        <f t="shared" ca="1" si="54"/>
        <v>0</v>
      </c>
      <c r="AO53" s="91">
        <f t="shared" ca="1" si="54"/>
        <v>0</v>
      </c>
      <c r="AP53" s="91">
        <f t="shared" ca="1" si="54"/>
        <v>0</v>
      </c>
      <c r="AQ53" s="91">
        <f t="shared" ca="1" si="54"/>
        <v>0</v>
      </c>
      <c r="AR53" s="91">
        <f t="shared" ca="1" si="54"/>
        <v>0</v>
      </c>
      <c r="AS53" s="91">
        <f t="shared" ca="1" si="54"/>
        <v>0</v>
      </c>
      <c r="AT53" s="91"/>
      <c r="AU53" s="91">
        <f ca="1">IFERROR(AU47/AU9,0)</f>
        <v>0</v>
      </c>
      <c r="AV53" s="89"/>
    </row>
    <row r="54" spans="2:48" hidden="1" outlineLevel="1">
      <c r="B54" s="67" t="s">
        <v>119</v>
      </c>
      <c r="C54" s="52"/>
      <c r="D54" s="97">
        <v>0</v>
      </c>
      <c r="E54" s="97">
        <v>0</v>
      </c>
      <c r="F54" s="97">
        <v>0</v>
      </c>
      <c r="G54" s="97">
        <v>0</v>
      </c>
      <c r="H54" s="97">
        <v>0</v>
      </c>
      <c r="I54" s="97">
        <v>0</v>
      </c>
      <c r="J54" s="97">
        <v>0</v>
      </c>
      <c r="K54" s="97">
        <v>0</v>
      </c>
      <c r="L54" s="97">
        <v>0</v>
      </c>
      <c r="M54" s="91">
        <f t="shared" si="52"/>
        <v>0</v>
      </c>
      <c r="N54" s="91">
        <f t="shared" si="52"/>
        <v>0</v>
      </c>
      <c r="O54" s="91">
        <f t="shared" si="52"/>
        <v>0</v>
      </c>
      <c r="P54" s="91"/>
      <c r="Q54" s="91">
        <f>IFERROR(Q48/Q10,0)</f>
        <v>0</v>
      </c>
      <c r="R54" s="503"/>
      <c r="S54" s="91">
        <f t="shared" si="53"/>
        <v>0</v>
      </c>
      <c r="T54" s="91">
        <f t="shared" si="53"/>
        <v>0</v>
      </c>
      <c r="U54" s="91">
        <f t="shared" si="53"/>
        <v>0</v>
      </c>
      <c r="V54" s="91">
        <f t="shared" si="53"/>
        <v>0</v>
      </c>
      <c r="W54" s="91">
        <f t="shared" si="53"/>
        <v>0</v>
      </c>
      <c r="X54" s="91">
        <f t="shared" si="53"/>
        <v>0</v>
      </c>
      <c r="Y54" s="91">
        <f t="shared" si="53"/>
        <v>0</v>
      </c>
      <c r="Z54" s="91">
        <f t="shared" si="53"/>
        <v>0</v>
      </c>
      <c r="AA54" s="91">
        <f t="shared" si="53"/>
        <v>0</v>
      </c>
      <c r="AB54" s="91">
        <f t="shared" si="53"/>
        <v>0</v>
      </c>
      <c r="AC54" s="91">
        <f t="shared" si="53"/>
        <v>0</v>
      </c>
      <c r="AD54" s="91">
        <f t="shared" si="53"/>
        <v>0</v>
      </c>
      <c r="AE54" s="91"/>
      <c r="AF54" s="91">
        <f>IFERROR(AF48/AF10,0)</f>
        <v>0</v>
      </c>
      <c r="AG54" s="89"/>
      <c r="AH54" s="91">
        <f t="shared" si="54"/>
        <v>0</v>
      </c>
      <c r="AI54" s="91">
        <f t="shared" si="54"/>
        <v>0</v>
      </c>
      <c r="AJ54" s="91">
        <f t="shared" si="54"/>
        <v>0</v>
      </c>
      <c r="AK54" s="91">
        <f t="shared" si="54"/>
        <v>0</v>
      </c>
      <c r="AL54" s="91">
        <f t="shared" si="54"/>
        <v>0</v>
      </c>
      <c r="AM54" s="91">
        <f t="shared" si="54"/>
        <v>0</v>
      </c>
      <c r="AN54" s="91">
        <f t="shared" si="54"/>
        <v>0</v>
      </c>
      <c r="AO54" s="91">
        <f t="shared" si="54"/>
        <v>0</v>
      </c>
      <c r="AP54" s="91">
        <f t="shared" si="54"/>
        <v>0</v>
      </c>
      <c r="AQ54" s="91">
        <f t="shared" si="54"/>
        <v>0</v>
      </c>
      <c r="AR54" s="91">
        <f t="shared" si="54"/>
        <v>0</v>
      </c>
      <c r="AS54" s="91">
        <f t="shared" si="54"/>
        <v>0</v>
      </c>
      <c r="AT54" s="91"/>
      <c r="AU54" s="91">
        <f>IFERROR(AU48/AU10,0)</f>
        <v>0</v>
      </c>
      <c r="AV54" s="89"/>
    </row>
    <row r="55" spans="2:48" collapsed="1">
      <c r="B55" s="72" t="s">
        <v>120</v>
      </c>
      <c r="C55" s="73"/>
      <c r="D55" s="97">
        <v>0.52356813936249702</v>
      </c>
      <c r="E55" s="97">
        <v>0.62997688356261849</v>
      </c>
      <c r="F55" s="97">
        <v>0.5750680447397335</v>
      </c>
      <c r="G55" s="97">
        <v>0.6351114991335669</v>
      </c>
      <c r="H55" s="97">
        <v>0.64279015052268529</v>
      </c>
      <c r="I55" s="97">
        <v>0.56590887011776092</v>
      </c>
      <c r="J55" s="97">
        <v>0.55713217925015779</v>
      </c>
      <c r="K55" s="97">
        <v>0.56379791164366899</v>
      </c>
      <c r="L55" s="97">
        <v>0.54397037589081931</v>
      </c>
      <c r="M55" s="91">
        <f t="shared" ref="M55:O55" si="55">IFERROR(M49/M12,0)</f>
        <v>0.56851190350747793</v>
      </c>
      <c r="N55" s="91">
        <f t="shared" si="55"/>
        <v>0.59992606818958782</v>
      </c>
      <c r="O55" s="91">
        <f t="shared" si="55"/>
        <v>0.60174016215147319</v>
      </c>
      <c r="P55" s="91"/>
      <c r="Q55" s="91">
        <f>IFERROR(Q49/Q12,0)</f>
        <v>0.57529314717491264</v>
      </c>
      <c r="R55" s="503"/>
      <c r="S55" s="91">
        <f t="shared" ref="S55:AD55" ca="1" si="56">IFERROR(S49/S12,0)</f>
        <v>0.56350379316763377</v>
      </c>
      <c r="T55" s="91">
        <f t="shared" ca="1" si="56"/>
        <v>0.56421255261719827</v>
      </c>
      <c r="U55" s="91">
        <f t="shared" ca="1" si="56"/>
        <v>0.56374627784293208</v>
      </c>
      <c r="V55" s="91">
        <f t="shared" ca="1" si="56"/>
        <v>0.56125229351145567</v>
      </c>
      <c r="W55" s="91">
        <f t="shared" ca="1" si="56"/>
        <v>0.56182541093685889</v>
      </c>
      <c r="X55" s="91">
        <f t="shared" ca="1" si="56"/>
        <v>0.5648778180765357</v>
      </c>
      <c r="Y55" s="91">
        <f t="shared" ca="1" si="56"/>
        <v>0.56264977559554585</v>
      </c>
      <c r="Z55" s="91">
        <f t="shared" ca="1" si="56"/>
        <v>0.56240942633298785</v>
      </c>
      <c r="AA55" s="91">
        <f t="shared" ca="1" si="56"/>
        <v>0.56461969399943057</v>
      </c>
      <c r="AB55" s="91">
        <f t="shared" ca="1" si="56"/>
        <v>0.56330791463156649</v>
      </c>
      <c r="AC55" s="91">
        <f t="shared" ca="1" si="56"/>
        <v>0.56272187292987708</v>
      </c>
      <c r="AD55" s="91">
        <f t="shared" ca="1" si="56"/>
        <v>0.56138075421376799</v>
      </c>
      <c r="AE55" s="91"/>
      <c r="AF55" s="91">
        <f ca="1">IFERROR(AF49/AF12,0)</f>
        <v>0.56349989293393077</v>
      </c>
      <c r="AG55" s="89"/>
      <c r="AH55" s="91">
        <f t="shared" ref="AH55:AS55" ca="1" si="57">IFERROR(AH49/AH12,0)</f>
        <v>0.56344290008360853</v>
      </c>
      <c r="AI55" s="91">
        <f t="shared" ca="1" si="57"/>
        <v>0.56456316022226671</v>
      </c>
      <c r="AJ55" s="91">
        <f t="shared" ca="1" si="57"/>
        <v>0.56386205136754397</v>
      </c>
      <c r="AK55" s="91">
        <f t="shared" ca="1" si="57"/>
        <v>0.56137888243037548</v>
      </c>
      <c r="AL55" s="91">
        <f t="shared" ca="1" si="57"/>
        <v>0.56170754658793176</v>
      </c>
      <c r="AM55" s="91">
        <f t="shared" ca="1" si="57"/>
        <v>0.5649824530185743</v>
      </c>
      <c r="AN55" s="91">
        <f t="shared" ca="1" si="57"/>
        <v>0.56219161491671921</v>
      </c>
      <c r="AO55" s="91">
        <f t="shared" ca="1" si="57"/>
        <v>0.56209154171160103</v>
      </c>
      <c r="AP55" s="91">
        <f t="shared" ca="1" si="57"/>
        <v>0.56465984835919536</v>
      </c>
      <c r="AQ55" s="91">
        <f t="shared" ca="1" si="57"/>
        <v>0.56339177548342734</v>
      </c>
      <c r="AR55" s="91">
        <f t="shared" ca="1" si="57"/>
        <v>0.56229545744135889</v>
      </c>
      <c r="AS55" s="91">
        <f t="shared" ca="1" si="57"/>
        <v>0.56118888571314585</v>
      </c>
      <c r="AT55" s="91"/>
      <c r="AU55" s="91">
        <f ca="1">IFERROR(AU49/AU12,0)</f>
        <v>0.5635473270656467</v>
      </c>
      <c r="AV55" s="89"/>
    </row>
    <row r="56" spans="2:48">
      <c r="D56" s="53"/>
      <c r="E56" s="53"/>
      <c r="F56" s="53"/>
      <c r="G56" s="53"/>
      <c r="H56" s="53"/>
      <c r="I56" s="53"/>
      <c r="J56" s="53"/>
      <c r="K56" s="53"/>
      <c r="L56" s="53"/>
      <c r="Q56" s="51"/>
      <c r="R56" s="503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1"/>
      <c r="AE56" s="91"/>
      <c r="AF56" s="91"/>
      <c r="AG56" s="89"/>
      <c r="AU56" s="51"/>
      <c r="AV56" s="89"/>
    </row>
    <row r="57" spans="2:48" hidden="1" outlineLevel="1">
      <c r="B57" s="58" t="s">
        <v>121</v>
      </c>
      <c r="D57" s="53"/>
      <c r="E57" s="53"/>
      <c r="F57" s="53"/>
      <c r="G57" s="53"/>
      <c r="H57" s="53"/>
      <c r="I57" s="53"/>
      <c r="J57" s="53"/>
      <c r="K57" s="53"/>
      <c r="L57" s="53"/>
      <c r="Q57" s="51"/>
      <c r="R57" s="507"/>
      <c r="AF57" s="51"/>
      <c r="AG57" s="89"/>
      <c r="AU57" s="51"/>
      <c r="AV57" s="89"/>
    </row>
    <row r="58" spans="2:48" hidden="1" outlineLevel="1">
      <c r="D58" s="53"/>
      <c r="E58" s="53"/>
      <c r="F58" s="53"/>
      <c r="G58" s="53"/>
      <c r="H58" s="53"/>
      <c r="I58" s="53"/>
      <c r="J58" s="53"/>
      <c r="K58" s="53"/>
      <c r="L58" s="53"/>
      <c r="Q58" s="51"/>
      <c r="R58" s="508"/>
      <c r="AF58" s="51"/>
      <c r="AG58" s="89"/>
      <c r="AU58" s="51"/>
      <c r="AV58" s="89"/>
    </row>
    <row r="59" spans="2:48" ht="13" hidden="1" outlineLevel="1">
      <c r="B59" s="51" t="s">
        <v>122</v>
      </c>
      <c r="D59" s="59" t="s">
        <v>184</v>
      </c>
      <c r="E59" s="59" t="s">
        <v>184</v>
      </c>
      <c r="F59" s="59">
        <v>-5502</v>
      </c>
      <c r="G59" s="59">
        <v>-371</v>
      </c>
      <c r="H59" s="59">
        <v>-2071</v>
      </c>
      <c r="I59" s="59">
        <v>-390</v>
      </c>
      <c r="J59" s="59">
        <v>-7987</v>
      </c>
      <c r="K59" s="59">
        <v>-1507</v>
      </c>
      <c r="L59" s="59">
        <v>-10001</v>
      </c>
      <c r="M59" s="60">
        <v>-9918</v>
      </c>
      <c r="N59" s="60">
        <v>-4593</v>
      </c>
      <c r="O59" s="60">
        <v>-3245</v>
      </c>
      <c r="P59" s="60"/>
      <c r="Q59" s="61">
        <f t="shared" ref="Q59:Q69" si="58">SUM(D59:O59)</f>
        <v>-45585</v>
      </c>
      <c r="R59" s="509"/>
      <c r="S59" s="60">
        <f>'HU P&amp;L'!S59+'SK P&amp;L'!S59+'CZ P&amp;L'!S58+'RO P&amp;L'!S59</f>
        <v>-73521.350000000006</v>
      </c>
      <c r="T59" s="60">
        <f>'HU P&amp;L'!T59+'SK P&amp;L'!T59+'CZ P&amp;L'!T58+'RO P&amp;L'!T59</f>
        <v>-151188.4</v>
      </c>
      <c r="U59" s="60">
        <f>'HU P&amp;L'!U59+'SK P&amp;L'!U59+'CZ P&amp;L'!U58+'RO P&amp;L'!U59</f>
        <v>-149765.30000000002</v>
      </c>
      <c r="V59" s="60">
        <f>'HU P&amp;L'!V59+'SK P&amp;L'!V59+'CZ P&amp;L'!V58+'RO P&amp;L'!V59</f>
        <v>-91609.2</v>
      </c>
      <c r="W59" s="60">
        <f>'HU P&amp;L'!W59+'SK P&amp;L'!W59+'CZ P&amp;L'!W58+'RO P&amp;L'!W59</f>
        <v>-83248</v>
      </c>
      <c r="X59" s="60">
        <f>'HU P&amp;L'!X59+'SK P&amp;L'!X59+'CZ P&amp;L'!X58+'RO P&amp;L'!X59</f>
        <v>-190337.4</v>
      </c>
      <c r="Y59" s="60">
        <f>'HU P&amp;L'!Y59+'SK P&amp;L'!Y59+'CZ P&amp;L'!Y58+'RO P&amp;L'!Y59</f>
        <v>-88585.1</v>
      </c>
      <c r="Z59" s="60">
        <f>'HU P&amp;L'!Z59+'SK P&amp;L'!Z59+'CZ P&amp;L'!Z58+'RO P&amp;L'!Z59</f>
        <v>-88253.9</v>
      </c>
      <c r="AA59" s="60">
        <f>'HU P&amp;L'!AA59+'SK P&amp;L'!AA59+'CZ P&amp;L'!AA58+'RO P&amp;L'!AA59</f>
        <v>-282500</v>
      </c>
      <c r="AB59" s="60">
        <f>'HU P&amp;L'!AB59+'SK P&amp;L'!AB59+'CZ P&amp;L'!AB58+'RO P&amp;L'!AB59</f>
        <v>-294000</v>
      </c>
      <c r="AC59" s="60">
        <f>'HU P&amp;L'!AC59+'SK P&amp;L'!AC59+'CZ P&amp;L'!AC58+'RO P&amp;L'!AC59</f>
        <v>-82000</v>
      </c>
      <c r="AD59" s="60">
        <f>'HU P&amp;L'!AD59+'SK P&amp;L'!AD59+'CZ P&amp;L'!AD58+'RO P&amp;L'!AD59</f>
        <v>-93500</v>
      </c>
      <c r="AE59" s="60"/>
      <c r="AF59" s="61">
        <f t="shared" ref="AF59" si="59">SUM(S59:AD59)</f>
        <v>-1668508.65</v>
      </c>
      <c r="AG59" s="89">
        <f>AF59/AF7</f>
        <v>-0.27703138581583298</v>
      </c>
      <c r="AH59" s="60">
        <f>'HU P&amp;L'!AH59+'SK P&amp;L'!AH59+'CZ P&amp;L'!AH58+'RO P&amp;L'!AH59</f>
        <v>-86688.15</v>
      </c>
      <c r="AI59" s="60">
        <f>'HU P&amp;L'!AI59+'SK P&amp;L'!AI59+'CZ P&amp;L'!AI58+'RO P&amp;L'!AI59</f>
        <v>-203803.78</v>
      </c>
      <c r="AJ59" s="60">
        <f>'HU P&amp;L'!AJ59+'SK P&amp;L'!AJ59+'CZ P&amp;L'!AJ58+'RO P&amp;L'!AJ59</f>
        <v>-169970.65000000002</v>
      </c>
      <c r="AK59" s="60">
        <f>'HU P&amp;L'!AK59+'SK P&amp;L'!AK59+'CZ P&amp;L'!AK58+'RO P&amp;L'!AK59</f>
        <v>-109147.20000000001</v>
      </c>
      <c r="AL59" s="60">
        <f>'HU P&amp;L'!AL59+'SK P&amp;L'!AL59+'CZ P&amp;L'!AL58+'RO P&amp;L'!AL59</f>
        <v>-105142.76000000001</v>
      </c>
      <c r="AM59" s="60">
        <f>'HU P&amp;L'!AM59+'SK P&amp;L'!AM59+'CZ P&amp;L'!AM58+'RO P&amp;L'!AM59</f>
        <v>-267019.92</v>
      </c>
      <c r="AN59" s="60">
        <f>'HU P&amp;L'!AN59+'SK P&amp;L'!AN59+'CZ P&amp;L'!AN58+'RO P&amp;L'!AN59</f>
        <v>-75132.649999999994</v>
      </c>
      <c r="AO59" s="60">
        <f>'HU P&amp;L'!AO59+'SK P&amp;L'!AO59+'CZ P&amp;L'!AO58+'RO P&amp;L'!AO59</f>
        <v>-106805.23</v>
      </c>
      <c r="AP59" s="60">
        <f>'HU P&amp;L'!AP59+'SK P&amp;L'!AP59+'CZ P&amp;L'!AP58+'RO P&amp;L'!AP59</f>
        <v>-348750</v>
      </c>
      <c r="AQ59" s="60">
        <f>'HU P&amp;L'!AQ59+'SK P&amp;L'!AQ59+'CZ P&amp;L'!AQ58+'RO P&amp;L'!AQ59</f>
        <v>-343500</v>
      </c>
      <c r="AR59" s="60">
        <f>'HU P&amp;L'!AR59+'SK P&amp;L'!AR59+'CZ P&amp;L'!AR58+'RO P&amp;L'!AR59</f>
        <v>-84500</v>
      </c>
      <c r="AS59" s="60">
        <f>'HU P&amp;L'!AS59+'SK P&amp;L'!AS59+'CZ P&amp;L'!AS58+'RO P&amp;L'!AS59</f>
        <v>-110000</v>
      </c>
      <c r="AT59" s="60"/>
      <c r="AU59" s="61">
        <f t="shared" ref="AU59" si="60">SUM(AH59:AS59)</f>
        <v>-2010460.34</v>
      </c>
      <c r="AV59" s="89">
        <f>AU59/AU7</f>
        <v>-0.28985611599620381</v>
      </c>
    </row>
    <row r="60" spans="2:48" ht="13" hidden="1" outlineLevel="1">
      <c r="B60" s="51" t="s">
        <v>123</v>
      </c>
      <c r="D60" s="59">
        <v>-125</v>
      </c>
      <c r="E60" s="59">
        <v>-1740</v>
      </c>
      <c r="F60" s="59">
        <v>-4763</v>
      </c>
      <c r="G60" s="59">
        <v>-676</v>
      </c>
      <c r="H60" s="59">
        <v>-4779</v>
      </c>
      <c r="I60" s="59">
        <v>-563</v>
      </c>
      <c r="J60" s="59">
        <v>-3160</v>
      </c>
      <c r="K60" s="59">
        <v>-3147</v>
      </c>
      <c r="L60" s="59">
        <v>-2916</v>
      </c>
      <c r="M60" s="60">
        <v>-5300</v>
      </c>
      <c r="N60" s="60">
        <v>-7200</v>
      </c>
      <c r="O60" s="60">
        <v>-4300</v>
      </c>
      <c r="P60" s="60"/>
      <c r="Q60" s="61">
        <f>SUM(D60:O60)</f>
        <v>-38669</v>
      </c>
      <c r="R60" s="509"/>
      <c r="S60" s="60">
        <f>'HU P&amp;L'!S60+'SK P&amp;L'!S60+'CZ P&amp;L'!S59+'RO P&amp;L'!S60</f>
        <v>-4500</v>
      </c>
      <c r="T60" s="60">
        <f>'HU P&amp;L'!T60+'SK P&amp;L'!T60+'CZ P&amp;L'!T59+'RO P&amp;L'!T60</f>
        <v>-5500</v>
      </c>
      <c r="U60" s="60">
        <f>'HU P&amp;L'!U60+'SK P&amp;L'!U60+'CZ P&amp;L'!U59+'RO P&amp;L'!U60</f>
        <v>-6000</v>
      </c>
      <c r="V60" s="60">
        <f>'HU P&amp;L'!V60+'SK P&amp;L'!V60+'CZ P&amp;L'!V59+'RO P&amp;L'!V60</f>
        <v>-4500</v>
      </c>
      <c r="W60" s="60">
        <f>'HU P&amp;L'!W60+'SK P&amp;L'!W60+'CZ P&amp;L'!W59+'RO P&amp;L'!W60</f>
        <v>-4000</v>
      </c>
      <c r="X60" s="60">
        <f>'HU P&amp;L'!X60+'SK P&amp;L'!X60+'CZ P&amp;L'!X59+'RO P&amp;L'!X60</f>
        <v>-5500</v>
      </c>
      <c r="Y60" s="60">
        <f>'HU P&amp;L'!Y60+'SK P&amp;L'!Y60+'CZ P&amp;L'!Y59+'RO P&amp;L'!Y60</f>
        <v>-5000</v>
      </c>
      <c r="Z60" s="60">
        <f>'HU P&amp;L'!Z60+'SK P&amp;L'!Z60+'CZ P&amp;L'!Z59+'RO P&amp;L'!Z60</f>
        <v>-5000</v>
      </c>
      <c r="AA60" s="60">
        <f>'HU P&amp;L'!AA60+'SK P&amp;L'!AA60+'CZ P&amp;L'!AA59+'RO P&amp;L'!AA60</f>
        <v>-7000</v>
      </c>
      <c r="AB60" s="60">
        <f>'HU P&amp;L'!AB60+'SK P&amp;L'!AB60+'CZ P&amp;L'!AB59+'RO P&amp;L'!AB60</f>
        <v>-8000</v>
      </c>
      <c r="AC60" s="60">
        <f>'HU P&amp;L'!AC60+'SK P&amp;L'!AC60+'CZ P&amp;L'!AC59+'RO P&amp;L'!AC60</f>
        <v>-5500</v>
      </c>
      <c r="AD60" s="60">
        <f>'HU P&amp;L'!AD60+'SK P&amp;L'!AD60+'CZ P&amp;L'!AD59+'RO P&amp;L'!AD60</f>
        <v>-4500</v>
      </c>
      <c r="AE60" s="60"/>
      <c r="AF60" s="61">
        <f>SUM(S60:AD60)</f>
        <v>-65000</v>
      </c>
      <c r="AG60" s="89"/>
      <c r="AH60" s="60">
        <f>'HU P&amp;L'!AH60+'SK P&amp;L'!AH60+'CZ P&amp;L'!AH59+'RO P&amp;L'!AH60</f>
        <v>-3500</v>
      </c>
      <c r="AI60" s="60">
        <f>'HU P&amp;L'!AI60+'SK P&amp;L'!AI60+'CZ P&amp;L'!AI59+'RO P&amp;L'!AI60</f>
        <v>-4500</v>
      </c>
      <c r="AJ60" s="60">
        <f>'HU P&amp;L'!AJ60+'SK P&amp;L'!AJ60+'CZ P&amp;L'!AJ59+'RO P&amp;L'!AJ60</f>
        <v>-4500</v>
      </c>
      <c r="AK60" s="60">
        <f>'HU P&amp;L'!AK60+'SK P&amp;L'!AK60+'CZ P&amp;L'!AK59+'RO P&amp;L'!AK60</f>
        <v>-3500</v>
      </c>
      <c r="AL60" s="60">
        <f>'HU P&amp;L'!AL60+'SK P&amp;L'!AL60+'CZ P&amp;L'!AL59+'RO P&amp;L'!AL60</f>
        <v>-3000</v>
      </c>
      <c r="AM60" s="60">
        <f>'HU P&amp;L'!AM60+'SK P&amp;L'!AM60+'CZ P&amp;L'!AM59+'RO P&amp;L'!AM60</f>
        <v>-4500</v>
      </c>
      <c r="AN60" s="60">
        <f>'HU P&amp;L'!AN60+'SK P&amp;L'!AN60+'CZ P&amp;L'!AN59+'RO P&amp;L'!AN60</f>
        <v>-4000</v>
      </c>
      <c r="AO60" s="60">
        <f>'HU P&amp;L'!AO60+'SK P&amp;L'!AO60+'CZ P&amp;L'!AO59+'RO P&amp;L'!AO60</f>
        <v>-3500</v>
      </c>
      <c r="AP60" s="60">
        <f>'HU P&amp;L'!AP60+'SK P&amp;L'!AP60+'CZ P&amp;L'!AP59+'RO P&amp;L'!AP60</f>
        <v>-4500</v>
      </c>
      <c r="AQ60" s="60">
        <f>'HU P&amp;L'!AQ60+'SK P&amp;L'!AQ60+'CZ P&amp;L'!AQ59+'RO P&amp;L'!AQ60</f>
        <v>-5000</v>
      </c>
      <c r="AR60" s="60">
        <f>'HU P&amp;L'!AR60+'SK P&amp;L'!AR60+'CZ P&amp;L'!AR59+'RO P&amp;L'!AR60</f>
        <v>-3500</v>
      </c>
      <c r="AS60" s="60">
        <f>'HU P&amp;L'!AS60+'SK P&amp;L'!AS60+'CZ P&amp;L'!AS59+'RO P&amp;L'!AS60</f>
        <v>-3500</v>
      </c>
      <c r="AT60" s="60"/>
      <c r="AU60" s="61">
        <f>SUM(AH60:AS60)</f>
        <v>-47500</v>
      </c>
      <c r="AV60" s="89"/>
    </row>
    <row r="61" spans="2:48" ht="13" hidden="1" outlineLevel="1">
      <c r="B61" s="51" t="s">
        <v>124</v>
      </c>
      <c r="D61" s="59">
        <v>-13479</v>
      </c>
      <c r="E61" s="59">
        <v>-38207</v>
      </c>
      <c r="F61" s="59">
        <v>-43284</v>
      </c>
      <c r="G61" s="59">
        <v>-28747</v>
      </c>
      <c r="H61" s="59">
        <v>-28748</v>
      </c>
      <c r="I61" s="59">
        <v>-47705</v>
      </c>
      <c r="J61" s="59">
        <v>-36195</v>
      </c>
      <c r="K61" s="59">
        <v>-26889</v>
      </c>
      <c r="L61" s="59">
        <v>-97698</v>
      </c>
      <c r="M61" s="60">
        <v>-114500</v>
      </c>
      <c r="N61" s="60">
        <v>-46521</v>
      </c>
      <c r="O61" s="60">
        <v>-28400</v>
      </c>
      <c r="P61" s="60"/>
      <c r="Q61" s="61">
        <f t="shared" si="58"/>
        <v>-550373</v>
      </c>
      <c r="R61" s="509"/>
      <c r="S61" s="60">
        <f>'HU P&amp;L'!S61+'SK P&amp;L'!S61+'CZ P&amp;L'!S60+'RO P&amp;L'!S61</f>
        <v>0</v>
      </c>
      <c r="T61" s="60">
        <f>'HU P&amp;L'!T61+'SK P&amp;L'!T61+'CZ P&amp;L'!T60+'RO P&amp;L'!T61</f>
        <v>0</v>
      </c>
      <c r="U61" s="60">
        <f>'HU P&amp;L'!U61+'SK P&amp;L'!U61+'CZ P&amp;L'!U60+'RO P&amp;L'!U61</f>
        <v>0</v>
      </c>
      <c r="V61" s="60">
        <f>'HU P&amp;L'!V61+'SK P&amp;L'!V61+'CZ P&amp;L'!V60+'RO P&amp;L'!V61</f>
        <v>0</v>
      </c>
      <c r="W61" s="60">
        <f>'HU P&amp;L'!W61+'SK P&amp;L'!W61+'CZ P&amp;L'!W60+'RO P&amp;L'!W61</f>
        <v>0</v>
      </c>
      <c r="X61" s="60">
        <f>'HU P&amp;L'!X61+'SK P&amp;L'!X61+'CZ P&amp;L'!X60+'RO P&amp;L'!X61</f>
        <v>0</v>
      </c>
      <c r="Y61" s="60">
        <f>'HU P&amp;L'!Y61+'SK P&amp;L'!Y61+'CZ P&amp;L'!Y60+'RO P&amp;L'!Y61</f>
        <v>0</v>
      </c>
      <c r="Z61" s="60">
        <f>'HU P&amp;L'!Z61+'SK P&amp;L'!Z61+'CZ P&amp;L'!Z60+'RO P&amp;L'!Z61</f>
        <v>0</v>
      </c>
      <c r="AA61" s="60">
        <f>'HU P&amp;L'!AA61+'SK P&amp;L'!AA61+'CZ P&amp;L'!AA60+'RO P&amp;L'!AA61</f>
        <v>0</v>
      </c>
      <c r="AB61" s="60">
        <f>'HU P&amp;L'!AB61+'SK P&amp;L'!AB61+'CZ P&amp;L'!AB60+'RO P&amp;L'!AB61</f>
        <v>0</v>
      </c>
      <c r="AC61" s="60">
        <f>'HU P&amp;L'!AC61+'SK P&amp;L'!AC61+'CZ P&amp;L'!AC60+'RO P&amp;L'!AC61</f>
        <v>0</v>
      </c>
      <c r="AD61" s="60">
        <f>'HU P&amp;L'!AD61+'SK P&amp;L'!AD61+'CZ P&amp;L'!AD60+'RO P&amp;L'!AD61</f>
        <v>0</v>
      </c>
      <c r="AE61" s="60"/>
      <c r="AF61" s="61">
        <f t="shared" ref="AF61:AF69" si="61">SUM(S61:AD61)</f>
        <v>0</v>
      </c>
      <c r="AG61" s="89"/>
      <c r="AH61" s="60">
        <f>'HU P&amp;L'!AH61+'SK P&amp;L'!AH61+'CZ P&amp;L'!AH60+'RO P&amp;L'!AH61</f>
        <v>0</v>
      </c>
      <c r="AI61" s="60">
        <f>'HU P&amp;L'!AI61+'SK P&amp;L'!AI61+'CZ P&amp;L'!AI60+'RO P&amp;L'!AI61</f>
        <v>0</v>
      </c>
      <c r="AJ61" s="60">
        <f>'HU P&amp;L'!AJ61+'SK P&amp;L'!AJ61+'CZ P&amp;L'!AJ60+'RO P&amp;L'!AJ61</f>
        <v>0</v>
      </c>
      <c r="AK61" s="60">
        <f>'HU P&amp;L'!AK61+'SK P&amp;L'!AK61+'CZ P&amp;L'!AK60+'RO P&amp;L'!AK61</f>
        <v>0</v>
      </c>
      <c r="AL61" s="60">
        <f>'HU P&amp;L'!AL61+'SK P&amp;L'!AL61+'CZ P&amp;L'!AL60+'RO P&amp;L'!AL61</f>
        <v>0</v>
      </c>
      <c r="AM61" s="60">
        <f>'HU P&amp;L'!AM61+'SK P&amp;L'!AM61+'CZ P&amp;L'!AM60+'RO P&amp;L'!AM61</f>
        <v>0</v>
      </c>
      <c r="AN61" s="60">
        <f>'HU P&amp;L'!AN61+'SK P&amp;L'!AN61+'CZ P&amp;L'!AN60+'RO P&amp;L'!AN61</f>
        <v>0</v>
      </c>
      <c r="AO61" s="60">
        <f>'HU P&amp;L'!AO61+'SK P&amp;L'!AO61+'CZ P&amp;L'!AO60+'RO P&amp;L'!AO61</f>
        <v>0</v>
      </c>
      <c r="AP61" s="60">
        <f>'HU P&amp;L'!AP61+'SK P&amp;L'!AP61+'CZ P&amp;L'!AP60+'RO P&amp;L'!AP61</f>
        <v>0</v>
      </c>
      <c r="AQ61" s="60">
        <f>'HU P&amp;L'!AQ61+'SK P&amp;L'!AQ61+'CZ P&amp;L'!AQ60+'RO P&amp;L'!AQ61</f>
        <v>0</v>
      </c>
      <c r="AR61" s="60">
        <f>'HU P&amp;L'!AR61+'SK P&amp;L'!AR61+'CZ P&amp;L'!AR60+'RO P&amp;L'!AR61</f>
        <v>0</v>
      </c>
      <c r="AS61" s="60">
        <f>'HU P&amp;L'!AS61+'SK P&amp;L'!AS61+'CZ P&amp;L'!AS60+'RO P&amp;L'!AS61</f>
        <v>0</v>
      </c>
      <c r="AT61" s="60"/>
      <c r="AU61" s="61">
        <f t="shared" ref="AU61:AU69" si="62">SUM(AH61:AS61)</f>
        <v>0</v>
      </c>
      <c r="AV61" s="89"/>
    </row>
    <row r="62" spans="2:48" ht="13" hidden="1" outlineLevel="1">
      <c r="B62" s="51" t="s">
        <v>125</v>
      </c>
      <c r="D62" s="59">
        <v>-10767</v>
      </c>
      <c r="E62" s="59">
        <v>-29471</v>
      </c>
      <c r="F62" s="59">
        <v>-31653</v>
      </c>
      <c r="G62" s="59">
        <v>-15933</v>
      </c>
      <c r="H62" s="59">
        <v>-15300</v>
      </c>
      <c r="I62" s="59">
        <v>-25258</v>
      </c>
      <c r="J62" s="59">
        <v>-29820</v>
      </c>
      <c r="K62" s="59">
        <v>-14658</v>
      </c>
      <c r="L62" s="59">
        <v>-45464</v>
      </c>
      <c r="M62" s="60">
        <v>-44933</v>
      </c>
      <c r="N62" s="60">
        <v>-18636</v>
      </c>
      <c r="O62" s="60">
        <v>-9880</v>
      </c>
      <c r="P62" s="60"/>
      <c r="Q62" s="61">
        <f t="shared" si="58"/>
        <v>-291773</v>
      </c>
      <c r="R62" s="509"/>
      <c r="S62" s="60">
        <f>'HU P&amp;L'!S62+'SK P&amp;L'!S62+'CZ P&amp;L'!S61+'RO P&amp;L'!S62</f>
        <v>0</v>
      </c>
      <c r="T62" s="60">
        <f>'HU P&amp;L'!T62+'SK P&amp;L'!T62+'CZ P&amp;L'!T61+'RO P&amp;L'!T62</f>
        <v>0</v>
      </c>
      <c r="U62" s="60">
        <f>'HU P&amp;L'!U62+'SK P&amp;L'!U62+'CZ P&amp;L'!U61+'RO P&amp;L'!U62</f>
        <v>0</v>
      </c>
      <c r="V62" s="60">
        <f>'HU P&amp;L'!V62+'SK P&amp;L'!V62+'CZ P&amp;L'!V61+'RO P&amp;L'!V62</f>
        <v>0</v>
      </c>
      <c r="W62" s="60">
        <f>'HU P&amp;L'!W62+'SK P&amp;L'!W62+'CZ P&amp;L'!W61+'RO P&amp;L'!W62</f>
        <v>0</v>
      </c>
      <c r="X62" s="60">
        <f>'HU P&amp;L'!X62+'SK P&amp;L'!X62+'CZ P&amp;L'!X61+'RO P&amp;L'!X62</f>
        <v>0</v>
      </c>
      <c r="Y62" s="60">
        <f>'HU P&amp;L'!Y62+'SK P&amp;L'!Y62+'CZ P&amp;L'!Y61+'RO P&amp;L'!Y62</f>
        <v>0</v>
      </c>
      <c r="Z62" s="60">
        <f>'HU P&amp;L'!Z62+'SK P&amp;L'!Z62+'CZ P&amp;L'!Z61+'RO P&amp;L'!Z62</f>
        <v>0</v>
      </c>
      <c r="AA62" s="60">
        <f>'HU P&amp;L'!AA62+'SK P&amp;L'!AA62+'CZ P&amp;L'!AA61+'RO P&amp;L'!AA62</f>
        <v>0</v>
      </c>
      <c r="AB62" s="60">
        <f>'HU P&amp;L'!AB62+'SK P&amp;L'!AB62+'CZ P&amp;L'!AB61+'RO P&amp;L'!AB62</f>
        <v>0</v>
      </c>
      <c r="AC62" s="60">
        <f>'HU P&amp;L'!AC62+'SK P&amp;L'!AC62+'CZ P&amp;L'!AC61+'RO P&amp;L'!AC62</f>
        <v>0</v>
      </c>
      <c r="AD62" s="60">
        <f>'HU P&amp;L'!AD62+'SK P&amp;L'!AD62+'CZ P&amp;L'!AD61+'RO P&amp;L'!AD62</f>
        <v>0</v>
      </c>
      <c r="AE62" s="60"/>
      <c r="AF62" s="61">
        <f t="shared" si="61"/>
        <v>0</v>
      </c>
      <c r="AG62" s="89"/>
      <c r="AH62" s="60">
        <f>'HU P&amp;L'!AH62+'SK P&amp;L'!AH62+'CZ P&amp;L'!AH61+'RO P&amp;L'!AH62</f>
        <v>0</v>
      </c>
      <c r="AI62" s="60">
        <f>'HU P&amp;L'!AI62+'SK P&amp;L'!AI62+'CZ P&amp;L'!AI61+'RO P&amp;L'!AI62</f>
        <v>0</v>
      </c>
      <c r="AJ62" s="60">
        <f>'HU P&amp;L'!AJ62+'SK P&amp;L'!AJ62+'CZ P&amp;L'!AJ61+'RO P&amp;L'!AJ62</f>
        <v>0</v>
      </c>
      <c r="AK62" s="60">
        <f>'HU P&amp;L'!AK62+'SK P&amp;L'!AK62+'CZ P&amp;L'!AK61+'RO P&amp;L'!AK62</f>
        <v>0</v>
      </c>
      <c r="AL62" s="60">
        <f>'HU P&amp;L'!AL62+'SK P&amp;L'!AL62+'CZ P&amp;L'!AL61+'RO P&amp;L'!AL62</f>
        <v>0</v>
      </c>
      <c r="AM62" s="60">
        <f>'HU P&amp;L'!AM62+'SK P&amp;L'!AM62+'CZ P&amp;L'!AM61+'RO P&amp;L'!AM62</f>
        <v>0</v>
      </c>
      <c r="AN62" s="60">
        <f>'HU P&amp;L'!AN62+'SK P&amp;L'!AN62+'CZ P&amp;L'!AN61+'RO P&amp;L'!AN62</f>
        <v>0</v>
      </c>
      <c r="AO62" s="60">
        <f>'HU P&amp;L'!AO62+'SK P&amp;L'!AO62+'CZ P&amp;L'!AO61+'RO P&amp;L'!AO62</f>
        <v>0</v>
      </c>
      <c r="AP62" s="60">
        <f>'HU P&amp;L'!AP62+'SK P&amp;L'!AP62+'CZ P&amp;L'!AP61+'RO P&amp;L'!AP62</f>
        <v>0</v>
      </c>
      <c r="AQ62" s="60">
        <f>'HU P&amp;L'!AQ62+'SK P&amp;L'!AQ62+'CZ P&amp;L'!AQ61+'RO P&amp;L'!AQ62</f>
        <v>0</v>
      </c>
      <c r="AR62" s="60">
        <f>'HU P&amp;L'!AR62+'SK P&amp;L'!AR62+'CZ P&amp;L'!AR61+'RO P&amp;L'!AR62</f>
        <v>0</v>
      </c>
      <c r="AS62" s="60">
        <f>'HU P&amp;L'!AS62+'SK P&amp;L'!AS62+'CZ P&amp;L'!AS61+'RO P&amp;L'!AS62</f>
        <v>0</v>
      </c>
      <c r="AT62" s="60"/>
      <c r="AU62" s="61">
        <f t="shared" si="62"/>
        <v>0</v>
      </c>
      <c r="AV62" s="89"/>
    </row>
    <row r="63" spans="2:48" ht="13" hidden="1" outlineLevel="1">
      <c r="B63" s="51" t="s">
        <v>126</v>
      </c>
      <c r="D63" s="59">
        <v>-10152</v>
      </c>
      <c r="E63" s="59">
        <v>-34857</v>
      </c>
      <c r="F63" s="59">
        <v>-49998</v>
      </c>
      <c r="G63" s="59">
        <v>-20869</v>
      </c>
      <c r="H63" s="59">
        <v>-21287</v>
      </c>
      <c r="I63" s="59">
        <v>-35870</v>
      </c>
      <c r="J63" s="59">
        <v>-37382</v>
      </c>
      <c r="K63" s="59">
        <v>-38083</v>
      </c>
      <c r="L63" s="59">
        <v>-112369</v>
      </c>
      <c r="M63" s="60">
        <v>-67655</v>
      </c>
      <c r="N63" s="60">
        <v>-29818</v>
      </c>
      <c r="O63" s="60">
        <v>-15520</v>
      </c>
      <c r="P63" s="60"/>
      <c r="Q63" s="61">
        <f t="shared" si="58"/>
        <v>-473860</v>
      </c>
      <c r="R63" s="509"/>
      <c r="S63" s="60">
        <f>'HU P&amp;L'!S63+'SK P&amp;L'!S63+'CZ P&amp;L'!S62+'RO P&amp;L'!S63</f>
        <v>0</v>
      </c>
      <c r="T63" s="60">
        <f>'HU P&amp;L'!T63+'SK P&amp;L'!T63+'CZ P&amp;L'!T62+'RO P&amp;L'!T63</f>
        <v>0</v>
      </c>
      <c r="U63" s="60">
        <f>'HU P&amp;L'!U63+'SK P&amp;L'!U63+'CZ P&amp;L'!U62+'RO P&amp;L'!U63</f>
        <v>0</v>
      </c>
      <c r="V63" s="60">
        <f>'HU P&amp;L'!V63+'SK P&amp;L'!V63+'CZ P&amp;L'!V62+'RO P&amp;L'!V63</f>
        <v>0</v>
      </c>
      <c r="W63" s="60">
        <f>'HU P&amp;L'!W63+'SK P&amp;L'!W63+'CZ P&amp;L'!W62+'RO P&amp;L'!W63</f>
        <v>0</v>
      </c>
      <c r="X63" s="60">
        <f>'HU P&amp;L'!X63+'SK P&amp;L'!X63+'CZ P&amp;L'!X62+'RO P&amp;L'!X63</f>
        <v>0</v>
      </c>
      <c r="Y63" s="60">
        <f>'HU P&amp;L'!Y63+'SK P&amp;L'!Y63+'CZ P&amp;L'!Y62+'RO P&amp;L'!Y63</f>
        <v>0</v>
      </c>
      <c r="Z63" s="60">
        <f>'HU P&amp;L'!Z63+'SK P&amp;L'!Z63+'CZ P&amp;L'!Z62+'RO P&amp;L'!Z63</f>
        <v>0</v>
      </c>
      <c r="AA63" s="60">
        <f>'HU P&amp;L'!AA63+'SK P&amp;L'!AA63+'CZ P&amp;L'!AA62+'RO P&amp;L'!AA63</f>
        <v>0</v>
      </c>
      <c r="AB63" s="60">
        <f>'HU P&amp;L'!AB63+'SK P&amp;L'!AB63+'CZ P&amp;L'!AB62+'RO P&amp;L'!AB63</f>
        <v>0</v>
      </c>
      <c r="AC63" s="60">
        <f>'HU P&amp;L'!AC63+'SK P&amp;L'!AC63+'CZ P&amp;L'!AC62+'RO P&amp;L'!AC63</f>
        <v>0</v>
      </c>
      <c r="AD63" s="60">
        <f>'HU P&amp;L'!AD63+'SK P&amp;L'!AD63+'CZ P&amp;L'!AD62+'RO P&amp;L'!AD63</f>
        <v>0</v>
      </c>
      <c r="AE63" s="60"/>
      <c r="AF63" s="61">
        <f t="shared" si="61"/>
        <v>0</v>
      </c>
      <c r="AG63" s="89"/>
      <c r="AH63" s="60">
        <f>'HU P&amp;L'!AH63+'SK P&amp;L'!AH63+'CZ P&amp;L'!AH62+'RO P&amp;L'!AH63</f>
        <v>0</v>
      </c>
      <c r="AI63" s="60">
        <f>'HU P&amp;L'!AI63+'SK P&amp;L'!AI63+'CZ P&amp;L'!AI62+'RO P&amp;L'!AI63</f>
        <v>0</v>
      </c>
      <c r="AJ63" s="60">
        <f>'HU P&amp;L'!AJ63+'SK P&amp;L'!AJ63+'CZ P&amp;L'!AJ62+'RO P&amp;L'!AJ63</f>
        <v>0</v>
      </c>
      <c r="AK63" s="60">
        <f>'HU P&amp;L'!AK63+'SK P&amp;L'!AK63+'CZ P&amp;L'!AK62+'RO P&amp;L'!AK63</f>
        <v>0</v>
      </c>
      <c r="AL63" s="60">
        <f>'HU P&amp;L'!AL63+'SK P&amp;L'!AL63+'CZ P&amp;L'!AL62+'RO P&amp;L'!AL63</f>
        <v>0</v>
      </c>
      <c r="AM63" s="60">
        <f>'HU P&amp;L'!AM63+'SK P&amp;L'!AM63+'CZ P&amp;L'!AM62+'RO P&amp;L'!AM63</f>
        <v>0</v>
      </c>
      <c r="AN63" s="60">
        <f>'HU P&amp;L'!AN63+'SK P&amp;L'!AN63+'CZ P&amp;L'!AN62+'RO P&amp;L'!AN63</f>
        <v>0</v>
      </c>
      <c r="AO63" s="60">
        <f>'HU P&amp;L'!AO63+'SK P&amp;L'!AO63+'CZ P&amp;L'!AO62+'RO P&amp;L'!AO63</f>
        <v>0</v>
      </c>
      <c r="AP63" s="60">
        <f>'HU P&amp;L'!AP63+'SK P&amp;L'!AP63+'CZ P&amp;L'!AP62+'RO P&amp;L'!AP63</f>
        <v>0</v>
      </c>
      <c r="AQ63" s="60">
        <f>'HU P&amp;L'!AQ63+'SK P&amp;L'!AQ63+'CZ P&amp;L'!AQ62+'RO P&amp;L'!AQ63</f>
        <v>0</v>
      </c>
      <c r="AR63" s="60">
        <f>'HU P&amp;L'!AR63+'SK P&amp;L'!AR63+'CZ P&amp;L'!AR62+'RO P&amp;L'!AR63</f>
        <v>0</v>
      </c>
      <c r="AS63" s="60">
        <f>'HU P&amp;L'!AS63+'SK P&amp;L'!AS63+'CZ P&amp;L'!AS62+'RO P&amp;L'!AS63</f>
        <v>0</v>
      </c>
      <c r="AT63" s="60"/>
      <c r="AU63" s="61">
        <f t="shared" si="62"/>
        <v>0</v>
      </c>
      <c r="AV63" s="89"/>
    </row>
    <row r="64" spans="2:48" hidden="1" outlineLevel="2">
      <c r="B64" s="51" t="s">
        <v>127</v>
      </c>
      <c r="D64" s="59">
        <v>-6831</v>
      </c>
      <c r="E64" s="59">
        <v>-10472</v>
      </c>
      <c r="F64" s="59">
        <v>-13734</v>
      </c>
      <c r="G64" s="59">
        <v>-5590</v>
      </c>
      <c r="H64" s="59">
        <v>-7983</v>
      </c>
      <c r="I64" s="59">
        <v>-12593</v>
      </c>
      <c r="J64" s="59">
        <v>-14567</v>
      </c>
      <c r="K64" s="59"/>
      <c r="L64" s="59"/>
      <c r="M64" s="60"/>
      <c r="N64" s="60"/>
      <c r="O64" s="60"/>
      <c r="P64" s="60"/>
      <c r="Q64" s="61">
        <f>SUM(D64:O64)</f>
        <v>-71770</v>
      </c>
      <c r="R64" s="510"/>
      <c r="S64" s="60">
        <f>-SUMIFS(B2B!V$144:V$162,B2B!$C$144:$C$162,LEFT($B$2,2))</f>
        <v>-1000</v>
      </c>
      <c r="T64" s="60">
        <f>-SUMIFS(B2B!W$144:W$162,B2B!$C$144:$C$162,LEFT($B$2,2))</f>
        <v>-2250</v>
      </c>
      <c r="U64" s="60">
        <f>-SUMIFS(B2B!X$144:X$162,B2B!$C$144:$C$162,LEFT($B$2,2))</f>
        <v>-1500</v>
      </c>
      <c r="V64" s="60">
        <f>-SUMIFS(B2B!Y$144:Y$162,B2B!$C$144:$C$162,LEFT($B$2,2))</f>
        <v>-1606.4682214808468</v>
      </c>
      <c r="W64" s="60">
        <f>-SUMIFS(B2B!Z$144:Z$162,B2B!$C$144:$C$162,LEFT($B$2,2))</f>
        <v>-2474.4749535755095</v>
      </c>
      <c r="X64" s="60">
        <f>-SUMIFS(B2B!AA$144:AA$162,B2B!$C$144:$C$162,LEFT($B$2,2))</f>
        <v>-1626.7087761011157</v>
      </c>
      <c r="Y64" s="60">
        <f>-SUMIFS(B2B!AB$144:AB$162,B2B!$C$144:$C$162,LEFT($B$2,2))</f>
        <v>-1379.7757859498329</v>
      </c>
      <c r="Z64" s="60">
        <f>-SUMIFS(B2B!AC$144:AC$162,B2B!$C$144:$C$162,LEFT($B$2,2))</f>
        <v>-2990.5344169551395</v>
      </c>
      <c r="AA64" s="60">
        <f>-SUMIFS(B2B!AD$144:AD$162,B2B!$C$144:$C$162,LEFT($B$2,2))</f>
        <v>-1373.0296842162186</v>
      </c>
      <c r="AB64" s="60">
        <f>-SUMIFS(B2B!AE$144:AE$162,B2B!$C$144:$C$162,LEFT($B$2,2))</f>
        <v>-2460.2345797213111</v>
      </c>
      <c r="AC64" s="60">
        <f>-SUMIFS(B2B!AF$144:AF$162,B2B!$C$144:$C$162,LEFT($B$2,2))</f>
        <v>-2013.6766918545118</v>
      </c>
      <c r="AD64" s="60">
        <f>-SUMIFS(B2B!AG$144:AG$162,B2B!$C$144:$C$162,LEFT($B$2,2))</f>
        <v>-1684.7632855082952</v>
      </c>
      <c r="AE64" s="60"/>
      <c r="AF64" s="61">
        <f>SUM(S64:AD64)</f>
        <v>-22359.666395362779</v>
      </c>
      <c r="AG64" s="89"/>
      <c r="AH64" s="60">
        <f>-SUMIFS(B2B!AK$144:AK$162,B2B!$C$144:$C$162,LEFT($B$2,2))</f>
        <v>-787.5</v>
      </c>
      <c r="AI64" s="60">
        <f>-SUMIFS(B2B!AL$144:AL$162,B2B!$C$144:$C$162,LEFT($B$2,2))</f>
        <v>-1575</v>
      </c>
      <c r="AJ64" s="60">
        <f>-SUMIFS(B2B!AM$144:AM$162,B2B!$C$144:$C$162,LEFT($B$2,2))</f>
        <v>-1312.5</v>
      </c>
      <c r="AK64" s="60">
        <f>-SUMIFS(B2B!AN$144:AN$162,B2B!$C$144:$C$162,LEFT($B$2,2))</f>
        <v>-1298.291632554889</v>
      </c>
      <c r="AL64" s="60">
        <f>-SUMIFS(B2B!AO$144:AO$162,B2B!$C$144:$C$162,LEFT($B$2,2))</f>
        <v>-1810.698701254285</v>
      </c>
      <c r="AM64" s="60">
        <f>-SUMIFS(B2B!AP$144:AP$162,B2B!$C$144:$C$162,LEFT($B$2,2))</f>
        <v>-1445.5442149061714</v>
      </c>
      <c r="AN64" s="60">
        <f>-SUMIFS(B2B!AQ$144:AQ$162,B2B!$C$144:$C$162,LEFT($B$2,2))</f>
        <v>-1060.2645752473245</v>
      </c>
      <c r="AO64" s="60">
        <f>-SUMIFS(B2B!AR$144:AR$162,B2B!$C$144:$C$162,LEFT($B$2,2))</f>
        <v>-2352.5611378028966</v>
      </c>
      <c r="AP64" s="60">
        <f>-SUMIFS(B2B!AS$144:AS$162,B2B!$C$144:$C$162,LEFT($B$2,2))</f>
        <v>-1179.1811684270297</v>
      </c>
      <c r="AQ64" s="60">
        <f>-SUMIFS(B2B!AT$144:AT$162,B2B!$C$144:$C$162,LEFT($B$2,2))</f>
        <v>-1795.7463087073768</v>
      </c>
      <c r="AR64" s="60">
        <f>-SUMIFS(B2B!AU$144:AU$162,B2B!$C$144:$C$162,LEFT($B$2,2))</f>
        <v>-1589.3605264472374</v>
      </c>
      <c r="AS64" s="60">
        <f>-SUMIFS(B2B!AV$144:AV$162,B2B!$C$144:$C$162,LEFT($B$2,2))</f>
        <v>-1244.0014497837101</v>
      </c>
      <c r="AT64" s="60"/>
      <c r="AU64" s="61">
        <f>SUM(AH64:AS64)</f>
        <v>-17450.64971513092</v>
      </c>
      <c r="AV64" s="89"/>
    </row>
    <row r="65" spans="2:48" hidden="1" outlineLevel="2">
      <c r="B65" s="51" t="s">
        <v>128</v>
      </c>
      <c r="D65" s="59"/>
      <c r="E65" s="59"/>
      <c r="F65" s="59"/>
      <c r="G65" s="59"/>
      <c r="H65" s="59"/>
      <c r="I65" s="59"/>
      <c r="J65" s="59"/>
      <c r="K65" s="59"/>
      <c r="L65" s="59"/>
      <c r="M65" s="60"/>
      <c r="N65" s="60"/>
      <c r="O65" s="60"/>
      <c r="P65" s="60"/>
      <c r="Q65" s="61">
        <f>SUM(D65:O65)</f>
        <v>0</v>
      </c>
      <c r="R65" s="510"/>
      <c r="S65" s="60">
        <f>-SUMIFS(B2B!V$124:V$142,B2B!$C$124:$C$142,LEFT($B$2,2))</f>
        <v>-1000</v>
      </c>
      <c r="T65" s="60">
        <f>-SUMIFS(B2B!W$124:W$142,B2B!$C$124:$C$142,LEFT($B$2,2))</f>
        <v>-2250</v>
      </c>
      <c r="U65" s="60">
        <f>-SUMIFS(B2B!X$124:X$142,B2B!$C$124:$C$142,LEFT($B$2,2))</f>
        <v>-1500</v>
      </c>
      <c r="V65" s="60">
        <f>-SUMIFS(B2B!Y$124:Y$142,B2B!$C$124:$C$142,LEFT($B$2,2))</f>
        <v>-1606.4682214808468</v>
      </c>
      <c r="W65" s="60">
        <f>-SUMIFS(B2B!Z$124:Z$142,B2B!$C$124:$C$142,LEFT($B$2,2))</f>
        <v>-2474.4749535755095</v>
      </c>
      <c r="X65" s="60">
        <f>-SUMIFS(B2B!AA$124:AA$142,B2B!$C$124:$C$142,LEFT($B$2,2))</f>
        <v>-1626.7087761011157</v>
      </c>
      <c r="Y65" s="60">
        <f>-SUMIFS(B2B!AB$124:AB$142,B2B!$C$124:$C$142,LEFT($B$2,2))</f>
        <v>-1379.7757859498329</v>
      </c>
      <c r="Z65" s="60">
        <f>-SUMIFS(B2B!AC$124:AC$142,B2B!$C$124:$C$142,LEFT($B$2,2))</f>
        <v>-2990.5344169551395</v>
      </c>
      <c r="AA65" s="60">
        <f>-SUMIFS(B2B!AD$124:AD$142,B2B!$C$124:$C$142,LEFT($B$2,2))</f>
        <v>-1373.0296842162186</v>
      </c>
      <c r="AB65" s="60">
        <f>-SUMIFS(B2B!AE$124:AE$142,B2B!$C$124:$C$142,LEFT($B$2,2))</f>
        <v>-2460.2345797213111</v>
      </c>
      <c r="AC65" s="60">
        <f>-SUMIFS(B2B!AF$124:AF$142,B2B!$C$124:$C$142,LEFT($B$2,2))</f>
        <v>-2013.6766918545118</v>
      </c>
      <c r="AD65" s="60">
        <f>-SUMIFS(B2B!AG$124:AG$142,B2B!$C$124:$C$142,LEFT($B$2,2))</f>
        <v>-1684.7632855082952</v>
      </c>
      <c r="AE65" s="60"/>
      <c r="AF65" s="61">
        <f>SUM(S65:AD65)</f>
        <v>-22359.666395362779</v>
      </c>
      <c r="AG65" s="89"/>
      <c r="AH65" s="60">
        <f>-SUMIFS(B2B!AK$124:AK$142,B2B!$C$124:$C$142,LEFT($B$2,2))</f>
        <v>-787.5</v>
      </c>
      <c r="AI65" s="60">
        <f>-SUMIFS(B2B!AL$124:AL$142,B2B!$C$124:$C$142,LEFT($B$2,2))</f>
        <v>-1575</v>
      </c>
      <c r="AJ65" s="60">
        <f>-SUMIFS(B2B!AM$124:AM$142,B2B!$C$124:$C$142,LEFT($B$2,2))</f>
        <v>-1312.5</v>
      </c>
      <c r="AK65" s="60">
        <f>-SUMIFS(B2B!AN$124:AN$142,B2B!$C$124:$C$142,LEFT($B$2,2))</f>
        <v>-1040.2708162774445</v>
      </c>
      <c r="AL65" s="60">
        <f>-SUMIFS(B2B!AO$124:AO$142,B2B!$C$124:$C$142,LEFT($B$2,2))</f>
        <v>-1561.5993506271425</v>
      </c>
      <c r="AM65" s="60">
        <f>-SUMIFS(B2B!AP$124:AP$142,B2B!$C$124:$C$142,LEFT($B$2,2))</f>
        <v>-1247.7721074530857</v>
      </c>
      <c r="AN65" s="60">
        <f>-SUMIFS(B2B!AQ$124:AQ$142,B2B!$C$124:$C$142,LEFT($B$2,2))</f>
        <v>-986.88228762366225</v>
      </c>
      <c r="AO65" s="60">
        <f>-SUMIFS(B2B!AR$124:AR$142,B2B!$C$124:$C$142,LEFT($B$2,2))</f>
        <v>-2160.6555689014485</v>
      </c>
      <c r="AP65" s="60">
        <f>-SUMIFS(B2B!AS$124:AS$142,B2B!$C$124:$C$142,LEFT($B$2,2))</f>
        <v>-917.71558421351483</v>
      </c>
      <c r="AQ65" s="60">
        <f>-SUMIFS(B2B!AT$124:AT$142,B2B!$C$124:$C$142,LEFT($B$2,2))</f>
        <v>-1685.3731543536883</v>
      </c>
      <c r="AR65" s="60">
        <f>-SUMIFS(B2B!AU$124:AU$142,B2B!$C$124:$C$142,LEFT($B$2,2))</f>
        <v>-1450.9302632236186</v>
      </c>
      <c r="AS65" s="60">
        <f>-SUMIFS(B2B!AV$124:AV$142,B2B!$C$124:$C$142,LEFT($B$2,2))</f>
        <v>-1147.000724891855</v>
      </c>
      <c r="AT65" s="60"/>
      <c r="AU65" s="61">
        <f>SUM(AH65:AS65)</f>
        <v>-15873.199857565458</v>
      </c>
      <c r="AV65" s="89"/>
    </row>
    <row r="66" spans="2:48" hidden="1" outlineLevel="2">
      <c r="B66" s="51" t="s">
        <v>166</v>
      </c>
      <c r="D66" s="59"/>
      <c r="E66" s="59"/>
      <c r="F66" s="59"/>
      <c r="G66" s="59"/>
      <c r="H66" s="59"/>
      <c r="I66" s="59"/>
      <c r="J66" s="59"/>
      <c r="K66" s="59"/>
      <c r="L66" s="59">
        <v>-441</v>
      </c>
      <c r="M66" s="60"/>
      <c r="N66" s="60"/>
      <c r="O66" s="60"/>
      <c r="P66" s="60"/>
      <c r="Q66" s="61">
        <f t="shared" ref="Q66:Q67" si="63">SUM(D66:O66)</f>
        <v>-441</v>
      </c>
      <c r="R66" s="510"/>
      <c r="S66" s="60">
        <f>-SUMIFS(B2B!V$162:V$189,B2B!$C$162:$C$189,LEFT($B$2,2))</f>
        <v>-1950</v>
      </c>
      <c r="T66" s="60">
        <f>-SUMIFS(B2B!W$162:W$189,B2B!$C$162:$C$189,LEFT($B$2,2))</f>
        <v>-2545.4850000000001</v>
      </c>
      <c r="U66" s="60">
        <f>-SUMIFS(B2B!X$162:X$189,B2B!$C$162:$C$189,LEFT($B$2,2))</f>
        <v>-2458.4650000000001</v>
      </c>
      <c r="V66" s="60">
        <f>-SUMIFS(B2B!Y$162:Y$189,B2B!$C$162:$C$189,LEFT($B$2,2))</f>
        <v>-2575.6750000000002</v>
      </c>
      <c r="W66" s="60">
        <f>-SUMIFS(B2B!Z$162:Z$189,B2B!$C$162:$C$189,LEFT($B$2,2))</f>
        <v>-2450</v>
      </c>
      <c r="X66" s="60">
        <f>-SUMIFS(B2B!AA$162:AA$189,B2B!$C$162:$C$189,LEFT($B$2,2))</f>
        <v>-2576.0650000000001</v>
      </c>
      <c r="Y66" s="60">
        <f>-SUMIFS(B2B!AB$162:AB$189,B2B!$C$162:$C$189,LEFT($B$2,2))</f>
        <v>-1918.7200000000003</v>
      </c>
      <c r="Z66" s="60">
        <f>-SUMIFS(B2B!AC$162:AC$189,B2B!$C$162:$C$189,LEFT($B$2,2))</f>
        <v>-2400</v>
      </c>
      <c r="AA66" s="60">
        <f>-SUMIFS(B2B!AD$162:AD$189,B2B!$C$162:$C$189,LEFT($B$2,2))</f>
        <v>-4203.1025</v>
      </c>
      <c r="AB66" s="60">
        <f>-SUMIFS(B2B!AE$162:AE$189,B2B!$C$162:$C$189,LEFT($B$2,2))</f>
        <v>-5425</v>
      </c>
      <c r="AC66" s="60">
        <f>-SUMIFS(B2B!AF$162:AF$189,B2B!$C$162:$C$189,LEFT($B$2,2))</f>
        <v>-1950</v>
      </c>
      <c r="AD66" s="60">
        <f>-SUMIFS(B2B!AG$162:AG$189,B2B!$C$162:$C$189,LEFT($B$2,2))</f>
        <v>-2950</v>
      </c>
      <c r="AE66" s="60"/>
      <c r="AF66" s="61">
        <f>SUM(S66:AD66)</f>
        <v>-33402.512499999997</v>
      </c>
      <c r="AG66" s="89"/>
      <c r="AH66" s="60">
        <f>-SUMIFS(B2B!AK$162:AK$189,B2B!$C$162:$C$189,LEFT($B$2,2))</f>
        <v>-2047.5</v>
      </c>
      <c r="AI66" s="60">
        <f>-SUMIFS(B2B!AL$162:AL$189,B2B!$C$162:$C$189,LEFT($B$2,2))</f>
        <v>-2672.7592500000001</v>
      </c>
      <c r="AJ66" s="60">
        <f>-SUMIFS(B2B!AM$162:AM$189,B2B!$C$162:$C$189,LEFT($B$2,2))</f>
        <v>-2581.38825</v>
      </c>
      <c r="AK66" s="60">
        <f>-SUMIFS(B2B!AN$162:AN$189,B2B!$C$162:$C$189,LEFT($B$2,2))</f>
        <v>-2704.4587500000002</v>
      </c>
      <c r="AL66" s="60">
        <f>-SUMIFS(B2B!AO$162:AO$189,B2B!$C$162:$C$189,LEFT($B$2,2))</f>
        <v>-2572.5</v>
      </c>
      <c r="AM66" s="60">
        <f>-SUMIFS(B2B!AP$162:AP$189,B2B!$C$162:$C$189,LEFT($B$2,2))</f>
        <v>-2704.86825</v>
      </c>
      <c r="AN66" s="60">
        <f>-SUMIFS(B2B!AQ$162:AQ$189,B2B!$C$162:$C$189,LEFT($B$2,2))</f>
        <v>-2014.6560000000002</v>
      </c>
      <c r="AO66" s="60">
        <f>-SUMIFS(B2B!AR$162:AR$189,B2B!$C$162:$C$189,LEFT($B$2,2))</f>
        <v>-2520</v>
      </c>
      <c r="AP66" s="60">
        <f>-SUMIFS(B2B!AS$162:AS$189,B2B!$C$162:$C$189,LEFT($B$2,2))</f>
        <v>-4413.2576250000002</v>
      </c>
      <c r="AQ66" s="60">
        <f>-SUMIFS(B2B!AT$162:AT$189,B2B!$C$162:$C$189,LEFT($B$2,2))</f>
        <v>-5696.25</v>
      </c>
      <c r="AR66" s="60">
        <f>-SUMIFS(B2B!AU$162:AU$189,B2B!$C$162:$C$189,LEFT($B$2,2))</f>
        <v>-2047.5</v>
      </c>
      <c r="AS66" s="60">
        <f>-SUMIFS(B2B!AV$162:AV$189,B2B!$C$162:$C$189,LEFT($B$2,2))</f>
        <v>-3097.5</v>
      </c>
      <c r="AT66" s="60"/>
      <c r="AU66" s="61">
        <f>SUM(AH66:AS66)</f>
        <v>-35072.638124999998</v>
      </c>
      <c r="AV66" s="89"/>
    </row>
    <row r="67" spans="2:48" hidden="1" outlineLevel="2">
      <c r="B67" s="51" t="s">
        <v>129</v>
      </c>
      <c r="D67" s="59"/>
      <c r="E67" s="59"/>
      <c r="F67" s="59"/>
      <c r="G67" s="59"/>
      <c r="H67" s="59"/>
      <c r="I67" s="59"/>
      <c r="J67" s="59"/>
      <c r="K67" s="59"/>
      <c r="L67" s="59"/>
      <c r="M67" s="60"/>
      <c r="N67" s="60"/>
      <c r="O67" s="60"/>
      <c r="P67" s="60"/>
      <c r="Q67" s="61">
        <f t="shared" si="63"/>
        <v>0</v>
      </c>
      <c r="R67" s="503"/>
      <c r="S67" s="60">
        <f>-SUMIFS(B2B!V124:V204,B2B!$C$124:$C$204,"EE",B2B!$A$124:$A$204,"Trade Shows")</f>
        <v>0</v>
      </c>
      <c r="T67" s="60">
        <f>-SUMIFS(B2B!W124:W204,B2B!$C$124:$C$204,"EE",B2B!$A$124:$A$204,"Trade Shows")</f>
        <v>0</v>
      </c>
      <c r="U67" s="60">
        <f>-SUMIFS(B2B!X124:X204,B2B!$C$124:$C$204,"EE",B2B!$A$124:$A$204,"Trade Shows")</f>
        <v>0</v>
      </c>
      <c r="V67" s="60">
        <f>-SUMIFS(B2B!Y124:Y204,B2B!$C$124:$C$204,"EE",B2B!$A$124:$A$204,"Trade Shows")</f>
        <v>0</v>
      </c>
      <c r="W67" s="60">
        <f>-SUMIFS(B2B!Z124:Z204,B2B!$C$124:$C$204,"EE",B2B!$A$124:$A$204,"Trade Shows")</f>
        <v>0</v>
      </c>
      <c r="X67" s="60">
        <f>-SUMIFS(B2B!AA124:AA204,B2B!$C$124:$C$204,"EE",B2B!$A$124:$A$204,"Trade Shows")</f>
        <v>0</v>
      </c>
      <c r="Y67" s="60">
        <f>-SUMIFS(B2B!AB124:AB204,B2B!$C$124:$C$204,"EE",B2B!$A$124:$A$204,"Trade Shows")</f>
        <v>0</v>
      </c>
      <c r="Z67" s="60">
        <f>-SUMIFS(B2B!AC124:AC204,B2B!$C$124:$C$204,"EE",B2B!$A$124:$A$204,"Trade Shows")</f>
        <v>0</v>
      </c>
      <c r="AA67" s="60">
        <f>-SUMIFS(B2B!AD124:AD204,B2B!$C$124:$C$204,"EE",B2B!$A$124:$A$204,"Trade Shows")</f>
        <v>0</v>
      </c>
      <c r="AB67" s="60">
        <f>-SUMIFS(B2B!AE124:AE204,B2B!$C$124:$C$204,"EE",B2B!$A$124:$A$204,"Trade Shows")</f>
        <v>0</v>
      </c>
      <c r="AC67" s="60">
        <f>-SUMIFS(B2B!AF124:AF204,B2B!$C$124:$C$204,"EE",B2B!$A$124:$A$204,"Trade Shows")</f>
        <v>0</v>
      </c>
      <c r="AD67" s="60">
        <f>-SUMIFS(B2B!AG124:AG204,B2B!$C$124:$C$204,"EE",B2B!$A$124:$A$204,"Trade Shows")</f>
        <v>0</v>
      </c>
      <c r="AE67" s="60"/>
      <c r="AF67" s="61">
        <f>SUM(S67:AD67)</f>
        <v>0</v>
      </c>
      <c r="AG67" s="89"/>
      <c r="AH67" s="60">
        <f>-SUMIFS(B2B!AK124:AK204,B2B!$C$124:$C$204,"EE",B2B!$A$124:$A$204,"Trade Shows")</f>
        <v>0</v>
      </c>
      <c r="AI67" s="60">
        <f>-SUMIFS(B2B!AL124:AL204,B2B!$C$124:$C$204,"EE",B2B!$A$124:$A$204,"Trade Shows")</f>
        <v>0</v>
      </c>
      <c r="AJ67" s="60">
        <f>-SUMIFS(B2B!AM124:AM204,B2B!$C$124:$C$204,"EE",B2B!$A$124:$A$204,"Trade Shows")</f>
        <v>0</v>
      </c>
      <c r="AK67" s="60">
        <f>-SUMIFS(B2B!AN124:AN204,B2B!$C$124:$C$204,"EE",B2B!$A$124:$A$204,"Trade Shows")</f>
        <v>0</v>
      </c>
      <c r="AL67" s="60">
        <f>-SUMIFS(B2B!AO124:AO204,B2B!$C$124:$C$204,"EE",B2B!$A$124:$A$204,"Trade Shows")</f>
        <v>0</v>
      </c>
      <c r="AM67" s="60">
        <f>-SUMIFS(B2B!AP124:AP204,B2B!$C$124:$C$204,"EE",B2B!$A$124:$A$204,"Trade Shows")</f>
        <v>0</v>
      </c>
      <c r="AN67" s="60">
        <f>-SUMIFS(B2B!AQ124:AQ204,B2B!$C$124:$C$204,"EE",B2B!$A$124:$A$204,"Trade Shows")</f>
        <v>0</v>
      </c>
      <c r="AO67" s="60">
        <f>-SUMIFS(B2B!AR124:AR204,B2B!$C$124:$C$204,"EE",B2B!$A$124:$A$204,"Trade Shows")</f>
        <v>0</v>
      </c>
      <c r="AP67" s="60">
        <f>-SUMIFS(B2B!AS124:AS204,B2B!$C$124:$C$204,"EE",B2B!$A$124:$A$204,"Trade Shows")</f>
        <v>0</v>
      </c>
      <c r="AQ67" s="60">
        <f>-SUMIFS(B2B!AT124:AT204,B2B!$C$124:$C$204,"EE",B2B!$A$124:$A$204,"Trade Shows")</f>
        <v>0</v>
      </c>
      <c r="AR67" s="60">
        <f>-SUMIFS(B2B!AU124:AU204,B2B!$C$124:$C$204,"EE",B2B!$A$124:$A$204,"Trade Shows")</f>
        <v>0</v>
      </c>
      <c r="AS67" s="60">
        <f>-SUMIFS(B2B!AV124:AV204,B2B!$C$124:$C$204,"EE",B2B!$A$124:$A$204,"Trade Shows")</f>
        <v>0</v>
      </c>
      <c r="AT67" s="60"/>
      <c r="AU67" s="61">
        <f>SUM(AH67:AS67)</f>
        <v>0</v>
      </c>
      <c r="AV67" s="89"/>
    </row>
    <row r="68" spans="2:48" hidden="1" outlineLevel="2">
      <c r="B68" s="51" t="s">
        <v>130</v>
      </c>
      <c r="D68" s="59"/>
      <c r="E68" s="59"/>
      <c r="F68" s="59"/>
      <c r="G68" s="59"/>
      <c r="H68" s="59">
        <v>-18</v>
      </c>
      <c r="I68" s="59"/>
      <c r="J68" s="59"/>
      <c r="K68" s="59"/>
      <c r="L68" s="59"/>
      <c r="M68" s="60"/>
      <c r="N68" s="60"/>
      <c r="O68" s="60"/>
      <c r="P68" s="60"/>
      <c r="Q68" s="61">
        <f>SUM(D68:O68)</f>
        <v>-18</v>
      </c>
      <c r="R68" s="503"/>
      <c r="S68" s="60">
        <f>-SUMIF(Amazon!$B$53:$B$58,"EE",Amazon!Q53:Q58)</f>
        <v>0</v>
      </c>
      <c r="T68" s="60">
        <f>-SUMIF(Amazon!$B$53:$B$58,"EE",Amazon!R53:R58)</f>
        <v>0</v>
      </c>
      <c r="U68" s="60">
        <f>-SUMIF(Amazon!$B$53:$B$58,"EE",Amazon!S53:S58)</f>
        <v>0</v>
      </c>
      <c r="V68" s="60">
        <f>-SUMIF(Amazon!$B$53:$B$58,"EE",Amazon!T53:T58)</f>
        <v>0</v>
      </c>
      <c r="W68" s="60">
        <f>-SUMIF(Amazon!$B$53:$B$58,"EE",Amazon!U53:U58)</f>
        <v>0</v>
      </c>
      <c r="X68" s="60">
        <f>-SUMIF(Amazon!$B$53:$B$58,"EE",Amazon!V53:V58)</f>
        <v>0</v>
      </c>
      <c r="Y68" s="60">
        <f>-SUMIF(Amazon!$B$53:$B$58,"EE",Amazon!W53:W58)</f>
        <v>0</v>
      </c>
      <c r="Z68" s="60">
        <f>-SUMIF(Amazon!$B$53:$B$58,"EE",Amazon!X53:X58)</f>
        <v>0</v>
      </c>
      <c r="AA68" s="60">
        <f>-SUMIF(Amazon!$B$53:$B$58,"EE",Amazon!Y53:Y58)</f>
        <v>0</v>
      </c>
      <c r="AB68" s="60">
        <f>-SUMIF(Amazon!$B$53:$B$58,"EE",Amazon!Z53:Z58)</f>
        <v>0</v>
      </c>
      <c r="AC68" s="60">
        <f>-SUMIF(Amazon!$B$53:$B$58,"EE",Amazon!AA53:AA58)</f>
        <v>0</v>
      </c>
      <c r="AD68" s="60">
        <f>-SUMIF(Amazon!$B$53:$B$58,"EE",Amazon!AB53:AB58)</f>
        <v>0</v>
      </c>
      <c r="AE68" s="60"/>
      <c r="AF68" s="61">
        <f>SUM(S68:AD68)</f>
        <v>0</v>
      </c>
      <c r="AG68" s="89"/>
      <c r="AH68" s="60">
        <f>-SUMIF(Amazon!$B$53:$B$58,"EE",Amazon!AE53:AE58)</f>
        <v>0</v>
      </c>
      <c r="AI68" s="60">
        <f>-SUMIF(Amazon!$B$53:$B$58,"EE",Amazon!AF53:AF58)</f>
        <v>0</v>
      </c>
      <c r="AJ68" s="60">
        <f>-SUMIF(Amazon!$B$53:$B$58,"EE",Amazon!AG53:AG58)</f>
        <v>0</v>
      </c>
      <c r="AK68" s="60">
        <f>-SUMIF(Amazon!$B$53:$B$58,"EE",Amazon!AH53:AH58)</f>
        <v>0</v>
      </c>
      <c r="AL68" s="60">
        <f>-SUMIF(Amazon!$B$53:$B$58,"EE",Amazon!AI53:AI58)</f>
        <v>0</v>
      </c>
      <c r="AM68" s="60">
        <f>-SUMIF(Amazon!$B$53:$B$58,"EE",Amazon!AJ53:AJ58)</f>
        <v>0</v>
      </c>
      <c r="AN68" s="60">
        <f>-SUMIF(Amazon!$B$53:$B$58,"EE",Amazon!AK53:AK58)</f>
        <v>0</v>
      </c>
      <c r="AO68" s="60">
        <f>-SUMIF(Amazon!$B$53:$B$58,"EE",Amazon!AL53:AL58)</f>
        <v>0</v>
      </c>
      <c r="AP68" s="60">
        <f>-SUMIF(Amazon!$B$53:$B$58,"EE",Amazon!AM53:AM58)</f>
        <v>0</v>
      </c>
      <c r="AQ68" s="60">
        <f>-SUMIF(Amazon!$B$53:$B$58,"EE",Amazon!AN53:AN58)</f>
        <v>0</v>
      </c>
      <c r="AR68" s="60">
        <f>-SUMIF(Amazon!$B$53:$B$58,"EE",Amazon!AO53:AO58)</f>
        <v>0</v>
      </c>
      <c r="AS68" s="60">
        <f>-SUMIF(Amazon!$B$53:$B$58,"EE",Amazon!AP53:AP58)</f>
        <v>0</v>
      </c>
      <c r="AT68" s="60"/>
      <c r="AU68" s="61">
        <f>SUM(AH68:AS68)</f>
        <v>0</v>
      </c>
      <c r="AV68" s="89"/>
    </row>
    <row r="69" spans="2:48" hidden="1" outlineLevel="1">
      <c r="B69" s="51" t="s">
        <v>131</v>
      </c>
      <c r="D69" s="59"/>
      <c r="E69" s="59"/>
      <c r="F69" s="59"/>
      <c r="G69" s="59"/>
      <c r="H69" s="59"/>
      <c r="I69" s="59"/>
      <c r="J69" s="59"/>
      <c r="K69" s="59"/>
      <c r="L69" s="59"/>
      <c r="M69" s="60"/>
      <c r="N69" s="60"/>
      <c r="O69" s="60"/>
      <c r="P69" s="60"/>
      <c r="Q69" s="61">
        <f t="shared" si="58"/>
        <v>0</v>
      </c>
      <c r="R69" s="503"/>
      <c r="S69" s="60">
        <f>'HU P&amp;L'!S69+'SK P&amp;L'!S69+'CZ P&amp;L'!S67+'RO P&amp;L'!S69</f>
        <v>0</v>
      </c>
      <c r="T69" s="60">
        <f>'HU P&amp;L'!T69+'SK P&amp;L'!T69+'CZ P&amp;L'!T67+'RO P&amp;L'!T69</f>
        <v>0</v>
      </c>
      <c r="U69" s="60">
        <f>'HU P&amp;L'!U69+'SK P&amp;L'!U69+'CZ P&amp;L'!U67+'RO P&amp;L'!U69</f>
        <v>0</v>
      </c>
      <c r="V69" s="60">
        <f>'HU P&amp;L'!V69+'SK P&amp;L'!V69+'CZ P&amp;L'!V67+'RO P&amp;L'!V69</f>
        <v>0</v>
      </c>
      <c r="W69" s="60">
        <f>'HU P&amp;L'!W69+'SK P&amp;L'!W69+'CZ P&amp;L'!W67+'RO P&amp;L'!W69</f>
        <v>0</v>
      </c>
      <c r="X69" s="60">
        <f>'HU P&amp;L'!X69+'SK P&amp;L'!X69+'CZ P&amp;L'!X67+'RO P&amp;L'!X69</f>
        <v>0</v>
      </c>
      <c r="Y69" s="60">
        <f>'HU P&amp;L'!Y69+'SK P&amp;L'!Y69+'CZ P&amp;L'!Y67+'RO P&amp;L'!Y69</f>
        <v>0</v>
      </c>
      <c r="Z69" s="60">
        <f>'HU P&amp;L'!Z69+'SK P&amp;L'!Z69+'CZ P&amp;L'!Z67+'RO P&amp;L'!Z69</f>
        <v>0</v>
      </c>
      <c r="AA69" s="60">
        <f>'HU P&amp;L'!AA69+'SK P&amp;L'!AA69+'CZ P&amp;L'!AA67+'RO P&amp;L'!AA69</f>
        <v>0</v>
      </c>
      <c r="AB69" s="60">
        <f>'HU P&amp;L'!AB69+'SK P&amp;L'!AB69+'CZ P&amp;L'!AB67+'RO P&amp;L'!AB69</f>
        <v>0</v>
      </c>
      <c r="AC69" s="60">
        <f>'HU P&amp;L'!AC69+'SK P&amp;L'!AC69+'CZ P&amp;L'!AC67+'RO P&amp;L'!AC69</f>
        <v>0</v>
      </c>
      <c r="AD69" s="60">
        <f>'HU P&amp;L'!AD69+'SK P&amp;L'!AD69+'CZ P&amp;L'!AD67+'RO P&amp;L'!AD69</f>
        <v>0</v>
      </c>
      <c r="AE69" s="60"/>
      <c r="AF69" s="61">
        <f t="shared" si="61"/>
        <v>0</v>
      </c>
      <c r="AG69" s="89"/>
      <c r="AH69" s="60">
        <f>'HU P&amp;L'!AH69+'SK P&amp;L'!AH69+'CZ P&amp;L'!AH67+'RO P&amp;L'!AH69</f>
        <v>0</v>
      </c>
      <c r="AI69" s="60">
        <f>'HU P&amp;L'!AI69+'SK P&amp;L'!AI69+'CZ P&amp;L'!AI67+'RO P&amp;L'!AI69</f>
        <v>0</v>
      </c>
      <c r="AJ69" s="60">
        <f>'HU P&amp;L'!AJ69+'SK P&amp;L'!AJ69+'CZ P&amp;L'!AJ67+'RO P&amp;L'!AJ69</f>
        <v>0</v>
      </c>
      <c r="AK69" s="60">
        <f>'HU P&amp;L'!AK69+'SK P&amp;L'!AK69+'CZ P&amp;L'!AK67+'RO P&amp;L'!AK69</f>
        <v>0</v>
      </c>
      <c r="AL69" s="60">
        <f>'HU P&amp;L'!AL69+'SK P&amp;L'!AL69+'CZ P&amp;L'!AL67+'RO P&amp;L'!AL69</f>
        <v>0</v>
      </c>
      <c r="AM69" s="60">
        <f>'HU P&amp;L'!AM69+'SK P&amp;L'!AM69+'CZ P&amp;L'!AM67+'RO P&amp;L'!AM69</f>
        <v>0</v>
      </c>
      <c r="AN69" s="60">
        <f>'HU P&amp;L'!AN69+'SK P&amp;L'!AN69+'CZ P&amp;L'!AN67+'RO P&amp;L'!AN69</f>
        <v>0</v>
      </c>
      <c r="AO69" s="60">
        <f>'HU P&amp;L'!AO69+'SK P&amp;L'!AO69+'CZ P&amp;L'!AO67+'RO P&amp;L'!AO69</f>
        <v>0</v>
      </c>
      <c r="AP69" s="60">
        <f>'HU P&amp;L'!AP69+'SK P&amp;L'!AP69+'CZ P&amp;L'!AP67+'RO P&amp;L'!AP69</f>
        <v>0</v>
      </c>
      <c r="AQ69" s="60">
        <f>'HU P&amp;L'!AQ69+'SK P&amp;L'!AQ69+'CZ P&amp;L'!AQ67+'RO P&amp;L'!AQ69</f>
        <v>0</v>
      </c>
      <c r="AR69" s="60">
        <f>'HU P&amp;L'!AR69+'SK P&amp;L'!AR69+'CZ P&amp;L'!AR67+'RO P&amp;L'!AR69</f>
        <v>0</v>
      </c>
      <c r="AS69" s="60">
        <f>'HU P&amp;L'!AS69+'SK P&amp;L'!AS69+'CZ P&amp;L'!AS67+'RO P&amp;L'!AS69</f>
        <v>0</v>
      </c>
      <c r="AT69" s="60"/>
      <c r="AU69" s="61">
        <f t="shared" si="62"/>
        <v>0</v>
      </c>
      <c r="AV69" s="89"/>
    </row>
    <row r="70" spans="2:48" hidden="1" outlineLevel="1">
      <c r="D70" s="59"/>
      <c r="E70" s="59"/>
      <c r="F70" s="59"/>
      <c r="G70" s="59"/>
      <c r="H70" s="59"/>
      <c r="I70" s="59"/>
      <c r="J70" s="59"/>
      <c r="K70" s="59"/>
      <c r="L70" s="59"/>
      <c r="M70" s="60"/>
      <c r="N70" s="60"/>
      <c r="O70" s="60"/>
      <c r="Q70" s="61"/>
      <c r="R70" s="503"/>
      <c r="S70" s="83"/>
      <c r="T70" s="83"/>
      <c r="U70" s="83"/>
      <c r="V70" s="83"/>
      <c r="W70" s="83"/>
      <c r="AG70" s="89"/>
      <c r="AH70" s="83"/>
      <c r="AI70" s="83"/>
      <c r="AJ70" s="83"/>
      <c r="AK70" s="83"/>
      <c r="AL70" s="83"/>
      <c r="AV70" s="89"/>
    </row>
    <row r="71" spans="2:48" collapsed="1">
      <c r="B71" s="63" t="s">
        <v>132</v>
      </c>
      <c r="C71" s="52"/>
      <c r="D71" s="64">
        <f>SUM(D59:D69)</f>
        <v>-41354</v>
      </c>
      <c r="E71" s="64">
        <f t="shared" ref="E71:L71" si="64">SUM(E59:E69)</f>
        <v>-114747</v>
      </c>
      <c r="F71" s="64">
        <f t="shared" si="64"/>
        <v>-148934</v>
      </c>
      <c r="G71" s="64">
        <f t="shared" si="64"/>
        <v>-72186</v>
      </c>
      <c r="H71" s="64">
        <f t="shared" si="64"/>
        <v>-80186</v>
      </c>
      <c r="I71" s="64">
        <f t="shared" si="64"/>
        <v>-122379</v>
      </c>
      <c r="J71" s="64">
        <f t="shared" si="64"/>
        <v>-129111</v>
      </c>
      <c r="K71" s="64">
        <f t="shared" si="64"/>
        <v>-84284</v>
      </c>
      <c r="L71" s="64">
        <f t="shared" si="64"/>
        <v>-268889</v>
      </c>
      <c r="M71" s="65">
        <f t="shared" ref="M71:O71" si="65">SUM(M59:M70)</f>
        <v>-242306</v>
      </c>
      <c r="N71" s="65">
        <f t="shared" si="65"/>
        <v>-106768</v>
      </c>
      <c r="O71" s="65">
        <f t="shared" si="65"/>
        <v>-61345</v>
      </c>
      <c r="P71" s="61"/>
      <c r="Q71" s="65">
        <f>SUM(D71:O71)</f>
        <v>-1472489</v>
      </c>
      <c r="R71" s="505"/>
      <c r="S71" s="84">
        <f t="shared" ref="S71" si="66">SUM(S59:S70)</f>
        <v>-81971.350000000006</v>
      </c>
      <c r="T71" s="84">
        <f>SUM(T59:T70)</f>
        <v>-163733.88499999998</v>
      </c>
      <c r="U71" s="84">
        <f>SUM(U59:U70)</f>
        <v>-161223.76500000001</v>
      </c>
      <c r="V71" s="84">
        <f>SUM(V59:V70)</f>
        <v>-101897.81144296168</v>
      </c>
      <c r="W71" s="84">
        <f>SUM(W59:W70)</f>
        <v>-94646.949907151022</v>
      </c>
      <c r="X71" s="65">
        <f t="shared" ref="X71:AD71" si="67">SUM(X59:X70)</f>
        <v>-201666.88255220224</v>
      </c>
      <c r="Y71" s="65">
        <f t="shared" si="67"/>
        <v>-98263.371571899683</v>
      </c>
      <c r="Z71" s="65">
        <f t="shared" si="67"/>
        <v>-101634.96883391027</v>
      </c>
      <c r="AA71" s="65">
        <f t="shared" si="67"/>
        <v>-296449.16186843236</v>
      </c>
      <c r="AB71" s="65">
        <f t="shared" si="67"/>
        <v>-312345.46915944258</v>
      </c>
      <c r="AC71" s="65">
        <f t="shared" si="67"/>
        <v>-93477.353383709036</v>
      </c>
      <c r="AD71" s="65">
        <f t="shared" si="67"/>
        <v>-104319.52657101658</v>
      </c>
      <c r="AE71" s="61"/>
      <c r="AF71" s="65">
        <f>SUM(S71:AD71)</f>
        <v>-1811630.4952907255</v>
      </c>
      <c r="AG71" s="531">
        <f>IFERROR(AF71/Q71-1,0)</f>
        <v>0.23031852549711784</v>
      </c>
      <c r="AH71" s="84">
        <f t="shared" ref="AH71" si="68">SUM(AH59:AH70)</f>
        <v>-93810.65</v>
      </c>
      <c r="AI71" s="84">
        <f>SUM(AI59:AI70)</f>
        <v>-214126.53925</v>
      </c>
      <c r="AJ71" s="84">
        <f>SUM(AJ59:AJ70)</f>
        <v>-179677.03825000001</v>
      </c>
      <c r="AK71" s="84">
        <f>SUM(AK59:AK70)</f>
        <v>-117690.22119883235</v>
      </c>
      <c r="AL71" s="84">
        <f>SUM(AL59:AL70)</f>
        <v>-114087.55805188144</v>
      </c>
      <c r="AM71" s="65">
        <f t="shared" ref="AM71:AS71" si="69">SUM(AM59:AM70)</f>
        <v>-276918.10457235924</v>
      </c>
      <c r="AN71" s="65">
        <f t="shared" si="69"/>
        <v>-83194.452862870981</v>
      </c>
      <c r="AO71" s="65">
        <f t="shared" si="69"/>
        <v>-117338.44670670434</v>
      </c>
      <c r="AP71" s="65">
        <f t="shared" si="69"/>
        <v>-359760.15437764057</v>
      </c>
      <c r="AQ71" s="65">
        <f t="shared" si="69"/>
        <v>-357677.3694630611</v>
      </c>
      <c r="AR71" s="65">
        <f t="shared" si="69"/>
        <v>-93087.790789670864</v>
      </c>
      <c r="AS71" s="65">
        <f t="shared" si="69"/>
        <v>-118988.50217467557</v>
      </c>
      <c r="AT71" s="61"/>
      <c r="AU71" s="65">
        <f>SUM(AH71:AS71)</f>
        <v>-2126356.8276976962</v>
      </c>
      <c r="AV71" s="531">
        <f>IFERROR(AU71/AF71-1,0)</f>
        <v>0.17372545517703064</v>
      </c>
    </row>
    <row r="72" spans="2:48">
      <c r="D72" s="53"/>
      <c r="E72" s="53"/>
      <c r="F72" s="53"/>
      <c r="G72" s="53"/>
      <c r="H72" s="53"/>
      <c r="I72" s="53"/>
      <c r="J72" s="53"/>
      <c r="K72" s="53"/>
      <c r="L72" s="53"/>
      <c r="Q72" s="423">
        <f>Q71/Q12</f>
        <v>-0.26324235215186309</v>
      </c>
      <c r="R72" s="503"/>
      <c r="S72" s="88"/>
      <c r="T72" s="88"/>
      <c r="U72" s="88"/>
      <c r="V72" s="88"/>
      <c r="W72" s="88"/>
      <c r="AF72" s="91">
        <f ca="1">AF71/AF12</f>
        <v>-0.2648519993901059</v>
      </c>
      <c r="AG72" s="89"/>
      <c r="AH72" s="88"/>
      <c r="AI72" s="88"/>
      <c r="AJ72" s="88"/>
      <c r="AK72" s="88"/>
      <c r="AL72" s="88"/>
      <c r="AV72" s="89"/>
    </row>
    <row r="73" spans="2:48" hidden="1" outlineLevel="1">
      <c r="B73" s="67" t="s">
        <v>133</v>
      </c>
      <c r="C73" s="52"/>
      <c r="D73" s="68">
        <v>20438.660000000003</v>
      </c>
      <c r="E73" s="68">
        <v>175358.2</v>
      </c>
      <c r="F73" s="68">
        <v>98065.37</v>
      </c>
      <c r="G73" s="68">
        <v>3410.0100000000093</v>
      </c>
      <c r="H73" s="68">
        <v>10662.529999999984</v>
      </c>
      <c r="I73" s="68">
        <v>215807.65</v>
      </c>
      <c r="J73" s="68">
        <v>175619.2600000001</v>
      </c>
      <c r="K73" s="68">
        <v>-15643.149999999994</v>
      </c>
      <c r="L73" s="68">
        <v>245970</v>
      </c>
      <c r="M73" s="69">
        <f t="shared" ref="M73:O73" si="70">M45+SUM(M59:M63)</f>
        <v>332368</v>
      </c>
      <c r="N73" s="69">
        <f t="shared" si="70"/>
        <v>87240</v>
      </c>
      <c r="O73" s="69">
        <f t="shared" si="70"/>
        <v>46406</v>
      </c>
      <c r="P73" s="69"/>
      <c r="Q73" s="69">
        <f>Q45+SUM(Q59:Q63)</f>
        <v>1447179</v>
      </c>
      <c r="R73" s="503"/>
      <c r="S73" s="85">
        <f t="shared" ref="S73:AD73" si="71">S45+SUM(S59:S63)</f>
        <v>74606.619379624113</v>
      </c>
      <c r="T73" s="85">
        <f t="shared" si="71"/>
        <v>210756.22581054378</v>
      </c>
      <c r="U73" s="85">
        <f t="shared" si="71"/>
        <v>154450.41025187416</v>
      </c>
      <c r="V73" s="85">
        <f t="shared" si="71"/>
        <v>51293.770723132577</v>
      </c>
      <c r="W73" s="85">
        <f t="shared" si="71"/>
        <v>58325.891522810387</v>
      </c>
      <c r="X73" s="69">
        <f t="shared" si="71"/>
        <v>281381.16657147021</v>
      </c>
      <c r="Y73" s="69">
        <f t="shared" si="71"/>
        <v>78792.118153675809</v>
      </c>
      <c r="Z73" s="69">
        <f t="shared" si="71"/>
        <v>67445.214479709102</v>
      </c>
      <c r="AA73" s="69">
        <f t="shared" si="71"/>
        <v>311252.97510238329</v>
      </c>
      <c r="AB73" s="69">
        <f t="shared" si="71"/>
        <v>243357.34387347824</v>
      </c>
      <c r="AC73" s="69">
        <f t="shared" si="71"/>
        <v>78475.118181838363</v>
      </c>
      <c r="AD73" s="69">
        <f t="shared" si="71"/>
        <v>69417.397896741139</v>
      </c>
      <c r="AE73" s="69"/>
      <c r="AF73" s="69">
        <f>AF45+SUM(AF59:AF63)</f>
        <v>1679554.251947281</v>
      </c>
      <c r="AG73" s="89"/>
      <c r="AH73" s="85">
        <f t="shared" ref="AH73:AS73" si="72">AH45+SUM(AH59:AH63)</f>
        <v>66657.555755827809</v>
      </c>
      <c r="AI73" s="85">
        <f t="shared" si="72"/>
        <v>247651.88859337175</v>
      </c>
      <c r="AJ73" s="85">
        <f t="shared" si="72"/>
        <v>166248.457448981</v>
      </c>
      <c r="AK73" s="85">
        <f t="shared" si="72"/>
        <v>61132.991850966937</v>
      </c>
      <c r="AL73" s="85">
        <f t="shared" si="72"/>
        <v>61030.55981843613</v>
      </c>
      <c r="AM73" s="69">
        <f t="shared" si="72"/>
        <v>332203.00918101746</v>
      </c>
      <c r="AN73" s="69">
        <f t="shared" si="72"/>
        <v>97752.934325336246</v>
      </c>
      <c r="AO73" s="69">
        <f t="shared" si="72"/>
        <v>67407.333589096539</v>
      </c>
      <c r="AP73" s="69">
        <f t="shared" si="72"/>
        <v>348920.91512445395</v>
      </c>
      <c r="AQ73" s="69">
        <f t="shared" si="72"/>
        <v>266129.5161555201</v>
      </c>
      <c r="AR73" s="69">
        <f t="shared" si="72"/>
        <v>84523.601824261656</v>
      </c>
      <c r="AS73" s="69">
        <f t="shared" si="72"/>
        <v>72971.812532794487</v>
      </c>
      <c r="AT73" s="69"/>
      <c r="AU73" s="69">
        <f>AU45+SUM(AU59:AU63)</f>
        <v>1872630.576200065</v>
      </c>
      <c r="AV73" s="89"/>
    </row>
    <row r="74" spans="2:48" hidden="1" outlineLevel="1">
      <c r="B74" s="67" t="s">
        <v>134</v>
      </c>
      <c r="C74" s="52"/>
      <c r="D74" s="68">
        <v>12739.270000000004</v>
      </c>
      <c r="E74" s="68">
        <v>74012.099999999991</v>
      </c>
      <c r="F74" s="68">
        <v>17342.830000000002</v>
      </c>
      <c r="G74" s="68">
        <v>20690.96</v>
      </c>
      <c r="H74" s="68">
        <v>4979.7900000000009</v>
      </c>
      <c r="I74" s="68">
        <v>11528.090000000002</v>
      </c>
      <c r="J74" s="68">
        <v>43940.78</v>
      </c>
      <c r="K74" s="68">
        <v>5245.0699999999979</v>
      </c>
      <c r="L74" s="68">
        <v>45731</v>
      </c>
      <c r="M74" s="69">
        <f t="shared" ref="M74:O74" si="73">M46+SUM(M64:M67)</f>
        <v>72761</v>
      </c>
      <c r="N74" s="69">
        <f t="shared" si="73"/>
        <v>21840</v>
      </c>
      <c r="O74" s="69">
        <f t="shared" si="73"/>
        <v>32227</v>
      </c>
      <c r="P74" s="69"/>
      <c r="Q74" s="69">
        <f>Q46+SUM(Q64:Q67)</f>
        <v>298258</v>
      </c>
      <c r="R74" s="503"/>
      <c r="S74" s="85">
        <f t="shared" ref="S74:AD74" si="74">S46+SUM(S64:S67)</f>
        <v>15760</v>
      </c>
      <c r="T74" s="85">
        <f t="shared" si="74"/>
        <v>28766.991000000002</v>
      </c>
      <c r="U74" s="85">
        <f t="shared" si="74"/>
        <v>31174.379000000004</v>
      </c>
      <c r="V74" s="85">
        <f t="shared" si="74"/>
        <v>30143.896953034884</v>
      </c>
      <c r="W74" s="85">
        <f t="shared" si="74"/>
        <v>23513.214842156729</v>
      </c>
      <c r="X74" s="69">
        <f t="shared" si="74"/>
        <v>27277.748838743792</v>
      </c>
      <c r="Y74" s="69">
        <f t="shared" si="74"/>
        <v>24614.86967222943</v>
      </c>
      <c r="Z74" s="69">
        <f t="shared" si="74"/>
        <v>20862.817017647474</v>
      </c>
      <c r="AA74" s="69">
        <f t="shared" si="74"/>
        <v>41167.212426335151</v>
      </c>
      <c r="AB74" s="69">
        <f t="shared" si="74"/>
        <v>65039.797571052448</v>
      </c>
      <c r="AC74" s="69">
        <f t="shared" si="74"/>
        <v>21636.500752305343</v>
      </c>
      <c r="AD74" s="69">
        <f t="shared" si="74"/>
        <v>33288.195170728199</v>
      </c>
      <c r="AE74" s="69"/>
      <c r="AF74" s="69">
        <f>AF46+SUM(AF64:AF67)</f>
        <v>363245.62324423343</v>
      </c>
      <c r="AG74" s="89"/>
      <c r="AH74" s="85">
        <f t="shared" ref="AH74:AS74" si="75">AH46+SUM(AH64:AH67)</f>
        <v>17073</v>
      </c>
      <c r="AI74" s="85">
        <f t="shared" si="75"/>
        <v>31780.340549999997</v>
      </c>
      <c r="AJ74" s="85">
        <f t="shared" si="75"/>
        <v>33258.097949999996</v>
      </c>
      <c r="AK74" s="85">
        <f t="shared" si="75"/>
        <v>36088.112616964077</v>
      </c>
      <c r="AL74" s="85">
        <f t="shared" si="75"/>
        <v>31048.974934891703</v>
      </c>
      <c r="AM74" s="69">
        <f t="shared" si="75"/>
        <v>33900.40838813407</v>
      </c>
      <c r="AN74" s="69">
        <f t="shared" si="75"/>
        <v>30097.99544346457</v>
      </c>
      <c r="AO74" s="69">
        <f t="shared" si="75"/>
        <v>28208.863437431293</v>
      </c>
      <c r="AP74" s="69">
        <f t="shared" si="75"/>
        <v>48548.038631865413</v>
      </c>
      <c r="AQ74" s="69">
        <f t="shared" si="75"/>
        <v>73379.16060395875</v>
      </c>
      <c r="AR74" s="69">
        <f t="shared" si="75"/>
        <v>27308.756053144229</v>
      </c>
      <c r="AS74" s="69">
        <f t="shared" si="75"/>
        <v>40635.605654156476</v>
      </c>
      <c r="AT74" s="69"/>
      <c r="AU74" s="69">
        <f>AU46+SUM(AU64:AU67)</f>
        <v>431327.35426401062</v>
      </c>
      <c r="AV74" s="89"/>
    </row>
    <row r="75" spans="2:48" hidden="1" outlineLevel="1">
      <c r="B75" s="67" t="s">
        <v>135</v>
      </c>
      <c r="C75" s="52"/>
      <c r="D75" s="68">
        <v>0</v>
      </c>
      <c r="E75" s="68">
        <v>0</v>
      </c>
      <c r="F75" s="68">
        <v>0</v>
      </c>
      <c r="G75" s="68">
        <v>0</v>
      </c>
      <c r="H75" s="68">
        <v>0</v>
      </c>
      <c r="I75" s="68">
        <v>0</v>
      </c>
      <c r="J75" s="68">
        <v>0</v>
      </c>
      <c r="K75" s="68">
        <v>0</v>
      </c>
      <c r="L75" s="68">
        <v>0</v>
      </c>
      <c r="M75" s="69">
        <f t="shared" ref="M75:O75" si="76">M47+M68</f>
        <v>0</v>
      </c>
      <c r="N75" s="69">
        <f t="shared" si="76"/>
        <v>0</v>
      </c>
      <c r="O75" s="69">
        <f t="shared" si="76"/>
        <v>0</v>
      </c>
      <c r="P75" s="69"/>
      <c r="Q75" s="69">
        <f>Q47+Q68</f>
        <v>-18</v>
      </c>
      <c r="R75" s="503"/>
      <c r="S75" s="85">
        <f t="shared" ref="S75:AD75" ca="1" si="77">S47+S68</f>
        <v>0</v>
      </c>
      <c r="T75" s="85">
        <f t="shared" ca="1" si="77"/>
        <v>0</v>
      </c>
      <c r="U75" s="85">
        <f t="shared" ca="1" si="77"/>
        <v>0</v>
      </c>
      <c r="V75" s="85">
        <f t="shared" ca="1" si="77"/>
        <v>0</v>
      </c>
      <c r="W75" s="85">
        <f t="shared" ca="1" si="77"/>
        <v>0</v>
      </c>
      <c r="X75" s="69">
        <f t="shared" ca="1" si="77"/>
        <v>0</v>
      </c>
      <c r="Y75" s="69">
        <f t="shared" ca="1" si="77"/>
        <v>0</v>
      </c>
      <c r="Z75" s="69">
        <f t="shared" ca="1" si="77"/>
        <v>0</v>
      </c>
      <c r="AA75" s="69">
        <f t="shared" ca="1" si="77"/>
        <v>0</v>
      </c>
      <c r="AB75" s="69">
        <f t="shared" ca="1" si="77"/>
        <v>0</v>
      </c>
      <c r="AC75" s="69">
        <f t="shared" ca="1" si="77"/>
        <v>0</v>
      </c>
      <c r="AD75" s="69">
        <f t="shared" ca="1" si="77"/>
        <v>0</v>
      </c>
      <c r="AE75" s="69"/>
      <c r="AF75" s="69">
        <f ca="1">AF47+AF68</f>
        <v>0</v>
      </c>
      <c r="AG75" s="89"/>
      <c r="AH75" s="85">
        <f t="shared" ref="AH75:AS75" ca="1" si="78">AH47+AH68</f>
        <v>0</v>
      </c>
      <c r="AI75" s="85">
        <f t="shared" ca="1" si="78"/>
        <v>0</v>
      </c>
      <c r="AJ75" s="85">
        <f t="shared" ca="1" si="78"/>
        <v>0</v>
      </c>
      <c r="AK75" s="85">
        <f t="shared" ca="1" si="78"/>
        <v>0</v>
      </c>
      <c r="AL75" s="85">
        <f t="shared" ca="1" si="78"/>
        <v>0</v>
      </c>
      <c r="AM75" s="69">
        <f t="shared" ca="1" si="78"/>
        <v>0</v>
      </c>
      <c r="AN75" s="69">
        <f t="shared" ca="1" si="78"/>
        <v>0</v>
      </c>
      <c r="AO75" s="69">
        <f t="shared" ca="1" si="78"/>
        <v>0</v>
      </c>
      <c r="AP75" s="69">
        <f t="shared" ca="1" si="78"/>
        <v>0</v>
      </c>
      <c r="AQ75" s="69">
        <f t="shared" ca="1" si="78"/>
        <v>0</v>
      </c>
      <c r="AR75" s="69">
        <f t="shared" ca="1" si="78"/>
        <v>0</v>
      </c>
      <c r="AS75" s="69">
        <f t="shared" ca="1" si="78"/>
        <v>0</v>
      </c>
      <c r="AT75" s="69"/>
      <c r="AU75" s="69">
        <f ca="1">AU47+AU68</f>
        <v>0</v>
      </c>
      <c r="AV75" s="89"/>
    </row>
    <row r="76" spans="2:48" hidden="1" outlineLevel="1">
      <c r="B76" s="67" t="s">
        <v>136</v>
      </c>
      <c r="C76" s="52"/>
      <c r="D76" s="68">
        <v>0</v>
      </c>
      <c r="E76" s="68">
        <v>0</v>
      </c>
      <c r="F76" s="68">
        <v>0</v>
      </c>
      <c r="G76" s="68">
        <v>0</v>
      </c>
      <c r="H76" s="68">
        <v>0</v>
      </c>
      <c r="I76" s="68">
        <v>0</v>
      </c>
      <c r="J76" s="68">
        <v>0</v>
      </c>
      <c r="K76" s="68">
        <v>0</v>
      </c>
      <c r="L76" s="68">
        <v>-6</v>
      </c>
      <c r="M76" s="69">
        <f t="shared" ref="M76:O76" si="79">M48+M69</f>
        <v>0</v>
      </c>
      <c r="N76" s="69">
        <f t="shared" si="79"/>
        <v>0</v>
      </c>
      <c r="O76" s="69">
        <f t="shared" si="79"/>
        <v>0</v>
      </c>
      <c r="P76" s="69"/>
      <c r="Q76" s="69">
        <f>Q48+Q69</f>
        <v>-6</v>
      </c>
      <c r="R76" s="503"/>
      <c r="S76" s="85">
        <f t="shared" ref="S76:AD76" si="80">S48+S69</f>
        <v>0</v>
      </c>
      <c r="T76" s="85">
        <f t="shared" si="80"/>
        <v>0</v>
      </c>
      <c r="U76" s="85">
        <f t="shared" si="80"/>
        <v>0</v>
      </c>
      <c r="V76" s="85">
        <f t="shared" si="80"/>
        <v>0</v>
      </c>
      <c r="W76" s="85">
        <f t="shared" si="80"/>
        <v>0</v>
      </c>
      <c r="X76" s="69">
        <f t="shared" si="80"/>
        <v>0</v>
      </c>
      <c r="Y76" s="69">
        <f t="shared" si="80"/>
        <v>0</v>
      </c>
      <c r="Z76" s="69">
        <f t="shared" si="80"/>
        <v>0</v>
      </c>
      <c r="AA76" s="69">
        <f t="shared" si="80"/>
        <v>0</v>
      </c>
      <c r="AB76" s="69">
        <f t="shared" si="80"/>
        <v>0</v>
      </c>
      <c r="AC76" s="69">
        <f t="shared" si="80"/>
        <v>0</v>
      </c>
      <c r="AD76" s="69">
        <f t="shared" si="80"/>
        <v>0</v>
      </c>
      <c r="AE76" s="69"/>
      <c r="AF76" s="69">
        <f>AF48+AF69</f>
        <v>0</v>
      </c>
      <c r="AG76" s="89"/>
      <c r="AH76" s="85">
        <f t="shared" ref="AH76:AS76" si="81">AH48+AH69</f>
        <v>0</v>
      </c>
      <c r="AI76" s="85">
        <f t="shared" si="81"/>
        <v>0</v>
      </c>
      <c r="AJ76" s="85">
        <f t="shared" si="81"/>
        <v>0</v>
      </c>
      <c r="AK76" s="85">
        <f t="shared" si="81"/>
        <v>0</v>
      </c>
      <c r="AL76" s="85">
        <f t="shared" si="81"/>
        <v>0</v>
      </c>
      <c r="AM76" s="69">
        <f t="shared" si="81"/>
        <v>0</v>
      </c>
      <c r="AN76" s="69">
        <f t="shared" si="81"/>
        <v>0</v>
      </c>
      <c r="AO76" s="69">
        <f t="shared" si="81"/>
        <v>0</v>
      </c>
      <c r="AP76" s="69">
        <f t="shared" si="81"/>
        <v>0</v>
      </c>
      <c r="AQ76" s="69">
        <f t="shared" si="81"/>
        <v>0</v>
      </c>
      <c r="AR76" s="69">
        <f t="shared" si="81"/>
        <v>0</v>
      </c>
      <c r="AS76" s="69">
        <f t="shared" si="81"/>
        <v>0</v>
      </c>
      <c r="AT76" s="69"/>
      <c r="AU76" s="69">
        <f>AU48+AU69</f>
        <v>0</v>
      </c>
      <c r="AV76" s="89"/>
    </row>
    <row r="77" spans="2:48" collapsed="1">
      <c r="B77" s="67" t="s">
        <v>137</v>
      </c>
      <c r="C77" s="52"/>
      <c r="D77" s="68">
        <v>33178.930000000022</v>
      </c>
      <c r="E77" s="68">
        <v>249370.30000000005</v>
      </c>
      <c r="F77" s="68">
        <v>115408.19999999995</v>
      </c>
      <c r="G77" s="68">
        <v>24100.97</v>
      </c>
      <c r="H77" s="68">
        <v>15642.319999999992</v>
      </c>
      <c r="I77" s="68">
        <v>227335.73999999996</v>
      </c>
      <c r="J77" s="68">
        <v>219560.04000000007</v>
      </c>
      <c r="K77" s="68">
        <v>-10398.080000000002</v>
      </c>
      <c r="L77" s="68">
        <v>291696</v>
      </c>
      <c r="M77" s="69">
        <f t="shared" ref="M77:O77" si="82">M49+M71</f>
        <v>405129</v>
      </c>
      <c r="N77" s="69">
        <f t="shared" si="82"/>
        <v>109080</v>
      </c>
      <c r="O77" s="69">
        <f t="shared" si="82"/>
        <v>78633</v>
      </c>
      <c r="P77" s="69"/>
      <c r="Q77" s="69">
        <f>Q49+Q71</f>
        <v>1745506.9800000004</v>
      </c>
      <c r="R77" s="503"/>
      <c r="S77" s="85">
        <f t="shared" ref="S77:AD77" ca="1" si="83">S49+S71</f>
        <v>90366.619379624113</v>
      </c>
      <c r="T77" s="85">
        <f t="shared" ca="1" si="83"/>
        <v>239523.21681054382</v>
      </c>
      <c r="U77" s="85">
        <f t="shared" ca="1" si="83"/>
        <v>185624.78925187414</v>
      </c>
      <c r="V77" s="85">
        <f t="shared" ca="1" si="83"/>
        <v>81437.667676167475</v>
      </c>
      <c r="W77" s="85">
        <f t="shared" ca="1" si="83"/>
        <v>81839.106364967098</v>
      </c>
      <c r="X77" s="69">
        <f t="shared" ca="1" si="83"/>
        <v>308658.91541021399</v>
      </c>
      <c r="Y77" s="69">
        <f t="shared" ca="1" si="83"/>
        <v>103406.98782590523</v>
      </c>
      <c r="Z77" s="69">
        <f t="shared" ca="1" si="83"/>
        <v>88308.031497356569</v>
      </c>
      <c r="AA77" s="69">
        <f t="shared" ca="1" si="83"/>
        <v>352420.18752871844</v>
      </c>
      <c r="AB77" s="69">
        <f t="shared" ca="1" si="83"/>
        <v>308397.14144453057</v>
      </c>
      <c r="AC77" s="69">
        <f t="shared" ca="1" si="83"/>
        <v>100111.61893414371</v>
      </c>
      <c r="AD77" s="69">
        <f t="shared" ca="1" si="83"/>
        <v>102705.59306746937</v>
      </c>
      <c r="AE77" s="69"/>
      <c r="AF77" s="69">
        <f ca="1">AF49+AF71</f>
        <v>2042799.8751915144</v>
      </c>
      <c r="AG77" s="531">
        <f ca="1">IFERROR(AF77/Q77-1,0)</f>
        <v>0.17031893804945653</v>
      </c>
      <c r="AH77" s="85">
        <f t="shared" ref="AH77:AS77" ca="1" si="84">AH49+AH71</f>
        <v>83730.555755827809</v>
      </c>
      <c r="AI77" s="85">
        <f t="shared" ca="1" si="84"/>
        <v>279432.22914337169</v>
      </c>
      <c r="AJ77" s="85">
        <f t="shared" ca="1" si="84"/>
        <v>199506.555398981</v>
      </c>
      <c r="AK77" s="85">
        <f t="shared" ca="1" si="84"/>
        <v>97221.104467930942</v>
      </c>
      <c r="AL77" s="85">
        <f t="shared" ca="1" si="84"/>
        <v>92079.53475332784</v>
      </c>
      <c r="AM77" s="69">
        <f t="shared" ca="1" si="84"/>
        <v>366103.4175691515</v>
      </c>
      <c r="AN77" s="69">
        <f t="shared" ca="1" si="84"/>
        <v>127850.92976880081</v>
      </c>
      <c r="AO77" s="69">
        <f t="shared" ca="1" si="84"/>
        <v>95616.197026527851</v>
      </c>
      <c r="AP77" s="69">
        <f t="shared" ca="1" si="84"/>
        <v>397468.95375631924</v>
      </c>
      <c r="AQ77" s="69">
        <f t="shared" ca="1" si="84"/>
        <v>339508.67675947887</v>
      </c>
      <c r="AR77" s="69">
        <f t="shared" ca="1" si="84"/>
        <v>111832.35787740586</v>
      </c>
      <c r="AS77" s="69">
        <f t="shared" ca="1" si="84"/>
        <v>113607.41818695095</v>
      </c>
      <c r="AT77" s="69"/>
      <c r="AU77" s="69">
        <f ca="1">AU49+AU71</f>
        <v>2303957.930464074</v>
      </c>
      <c r="AV77" s="531">
        <f ca="1">IFERROR(AU77/AF77-1,0)</f>
        <v>0.12784319131998956</v>
      </c>
    </row>
    <row r="78" spans="2:48">
      <c r="B78" s="52"/>
      <c r="C78" s="52"/>
      <c r="D78" s="70"/>
      <c r="E78" s="70"/>
      <c r="F78" s="70"/>
      <c r="G78" s="70"/>
      <c r="H78" s="70"/>
      <c r="I78" s="70"/>
      <c r="J78" s="70"/>
      <c r="K78" s="70"/>
      <c r="L78" s="70"/>
      <c r="M78" s="52"/>
      <c r="N78" s="52"/>
      <c r="O78" s="52"/>
      <c r="P78" s="52"/>
      <c r="R78" s="503"/>
      <c r="S78" s="10"/>
      <c r="T78" s="10"/>
      <c r="U78" s="10"/>
      <c r="V78" s="10"/>
      <c r="W78" s="10"/>
      <c r="X78" s="52"/>
      <c r="Y78" s="52"/>
      <c r="Z78" s="52"/>
      <c r="AA78" s="52"/>
      <c r="AB78" s="52"/>
      <c r="AC78" s="52"/>
      <c r="AD78" s="52"/>
      <c r="AE78" s="52"/>
      <c r="AG78" s="89"/>
      <c r="AH78" s="10"/>
      <c r="AI78" s="10"/>
      <c r="AJ78" s="10"/>
      <c r="AK78" s="10"/>
      <c r="AL78" s="10"/>
      <c r="AM78" s="52"/>
      <c r="AN78" s="52"/>
      <c r="AO78" s="52"/>
      <c r="AP78" s="52"/>
      <c r="AQ78" s="52"/>
      <c r="AR78" s="52"/>
      <c r="AS78" s="52"/>
      <c r="AT78" s="52"/>
      <c r="AV78" s="89"/>
    </row>
    <row r="79" spans="2:48" hidden="1" outlineLevel="1">
      <c r="B79" s="67" t="s">
        <v>138</v>
      </c>
      <c r="C79" s="52"/>
      <c r="D79" s="97">
        <v>0.19781043175828228</v>
      </c>
      <c r="E79" s="97">
        <v>0.36708809591380243</v>
      </c>
      <c r="F79" s="97">
        <v>0.22789318915544379</v>
      </c>
      <c r="G79" s="97">
        <v>2.9378770066998124E-2</v>
      </c>
      <c r="H79" s="97">
        <v>7.9519491076688903E-2</v>
      </c>
      <c r="I79" s="97">
        <v>0.38456614697964203</v>
      </c>
      <c r="J79" s="97">
        <v>0.32027648282052845</v>
      </c>
      <c r="K79" s="97">
        <v>-0.14096086213190284</v>
      </c>
      <c r="L79" s="97">
        <v>0.25824760776853151</v>
      </c>
      <c r="M79" s="91">
        <f t="shared" ref="M79:O79" si="85">IFERROR(M73/M7,0)</f>
        <v>0.32729492860659776</v>
      </c>
      <c r="N79" s="91">
        <f t="shared" si="85"/>
        <v>0.27028199297341171</v>
      </c>
      <c r="O79" s="91">
        <f t="shared" si="85"/>
        <v>0.26070786516853933</v>
      </c>
      <c r="P79" s="91"/>
      <c r="Q79" s="91">
        <f>IFERROR(Q73/Q7,0)</f>
        <v>0.29231740653009236</v>
      </c>
      <c r="R79" s="503"/>
      <c r="S79" s="91">
        <f t="shared" ref="S79:AD79" si="86">IFERROR(S73/S7,0)</f>
        <v>0.27700527507459088</v>
      </c>
      <c r="T79" s="91">
        <f t="shared" si="86"/>
        <v>0.32503738638816626</v>
      </c>
      <c r="U79" s="91">
        <f t="shared" si="86"/>
        <v>0.2821435214785436</v>
      </c>
      <c r="V79" s="91">
        <f t="shared" si="86"/>
        <v>0.19719831253797093</v>
      </c>
      <c r="W79" s="91">
        <f t="shared" si="86"/>
        <v>0.2270506232051035</v>
      </c>
      <c r="X79" s="91">
        <f t="shared" si="86"/>
        <v>0.3341354067927787</v>
      </c>
      <c r="Y79" s="91">
        <f t="shared" si="86"/>
        <v>0.25902859643292325</v>
      </c>
      <c r="Z79" s="91">
        <f t="shared" si="86"/>
        <v>0.23783866626598291</v>
      </c>
      <c r="AA79" s="91">
        <f t="shared" si="86"/>
        <v>0.29360428217729384</v>
      </c>
      <c r="AB79" s="91">
        <f t="shared" si="86"/>
        <v>0.25287628062983647</v>
      </c>
      <c r="AC79" s="91">
        <f t="shared" si="86"/>
        <v>0.26793768220499642</v>
      </c>
      <c r="AD79" s="91">
        <f t="shared" si="86"/>
        <v>0.23497007035372378</v>
      </c>
      <c r="AE79" s="91"/>
      <c r="AF79" s="91">
        <f>IFERROR(AF73/AF7,0)</f>
        <v>0.2788653459901631</v>
      </c>
      <c r="AG79" s="89"/>
      <c r="AH79" s="91">
        <f t="shared" ref="AH79:AS79" si="87">IFERROR(AH73/AH7,0)</f>
        <v>0.2408360835833411</v>
      </c>
      <c r="AI79" s="91">
        <f t="shared" si="87"/>
        <v>0.30779660781544294</v>
      </c>
      <c r="AJ79" s="91">
        <f t="shared" si="87"/>
        <v>0.27650687839594412</v>
      </c>
      <c r="AK79" s="91">
        <f t="shared" si="87"/>
        <v>0.19935180978336689</v>
      </c>
      <c r="AL79" s="91">
        <f t="shared" si="87"/>
        <v>0.20443737037333204</v>
      </c>
      <c r="AM79" s="91">
        <f t="shared" si="87"/>
        <v>0.31182483118765708</v>
      </c>
      <c r="AN79" s="91">
        <f t="shared" si="87"/>
        <v>0.31317145249011991</v>
      </c>
      <c r="AO79" s="91">
        <f t="shared" si="87"/>
        <v>0.21494820400660333</v>
      </c>
      <c r="AP79" s="91">
        <f t="shared" si="87"/>
        <v>0.28159761404455802</v>
      </c>
      <c r="AQ79" s="91">
        <f t="shared" si="87"/>
        <v>0.24537167993386028</v>
      </c>
      <c r="AR79" s="91">
        <f t="shared" si="87"/>
        <v>0.27763504402275974</v>
      </c>
      <c r="AS79" s="91">
        <f t="shared" si="87"/>
        <v>0.22176180397932507</v>
      </c>
      <c r="AT79" s="91"/>
      <c r="AU79" s="91">
        <f>IFERROR(AU73/AU7,0)</f>
        <v>0.2699846471545338</v>
      </c>
      <c r="AV79" s="89"/>
    </row>
    <row r="80" spans="2:48" hidden="1" outlineLevel="1">
      <c r="B80" s="67" t="s">
        <v>139</v>
      </c>
      <c r="C80" s="52"/>
      <c r="D80" s="97">
        <v>0.32087499615885084</v>
      </c>
      <c r="E80" s="97">
        <v>0.72475198194605017</v>
      </c>
      <c r="F80" s="97">
        <v>0.56356414679132816</v>
      </c>
      <c r="G80" s="97">
        <v>0.5779720463339445</v>
      </c>
      <c r="H80" s="97">
        <v>0.3207594202898551</v>
      </c>
      <c r="I80" s="97">
        <v>0.40530513845414989</v>
      </c>
      <c r="J80" s="97">
        <v>0.56700707133271389</v>
      </c>
      <c r="K80" s="97">
        <v>0.261257325816661</v>
      </c>
      <c r="L80" s="97">
        <v>0.58588925615599452</v>
      </c>
      <c r="M80" s="91">
        <f t="shared" ref="M80:O80" si="88">IFERROR(M74/M8,0)</f>
        <v>0.58999870260452147</v>
      </c>
      <c r="N80" s="91">
        <f t="shared" si="88"/>
        <v>0.58999918956155284</v>
      </c>
      <c r="O80" s="91">
        <f t="shared" si="88"/>
        <v>0.59000036615283225</v>
      </c>
      <c r="P80" s="91"/>
      <c r="Q80" s="91">
        <f>IFERROR(Q74/Q8,0)</f>
        <v>0.46395627028052849</v>
      </c>
      <c r="R80" s="503"/>
      <c r="S80" s="91">
        <f t="shared" ref="S80:AD80" si="89">IFERROR(S74/S8,0)</f>
        <v>0.4317808219178082</v>
      </c>
      <c r="T80" s="91">
        <f t="shared" si="89"/>
        <v>0.43376434346510984</v>
      </c>
      <c r="U80" s="91">
        <f t="shared" si="89"/>
        <v>0.45953747571441628</v>
      </c>
      <c r="V80" s="91">
        <f t="shared" si="89"/>
        <v>0.45300773815313206</v>
      </c>
      <c r="W80" s="91">
        <f t="shared" si="89"/>
        <v>0.41074884653780108</v>
      </c>
      <c r="X80" s="91">
        <f t="shared" si="89"/>
        <v>0.44491743205534001</v>
      </c>
      <c r="Y80" s="91">
        <f t="shared" si="89"/>
        <v>0.45375910737015501</v>
      </c>
      <c r="Z80" s="91">
        <f t="shared" si="89"/>
        <v>0.38524022582756484</v>
      </c>
      <c r="AA80" s="91">
        <f t="shared" si="89"/>
        <v>0.46201101051453108</v>
      </c>
      <c r="AB80" s="91">
        <f t="shared" si="89"/>
        <v>0.46589329999890905</v>
      </c>
      <c r="AC80" s="91">
        <f t="shared" si="89"/>
        <v>0.42311045566822308</v>
      </c>
      <c r="AD80" s="91">
        <f t="shared" si="89"/>
        <v>0.45384143802564919</v>
      </c>
      <c r="AE80" s="91"/>
      <c r="AF80" s="91">
        <f>IFERROR(AF74/AF8,0)</f>
        <v>0.44442024058315827</v>
      </c>
      <c r="AG80" s="89"/>
      <c r="AH80" s="91">
        <f t="shared" ref="AH80:AS80" si="90">IFERROR(AH74/AH8,0)</f>
        <v>0.4454794520547945</v>
      </c>
      <c r="AI80" s="91">
        <f t="shared" si="90"/>
        <v>0.45638215966971957</v>
      </c>
      <c r="AJ80" s="91">
        <f t="shared" si="90"/>
        <v>0.46690791083542404</v>
      </c>
      <c r="AK80" s="91">
        <f t="shared" si="90"/>
        <v>0.47379148117906728</v>
      </c>
      <c r="AL80" s="91">
        <f t="shared" si="90"/>
        <v>0.453223478200946</v>
      </c>
      <c r="AM80" s="91">
        <f t="shared" si="90"/>
        <v>0.46582381582962895</v>
      </c>
      <c r="AN80" s="91">
        <f t="shared" si="90"/>
        <v>0.47579079342680042</v>
      </c>
      <c r="AO80" s="91">
        <f t="shared" si="90"/>
        <v>0.43223289300497397</v>
      </c>
      <c r="AP80" s="91">
        <f t="shared" si="90"/>
        <v>0.47614967779057082</v>
      </c>
      <c r="AQ80" s="91">
        <f t="shared" si="90"/>
        <v>0.47997107792648436</v>
      </c>
      <c r="AR80" s="91">
        <f t="shared" si="90"/>
        <v>0.4551944483542516</v>
      </c>
      <c r="AS80" s="91">
        <f t="shared" si="90"/>
        <v>0.4757431218979124</v>
      </c>
      <c r="AT80" s="91"/>
      <c r="AU80" s="91">
        <f>IFERROR(AU74/AU8,0)</f>
        <v>0.46609097214219719</v>
      </c>
      <c r="AV80" s="89"/>
    </row>
    <row r="81" spans="2:48" hidden="1" outlineLevel="1">
      <c r="B81" s="67" t="s">
        <v>140</v>
      </c>
      <c r="C81" s="52"/>
      <c r="D81" s="97">
        <v>0</v>
      </c>
      <c r="E81" s="97">
        <v>0</v>
      </c>
      <c r="F81" s="97">
        <v>0</v>
      </c>
      <c r="G81" s="97">
        <v>0</v>
      </c>
      <c r="H81" s="97">
        <v>0</v>
      </c>
      <c r="I81" s="97">
        <v>0</v>
      </c>
      <c r="J81" s="97">
        <v>0</v>
      </c>
      <c r="K81" s="97">
        <v>0</v>
      </c>
      <c r="L81" s="97">
        <v>0</v>
      </c>
      <c r="M81" s="91">
        <f t="shared" ref="M81:O81" si="91">IFERROR(M75/M9,0)</f>
        <v>0</v>
      </c>
      <c r="N81" s="91">
        <f t="shared" si="91"/>
        <v>0</v>
      </c>
      <c r="O81" s="91">
        <f t="shared" si="91"/>
        <v>0</v>
      </c>
      <c r="P81" s="91"/>
      <c r="Q81" s="91">
        <f>IFERROR(Q75/Q9,0)</f>
        <v>0</v>
      </c>
      <c r="R81" s="503"/>
      <c r="S81" s="91">
        <f t="shared" ref="S81:AD81" ca="1" si="92">IFERROR(S75/S9,0)</f>
        <v>0</v>
      </c>
      <c r="T81" s="91">
        <f t="shared" ca="1" si="92"/>
        <v>0</v>
      </c>
      <c r="U81" s="91">
        <f t="shared" ca="1" si="92"/>
        <v>0</v>
      </c>
      <c r="V81" s="91">
        <f t="shared" ca="1" si="92"/>
        <v>0</v>
      </c>
      <c r="W81" s="91">
        <f t="shared" ca="1" si="92"/>
        <v>0</v>
      </c>
      <c r="X81" s="91">
        <f t="shared" ca="1" si="92"/>
        <v>0</v>
      </c>
      <c r="Y81" s="91">
        <f t="shared" ca="1" si="92"/>
        <v>0</v>
      </c>
      <c r="Z81" s="91">
        <f t="shared" ca="1" si="92"/>
        <v>0</v>
      </c>
      <c r="AA81" s="91">
        <f t="shared" ca="1" si="92"/>
        <v>0</v>
      </c>
      <c r="AB81" s="91">
        <f t="shared" ca="1" si="92"/>
        <v>0</v>
      </c>
      <c r="AC81" s="91">
        <f t="shared" ca="1" si="92"/>
        <v>0</v>
      </c>
      <c r="AD81" s="91">
        <f t="shared" ca="1" si="92"/>
        <v>0</v>
      </c>
      <c r="AE81" s="91"/>
      <c r="AF81" s="91">
        <f ca="1">IFERROR(AF75/AF9,0)</f>
        <v>0</v>
      </c>
      <c r="AG81" s="89"/>
      <c r="AH81" s="91">
        <f t="shared" ref="AH81:AS81" ca="1" si="93">IFERROR(AH75/AH9,0)</f>
        <v>0</v>
      </c>
      <c r="AI81" s="91">
        <f t="shared" ca="1" si="93"/>
        <v>0</v>
      </c>
      <c r="AJ81" s="91">
        <f t="shared" ca="1" si="93"/>
        <v>0</v>
      </c>
      <c r="AK81" s="91">
        <f t="shared" ca="1" si="93"/>
        <v>0</v>
      </c>
      <c r="AL81" s="91">
        <f t="shared" ca="1" si="93"/>
        <v>0</v>
      </c>
      <c r="AM81" s="91">
        <f t="shared" ca="1" si="93"/>
        <v>0</v>
      </c>
      <c r="AN81" s="91">
        <f t="shared" ca="1" si="93"/>
        <v>0</v>
      </c>
      <c r="AO81" s="91">
        <f t="shared" ca="1" si="93"/>
        <v>0</v>
      </c>
      <c r="AP81" s="91">
        <f t="shared" ca="1" si="93"/>
        <v>0</v>
      </c>
      <c r="AQ81" s="91">
        <f t="shared" ca="1" si="93"/>
        <v>0</v>
      </c>
      <c r="AR81" s="91">
        <f t="shared" ca="1" si="93"/>
        <v>0</v>
      </c>
      <c r="AS81" s="91">
        <f t="shared" ca="1" si="93"/>
        <v>0</v>
      </c>
      <c r="AT81" s="91"/>
      <c r="AU81" s="91">
        <f ca="1">IFERROR(AU75/AU9,0)</f>
        <v>0</v>
      </c>
      <c r="AV81" s="89"/>
    </row>
    <row r="82" spans="2:48" hidden="1" outlineLevel="1">
      <c r="B82" s="67" t="s">
        <v>141</v>
      </c>
      <c r="C82" s="52"/>
      <c r="D82" s="97">
        <v>0</v>
      </c>
      <c r="E82" s="97">
        <v>0</v>
      </c>
      <c r="F82" s="97">
        <v>0</v>
      </c>
      <c r="G82" s="97">
        <v>0</v>
      </c>
      <c r="H82" s="97">
        <v>0</v>
      </c>
      <c r="I82" s="97">
        <v>0</v>
      </c>
      <c r="J82" s="97">
        <v>0</v>
      </c>
      <c r="K82" s="97">
        <v>0</v>
      </c>
      <c r="L82" s="97">
        <v>0</v>
      </c>
      <c r="M82" s="91">
        <f t="shared" ref="M82:O82" si="94">IFERROR(M76/M10,0)</f>
        <v>0</v>
      </c>
      <c r="N82" s="91">
        <f t="shared" si="94"/>
        <v>0</v>
      </c>
      <c r="O82" s="91">
        <f t="shared" si="94"/>
        <v>0</v>
      </c>
      <c r="P82" s="91"/>
      <c r="Q82" s="91">
        <f>IFERROR(Q76/Q10,0)</f>
        <v>0</v>
      </c>
      <c r="R82" s="503"/>
      <c r="S82" s="91">
        <f t="shared" ref="S82:AD82" si="95">IFERROR(S76/S10,0)</f>
        <v>0</v>
      </c>
      <c r="T82" s="91">
        <f t="shared" si="95"/>
        <v>0</v>
      </c>
      <c r="U82" s="91">
        <f t="shared" si="95"/>
        <v>0</v>
      </c>
      <c r="V82" s="91">
        <f t="shared" si="95"/>
        <v>0</v>
      </c>
      <c r="W82" s="91">
        <f t="shared" si="95"/>
        <v>0</v>
      </c>
      <c r="X82" s="91">
        <f t="shared" si="95"/>
        <v>0</v>
      </c>
      <c r="Y82" s="91">
        <f t="shared" si="95"/>
        <v>0</v>
      </c>
      <c r="Z82" s="91">
        <f t="shared" si="95"/>
        <v>0</v>
      </c>
      <c r="AA82" s="91">
        <f t="shared" si="95"/>
        <v>0</v>
      </c>
      <c r="AB82" s="91">
        <f t="shared" si="95"/>
        <v>0</v>
      </c>
      <c r="AC82" s="91">
        <f t="shared" si="95"/>
        <v>0</v>
      </c>
      <c r="AD82" s="91">
        <f t="shared" si="95"/>
        <v>0</v>
      </c>
      <c r="AE82" s="91"/>
      <c r="AF82" s="91">
        <f>IFERROR(AF76/AF10,0)</f>
        <v>0</v>
      </c>
      <c r="AG82" s="89"/>
      <c r="AH82" s="91">
        <f t="shared" ref="AH82:AS82" si="96">IFERROR(AH76/AH10,0)</f>
        <v>0</v>
      </c>
      <c r="AI82" s="91">
        <f t="shared" si="96"/>
        <v>0</v>
      </c>
      <c r="AJ82" s="91">
        <f t="shared" si="96"/>
        <v>0</v>
      </c>
      <c r="AK82" s="91">
        <f t="shared" si="96"/>
        <v>0</v>
      </c>
      <c r="AL82" s="91">
        <f t="shared" si="96"/>
        <v>0</v>
      </c>
      <c r="AM82" s="91">
        <f t="shared" si="96"/>
        <v>0</v>
      </c>
      <c r="AN82" s="91">
        <f t="shared" si="96"/>
        <v>0</v>
      </c>
      <c r="AO82" s="91">
        <f t="shared" si="96"/>
        <v>0</v>
      </c>
      <c r="AP82" s="91">
        <f t="shared" si="96"/>
        <v>0</v>
      </c>
      <c r="AQ82" s="91">
        <f t="shared" si="96"/>
        <v>0</v>
      </c>
      <c r="AR82" s="91">
        <f t="shared" si="96"/>
        <v>0</v>
      </c>
      <c r="AS82" s="91">
        <f t="shared" si="96"/>
        <v>0</v>
      </c>
      <c r="AT82" s="91"/>
      <c r="AU82" s="91">
        <f>IFERROR(AU76/AU10,0)</f>
        <v>0</v>
      </c>
      <c r="AV82" s="89"/>
    </row>
    <row r="83" spans="2:48" collapsed="1">
      <c r="B83" s="72" t="s">
        <v>142</v>
      </c>
      <c r="C83" s="73"/>
      <c r="D83" s="97">
        <v>0.23197808456552083</v>
      </c>
      <c r="E83" s="97">
        <v>0.43008139164561049</v>
      </c>
      <c r="F83" s="97">
        <v>0.25029628941078574</v>
      </c>
      <c r="G83" s="97">
        <v>0.15869495835873612</v>
      </c>
      <c r="H83" s="97">
        <v>0.10455257599657776</v>
      </c>
      <c r="I83" s="97">
        <v>0.38556659508093688</v>
      </c>
      <c r="J83" s="97">
        <v>0.3508288049379098</v>
      </c>
      <c r="K83" s="97">
        <v>-7.934353080879189E-2</v>
      </c>
      <c r="L83" s="97">
        <v>0.28305929479714936</v>
      </c>
      <c r="M83" s="91">
        <f t="shared" ref="M83:O83" si="97">IFERROR(M77/M12,0)</f>
        <v>0.35574329308128383</v>
      </c>
      <c r="N83" s="91">
        <f t="shared" si="97"/>
        <v>0.30317601051721693</v>
      </c>
      <c r="O83" s="91">
        <f t="shared" si="97"/>
        <v>0.33802907721539666</v>
      </c>
      <c r="P83" s="91"/>
      <c r="Q83" s="91">
        <f>IFERROR(Q77/Q12,0)</f>
        <v>0.3120507950230495</v>
      </c>
      <c r="R83" s="503"/>
      <c r="S83" s="91">
        <f t="shared" ref="S83:AD83" ca="1" si="98">IFERROR(S77/S12,0)</f>
        <v>0.29547715445099471</v>
      </c>
      <c r="T83" s="91">
        <f t="shared" ca="1" si="98"/>
        <v>0.3351261638319547</v>
      </c>
      <c r="U83" s="91">
        <f t="shared" ca="1" si="98"/>
        <v>0.3017030999072049</v>
      </c>
      <c r="V83" s="91">
        <f t="shared" ca="1" si="98"/>
        <v>0.24930841526736261</v>
      </c>
      <c r="W83" s="91">
        <f t="shared" ca="1" si="98"/>
        <v>0.26052647180981242</v>
      </c>
      <c r="X83" s="91">
        <f t="shared" ca="1" si="98"/>
        <v>0.34165346012868486</v>
      </c>
      <c r="Y83" s="91">
        <f t="shared" ca="1" si="98"/>
        <v>0.2885000982245991</v>
      </c>
      <c r="Z83" s="91">
        <f t="shared" ca="1" si="98"/>
        <v>0.26147459631787362</v>
      </c>
      <c r="AA83" s="91">
        <f t="shared" ca="1" si="98"/>
        <v>0.30666170104437468</v>
      </c>
      <c r="AB83" s="91">
        <f t="shared" ca="1" si="98"/>
        <v>0.27986245451464231</v>
      </c>
      <c r="AC83" s="91">
        <f t="shared" ca="1" si="98"/>
        <v>0.29100313429097269</v>
      </c>
      <c r="AD83" s="91">
        <f t="shared" ca="1" si="98"/>
        <v>0.27850216147137474</v>
      </c>
      <c r="AE83" s="91"/>
      <c r="AF83" s="91">
        <f ca="1">IFERROR(AF77/AF12,0)</f>
        <v>0.29864789354382487</v>
      </c>
      <c r="AG83" s="89"/>
      <c r="AH83" s="91">
        <f t="shared" ref="AH83:AS83" ca="1" si="99">IFERROR(AH77/AH12,0)</f>
        <v>0.2657264095950711</v>
      </c>
      <c r="AI83" s="91">
        <f t="shared" ca="1" si="99"/>
        <v>0.31963193130306283</v>
      </c>
      <c r="AJ83" s="91">
        <f t="shared" ca="1" si="99"/>
        <v>0.29667469129131269</v>
      </c>
      <c r="AK83" s="91">
        <f t="shared" ca="1" si="99"/>
        <v>0.25395532229642048</v>
      </c>
      <c r="AL83" s="91">
        <f t="shared" ca="1" si="99"/>
        <v>0.25087306055247977</v>
      </c>
      <c r="AM83" s="91">
        <f t="shared" ca="1" si="99"/>
        <v>0.32167198109923073</v>
      </c>
      <c r="AN83" s="91">
        <f t="shared" ca="1" si="99"/>
        <v>0.34057471326330535</v>
      </c>
      <c r="AO83" s="91">
        <f t="shared" ca="1" si="99"/>
        <v>0.25237794610653125</v>
      </c>
      <c r="AP83" s="91">
        <f t="shared" ca="1" si="99"/>
        <v>0.29638950318300095</v>
      </c>
      <c r="AQ83" s="91">
        <f t="shared" ca="1" si="99"/>
        <v>0.27435488307305694</v>
      </c>
      <c r="AR83" s="91">
        <f t="shared" ca="1" si="99"/>
        <v>0.30686502639417945</v>
      </c>
      <c r="AS83" s="91">
        <f t="shared" ca="1" si="99"/>
        <v>0.27410291772082457</v>
      </c>
      <c r="AT83" s="91"/>
      <c r="AU83" s="91">
        <f ca="1">IFERROR(AU77/AU12,0)</f>
        <v>0.29306931996033997</v>
      </c>
      <c r="AV83" s="89"/>
    </row>
    <row r="84" spans="2:48">
      <c r="D84" s="53"/>
      <c r="E84" s="53"/>
      <c r="F84" s="53"/>
      <c r="G84" s="53"/>
      <c r="H84" s="53"/>
      <c r="I84" s="53"/>
      <c r="J84" s="53"/>
      <c r="K84" s="53"/>
      <c r="L84" s="53"/>
      <c r="M84" s="91"/>
      <c r="N84" s="91"/>
      <c r="O84" s="91"/>
      <c r="P84" s="91"/>
      <c r="Q84" s="91"/>
      <c r="R84" s="503"/>
      <c r="AG84" s="89"/>
      <c r="AV84" s="89"/>
    </row>
    <row r="85" spans="2:48" ht="10.5" customHeight="1">
      <c r="D85" s="59"/>
      <c r="E85" s="59"/>
      <c r="F85" s="59"/>
      <c r="G85" s="59"/>
      <c r="H85" s="59"/>
      <c r="I85" s="59"/>
      <c r="J85" s="59"/>
      <c r="K85" s="59"/>
      <c r="L85" s="59"/>
      <c r="M85" s="60"/>
      <c r="N85" s="60"/>
      <c r="O85" s="60"/>
      <c r="P85" s="60"/>
      <c r="Q85" s="61"/>
      <c r="R85" s="503"/>
      <c r="S85" s="83"/>
      <c r="T85" s="83"/>
      <c r="U85" s="83"/>
      <c r="V85" s="83"/>
      <c r="W85" s="83"/>
      <c r="X85" s="60"/>
      <c r="Y85" s="60"/>
      <c r="Z85" s="60"/>
      <c r="AA85" s="60"/>
      <c r="AB85" s="60"/>
      <c r="AC85" s="60"/>
      <c r="AD85" s="60"/>
      <c r="AE85" s="60"/>
      <c r="AF85" s="61"/>
      <c r="AG85" s="89"/>
      <c r="AH85" s="83"/>
      <c r="AI85" s="83"/>
      <c r="AJ85" s="83"/>
      <c r="AK85" s="83"/>
      <c r="AL85" s="83"/>
      <c r="AM85" s="60"/>
      <c r="AN85" s="60"/>
      <c r="AO85" s="60"/>
      <c r="AP85" s="60"/>
      <c r="AQ85" s="60"/>
      <c r="AR85" s="60"/>
      <c r="AS85" s="60"/>
      <c r="AT85" s="60"/>
      <c r="AU85" s="61"/>
      <c r="AV85" s="89"/>
    </row>
    <row r="86" spans="2:48" ht="10.5" customHeight="1">
      <c r="D86" s="53"/>
      <c r="E86" s="53"/>
      <c r="F86" s="53"/>
      <c r="G86" s="53"/>
      <c r="H86" s="53"/>
      <c r="I86" s="53"/>
      <c r="J86" s="53"/>
      <c r="K86" s="53"/>
      <c r="L86" s="53"/>
      <c r="M86" s="60"/>
      <c r="N86" s="60"/>
      <c r="O86" s="60"/>
      <c r="R86" s="503"/>
      <c r="X86" s="60"/>
      <c r="Y86" s="60"/>
      <c r="Z86" s="60"/>
      <c r="AA86" s="60"/>
      <c r="AB86" s="60"/>
      <c r="AC86" s="60"/>
      <c r="AD86" s="60"/>
      <c r="AG86" s="89"/>
      <c r="AM86" s="60"/>
      <c r="AN86" s="60"/>
      <c r="AO86" s="60"/>
      <c r="AP86" s="60"/>
      <c r="AQ86" s="60"/>
      <c r="AR86" s="60"/>
      <c r="AS86" s="60"/>
      <c r="AV86" s="89"/>
    </row>
    <row r="87" spans="2:48" hidden="1" outlineLevel="1">
      <c r="B87" s="58" t="s">
        <v>143</v>
      </c>
      <c r="D87" s="53"/>
      <c r="E87" s="53"/>
      <c r="F87" s="53"/>
      <c r="G87" s="53"/>
      <c r="H87" s="53"/>
      <c r="I87" s="53"/>
      <c r="J87" s="53"/>
      <c r="K87" s="53"/>
      <c r="L87" s="53"/>
      <c r="M87" s="60"/>
      <c r="N87" s="60"/>
      <c r="O87" s="60"/>
      <c r="R87" s="503"/>
      <c r="X87" s="60"/>
      <c r="Y87" s="60"/>
      <c r="Z87" s="60"/>
      <c r="AA87" s="60"/>
      <c r="AB87" s="60"/>
      <c r="AC87" s="60"/>
      <c r="AD87" s="60"/>
      <c r="AG87" s="89"/>
      <c r="AM87" s="60"/>
      <c r="AN87" s="60"/>
      <c r="AO87" s="60"/>
      <c r="AP87" s="60"/>
      <c r="AQ87" s="60"/>
      <c r="AR87" s="60"/>
      <c r="AS87" s="60"/>
      <c r="AV87" s="89"/>
    </row>
    <row r="88" spans="2:48" hidden="1" outlineLevel="1">
      <c r="B88" s="58"/>
      <c r="D88" s="53"/>
      <c r="E88" s="53"/>
      <c r="F88" s="53"/>
      <c r="G88" s="53"/>
      <c r="H88" s="53"/>
      <c r="I88" s="53"/>
      <c r="J88" s="53"/>
      <c r="K88" s="53"/>
      <c r="L88" s="53"/>
      <c r="R88" s="503"/>
      <c r="AG88" s="89"/>
      <c r="AV88" s="89"/>
    </row>
    <row r="89" spans="2:48" hidden="1" outlineLevel="1">
      <c r="B89" s="51" t="s">
        <v>144</v>
      </c>
      <c r="D89" s="59">
        <v>-6813</v>
      </c>
      <c r="E89" s="59">
        <v>-4998</v>
      </c>
      <c r="F89" s="59">
        <v>-6251</v>
      </c>
      <c r="G89" s="59">
        <v>-6735</v>
      </c>
      <c r="H89" s="59">
        <v>-7251</v>
      </c>
      <c r="I89" s="59">
        <v>-7079</v>
      </c>
      <c r="J89" s="59">
        <v>-7006</v>
      </c>
      <c r="K89" s="59">
        <v>-7606</v>
      </c>
      <c r="L89" s="59">
        <v>-4855</v>
      </c>
      <c r="M89" s="60">
        <f>'HU P&amp;L'!M87+'SK P&amp;L'!M87+'CZ P&amp;L'!M85+'RO P&amp;L'!M88</f>
        <v>-5764.2330508474579</v>
      </c>
      <c r="N89" s="60">
        <f>'HU P&amp;L'!N87+'SK P&amp;L'!N87+'CZ P&amp;L'!N85+'RO P&amp;L'!N88</f>
        <v>-5764.2330508474579</v>
      </c>
      <c r="O89" s="60">
        <f>'HU P&amp;L'!O87+'SK P&amp;L'!O87+'CZ P&amp;L'!O85+'RO P&amp;L'!O88</f>
        <v>-19072.983050847459</v>
      </c>
      <c r="P89" s="60"/>
      <c r="Q89" s="61">
        <f>SUM(D89:O89)</f>
        <v>-89195.449152542365</v>
      </c>
      <c r="R89" s="505"/>
      <c r="S89" s="60">
        <f>SUMIFS(Payroll!I:I,Payroll!$C:$C,"Permanent",Payroll!$B:$B,"EE")</f>
        <v>-14455.201271</v>
      </c>
      <c r="T89" s="60">
        <f>SUMIFS(Payroll!J:J,Payroll!$C:$C,"Permanent",Payroll!$B:$B,"EE")</f>
        <v>-20305.201270999998</v>
      </c>
      <c r="U89" s="60">
        <f>SUMIFS(Payroll!K:K,Payroll!$C:$C,"Permanent",Payroll!$B:$B,"EE")</f>
        <v>-20305.201270999998</v>
      </c>
      <c r="V89" s="60">
        <f>SUMIFS(Payroll!L:L,Payroll!$C:$C,"Permanent",Payroll!$B:$B,"EE")</f>
        <v>-20305.201270999998</v>
      </c>
      <c r="W89" s="60">
        <f>SUMIFS(Payroll!M:M,Payroll!$C:$C,"Permanent",Payroll!$B:$B,"EE")</f>
        <v>-20305.201270999998</v>
      </c>
      <c r="X89" s="60">
        <f>SUMIFS(Payroll!N:N,Payroll!$C:$C,"Permanent",Payroll!$B:$B,"EE")</f>
        <v>-20305.201270999998</v>
      </c>
      <c r="Y89" s="60">
        <f>SUMIFS(Payroll!O:O,Payroll!$C:$C,"Permanent",Payroll!$B:$B,"EE")</f>
        <v>-20305.201270999998</v>
      </c>
      <c r="Z89" s="60">
        <f>SUMIFS(Payroll!P:P,Payroll!$C:$C,"Permanent",Payroll!$B:$B,"EE")</f>
        <v>-20305.201270999998</v>
      </c>
      <c r="AA89" s="60">
        <f>SUMIFS(Payroll!Q:Q,Payroll!$C:$C,"Permanent",Payroll!$B:$B,"EE")</f>
        <v>-20305.201270999998</v>
      </c>
      <c r="AB89" s="60">
        <f>SUMIFS(Payroll!R:R,Payroll!$C:$C,"Permanent",Payroll!$B:$B,"EE")</f>
        <v>-20305.201270999998</v>
      </c>
      <c r="AC89" s="60">
        <f>SUMIFS(Payroll!S:S,Payroll!$C:$C,"Permanent",Payroll!$B:$B,"EE")</f>
        <v>-20305.201270999998</v>
      </c>
      <c r="AD89" s="60">
        <f>SUMIFS(Payroll!T:T,Payroll!$C:$C,"Permanent",Payroll!$B:$B,"EE")</f>
        <v>-20305.201270999998</v>
      </c>
      <c r="AE89" s="60"/>
      <c r="AF89" s="61">
        <f>SUM(S89:AD89)</f>
        <v>-237812.41525199998</v>
      </c>
      <c r="AG89" s="89"/>
      <c r="AH89" s="60">
        <f>SUMIFS(Payroll!U:U,Payroll!$C:$C,"Permanent",Payroll!$B:$B,"EE")</f>
        <v>-20305.201270999998</v>
      </c>
      <c r="AI89" s="60">
        <f>SUMIFS(Payroll!V:V,Payroll!$C:$C,"Permanent",Payroll!$B:$B,"EE")</f>
        <v>-20305.201270999998</v>
      </c>
      <c r="AJ89" s="60">
        <f>SUMIFS(Payroll!W:W,Payroll!$C:$C,"Permanent",Payroll!$B:$B,"EE")</f>
        <v>-20305.201270999998</v>
      </c>
      <c r="AK89" s="60">
        <f>SUMIFS(Payroll!X:X,Payroll!$C:$C,"Permanent",Payroll!$B:$B,"EE")</f>
        <v>-20305.201270999998</v>
      </c>
      <c r="AL89" s="60">
        <f>SUMIFS(Payroll!Y:Y,Payroll!$C:$C,"Permanent",Payroll!$B:$B,"EE")</f>
        <v>-20305.201270999998</v>
      </c>
      <c r="AM89" s="60">
        <f>SUMIFS(Payroll!Z:Z,Payroll!$C:$C,"Permanent",Payroll!$B:$B,"EE")</f>
        <v>-20305.201270999998</v>
      </c>
      <c r="AN89" s="60">
        <f>SUMIFS(Payroll!AA:AA,Payroll!$C:$C,"Permanent",Payroll!$B:$B,"EE")</f>
        <v>-20305.201270999998</v>
      </c>
      <c r="AO89" s="60">
        <f>SUMIFS(Payroll!AB:AB,Payroll!$C:$C,"Permanent",Payroll!$B:$B,"EE")</f>
        <v>-20305.201270999998</v>
      </c>
      <c r="AP89" s="60">
        <f>SUMIFS(Payroll!AC:AC,Payroll!$C:$C,"Permanent",Payroll!$B:$B,"EE")</f>
        <v>-20305.201270999998</v>
      </c>
      <c r="AQ89" s="60">
        <f>SUMIFS(Payroll!AD:AD,Payroll!$C:$C,"Permanent",Payroll!$B:$B,"EE")</f>
        <v>-20305.201270999998</v>
      </c>
      <c r="AR89" s="60">
        <f>SUMIFS(Payroll!AE:AE,Payroll!$C:$C,"Permanent",Payroll!$B:$B,"EE")</f>
        <v>-20305.201270999998</v>
      </c>
      <c r="AS89" s="60">
        <f>SUMIFS(Payroll!AF:AF,Payroll!$C:$C,"Permanent",Payroll!$B:$B,"EE")</f>
        <v>-20305.201270999998</v>
      </c>
      <c r="AT89" s="60"/>
      <c r="AU89" s="61">
        <f>SUM(AH89:AS89)</f>
        <v>-243662.41525199998</v>
      </c>
      <c r="AV89" s="89"/>
    </row>
    <row r="90" spans="2:48" hidden="1" outlineLevel="1">
      <c r="B90" s="51" t="s">
        <v>145</v>
      </c>
      <c r="D90" s="59">
        <v>-11515</v>
      </c>
      <c r="E90" s="59">
        <v>-10540</v>
      </c>
      <c r="F90" s="59">
        <v>-9983</v>
      </c>
      <c r="G90" s="59">
        <v>-12357</v>
      </c>
      <c r="H90" s="59">
        <v>-10578</v>
      </c>
      <c r="I90" s="59">
        <v>-10528</v>
      </c>
      <c r="J90" s="59">
        <v>-10834</v>
      </c>
      <c r="K90" s="59">
        <v>-11413</v>
      </c>
      <c r="L90" s="59">
        <v>-13118</v>
      </c>
      <c r="M90" s="60">
        <f>'HU P&amp;L'!M88+'SK P&amp;L'!M88+'CZ P&amp;L'!M86+'RO P&amp;L'!M89</f>
        <v>-17617.838983050846</v>
      </c>
      <c r="N90" s="60">
        <f>'HU P&amp;L'!N88+'SK P&amp;L'!N88+'CZ P&amp;L'!N86+'RO P&amp;L'!N89</f>
        <v>-15393.262711864407</v>
      </c>
      <c r="O90" s="60">
        <f>'HU P&amp;L'!O88+'SK P&amp;L'!O88+'CZ P&amp;L'!O86+'RO P&amp;L'!O89</f>
        <v>-15393.262711864407</v>
      </c>
      <c r="P90" s="60"/>
      <c r="Q90" s="61">
        <f t="shared" ref="Q90:Q97" si="100">SUM(D90:O90)</f>
        <v>-149270.36440677964</v>
      </c>
      <c r="R90" s="505"/>
      <c r="S90" s="60">
        <f>SUMIFS(Payroll!I:I,Payroll!$C:$C,"Freelancer",Payroll!$B:$B,"EE")</f>
        <v>-17838.05791</v>
      </c>
      <c r="T90" s="60">
        <f>SUMIFS(Payroll!J:J,Payroll!$C:$C,"Freelancer",Payroll!$B:$B,"EE")</f>
        <v>-17838.05791</v>
      </c>
      <c r="U90" s="60">
        <f>SUMIFS(Payroll!K:K,Payroll!$C:$C,"Freelancer",Payroll!$B:$B,"EE")</f>
        <v>-17838.05791</v>
      </c>
      <c r="V90" s="60">
        <f>SUMIFS(Payroll!L:L,Payroll!$C:$C,"Freelancer",Payroll!$B:$B,"EE")</f>
        <v>-17838.05791</v>
      </c>
      <c r="W90" s="60">
        <f>SUMIFS(Payroll!M:M,Payroll!$C:$C,"Freelancer",Payroll!$B:$B,"EE")</f>
        <v>-17838.05791</v>
      </c>
      <c r="X90" s="60">
        <f>SUMIFS(Payroll!N:N,Payroll!$C:$C,"Freelancer",Payroll!$B:$B,"EE")</f>
        <v>-17838.05791</v>
      </c>
      <c r="Y90" s="60">
        <f>SUMIFS(Payroll!O:O,Payroll!$C:$C,"Freelancer",Payroll!$B:$B,"EE")</f>
        <v>-17838.05791</v>
      </c>
      <c r="Z90" s="60">
        <f>SUMIFS(Payroll!P:P,Payroll!$C:$C,"Freelancer",Payroll!$B:$B,"EE")</f>
        <v>-17838.05791</v>
      </c>
      <c r="AA90" s="60">
        <f>SUMIFS(Payroll!Q:Q,Payroll!$C:$C,"Freelancer",Payroll!$B:$B,"EE")</f>
        <v>-17838.05791</v>
      </c>
      <c r="AB90" s="60">
        <f>SUMIFS(Payroll!R:R,Payroll!$C:$C,"Freelancer",Payroll!$B:$B,"EE")</f>
        <v>-17838.05791</v>
      </c>
      <c r="AC90" s="60">
        <f>SUMIFS(Payroll!S:S,Payroll!$C:$C,"Freelancer",Payroll!$B:$B,"EE")</f>
        <v>-17838.05791</v>
      </c>
      <c r="AD90" s="60">
        <f>SUMIFS(Payroll!T:T,Payroll!$C:$C,"Freelancer",Payroll!$B:$B,"EE")</f>
        <v>-17838.05791</v>
      </c>
      <c r="AE90" s="60"/>
      <c r="AF90" s="61">
        <f t="shared" ref="AF90" si="101">SUM(S90:AD90)</f>
        <v>-214056.69492000001</v>
      </c>
      <c r="AG90" s="89"/>
      <c r="AH90" s="60">
        <f>SUMIFS(Payroll!U:U,Payroll!$C:$C,"Freelancer",Payroll!$B:$B,"EE")</f>
        <v>-17838.05791</v>
      </c>
      <c r="AI90" s="60">
        <f>SUMIFS(Payroll!V:V,Payroll!$C:$C,"Freelancer",Payroll!$B:$B,"EE")</f>
        <v>-17838.05791</v>
      </c>
      <c r="AJ90" s="60">
        <f>SUMIFS(Payroll!W:W,Payroll!$C:$C,"Freelancer",Payroll!$B:$B,"EE")</f>
        <v>-17838.05791</v>
      </c>
      <c r="AK90" s="60">
        <f>SUMIFS(Payroll!X:X,Payroll!$C:$C,"Freelancer",Payroll!$B:$B,"EE")</f>
        <v>-17838.05791</v>
      </c>
      <c r="AL90" s="60">
        <f>SUMIFS(Payroll!Y:Y,Payroll!$C:$C,"Freelancer",Payroll!$B:$B,"EE")</f>
        <v>-17838.05791</v>
      </c>
      <c r="AM90" s="60">
        <f>SUMIFS(Payroll!Z:Z,Payroll!$C:$C,"Freelancer",Payroll!$B:$B,"EE")</f>
        <v>-17838.05791</v>
      </c>
      <c r="AN90" s="60">
        <f>SUMIFS(Payroll!AA:AA,Payroll!$C:$C,"Freelancer",Payroll!$B:$B,"EE")</f>
        <v>-17838.05791</v>
      </c>
      <c r="AO90" s="60">
        <f>SUMIFS(Payroll!AB:AB,Payroll!$C:$C,"Freelancer",Payroll!$B:$B,"EE")</f>
        <v>-17838.05791</v>
      </c>
      <c r="AP90" s="60">
        <f>SUMIFS(Payroll!AC:AC,Payroll!$C:$C,"Freelancer",Payroll!$B:$B,"EE")</f>
        <v>-17838.05791</v>
      </c>
      <c r="AQ90" s="60">
        <f>SUMIFS(Payroll!AD:AD,Payroll!$C:$C,"Freelancer",Payroll!$B:$B,"EE")</f>
        <v>-17838.05791</v>
      </c>
      <c r="AR90" s="60">
        <f>SUMIFS(Payroll!AE:AE,Payroll!$C:$C,"Freelancer",Payroll!$B:$B,"EE")</f>
        <v>-17838.05791</v>
      </c>
      <c r="AS90" s="60">
        <f>SUMIFS(Payroll!AF:AF,Payroll!$C:$C,"Freelancer",Payroll!$B:$B,"EE")</f>
        <v>-17838.05791</v>
      </c>
      <c r="AT90" s="60"/>
      <c r="AU90" s="61">
        <f t="shared" ref="AU90:AU97" si="102">SUM(AH90:AS90)</f>
        <v>-214056.69492000001</v>
      </c>
      <c r="AV90" s="89"/>
    </row>
    <row r="91" spans="2:48" hidden="1" outlineLevel="1">
      <c r="B91" s="51" t="s">
        <v>146</v>
      </c>
      <c r="D91" s="59">
        <v>-506</v>
      </c>
      <c r="E91" s="59">
        <v>-930</v>
      </c>
      <c r="F91" s="59">
        <v>-1131</v>
      </c>
      <c r="G91" s="59">
        <v>-943</v>
      </c>
      <c r="H91" s="59">
        <v>-934</v>
      </c>
      <c r="I91" s="59">
        <v>-3838</v>
      </c>
      <c r="J91" s="59">
        <v>-945</v>
      </c>
      <c r="K91" s="59">
        <v>-2427</v>
      </c>
      <c r="L91" s="59">
        <v>-2152</v>
      </c>
      <c r="M91" s="60">
        <f>'HU P&amp;L'!M89+'SK P&amp;L'!M89+'CZ P&amp;L'!M87+'RO P&amp;L'!M90</f>
        <v>-1000</v>
      </c>
      <c r="N91" s="60">
        <f>'HU P&amp;L'!N89+'SK P&amp;L'!N89+'CZ P&amp;L'!N87+'RO P&amp;L'!N90</f>
        <v>-1000</v>
      </c>
      <c r="O91" s="60">
        <f>'HU P&amp;L'!O89+'SK P&amp;L'!O89+'CZ P&amp;L'!O87+'RO P&amp;L'!O90</f>
        <v>-1000</v>
      </c>
      <c r="P91" s="60"/>
      <c r="Q91" s="61">
        <f t="shared" si="100"/>
        <v>-16806</v>
      </c>
      <c r="R91" s="505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1"/>
      <c r="AG91" s="89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1">
        <f t="shared" si="102"/>
        <v>0</v>
      </c>
      <c r="AV91" s="89"/>
    </row>
    <row r="92" spans="2:48" hidden="1" outlineLevel="1">
      <c r="B92" s="51" t="s">
        <v>147</v>
      </c>
      <c r="D92" s="59">
        <v>-248</v>
      </c>
      <c r="E92" s="59">
        <v>-307</v>
      </c>
      <c r="F92" s="59">
        <v>-397</v>
      </c>
      <c r="G92" s="59">
        <v>-397</v>
      </c>
      <c r="H92" s="59">
        <v>-391</v>
      </c>
      <c r="I92" s="59">
        <v>-569</v>
      </c>
      <c r="J92" s="59">
        <v>-562</v>
      </c>
      <c r="K92" s="59">
        <v>-3050</v>
      </c>
      <c r="L92" s="59">
        <v>-300</v>
      </c>
      <c r="M92" s="60">
        <f>'HU P&amp;L'!M90+'SK P&amp;L'!M90+'CZ P&amp;L'!M88+'RO P&amp;L'!M91</f>
        <v>-1100</v>
      </c>
      <c r="N92" s="60">
        <f>'HU P&amp;L'!N90+'SK P&amp;L'!N90+'CZ P&amp;L'!N88+'RO P&amp;L'!N91</f>
        <v>-1100</v>
      </c>
      <c r="O92" s="60">
        <f>'HU P&amp;L'!O90+'SK P&amp;L'!O90+'CZ P&amp;L'!O88+'RO P&amp;L'!O91</f>
        <v>-1100</v>
      </c>
      <c r="P92" s="60"/>
      <c r="Q92" s="61">
        <f t="shared" si="100"/>
        <v>-9521</v>
      </c>
      <c r="R92" s="505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1"/>
      <c r="AG92" s="89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1">
        <f t="shared" si="102"/>
        <v>0</v>
      </c>
      <c r="AV92" s="89"/>
    </row>
    <row r="93" spans="2:48" hidden="1" outlineLevel="1">
      <c r="B93" s="51" t="s">
        <v>148</v>
      </c>
      <c r="D93" s="59"/>
      <c r="E93" s="59"/>
      <c r="F93" s="59"/>
      <c r="G93" s="59"/>
      <c r="H93" s="59"/>
      <c r="I93" s="59"/>
      <c r="J93" s="59"/>
      <c r="K93" s="59"/>
      <c r="L93" s="59"/>
      <c r="M93" s="60">
        <f>'HU P&amp;L'!M91+'SK P&amp;L'!M91+'CZ P&amp;L'!M89+'RO P&amp;L'!M92</f>
        <v>0</v>
      </c>
      <c r="N93" s="60">
        <f>'HU P&amp;L'!N91+'SK P&amp;L'!N91+'CZ P&amp;L'!N89+'RO P&amp;L'!N92</f>
        <v>0</v>
      </c>
      <c r="O93" s="60">
        <f>'HU P&amp;L'!O91+'SK P&amp;L'!O91+'CZ P&amp;L'!O89+'RO P&amp;L'!O92</f>
        <v>0</v>
      </c>
      <c r="P93" s="60"/>
      <c r="Q93" s="61">
        <f t="shared" si="100"/>
        <v>0</v>
      </c>
      <c r="R93" s="505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1"/>
      <c r="AG93" s="89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1">
        <f t="shared" si="102"/>
        <v>0</v>
      </c>
      <c r="AV93" s="89"/>
    </row>
    <row r="94" spans="2:48" hidden="1" outlineLevel="1">
      <c r="B94" s="51" t="s">
        <v>149</v>
      </c>
      <c r="D94" s="59"/>
      <c r="E94" s="59"/>
      <c r="F94" s="59"/>
      <c r="G94" s="59"/>
      <c r="H94" s="59"/>
      <c r="I94" s="59"/>
      <c r="J94" s="59"/>
      <c r="K94" s="59"/>
      <c r="L94" s="59"/>
      <c r="M94" s="60">
        <f>'HU P&amp;L'!M92+'SK P&amp;L'!M92+'CZ P&amp;L'!M90+'RO P&amp;L'!M93</f>
        <v>0</v>
      </c>
      <c r="N94" s="60">
        <f>'HU P&amp;L'!N92+'SK P&amp;L'!N92+'CZ P&amp;L'!N90+'RO P&amp;L'!N93</f>
        <v>0</v>
      </c>
      <c r="O94" s="60">
        <f>'HU P&amp;L'!O92+'SK P&amp;L'!O92+'CZ P&amp;L'!O90+'RO P&amp;L'!O93</f>
        <v>0</v>
      </c>
      <c r="P94" s="60"/>
      <c r="Q94" s="61">
        <f t="shared" si="100"/>
        <v>0</v>
      </c>
      <c r="R94" s="505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1"/>
      <c r="AG94" s="89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1">
        <f t="shared" si="102"/>
        <v>0</v>
      </c>
      <c r="AV94" s="89"/>
    </row>
    <row r="95" spans="2:48" hidden="1" outlineLevel="1">
      <c r="B95" s="51" t="s">
        <v>150</v>
      </c>
      <c r="D95" s="59"/>
      <c r="E95" s="59"/>
      <c r="F95" s="59"/>
      <c r="G95" s="59"/>
      <c r="H95" s="59"/>
      <c r="I95" s="59"/>
      <c r="J95" s="59"/>
      <c r="K95" s="59"/>
      <c r="L95" s="59"/>
      <c r="M95" s="60">
        <f>'HU P&amp;L'!M93+'SK P&amp;L'!M93+'CZ P&amp;L'!M91+'RO P&amp;L'!M94</f>
        <v>0</v>
      </c>
      <c r="N95" s="60">
        <f>'HU P&amp;L'!N93+'SK P&amp;L'!N93+'CZ P&amp;L'!N91+'RO P&amp;L'!N94</f>
        <v>0</v>
      </c>
      <c r="O95" s="60">
        <f>'HU P&amp;L'!O93+'SK P&amp;L'!O93+'CZ P&amp;L'!O91+'RO P&amp;L'!O94</f>
        <v>0</v>
      </c>
      <c r="P95" s="60"/>
      <c r="Q95" s="61">
        <f t="shared" si="100"/>
        <v>0</v>
      </c>
      <c r="R95" s="505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1"/>
      <c r="AG95" s="89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1">
        <f t="shared" si="102"/>
        <v>0</v>
      </c>
      <c r="AV95" s="89"/>
    </row>
    <row r="96" spans="2:48" hidden="1" outlineLevel="1">
      <c r="B96" s="51" t="s">
        <v>151</v>
      </c>
      <c r="D96" s="59"/>
      <c r="E96" s="59"/>
      <c r="F96" s="59"/>
      <c r="G96" s="59"/>
      <c r="H96" s="59">
        <v>-320</v>
      </c>
      <c r="I96" s="59"/>
      <c r="J96" s="59"/>
      <c r="K96" s="59">
        <v>-70</v>
      </c>
      <c r="L96" s="59">
        <v>-79</v>
      </c>
      <c r="M96" s="60">
        <f>'HU P&amp;L'!M94+'SK P&amp;L'!M94+'CZ P&amp;L'!M92+'RO P&amp;L'!M95</f>
        <v>0</v>
      </c>
      <c r="N96" s="60">
        <f>'HU P&amp;L'!N94+'SK P&amp;L'!N94+'CZ P&amp;L'!N92+'RO P&amp;L'!N95</f>
        <v>0</v>
      </c>
      <c r="O96" s="60">
        <f>'HU P&amp;L'!O94+'SK P&amp;L'!O94+'CZ P&amp;L'!O92+'RO P&amp;L'!O95</f>
        <v>0</v>
      </c>
      <c r="P96" s="60"/>
      <c r="Q96" s="61">
        <f t="shared" si="100"/>
        <v>-469</v>
      </c>
      <c r="R96" s="505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1"/>
      <c r="AG96" s="89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1">
        <f t="shared" si="102"/>
        <v>0</v>
      </c>
      <c r="AV96" s="89"/>
    </row>
    <row r="97" spans="2:48" hidden="1" outlineLevel="1">
      <c r="B97" s="51" t="s">
        <v>143</v>
      </c>
      <c r="D97" s="59"/>
      <c r="E97" s="59">
        <v>-35</v>
      </c>
      <c r="F97" s="59">
        <v>-51</v>
      </c>
      <c r="G97" s="59">
        <v>-35</v>
      </c>
      <c r="H97" s="59">
        <v>-106</v>
      </c>
      <c r="I97" s="59"/>
      <c r="J97" s="59"/>
      <c r="K97" s="59"/>
      <c r="L97" s="59">
        <v>-167</v>
      </c>
      <c r="M97" s="60">
        <f>'HU P&amp;L'!M95+'SK P&amp;L'!M95+'CZ P&amp;L'!M93+'RO P&amp;L'!M96</f>
        <v>0</v>
      </c>
      <c r="N97" s="60">
        <f>'HU P&amp;L'!N95+'SK P&amp;L'!N95+'CZ P&amp;L'!N93+'RO P&amp;L'!N96</f>
        <v>0</v>
      </c>
      <c r="O97" s="60">
        <f>'HU P&amp;L'!O95+'SK P&amp;L'!O95+'CZ P&amp;L'!O93+'RO P&amp;L'!O96</f>
        <v>0</v>
      </c>
      <c r="P97" s="60"/>
      <c r="Q97" s="61">
        <f t="shared" si="100"/>
        <v>-394</v>
      </c>
      <c r="R97" s="505"/>
      <c r="S97" s="60">
        <f>SUMIF('OH Matrix'!$A$58:$A$70,"EE",'OH Matrix'!P58:P70)</f>
        <v>-22951.621818497053</v>
      </c>
      <c r="T97" s="60">
        <f>SUMIF('OH Matrix'!$A$58:$A$70,"EE",'OH Matrix'!Q58:Q70)</f>
        <v>-37923.542581839029</v>
      </c>
      <c r="U97" s="60">
        <f>SUMIF('OH Matrix'!$A$58:$A$70,"EE",'OH Matrix'!R58:R70)</f>
        <v>-43686.95265457451</v>
      </c>
      <c r="V97" s="60">
        <f>SUMIF('OH Matrix'!$A$58:$A$70,"EE",'OH Matrix'!S58:S70)</f>
        <v>-28649.532948134263</v>
      </c>
      <c r="W97" s="60">
        <f>SUMIF('OH Matrix'!$A$58:$A$70,"EE",'OH Matrix'!T58:T70)</f>
        <v>-33697.359395687279</v>
      </c>
      <c r="X97" s="60">
        <f>SUMIF('OH Matrix'!$A$58:$A$70,"EE",'OH Matrix'!U58:U70)</f>
        <v>-37910.743532727538</v>
      </c>
      <c r="Y97" s="60">
        <f>SUMIF('OH Matrix'!$A$58:$A$70,"EE",'OH Matrix'!V58:V70)</f>
        <v>-42351.063246680817</v>
      </c>
      <c r="Z97" s="60">
        <f>SUMIF('OH Matrix'!$A$58:$A$70,"EE",'OH Matrix'!W58:W70)</f>
        <v>-35210.177484377477</v>
      </c>
      <c r="AA97" s="60">
        <f>SUMIF('OH Matrix'!$A$58:$A$70,"EE",'OH Matrix'!X58:X70)</f>
        <v>-43330.957631032659</v>
      </c>
      <c r="AB97" s="60">
        <f>SUMIF('OH Matrix'!$A$58:$A$70,"EE",'OH Matrix'!Y58:Y70)</f>
        <v>-43451.700068156955</v>
      </c>
      <c r="AC97" s="60">
        <f>SUMIF('OH Matrix'!$A$58:$A$70,"EE",'OH Matrix'!Z58:Z70)</f>
        <v>-26256.342852231144</v>
      </c>
      <c r="AD97" s="60">
        <f>SUMIF('OH Matrix'!$A$58:$A$70,"EE",'OH Matrix'!AA58:AA70)</f>
        <v>-26917.817465142238</v>
      </c>
      <c r="AE97" s="60"/>
      <c r="AF97" s="61">
        <f t="shared" ref="AF97" si="103">SUM(S97:AD97)</f>
        <v>-422337.81167908094</v>
      </c>
      <c r="AG97" s="89"/>
      <c r="AH97" s="60">
        <f>SUMIF('OH Matrix'!$A$58:$A$70,"EE",'OH Matrix'!AD58:AD70)</f>
        <v>-22086.433187067116</v>
      </c>
      <c r="AI97" s="60">
        <f>SUMIF('OH Matrix'!$A$58:$A$70,"EE",'OH Matrix'!AE58:AE70)</f>
        <v>-39959.333984071782</v>
      </c>
      <c r="AJ97" s="60">
        <f>SUMIF('OH Matrix'!$A$58:$A$70,"EE",'OH Matrix'!AF58:AF70)</f>
        <v>-40041.075942551084</v>
      </c>
      <c r="AK97" s="60">
        <f>SUMIF('OH Matrix'!$A$58:$A$70,"EE",'OH Matrix'!AG58:AG70)</f>
        <v>-28881.732436513921</v>
      </c>
      <c r="AL97" s="60">
        <f>SUMIF('OH Matrix'!$A$58:$A$70,"EE",'OH Matrix'!AH58:AH70)</f>
        <v>-31274.073108897184</v>
      </c>
      <c r="AM97" s="60">
        <f>SUMIF('OH Matrix'!$A$58:$A$70,"EE",'OH Matrix'!AI58:AI70)</f>
        <v>-37746.272089273327</v>
      </c>
      <c r="AN97" s="60">
        <f>SUMIF('OH Matrix'!$A$58:$A$70,"EE",'OH Matrix'!AJ58:AJ70)</f>
        <v>-38791.812715853695</v>
      </c>
      <c r="AO97" s="60">
        <f>SUMIF('OH Matrix'!$A$58:$A$70,"EE",'OH Matrix'!AK58:AK70)</f>
        <v>-42188.156998046223</v>
      </c>
      <c r="AP97" s="60">
        <f>SUMIF('OH Matrix'!$A$58:$A$70,"EE",'OH Matrix'!AL58:AL70)</f>
        <v>-44724.133270004626</v>
      </c>
      <c r="AQ97" s="60">
        <f>SUMIF('OH Matrix'!$A$58:$A$70,"EE",'OH Matrix'!AM58:AM70)</f>
        <v>-51260.380190043456</v>
      </c>
      <c r="AR97" s="60">
        <f>SUMIF('OH Matrix'!$A$58:$A$70,"EE",'OH Matrix'!AN58:AN70)</f>
        <v>-31836.642017859202</v>
      </c>
      <c r="AS97" s="60">
        <f>SUMIF('OH Matrix'!$A$58:$A$70,"EE",'OH Matrix'!AO58:AO70)</f>
        <v>-31268.206098335908</v>
      </c>
      <c r="AT97" s="60"/>
      <c r="AU97" s="61">
        <f t="shared" si="102"/>
        <v>-440058.25203851756</v>
      </c>
      <c r="AV97" s="89"/>
    </row>
    <row r="98" spans="2:48" hidden="1" outlineLevel="1">
      <c r="D98" s="53"/>
      <c r="E98" s="53"/>
      <c r="F98" s="53"/>
      <c r="G98" s="53"/>
      <c r="H98" s="53"/>
      <c r="I98" s="53"/>
      <c r="J98" s="53"/>
      <c r="K98" s="53"/>
      <c r="L98" s="53"/>
      <c r="R98" s="503"/>
      <c r="AG98" s="89"/>
      <c r="AV98" s="89"/>
    </row>
    <row r="99" spans="2:48" collapsed="1">
      <c r="B99" s="65" t="s">
        <v>152</v>
      </c>
      <c r="C99" s="61"/>
      <c r="D99" s="64">
        <f>SUM(D89:D97)</f>
        <v>-19082</v>
      </c>
      <c r="E99" s="64">
        <f t="shared" ref="E99:L99" si="104">SUM(E89:E97)</f>
        <v>-16810</v>
      </c>
      <c r="F99" s="64">
        <f t="shared" si="104"/>
        <v>-17813</v>
      </c>
      <c r="G99" s="64">
        <f t="shared" si="104"/>
        <v>-20467</v>
      </c>
      <c r="H99" s="64">
        <f t="shared" si="104"/>
        <v>-19580</v>
      </c>
      <c r="I99" s="64">
        <f t="shared" si="104"/>
        <v>-22014</v>
      </c>
      <c r="J99" s="64">
        <f t="shared" si="104"/>
        <v>-19347</v>
      </c>
      <c r="K99" s="64">
        <f t="shared" si="104"/>
        <v>-24566</v>
      </c>
      <c r="L99" s="64">
        <f t="shared" si="104"/>
        <v>-20671</v>
      </c>
      <c r="M99" s="65">
        <f>SUM(M89:M98)</f>
        <v>-25482.072033898305</v>
      </c>
      <c r="N99" s="65">
        <f>SUM(N89:N98)</f>
        <v>-23257.495762711864</v>
      </c>
      <c r="O99" s="65">
        <f>SUM(O89:O98)</f>
        <v>-36566.245762711864</v>
      </c>
      <c r="P99" s="61"/>
      <c r="Q99" s="65">
        <f>SUM(D99:O99)</f>
        <v>-265655.81355932204</v>
      </c>
      <c r="R99" s="505"/>
      <c r="S99" s="84">
        <f>SUM(S89:S98)</f>
        <v>-55244.880999497051</v>
      </c>
      <c r="T99" s="84">
        <f t="shared" ref="T99:Z99" si="105">SUM(T89:T98)</f>
        <v>-76066.801762839023</v>
      </c>
      <c r="U99" s="84">
        <f t="shared" si="105"/>
        <v>-81830.211835574504</v>
      </c>
      <c r="V99" s="84">
        <f t="shared" si="105"/>
        <v>-66792.792129134265</v>
      </c>
      <c r="W99" s="84">
        <f t="shared" si="105"/>
        <v>-71840.61857668728</v>
      </c>
      <c r="X99" s="84">
        <f t="shared" si="105"/>
        <v>-76054.002713727532</v>
      </c>
      <c r="Y99" s="84">
        <f t="shared" si="105"/>
        <v>-80494.322427680818</v>
      </c>
      <c r="Z99" s="84">
        <f t="shared" si="105"/>
        <v>-73353.436665377478</v>
      </c>
      <c r="AA99" s="65">
        <f>SUM(AA89:AA98)</f>
        <v>-81474.216812032653</v>
      </c>
      <c r="AB99" s="65">
        <f>SUM(AB89:AB98)</f>
        <v>-81594.959249156964</v>
      </c>
      <c r="AC99" s="65">
        <f>SUM(AC89:AC98)</f>
        <v>-64399.602033231145</v>
      </c>
      <c r="AD99" s="65">
        <f>SUM(AD89:AD98)</f>
        <v>-65061.076646142239</v>
      </c>
      <c r="AE99" s="61"/>
      <c r="AF99" s="65">
        <f>SUM(S99:AD99)</f>
        <v>-874206.92185108108</v>
      </c>
      <c r="AG99" s="89"/>
      <c r="AH99" s="84">
        <f>SUM(AH89:AH98)</f>
        <v>-60229.692368067117</v>
      </c>
      <c r="AI99" s="84">
        <f t="shared" ref="AI99:AO99" si="106">SUM(AI89:AI98)</f>
        <v>-78102.593165071783</v>
      </c>
      <c r="AJ99" s="84">
        <f t="shared" si="106"/>
        <v>-78184.335123551078</v>
      </c>
      <c r="AK99" s="84">
        <f t="shared" si="106"/>
        <v>-67024.991617513922</v>
      </c>
      <c r="AL99" s="84">
        <f t="shared" si="106"/>
        <v>-69417.332289897182</v>
      </c>
      <c r="AM99" s="84">
        <f t="shared" si="106"/>
        <v>-75889.531270273321</v>
      </c>
      <c r="AN99" s="84">
        <f t="shared" si="106"/>
        <v>-76935.071896853697</v>
      </c>
      <c r="AO99" s="84">
        <f t="shared" si="106"/>
        <v>-80331.416179046224</v>
      </c>
      <c r="AP99" s="65">
        <f>SUM(AP89:AP98)</f>
        <v>-82867.39245100462</v>
      </c>
      <c r="AQ99" s="65">
        <f>SUM(AQ89:AQ98)</f>
        <v>-89403.63937104345</v>
      </c>
      <c r="AR99" s="65">
        <f>SUM(AR89:AR98)</f>
        <v>-69979.90119885921</v>
      </c>
      <c r="AS99" s="65">
        <f>SUM(AS89:AS98)</f>
        <v>-69411.465279335913</v>
      </c>
      <c r="AT99" s="61"/>
      <c r="AU99" s="65">
        <f>SUM(AH99:AS99)</f>
        <v>-897777.36221051752</v>
      </c>
      <c r="AV99" s="89"/>
    </row>
    <row r="100" spans="2:48">
      <c r="D100" s="76"/>
      <c r="E100" s="76"/>
      <c r="F100" s="76"/>
      <c r="G100" s="76"/>
      <c r="H100" s="76"/>
      <c r="I100" s="76"/>
      <c r="J100" s="76"/>
      <c r="K100" s="76"/>
      <c r="L100" s="76"/>
      <c r="M100" s="77"/>
      <c r="N100" s="77"/>
      <c r="O100" s="77"/>
      <c r="Q100" s="91">
        <f>-Q99/Q12</f>
        <v>4.7492280909516293E-2</v>
      </c>
      <c r="R100" s="503"/>
      <c r="S100" s="89"/>
      <c r="T100" s="89"/>
      <c r="U100" s="89"/>
      <c r="V100" s="89"/>
      <c r="W100" s="89"/>
      <c r="X100" s="77"/>
      <c r="Y100" s="77"/>
      <c r="Z100" s="77"/>
      <c r="AA100" s="77"/>
      <c r="AB100" s="77"/>
      <c r="AC100" s="77"/>
      <c r="AD100" s="77"/>
      <c r="AF100" s="91">
        <f ca="1">-AF99/AF12</f>
        <v>0.12780500865645492</v>
      </c>
      <c r="AG100" s="89"/>
      <c r="AH100" s="89"/>
      <c r="AI100" s="89"/>
      <c r="AJ100" s="89"/>
      <c r="AK100" s="89"/>
      <c r="AL100" s="89"/>
      <c r="AM100" s="77"/>
      <c r="AN100" s="77"/>
      <c r="AO100" s="77"/>
      <c r="AP100" s="77"/>
      <c r="AQ100" s="77"/>
      <c r="AR100" s="77"/>
      <c r="AS100" s="77"/>
      <c r="AU100" s="91">
        <f ca="1">-AU99/AU12</f>
        <v>0.11419956829065327</v>
      </c>
      <c r="AV100" s="89"/>
    </row>
    <row r="101" spans="2:48">
      <c r="B101" s="52" t="s">
        <v>153</v>
      </c>
      <c r="C101" s="52"/>
      <c r="D101" s="78">
        <f t="shared" ref="D101:L101" si="107">D77+D85+D99</f>
        <v>14096.930000000022</v>
      </c>
      <c r="E101" s="78">
        <f t="shared" si="107"/>
        <v>232560.30000000005</v>
      </c>
      <c r="F101" s="78">
        <f t="shared" si="107"/>
        <v>97595.199999999953</v>
      </c>
      <c r="G101" s="78">
        <f t="shared" si="107"/>
        <v>3633.9700000000012</v>
      </c>
      <c r="H101" s="78">
        <f t="shared" si="107"/>
        <v>-3937.6800000000076</v>
      </c>
      <c r="I101" s="78">
        <f t="shared" si="107"/>
        <v>205321.73999999996</v>
      </c>
      <c r="J101" s="78">
        <f t="shared" si="107"/>
        <v>200213.04000000007</v>
      </c>
      <c r="K101" s="78">
        <f t="shared" si="107"/>
        <v>-34964.080000000002</v>
      </c>
      <c r="L101" s="78">
        <f t="shared" si="107"/>
        <v>271025</v>
      </c>
      <c r="M101" s="61">
        <f>M77+M85+M99</f>
        <v>379646.92796610168</v>
      </c>
      <c r="N101" s="61">
        <f>N77+N85+N99</f>
        <v>85822.504237288143</v>
      </c>
      <c r="O101" s="61">
        <f>O77+O85+O99</f>
        <v>42066.754237288136</v>
      </c>
      <c r="P101" s="61"/>
      <c r="Q101" s="79">
        <f>Q77+Q85+Q99</f>
        <v>1479851.1664406783</v>
      </c>
      <c r="R101" s="505"/>
      <c r="S101" s="90">
        <f ca="1">S77+S85+S99</f>
        <v>35121.738380127063</v>
      </c>
      <c r="T101" s="90">
        <f t="shared" ref="T101:Z101" ca="1" si="108">T77+T85+T99</f>
        <v>163456.4150477048</v>
      </c>
      <c r="U101" s="90">
        <f t="shared" ca="1" si="108"/>
        <v>103794.57741629964</v>
      </c>
      <c r="V101" s="90">
        <f t="shared" ca="1" si="108"/>
        <v>14644.875547033211</v>
      </c>
      <c r="W101" s="90">
        <f t="shared" ca="1" si="108"/>
        <v>9998.4877882798173</v>
      </c>
      <c r="X101" s="61">
        <f t="shared" ca="1" si="108"/>
        <v>232604.91269648646</v>
      </c>
      <c r="Y101" s="61">
        <f t="shared" ca="1" si="108"/>
        <v>22912.665398224417</v>
      </c>
      <c r="Z101" s="61">
        <f t="shared" ca="1" si="108"/>
        <v>14954.594831979091</v>
      </c>
      <c r="AA101" s="61">
        <f ca="1">AA77+AA85+AA99</f>
        <v>270945.97071668576</v>
      </c>
      <c r="AB101" s="61">
        <f ca="1">AB77+AB85+AB99</f>
        <v>226802.18219537361</v>
      </c>
      <c r="AC101" s="61">
        <f ca="1">AC77+AC85+AC99</f>
        <v>35712.016900912568</v>
      </c>
      <c r="AD101" s="61">
        <f ca="1">AD77+AD85+AD99</f>
        <v>37644.516421327127</v>
      </c>
      <c r="AE101" s="61"/>
      <c r="AF101" s="79">
        <f ca="1">AF77+AF85+AF99</f>
        <v>1168592.9533404333</v>
      </c>
      <c r="AG101" s="531">
        <f ca="1">IFERROR(AF101/Q101-1,0)</f>
        <v>-0.21033075498320541</v>
      </c>
      <c r="AH101" s="90">
        <f ca="1">AH77+AH85+AH99</f>
        <v>23500.863387760692</v>
      </c>
      <c r="AI101" s="90">
        <f t="shared" ref="AI101:AO101" ca="1" si="109">AI77+AI85+AI99</f>
        <v>201329.63597829989</v>
      </c>
      <c r="AJ101" s="90">
        <f t="shared" ca="1" si="109"/>
        <v>121322.22027542992</v>
      </c>
      <c r="AK101" s="90">
        <f t="shared" ca="1" si="109"/>
        <v>30196.112850417019</v>
      </c>
      <c r="AL101" s="90">
        <f t="shared" ca="1" si="109"/>
        <v>22662.202463430658</v>
      </c>
      <c r="AM101" s="61">
        <f t="shared" ca="1" si="109"/>
        <v>290213.88629887818</v>
      </c>
      <c r="AN101" s="61">
        <f t="shared" ca="1" si="109"/>
        <v>50915.857871947112</v>
      </c>
      <c r="AO101" s="61">
        <f t="shared" ca="1" si="109"/>
        <v>15284.780847481627</v>
      </c>
      <c r="AP101" s="61">
        <f ca="1">AP77+AP85+AP99</f>
        <v>314601.56130531465</v>
      </c>
      <c r="AQ101" s="61">
        <f ca="1">AQ77+AQ85+AQ99</f>
        <v>250105.03738843542</v>
      </c>
      <c r="AR101" s="61">
        <f ca="1">AR77+AR85+AR99</f>
        <v>41852.456678546645</v>
      </c>
      <c r="AS101" s="61">
        <f ca="1">AS77+AS85+AS99</f>
        <v>44195.952907615036</v>
      </c>
      <c r="AT101" s="61"/>
      <c r="AU101" s="79">
        <f ca="1">AU77+AU85+AU99</f>
        <v>1406180.5682535565</v>
      </c>
      <c r="AV101" s="531">
        <f ca="1">IFERROR(AU101/AF101-1,0)</f>
        <v>0.20331083995841048</v>
      </c>
    </row>
    <row r="102" spans="2:48">
      <c r="B102" s="72" t="s">
        <v>186</v>
      </c>
      <c r="C102" s="73"/>
      <c r="D102" s="97">
        <v>9.8518914095004059E-2</v>
      </c>
      <c r="E102" s="97">
        <v>0.4010857450912711</v>
      </c>
      <c r="F102" s="97">
        <v>0.21166402370540832</v>
      </c>
      <c r="G102" s="97">
        <v>2.3933594693190795E-2</v>
      </c>
      <c r="H102" s="97">
        <v>-2.6490187952838057E-2</v>
      </c>
      <c r="I102" s="97">
        <v>0.3482290435354124</v>
      </c>
      <c r="J102" s="97">
        <v>0.3199137718049187</v>
      </c>
      <c r="K102" s="97">
        <v>-0.26679213398652235</v>
      </c>
      <c r="L102" s="97">
        <v>0.26329048084835499</v>
      </c>
      <c r="M102" s="91">
        <f t="shared" ref="M102:O102" si="110">IFERROR(M101/M12,0)</f>
        <v>0.33336751593407032</v>
      </c>
      <c r="N102" s="91">
        <f t="shared" si="110"/>
        <v>0.23853432753261794</v>
      </c>
      <c r="O102" s="91">
        <f t="shared" si="110"/>
        <v>0.18083738527434265</v>
      </c>
      <c r="P102" s="91"/>
      <c r="Q102" s="91">
        <f>IFERROR(Q101/Q12,0)</f>
        <v>0.26455851411353321</v>
      </c>
      <c r="S102" s="91">
        <f t="shared" ref="S102:AD102" ca="1" si="111">IFERROR(S101/S12,0)</f>
        <v>0.11483965414636493</v>
      </c>
      <c r="T102" s="91">
        <f t="shared" ca="1" si="111"/>
        <v>0.22869816988133299</v>
      </c>
      <c r="U102" s="91">
        <f t="shared" ca="1" si="111"/>
        <v>0.1687013134736248</v>
      </c>
      <c r="V102" s="91">
        <f t="shared" ca="1" si="111"/>
        <v>4.4832947929414758E-2</v>
      </c>
      <c r="W102" s="91">
        <f t="shared" ca="1" si="111"/>
        <v>3.1829168995289807E-2</v>
      </c>
      <c r="X102" s="91">
        <f t="shared" ca="1" si="111"/>
        <v>0.25746955392513982</v>
      </c>
      <c r="Y102" s="91">
        <f t="shared" ca="1" si="111"/>
        <v>6.3925140427687058E-2</v>
      </c>
      <c r="Z102" s="91">
        <f t="shared" ca="1" si="111"/>
        <v>4.4279626444919021E-2</v>
      </c>
      <c r="AA102" s="91">
        <f t="shared" ca="1" si="111"/>
        <v>0.23576615418583916</v>
      </c>
      <c r="AB102" s="91">
        <f t="shared" ca="1" si="111"/>
        <v>0.20581713274372526</v>
      </c>
      <c r="AC102" s="91">
        <f t="shared" ca="1" si="111"/>
        <v>0.10380721998766301</v>
      </c>
      <c r="AD102" s="91">
        <f t="shared" ca="1" si="111"/>
        <v>0.10207895089021163</v>
      </c>
      <c r="AE102" s="91"/>
      <c r="AF102" s="91">
        <f ca="1">IFERROR(AF101/AF12,0)</f>
        <v>0.17084288488736998</v>
      </c>
      <c r="AH102" s="91">
        <f t="shared" ref="AH102:AS102" ca="1" si="112">IFERROR(AH101/AH12,0)</f>
        <v>7.4582092451706411E-2</v>
      </c>
      <c r="AI102" s="91">
        <f t="shared" ca="1" si="112"/>
        <v>0.23029333650439104</v>
      </c>
      <c r="AJ102" s="91">
        <f t="shared" ca="1" si="112"/>
        <v>0.18041127608568619</v>
      </c>
      <c r="AK102" s="91">
        <f t="shared" ca="1" si="112"/>
        <v>7.8876532137692745E-2</v>
      </c>
      <c r="AL102" s="91">
        <f t="shared" ca="1" si="112"/>
        <v>6.1743753441970146E-2</v>
      </c>
      <c r="AM102" s="91">
        <f t="shared" ca="1" si="112"/>
        <v>0.25499263669297462</v>
      </c>
      <c r="AN102" s="91">
        <f t="shared" ca="1" si="112"/>
        <v>0.13563181532313892</v>
      </c>
      <c r="AO102" s="91">
        <f t="shared" ca="1" si="112"/>
        <v>4.0344018241026874E-2</v>
      </c>
      <c r="AP102" s="91">
        <f t="shared" ca="1" si="112"/>
        <v>0.23459593403374376</v>
      </c>
      <c r="AQ102" s="91">
        <f t="shared" ca="1" si="112"/>
        <v>0.20210834946435863</v>
      </c>
      <c r="AR102" s="91">
        <f t="shared" ca="1" si="112"/>
        <v>0.1148420320119015</v>
      </c>
      <c r="AS102" s="91">
        <f t="shared" ca="1" si="112"/>
        <v>0.10663247028019245</v>
      </c>
      <c r="AT102" s="91"/>
      <c r="AU102" s="91">
        <f ca="1">IFERROR(AU101/AU12,0)</f>
        <v>0.17886975166968672</v>
      </c>
    </row>
  </sheetData>
  <mergeCells count="3">
    <mergeCell ref="D2:Q2"/>
    <mergeCell ref="S2:AF2"/>
    <mergeCell ref="AH2:AU2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CF7B7-5E28-45F1-B101-0E9A26381DD6}">
  <sheetPr codeName="Sheet9">
    <tabColor theme="4" tint="0.79998168889431442"/>
  </sheetPr>
  <dimension ref="A1:AW101"/>
  <sheetViews>
    <sheetView showGridLines="0" topLeftCell="B2" zoomScale="148" zoomScaleNormal="100" workbookViewId="0">
      <selection activeCell="N13" sqref="N13"/>
    </sheetView>
  </sheetViews>
  <sheetFormatPr baseColWidth="10" defaultColWidth="8.5" defaultRowHeight="11" outlineLevelRow="2" outlineLevelCol="1"/>
  <cols>
    <col min="1" max="1" width="9.5" style="51" customWidth="1"/>
    <col min="2" max="2" width="22.5" style="51" bestFit="1" customWidth="1"/>
    <col min="3" max="3" width="5" style="51" customWidth="1" outlineLevel="1"/>
    <col min="4" max="4" width="8.5" style="7" customWidth="1" outlineLevel="1"/>
    <col min="5" max="5" width="9.1640625" style="7" customWidth="1" outlineLevel="1"/>
    <col min="6" max="6" width="8.5" style="7" customWidth="1" outlineLevel="1"/>
    <col min="7" max="7" width="9.1640625" style="7" customWidth="1" outlineLevel="1"/>
    <col min="8" max="8" width="8.5" style="7" customWidth="1" outlineLevel="1"/>
    <col min="9" max="15" width="8.83203125" style="51" customWidth="1" outlineLevel="1"/>
    <col min="16" max="16" width="3.1640625" style="51" customWidth="1"/>
    <col min="17" max="17" width="9.5" style="52" bestFit="1" customWidth="1"/>
    <col min="18" max="18" width="3.1640625" style="51" customWidth="1"/>
    <col min="19" max="19" width="0" style="7" hidden="1" customWidth="1" outlineLevel="1"/>
    <col min="20" max="22" width="8.83203125" style="7" hidden="1" customWidth="1" outlineLevel="1"/>
    <col min="23" max="23" width="9.1640625" style="7" hidden="1" customWidth="1" outlineLevel="1"/>
    <col min="24" max="30" width="8.83203125" style="51" hidden="1" customWidth="1" outlineLevel="1"/>
    <col min="31" max="31" width="3.1640625" style="51" customWidth="1" collapsed="1"/>
    <col min="32" max="32" width="9.5" style="52" bestFit="1" customWidth="1"/>
    <col min="33" max="33" width="6.6640625" style="7" customWidth="1"/>
    <col min="34" max="35" width="8.83203125" style="7" hidden="1" customWidth="1" outlineLevel="1"/>
    <col min="36" max="36" width="0" style="7" hidden="1" customWidth="1" outlineLevel="1"/>
    <col min="37" max="37" width="8.83203125" style="7" hidden="1" customWidth="1" outlineLevel="1"/>
    <col min="38" max="38" width="9.1640625" style="7" hidden="1" customWidth="1" outlineLevel="1"/>
    <col min="39" max="45" width="8.83203125" style="51" hidden="1" customWidth="1" outlineLevel="1"/>
    <col min="46" max="46" width="3.1640625" style="51" hidden="1" customWidth="1" outlineLevel="1"/>
    <col min="47" max="47" width="9.5" style="52" bestFit="1" customWidth="1" collapsed="1"/>
    <col min="48" max="48" width="6.6640625" style="7" customWidth="1"/>
    <col min="49" max="49" width="12.5" style="7" bestFit="1" customWidth="1"/>
    <col min="50" max="16384" width="8.5" style="7"/>
  </cols>
  <sheetData>
    <row r="1" spans="1:49" hidden="1">
      <c r="S1" s="498">
        <f>S9*$C$18</f>
        <v>-300.58559999999994</v>
      </c>
      <c r="T1" s="498">
        <f t="shared" ref="T1:AD1" si="0">T9*$C$18</f>
        <v>-21982.902480000001</v>
      </c>
      <c r="U1" s="498">
        <f t="shared" si="0"/>
        <v>-56700</v>
      </c>
      <c r="V1" s="498">
        <f t="shared" si="0"/>
        <v>-49585.831679999996</v>
      </c>
      <c r="W1" s="498">
        <f t="shared" si="0"/>
        <v>-35642.224799999996</v>
      </c>
      <c r="X1" s="498">
        <f t="shared" si="0"/>
        <v>-23057.0088</v>
      </c>
      <c r="Y1" s="498">
        <f t="shared" si="0"/>
        <v>-40451.486879999997</v>
      </c>
      <c r="Z1" s="498">
        <f t="shared" si="0"/>
        <v>-52259.229119999996</v>
      </c>
      <c r="AA1" s="498">
        <f t="shared" si="0"/>
        <v>-25200</v>
      </c>
      <c r="AB1" s="498">
        <f t="shared" si="0"/>
        <v>-8400</v>
      </c>
      <c r="AC1" s="498">
        <f t="shared" si="0"/>
        <v>-840</v>
      </c>
      <c r="AD1" s="498">
        <f t="shared" si="0"/>
        <v>-8400</v>
      </c>
      <c r="AF1" s="499">
        <f>SUM(S1:AD1)</f>
        <v>-322819.26935999998</v>
      </c>
      <c r="AH1" s="498">
        <f>AH9*$C$18</f>
        <v>-330.64416</v>
      </c>
      <c r="AI1" s="498">
        <f t="shared" ref="AI1:AS1" si="1">AI9*$C$18</f>
        <v>-14134.780128</v>
      </c>
      <c r="AJ1" s="498">
        <f t="shared" si="1"/>
        <v>-59535</v>
      </c>
      <c r="AK1" s="498">
        <f t="shared" si="1"/>
        <v>-45997.414848</v>
      </c>
      <c r="AL1" s="498">
        <f t="shared" si="1"/>
        <v>-37694.44728</v>
      </c>
      <c r="AM1" s="498">
        <f t="shared" si="1"/>
        <v>-21059.859239999998</v>
      </c>
      <c r="AN1" s="498">
        <f t="shared" si="1"/>
        <v>-37629.635567999998</v>
      </c>
      <c r="AO1" s="498">
        <f t="shared" si="1"/>
        <v>-76997.299512000012</v>
      </c>
      <c r="AP1" s="498">
        <f t="shared" si="1"/>
        <v>-17220</v>
      </c>
      <c r="AQ1" s="498">
        <f t="shared" si="1"/>
        <v>-13398</v>
      </c>
      <c r="AR1" s="498">
        <f t="shared" si="1"/>
        <v>-882</v>
      </c>
      <c r="AS1" s="498">
        <f t="shared" si="1"/>
        <v>-9198</v>
      </c>
      <c r="AT1" s="498"/>
      <c r="AU1" s="498">
        <f>SUM(AH1:AS1)</f>
        <v>-334077.08073599997</v>
      </c>
    </row>
    <row r="2" spans="1:49">
      <c r="S2" s="498"/>
      <c r="T2" s="498"/>
      <c r="U2" s="498"/>
      <c r="V2" s="498"/>
      <c r="W2" s="498"/>
      <c r="X2" s="498"/>
      <c r="Y2" s="498"/>
      <c r="Z2" s="498"/>
      <c r="AA2" s="498"/>
      <c r="AB2" s="498"/>
      <c r="AC2" s="498"/>
      <c r="AD2" s="498"/>
      <c r="AF2" s="499"/>
      <c r="AH2" s="498"/>
      <c r="AI2" s="498"/>
      <c r="AJ2" s="498"/>
      <c r="AK2" s="498"/>
      <c r="AL2" s="498"/>
      <c r="AM2" s="498"/>
      <c r="AN2" s="498"/>
      <c r="AO2" s="498"/>
      <c r="AP2" s="498"/>
      <c r="AQ2" s="498"/>
      <c r="AR2" s="498"/>
      <c r="AS2" s="498"/>
      <c r="AT2" s="498"/>
      <c r="AU2" s="498"/>
    </row>
    <row r="3" spans="1:49" ht="16">
      <c r="B3" s="143" t="s">
        <v>191</v>
      </c>
      <c r="D3" s="546" t="s">
        <v>174</v>
      </c>
      <c r="E3" s="546"/>
      <c r="F3" s="546"/>
      <c r="G3" s="546"/>
      <c r="H3" s="546"/>
      <c r="I3" s="546"/>
      <c r="J3" s="546"/>
      <c r="K3" s="546"/>
      <c r="L3" s="546"/>
      <c r="M3" s="546"/>
      <c r="N3" s="546"/>
      <c r="O3" s="546"/>
      <c r="P3" s="546"/>
      <c r="Q3" s="546"/>
      <c r="S3" s="546" t="s">
        <v>75</v>
      </c>
      <c r="T3" s="546"/>
      <c r="U3" s="546"/>
      <c r="V3" s="546"/>
      <c r="W3" s="546"/>
      <c r="X3" s="546"/>
      <c r="Y3" s="546"/>
      <c r="Z3" s="546"/>
      <c r="AA3" s="546"/>
      <c r="AB3" s="546"/>
      <c r="AC3" s="546"/>
      <c r="AD3" s="546"/>
      <c r="AE3" s="546"/>
      <c r="AF3" s="546"/>
      <c r="AH3" s="546" t="s">
        <v>81</v>
      </c>
      <c r="AI3" s="546"/>
      <c r="AJ3" s="546"/>
      <c r="AK3" s="546"/>
      <c r="AL3" s="546"/>
      <c r="AM3" s="546"/>
      <c r="AN3" s="546"/>
      <c r="AO3" s="546"/>
      <c r="AP3" s="546"/>
      <c r="AQ3" s="546"/>
      <c r="AR3" s="546"/>
      <c r="AS3" s="546"/>
      <c r="AT3" s="546"/>
      <c r="AU3" s="546"/>
    </row>
    <row r="4" spans="1:49" ht="36">
      <c r="B4" s="52"/>
      <c r="D4" s="54" t="s">
        <v>175</v>
      </c>
      <c r="E4" s="54" t="s">
        <v>175</v>
      </c>
      <c r="F4" s="54" t="s">
        <v>175</v>
      </c>
      <c r="G4" s="54" t="s">
        <v>176</v>
      </c>
      <c r="H4" s="54" t="s">
        <v>176</v>
      </c>
      <c r="I4" s="54" t="s">
        <v>176</v>
      </c>
      <c r="J4" s="54" t="s">
        <v>177</v>
      </c>
      <c r="K4" s="54" t="s">
        <v>177</v>
      </c>
      <c r="L4" s="54" t="s">
        <v>177</v>
      </c>
      <c r="M4" s="55" t="s">
        <v>178</v>
      </c>
      <c r="N4" s="55" t="s">
        <v>178</v>
      </c>
      <c r="O4" s="55" t="s">
        <v>178</v>
      </c>
      <c r="S4" s="80" t="s">
        <v>175</v>
      </c>
      <c r="T4" s="80" t="s">
        <v>175</v>
      </c>
      <c r="U4" s="80" t="s">
        <v>175</v>
      </c>
      <c r="V4" s="80" t="s">
        <v>176</v>
      </c>
      <c r="W4" s="80" t="s">
        <v>176</v>
      </c>
      <c r="X4" s="55" t="s">
        <v>176</v>
      </c>
      <c r="Y4" s="55" t="s">
        <v>177</v>
      </c>
      <c r="Z4" s="55" t="s">
        <v>177</v>
      </c>
      <c r="AA4" s="55" t="s">
        <v>177</v>
      </c>
      <c r="AB4" s="55" t="s">
        <v>178</v>
      </c>
      <c r="AC4" s="55" t="s">
        <v>178</v>
      </c>
      <c r="AD4" s="55" t="s">
        <v>178</v>
      </c>
      <c r="AG4" s="527" t="s">
        <v>179</v>
      </c>
      <c r="AH4" s="80" t="s">
        <v>175</v>
      </c>
      <c r="AI4" s="80" t="s">
        <v>175</v>
      </c>
      <c r="AJ4" s="80" t="s">
        <v>175</v>
      </c>
      <c r="AK4" s="80" t="s">
        <v>176</v>
      </c>
      <c r="AL4" s="80" t="s">
        <v>176</v>
      </c>
      <c r="AM4" s="55" t="s">
        <v>176</v>
      </c>
      <c r="AN4" s="55" t="s">
        <v>177</v>
      </c>
      <c r="AO4" s="55" t="s">
        <v>177</v>
      </c>
      <c r="AP4" s="55" t="s">
        <v>177</v>
      </c>
      <c r="AQ4" s="55" t="s">
        <v>178</v>
      </c>
      <c r="AR4" s="55" t="s">
        <v>178</v>
      </c>
      <c r="AS4" s="55" t="s">
        <v>178</v>
      </c>
      <c r="AV4" s="527" t="s">
        <v>179</v>
      </c>
    </row>
    <row r="5" spans="1:49">
      <c r="D5" s="56">
        <v>45716</v>
      </c>
      <c r="E5" s="56">
        <v>45747</v>
      </c>
      <c r="F5" s="56">
        <v>45777</v>
      </c>
      <c r="G5" s="56">
        <v>45808</v>
      </c>
      <c r="H5" s="56">
        <v>45838</v>
      </c>
      <c r="I5" s="56">
        <f t="shared" ref="I5:O5" si="2">EOMONTH(H5,1)</f>
        <v>45869</v>
      </c>
      <c r="J5" s="56">
        <f t="shared" si="2"/>
        <v>45900</v>
      </c>
      <c r="K5" s="56">
        <f t="shared" si="2"/>
        <v>45930</v>
      </c>
      <c r="L5" s="56">
        <f>EOMONTH(K5,1)</f>
        <v>45961</v>
      </c>
      <c r="M5" s="57">
        <f t="shared" si="2"/>
        <v>45991</v>
      </c>
      <c r="N5" s="57">
        <f t="shared" si="2"/>
        <v>46022</v>
      </c>
      <c r="O5" s="57">
        <f t="shared" si="2"/>
        <v>46053</v>
      </c>
      <c r="P5" s="57"/>
      <c r="Q5" s="55" t="s">
        <v>174</v>
      </c>
      <c r="S5" s="81">
        <v>46081</v>
      </c>
      <c r="T5" s="81">
        <f>EOMONTH(S5,1)</f>
        <v>46112</v>
      </c>
      <c r="U5" s="81">
        <f>EOMONTH(T5,1)</f>
        <v>46142</v>
      </c>
      <c r="V5" s="81">
        <f>EOMONTH(U5,1)</f>
        <v>46173</v>
      </c>
      <c r="W5" s="81">
        <f>EOMONTH(V5,1)</f>
        <v>46203</v>
      </c>
      <c r="X5" s="57">
        <f t="shared" ref="X5:AD5" si="3">EOMONTH(W5,1)</f>
        <v>46234</v>
      </c>
      <c r="Y5" s="57">
        <f t="shared" si="3"/>
        <v>46265</v>
      </c>
      <c r="Z5" s="57">
        <f t="shared" si="3"/>
        <v>46295</v>
      </c>
      <c r="AA5" s="57">
        <f t="shared" si="3"/>
        <v>46326</v>
      </c>
      <c r="AB5" s="57">
        <f t="shared" si="3"/>
        <v>46356</v>
      </c>
      <c r="AC5" s="57">
        <f t="shared" si="3"/>
        <v>46387</v>
      </c>
      <c r="AD5" s="57">
        <f t="shared" si="3"/>
        <v>46418</v>
      </c>
      <c r="AE5" s="57"/>
      <c r="AF5" s="55" t="s">
        <v>75</v>
      </c>
      <c r="AH5" s="81">
        <v>46446</v>
      </c>
      <c r="AI5" s="81">
        <f>EOMONTH(AH5,1)</f>
        <v>46477</v>
      </c>
      <c r="AJ5" s="81">
        <f>EOMONTH(AI5,1)</f>
        <v>46507</v>
      </c>
      <c r="AK5" s="81">
        <f>EOMONTH(AJ5,1)</f>
        <v>46538</v>
      </c>
      <c r="AL5" s="81">
        <f>EOMONTH(AK5,1)</f>
        <v>46568</v>
      </c>
      <c r="AM5" s="57">
        <f t="shared" ref="AM5:AS5" si="4">EOMONTH(AL5,1)</f>
        <v>46599</v>
      </c>
      <c r="AN5" s="57">
        <f t="shared" si="4"/>
        <v>46630</v>
      </c>
      <c r="AO5" s="57">
        <f t="shared" si="4"/>
        <v>46660</v>
      </c>
      <c r="AP5" s="57">
        <f t="shared" si="4"/>
        <v>46691</v>
      </c>
      <c r="AQ5" s="57">
        <f t="shared" si="4"/>
        <v>46721</v>
      </c>
      <c r="AR5" s="57">
        <f t="shared" si="4"/>
        <v>46752</v>
      </c>
      <c r="AS5" s="57">
        <f t="shared" si="4"/>
        <v>46783</v>
      </c>
      <c r="AT5" s="57"/>
      <c r="AU5" s="55" t="s">
        <v>81</v>
      </c>
    </row>
    <row r="6" spans="1:49">
      <c r="B6" s="58" t="s">
        <v>82</v>
      </c>
      <c r="D6" s="46" t="s">
        <v>180</v>
      </c>
      <c r="E6" s="46" t="s">
        <v>180</v>
      </c>
      <c r="F6" s="46" t="s">
        <v>180</v>
      </c>
      <c r="G6" s="46" t="s">
        <v>180</v>
      </c>
      <c r="H6" s="46" t="s">
        <v>180</v>
      </c>
      <c r="I6" s="46" t="s">
        <v>180</v>
      </c>
      <c r="J6" s="46" t="s">
        <v>180</v>
      </c>
      <c r="K6" s="46" t="s">
        <v>180</v>
      </c>
      <c r="L6" s="46" t="s">
        <v>180</v>
      </c>
      <c r="M6" s="48" t="s">
        <v>42</v>
      </c>
      <c r="N6" s="48" t="s">
        <v>42</v>
      </c>
      <c r="O6" s="48" t="s">
        <v>42</v>
      </c>
      <c r="S6" s="82" t="s">
        <v>42</v>
      </c>
      <c r="T6" s="82" t="s">
        <v>42</v>
      </c>
      <c r="U6" s="82" t="s">
        <v>42</v>
      </c>
      <c r="V6" s="82" t="s">
        <v>42</v>
      </c>
      <c r="W6" s="82" t="s">
        <v>42</v>
      </c>
      <c r="X6" s="48" t="s">
        <v>42</v>
      </c>
      <c r="Y6" s="48" t="s">
        <v>42</v>
      </c>
      <c r="Z6" s="48" t="s">
        <v>42</v>
      </c>
      <c r="AA6" s="48" t="s">
        <v>42</v>
      </c>
      <c r="AB6" s="48" t="s">
        <v>42</v>
      </c>
      <c r="AC6" s="48" t="s">
        <v>42</v>
      </c>
      <c r="AD6" s="48" t="s">
        <v>42</v>
      </c>
      <c r="AH6" s="82" t="s">
        <v>42</v>
      </c>
      <c r="AI6" s="82" t="s">
        <v>42</v>
      </c>
      <c r="AJ6" s="82" t="s">
        <v>42</v>
      </c>
      <c r="AK6" s="82" t="s">
        <v>42</v>
      </c>
      <c r="AL6" s="82" t="s">
        <v>42</v>
      </c>
      <c r="AM6" s="48" t="s">
        <v>42</v>
      </c>
      <c r="AN6" s="48" t="s">
        <v>42</v>
      </c>
      <c r="AO6" s="48" t="s">
        <v>42</v>
      </c>
      <c r="AP6" s="48" t="s">
        <v>42</v>
      </c>
      <c r="AQ6" s="48" t="s">
        <v>42</v>
      </c>
      <c r="AR6" s="48" t="s">
        <v>42</v>
      </c>
      <c r="AS6" s="48" t="s">
        <v>42</v>
      </c>
    </row>
    <row r="7" spans="1:49">
      <c r="D7" s="53"/>
      <c r="E7" s="53"/>
      <c r="F7" s="53"/>
      <c r="G7" s="53"/>
      <c r="H7" s="53"/>
      <c r="I7" s="53"/>
      <c r="J7" s="53"/>
      <c r="K7" s="53"/>
      <c r="L7" s="53"/>
      <c r="AG7" s="531">
        <f>IFERROR(AF7/Q7-1,0)</f>
        <v>0</v>
      </c>
      <c r="AV7" s="531">
        <f>IFERROR(AU7/AF7-1,0)</f>
        <v>0</v>
      </c>
    </row>
    <row r="8" spans="1:49">
      <c r="B8" s="51" t="s">
        <v>83</v>
      </c>
      <c r="D8" s="59">
        <v>4145</v>
      </c>
      <c r="E8" s="59">
        <v>4898</v>
      </c>
      <c r="F8" s="59">
        <v>5844</v>
      </c>
      <c r="G8" s="59">
        <v>5951</v>
      </c>
      <c r="H8" s="59">
        <v>3965</v>
      </c>
      <c r="I8" s="59">
        <v>10621</v>
      </c>
      <c r="J8" s="59">
        <v>5442</v>
      </c>
      <c r="K8" s="59">
        <v>2892</v>
      </c>
      <c r="L8" s="59">
        <v>2841</v>
      </c>
      <c r="M8" s="60"/>
      <c r="N8" s="60"/>
      <c r="O8" s="60"/>
      <c r="P8" s="60"/>
      <c r="Q8" s="61">
        <f>SUM(D8:O8)</f>
        <v>46599</v>
      </c>
      <c r="R8" s="62"/>
      <c r="S8" s="60">
        <v>0</v>
      </c>
      <c r="T8" s="60">
        <v>0</v>
      </c>
      <c r="U8" s="60">
        <v>0</v>
      </c>
      <c r="V8" s="60">
        <v>0</v>
      </c>
      <c r="W8" s="60">
        <v>0</v>
      </c>
      <c r="X8" s="60">
        <v>0</v>
      </c>
      <c r="Y8" s="60">
        <v>0</v>
      </c>
      <c r="Z8" s="60">
        <v>0</v>
      </c>
      <c r="AA8" s="60">
        <v>0</v>
      </c>
      <c r="AB8" s="60">
        <v>0</v>
      </c>
      <c r="AC8" s="60">
        <v>0</v>
      </c>
      <c r="AD8" s="60">
        <v>0</v>
      </c>
      <c r="AE8" s="60"/>
      <c r="AF8" s="61">
        <f>SUM(S8:AD8)</f>
        <v>0</v>
      </c>
      <c r="AG8" s="531">
        <f>IFERROR(AF8/Q8-1,0)</f>
        <v>-1</v>
      </c>
      <c r="AH8" s="60">
        <v>0</v>
      </c>
      <c r="AI8" s="60">
        <v>0</v>
      </c>
      <c r="AJ8" s="60">
        <v>0</v>
      </c>
      <c r="AK8" s="60">
        <v>0</v>
      </c>
      <c r="AL8" s="60">
        <v>0</v>
      </c>
      <c r="AM8" s="60">
        <v>0</v>
      </c>
      <c r="AN8" s="60">
        <v>0</v>
      </c>
      <c r="AO8" s="60">
        <v>0</v>
      </c>
      <c r="AP8" s="60">
        <v>0</v>
      </c>
      <c r="AQ8" s="60">
        <v>0</v>
      </c>
      <c r="AR8" s="60">
        <v>0</v>
      </c>
      <c r="AS8" s="60">
        <v>0</v>
      </c>
      <c r="AT8" s="60"/>
      <c r="AU8" s="61">
        <f>SUM(AH8:AS8)</f>
        <v>0</v>
      </c>
      <c r="AV8" s="531">
        <f>IFERROR(AU8/AF8-1,0)</f>
        <v>0</v>
      </c>
    </row>
    <row r="9" spans="1:49">
      <c r="B9" s="51" t="s">
        <v>84</v>
      </c>
      <c r="D9" s="59">
        <v>171532</v>
      </c>
      <c r="E9" s="59">
        <v>88519</v>
      </c>
      <c r="F9" s="59">
        <v>7269</v>
      </c>
      <c r="G9" s="59">
        <v>47842</v>
      </c>
      <c r="H9" s="59">
        <v>10719</v>
      </c>
      <c r="I9" s="59">
        <v>100742</v>
      </c>
      <c r="J9" s="59">
        <v>80588</v>
      </c>
      <c r="K9" s="59">
        <v>167224</v>
      </c>
      <c r="L9" s="59">
        <v>56756</v>
      </c>
      <c r="M9" s="60">
        <v>30000</v>
      </c>
      <c r="N9" s="60">
        <v>330000</v>
      </c>
      <c r="O9" s="60">
        <v>55000</v>
      </c>
      <c r="P9" s="60"/>
      <c r="Q9" s="61">
        <f>SUM(D9:O9)</f>
        <v>1146191</v>
      </c>
      <c r="R9" s="62"/>
      <c r="S9" s="83">
        <f>SUMIF(B2B!$C$7:$C$111,"ROW",B2B!V7:V111)</f>
        <v>715.68</v>
      </c>
      <c r="T9" s="83">
        <f>SUMIF(B2B!$C$7:$C$111,"ROW",B2B!W7:W111)</f>
        <v>52340.244000000006</v>
      </c>
      <c r="U9" s="83">
        <f>SUMIF(B2B!$C$7:$C$111,"ROW",B2B!X7:X111)</f>
        <v>135000</v>
      </c>
      <c r="V9" s="83">
        <f>SUMIF(B2B!$C$7:$C$111,"ROW",B2B!Y7:Y111)</f>
        <v>118061.504</v>
      </c>
      <c r="W9" s="83">
        <f>SUMIF(B2B!$C$7:$C$111,"ROW",B2B!Z7:Z111)</f>
        <v>84862.44</v>
      </c>
      <c r="X9" s="83">
        <f>SUMIF(B2B!$C$7:$C$111,"ROW",B2B!AA7:AA111)</f>
        <v>54897.64</v>
      </c>
      <c r="Y9" s="83">
        <f>SUMIF(B2B!$C$7:$C$111,"ROW",B2B!AB7:AB111)</f>
        <v>96313.063999999998</v>
      </c>
      <c r="Z9" s="83">
        <f>SUMIF(B2B!$C$7:$C$111,"ROW",B2B!AC7:AC111)</f>
        <v>124426.73599999999</v>
      </c>
      <c r="AA9" s="83">
        <f>SUMIF(B2B!$C$7:$C$111,"ROW",B2B!AD7:AD111)</f>
        <v>60000</v>
      </c>
      <c r="AB9" s="83">
        <f>SUMIF(B2B!$C$7:$C$111,"ROW",B2B!AE7:AE111)</f>
        <v>20000</v>
      </c>
      <c r="AC9" s="83">
        <f>SUMIF(B2B!$C$7:$C$111,"ROW",B2B!AF7:AF111)</f>
        <v>2000</v>
      </c>
      <c r="AD9" s="83">
        <f>SUMIF(B2B!$C$7:$C$111,"ROW",B2B!AG7:AG111)</f>
        <v>20000</v>
      </c>
      <c r="AE9" s="60"/>
      <c r="AF9" s="61">
        <f>SUM(S9:AD9)</f>
        <v>768617.30800000008</v>
      </c>
      <c r="AG9" s="531">
        <f>IFERROR(AF9/Q9-1,0)</f>
        <v>-0.32941603275544817</v>
      </c>
      <c r="AH9" s="83">
        <f>SUMIF(B2B!$C$7:$C$111,"ROW",B2B!AK7:AK111)</f>
        <v>787.24800000000005</v>
      </c>
      <c r="AI9" s="83">
        <f>SUMIF(B2B!$C$7:$C$111,"ROW",B2B!AL7:AL111)</f>
        <v>33654.238400000002</v>
      </c>
      <c r="AJ9" s="83">
        <f>SUMIF(B2B!$C$7:$C$111,"ROW",B2B!AM7:AM111)</f>
        <v>141750</v>
      </c>
      <c r="AK9" s="83">
        <f>SUMIF(B2B!$C$7:$C$111,"ROW",B2B!AN7:AN111)</f>
        <v>109517.6544</v>
      </c>
      <c r="AL9" s="83">
        <f>SUMIF(B2B!$C$7:$C$111,"ROW",B2B!AO7:AO111)</f>
        <v>89748.684000000008</v>
      </c>
      <c r="AM9" s="83">
        <f>SUMIF(B2B!$C$7:$C$111,"ROW",B2B!AP7:AP111)</f>
        <v>50142.521999999997</v>
      </c>
      <c r="AN9" s="83">
        <f>SUMIF(B2B!$C$7:$C$111,"ROW",B2B!AQ7:AQ111)</f>
        <v>89594.3704</v>
      </c>
      <c r="AO9" s="83">
        <f>SUMIF(B2B!$C$7:$C$111,"ROW",B2B!AR7:AR111)</f>
        <v>183326.90360000002</v>
      </c>
      <c r="AP9" s="83">
        <f>SUMIF(B2B!$C$7:$C$111,"ROW",B2B!AS7:AS111)</f>
        <v>41000</v>
      </c>
      <c r="AQ9" s="83">
        <f>SUMIF(B2B!$C$7:$C$111,"ROW",B2B!AT7:AT111)</f>
        <v>31900</v>
      </c>
      <c r="AR9" s="83">
        <f>SUMIF(B2B!$C$7:$C$111,"ROW",B2B!AU7:AU111)</f>
        <v>2100</v>
      </c>
      <c r="AS9" s="83">
        <f>SUMIF(B2B!$C$7:$C$111,"ROW",B2B!AV7:AV111)</f>
        <v>21900</v>
      </c>
      <c r="AT9" s="60"/>
      <c r="AU9" s="61">
        <f>SUM(AH9:AS9)</f>
        <v>795421.62080000003</v>
      </c>
      <c r="AV9" s="531">
        <f>IFERROR(AU9/AF9-1,0)</f>
        <v>3.48734181770467E-2</v>
      </c>
    </row>
    <row r="10" spans="1:49">
      <c r="B10" s="51" t="s">
        <v>85</v>
      </c>
      <c r="D10" s="59">
        <v>11621</v>
      </c>
      <c r="E10" s="59">
        <v>12256</v>
      </c>
      <c r="F10" s="59">
        <v>11351</v>
      </c>
      <c r="G10" s="59">
        <v>12491</v>
      </c>
      <c r="H10" s="59">
        <v>7635</v>
      </c>
      <c r="I10" s="59">
        <v>13239</v>
      </c>
      <c r="J10" s="59">
        <v>9972</v>
      </c>
      <c r="K10" s="59">
        <v>10199</v>
      </c>
      <c r="L10" s="59">
        <v>8372</v>
      </c>
      <c r="M10" s="60">
        <v>12400</v>
      </c>
      <c r="N10" s="60">
        <v>12400</v>
      </c>
      <c r="O10" s="60">
        <v>9600</v>
      </c>
      <c r="P10" s="60"/>
      <c r="Q10" s="61">
        <f>SUM(D10:O10)</f>
        <v>131536</v>
      </c>
      <c r="R10" s="62"/>
      <c r="S10" s="60">
        <f ca="1">SUMIF(Amazon!$B$25:$B$39,"ROW",Amazon!Q25:Q37)</f>
        <v>6218.24</v>
      </c>
      <c r="T10" s="60">
        <f ca="1">SUMIF(Amazon!$B$25:$B$39,"ROW",Amazon!R25:R37)</f>
        <v>10248</v>
      </c>
      <c r="U10" s="60">
        <f ca="1">SUMIF(Amazon!$B$25:$B$39,"ROW",Amazon!S25:S37)</f>
        <v>9785.48</v>
      </c>
      <c r="V10" s="60">
        <f ca="1">SUMIF(Amazon!$B$25:$B$39,"ROW",Amazon!T25:T37)</f>
        <v>9789.1200000000008</v>
      </c>
      <c r="W10" s="60">
        <f ca="1">SUMIF(Amazon!$B$25:$B$39,"ROW",Amazon!U25:U37)</f>
        <v>9628.1200000000008</v>
      </c>
      <c r="X10" s="60">
        <f ca="1">SUMIF(Amazon!$B$25:$B$39,"ROW",Amazon!V25:V37)</f>
        <v>11964.08</v>
      </c>
      <c r="Y10" s="60">
        <f ca="1">SUMIF(Amazon!$B$25:$B$39,"ROW",Amazon!W25:W37)</f>
        <v>9789.6</v>
      </c>
      <c r="Z10" s="60">
        <f ca="1">SUMIF(Amazon!$B$25:$B$39,"ROW",Amazon!X25:X37)</f>
        <v>10626.36</v>
      </c>
      <c r="AA10" s="60">
        <f ca="1">SUMIF(Amazon!$B$25:$B$39,"ROW",Amazon!Y25:Y37)</f>
        <v>12438.08</v>
      </c>
      <c r="AB10" s="60">
        <f ca="1">SUMIF(Amazon!$B$25:$B$39,"ROW",Amazon!Z25:Z37)</f>
        <v>13008.92</v>
      </c>
      <c r="AC10" s="60">
        <f ca="1">SUMIF(Amazon!$B$25:$B$39,"ROW",Amazon!AA25:AA37)</f>
        <v>12994.68</v>
      </c>
      <c r="AD10" s="60">
        <f ca="1">SUMIF(Amazon!$B$25:$B$39,"ROW",Amazon!AB25:AB37)</f>
        <v>9808.08</v>
      </c>
      <c r="AE10" s="60"/>
      <c r="AF10" s="61">
        <f ca="1">SUM(S10:AD10)</f>
        <v>126298.76</v>
      </c>
      <c r="AG10" s="89"/>
      <c r="AH10" s="60">
        <f ca="1">SUMIF(Amazon!$B$25:$B$39,"ROW",Amazon!AE25:AE37)</f>
        <v>6218.24</v>
      </c>
      <c r="AI10" s="60">
        <f ca="1">SUMIF(Amazon!$B$25:$B$39,"ROW",Amazon!AF25:AF37)</f>
        <v>10248</v>
      </c>
      <c r="AJ10" s="60">
        <f ca="1">SUMIF(Amazon!$B$25:$B$39,"ROW",Amazon!AG25:AG37)</f>
        <v>9785.48</v>
      </c>
      <c r="AK10" s="60">
        <f ca="1">SUMIF(Amazon!$B$25:$B$39,"ROW",Amazon!AH25:AH37)</f>
        <v>9789.1200000000008</v>
      </c>
      <c r="AL10" s="60">
        <f ca="1">SUMIF(Amazon!$B$25:$B$39,"ROW",Amazon!AI25:AI37)</f>
        <v>9628.1200000000008</v>
      </c>
      <c r="AM10" s="60">
        <f ca="1">SUMIF(Amazon!$B$25:$B$39,"ROW",Amazon!AJ25:AJ37)</f>
        <v>11964.08</v>
      </c>
      <c r="AN10" s="60">
        <f ca="1">SUMIF(Amazon!$B$25:$B$39,"ROW",Amazon!AK25:AK37)</f>
        <v>9789.6</v>
      </c>
      <c r="AO10" s="60">
        <f ca="1">SUMIF(Amazon!$B$25:$B$39,"ROW",Amazon!AL25:AL37)</f>
        <v>10626.36</v>
      </c>
      <c r="AP10" s="60">
        <f ca="1">SUMIF(Amazon!$B$25:$B$39,"ROW",Amazon!AM25:AM37)</f>
        <v>12438.08</v>
      </c>
      <c r="AQ10" s="60">
        <f ca="1">SUMIF(Amazon!$B$25:$B$39,"ROW",Amazon!AN25:AN37)</f>
        <v>13008.92</v>
      </c>
      <c r="AR10" s="60">
        <f ca="1">SUMIF(Amazon!$B$25:$B$39,"ROW",Amazon!AO25:AO37)</f>
        <v>12994.68</v>
      </c>
      <c r="AS10" s="60">
        <f ca="1">SUMIF(Amazon!$B$25:$B$39,"ROW",Amazon!AP25:AP37)</f>
        <v>9808.08</v>
      </c>
      <c r="AT10" s="60"/>
      <c r="AU10" s="61">
        <f ca="1">SUM(AH10:AS10)</f>
        <v>126298.76</v>
      </c>
      <c r="AV10" s="89"/>
    </row>
    <row r="11" spans="1:49">
      <c r="B11" s="51" t="s">
        <v>86</v>
      </c>
      <c r="D11" s="59"/>
      <c r="E11" s="59"/>
      <c r="F11" s="59"/>
      <c r="G11" s="59"/>
      <c r="H11" s="59"/>
      <c r="I11" s="59"/>
      <c r="J11" s="59"/>
      <c r="K11" s="59"/>
      <c r="L11" s="59"/>
      <c r="M11" s="60"/>
      <c r="N11" s="60"/>
      <c r="O11" s="60"/>
      <c r="P11" s="60"/>
      <c r="Q11" s="61">
        <f>SUM(D11:O11)</f>
        <v>0</v>
      </c>
      <c r="R11" s="62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60"/>
      <c r="AF11" s="61">
        <f>SUM(S11:AD11)</f>
        <v>0</v>
      </c>
      <c r="AG11" s="89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60"/>
      <c r="AU11" s="61">
        <f>SUM(AH11:AS11)</f>
        <v>0</v>
      </c>
      <c r="AV11" s="89"/>
    </row>
    <row r="12" spans="1:49">
      <c r="D12" s="59"/>
      <c r="E12" s="59"/>
      <c r="F12" s="59"/>
      <c r="G12" s="59"/>
      <c r="H12" s="59"/>
      <c r="I12" s="59"/>
      <c r="J12" s="59"/>
      <c r="K12" s="59"/>
      <c r="L12" s="59"/>
      <c r="M12" s="60"/>
      <c r="N12" s="60"/>
      <c r="O12" s="60"/>
      <c r="P12" s="60"/>
      <c r="Q12" s="61"/>
      <c r="S12" s="83"/>
      <c r="T12" s="83"/>
      <c r="U12" s="83"/>
      <c r="V12" s="83"/>
      <c r="W12" s="83"/>
      <c r="X12" s="60"/>
      <c r="Y12" s="60"/>
      <c r="Z12" s="60"/>
      <c r="AA12" s="60"/>
      <c r="AB12" s="60"/>
      <c r="AC12" s="60"/>
      <c r="AD12" s="60"/>
      <c r="AE12" s="60"/>
      <c r="AF12" s="61"/>
      <c r="AG12" s="531">
        <f>IFERROR(AF12/Q12-1,0)</f>
        <v>0</v>
      </c>
      <c r="AH12" s="83"/>
      <c r="AI12" s="83"/>
      <c r="AJ12" s="83"/>
      <c r="AK12" s="83"/>
      <c r="AL12" s="83"/>
      <c r="AM12" s="60"/>
      <c r="AN12" s="60"/>
      <c r="AO12" s="60"/>
      <c r="AP12" s="60"/>
      <c r="AQ12" s="60"/>
      <c r="AR12" s="60"/>
      <c r="AS12" s="60"/>
      <c r="AT12" s="60"/>
      <c r="AU12" s="61"/>
      <c r="AV12" s="531">
        <f>IFERROR(AU12/AF12-1,0)</f>
        <v>0</v>
      </c>
    </row>
    <row r="13" spans="1:49" s="10" customFormat="1">
      <c r="A13" s="52"/>
      <c r="B13" s="63" t="s">
        <v>87</v>
      </c>
      <c r="C13" s="52"/>
      <c r="D13" s="64">
        <f>SUM(D8:D12)</f>
        <v>187298</v>
      </c>
      <c r="E13" s="64">
        <f t="shared" ref="E13:L13" si="5">SUM(E8:E12)</f>
        <v>105673</v>
      </c>
      <c r="F13" s="64">
        <f t="shared" si="5"/>
        <v>24464</v>
      </c>
      <c r="G13" s="64">
        <f t="shared" si="5"/>
        <v>66284</v>
      </c>
      <c r="H13" s="64">
        <f t="shared" si="5"/>
        <v>22319</v>
      </c>
      <c r="I13" s="64">
        <f t="shared" si="5"/>
        <v>124602</v>
      </c>
      <c r="J13" s="64">
        <f t="shared" si="5"/>
        <v>96002</v>
      </c>
      <c r="K13" s="64">
        <f t="shared" si="5"/>
        <v>180315</v>
      </c>
      <c r="L13" s="64">
        <f t="shared" si="5"/>
        <v>67969</v>
      </c>
      <c r="M13" s="65">
        <f t="shared" ref="M13:O13" si="6">SUM(M8:M12)</f>
        <v>42400</v>
      </c>
      <c r="N13" s="65">
        <f t="shared" si="6"/>
        <v>342400</v>
      </c>
      <c r="O13" s="65">
        <f t="shared" si="6"/>
        <v>64600</v>
      </c>
      <c r="P13" s="61"/>
      <c r="Q13" s="65">
        <f>SUM(D13:O13)</f>
        <v>1324326</v>
      </c>
      <c r="R13" s="61"/>
      <c r="S13" s="84">
        <f ca="1">SUM(S8:S12)</f>
        <v>6933.92</v>
      </c>
      <c r="T13" s="84">
        <f t="shared" ref="T13:AD13" ca="1" si="7">SUM(T8:T12)</f>
        <v>62588.244000000006</v>
      </c>
      <c r="U13" s="84">
        <f t="shared" ca="1" si="7"/>
        <v>144785.48000000001</v>
      </c>
      <c r="V13" s="84">
        <f t="shared" ca="1" si="7"/>
        <v>127850.624</v>
      </c>
      <c r="W13" s="84">
        <f t="shared" ca="1" si="7"/>
        <v>94490.559999999998</v>
      </c>
      <c r="X13" s="65">
        <f t="shared" ca="1" si="7"/>
        <v>66861.72</v>
      </c>
      <c r="Y13" s="65">
        <f t="shared" ca="1" si="7"/>
        <v>106102.664</v>
      </c>
      <c r="Z13" s="65">
        <f t="shared" ca="1" si="7"/>
        <v>135053.09599999999</v>
      </c>
      <c r="AA13" s="65">
        <f t="shared" ca="1" si="7"/>
        <v>72438.080000000002</v>
      </c>
      <c r="AB13" s="65">
        <f t="shared" ca="1" si="7"/>
        <v>33008.92</v>
      </c>
      <c r="AC13" s="65">
        <f t="shared" ca="1" si="7"/>
        <v>14994.68</v>
      </c>
      <c r="AD13" s="65">
        <f t="shared" ca="1" si="7"/>
        <v>29808.080000000002</v>
      </c>
      <c r="AE13" s="61"/>
      <c r="AF13" s="65">
        <f ca="1">SUM(S13:AD13)</f>
        <v>894916.06800000009</v>
      </c>
      <c r="AG13" s="89"/>
      <c r="AH13" s="84">
        <f ca="1">SUM(AH8:AH12)</f>
        <v>7005.4879999999994</v>
      </c>
      <c r="AI13" s="84">
        <f t="shared" ref="AI13:AS13" ca="1" si="8">SUM(AI8:AI12)</f>
        <v>43902.238400000002</v>
      </c>
      <c r="AJ13" s="84">
        <f t="shared" ca="1" si="8"/>
        <v>151535.48000000001</v>
      </c>
      <c r="AK13" s="84">
        <f t="shared" ca="1" si="8"/>
        <v>119306.77439999999</v>
      </c>
      <c r="AL13" s="84">
        <f t="shared" ca="1" si="8"/>
        <v>99376.804000000004</v>
      </c>
      <c r="AM13" s="65">
        <f t="shared" ca="1" si="8"/>
        <v>62106.601999999999</v>
      </c>
      <c r="AN13" s="65">
        <f t="shared" ca="1" si="8"/>
        <v>99383.970400000006</v>
      </c>
      <c r="AO13" s="65">
        <f t="shared" ca="1" si="8"/>
        <v>193953.26360000001</v>
      </c>
      <c r="AP13" s="65">
        <f t="shared" ca="1" si="8"/>
        <v>53438.080000000002</v>
      </c>
      <c r="AQ13" s="65">
        <f t="shared" ca="1" si="8"/>
        <v>44908.92</v>
      </c>
      <c r="AR13" s="65">
        <f t="shared" ca="1" si="8"/>
        <v>15094.68</v>
      </c>
      <c r="AS13" s="65">
        <f t="shared" ca="1" si="8"/>
        <v>31708.080000000002</v>
      </c>
      <c r="AT13" s="61"/>
      <c r="AU13" s="65">
        <f ca="1">SUM(AH13:AS13)</f>
        <v>921720.38080000016</v>
      </c>
      <c r="AV13" s="89"/>
      <c r="AW13" s="140"/>
    </row>
    <row r="14" spans="1:49" hidden="1" outlineLevel="1">
      <c r="D14" s="59"/>
      <c r="E14" s="59"/>
      <c r="F14" s="59"/>
      <c r="G14" s="59"/>
      <c r="H14" s="59"/>
      <c r="I14" s="59"/>
      <c r="J14" s="59"/>
      <c r="K14" s="59"/>
      <c r="L14" s="59"/>
      <c r="M14" s="60"/>
      <c r="N14" s="60"/>
      <c r="O14" s="60"/>
      <c r="P14" s="60"/>
      <c r="Q14" s="61"/>
      <c r="R14" s="66"/>
      <c r="S14" s="83"/>
      <c r="T14" s="83"/>
      <c r="U14" s="83"/>
      <c r="V14" s="83"/>
      <c r="W14" s="83"/>
      <c r="X14" s="60"/>
      <c r="Y14" s="60"/>
      <c r="Z14" s="60"/>
      <c r="AA14" s="60"/>
      <c r="AB14" s="60"/>
      <c r="AC14" s="60"/>
      <c r="AD14" s="60"/>
      <c r="AE14" s="60"/>
      <c r="AF14" s="61"/>
      <c r="AG14" s="89"/>
      <c r="AH14" s="83"/>
      <c r="AI14" s="83"/>
      <c r="AJ14" s="83"/>
      <c r="AK14" s="83"/>
      <c r="AL14" s="83"/>
      <c r="AM14" s="60"/>
      <c r="AN14" s="60"/>
      <c r="AO14" s="60"/>
      <c r="AP14" s="60"/>
      <c r="AQ14" s="60"/>
      <c r="AR14" s="60"/>
      <c r="AS14" s="60"/>
      <c r="AT14" s="60"/>
      <c r="AU14" s="61"/>
      <c r="AV14" s="89"/>
    </row>
    <row r="15" spans="1:49" hidden="1" outlineLevel="1">
      <c r="B15" s="58" t="s">
        <v>88</v>
      </c>
      <c r="D15" s="59"/>
      <c r="E15" s="59"/>
      <c r="F15" s="59"/>
      <c r="G15" s="59"/>
      <c r="H15" s="59"/>
      <c r="I15" s="59"/>
      <c r="J15" s="59"/>
      <c r="K15" s="59"/>
      <c r="L15" s="59"/>
      <c r="M15" s="60"/>
      <c r="N15" s="60"/>
      <c r="O15" s="60"/>
      <c r="P15" s="60"/>
      <c r="Q15" s="61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60"/>
      <c r="AF15" s="61"/>
      <c r="AG15" s="89"/>
      <c r="AH15" s="83"/>
      <c r="AI15" s="83"/>
      <c r="AJ15" s="83"/>
      <c r="AK15" s="83"/>
      <c r="AL15" s="83"/>
      <c r="AM15" s="60"/>
      <c r="AN15" s="60"/>
      <c r="AO15" s="60"/>
      <c r="AP15" s="60"/>
      <c r="AQ15" s="60"/>
      <c r="AR15" s="60"/>
      <c r="AS15" s="60"/>
      <c r="AT15" s="60"/>
      <c r="AU15" s="61"/>
      <c r="AV15" s="89"/>
    </row>
    <row r="16" spans="1:49" collapsed="1">
      <c r="D16" s="59"/>
      <c r="E16" s="59"/>
      <c r="F16" s="59"/>
      <c r="G16" s="59"/>
      <c r="H16" s="59"/>
      <c r="I16" s="59"/>
      <c r="J16" s="59"/>
      <c r="K16" s="59"/>
      <c r="L16" s="59"/>
      <c r="M16" s="60"/>
      <c r="N16" s="60"/>
      <c r="O16" s="60"/>
      <c r="P16" s="60"/>
      <c r="Q16" s="61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60"/>
      <c r="AF16" s="61"/>
      <c r="AG16" s="89"/>
      <c r="AH16" s="83"/>
      <c r="AI16" s="83"/>
      <c r="AJ16" s="83"/>
      <c r="AK16" s="83"/>
      <c r="AL16" s="83"/>
      <c r="AM16" s="60"/>
      <c r="AN16" s="60"/>
      <c r="AO16" s="60"/>
      <c r="AP16" s="60"/>
      <c r="AQ16" s="60"/>
      <c r="AR16" s="60"/>
      <c r="AS16" s="60"/>
      <c r="AT16" s="60"/>
      <c r="AU16" s="61"/>
      <c r="AV16" s="89"/>
    </row>
    <row r="17" spans="1:48" hidden="1" outlineLevel="1">
      <c r="B17" s="51" t="s">
        <v>89</v>
      </c>
      <c r="C17" s="75">
        <v>-0.24</v>
      </c>
      <c r="D17" s="59">
        <v>-513</v>
      </c>
      <c r="E17" s="59">
        <v>-493</v>
      </c>
      <c r="F17" s="59">
        <v>-632</v>
      </c>
      <c r="G17" s="59">
        <v>-621</v>
      </c>
      <c r="H17" s="59">
        <v>-436</v>
      </c>
      <c r="I17" s="59">
        <v>-2157</v>
      </c>
      <c r="J17" s="59">
        <v>-981</v>
      </c>
      <c r="K17" s="59">
        <v>-293</v>
      </c>
      <c r="L17" s="59">
        <v>-297</v>
      </c>
      <c r="M17" s="60">
        <f t="shared" ref="M17:O17" si="9">M8*$C$17</f>
        <v>0</v>
      </c>
      <c r="N17" s="60">
        <f t="shared" si="9"/>
        <v>0</v>
      </c>
      <c r="O17" s="60">
        <f t="shared" si="9"/>
        <v>0</v>
      </c>
      <c r="P17" s="60"/>
      <c r="Q17" s="61">
        <f>SUM(D17:O17)</f>
        <v>-6423</v>
      </c>
      <c r="S17" s="60">
        <f t="shared" ref="S17:AD17" si="10">S8*$C$17</f>
        <v>0</v>
      </c>
      <c r="T17" s="60">
        <f t="shared" si="10"/>
        <v>0</v>
      </c>
      <c r="U17" s="60">
        <f t="shared" si="10"/>
        <v>0</v>
      </c>
      <c r="V17" s="60">
        <f t="shared" si="10"/>
        <v>0</v>
      </c>
      <c r="W17" s="60">
        <f t="shared" si="10"/>
        <v>0</v>
      </c>
      <c r="X17" s="60">
        <f t="shared" si="10"/>
        <v>0</v>
      </c>
      <c r="Y17" s="60">
        <f t="shared" si="10"/>
        <v>0</v>
      </c>
      <c r="Z17" s="60">
        <f t="shared" si="10"/>
        <v>0</v>
      </c>
      <c r="AA17" s="60">
        <f t="shared" si="10"/>
        <v>0</v>
      </c>
      <c r="AB17" s="60">
        <f t="shared" si="10"/>
        <v>0</v>
      </c>
      <c r="AC17" s="60">
        <f t="shared" si="10"/>
        <v>0</v>
      </c>
      <c r="AD17" s="60">
        <f t="shared" si="10"/>
        <v>0</v>
      </c>
      <c r="AE17" s="60"/>
      <c r="AF17" s="61">
        <f>SUM(S17:AD17)</f>
        <v>0</v>
      </c>
      <c r="AG17" s="89"/>
      <c r="AH17" s="60">
        <f t="shared" ref="AH17:AS17" si="11">AH8*$C$17</f>
        <v>0</v>
      </c>
      <c r="AI17" s="60">
        <f t="shared" si="11"/>
        <v>0</v>
      </c>
      <c r="AJ17" s="60">
        <f t="shared" si="11"/>
        <v>0</v>
      </c>
      <c r="AK17" s="60">
        <f t="shared" si="11"/>
        <v>0</v>
      </c>
      <c r="AL17" s="60">
        <f t="shared" si="11"/>
        <v>0</v>
      </c>
      <c r="AM17" s="60">
        <f t="shared" si="11"/>
        <v>0</v>
      </c>
      <c r="AN17" s="60">
        <f t="shared" si="11"/>
        <v>0</v>
      </c>
      <c r="AO17" s="60">
        <f t="shared" si="11"/>
        <v>0</v>
      </c>
      <c r="AP17" s="60">
        <f t="shared" si="11"/>
        <v>0</v>
      </c>
      <c r="AQ17" s="60">
        <f t="shared" si="11"/>
        <v>0</v>
      </c>
      <c r="AR17" s="60">
        <f t="shared" si="11"/>
        <v>0</v>
      </c>
      <c r="AS17" s="60">
        <f t="shared" si="11"/>
        <v>0</v>
      </c>
      <c r="AT17" s="60"/>
      <c r="AU17" s="61">
        <f>SUM(AH17:AS17)</f>
        <v>0</v>
      </c>
      <c r="AV17" s="89"/>
    </row>
    <row r="18" spans="1:48" hidden="1" outlineLevel="1">
      <c r="B18" s="51" t="s">
        <v>90</v>
      </c>
      <c r="C18" s="75">
        <v>-0.42</v>
      </c>
      <c r="D18" s="59">
        <v>-66962</v>
      </c>
      <c r="E18" s="59">
        <v>-41366</v>
      </c>
      <c r="F18" s="59">
        <v>-2688</v>
      </c>
      <c r="G18" s="59">
        <v>-23204</v>
      </c>
      <c r="H18" s="59">
        <v>-21108</v>
      </c>
      <c r="I18" s="59">
        <v>-44829</v>
      </c>
      <c r="J18" s="59">
        <v>-38973</v>
      </c>
      <c r="K18" s="59">
        <v>-72269</v>
      </c>
      <c r="L18" s="59">
        <v>-18315</v>
      </c>
      <c r="M18" s="60">
        <v>-9900</v>
      </c>
      <c r="N18" s="60">
        <v>-108900</v>
      </c>
      <c r="O18" s="60">
        <v>-18150</v>
      </c>
      <c r="P18" s="60"/>
      <c r="Q18" s="61">
        <f>SUM(D18:O18)</f>
        <v>-466664</v>
      </c>
      <c r="R18" s="497"/>
      <c r="S18" s="60">
        <f>(S9*$C$18)-(S1/$AF$1)*36000*-1</f>
        <v>-267.06504336949536</v>
      </c>
      <c r="T18" s="60">
        <f t="shared" ref="T18:AD18" si="12">(T9*$C$18)-(T1/$AF$1)*36000*-1</f>
        <v>-19531.42400769893</v>
      </c>
      <c r="U18" s="60">
        <f t="shared" si="12"/>
        <v>-50376.957376036604</v>
      </c>
      <c r="V18" s="60">
        <f t="shared" si="12"/>
        <v>-44056.143368583515</v>
      </c>
      <c r="W18" s="60">
        <f t="shared" si="12"/>
        <v>-31667.492760788617</v>
      </c>
      <c r="X18" s="60">
        <f t="shared" si="12"/>
        <v>-20485.748669074092</v>
      </c>
      <c r="Y18" s="60">
        <f t="shared" si="12"/>
        <v>-35940.437925062855</v>
      </c>
      <c r="Z18" s="60">
        <f t="shared" si="12"/>
        <v>-46431.410191935996</v>
      </c>
      <c r="AA18" s="60">
        <f t="shared" si="12"/>
        <v>-22389.758833794047</v>
      </c>
      <c r="AB18" s="60">
        <f t="shared" si="12"/>
        <v>-7463.2529445980153</v>
      </c>
      <c r="AC18" s="60">
        <f t="shared" si="12"/>
        <v>-746.32529445980163</v>
      </c>
      <c r="AD18" s="60">
        <f t="shared" si="12"/>
        <v>-7463.2529445980153</v>
      </c>
      <c r="AE18" s="60"/>
      <c r="AF18" s="61">
        <f>SUM(S18:AD18)</f>
        <v>-286819.26936000003</v>
      </c>
      <c r="AG18" s="89"/>
      <c r="AH18" s="60">
        <f t="shared" ref="AH18:AS18" si="13">(AH9*$C$18)-(AH1/$AF$1)*36000*-1</f>
        <v>-293.77154770644495</v>
      </c>
      <c r="AI18" s="60">
        <f t="shared" si="13"/>
        <v>-12558.504691850181</v>
      </c>
      <c r="AJ18" s="60">
        <f t="shared" si="13"/>
        <v>-52895.805244838433</v>
      </c>
      <c r="AK18" s="60">
        <f t="shared" si="13"/>
        <v>-40867.897834313393</v>
      </c>
      <c r="AL18" s="60">
        <f t="shared" si="13"/>
        <v>-33490.856506839838</v>
      </c>
      <c r="AM18" s="60">
        <f t="shared" si="13"/>
        <v>-18711.316248303538</v>
      </c>
      <c r="AN18" s="60">
        <f t="shared" si="13"/>
        <v>-33433.272435360261</v>
      </c>
      <c r="AO18" s="60">
        <f t="shared" si="13"/>
        <v>-68410.752655836841</v>
      </c>
      <c r="AP18" s="60">
        <f t="shared" si="13"/>
        <v>-15299.668536425932</v>
      </c>
      <c r="AQ18" s="60">
        <f t="shared" si="13"/>
        <v>-11903.888446633835</v>
      </c>
      <c r="AR18" s="60">
        <f t="shared" si="13"/>
        <v>-783.64155918279164</v>
      </c>
      <c r="AS18" s="60">
        <f t="shared" si="13"/>
        <v>-8172.2619743348268</v>
      </c>
      <c r="AT18" s="60"/>
      <c r="AU18" s="61">
        <f>SUM(AH18:AS18)</f>
        <v>-296821.63768162631</v>
      </c>
      <c r="AV18" s="89"/>
    </row>
    <row r="19" spans="1:48" hidden="1" outlineLevel="1">
      <c r="B19" s="51" t="s">
        <v>91</v>
      </c>
      <c r="C19" s="75">
        <v>-0.18</v>
      </c>
      <c r="D19" s="59">
        <v>-1190</v>
      </c>
      <c r="E19" s="59">
        <v>-1308</v>
      </c>
      <c r="F19" s="59">
        <v>-1243</v>
      </c>
      <c r="G19" s="59">
        <v>-1606</v>
      </c>
      <c r="H19" s="59">
        <v>-1116</v>
      </c>
      <c r="I19" s="59">
        <v>-114</v>
      </c>
      <c r="J19" s="59">
        <v>-1121</v>
      </c>
      <c r="K19" s="59">
        <v>-1232</v>
      </c>
      <c r="L19" s="59">
        <v>-1237</v>
      </c>
      <c r="M19" s="60">
        <v>-2177</v>
      </c>
      <c r="N19" s="60">
        <v>-2177</v>
      </c>
      <c r="O19" s="60">
        <v>-1686</v>
      </c>
      <c r="P19" s="60"/>
      <c r="Q19" s="61">
        <f>SUM(D19:O19)</f>
        <v>-16207</v>
      </c>
      <c r="S19" s="60">
        <f t="shared" ref="S19:AD19" ca="1" si="14">S10*$C$19</f>
        <v>-1119.2831999999999</v>
      </c>
      <c r="T19" s="60">
        <f t="shared" ca="1" si="14"/>
        <v>-1844.6399999999999</v>
      </c>
      <c r="U19" s="60">
        <f t="shared" ca="1" si="14"/>
        <v>-1761.3863999999999</v>
      </c>
      <c r="V19" s="60">
        <f t="shared" ca="1" si="14"/>
        <v>-1762.0416</v>
      </c>
      <c r="W19" s="60">
        <f t="shared" ca="1" si="14"/>
        <v>-1733.0616</v>
      </c>
      <c r="X19" s="60">
        <f t="shared" ca="1" si="14"/>
        <v>-2153.5344</v>
      </c>
      <c r="Y19" s="60">
        <f t="shared" ca="1" si="14"/>
        <v>-1762.1279999999999</v>
      </c>
      <c r="Z19" s="60">
        <f t="shared" ca="1" si="14"/>
        <v>-1912.7447999999999</v>
      </c>
      <c r="AA19" s="60">
        <f t="shared" ca="1" si="14"/>
        <v>-2238.8543999999997</v>
      </c>
      <c r="AB19" s="60">
        <f t="shared" ca="1" si="14"/>
        <v>-2341.6055999999999</v>
      </c>
      <c r="AC19" s="60">
        <f t="shared" ca="1" si="14"/>
        <v>-2339.0423999999998</v>
      </c>
      <c r="AD19" s="60">
        <f t="shared" ca="1" si="14"/>
        <v>-1765.4543999999999</v>
      </c>
      <c r="AE19" s="60"/>
      <c r="AF19" s="61">
        <f ca="1">SUM(S19:AD19)</f>
        <v>-22733.776799999996</v>
      </c>
      <c r="AG19" s="89"/>
      <c r="AH19" s="60">
        <f t="shared" ref="AH19:AS19" ca="1" si="15">AH10*$C$19</f>
        <v>-1119.2831999999999</v>
      </c>
      <c r="AI19" s="60">
        <f t="shared" ca="1" si="15"/>
        <v>-1844.6399999999999</v>
      </c>
      <c r="AJ19" s="60">
        <f t="shared" ca="1" si="15"/>
        <v>-1761.3863999999999</v>
      </c>
      <c r="AK19" s="60">
        <f t="shared" ca="1" si="15"/>
        <v>-1762.0416</v>
      </c>
      <c r="AL19" s="60">
        <f t="shared" ca="1" si="15"/>
        <v>-1733.0616</v>
      </c>
      <c r="AM19" s="60">
        <f t="shared" ca="1" si="15"/>
        <v>-2153.5344</v>
      </c>
      <c r="AN19" s="60">
        <f t="shared" ca="1" si="15"/>
        <v>-1762.1279999999999</v>
      </c>
      <c r="AO19" s="60">
        <f t="shared" ca="1" si="15"/>
        <v>-1912.7447999999999</v>
      </c>
      <c r="AP19" s="60">
        <f t="shared" ca="1" si="15"/>
        <v>-2238.8543999999997</v>
      </c>
      <c r="AQ19" s="60">
        <f t="shared" ca="1" si="15"/>
        <v>-2341.6055999999999</v>
      </c>
      <c r="AR19" s="60">
        <f t="shared" ca="1" si="15"/>
        <v>-2339.0423999999998</v>
      </c>
      <c r="AS19" s="60">
        <f t="shared" ca="1" si="15"/>
        <v>-1765.4543999999999</v>
      </c>
      <c r="AT19" s="60"/>
      <c r="AU19" s="61">
        <f ca="1">SUM(AH19:AS19)</f>
        <v>-22733.776799999996</v>
      </c>
      <c r="AV19" s="89"/>
    </row>
    <row r="20" spans="1:48" hidden="1" outlineLevel="1">
      <c r="B20" s="51" t="s">
        <v>92</v>
      </c>
      <c r="D20" s="59"/>
      <c r="E20" s="59"/>
      <c r="F20" s="59"/>
      <c r="G20" s="59"/>
      <c r="H20" s="59"/>
      <c r="I20" s="59"/>
      <c r="J20" s="59"/>
      <c r="K20" s="59"/>
      <c r="L20" s="59"/>
      <c r="M20" s="60">
        <f t="shared" ref="M20:O20" si="16">M11*$C$20</f>
        <v>0</v>
      </c>
      <c r="N20" s="60">
        <f t="shared" si="16"/>
        <v>0</v>
      </c>
      <c r="O20" s="60">
        <f t="shared" si="16"/>
        <v>0</v>
      </c>
      <c r="P20" s="60"/>
      <c r="Q20" s="61">
        <f>SUM(D20:O20)</f>
        <v>0</v>
      </c>
      <c r="S20" s="60">
        <f t="shared" ref="S20:AD20" si="17">S11*$C$20</f>
        <v>0</v>
      </c>
      <c r="T20" s="60">
        <f t="shared" si="17"/>
        <v>0</v>
      </c>
      <c r="U20" s="60">
        <f t="shared" si="17"/>
        <v>0</v>
      </c>
      <c r="V20" s="60">
        <f t="shared" si="17"/>
        <v>0</v>
      </c>
      <c r="W20" s="60">
        <f t="shared" si="17"/>
        <v>0</v>
      </c>
      <c r="X20" s="60">
        <f t="shared" si="17"/>
        <v>0</v>
      </c>
      <c r="Y20" s="60">
        <f t="shared" si="17"/>
        <v>0</v>
      </c>
      <c r="Z20" s="60">
        <f t="shared" si="17"/>
        <v>0</v>
      </c>
      <c r="AA20" s="60">
        <f t="shared" si="17"/>
        <v>0</v>
      </c>
      <c r="AB20" s="60">
        <f t="shared" si="17"/>
        <v>0</v>
      </c>
      <c r="AC20" s="60">
        <f t="shared" si="17"/>
        <v>0</v>
      </c>
      <c r="AD20" s="60">
        <f t="shared" si="17"/>
        <v>0</v>
      </c>
      <c r="AE20" s="60"/>
      <c r="AF20" s="61">
        <f>SUM(S20:AD20)</f>
        <v>0</v>
      </c>
      <c r="AG20" s="89"/>
      <c r="AH20" s="60">
        <f t="shared" ref="AH20:AS20" si="18">AH11*$C$20</f>
        <v>0</v>
      </c>
      <c r="AI20" s="60">
        <f t="shared" si="18"/>
        <v>0</v>
      </c>
      <c r="AJ20" s="60">
        <f t="shared" si="18"/>
        <v>0</v>
      </c>
      <c r="AK20" s="60">
        <f t="shared" si="18"/>
        <v>0</v>
      </c>
      <c r="AL20" s="60">
        <f t="shared" si="18"/>
        <v>0</v>
      </c>
      <c r="AM20" s="60">
        <f t="shared" si="18"/>
        <v>0</v>
      </c>
      <c r="AN20" s="60">
        <f t="shared" si="18"/>
        <v>0</v>
      </c>
      <c r="AO20" s="60">
        <f t="shared" si="18"/>
        <v>0</v>
      </c>
      <c r="AP20" s="60">
        <f t="shared" si="18"/>
        <v>0</v>
      </c>
      <c r="AQ20" s="60">
        <f t="shared" si="18"/>
        <v>0</v>
      </c>
      <c r="AR20" s="60">
        <f t="shared" si="18"/>
        <v>0</v>
      </c>
      <c r="AS20" s="60">
        <f t="shared" si="18"/>
        <v>0</v>
      </c>
      <c r="AT20" s="60"/>
      <c r="AU20" s="61">
        <f>SUM(AH20:AS20)</f>
        <v>0</v>
      </c>
      <c r="AV20" s="89"/>
    </row>
    <row r="21" spans="1:48" hidden="1" outlineLevel="1">
      <c r="D21" s="59"/>
      <c r="E21" s="59"/>
      <c r="F21" s="59"/>
      <c r="G21" s="59"/>
      <c r="H21" s="59"/>
      <c r="I21" s="59"/>
      <c r="J21" s="59"/>
      <c r="K21" s="59"/>
      <c r="L21" s="59"/>
      <c r="M21" s="60"/>
      <c r="N21" s="60"/>
      <c r="O21" s="60"/>
      <c r="P21" s="60"/>
      <c r="Q21" s="61"/>
      <c r="S21" s="83"/>
      <c r="T21" s="83"/>
      <c r="U21" s="83"/>
      <c r="V21" s="83"/>
      <c r="W21" s="83"/>
      <c r="X21" s="60"/>
      <c r="Y21" s="60"/>
      <c r="Z21" s="60"/>
      <c r="AA21" s="60"/>
      <c r="AB21" s="60"/>
      <c r="AC21" s="60"/>
      <c r="AD21" s="60"/>
      <c r="AE21" s="60"/>
      <c r="AF21" s="61"/>
      <c r="AG21" s="89"/>
      <c r="AH21" s="83"/>
      <c r="AI21" s="83"/>
      <c r="AJ21" s="83"/>
      <c r="AK21" s="83"/>
      <c r="AL21" s="83"/>
      <c r="AM21" s="60"/>
      <c r="AN21" s="60"/>
      <c r="AO21" s="60"/>
      <c r="AP21" s="60"/>
      <c r="AQ21" s="60"/>
      <c r="AR21" s="60"/>
      <c r="AS21" s="60"/>
      <c r="AT21" s="60"/>
      <c r="AU21" s="61"/>
      <c r="AV21" s="89"/>
    </row>
    <row r="22" spans="1:48" s="10" customFormat="1" collapsed="1">
      <c r="A22" s="52"/>
      <c r="B22" s="63" t="s">
        <v>93</v>
      </c>
      <c r="C22" s="52"/>
      <c r="D22" s="64">
        <f>SUM(D17:D19)</f>
        <v>-68665</v>
      </c>
      <c r="E22" s="64">
        <f t="shared" ref="E22:L22" si="19">SUM(E17:E19)</f>
        <v>-43167</v>
      </c>
      <c r="F22" s="64">
        <f t="shared" si="19"/>
        <v>-4563</v>
      </c>
      <c r="G22" s="64">
        <f t="shared" si="19"/>
        <v>-25431</v>
      </c>
      <c r="H22" s="64">
        <f t="shared" si="19"/>
        <v>-22660</v>
      </c>
      <c r="I22" s="64">
        <f t="shared" si="19"/>
        <v>-47100</v>
      </c>
      <c r="J22" s="64">
        <f t="shared" si="19"/>
        <v>-41075</v>
      </c>
      <c r="K22" s="64">
        <f t="shared" si="19"/>
        <v>-73794</v>
      </c>
      <c r="L22" s="64">
        <f t="shared" si="19"/>
        <v>-19849</v>
      </c>
      <c r="M22" s="65">
        <f t="shared" ref="M22:O22" si="20">SUM(M17:M21)</f>
        <v>-12077</v>
      </c>
      <c r="N22" s="65">
        <f t="shared" si="20"/>
        <v>-111077</v>
      </c>
      <c r="O22" s="65">
        <f t="shared" si="20"/>
        <v>-19836</v>
      </c>
      <c r="P22" s="61"/>
      <c r="Q22" s="65">
        <f>SUM(D22:O22)</f>
        <v>-489294</v>
      </c>
      <c r="R22" s="61"/>
      <c r="S22" s="84">
        <f t="shared" ref="S22:AD22" ca="1" si="21">SUM(S17:S21)</f>
        <v>-1386.3482433694953</v>
      </c>
      <c r="T22" s="84">
        <f t="shared" ca="1" si="21"/>
        <v>-21376.064007698929</v>
      </c>
      <c r="U22" s="84">
        <f t="shared" ca="1" si="21"/>
        <v>-52138.343776036607</v>
      </c>
      <c r="V22" s="84">
        <f t="shared" ca="1" si="21"/>
        <v>-45818.184968583511</v>
      </c>
      <c r="W22" s="84">
        <f t="shared" ca="1" si="21"/>
        <v>-33400.554360788614</v>
      </c>
      <c r="X22" s="65">
        <f t="shared" ca="1" si="21"/>
        <v>-22639.283069074092</v>
      </c>
      <c r="Y22" s="65">
        <f t="shared" ca="1" si="21"/>
        <v>-37702.565925062852</v>
      </c>
      <c r="Z22" s="65">
        <f t="shared" ca="1" si="21"/>
        <v>-48344.154991935997</v>
      </c>
      <c r="AA22" s="65">
        <f t="shared" ca="1" si="21"/>
        <v>-24628.613233794047</v>
      </c>
      <c r="AB22" s="65">
        <f t="shared" ca="1" si="21"/>
        <v>-9804.8585445980152</v>
      </c>
      <c r="AC22" s="65">
        <f t="shared" ca="1" si="21"/>
        <v>-3085.3676944598014</v>
      </c>
      <c r="AD22" s="65">
        <f t="shared" ca="1" si="21"/>
        <v>-9228.707344598015</v>
      </c>
      <c r="AE22" s="61"/>
      <c r="AF22" s="65">
        <f ca="1">SUM(S22:AD22)</f>
        <v>-309553.04616000003</v>
      </c>
      <c r="AG22" s="89"/>
      <c r="AH22" s="84">
        <f t="shared" ref="AH22:AS22" ca="1" si="22">SUM(AH17:AH21)</f>
        <v>-1413.0547477064447</v>
      </c>
      <c r="AI22" s="84">
        <f t="shared" ca="1" si="22"/>
        <v>-14403.144691850181</v>
      </c>
      <c r="AJ22" s="84">
        <f t="shared" ca="1" si="22"/>
        <v>-54657.191644838436</v>
      </c>
      <c r="AK22" s="84">
        <f t="shared" ca="1" si="22"/>
        <v>-42629.93943431339</v>
      </c>
      <c r="AL22" s="84">
        <f t="shared" ca="1" si="22"/>
        <v>-35223.918106839839</v>
      </c>
      <c r="AM22" s="65">
        <f t="shared" ca="1" si="22"/>
        <v>-20864.850648303538</v>
      </c>
      <c r="AN22" s="65">
        <f t="shared" ca="1" si="22"/>
        <v>-35195.400435360258</v>
      </c>
      <c r="AO22" s="65">
        <f t="shared" ca="1" si="22"/>
        <v>-70323.497455836841</v>
      </c>
      <c r="AP22" s="65">
        <f t="shared" ca="1" si="22"/>
        <v>-17538.522936425932</v>
      </c>
      <c r="AQ22" s="65">
        <f t="shared" ca="1" si="22"/>
        <v>-14245.494046633834</v>
      </c>
      <c r="AR22" s="65">
        <f t="shared" ca="1" si="22"/>
        <v>-3122.6839591827916</v>
      </c>
      <c r="AS22" s="65">
        <f t="shared" ca="1" si="22"/>
        <v>-9937.7163743348265</v>
      </c>
      <c r="AT22" s="61"/>
      <c r="AU22" s="65">
        <f ca="1">SUM(AH22:AS22)</f>
        <v>-319555.41448162636</v>
      </c>
      <c r="AV22" s="89"/>
    </row>
    <row r="23" spans="1:48">
      <c r="D23" s="97">
        <v>-0.36658455179824834</v>
      </c>
      <c r="E23" s="97">
        <v>-0.4084983995083738</v>
      </c>
      <c r="F23" s="97">
        <v>-0.18649020731534841</v>
      </c>
      <c r="G23" s="97">
        <v>-0.1396288458471798</v>
      </c>
      <c r="H23" s="97">
        <v>-0.9628230295304866</v>
      </c>
      <c r="I23" s="97">
        <v>-0.37801437502001384</v>
      </c>
      <c r="J23" s="97">
        <v>-0.42784814715049357</v>
      </c>
      <c r="K23" s="97">
        <v>-0.40924706041551823</v>
      </c>
      <c r="L23" s="97">
        <v>-0.29203019023378307</v>
      </c>
      <c r="M23" s="91">
        <f t="shared" ref="M23:O23" si="23">M22/M13</f>
        <v>-0.28483490566037734</v>
      </c>
      <c r="N23" s="91">
        <f t="shared" si="23"/>
        <v>-0.32440712616822431</v>
      </c>
      <c r="O23" s="91">
        <f t="shared" si="23"/>
        <v>-0.30705882352941177</v>
      </c>
      <c r="P23" s="60"/>
      <c r="Q23" s="91">
        <f>Q22/Q13</f>
        <v>-0.36946643047104716</v>
      </c>
      <c r="S23" s="91">
        <f t="shared" ref="S23:AD23" ca="1" si="24">S22/S13</f>
        <v>-0.19993715580357074</v>
      </c>
      <c r="T23" s="91">
        <f t="shared" ca="1" si="24"/>
        <v>-0.34153480975914469</v>
      </c>
      <c r="U23" s="91">
        <f t="shared" ca="1" si="24"/>
        <v>-0.36010754514911719</v>
      </c>
      <c r="V23" s="91">
        <f t="shared" ca="1" si="24"/>
        <v>-0.35837279111428905</v>
      </c>
      <c r="W23" s="91">
        <f t="shared" ca="1" si="24"/>
        <v>-0.35348033031859072</v>
      </c>
      <c r="X23" s="91">
        <f t="shared" ca="1" si="24"/>
        <v>-0.33859857432734441</v>
      </c>
      <c r="Y23" s="91">
        <f t="shared" ca="1" si="24"/>
        <v>-0.35534042693841172</v>
      </c>
      <c r="Z23" s="91">
        <f t="shared" ca="1" si="24"/>
        <v>-0.35796406320026902</v>
      </c>
      <c r="AA23" s="91">
        <f t="shared" ca="1" si="24"/>
        <v>-0.33999538963200082</v>
      </c>
      <c r="AB23" s="91">
        <f t="shared" ca="1" si="24"/>
        <v>-0.29703663569114092</v>
      </c>
      <c r="AC23" s="91">
        <f t="shared" ca="1" si="24"/>
        <v>-0.20576415731844905</v>
      </c>
      <c r="AD23" s="91">
        <f t="shared" ca="1" si="24"/>
        <v>-0.30960421954711659</v>
      </c>
      <c r="AE23" s="60"/>
      <c r="AF23" s="91">
        <f ca="1">AF22/AF13</f>
        <v>-0.3459017635606918</v>
      </c>
      <c r="AG23" s="89"/>
      <c r="AH23" s="91">
        <f t="shared" ref="AH23:AS23" ca="1" si="25">AH22/AH13</f>
        <v>-0.20170682580663116</v>
      </c>
      <c r="AI23" s="91">
        <f t="shared" ca="1" si="25"/>
        <v>-0.32807312831343421</v>
      </c>
      <c r="AJ23" s="91">
        <f t="shared" ca="1" si="25"/>
        <v>-0.3606890719245317</v>
      </c>
      <c r="AK23" s="91">
        <f t="shared" ca="1" si="25"/>
        <v>-0.35731365338390536</v>
      </c>
      <c r="AL23" s="91">
        <f t="shared" ca="1" si="25"/>
        <v>-0.35444808737097078</v>
      </c>
      <c r="AM23" s="91">
        <f t="shared" ca="1" si="25"/>
        <v>-0.33595221725869884</v>
      </c>
      <c r="AN23" s="91">
        <f t="shared" ca="1" si="25"/>
        <v>-0.35413558437750092</v>
      </c>
      <c r="AO23" s="91">
        <f t="shared" ca="1" si="25"/>
        <v>-0.36257960371767023</v>
      </c>
      <c r="AP23" s="91">
        <f t="shared" ca="1" si="25"/>
        <v>-0.32820271492587183</v>
      </c>
      <c r="AQ23" s="91">
        <f t="shared" ca="1" si="25"/>
        <v>-0.31720856450419727</v>
      </c>
      <c r="AR23" s="91">
        <f t="shared" ca="1" si="25"/>
        <v>-0.20687314730638817</v>
      </c>
      <c r="AS23" s="91">
        <f t="shared" ca="1" si="25"/>
        <v>-0.31341274445929324</v>
      </c>
      <c r="AT23" s="60"/>
      <c r="AU23" s="91">
        <f ca="1">AU22/AU13</f>
        <v>-0.34669453029157354</v>
      </c>
      <c r="AV23" s="89"/>
    </row>
    <row r="24" spans="1:48" hidden="1" outlineLevel="1">
      <c r="B24" s="67" t="s">
        <v>94</v>
      </c>
      <c r="C24" s="52"/>
      <c r="D24" s="68">
        <v>3632.02</v>
      </c>
      <c r="E24" s="68">
        <v>4405.07</v>
      </c>
      <c r="F24" s="68">
        <v>5212.26</v>
      </c>
      <c r="G24" s="68">
        <v>5329.9500000000007</v>
      </c>
      <c r="H24" s="68">
        <v>3529.19</v>
      </c>
      <c r="I24" s="68">
        <v>8463.4399999999987</v>
      </c>
      <c r="J24" s="68">
        <v>4461.57</v>
      </c>
      <c r="K24" s="68">
        <v>2598.46</v>
      </c>
      <c r="L24" s="68">
        <v>2544</v>
      </c>
      <c r="M24" s="69">
        <f t="shared" ref="M24:O27" si="26">M8+M17</f>
        <v>0</v>
      </c>
      <c r="N24" s="69">
        <f t="shared" si="26"/>
        <v>0</v>
      </c>
      <c r="O24" s="69">
        <f t="shared" si="26"/>
        <v>0</v>
      </c>
      <c r="P24" s="69"/>
      <c r="Q24" s="69">
        <f>Q8+Q17</f>
        <v>40176</v>
      </c>
      <c r="S24" s="85">
        <f t="shared" ref="S24:AD27" si="27">S8+S17</f>
        <v>0</v>
      </c>
      <c r="T24" s="85">
        <f t="shared" si="27"/>
        <v>0</v>
      </c>
      <c r="U24" s="85">
        <f t="shared" si="27"/>
        <v>0</v>
      </c>
      <c r="V24" s="85">
        <f t="shared" si="27"/>
        <v>0</v>
      </c>
      <c r="W24" s="85">
        <f t="shared" si="27"/>
        <v>0</v>
      </c>
      <c r="X24" s="69">
        <f t="shared" si="27"/>
        <v>0</v>
      </c>
      <c r="Y24" s="69">
        <f t="shared" si="27"/>
        <v>0</v>
      </c>
      <c r="Z24" s="69">
        <f t="shared" si="27"/>
        <v>0</v>
      </c>
      <c r="AA24" s="69">
        <f t="shared" si="27"/>
        <v>0</v>
      </c>
      <c r="AB24" s="69">
        <f t="shared" si="27"/>
        <v>0</v>
      </c>
      <c r="AC24" s="69">
        <f t="shared" si="27"/>
        <v>0</v>
      </c>
      <c r="AD24" s="69">
        <f t="shared" si="27"/>
        <v>0</v>
      </c>
      <c r="AE24" s="69"/>
      <c r="AF24" s="69">
        <f>AF8+AF17</f>
        <v>0</v>
      </c>
      <c r="AG24" s="89"/>
      <c r="AH24" s="85">
        <f t="shared" ref="AH24:AS27" si="28">AH8+AH17</f>
        <v>0</v>
      </c>
      <c r="AI24" s="85">
        <f t="shared" si="28"/>
        <v>0</v>
      </c>
      <c r="AJ24" s="85">
        <f t="shared" si="28"/>
        <v>0</v>
      </c>
      <c r="AK24" s="85">
        <f t="shared" si="28"/>
        <v>0</v>
      </c>
      <c r="AL24" s="85">
        <f t="shared" si="28"/>
        <v>0</v>
      </c>
      <c r="AM24" s="69">
        <f t="shared" si="28"/>
        <v>0</v>
      </c>
      <c r="AN24" s="69">
        <f t="shared" si="28"/>
        <v>0</v>
      </c>
      <c r="AO24" s="69">
        <f t="shared" si="28"/>
        <v>0</v>
      </c>
      <c r="AP24" s="69">
        <f t="shared" si="28"/>
        <v>0</v>
      </c>
      <c r="AQ24" s="69">
        <f t="shared" si="28"/>
        <v>0</v>
      </c>
      <c r="AR24" s="69">
        <f t="shared" si="28"/>
        <v>0</v>
      </c>
      <c r="AS24" s="69">
        <f t="shared" si="28"/>
        <v>0</v>
      </c>
      <c r="AT24" s="69"/>
      <c r="AU24" s="69">
        <f>AU8+AU17</f>
        <v>0</v>
      </c>
      <c r="AV24" s="89"/>
    </row>
    <row r="25" spans="1:48" hidden="1" outlineLevel="1">
      <c r="B25" s="67" t="s">
        <v>95</v>
      </c>
      <c r="C25" s="52"/>
      <c r="D25" s="68">
        <v>104570.45</v>
      </c>
      <c r="E25" s="68">
        <v>47153.29</v>
      </c>
      <c r="F25" s="68">
        <v>4580.9400000000005</v>
      </c>
      <c r="G25" s="68">
        <v>40813.93</v>
      </c>
      <c r="H25" s="68">
        <v>-10389.299999999999</v>
      </c>
      <c r="I25" s="68">
        <v>55912.200000000004</v>
      </c>
      <c r="J25" s="68">
        <v>41615.340000000004</v>
      </c>
      <c r="K25" s="68">
        <v>94955.27</v>
      </c>
      <c r="L25" s="68">
        <v>38441</v>
      </c>
      <c r="M25" s="69">
        <f t="shared" si="26"/>
        <v>20100</v>
      </c>
      <c r="N25" s="69">
        <f t="shared" si="26"/>
        <v>221100</v>
      </c>
      <c r="O25" s="69">
        <f t="shared" si="26"/>
        <v>36850</v>
      </c>
      <c r="P25" s="69"/>
      <c r="Q25" s="69">
        <f>Q9+Q18</f>
        <v>679527</v>
      </c>
      <c r="S25" s="85">
        <f t="shared" si="27"/>
        <v>448.61495663050459</v>
      </c>
      <c r="T25" s="85">
        <f t="shared" si="27"/>
        <v>32808.819992301076</v>
      </c>
      <c r="U25" s="85">
        <f t="shared" si="27"/>
        <v>84623.042623963396</v>
      </c>
      <c r="V25" s="85">
        <f t="shared" si="27"/>
        <v>74005.360631416494</v>
      </c>
      <c r="W25" s="85">
        <f t="shared" si="27"/>
        <v>53194.947239211382</v>
      </c>
      <c r="X25" s="69">
        <f t="shared" si="27"/>
        <v>34411.891330925908</v>
      </c>
      <c r="Y25" s="69">
        <f t="shared" si="27"/>
        <v>60372.626074937143</v>
      </c>
      <c r="Z25" s="69">
        <f t="shared" si="27"/>
        <v>77995.325808063993</v>
      </c>
      <c r="AA25" s="69">
        <f t="shared" si="27"/>
        <v>37610.241166205953</v>
      </c>
      <c r="AB25" s="69">
        <f t="shared" si="27"/>
        <v>12536.747055401986</v>
      </c>
      <c r="AC25" s="69">
        <f t="shared" si="27"/>
        <v>1253.6747055401984</v>
      </c>
      <c r="AD25" s="69">
        <f t="shared" si="27"/>
        <v>12536.747055401986</v>
      </c>
      <c r="AE25" s="69"/>
      <c r="AF25" s="69">
        <f>AF9+AF18</f>
        <v>481798.03864000004</v>
      </c>
      <c r="AG25" s="89"/>
      <c r="AH25" s="85">
        <f t="shared" si="28"/>
        <v>493.4764522935551</v>
      </c>
      <c r="AI25" s="85">
        <f t="shared" si="28"/>
        <v>21095.733708149819</v>
      </c>
      <c r="AJ25" s="85">
        <f t="shared" si="28"/>
        <v>88854.194755161559</v>
      </c>
      <c r="AK25" s="85">
        <f t="shared" si="28"/>
        <v>68649.756565686606</v>
      </c>
      <c r="AL25" s="85">
        <f t="shared" si="28"/>
        <v>56257.82749316017</v>
      </c>
      <c r="AM25" s="69">
        <f t="shared" si="28"/>
        <v>31431.20575169646</v>
      </c>
      <c r="AN25" s="69">
        <f t="shared" si="28"/>
        <v>56161.097964639739</v>
      </c>
      <c r="AO25" s="69">
        <f t="shared" si="28"/>
        <v>114916.15094416318</v>
      </c>
      <c r="AP25" s="69">
        <f t="shared" si="28"/>
        <v>25700.331463574068</v>
      </c>
      <c r="AQ25" s="69">
        <f t="shared" si="28"/>
        <v>19996.111553366165</v>
      </c>
      <c r="AR25" s="69">
        <f t="shared" si="28"/>
        <v>1316.3584408172082</v>
      </c>
      <c r="AS25" s="69">
        <f t="shared" si="28"/>
        <v>13727.738025665174</v>
      </c>
      <c r="AT25" s="69"/>
      <c r="AU25" s="69">
        <f>AU9+AU18</f>
        <v>498599.98311837373</v>
      </c>
      <c r="AV25" s="89"/>
    </row>
    <row r="26" spans="1:48" hidden="1" outlineLevel="1">
      <c r="B26" s="67" t="s">
        <v>96</v>
      </c>
      <c r="C26" s="52"/>
      <c r="D26" s="68">
        <v>10440.5</v>
      </c>
      <c r="E26" s="68">
        <v>10947.85</v>
      </c>
      <c r="F26" s="68">
        <v>10108.650000000001</v>
      </c>
      <c r="G26" s="68">
        <v>10884.54</v>
      </c>
      <c r="H26" s="68">
        <v>7735.07</v>
      </c>
      <c r="I26" s="68">
        <v>13124.31</v>
      </c>
      <c r="J26" s="68">
        <v>8851.35</v>
      </c>
      <c r="K26" s="68">
        <v>8967.65</v>
      </c>
      <c r="L26" s="68">
        <v>7135</v>
      </c>
      <c r="M26" s="69">
        <f t="shared" si="26"/>
        <v>10223</v>
      </c>
      <c r="N26" s="69">
        <f t="shared" si="26"/>
        <v>10223</v>
      </c>
      <c r="O26" s="69">
        <f t="shared" si="26"/>
        <v>7914</v>
      </c>
      <c r="P26" s="69"/>
      <c r="Q26" s="69">
        <f>Q10+Q19</f>
        <v>115329</v>
      </c>
      <c r="S26" s="85">
        <f t="shared" ca="1" si="27"/>
        <v>5098.9567999999999</v>
      </c>
      <c r="T26" s="85">
        <f t="shared" ca="1" si="27"/>
        <v>8403.36</v>
      </c>
      <c r="U26" s="85">
        <f t="shared" ca="1" si="27"/>
        <v>8024.0936000000002</v>
      </c>
      <c r="V26" s="85">
        <f t="shared" ca="1" si="27"/>
        <v>8027.0784000000003</v>
      </c>
      <c r="W26" s="85">
        <f t="shared" ca="1" si="27"/>
        <v>7895.0584000000008</v>
      </c>
      <c r="X26" s="69">
        <f t="shared" ca="1" si="27"/>
        <v>9810.5455999999995</v>
      </c>
      <c r="Y26" s="69">
        <f t="shared" ca="1" si="27"/>
        <v>8027.4720000000007</v>
      </c>
      <c r="Z26" s="69">
        <f t="shared" ca="1" si="27"/>
        <v>8713.6152000000002</v>
      </c>
      <c r="AA26" s="69">
        <f t="shared" ca="1" si="27"/>
        <v>10199.2256</v>
      </c>
      <c r="AB26" s="69">
        <f t="shared" ca="1" si="27"/>
        <v>10667.314399999999</v>
      </c>
      <c r="AC26" s="69">
        <f t="shared" ca="1" si="27"/>
        <v>10655.6376</v>
      </c>
      <c r="AD26" s="69">
        <f t="shared" ca="1" si="27"/>
        <v>8042.6256000000003</v>
      </c>
      <c r="AE26" s="69"/>
      <c r="AF26" s="69">
        <f ca="1">AF10+AF19</f>
        <v>103564.9832</v>
      </c>
      <c r="AG26" s="89"/>
      <c r="AH26" s="85">
        <f t="shared" ca="1" si="28"/>
        <v>5098.9567999999999</v>
      </c>
      <c r="AI26" s="85">
        <f t="shared" ca="1" si="28"/>
        <v>8403.36</v>
      </c>
      <c r="AJ26" s="85">
        <f t="shared" ca="1" si="28"/>
        <v>8024.0936000000002</v>
      </c>
      <c r="AK26" s="85">
        <f t="shared" ca="1" si="28"/>
        <v>8027.0784000000003</v>
      </c>
      <c r="AL26" s="85">
        <f t="shared" ca="1" si="28"/>
        <v>7895.0584000000008</v>
      </c>
      <c r="AM26" s="69">
        <f t="shared" ca="1" si="28"/>
        <v>9810.5455999999995</v>
      </c>
      <c r="AN26" s="69">
        <f t="shared" ca="1" si="28"/>
        <v>8027.4720000000007</v>
      </c>
      <c r="AO26" s="69">
        <f t="shared" ca="1" si="28"/>
        <v>8713.6152000000002</v>
      </c>
      <c r="AP26" s="69">
        <f t="shared" ca="1" si="28"/>
        <v>10199.2256</v>
      </c>
      <c r="AQ26" s="69">
        <f t="shared" ca="1" si="28"/>
        <v>10667.314399999999</v>
      </c>
      <c r="AR26" s="69">
        <f t="shared" ca="1" si="28"/>
        <v>10655.6376</v>
      </c>
      <c r="AS26" s="69">
        <f t="shared" ca="1" si="28"/>
        <v>8042.6256000000003</v>
      </c>
      <c r="AT26" s="69"/>
      <c r="AU26" s="69">
        <f ca="1">AU10+AU19</f>
        <v>103564.9832</v>
      </c>
      <c r="AV26" s="89"/>
    </row>
    <row r="27" spans="1:48" hidden="1" outlineLevel="1">
      <c r="B27" s="67" t="s">
        <v>97</v>
      </c>
      <c r="C27" s="52"/>
      <c r="D27" s="68">
        <v>0</v>
      </c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9">
        <f t="shared" si="26"/>
        <v>0</v>
      </c>
      <c r="N27" s="69">
        <f t="shared" si="26"/>
        <v>0</v>
      </c>
      <c r="O27" s="69">
        <f t="shared" si="26"/>
        <v>0</v>
      </c>
      <c r="P27" s="69"/>
      <c r="Q27" s="69">
        <f>Q11+Q20</f>
        <v>0</v>
      </c>
      <c r="S27" s="85">
        <f t="shared" si="27"/>
        <v>0</v>
      </c>
      <c r="T27" s="85">
        <f t="shared" si="27"/>
        <v>0</v>
      </c>
      <c r="U27" s="85">
        <f t="shared" si="27"/>
        <v>0</v>
      </c>
      <c r="V27" s="85">
        <f t="shared" si="27"/>
        <v>0</v>
      </c>
      <c r="W27" s="85">
        <f t="shared" si="27"/>
        <v>0</v>
      </c>
      <c r="X27" s="69">
        <f t="shared" si="27"/>
        <v>0</v>
      </c>
      <c r="Y27" s="69">
        <f t="shared" si="27"/>
        <v>0</v>
      </c>
      <c r="Z27" s="69">
        <f t="shared" si="27"/>
        <v>0</v>
      </c>
      <c r="AA27" s="69">
        <f t="shared" si="27"/>
        <v>0</v>
      </c>
      <c r="AB27" s="69">
        <f t="shared" si="27"/>
        <v>0</v>
      </c>
      <c r="AC27" s="69">
        <f t="shared" si="27"/>
        <v>0</v>
      </c>
      <c r="AD27" s="69">
        <f t="shared" si="27"/>
        <v>0</v>
      </c>
      <c r="AE27" s="69"/>
      <c r="AF27" s="69">
        <f>AF11+AF20</f>
        <v>0</v>
      </c>
      <c r="AG27" s="89"/>
      <c r="AH27" s="85">
        <f t="shared" si="28"/>
        <v>0</v>
      </c>
      <c r="AI27" s="85">
        <f t="shared" si="28"/>
        <v>0</v>
      </c>
      <c r="AJ27" s="85">
        <f t="shared" si="28"/>
        <v>0</v>
      </c>
      <c r="AK27" s="85">
        <f t="shared" si="28"/>
        <v>0</v>
      </c>
      <c r="AL27" s="85">
        <f t="shared" si="28"/>
        <v>0</v>
      </c>
      <c r="AM27" s="69">
        <f t="shared" si="28"/>
        <v>0</v>
      </c>
      <c r="AN27" s="69">
        <f t="shared" si="28"/>
        <v>0</v>
      </c>
      <c r="AO27" s="69">
        <f t="shared" si="28"/>
        <v>0</v>
      </c>
      <c r="AP27" s="69">
        <f t="shared" si="28"/>
        <v>0</v>
      </c>
      <c r="AQ27" s="69">
        <f t="shared" si="28"/>
        <v>0</v>
      </c>
      <c r="AR27" s="69">
        <f t="shared" si="28"/>
        <v>0</v>
      </c>
      <c r="AS27" s="69">
        <f t="shared" si="28"/>
        <v>0</v>
      </c>
      <c r="AT27" s="69"/>
      <c r="AU27" s="69">
        <f>AU11+AU20</f>
        <v>0</v>
      </c>
      <c r="AV27" s="89"/>
    </row>
    <row r="28" spans="1:48" collapsed="1">
      <c r="B28" s="67" t="s">
        <v>98</v>
      </c>
      <c r="C28" s="52"/>
      <c r="D28" s="68">
        <v>118642.97</v>
      </c>
      <c r="E28" s="68">
        <v>62506.21</v>
      </c>
      <c r="F28" s="68">
        <v>19901.849999999999</v>
      </c>
      <c r="G28" s="68">
        <v>57028.42</v>
      </c>
      <c r="H28" s="68">
        <v>874.95999999999913</v>
      </c>
      <c r="I28" s="68">
        <v>77499.950000000012</v>
      </c>
      <c r="J28" s="68">
        <v>54928.259999999995</v>
      </c>
      <c r="K28" s="68">
        <v>106521.38</v>
      </c>
      <c r="L28" s="68">
        <v>48120</v>
      </c>
      <c r="M28" s="69">
        <f t="shared" ref="M28:O28" si="29">M13+M22</f>
        <v>30323</v>
      </c>
      <c r="N28" s="69">
        <f t="shared" si="29"/>
        <v>231323</v>
      </c>
      <c r="O28" s="69">
        <f t="shared" si="29"/>
        <v>44764</v>
      </c>
      <c r="P28" s="69"/>
      <c r="Q28" s="69">
        <f>Q13+Q22</f>
        <v>835032</v>
      </c>
      <c r="S28" s="85">
        <f t="shared" ref="S28:AD28" ca="1" si="30">S13+S22</f>
        <v>5547.5717566305048</v>
      </c>
      <c r="T28" s="85">
        <f t="shared" ca="1" si="30"/>
        <v>41212.179992301077</v>
      </c>
      <c r="U28" s="85">
        <f t="shared" ca="1" si="30"/>
        <v>92647.136223963404</v>
      </c>
      <c r="V28" s="85">
        <f t="shared" ca="1" si="30"/>
        <v>82032.439031416492</v>
      </c>
      <c r="W28" s="85">
        <f t="shared" ca="1" si="30"/>
        <v>61090.005639211384</v>
      </c>
      <c r="X28" s="69">
        <f t="shared" ca="1" si="30"/>
        <v>44222.436930925905</v>
      </c>
      <c r="Y28" s="69">
        <f t="shared" ca="1" si="30"/>
        <v>68400.098074937152</v>
      </c>
      <c r="Z28" s="69">
        <f t="shared" ca="1" si="30"/>
        <v>86708.941008063994</v>
      </c>
      <c r="AA28" s="69">
        <f t="shared" ca="1" si="30"/>
        <v>47809.466766205951</v>
      </c>
      <c r="AB28" s="69">
        <f t="shared" ca="1" si="30"/>
        <v>23204.061455401985</v>
      </c>
      <c r="AC28" s="69">
        <f t="shared" ca="1" si="30"/>
        <v>11909.312305540199</v>
      </c>
      <c r="AD28" s="69">
        <f t="shared" ca="1" si="30"/>
        <v>20579.372655401989</v>
      </c>
      <c r="AE28" s="69"/>
      <c r="AF28" s="69">
        <f ca="1">AF13+AF22</f>
        <v>585363.02184000006</v>
      </c>
      <c r="AG28" s="89"/>
      <c r="AH28" s="85">
        <f t="shared" ref="AH28:AS28" ca="1" si="31">AH13+AH22</f>
        <v>5592.4332522935547</v>
      </c>
      <c r="AI28" s="85">
        <f t="shared" ca="1" si="31"/>
        <v>29499.09370814982</v>
      </c>
      <c r="AJ28" s="85">
        <f t="shared" ca="1" si="31"/>
        <v>96878.288355161581</v>
      </c>
      <c r="AK28" s="85">
        <f t="shared" ca="1" si="31"/>
        <v>76676.834965686605</v>
      </c>
      <c r="AL28" s="85">
        <f t="shared" ca="1" si="31"/>
        <v>64152.885893160164</v>
      </c>
      <c r="AM28" s="69">
        <f t="shared" ca="1" si="31"/>
        <v>41241.751351696461</v>
      </c>
      <c r="AN28" s="69">
        <f t="shared" ca="1" si="31"/>
        <v>64188.569964639748</v>
      </c>
      <c r="AO28" s="69">
        <f t="shared" ca="1" si="31"/>
        <v>123629.76614416316</v>
      </c>
      <c r="AP28" s="69">
        <f t="shared" ca="1" si="31"/>
        <v>35899.557063574073</v>
      </c>
      <c r="AQ28" s="69">
        <f t="shared" ca="1" si="31"/>
        <v>30663.425953366164</v>
      </c>
      <c r="AR28" s="69">
        <f t="shared" ca="1" si="31"/>
        <v>11971.996040817208</v>
      </c>
      <c r="AS28" s="69">
        <f t="shared" ca="1" si="31"/>
        <v>21770.363625665173</v>
      </c>
      <c r="AT28" s="69"/>
      <c r="AU28" s="69">
        <f ca="1">AU13+AU22</f>
        <v>602164.9663183738</v>
      </c>
      <c r="AV28" s="89"/>
    </row>
    <row r="29" spans="1:48">
      <c r="B29" s="52"/>
      <c r="C29" s="52"/>
      <c r="D29" s="70"/>
      <c r="E29" s="70"/>
      <c r="F29" s="70"/>
      <c r="G29" s="70"/>
      <c r="H29" s="70"/>
      <c r="I29" s="70"/>
      <c r="J29" s="70"/>
      <c r="K29" s="70"/>
      <c r="L29" s="70"/>
      <c r="M29" s="52"/>
      <c r="N29" s="52"/>
      <c r="O29" s="52"/>
      <c r="P29" s="52"/>
      <c r="S29" s="10"/>
      <c r="T29" s="10"/>
      <c r="U29" s="10"/>
      <c r="V29" s="10"/>
      <c r="W29" s="10"/>
      <c r="X29" s="52"/>
      <c r="Y29" s="52"/>
      <c r="Z29" s="52"/>
      <c r="AA29" s="52"/>
      <c r="AB29" s="52"/>
      <c r="AC29" s="52"/>
      <c r="AD29" s="52"/>
      <c r="AE29" s="52"/>
      <c r="AG29" s="89"/>
      <c r="AH29" s="10"/>
      <c r="AI29" s="10"/>
      <c r="AJ29" s="10"/>
      <c r="AK29" s="10"/>
      <c r="AL29" s="10"/>
      <c r="AM29" s="52"/>
      <c r="AN29" s="52"/>
      <c r="AO29" s="52"/>
      <c r="AP29" s="52"/>
      <c r="AQ29" s="52"/>
      <c r="AR29" s="52"/>
      <c r="AS29" s="52"/>
      <c r="AT29" s="52"/>
      <c r="AV29" s="89"/>
    </row>
    <row r="30" spans="1:48" hidden="1" outlineLevel="1">
      <c r="B30" s="67" t="s">
        <v>99</v>
      </c>
      <c r="C30" s="52"/>
      <c r="D30" s="97">
        <v>0.87631313545622558</v>
      </c>
      <c r="E30" s="97">
        <v>0.89930771759124095</v>
      </c>
      <c r="F30" s="97">
        <v>0.89184597089496687</v>
      </c>
      <c r="G30" s="97">
        <v>0.89569357245607206</v>
      </c>
      <c r="H30" s="97">
        <v>0.89008575031525849</v>
      </c>
      <c r="I30" s="97">
        <v>0.79688606336341306</v>
      </c>
      <c r="J30" s="97">
        <v>0.81981150970473282</v>
      </c>
      <c r="K30" s="97">
        <v>0.89863913817848551</v>
      </c>
      <c r="L30" s="97">
        <v>0.89545934530095039</v>
      </c>
      <c r="M30" s="91">
        <f t="shared" ref="M30:O33" si="32">IFERROR(M24/M8,0)</f>
        <v>0</v>
      </c>
      <c r="N30" s="91">
        <f t="shared" si="32"/>
        <v>0</v>
      </c>
      <c r="O30" s="91">
        <f t="shared" si="32"/>
        <v>0</v>
      </c>
      <c r="P30" s="91"/>
      <c r="Q30" s="91">
        <f>IFERROR(Q24/Q8,0)</f>
        <v>0.86216442412927319</v>
      </c>
      <c r="S30" s="91">
        <f t="shared" ref="S30:AD30" si="33">IFERROR(S24/S8,0)</f>
        <v>0</v>
      </c>
      <c r="T30" s="91">
        <f t="shared" si="33"/>
        <v>0</v>
      </c>
      <c r="U30" s="91">
        <f t="shared" si="33"/>
        <v>0</v>
      </c>
      <c r="V30" s="91">
        <f t="shared" si="33"/>
        <v>0</v>
      </c>
      <c r="W30" s="91">
        <f t="shared" si="33"/>
        <v>0</v>
      </c>
      <c r="X30" s="91">
        <f t="shared" si="33"/>
        <v>0</v>
      </c>
      <c r="Y30" s="91">
        <f t="shared" si="33"/>
        <v>0</v>
      </c>
      <c r="Z30" s="91">
        <f t="shared" si="33"/>
        <v>0</v>
      </c>
      <c r="AA30" s="91">
        <f t="shared" si="33"/>
        <v>0</v>
      </c>
      <c r="AB30" s="91">
        <f t="shared" si="33"/>
        <v>0</v>
      </c>
      <c r="AC30" s="91">
        <f t="shared" si="33"/>
        <v>0</v>
      </c>
      <c r="AD30" s="91">
        <f t="shared" si="33"/>
        <v>0</v>
      </c>
      <c r="AE30" s="91"/>
      <c r="AF30" s="91">
        <f>IFERROR(AF24/AF8,0)</f>
        <v>0</v>
      </c>
      <c r="AG30" s="89"/>
      <c r="AH30" s="91">
        <f t="shared" ref="AH30:AS30" si="34">IFERROR(AH24/AH8,0)</f>
        <v>0</v>
      </c>
      <c r="AI30" s="91">
        <f t="shared" si="34"/>
        <v>0</v>
      </c>
      <c r="AJ30" s="91">
        <f t="shared" si="34"/>
        <v>0</v>
      </c>
      <c r="AK30" s="91">
        <f t="shared" si="34"/>
        <v>0</v>
      </c>
      <c r="AL30" s="91">
        <f t="shared" si="34"/>
        <v>0</v>
      </c>
      <c r="AM30" s="91">
        <f t="shared" si="34"/>
        <v>0</v>
      </c>
      <c r="AN30" s="91">
        <f t="shared" si="34"/>
        <v>0</v>
      </c>
      <c r="AO30" s="91">
        <f t="shared" si="34"/>
        <v>0</v>
      </c>
      <c r="AP30" s="91">
        <f t="shared" si="34"/>
        <v>0</v>
      </c>
      <c r="AQ30" s="91">
        <f t="shared" si="34"/>
        <v>0</v>
      </c>
      <c r="AR30" s="91">
        <f t="shared" si="34"/>
        <v>0</v>
      </c>
      <c r="AS30" s="91">
        <f t="shared" si="34"/>
        <v>0</v>
      </c>
      <c r="AT30" s="91"/>
      <c r="AU30" s="91">
        <f>IFERROR(AU24/AU8,0)</f>
        <v>0</v>
      </c>
      <c r="AV30" s="89"/>
    </row>
    <row r="31" spans="1:48" hidden="1" outlineLevel="1">
      <c r="B31" s="67" t="s">
        <v>100</v>
      </c>
      <c r="C31" s="52"/>
      <c r="D31" s="97">
        <v>0.60962627044763529</v>
      </c>
      <c r="E31" s="97">
        <v>0.53268918777401497</v>
      </c>
      <c r="F31" s="97">
        <v>0.63023344119395108</v>
      </c>
      <c r="G31" s="97">
        <v>0.85309957186091778</v>
      </c>
      <c r="H31" s="97">
        <v>-0.96924153372516086</v>
      </c>
      <c r="I31" s="97">
        <v>0.55500607494818432</v>
      </c>
      <c r="J31" s="97">
        <v>0.51639329005666568</v>
      </c>
      <c r="K31" s="97">
        <v>0.56783319463703386</v>
      </c>
      <c r="L31" s="97">
        <v>0.67730284022834586</v>
      </c>
      <c r="M31" s="91">
        <f t="shared" si="32"/>
        <v>0.67</v>
      </c>
      <c r="N31" s="91">
        <f t="shared" si="32"/>
        <v>0.67</v>
      </c>
      <c r="O31" s="91">
        <f t="shared" si="32"/>
        <v>0.67</v>
      </c>
      <c r="P31" s="91"/>
      <c r="Q31" s="91">
        <f>IFERROR(Q25/Q9,0)</f>
        <v>0.59285668793420987</v>
      </c>
      <c r="S31" s="91">
        <f t="shared" ref="S31:AD31" si="35">IFERROR(S25/S9,0)</f>
        <v>0.62683735277009922</v>
      </c>
      <c r="T31" s="91">
        <f t="shared" si="35"/>
        <v>0.62683735277009933</v>
      </c>
      <c r="U31" s="91">
        <f t="shared" si="35"/>
        <v>0.62683735277009922</v>
      </c>
      <c r="V31" s="91">
        <f t="shared" si="35"/>
        <v>0.62683735277009933</v>
      </c>
      <c r="W31" s="91">
        <f t="shared" si="35"/>
        <v>0.62683735277009922</v>
      </c>
      <c r="X31" s="91">
        <f t="shared" si="35"/>
        <v>0.62683735277009922</v>
      </c>
      <c r="Y31" s="91">
        <f t="shared" si="35"/>
        <v>0.62683735277009922</v>
      </c>
      <c r="Z31" s="91">
        <f t="shared" si="35"/>
        <v>0.62683735277009922</v>
      </c>
      <c r="AA31" s="91">
        <f t="shared" si="35"/>
        <v>0.62683735277009922</v>
      </c>
      <c r="AB31" s="91">
        <f t="shared" si="35"/>
        <v>0.62683735277009933</v>
      </c>
      <c r="AC31" s="91">
        <f t="shared" si="35"/>
        <v>0.62683735277009922</v>
      </c>
      <c r="AD31" s="91">
        <f t="shared" si="35"/>
        <v>0.62683735277009933</v>
      </c>
      <c r="AE31" s="91"/>
      <c r="AF31" s="91">
        <f>IFERROR(AF25/AF9,0)</f>
        <v>0.62683735277009922</v>
      </c>
      <c r="AG31" s="89"/>
      <c r="AH31" s="91">
        <f t="shared" ref="AH31:AS31" si="36">IFERROR(AH25/AH9,0)</f>
        <v>0.62683735277009922</v>
      </c>
      <c r="AI31" s="91">
        <f t="shared" si="36"/>
        <v>0.62683735277009922</v>
      </c>
      <c r="AJ31" s="91">
        <f t="shared" si="36"/>
        <v>0.62683735277009922</v>
      </c>
      <c r="AK31" s="91">
        <f t="shared" si="36"/>
        <v>0.62683735277009922</v>
      </c>
      <c r="AL31" s="91">
        <f t="shared" si="36"/>
        <v>0.62683735277009933</v>
      </c>
      <c r="AM31" s="91">
        <f t="shared" si="36"/>
        <v>0.62683735277009922</v>
      </c>
      <c r="AN31" s="91">
        <f t="shared" si="36"/>
        <v>0.62683735277009922</v>
      </c>
      <c r="AO31" s="91">
        <f t="shared" si="36"/>
        <v>0.62683735277009922</v>
      </c>
      <c r="AP31" s="91">
        <f t="shared" si="36"/>
        <v>0.62683735277009922</v>
      </c>
      <c r="AQ31" s="91">
        <f t="shared" si="36"/>
        <v>0.62683735277009922</v>
      </c>
      <c r="AR31" s="91">
        <f t="shared" si="36"/>
        <v>0.62683735277009922</v>
      </c>
      <c r="AS31" s="91">
        <f t="shared" si="36"/>
        <v>0.62683735277009922</v>
      </c>
      <c r="AT31" s="91"/>
      <c r="AU31" s="91">
        <f>IFERROR(AU25/AU9,0)</f>
        <v>0.62683735277009922</v>
      </c>
      <c r="AV31" s="89"/>
    </row>
    <row r="32" spans="1:48" hidden="1" outlineLevel="1">
      <c r="B32" s="67" t="s">
        <v>101</v>
      </c>
      <c r="C32" s="52"/>
      <c r="D32" s="97">
        <v>0.89772141014617368</v>
      </c>
      <c r="E32" s="97">
        <v>0.89325286223417455</v>
      </c>
      <c r="F32" s="97">
        <v>0.89053658691291404</v>
      </c>
      <c r="G32" s="97">
        <v>0.87139478694157524</v>
      </c>
      <c r="H32" s="97">
        <v>0.87392046096486264</v>
      </c>
      <c r="I32" s="97">
        <v>0.99136466537700652</v>
      </c>
      <c r="J32" s="97">
        <v>0.88759452442718767</v>
      </c>
      <c r="K32" s="97">
        <v>0.87925291960032037</v>
      </c>
      <c r="L32" s="97">
        <v>0.85224558050645005</v>
      </c>
      <c r="M32" s="91">
        <f t="shared" si="32"/>
        <v>0.82443548387096777</v>
      </c>
      <c r="N32" s="91">
        <f t="shared" si="32"/>
        <v>0.82443548387096777</v>
      </c>
      <c r="O32" s="91">
        <f t="shared" si="32"/>
        <v>0.82437499999999997</v>
      </c>
      <c r="P32" s="91"/>
      <c r="Q32" s="91">
        <f>IFERROR(Q26/Q10,0)</f>
        <v>0.8767865831407371</v>
      </c>
      <c r="S32" s="91">
        <f t="shared" ref="S32:AD32" ca="1" si="37">IFERROR(S26/S10,0)</f>
        <v>0.82000000000000006</v>
      </c>
      <c r="T32" s="91">
        <f t="shared" ca="1" si="37"/>
        <v>0.82000000000000006</v>
      </c>
      <c r="U32" s="91">
        <f t="shared" ca="1" si="37"/>
        <v>0.82000000000000006</v>
      </c>
      <c r="V32" s="91">
        <f t="shared" ca="1" si="37"/>
        <v>0.82</v>
      </c>
      <c r="W32" s="91">
        <f t="shared" ca="1" si="37"/>
        <v>0.82000000000000006</v>
      </c>
      <c r="X32" s="91">
        <f t="shared" ca="1" si="37"/>
        <v>0.82</v>
      </c>
      <c r="Y32" s="91">
        <f t="shared" ca="1" si="37"/>
        <v>0.82000000000000006</v>
      </c>
      <c r="Z32" s="91">
        <f t="shared" ca="1" si="37"/>
        <v>0.82</v>
      </c>
      <c r="AA32" s="91">
        <f t="shared" ca="1" si="37"/>
        <v>0.82</v>
      </c>
      <c r="AB32" s="91">
        <f t="shared" ca="1" si="37"/>
        <v>0.82</v>
      </c>
      <c r="AC32" s="91">
        <f t="shared" ca="1" si="37"/>
        <v>0.82</v>
      </c>
      <c r="AD32" s="91">
        <f t="shared" ca="1" si="37"/>
        <v>0.82000000000000006</v>
      </c>
      <c r="AE32" s="91"/>
      <c r="AF32" s="91">
        <f ca="1">IFERROR(AF26/AF10,0)</f>
        <v>0.82000000000000006</v>
      </c>
      <c r="AG32" s="89"/>
      <c r="AH32" s="91">
        <f t="shared" ref="AH32:AS32" ca="1" si="38">IFERROR(AH26/AH10,0)</f>
        <v>0.82000000000000006</v>
      </c>
      <c r="AI32" s="91">
        <f t="shared" ca="1" si="38"/>
        <v>0.82000000000000006</v>
      </c>
      <c r="AJ32" s="91">
        <f t="shared" ca="1" si="38"/>
        <v>0.82000000000000006</v>
      </c>
      <c r="AK32" s="91">
        <f t="shared" ca="1" si="38"/>
        <v>0.82</v>
      </c>
      <c r="AL32" s="91">
        <f t="shared" ca="1" si="38"/>
        <v>0.82000000000000006</v>
      </c>
      <c r="AM32" s="91">
        <f t="shared" ca="1" si="38"/>
        <v>0.82</v>
      </c>
      <c r="AN32" s="91">
        <f t="shared" ca="1" si="38"/>
        <v>0.82000000000000006</v>
      </c>
      <c r="AO32" s="91">
        <f t="shared" ca="1" si="38"/>
        <v>0.82</v>
      </c>
      <c r="AP32" s="91">
        <f t="shared" ca="1" si="38"/>
        <v>0.82</v>
      </c>
      <c r="AQ32" s="91">
        <f t="shared" ca="1" si="38"/>
        <v>0.82</v>
      </c>
      <c r="AR32" s="91">
        <f t="shared" ca="1" si="38"/>
        <v>0.82</v>
      </c>
      <c r="AS32" s="91">
        <f t="shared" ca="1" si="38"/>
        <v>0.82000000000000006</v>
      </c>
      <c r="AT32" s="91"/>
      <c r="AU32" s="91">
        <f ca="1">IFERROR(AU26/AU10,0)</f>
        <v>0.82000000000000006</v>
      </c>
      <c r="AV32" s="89"/>
    </row>
    <row r="33" spans="1:48" hidden="1" outlineLevel="1">
      <c r="B33" s="67" t="s">
        <v>102</v>
      </c>
      <c r="C33" s="52"/>
      <c r="D33" s="97">
        <v>0</v>
      </c>
      <c r="E33" s="97">
        <v>0</v>
      </c>
      <c r="F33" s="97">
        <v>0</v>
      </c>
      <c r="G33" s="97">
        <v>0</v>
      </c>
      <c r="H33" s="97">
        <v>0</v>
      </c>
      <c r="I33" s="97">
        <v>0</v>
      </c>
      <c r="J33" s="97">
        <v>0</v>
      </c>
      <c r="K33" s="97">
        <v>0</v>
      </c>
      <c r="L33" s="97">
        <v>0</v>
      </c>
      <c r="M33" s="91">
        <f t="shared" si="32"/>
        <v>0</v>
      </c>
      <c r="N33" s="91">
        <f t="shared" si="32"/>
        <v>0</v>
      </c>
      <c r="O33" s="91">
        <f t="shared" si="32"/>
        <v>0</v>
      </c>
      <c r="P33" s="91"/>
      <c r="Q33" s="91">
        <f>IFERROR(Q27/Q11,0)</f>
        <v>0</v>
      </c>
      <c r="S33" s="91">
        <f t="shared" ref="S33:AD33" si="39">IFERROR(S27/S11,0)</f>
        <v>0</v>
      </c>
      <c r="T33" s="91">
        <f t="shared" si="39"/>
        <v>0</v>
      </c>
      <c r="U33" s="91">
        <f t="shared" si="39"/>
        <v>0</v>
      </c>
      <c r="V33" s="91">
        <f t="shared" si="39"/>
        <v>0</v>
      </c>
      <c r="W33" s="91">
        <f t="shared" si="39"/>
        <v>0</v>
      </c>
      <c r="X33" s="91">
        <f t="shared" si="39"/>
        <v>0</v>
      </c>
      <c r="Y33" s="91">
        <f t="shared" si="39"/>
        <v>0</v>
      </c>
      <c r="Z33" s="91">
        <f t="shared" si="39"/>
        <v>0</v>
      </c>
      <c r="AA33" s="91">
        <f t="shared" si="39"/>
        <v>0</v>
      </c>
      <c r="AB33" s="91">
        <f t="shared" si="39"/>
        <v>0</v>
      </c>
      <c r="AC33" s="91">
        <f t="shared" si="39"/>
        <v>0</v>
      </c>
      <c r="AD33" s="91">
        <f t="shared" si="39"/>
        <v>0</v>
      </c>
      <c r="AE33" s="91"/>
      <c r="AF33" s="91">
        <f>IFERROR(AF27/AF11,0)</f>
        <v>0</v>
      </c>
      <c r="AG33" s="89"/>
      <c r="AH33" s="91">
        <f t="shared" ref="AH33:AS33" si="40">IFERROR(AH27/AH11,0)</f>
        <v>0</v>
      </c>
      <c r="AI33" s="91">
        <f t="shared" si="40"/>
        <v>0</v>
      </c>
      <c r="AJ33" s="91">
        <f t="shared" si="40"/>
        <v>0</v>
      </c>
      <c r="AK33" s="91">
        <f t="shared" si="40"/>
        <v>0</v>
      </c>
      <c r="AL33" s="91">
        <f t="shared" si="40"/>
        <v>0</v>
      </c>
      <c r="AM33" s="91">
        <f t="shared" si="40"/>
        <v>0</v>
      </c>
      <c r="AN33" s="91">
        <f t="shared" si="40"/>
        <v>0</v>
      </c>
      <c r="AO33" s="91">
        <f t="shared" si="40"/>
        <v>0</v>
      </c>
      <c r="AP33" s="91">
        <f t="shared" si="40"/>
        <v>0</v>
      </c>
      <c r="AQ33" s="91">
        <f t="shared" si="40"/>
        <v>0</v>
      </c>
      <c r="AR33" s="91">
        <f t="shared" si="40"/>
        <v>0</v>
      </c>
      <c r="AS33" s="91">
        <f t="shared" si="40"/>
        <v>0</v>
      </c>
      <c r="AT33" s="91"/>
      <c r="AU33" s="91">
        <f>IFERROR(AU27/AU11,0)</f>
        <v>0</v>
      </c>
      <c r="AV33" s="89"/>
    </row>
    <row r="34" spans="1:48" collapsed="1">
      <c r="B34" s="72" t="s">
        <v>103</v>
      </c>
      <c r="C34" s="73"/>
      <c r="D34" s="97">
        <v>0.63341544820175166</v>
      </c>
      <c r="E34" s="97">
        <v>0.59150160049162626</v>
      </c>
      <c r="F34" s="97">
        <v>0.81350979268465151</v>
      </c>
      <c r="G34" s="97">
        <v>0.86037115415282028</v>
      </c>
      <c r="H34" s="97">
        <v>3.7176970469513453E-2</v>
      </c>
      <c r="I34" s="97">
        <v>0.62198562497998611</v>
      </c>
      <c r="J34" s="97">
        <v>0.57215185284950643</v>
      </c>
      <c r="K34" s="97">
        <v>0.59075293958448183</v>
      </c>
      <c r="L34" s="97">
        <v>0.70796980976621693</v>
      </c>
      <c r="M34" s="91">
        <f>IFERROR(M28/M13,0)</f>
        <v>0.71516509433962261</v>
      </c>
      <c r="N34" s="91">
        <f>IFERROR(N28/N13,0)</f>
        <v>0.67559287383177569</v>
      </c>
      <c r="O34" s="91">
        <f>IFERROR(O28/O13,0)</f>
        <v>0.69294117647058828</v>
      </c>
      <c r="P34" s="91"/>
      <c r="Q34" s="91">
        <f>IFERROR(Q28/Q13,0)</f>
        <v>0.63053356952895279</v>
      </c>
      <c r="S34" s="91">
        <f t="shared" ref="S34:AD34" ca="1" si="41">IFERROR(S28/S13,0)</f>
        <v>0.80006284419642926</v>
      </c>
      <c r="T34" s="91">
        <f t="shared" ca="1" si="41"/>
        <v>0.65846519024085537</v>
      </c>
      <c r="U34" s="91">
        <f t="shared" ca="1" si="41"/>
        <v>0.63989245485088286</v>
      </c>
      <c r="V34" s="91">
        <f t="shared" ca="1" si="41"/>
        <v>0.64162720888571101</v>
      </c>
      <c r="W34" s="91">
        <f t="shared" ca="1" si="41"/>
        <v>0.64651966968140928</v>
      </c>
      <c r="X34" s="91">
        <f t="shared" ca="1" si="41"/>
        <v>0.66140142567265547</v>
      </c>
      <c r="Y34" s="91">
        <f t="shared" ca="1" si="41"/>
        <v>0.64465957306158828</v>
      </c>
      <c r="Z34" s="91">
        <f t="shared" ca="1" si="41"/>
        <v>0.64203593679973092</v>
      </c>
      <c r="AA34" s="91">
        <f t="shared" ca="1" si="41"/>
        <v>0.66000461036799907</v>
      </c>
      <c r="AB34" s="91">
        <f t="shared" ca="1" si="41"/>
        <v>0.70296336430885908</v>
      </c>
      <c r="AC34" s="91">
        <f t="shared" ca="1" si="41"/>
        <v>0.79423584268155101</v>
      </c>
      <c r="AD34" s="91">
        <f t="shared" ca="1" si="41"/>
        <v>0.69039578045288352</v>
      </c>
      <c r="AE34" s="91"/>
      <c r="AF34" s="91">
        <f ca="1">IFERROR(AF28/AF13,0)</f>
        <v>0.6540982364393082</v>
      </c>
      <c r="AG34" s="89"/>
      <c r="AH34" s="91">
        <f t="shared" ref="AH34:AS34" ca="1" si="42">IFERROR(AH28/AH13,0)</f>
        <v>0.79829317419336887</v>
      </c>
      <c r="AI34" s="91">
        <f t="shared" ca="1" si="42"/>
        <v>0.67192687168656573</v>
      </c>
      <c r="AJ34" s="91">
        <f t="shared" ca="1" si="42"/>
        <v>0.63931092807546841</v>
      </c>
      <c r="AK34" s="91">
        <f t="shared" ca="1" si="42"/>
        <v>0.64268634661609469</v>
      </c>
      <c r="AL34" s="91">
        <f t="shared" ca="1" si="42"/>
        <v>0.64555191262902922</v>
      </c>
      <c r="AM34" s="91">
        <f t="shared" ca="1" si="42"/>
        <v>0.66404778274130116</v>
      </c>
      <c r="AN34" s="91">
        <f t="shared" ca="1" si="42"/>
        <v>0.64586441562249908</v>
      </c>
      <c r="AO34" s="91">
        <f t="shared" ca="1" si="42"/>
        <v>0.63742039628232972</v>
      </c>
      <c r="AP34" s="91">
        <f t="shared" ca="1" si="42"/>
        <v>0.67179728507412828</v>
      </c>
      <c r="AQ34" s="91">
        <f t="shared" ca="1" si="42"/>
        <v>0.68279143549580279</v>
      </c>
      <c r="AR34" s="91">
        <f t="shared" ca="1" si="42"/>
        <v>0.79312685269361183</v>
      </c>
      <c r="AS34" s="91">
        <f t="shared" ca="1" si="42"/>
        <v>0.68658725554070676</v>
      </c>
      <c r="AT34" s="91"/>
      <c r="AU34" s="91">
        <f ca="1">IFERROR(AU28/AU13,0)</f>
        <v>0.6533054697084264</v>
      </c>
      <c r="AV34" s="89"/>
    </row>
    <row r="35" spans="1:48">
      <c r="D35" s="71"/>
      <c r="E35" s="71"/>
      <c r="F35" s="71"/>
      <c r="G35" s="71"/>
      <c r="H35" s="71"/>
      <c r="I35" s="71"/>
      <c r="J35" s="71"/>
      <c r="K35" s="71"/>
      <c r="L35" s="71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89"/>
      <c r="AH35" s="86"/>
      <c r="AI35" s="86"/>
      <c r="AJ35" s="86"/>
      <c r="AK35" s="86"/>
      <c r="AL35" s="86"/>
      <c r="AV35" s="89"/>
    </row>
    <row r="36" spans="1:48" hidden="1" outlineLevel="1">
      <c r="B36" s="58" t="s">
        <v>104</v>
      </c>
      <c r="D36" s="74"/>
      <c r="E36" s="74"/>
      <c r="F36" s="74"/>
      <c r="G36" s="74"/>
      <c r="H36" s="74"/>
      <c r="I36" s="74"/>
      <c r="J36" s="74"/>
      <c r="K36" s="74"/>
      <c r="L36" s="74"/>
      <c r="S36" s="87"/>
      <c r="T36" s="87"/>
      <c r="U36" s="87"/>
      <c r="V36" s="87"/>
      <c r="W36" s="87"/>
      <c r="AG36" s="89"/>
      <c r="AH36" s="87"/>
      <c r="AI36" s="87"/>
      <c r="AJ36" s="87"/>
      <c r="AK36" s="87"/>
      <c r="AL36" s="87"/>
      <c r="AV36" s="89"/>
    </row>
    <row r="37" spans="1:48" hidden="1" outlineLevel="1">
      <c r="D37" s="53"/>
      <c r="E37" s="53"/>
      <c r="F37" s="53"/>
      <c r="G37" s="53"/>
      <c r="H37" s="53"/>
      <c r="I37" s="53"/>
      <c r="J37" s="53"/>
      <c r="K37" s="53"/>
      <c r="L37" s="53"/>
      <c r="AG37" s="89"/>
      <c r="AV37" s="89"/>
    </row>
    <row r="38" spans="1:48" hidden="1" outlineLevel="1">
      <c r="B38" s="51" t="s">
        <v>104</v>
      </c>
      <c r="D38" s="59" t="s">
        <v>184</v>
      </c>
      <c r="E38" s="59" t="s">
        <v>184</v>
      </c>
      <c r="F38" s="59">
        <v>-31</v>
      </c>
      <c r="G38" s="59">
        <v>0</v>
      </c>
      <c r="H38" s="59" t="s">
        <v>184</v>
      </c>
      <c r="I38" s="59" t="s">
        <v>184</v>
      </c>
      <c r="J38" s="59">
        <v>-94</v>
      </c>
      <c r="K38" s="59" t="s">
        <v>184</v>
      </c>
      <c r="L38" s="59">
        <v>-3</v>
      </c>
      <c r="M38" s="60"/>
      <c r="N38" s="60"/>
      <c r="O38" s="60"/>
      <c r="P38" s="60"/>
      <c r="Q38" s="61">
        <f>SUM(D38:O38)</f>
        <v>-128</v>
      </c>
      <c r="R38" s="62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60"/>
      <c r="AF38" s="61">
        <f>SUM(S38:AD38)</f>
        <v>0</v>
      </c>
      <c r="AG38" s="89"/>
      <c r="AH38" s="83"/>
      <c r="AI38" s="83"/>
      <c r="AJ38" s="83"/>
      <c r="AK38" s="83"/>
      <c r="AL38" s="83"/>
      <c r="AM38" s="83"/>
      <c r="AN38" s="83"/>
      <c r="AO38" s="83"/>
      <c r="AP38" s="83"/>
      <c r="AQ38" s="83"/>
      <c r="AR38" s="83"/>
      <c r="AS38" s="83"/>
      <c r="AT38" s="60"/>
      <c r="AU38" s="61">
        <f>SUM(AH38:AS38)</f>
        <v>0</v>
      </c>
      <c r="AV38" s="89"/>
    </row>
    <row r="39" spans="1:48" hidden="1" outlineLevel="1">
      <c r="B39" s="51" t="s">
        <v>106</v>
      </c>
      <c r="C39" s="75">
        <f>SUMIFS(Fulfilment!E:E,Fulfilment!A:A,"ROW",Fulfilment!B:B,"DTC")</f>
        <v>0</v>
      </c>
      <c r="D39" s="59">
        <v>-968</v>
      </c>
      <c r="E39" s="59">
        <v>-1106</v>
      </c>
      <c r="F39" s="59">
        <v>-2769</v>
      </c>
      <c r="G39" s="59">
        <v>-7835</v>
      </c>
      <c r="H39" s="59">
        <v>-2207</v>
      </c>
      <c r="I39" s="59">
        <v>-3697</v>
      </c>
      <c r="J39" s="59">
        <v>-4542</v>
      </c>
      <c r="K39" s="59">
        <v>-1432</v>
      </c>
      <c r="L39" s="59">
        <v>-2448</v>
      </c>
      <c r="M39" s="60"/>
      <c r="N39" s="60"/>
      <c r="O39" s="60"/>
      <c r="P39" s="60"/>
      <c r="Q39" s="61">
        <f>SUM(D39:O39)</f>
        <v>-27004</v>
      </c>
      <c r="R39" s="62"/>
      <c r="S39" s="60">
        <f>$C$39*S8</f>
        <v>0</v>
      </c>
      <c r="T39" s="60">
        <f t="shared" ref="T39:AD39" si="43">$C$39*T8</f>
        <v>0</v>
      </c>
      <c r="U39" s="60">
        <f t="shared" si="43"/>
        <v>0</v>
      </c>
      <c r="V39" s="60">
        <f t="shared" si="43"/>
        <v>0</v>
      </c>
      <c r="W39" s="60">
        <f t="shared" si="43"/>
        <v>0</v>
      </c>
      <c r="X39" s="60">
        <f t="shared" si="43"/>
        <v>0</v>
      </c>
      <c r="Y39" s="60">
        <f t="shared" si="43"/>
        <v>0</v>
      </c>
      <c r="Z39" s="60">
        <f t="shared" si="43"/>
        <v>0</v>
      </c>
      <c r="AA39" s="60">
        <f t="shared" si="43"/>
        <v>0</v>
      </c>
      <c r="AB39" s="60">
        <f t="shared" si="43"/>
        <v>0</v>
      </c>
      <c r="AC39" s="60">
        <f t="shared" si="43"/>
        <v>0</v>
      </c>
      <c r="AD39" s="60">
        <f t="shared" si="43"/>
        <v>0</v>
      </c>
      <c r="AE39" s="60"/>
      <c r="AF39" s="61">
        <f>SUM(S39:AD39)</f>
        <v>0</v>
      </c>
      <c r="AG39" s="89"/>
      <c r="AH39" s="60">
        <f t="shared" ref="AH39:AS39" si="44">$C$39*AH8</f>
        <v>0</v>
      </c>
      <c r="AI39" s="60">
        <f t="shared" si="44"/>
        <v>0</v>
      </c>
      <c r="AJ39" s="60">
        <f t="shared" si="44"/>
        <v>0</v>
      </c>
      <c r="AK39" s="60">
        <f t="shared" si="44"/>
        <v>0</v>
      </c>
      <c r="AL39" s="60">
        <f t="shared" si="44"/>
        <v>0</v>
      </c>
      <c r="AM39" s="60">
        <f t="shared" si="44"/>
        <v>0</v>
      </c>
      <c r="AN39" s="60">
        <f t="shared" si="44"/>
        <v>0</v>
      </c>
      <c r="AO39" s="60">
        <f t="shared" si="44"/>
        <v>0</v>
      </c>
      <c r="AP39" s="60">
        <f t="shared" si="44"/>
        <v>0</v>
      </c>
      <c r="AQ39" s="60">
        <f t="shared" si="44"/>
        <v>0</v>
      </c>
      <c r="AR39" s="60">
        <f t="shared" si="44"/>
        <v>0</v>
      </c>
      <c r="AS39" s="60">
        <f t="shared" si="44"/>
        <v>0</v>
      </c>
      <c r="AT39" s="60"/>
      <c r="AU39" s="61">
        <f>SUM(AH39:AS39)</f>
        <v>0</v>
      </c>
      <c r="AV39" s="89"/>
    </row>
    <row r="40" spans="1:48" hidden="1" outlineLevel="1">
      <c r="B40" s="51" t="s">
        <v>107</v>
      </c>
      <c r="C40" s="75">
        <f>SUMIFS(Fulfilment!E:E,Fulfilment!A:A,"ROW",Fulfilment!B:B,"B2B")</f>
        <v>-0.13837340763093953</v>
      </c>
      <c r="D40" s="59">
        <v>-10570</v>
      </c>
      <c r="E40" s="59">
        <v>-5613</v>
      </c>
      <c r="F40" s="59">
        <v>-3931</v>
      </c>
      <c r="G40" s="59">
        <v>-4111</v>
      </c>
      <c r="H40" s="59">
        <v>-2616</v>
      </c>
      <c r="I40" s="59">
        <v>-850</v>
      </c>
      <c r="J40" s="59">
        <v>-7023</v>
      </c>
      <c r="K40" s="59">
        <v>-2611</v>
      </c>
      <c r="L40" s="59">
        <v>-7068</v>
      </c>
      <c r="M40" s="60">
        <v>-2400</v>
      </c>
      <c r="N40" s="60">
        <v>-26400</v>
      </c>
      <c r="O40" s="60">
        <v>-4400</v>
      </c>
      <c r="P40" s="60"/>
      <c r="Q40" s="61">
        <f>SUM(D40:O40)</f>
        <v>-77593</v>
      </c>
      <c r="R40" s="62"/>
      <c r="S40" s="60">
        <f>$R$40*S9</f>
        <v>0</v>
      </c>
      <c r="T40" s="60">
        <f t="shared" ref="T40:AD40" si="45">$R$40*T9</f>
        <v>0</v>
      </c>
      <c r="U40" s="60">
        <f t="shared" si="45"/>
        <v>0</v>
      </c>
      <c r="V40" s="60">
        <f t="shared" si="45"/>
        <v>0</v>
      </c>
      <c r="W40" s="60">
        <f t="shared" si="45"/>
        <v>0</v>
      </c>
      <c r="X40" s="60">
        <f t="shared" si="45"/>
        <v>0</v>
      </c>
      <c r="Y40" s="60">
        <f t="shared" si="45"/>
        <v>0</v>
      </c>
      <c r="Z40" s="60">
        <f t="shared" si="45"/>
        <v>0</v>
      </c>
      <c r="AA40" s="60">
        <f t="shared" si="45"/>
        <v>0</v>
      </c>
      <c r="AB40" s="60">
        <f t="shared" si="45"/>
        <v>0</v>
      </c>
      <c r="AC40" s="60">
        <f t="shared" si="45"/>
        <v>0</v>
      </c>
      <c r="AD40" s="60">
        <f t="shared" si="45"/>
        <v>0</v>
      </c>
      <c r="AE40" s="60"/>
      <c r="AF40" s="61">
        <f>SUM(S40:AD40)</f>
        <v>0</v>
      </c>
      <c r="AG40" s="89"/>
      <c r="AH40" s="60">
        <f t="shared" ref="AH40:AS40" si="46">$C$40*AH9</f>
        <v>-108.93418841064188</v>
      </c>
      <c r="AI40" s="60">
        <f t="shared" si="46"/>
        <v>-4656.8516486320186</v>
      </c>
      <c r="AJ40" s="60">
        <f t="shared" si="46"/>
        <v>-19614.430531685677</v>
      </c>
      <c r="AK40" s="60">
        <f t="shared" si="46"/>
        <v>-15154.331035075558</v>
      </c>
      <c r="AL40" s="60">
        <f t="shared" si="46"/>
        <v>-12418.831235472382</v>
      </c>
      <c r="AM40" s="60">
        <f t="shared" si="46"/>
        <v>-6938.3916363493527</v>
      </c>
      <c r="AN40" s="60">
        <f t="shared" si="46"/>
        <v>-12397.478336796583</v>
      </c>
      <c r="AO40" s="60">
        <f t="shared" si="46"/>
        <v>-25367.56836156076</v>
      </c>
      <c r="AP40" s="60">
        <f t="shared" si="46"/>
        <v>-5673.3097128685204</v>
      </c>
      <c r="AQ40" s="60">
        <f t="shared" si="46"/>
        <v>-4414.111703426971</v>
      </c>
      <c r="AR40" s="60">
        <f t="shared" si="46"/>
        <v>-290.58415602497303</v>
      </c>
      <c r="AS40" s="60">
        <f t="shared" si="46"/>
        <v>-3030.3776271175757</v>
      </c>
      <c r="AT40" s="60"/>
      <c r="AU40" s="61">
        <f>SUM(AH40:AS40)</f>
        <v>-110065.20017342101</v>
      </c>
      <c r="AV40" s="89"/>
    </row>
    <row r="41" spans="1:48" hidden="1" outlineLevel="1">
      <c r="B41" s="51" t="s">
        <v>108</v>
      </c>
      <c r="C41" s="75">
        <v>-0.43</v>
      </c>
      <c r="D41" s="59">
        <v>-4141</v>
      </c>
      <c r="E41" s="59">
        <v>-4537</v>
      </c>
      <c r="F41" s="59">
        <v>-6071</v>
      </c>
      <c r="G41" s="59">
        <v>-11507</v>
      </c>
      <c r="H41" s="59">
        <v>-6235</v>
      </c>
      <c r="I41" s="59">
        <v>-8832</v>
      </c>
      <c r="J41" s="59">
        <v>-8102</v>
      </c>
      <c r="K41" s="59">
        <v>-5299</v>
      </c>
      <c r="L41" s="59">
        <v>-4730</v>
      </c>
      <c r="M41" s="60">
        <v>-6319</v>
      </c>
      <c r="N41" s="60">
        <v>-6319</v>
      </c>
      <c r="O41" s="60">
        <v>-4908</v>
      </c>
      <c r="P41" s="60"/>
      <c r="Q41" s="61">
        <f>SUM(D41:O41)</f>
        <v>-77000</v>
      </c>
      <c r="R41" s="62"/>
      <c r="S41" s="60">
        <f t="shared" ref="S41:AD41" ca="1" si="47">$C$41*S10</f>
        <v>-2673.8431999999998</v>
      </c>
      <c r="T41" s="60">
        <f t="shared" ca="1" si="47"/>
        <v>-4406.6400000000003</v>
      </c>
      <c r="U41" s="60">
        <f t="shared" ca="1" si="47"/>
        <v>-4207.7563999999993</v>
      </c>
      <c r="V41" s="60">
        <f t="shared" ca="1" si="47"/>
        <v>-4209.3216000000002</v>
      </c>
      <c r="W41" s="60">
        <f t="shared" ca="1" si="47"/>
        <v>-4140.0916000000007</v>
      </c>
      <c r="X41" s="60">
        <f t="shared" ca="1" si="47"/>
        <v>-5144.5544</v>
      </c>
      <c r="Y41" s="60">
        <f t="shared" ca="1" si="47"/>
        <v>-4209.5280000000002</v>
      </c>
      <c r="Z41" s="60">
        <f t="shared" ca="1" si="47"/>
        <v>-4569.3348000000005</v>
      </c>
      <c r="AA41" s="60">
        <f t="shared" ca="1" si="47"/>
        <v>-5348.3743999999997</v>
      </c>
      <c r="AB41" s="60">
        <f t="shared" ca="1" si="47"/>
        <v>-5593.8356000000003</v>
      </c>
      <c r="AC41" s="60">
        <f t="shared" ca="1" si="47"/>
        <v>-5587.7124000000003</v>
      </c>
      <c r="AD41" s="60">
        <f t="shared" ca="1" si="47"/>
        <v>-4217.4744000000001</v>
      </c>
      <c r="AE41" s="60"/>
      <c r="AF41" s="61">
        <f ca="1">SUM(S41:AD41)</f>
        <v>-54308.466800000002</v>
      </c>
      <c r="AG41" s="89"/>
      <c r="AH41" s="60">
        <f t="shared" ref="AH41:AS41" ca="1" si="48">$C$41*AH10</f>
        <v>-2673.8431999999998</v>
      </c>
      <c r="AI41" s="60">
        <f t="shared" ca="1" si="48"/>
        <v>-4406.6400000000003</v>
      </c>
      <c r="AJ41" s="60">
        <f t="shared" ca="1" si="48"/>
        <v>-4207.7563999999993</v>
      </c>
      <c r="AK41" s="60">
        <f t="shared" ca="1" si="48"/>
        <v>-4209.3216000000002</v>
      </c>
      <c r="AL41" s="60">
        <f t="shared" ca="1" si="48"/>
        <v>-4140.0916000000007</v>
      </c>
      <c r="AM41" s="60">
        <f t="shared" ca="1" si="48"/>
        <v>-5144.5544</v>
      </c>
      <c r="AN41" s="60">
        <f t="shared" ca="1" si="48"/>
        <v>-4209.5280000000002</v>
      </c>
      <c r="AO41" s="60">
        <f t="shared" ca="1" si="48"/>
        <v>-4569.3348000000005</v>
      </c>
      <c r="AP41" s="60">
        <f t="shared" ca="1" si="48"/>
        <v>-5348.3743999999997</v>
      </c>
      <c r="AQ41" s="60">
        <f t="shared" ca="1" si="48"/>
        <v>-5593.8356000000003</v>
      </c>
      <c r="AR41" s="60">
        <f t="shared" ca="1" si="48"/>
        <v>-5587.7124000000003</v>
      </c>
      <c r="AS41" s="60">
        <f t="shared" ca="1" si="48"/>
        <v>-4217.4744000000001</v>
      </c>
      <c r="AT41" s="60"/>
      <c r="AU41" s="61">
        <f ca="1">SUM(AH41:AS41)</f>
        <v>-54308.466800000002</v>
      </c>
      <c r="AV41" s="89"/>
    </row>
    <row r="42" spans="1:48" hidden="1" outlineLevel="1">
      <c r="B42" s="51" t="s">
        <v>109</v>
      </c>
      <c r="C42" s="75">
        <f>SUMIFS(Fulfilment!E:E,Fulfilment!A:A,"ROW",Fulfilment!B:B,"TikTok")</f>
        <v>0</v>
      </c>
      <c r="D42" s="59" t="s">
        <v>184</v>
      </c>
      <c r="E42" s="59" t="s">
        <v>184</v>
      </c>
      <c r="F42" s="59" t="s">
        <v>184</v>
      </c>
      <c r="G42" s="59" t="s">
        <v>184</v>
      </c>
      <c r="H42" s="59" t="s">
        <v>184</v>
      </c>
      <c r="I42" s="59" t="s">
        <v>184</v>
      </c>
      <c r="J42" s="59" t="s">
        <v>184</v>
      </c>
      <c r="K42" s="59" t="s">
        <v>184</v>
      </c>
      <c r="L42" s="59">
        <v>-87</v>
      </c>
      <c r="M42" s="60"/>
      <c r="N42" s="60"/>
      <c r="O42" s="60"/>
      <c r="P42" s="60"/>
      <c r="Q42" s="61">
        <f>SUM(D42:O42)</f>
        <v>-87</v>
      </c>
      <c r="R42" s="66"/>
      <c r="S42" s="60">
        <f t="shared" ref="S42:AD42" si="49">$C$42*S11</f>
        <v>0</v>
      </c>
      <c r="T42" s="60">
        <f t="shared" si="49"/>
        <v>0</v>
      </c>
      <c r="U42" s="60">
        <f t="shared" si="49"/>
        <v>0</v>
      </c>
      <c r="V42" s="60">
        <f t="shared" si="49"/>
        <v>0</v>
      </c>
      <c r="W42" s="60">
        <f t="shared" si="49"/>
        <v>0</v>
      </c>
      <c r="X42" s="60">
        <f t="shared" si="49"/>
        <v>0</v>
      </c>
      <c r="Y42" s="60">
        <f t="shared" si="49"/>
        <v>0</v>
      </c>
      <c r="Z42" s="60">
        <f t="shared" si="49"/>
        <v>0</v>
      </c>
      <c r="AA42" s="60">
        <f t="shared" si="49"/>
        <v>0</v>
      </c>
      <c r="AB42" s="60">
        <f t="shared" si="49"/>
        <v>0</v>
      </c>
      <c r="AC42" s="60">
        <f t="shared" si="49"/>
        <v>0</v>
      </c>
      <c r="AD42" s="60">
        <f t="shared" si="49"/>
        <v>0</v>
      </c>
      <c r="AE42" s="60"/>
      <c r="AF42" s="61">
        <f>SUM(S42:AD42)</f>
        <v>0</v>
      </c>
      <c r="AG42" s="89"/>
      <c r="AH42" s="60">
        <f t="shared" ref="AH42:AS42" si="50">$C$42*AH11</f>
        <v>0</v>
      </c>
      <c r="AI42" s="60">
        <f t="shared" si="50"/>
        <v>0</v>
      </c>
      <c r="AJ42" s="60">
        <f t="shared" si="50"/>
        <v>0</v>
      </c>
      <c r="AK42" s="60">
        <f t="shared" si="50"/>
        <v>0</v>
      </c>
      <c r="AL42" s="60">
        <f t="shared" si="50"/>
        <v>0</v>
      </c>
      <c r="AM42" s="60">
        <f t="shared" si="50"/>
        <v>0</v>
      </c>
      <c r="AN42" s="60">
        <f t="shared" si="50"/>
        <v>0</v>
      </c>
      <c r="AO42" s="60">
        <f t="shared" si="50"/>
        <v>0</v>
      </c>
      <c r="AP42" s="60">
        <f t="shared" si="50"/>
        <v>0</v>
      </c>
      <c r="AQ42" s="60">
        <f t="shared" si="50"/>
        <v>0</v>
      </c>
      <c r="AR42" s="60">
        <f t="shared" si="50"/>
        <v>0</v>
      </c>
      <c r="AS42" s="60">
        <f t="shared" si="50"/>
        <v>0</v>
      </c>
      <c r="AT42" s="60"/>
      <c r="AU42" s="61">
        <f>SUM(AH42:AS42)</f>
        <v>0</v>
      </c>
      <c r="AV42" s="89"/>
    </row>
    <row r="43" spans="1:48" hidden="1" outlineLevel="1">
      <c r="D43" s="53"/>
      <c r="E43" s="53"/>
      <c r="F43" s="53"/>
      <c r="G43" s="53"/>
      <c r="H43" s="53"/>
      <c r="I43" s="53"/>
      <c r="J43" s="53"/>
      <c r="K43" s="53"/>
      <c r="L43" s="53"/>
      <c r="AG43" s="89"/>
      <c r="AV43" s="89"/>
    </row>
    <row r="44" spans="1:48" s="10" customFormat="1" collapsed="1">
      <c r="A44" s="52"/>
      <c r="B44" s="63" t="s">
        <v>110</v>
      </c>
      <c r="C44" s="52"/>
      <c r="D44" s="64">
        <f>SUM(D38:D42)</f>
        <v>-15679</v>
      </c>
      <c r="E44" s="64">
        <f t="shared" ref="E44:L44" si="51">SUM(E38:E42)</f>
        <v>-11256</v>
      </c>
      <c r="F44" s="64">
        <f t="shared" si="51"/>
        <v>-12802</v>
      </c>
      <c r="G44" s="64">
        <f t="shared" si="51"/>
        <v>-23453</v>
      </c>
      <c r="H44" s="64">
        <f t="shared" si="51"/>
        <v>-11058</v>
      </c>
      <c r="I44" s="64">
        <f t="shared" si="51"/>
        <v>-13379</v>
      </c>
      <c r="J44" s="64">
        <f t="shared" si="51"/>
        <v>-19761</v>
      </c>
      <c r="K44" s="64">
        <f t="shared" si="51"/>
        <v>-9342</v>
      </c>
      <c r="L44" s="64">
        <f t="shared" si="51"/>
        <v>-14336</v>
      </c>
      <c r="M44" s="65">
        <f>SUM(M38:M43)</f>
        <v>-8719</v>
      </c>
      <c r="N44" s="65">
        <f>SUM(N38:N43)</f>
        <v>-32719</v>
      </c>
      <c r="O44" s="65">
        <f>SUM(O38:O43)</f>
        <v>-9308</v>
      </c>
      <c r="P44" s="61"/>
      <c r="Q44" s="65">
        <f>SUM(D44:O44)</f>
        <v>-181812</v>
      </c>
      <c r="R44" s="61"/>
      <c r="S44" s="84">
        <f ca="1">SUM(S38:S43)</f>
        <v>-2673.8431999999998</v>
      </c>
      <c r="T44" s="84">
        <f t="shared" ref="T44:Z44" ca="1" si="52">SUM(T38:T43)</f>
        <v>-4406.6400000000003</v>
      </c>
      <c r="U44" s="84">
        <f t="shared" ca="1" si="52"/>
        <v>-4207.7563999999993</v>
      </c>
      <c r="V44" s="84">
        <f t="shared" ca="1" si="52"/>
        <v>-4209.3216000000002</v>
      </c>
      <c r="W44" s="84">
        <f t="shared" ca="1" si="52"/>
        <v>-4140.0916000000007</v>
      </c>
      <c r="X44" s="65">
        <f t="shared" ca="1" si="52"/>
        <v>-5144.5544</v>
      </c>
      <c r="Y44" s="65">
        <f t="shared" ca="1" si="52"/>
        <v>-4209.5280000000002</v>
      </c>
      <c r="Z44" s="65">
        <f t="shared" ca="1" si="52"/>
        <v>-4569.3348000000005</v>
      </c>
      <c r="AA44" s="65">
        <f ca="1">SUM(AA38:AA43)</f>
        <v>-5348.3743999999997</v>
      </c>
      <c r="AB44" s="65">
        <f ca="1">SUM(AB38:AB43)</f>
        <v>-5593.8356000000003</v>
      </c>
      <c r="AC44" s="65">
        <f ca="1">SUM(AC38:AC43)</f>
        <v>-5587.7124000000003</v>
      </c>
      <c r="AD44" s="65">
        <f ca="1">SUM(AD38:AD43)</f>
        <v>-4217.4744000000001</v>
      </c>
      <c r="AE44" s="61"/>
      <c r="AF44" s="65">
        <f ca="1">SUM(S44:AD44)</f>
        <v>-54308.466800000002</v>
      </c>
      <c r="AG44" s="89"/>
      <c r="AH44" s="84">
        <f ca="1">SUM(AH38:AH43)</f>
        <v>-2782.7773884106418</v>
      </c>
      <c r="AI44" s="84">
        <f ca="1">SUM(AI38:AI43)</f>
        <v>-9063.491648632018</v>
      </c>
      <c r="AJ44" s="84">
        <f t="shared" ref="AJ44:AO44" ca="1" si="53">SUM(AJ38:AJ43)</f>
        <v>-23822.186931685676</v>
      </c>
      <c r="AK44" s="84">
        <f t="shared" ca="1" si="53"/>
        <v>-19363.652635075559</v>
      </c>
      <c r="AL44" s="84">
        <f t="shared" ca="1" si="53"/>
        <v>-16558.922835472382</v>
      </c>
      <c r="AM44" s="65">
        <f t="shared" ca="1" si="53"/>
        <v>-12082.946036349353</v>
      </c>
      <c r="AN44" s="65">
        <f t="shared" ca="1" si="53"/>
        <v>-16607.006336796585</v>
      </c>
      <c r="AO44" s="65">
        <f t="shared" ca="1" si="53"/>
        <v>-29936.90316156076</v>
      </c>
      <c r="AP44" s="65">
        <f ca="1">SUM(AP38:AP43)</f>
        <v>-11021.684112868519</v>
      </c>
      <c r="AQ44" s="65">
        <f ca="1">SUM(AQ38:AQ43)</f>
        <v>-10007.947303426972</v>
      </c>
      <c r="AR44" s="65">
        <f ca="1">SUM(AR38:AR43)</f>
        <v>-5878.2965560249731</v>
      </c>
      <c r="AS44" s="65">
        <f ca="1">SUM(AS38:AS43)</f>
        <v>-7247.8520271175757</v>
      </c>
      <c r="AT44" s="61"/>
      <c r="AU44" s="65">
        <f ca="1">SUM(AH44:AS44)</f>
        <v>-164373.666973421</v>
      </c>
      <c r="AV44" s="89"/>
    </row>
    <row r="45" spans="1:48">
      <c r="D45" s="53"/>
      <c r="E45" s="53"/>
      <c r="F45" s="53"/>
      <c r="G45" s="53"/>
      <c r="H45" s="53"/>
      <c r="I45" s="53"/>
      <c r="J45" s="53"/>
      <c r="K45" s="53"/>
      <c r="L45" s="53"/>
      <c r="Q45" s="91">
        <f>-Q44/Q13</f>
        <v>0.13728643853552674</v>
      </c>
      <c r="AF45" s="91">
        <f ca="1">-AF44/AF13</f>
        <v>6.068554218874523E-2</v>
      </c>
      <c r="AG45" s="89"/>
      <c r="AU45" s="91">
        <f ca="1">-AU44/AU13</f>
        <v>0.17833354930348197</v>
      </c>
      <c r="AV45" s="89"/>
    </row>
    <row r="46" spans="1:48" hidden="1" outlineLevel="1">
      <c r="B46" s="67" t="s">
        <v>111</v>
      </c>
      <c r="C46" s="52"/>
      <c r="D46" s="68">
        <v>2664.02</v>
      </c>
      <c r="E46" s="68">
        <v>3299.0699999999997</v>
      </c>
      <c r="F46" s="68">
        <v>2443.2600000000002</v>
      </c>
      <c r="G46" s="68">
        <v>-2505.0499999999993</v>
      </c>
      <c r="H46" s="68">
        <v>1322.19</v>
      </c>
      <c r="I46" s="68">
        <v>4766.4399999999987</v>
      </c>
      <c r="J46" s="68">
        <v>-80.180000000000291</v>
      </c>
      <c r="K46" s="68">
        <v>1165.98</v>
      </c>
      <c r="L46" s="68">
        <v>96</v>
      </c>
      <c r="M46" s="69">
        <f t="shared" ref="M46:O49" si="54">M24+M39</f>
        <v>0</v>
      </c>
      <c r="N46" s="69">
        <f t="shared" si="54"/>
        <v>0</v>
      </c>
      <c r="O46" s="69">
        <f t="shared" si="54"/>
        <v>0</v>
      </c>
      <c r="P46" s="69"/>
      <c r="Q46" s="69">
        <f>Q24+Q39</f>
        <v>13172</v>
      </c>
      <c r="S46" s="85">
        <f t="shared" ref="S46:AD49" si="55">S24+S39</f>
        <v>0</v>
      </c>
      <c r="T46" s="85">
        <f t="shared" si="55"/>
        <v>0</v>
      </c>
      <c r="U46" s="85">
        <f t="shared" si="55"/>
        <v>0</v>
      </c>
      <c r="V46" s="85">
        <f t="shared" si="55"/>
        <v>0</v>
      </c>
      <c r="W46" s="85">
        <f t="shared" si="55"/>
        <v>0</v>
      </c>
      <c r="X46" s="69">
        <f t="shared" si="55"/>
        <v>0</v>
      </c>
      <c r="Y46" s="69">
        <f t="shared" si="55"/>
        <v>0</v>
      </c>
      <c r="Z46" s="69">
        <f t="shared" si="55"/>
        <v>0</v>
      </c>
      <c r="AA46" s="69">
        <f t="shared" si="55"/>
        <v>0</v>
      </c>
      <c r="AB46" s="69">
        <f t="shared" si="55"/>
        <v>0</v>
      </c>
      <c r="AC46" s="69">
        <f t="shared" si="55"/>
        <v>0</v>
      </c>
      <c r="AD46" s="69">
        <f t="shared" si="55"/>
        <v>0</v>
      </c>
      <c r="AE46" s="69"/>
      <c r="AF46" s="69">
        <f>AF24+AF39</f>
        <v>0</v>
      </c>
      <c r="AG46" s="89"/>
      <c r="AH46" s="85">
        <f t="shared" ref="AH46:AS49" si="56">AH24+AH39</f>
        <v>0</v>
      </c>
      <c r="AI46" s="85">
        <f t="shared" si="56"/>
        <v>0</v>
      </c>
      <c r="AJ46" s="85">
        <f t="shared" si="56"/>
        <v>0</v>
      </c>
      <c r="AK46" s="85">
        <f t="shared" si="56"/>
        <v>0</v>
      </c>
      <c r="AL46" s="85">
        <f t="shared" si="56"/>
        <v>0</v>
      </c>
      <c r="AM46" s="69">
        <f t="shared" si="56"/>
        <v>0</v>
      </c>
      <c r="AN46" s="69">
        <f t="shared" si="56"/>
        <v>0</v>
      </c>
      <c r="AO46" s="69">
        <f t="shared" si="56"/>
        <v>0</v>
      </c>
      <c r="AP46" s="69">
        <f t="shared" si="56"/>
        <v>0</v>
      </c>
      <c r="AQ46" s="69">
        <f t="shared" si="56"/>
        <v>0</v>
      </c>
      <c r="AR46" s="69">
        <f t="shared" si="56"/>
        <v>0</v>
      </c>
      <c r="AS46" s="69">
        <f t="shared" si="56"/>
        <v>0</v>
      </c>
      <c r="AT46" s="69"/>
      <c r="AU46" s="69">
        <f>AU24+AU39</f>
        <v>0</v>
      </c>
      <c r="AV46" s="89"/>
    </row>
    <row r="47" spans="1:48" hidden="1" outlineLevel="1">
      <c r="B47" s="67" t="s">
        <v>112</v>
      </c>
      <c r="C47" s="52"/>
      <c r="D47" s="68">
        <v>94000.45</v>
      </c>
      <c r="E47" s="68">
        <v>41540.29</v>
      </c>
      <c r="F47" s="68">
        <v>649.94000000000051</v>
      </c>
      <c r="G47" s="68">
        <v>36702.93</v>
      </c>
      <c r="H47" s="68">
        <v>-13005.3</v>
      </c>
      <c r="I47" s="68">
        <v>55062.200000000004</v>
      </c>
      <c r="J47" s="68">
        <v>34591.870000000003</v>
      </c>
      <c r="K47" s="68">
        <v>92344.25</v>
      </c>
      <c r="L47" s="68">
        <v>31373</v>
      </c>
      <c r="M47" s="69">
        <f t="shared" si="54"/>
        <v>17700</v>
      </c>
      <c r="N47" s="69">
        <f t="shared" si="54"/>
        <v>194700</v>
      </c>
      <c r="O47" s="69">
        <f t="shared" si="54"/>
        <v>32450</v>
      </c>
      <c r="P47" s="69"/>
      <c r="Q47" s="69">
        <f>Q25+Q40</f>
        <v>601934</v>
      </c>
      <c r="S47" s="85">
        <f t="shared" si="55"/>
        <v>448.61495663050459</v>
      </c>
      <c r="T47" s="85">
        <f t="shared" si="55"/>
        <v>32808.819992301076</v>
      </c>
      <c r="U47" s="85">
        <f t="shared" si="55"/>
        <v>84623.042623963396</v>
      </c>
      <c r="V47" s="85">
        <f t="shared" si="55"/>
        <v>74005.360631416494</v>
      </c>
      <c r="W47" s="85">
        <f t="shared" si="55"/>
        <v>53194.947239211382</v>
      </c>
      <c r="X47" s="69">
        <f t="shared" si="55"/>
        <v>34411.891330925908</v>
      </c>
      <c r="Y47" s="69">
        <f t="shared" si="55"/>
        <v>60372.626074937143</v>
      </c>
      <c r="Z47" s="69">
        <f t="shared" si="55"/>
        <v>77995.325808063993</v>
      </c>
      <c r="AA47" s="69">
        <f t="shared" si="55"/>
        <v>37610.241166205953</v>
      </c>
      <c r="AB47" s="69">
        <f t="shared" si="55"/>
        <v>12536.747055401986</v>
      </c>
      <c r="AC47" s="69">
        <f t="shared" si="55"/>
        <v>1253.6747055401984</v>
      </c>
      <c r="AD47" s="69">
        <f t="shared" si="55"/>
        <v>12536.747055401986</v>
      </c>
      <c r="AE47" s="69"/>
      <c r="AF47" s="69">
        <f>AF25+AF40</f>
        <v>481798.03864000004</v>
      </c>
      <c r="AG47" s="89"/>
      <c r="AH47" s="85">
        <f t="shared" si="56"/>
        <v>384.54226388291323</v>
      </c>
      <c r="AI47" s="85">
        <f t="shared" si="56"/>
        <v>16438.8820595178</v>
      </c>
      <c r="AJ47" s="85">
        <f t="shared" si="56"/>
        <v>69239.764223475882</v>
      </c>
      <c r="AK47" s="85">
        <f t="shared" si="56"/>
        <v>53495.42553061105</v>
      </c>
      <c r="AL47" s="85">
        <f t="shared" si="56"/>
        <v>43838.996257687788</v>
      </c>
      <c r="AM47" s="69">
        <f t="shared" si="56"/>
        <v>24492.814115347108</v>
      </c>
      <c r="AN47" s="69">
        <f t="shared" si="56"/>
        <v>43763.61962784316</v>
      </c>
      <c r="AO47" s="69">
        <f t="shared" si="56"/>
        <v>89548.582582602423</v>
      </c>
      <c r="AP47" s="69">
        <f t="shared" si="56"/>
        <v>20027.021750705549</v>
      </c>
      <c r="AQ47" s="69">
        <f t="shared" si="56"/>
        <v>15581.999849939195</v>
      </c>
      <c r="AR47" s="69">
        <f t="shared" si="56"/>
        <v>1025.7742847922352</v>
      </c>
      <c r="AS47" s="69">
        <f t="shared" si="56"/>
        <v>10697.360398547598</v>
      </c>
      <c r="AT47" s="69"/>
      <c r="AU47" s="69">
        <f>AU25+AU40</f>
        <v>388534.78294495272</v>
      </c>
      <c r="AV47" s="89"/>
    </row>
    <row r="48" spans="1:48" hidden="1" outlineLevel="1">
      <c r="B48" s="67" t="s">
        <v>113</v>
      </c>
      <c r="C48" s="52"/>
      <c r="D48" s="68">
        <v>6298.5</v>
      </c>
      <c r="E48" s="68">
        <v>6410.85</v>
      </c>
      <c r="F48" s="68">
        <v>4037.6500000000015</v>
      </c>
      <c r="G48" s="68">
        <v>-622.45999999999913</v>
      </c>
      <c r="H48" s="68">
        <v>1077.0699999999997</v>
      </c>
      <c r="I48" s="68">
        <v>4292.3099999999995</v>
      </c>
      <c r="J48" s="68">
        <v>749.82000000000062</v>
      </c>
      <c r="K48" s="68">
        <v>3668.5199999999995</v>
      </c>
      <c r="L48" s="68">
        <v>2405</v>
      </c>
      <c r="M48" s="69">
        <f t="shared" si="54"/>
        <v>3904</v>
      </c>
      <c r="N48" s="69">
        <f t="shared" si="54"/>
        <v>3904</v>
      </c>
      <c r="O48" s="69">
        <f t="shared" si="54"/>
        <v>3006</v>
      </c>
      <c r="P48" s="69"/>
      <c r="Q48" s="69">
        <f>Q26+Q41</f>
        <v>38329</v>
      </c>
      <c r="S48" s="85">
        <f t="shared" ca="1" si="55"/>
        <v>2425.1136000000001</v>
      </c>
      <c r="T48" s="85">
        <f t="shared" ca="1" si="55"/>
        <v>3996.7200000000003</v>
      </c>
      <c r="U48" s="85">
        <f t="shared" ca="1" si="55"/>
        <v>3816.3372000000008</v>
      </c>
      <c r="V48" s="85">
        <f t="shared" ca="1" si="55"/>
        <v>3817.7568000000001</v>
      </c>
      <c r="W48" s="85">
        <f t="shared" ca="1" si="55"/>
        <v>3754.9668000000001</v>
      </c>
      <c r="X48" s="69">
        <f t="shared" ca="1" si="55"/>
        <v>4665.9911999999995</v>
      </c>
      <c r="Y48" s="69">
        <f t="shared" ca="1" si="55"/>
        <v>3817.9440000000004</v>
      </c>
      <c r="Z48" s="69">
        <f t="shared" ca="1" si="55"/>
        <v>4144.2803999999996</v>
      </c>
      <c r="AA48" s="69">
        <f t="shared" ca="1" si="55"/>
        <v>4850.8512000000001</v>
      </c>
      <c r="AB48" s="69">
        <f t="shared" ca="1" si="55"/>
        <v>5073.478799999999</v>
      </c>
      <c r="AC48" s="69">
        <f t="shared" ca="1" si="55"/>
        <v>5067.9251999999997</v>
      </c>
      <c r="AD48" s="69">
        <f t="shared" ca="1" si="55"/>
        <v>3825.1512000000002</v>
      </c>
      <c r="AE48" s="69"/>
      <c r="AF48" s="69">
        <f ca="1">AF26+AF41</f>
        <v>49256.5164</v>
      </c>
      <c r="AG48" s="89"/>
      <c r="AH48" s="85">
        <f t="shared" ca="1" si="56"/>
        <v>2425.1136000000001</v>
      </c>
      <c r="AI48" s="85">
        <f t="shared" ca="1" si="56"/>
        <v>3996.7200000000003</v>
      </c>
      <c r="AJ48" s="85">
        <f t="shared" ca="1" si="56"/>
        <v>3816.3372000000008</v>
      </c>
      <c r="AK48" s="85">
        <f t="shared" ca="1" si="56"/>
        <v>3817.7568000000001</v>
      </c>
      <c r="AL48" s="85">
        <f t="shared" ca="1" si="56"/>
        <v>3754.9668000000001</v>
      </c>
      <c r="AM48" s="69">
        <f t="shared" ca="1" si="56"/>
        <v>4665.9911999999995</v>
      </c>
      <c r="AN48" s="69">
        <f t="shared" ca="1" si="56"/>
        <v>3817.9440000000004</v>
      </c>
      <c r="AO48" s="69">
        <f t="shared" ca="1" si="56"/>
        <v>4144.2803999999996</v>
      </c>
      <c r="AP48" s="69">
        <f t="shared" ca="1" si="56"/>
        <v>4850.8512000000001</v>
      </c>
      <c r="AQ48" s="69">
        <f t="shared" ca="1" si="56"/>
        <v>5073.478799999999</v>
      </c>
      <c r="AR48" s="69">
        <f t="shared" ca="1" si="56"/>
        <v>5067.9251999999997</v>
      </c>
      <c r="AS48" s="69">
        <f t="shared" ca="1" si="56"/>
        <v>3825.1512000000002</v>
      </c>
      <c r="AT48" s="69"/>
      <c r="AU48" s="69">
        <f ca="1">AU26+AU41</f>
        <v>49256.5164</v>
      </c>
      <c r="AV48" s="89"/>
    </row>
    <row r="49" spans="2:48" hidden="1" outlineLevel="1">
      <c r="B49" s="67" t="s">
        <v>114</v>
      </c>
      <c r="C49" s="52"/>
      <c r="D49" s="68">
        <v>0</v>
      </c>
      <c r="E49" s="68">
        <v>0</v>
      </c>
      <c r="F49" s="68">
        <v>0</v>
      </c>
      <c r="G49" s="68">
        <v>0</v>
      </c>
      <c r="H49" s="68">
        <v>0</v>
      </c>
      <c r="I49" s="68">
        <v>0</v>
      </c>
      <c r="J49" s="68">
        <v>0</v>
      </c>
      <c r="K49" s="68">
        <v>0</v>
      </c>
      <c r="L49" s="68">
        <v>-87</v>
      </c>
      <c r="M49" s="69">
        <f t="shared" si="54"/>
        <v>0</v>
      </c>
      <c r="N49" s="69">
        <f t="shared" si="54"/>
        <v>0</v>
      </c>
      <c r="O49" s="69">
        <f t="shared" si="54"/>
        <v>0</v>
      </c>
      <c r="P49" s="69"/>
      <c r="Q49" s="69">
        <f>Q27+Q42</f>
        <v>-87</v>
      </c>
      <c r="S49" s="85">
        <f t="shared" si="55"/>
        <v>0</v>
      </c>
      <c r="T49" s="85">
        <f t="shared" si="55"/>
        <v>0</v>
      </c>
      <c r="U49" s="85">
        <f t="shared" si="55"/>
        <v>0</v>
      </c>
      <c r="V49" s="85">
        <f t="shared" si="55"/>
        <v>0</v>
      </c>
      <c r="W49" s="85">
        <f t="shared" si="55"/>
        <v>0</v>
      </c>
      <c r="X49" s="69">
        <f t="shared" si="55"/>
        <v>0</v>
      </c>
      <c r="Y49" s="69">
        <f t="shared" si="55"/>
        <v>0</v>
      </c>
      <c r="Z49" s="69">
        <f t="shared" si="55"/>
        <v>0</v>
      </c>
      <c r="AA49" s="69">
        <f t="shared" si="55"/>
        <v>0</v>
      </c>
      <c r="AB49" s="69">
        <f t="shared" si="55"/>
        <v>0</v>
      </c>
      <c r="AC49" s="69">
        <f t="shared" si="55"/>
        <v>0</v>
      </c>
      <c r="AD49" s="69">
        <f t="shared" si="55"/>
        <v>0</v>
      </c>
      <c r="AE49" s="69"/>
      <c r="AF49" s="69">
        <f>AF27+AF42</f>
        <v>0</v>
      </c>
      <c r="AG49" s="89"/>
      <c r="AH49" s="85">
        <f t="shared" si="56"/>
        <v>0</v>
      </c>
      <c r="AI49" s="85">
        <f t="shared" si="56"/>
        <v>0</v>
      </c>
      <c r="AJ49" s="85">
        <f t="shared" si="56"/>
        <v>0</v>
      </c>
      <c r="AK49" s="85">
        <f t="shared" si="56"/>
        <v>0</v>
      </c>
      <c r="AL49" s="85">
        <f t="shared" si="56"/>
        <v>0</v>
      </c>
      <c r="AM49" s="69">
        <f t="shared" si="56"/>
        <v>0</v>
      </c>
      <c r="AN49" s="69">
        <f t="shared" si="56"/>
        <v>0</v>
      </c>
      <c r="AO49" s="69">
        <f t="shared" si="56"/>
        <v>0</v>
      </c>
      <c r="AP49" s="69">
        <f t="shared" si="56"/>
        <v>0</v>
      </c>
      <c r="AQ49" s="69">
        <f t="shared" si="56"/>
        <v>0</v>
      </c>
      <c r="AR49" s="69">
        <f t="shared" si="56"/>
        <v>0</v>
      </c>
      <c r="AS49" s="69">
        <f t="shared" si="56"/>
        <v>0</v>
      </c>
      <c r="AT49" s="69"/>
      <c r="AU49" s="69">
        <f>AU27+AU42</f>
        <v>0</v>
      </c>
      <c r="AV49" s="89"/>
    </row>
    <row r="50" spans="2:48" collapsed="1">
      <c r="B50" s="67" t="s">
        <v>115</v>
      </c>
      <c r="C50" s="52"/>
      <c r="D50" s="68">
        <v>102962.97</v>
      </c>
      <c r="E50" s="68">
        <v>51250.21</v>
      </c>
      <c r="F50" s="68">
        <v>7099.8499999999985</v>
      </c>
      <c r="G50" s="68">
        <v>33575.42</v>
      </c>
      <c r="H50" s="68">
        <v>-10606.04</v>
      </c>
      <c r="I50" s="68">
        <v>64120.950000000012</v>
      </c>
      <c r="J50" s="68">
        <v>35167.039999999994</v>
      </c>
      <c r="K50" s="68">
        <v>97178.75</v>
      </c>
      <c r="L50" s="68">
        <v>33784</v>
      </c>
      <c r="M50" s="69">
        <f t="shared" ref="M50:Q50" si="57">M28+M44</f>
        <v>21604</v>
      </c>
      <c r="N50" s="69">
        <f t="shared" si="57"/>
        <v>198604</v>
      </c>
      <c r="O50" s="69">
        <f t="shared" si="57"/>
        <v>35456</v>
      </c>
      <c r="P50" s="69"/>
      <c r="Q50" s="69">
        <f t="shared" si="57"/>
        <v>653220</v>
      </c>
      <c r="S50" s="85">
        <f ca="1">S28+S44</f>
        <v>2873.728556630505</v>
      </c>
      <c r="T50" s="85">
        <f t="shared" ref="T50:AD50" ca="1" si="58">T28+T44</f>
        <v>36805.539992301077</v>
      </c>
      <c r="U50" s="85">
        <f t="shared" ca="1" si="58"/>
        <v>88439.379823963405</v>
      </c>
      <c r="V50" s="85">
        <f t="shared" ca="1" si="58"/>
        <v>77823.117431416496</v>
      </c>
      <c r="W50" s="85">
        <f t="shared" ca="1" si="58"/>
        <v>56949.914039211384</v>
      </c>
      <c r="X50" s="69">
        <f t="shared" ca="1" si="58"/>
        <v>39077.882530925905</v>
      </c>
      <c r="Y50" s="69">
        <f t="shared" ca="1" si="58"/>
        <v>64190.570074937154</v>
      </c>
      <c r="Z50" s="69">
        <f t="shared" ca="1" si="58"/>
        <v>82139.606208063997</v>
      </c>
      <c r="AA50" s="69">
        <f t="shared" ca="1" si="58"/>
        <v>42461.09236620595</v>
      </c>
      <c r="AB50" s="69">
        <f t="shared" ca="1" si="58"/>
        <v>17610.225855401986</v>
      </c>
      <c r="AC50" s="69">
        <f t="shared" ca="1" si="58"/>
        <v>6321.599905540199</v>
      </c>
      <c r="AD50" s="69">
        <f t="shared" ca="1" si="58"/>
        <v>16361.898255401989</v>
      </c>
      <c r="AE50" s="69"/>
      <c r="AF50" s="69">
        <f t="shared" ref="AF50" ca="1" si="59">AF28+AF44</f>
        <v>531054.55504000001</v>
      </c>
      <c r="AG50" s="89"/>
      <c r="AH50" s="85">
        <f ca="1">AH28+AH44</f>
        <v>2809.6558638829129</v>
      </c>
      <c r="AI50" s="85">
        <f t="shared" ref="AI50:AS50" ca="1" si="60">AI28+AI44</f>
        <v>20435.602059517802</v>
      </c>
      <c r="AJ50" s="85">
        <f t="shared" ca="1" si="60"/>
        <v>73056.101423475906</v>
      </c>
      <c r="AK50" s="85">
        <f t="shared" ca="1" si="60"/>
        <v>57313.182330611045</v>
      </c>
      <c r="AL50" s="85">
        <f t="shared" ca="1" si="60"/>
        <v>47593.963057687783</v>
      </c>
      <c r="AM50" s="69">
        <f t="shared" ca="1" si="60"/>
        <v>29158.805315347108</v>
      </c>
      <c r="AN50" s="69">
        <f t="shared" ca="1" si="60"/>
        <v>47581.563627843163</v>
      </c>
      <c r="AO50" s="69">
        <f t="shared" ca="1" si="60"/>
        <v>93692.862982602412</v>
      </c>
      <c r="AP50" s="69">
        <f t="shared" ca="1" si="60"/>
        <v>24877.872950705554</v>
      </c>
      <c r="AQ50" s="69">
        <f t="shared" ca="1" si="60"/>
        <v>20655.478649939192</v>
      </c>
      <c r="AR50" s="69">
        <f t="shared" ca="1" si="60"/>
        <v>6093.6994847922351</v>
      </c>
      <c r="AS50" s="69">
        <f t="shared" ca="1" si="60"/>
        <v>14522.511598547597</v>
      </c>
      <c r="AT50" s="69"/>
      <c r="AU50" s="69">
        <f t="shared" ref="AU50" ca="1" si="61">AU28+AU44</f>
        <v>437791.2993449528</v>
      </c>
      <c r="AV50" s="89"/>
    </row>
    <row r="51" spans="2:48">
      <c r="B51" s="52"/>
      <c r="C51" s="52"/>
      <c r="D51" s="70"/>
      <c r="E51" s="70"/>
      <c r="F51" s="70"/>
      <c r="G51" s="70"/>
      <c r="H51" s="70"/>
      <c r="I51" s="70"/>
      <c r="J51" s="70"/>
      <c r="K51" s="70"/>
      <c r="L51" s="70"/>
      <c r="M51" s="52"/>
      <c r="N51" s="52"/>
      <c r="O51" s="52"/>
      <c r="P51" s="52"/>
      <c r="S51" s="10"/>
      <c r="T51" s="10"/>
      <c r="U51" s="10"/>
      <c r="V51" s="10"/>
      <c r="W51" s="10"/>
      <c r="X51" s="52"/>
      <c r="Y51" s="52"/>
      <c r="Z51" s="52"/>
      <c r="AA51" s="52"/>
      <c r="AB51" s="52"/>
      <c r="AC51" s="52"/>
      <c r="AD51" s="52"/>
      <c r="AE51" s="52"/>
      <c r="AG51" s="89"/>
      <c r="AH51" s="10"/>
      <c r="AI51" s="10"/>
      <c r="AJ51" s="10"/>
      <c r="AK51" s="10"/>
      <c r="AL51" s="10"/>
      <c r="AM51" s="52"/>
      <c r="AN51" s="52"/>
      <c r="AO51" s="52"/>
      <c r="AP51" s="52"/>
      <c r="AQ51" s="52"/>
      <c r="AR51" s="52"/>
      <c r="AS51" s="52"/>
      <c r="AT51" s="52"/>
      <c r="AV51" s="89"/>
    </row>
    <row r="52" spans="2:48" hidden="1" outlineLevel="1">
      <c r="B52" s="67" t="s">
        <v>116</v>
      </c>
      <c r="C52" s="52"/>
      <c r="D52" s="97">
        <v>0.64275959909859914</v>
      </c>
      <c r="E52" s="97">
        <v>0.67351463469904793</v>
      </c>
      <c r="F52" s="97">
        <v>0.41805504461574</v>
      </c>
      <c r="G52" s="97">
        <v>-0.42097152575185176</v>
      </c>
      <c r="H52" s="97">
        <v>0.33346532156368225</v>
      </c>
      <c r="I52" s="97">
        <v>0.44879028005845212</v>
      </c>
      <c r="J52" s="97">
        <v>-1.4733039456542366E-2</v>
      </c>
      <c r="K52" s="97">
        <v>0.40323701820822738</v>
      </c>
      <c r="L52" s="97">
        <v>3.3790918690601898E-2</v>
      </c>
      <c r="M52" s="91">
        <f t="shared" ref="M52:O55" si="62">IFERROR(M46/M8,0)</f>
        <v>0</v>
      </c>
      <c r="N52" s="91">
        <f t="shared" si="62"/>
        <v>0</v>
      </c>
      <c r="O52" s="91">
        <f t="shared" si="62"/>
        <v>0</v>
      </c>
      <c r="P52" s="91"/>
      <c r="Q52" s="91">
        <f>IFERROR(Q46/Q8,0)</f>
        <v>0.28266701002167427</v>
      </c>
      <c r="S52" s="91">
        <f t="shared" ref="S52:AD52" si="63">IFERROR(S46/S8,0)</f>
        <v>0</v>
      </c>
      <c r="T52" s="91">
        <f t="shared" si="63"/>
        <v>0</v>
      </c>
      <c r="U52" s="91">
        <f t="shared" si="63"/>
        <v>0</v>
      </c>
      <c r="V52" s="91">
        <f t="shared" si="63"/>
        <v>0</v>
      </c>
      <c r="W52" s="91">
        <f t="shared" si="63"/>
        <v>0</v>
      </c>
      <c r="X52" s="91">
        <f t="shared" si="63"/>
        <v>0</v>
      </c>
      <c r="Y52" s="91">
        <f t="shared" si="63"/>
        <v>0</v>
      </c>
      <c r="Z52" s="91">
        <f t="shared" si="63"/>
        <v>0</v>
      </c>
      <c r="AA52" s="91">
        <f t="shared" si="63"/>
        <v>0</v>
      </c>
      <c r="AB52" s="91">
        <f t="shared" si="63"/>
        <v>0</v>
      </c>
      <c r="AC52" s="91">
        <f t="shared" si="63"/>
        <v>0</v>
      </c>
      <c r="AD52" s="91">
        <f t="shared" si="63"/>
        <v>0</v>
      </c>
      <c r="AE52" s="91"/>
      <c r="AF52" s="91">
        <f>IFERROR(AF46/AF8,0)</f>
        <v>0</v>
      </c>
      <c r="AG52" s="89"/>
      <c r="AH52" s="91">
        <f t="shared" ref="AH52:AS52" si="64">IFERROR(AH46/AH8,0)</f>
        <v>0</v>
      </c>
      <c r="AI52" s="91">
        <f t="shared" si="64"/>
        <v>0</v>
      </c>
      <c r="AJ52" s="91">
        <f t="shared" si="64"/>
        <v>0</v>
      </c>
      <c r="AK52" s="91">
        <f t="shared" si="64"/>
        <v>0</v>
      </c>
      <c r="AL52" s="91">
        <f t="shared" si="64"/>
        <v>0</v>
      </c>
      <c r="AM52" s="91">
        <f t="shared" si="64"/>
        <v>0</v>
      </c>
      <c r="AN52" s="91">
        <f t="shared" si="64"/>
        <v>0</v>
      </c>
      <c r="AO52" s="91">
        <f t="shared" si="64"/>
        <v>0</v>
      </c>
      <c r="AP52" s="91">
        <f t="shared" si="64"/>
        <v>0</v>
      </c>
      <c r="AQ52" s="91">
        <f t="shared" si="64"/>
        <v>0</v>
      </c>
      <c r="AR52" s="91">
        <f t="shared" si="64"/>
        <v>0</v>
      </c>
      <c r="AS52" s="91">
        <f t="shared" si="64"/>
        <v>0</v>
      </c>
      <c r="AT52" s="91"/>
      <c r="AU52" s="91">
        <f>IFERROR(AU46/AU8,0)</f>
        <v>0</v>
      </c>
      <c r="AV52" s="89"/>
    </row>
    <row r="53" spans="2:48" hidden="1" outlineLevel="1">
      <c r="B53" s="67" t="s">
        <v>117</v>
      </c>
      <c r="C53" s="52"/>
      <c r="D53" s="97">
        <v>0.54800513676568685</v>
      </c>
      <c r="E53" s="97">
        <v>0.46927930882441155</v>
      </c>
      <c r="F53" s="97">
        <v>8.9417002355323752E-2</v>
      </c>
      <c r="G53" s="97">
        <v>0.76717076422293162</v>
      </c>
      <c r="H53" s="97">
        <v>-1.2132941505737476</v>
      </c>
      <c r="I53" s="97">
        <v>0.54656864691448226</v>
      </c>
      <c r="J53" s="97">
        <v>0.42924098562002549</v>
      </c>
      <c r="K53" s="97">
        <v>0.55221927633780532</v>
      </c>
      <c r="L53" s="97">
        <v>0.55276975121573046</v>
      </c>
      <c r="M53" s="91">
        <f t="shared" si="62"/>
        <v>0.59</v>
      </c>
      <c r="N53" s="91">
        <f t="shared" si="62"/>
        <v>0.59</v>
      </c>
      <c r="O53" s="91">
        <f t="shared" si="62"/>
        <v>0.59</v>
      </c>
      <c r="P53" s="91"/>
      <c r="Q53" s="91">
        <f>IFERROR(Q47/Q9,0)</f>
        <v>0.52516029178383006</v>
      </c>
      <c r="S53" s="91">
        <f t="shared" ref="S53:AD53" si="65">IFERROR(S47/S9,0)</f>
        <v>0.62683735277009922</v>
      </c>
      <c r="T53" s="91">
        <f t="shared" si="65"/>
        <v>0.62683735277009933</v>
      </c>
      <c r="U53" s="91">
        <f t="shared" si="65"/>
        <v>0.62683735277009922</v>
      </c>
      <c r="V53" s="91">
        <f t="shared" si="65"/>
        <v>0.62683735277009933</v>
      </c>
      <c r="W53" s="91">
        <f t="shared" si="65"/>
        <v>0.62683735277009922</v>
      </c>
      <c r="X53" s="91">
        <f t="shared" si="65"/>
        <v>0.62683735277009922</v>
      </c>
      <c r="Y53" s="91">
        <f t="shared" si="65"/>
        <v>0.62683735277009922</v>
      </c>
      <c r="Z53" s="91">
        <f t="shared" si="65"/>
        <v>0.62683735277009922</v>
      </c>
      <c r="AA53" s="91">
        <f t="shared" si="65"/>
        <v>0.62683735277009922</v>
      </c>
      <c r="AB53" s="91">
        <f t="shared" si="65"/>
        <v>0.62683735277009933</v>
      </c>
      <c r="AC53" s="91">
        <f t="shared" si="65"/>
        <v>0.62683735277009922</v>
      </c>
      <c r="AD53" s="91">
        <f t="shared" si="65"/>
        <v>0.62683735277009933</v>
      </c>
      <c r="AE53" s="91"/>
      <c r="AF53" s="91">
        <f>IFERROR(AF47/AF9,0)</f>
        <v>0.62683735277009922</v>
      </c>
      <c r="AG53" s="89"/>
      <c r="AH53" s="91">
        <f t="shared" ref="AH53:AS53" si="66">IFERROR(AH47/AH9,0)</f>
        <v>0.48846394513915969</v>
      </c>
      <c r="AI53" s="91">
        <f t="shared" si="66"/>
        <v>0.48846394513915964</v>
      </c>
      <c r="AJ53" s="91">
        <f t="shared" si="66"/>
        <v>0.48846394513915964</v>
      </c>
      <c r="AK53" s="91">
        <f t="shared" si="66"/>
        <v>0.48846394513915969</v>
      </c>
      <c r="AL53" s="91">
        <f t="shared" si="66"/>
        <v>0.48846394513915975</v>
      </c>
      <c r="AM53" s="91">
        <f t="shared" si="66"/>
        <v>0.48846394513915969</v>
      </c>
      <c r="AN53" s="91">
        <f t="shared" si="66"/>
        <v>0.48846394513915975</v>
      </c>
      <c r="AO53" s="91">
        <f t="shared" si="66"/>
        <v>0.48846394513915969</v>
      </c>
      <c r="AP53" s="91">
        <f t="shared" si="66"/>
        <v>0.48846394513915975</v>
      </c>
      <c r="AQ53" s="91">
        <f t="shared" si="66"/>
        <v>0.48846394513915969</v>
      </c>
      <c r="AR53" s="91">
        <f t="shared" si="66"/>
        <v>0.48846394513915964</v>
      </c>
      <c r="AS53" s="91">
        <f t="shared" si="66"/>
        <v>0.48846394513915975</v>
      </c>
      <c r="AT53" s="91"/>
      <c r="AU53" s="91">
        <f>IFERROR(AU47/AU9,0)</f>
        <v>0.48846394513915969</v>
      </c>
      <c r="AV53" s="89"/>
    </row>
    <row r="54" spans="2:48" hidden="1" outlineLevel="1">
      <c r="B54" s="67" t="s">
        <v>118</v>
      </c>
      <c r="C54" s="52"/>
      <c r="D54" s="97">
        <v>0.54157351676698195</v>
      </c>
      <c r="E54" s="97">
        <v>0.5230716635553061</v>
      </c>
      <c r="F54" s="97">
        <v>0.35570279415638373</v>
      </c>
      <c r="G54" s="97">
        <v>-4.983291889961837E-2</v>
      </c>
      <c r="H54" s="97">
        <v>0.12168907468082699</v>
      </c>
      <c r="I54" s="97">
        <v>0.32422614726750426</v>
      </c>
      <c r="J54" s="97">
        <v>7.5190352466685234E-2</v>
      </c>
      <c r="K54" s="97">
        <v>0.35968809226633142</v>
      </c>
      <c r="L54" s="97">
        <v>0.28726708074534163</v>
      </c>
      <c r="M54" s="91">
        <f t="shared" si="62"/>
        <v>0.31483870967741934</v>
      </c>
      <c r="N54" s="91">
        <f t="shared" si="62"/>
        <v>0.31483870967741934</v>
      </c>
      <c r="O54" s="91">
        <f t="shared" si="62"/>
        <v>0.31312499999999999</v>
      </c>
      <c r="P54" s="91"/>
      <c r="Q54" s="91">
        <f>IFERROR(Q48/Q10,0)</f>
        <v>0.29139551149495196</v>
      </c>
      <c r="S54" s="91">
        <f t="shared" ref="S54:AD54" ca="1" si="67">IFERROR(S48/S10,0)</f>
        <v>0.39</v>
      </c>
      <c r="T54" s="91">
        <f t="shared" ca="1" si="67"/>
        <v>0.39</v>
      </c>
      <c r="U54" s="91">
        <f t="shared" ca="1" si="67"/>
        <v>0.39000000000000012</v>
      </c>
      <c r="V54" s="91">
        <f t="shared" ca="1" si="67"/>
        <v>0.38999999999999996</v>
      </c>
      <c r="W54" s="91">
        <f t="shared" ca="1" si="67"/>
        <v>0.38999999999999996</v>
      </c>
      <c r="X54" s="91">
        <f t="shared" ca="1" si="67"/>
        <v>0.38999999999999996</v>
      </c>
      <c r="Y54" s="91">
        <f t="shared" ca="1" si="67"/>
        <v>0.39</v>
      </c>
      <c r="Z54" s="91">
        <f t="shared" ca="1" si="67"/>
        <v>0.38999999999999996</v>
      </c>
      <c r="AA54" s="91">
        <f t="shared" ca="1" si="67"/>
        <v>0.39</v>
      </c>
      <c r="AB54" s="91">
        <f t="shared" ca="1" si="67"/>
        <v>0.3899999999999999</v>
      </c>
      <c r="AC54" s="91">
        <f t="shared" ca="1" si="67"/>
        <v>0.38999999999999996</v>
      </c>
      <c r="AD54" s="91">
        <f t="shared" ca="1" si="67"/>
        <v>0.39</v>
      </c>
      <c r="AE54" s="91"/>
      <c r="AF54" s="91">
        <f ca="1">IFERROR(AF48/AF10,0)</f>
        <v>0.39</v>
      </c>
      <c r="AG54" s="89"/>
      <c r="AH54" s="91">
        <f t="shared" ref="AH54:AS54" ca="1" si="68">IFERROR(AH48/AH10,0)</f>
        <v>0.39</v>
      </c>
      <c r="AI54" s="91">
        <f t="shared" ca="1" si="68"/>
        <v>0.39</v>
      </c>
      <c r="AJ54" s="91">
        <f t="shared" ca="1" si="68"/>
        <v>0.39000000000000012</v>
      </c>
      <c r="AK54" s="91">
        <f t="shared" ca="1" si="68"/>
        <v>0.38999999999999996</v>
      </c>
      <c r="AL54" s="91">
        <f t="shared" ca="1" si="68"/>
        <v>0.38999999999999996</v>
      </c>
      <c r="AM54" s="91">
        <f t="shared" ca="1" si="68"/>
        <v>0.38999999999999996</v>
      </c>
      <c r="AN54" s="91">
        <f t="shared" ca="1" si="68"/>
        <v>0.39</v>
      </c>
      <c r="AO54" s="91">
        <f t="shared" ca="1" si="68"/>
        <v>0.38999999999999996</v>
      </c>
      <c r="AP54" s="91">
        <f t="shared" ca="1" si="68"/>
        <v>0.39</v>
      </c>
      <c r="AQ54" s="91">
        <f t="shared" ca="1" si="68"/>
        <v>0.3899999999999999</v>
      </c>
      <c r="AR54" s="91">
        <f t="shared" ca="1" si="68"/>
        <v>0.38999999999999996</v>
      </c>
      <c r="AS54" s="91">
        <f t="shared" ca="1" si="68"/>
        <v>0.39</v>
      </c>
      <c r="AT54" s="91"/>
      <c r="AU54" s="91">
        <f ca="1">IFERROR(AU48/AU10,0)</f>
        <v>0.39</v>
      </c>
      <c r="AV54" s="89"/>
    </row>
    <row r="55" spans="2:48" hidden="1" outlineLevel="1">
      <c r="B55" s="67" t="s">
        <v>119</v>
      </c>
      <c r="C55" s="52"/>
      <c r="D55" s="97">
        <v>0</v>
      </c>
      <c r="E55" s="97">
        <v>0</v>
      </c>
      <c r="F55" s="97">
        <v>0</v>
      </c>
      <c r="G55" s="97">
        <v>0</v>
      </c>
      <c r="H55" s="97">
        <v>0</v>
      </c>
      <c r="I55" s="97">
        <v>0</v>
      </c>
      <c r="J55" s="97">
        <v>0</v>
      </c>
      <c r="K55" s="97">
        <v>0</v>
      </c>
      <c r="L55" s="97">
        <v>0</v>
      </c>
      <c r="M55" s="91">
        <f t="shared" si="62"/>
        <v>0</v>
      </c>
      <c r="N55" s="91">
        <f t="shared" si="62"/>
        <v>0</v>
      </c>
      <c r="O55" s="91">
        <f t="shared" si="62"/>
        <v>0</v>
      </c>
      <c r="P55" s="91"/>
      <c r="Q55" s="91">
        <f>IFERROR(Q49/Q11,0)</f>
        <v>0</v>
      </c>
      <c r="S55" s="91">
        <f t="shared" ref="S55:AD55" si="69">IFERROR(S49/S11,0)</f>
        <v>0</v>
      </c>
      <c r="T55" s="91">
        <f t="shared" si="69"/>
        <v>0</v>
      </c>
      <c r="U55" s="91">
        <f t="shared" si="69"/>
        <v>0</v>
      </c>
      <c r="V55" s="91">
        <f t="shared" si="69"/>
        <v>0</v>
      </c>
      <c r="W55" s="91">
        <f t="shared" si="69"/>
        <v>0</v>
      </c>
      <c r="X55" s="91">
        <f t="shared" si="69"/>
        <v>0</v>
      </c>
      <c r="Y55" s="91">
        <f t="shared" si="69"/>
        <v>0</v>
      </c>
      <c r="Z55" s="91">
        <f t="shared" si="69"/>
        <v>0</v>
      </c>
      <c r="AA55" s="91">
        <f t="shared" si="69"/>
        <v>0</v>
      </c>
      <c r="AB55" s="91">
        <f t="shared" si="69"/>
        <v>0</v>
      </c>
      <c r="AC55" s="91">
        <f t="shared" si="69"/>
        <v>0</v>
      </c>
      <c r="AD55" s="91">
        <f t="shared" si="69"/>
        <v>0</v>
      </c>
      <c r="AE55" s="91"/>
      <c r="AF55" s="91">
        <f>IFERROR(AF49/AF11,0)</f>
        <v>0</v>
      </c>
      <c r="AG55" s="89"/>
      <c r="AH55" s="91">
        <f t="shared" ref="AH55:AS55" si="70">IFERROR(AH49/AH11,0)</f>
        <v>0</v>
      </c>
      <c r="AI55" s="91">
        <f t="shared" si="70"/>
        <v>0</v>
      </c>
      <c r="AJ55" s="91">
        <f t="shared" si="70"/>
        <v>0</v>
      </c>
      <c r="AK55" s="91">
        <f t="shared" si="70"/>
        <v>0</v>
      </c>
      <c r="AL55" s="91">
        <f t="shared" si="70"/>
        <v>0</v>
      </c>
      <c r="AM55" s="91">
        <f t="shared" si="70"/>
        <v>0</v>
      </c>
      <c r="AN55" s="91">
        <f t="shared" si="70"/>
        <v>0</v>
      </c>
      <c r="AO55" s="91">
        <f t="shared" si="70"/>
        <v>0</v>
      </c>
      <c r="AP55" s="91">
        <f t="shared" si="70"/>
        <v>0</v>
      </c>
      <c r="AQ55" s="91">
        <f t="shared" si="70"/>
        <v>0</v>
      </c>
      <c r="AR55" s="91">
        <f t="shared" si="70"/>
        <v>0</v>
      </c>
      <c r="AS55" s="91">
        <f t="shared" si="70"/>
        <v>0</v>
      </c>
      <c r="AT55" s="91"/>
      <c r="AU55" s="91">
        <f>IFERROR(AU49/AU11,0)</f>
        <v>0</v>
      </c>
      <c r="AV55" s="89"/>
    </row>
    <row r="56" spans="2:48" collapsed="1">
      <c r="B56" s="72" t="s">
        <v>120</v>
      </c>
      <c r="C56" s="73"/>
      <c r="D56" s="97">
        <v>0.5497024879833462</v>
      </c>
      <c r="E56" s="97">
        <v>0.48498511172780989</v>
      </c>
      <c r="F56" s="97">
        <v>0.29021410077917997</v>
      </c>
      <c r="G56" s="97">
        <v>0.50654257748269516</v>
      </c>
      <c r="H56" s="97">
        <v>-0.45064967070320805</v>
      </c>
      <c r="I56" s="97">
        <v>0.51461077278192369</v>
      </c>
      <c r="J56" s="97">
        <v>0.36631211502481065</v>
      </c>
      <c r="K56" s="97">
        <v>0.538939997093968</v>
      </c>
      <c r="L56" s="97">
        <v>0.49705012579264074</v>
      </c>
      <c r="M56" s="91">
        <f>IFERROR(M50/M13,0)</f>
        <v>0.50952830188679243</v>
      </c>
      <c r="N56" s="91">
        <f>IFERROR(N50/N13,0)</f>
        <v>0.58003504672897199</v>
      </c>
      <c r="O56" s="91">
        <f>IFERROR(O50/O13,0)</f>
        <v>0.54885448916408663</v>
      </c>
      <c r="P56" s="91"/>
      <c r="Q56" s="91">
        <f>IFERROR(Q50/Q13,0)</f>
        <v>0.4932471309934261</v>
      </c>
      <c r="S56" s="91">
        <f t="shared" ref="S56:AD56" ca="1" si="71">IFERROR(S50/S13,0)</f>
        <v>0.41444501185916549</v>
      </c>
      <c r="T56" s="91">
        <f t="shared" ca="1" si="71"/>
        <v>0.58805835792902372</v>
      </c>
      <c r="U56" s="91">
        <f t="shared" ca="1" si="71"/>
        <v>0.61083044946194465</v>
      </c>
      <c r="V56" s="91">
        <f t="shared" ca="1" si="71"/>
        <v>0.6087034618729471</v>
      </c>
      <c r="W56" s="91">
        <f t="shared" ca="1" si="71"/>
        <v>0.60270479970921309</v>
      </c>
      <c r="X56" s="91">
        <f t="shared" ca="1" si="71"/>
        <v>0.58445823007433706</v>
      </c>
      <c r="Y56" s="91">
        <f t="shared" ca="1" si="71"/>
        <v>0.60498547025112537</v>
      </c>
      <c r="Z56" s="91">
        <f t="shared" ca="1" si="71"/>
        <v>0.60820231924238155</v>
      </c>
      <c r="AA56" s="91">
        <f t="shared" ca="1" si="71"/>
        <v>0.58617086988233191</v>
      </c>
      <c r="AB56" s="91">
        <f t="shared" ca="1" si="71"/>
        <v>0.53349900134272754</v>
      </c>
      <c r="AC56" s="91">
        <f t="shared" ca="1" si="71"/>
        <v>0.42158951745153606</v>
      </c>
      <c r="AD56" s="91">
        <f t="shared" ca="1" si="71"/>
        <v>0.54890815696287676</v>
      </c>
      <c r="AE56" s="91"/>
      <c r="AF56" s="91">
        <f ca="1">IFERROR(AF50/AF13,0)</f>
        <v>0.59341269425056287</v>
      </c>
      <c r="AG56" s="89"/>
      <c r="AH56" s="91">
        <f t="shared" ref="AH56:AS56" ca="1" si="72">IFERROR(AH50/AH13,0)</f>
        <v>0.40106497418636833</v>
      </c>
      <c r="AI56" s="91">
        <f t="shared" ca="1" si="72"/>
        <v>0.46547972960571871</v>
      </c>
      <c r="AJ56" s="91">
        <f t="shared" ca="1" si="72"/>
        <v>0.4821055862526446</v>
      </c>
      <c r="AK56" s="91">
        <f t="shared" ca="1" si="72"/>
        <v>0.48038497913334793</v>
      </c>
      <c r="AL56" s="91">
        <f t="shared" ca="1" si="72"/>
        <v>0.47892426745468469</v>
      </c>
      <c r="AM56" s="91">
        <f t="shared" ca="1" si="72"/>
        <v>0.46949606605988697</v>
      </c>
      <c r="AN56" s="91">
        <f t="shared" ca="1" si="72"/>
        <v>0.47876497020935238</v>
      </c>
      <c r="AO56" s="91">
        <f t="shared" ca="1" si="72"/>
        <v>0.4830692778432959</v>
      </c>
      <c r="AP56" s="91">
        <f t="shared" ca="1" si="72"/>
        <v>0.46554578590221718</v>
      </c>
      <c r="AQ56" s="91">
        <f t="shared" ca="1" si="72"/>
        <v>0.45994155837947548</v>
      </c>
      <c r="AR56" s="91">
        <f t="shared" ca="1" si="72"/>
        <v>0.4036984874665932</v>
      </c>
      <c r="AS56" s="91">
        <f t="shared" ca="1" si="72"/>
        <v>0.45800665314795458</v>
      </c>
      <c r="AT56" s="91"/>
      <c r="AU56" s="91">
        <f ca="1">IFERROR(AU50/AU13,0)</f>
        <v>0.47497192040494451</v>
      </c>
      <c r="AV56" s="89"/>
    </row>
    <row r="57" spans="2:48">
      <c r="D57" s="53"/>
      <c r="E57" s="53"/>
      <c r="F57" s="53"/>
      <c r="G57" s="53"/>
      <c r="H57" s="53"/>
      <c r="I57" s="53"/>
      <c r="J57" s="53"/>
      <c r="K57" s="53"/>
      <c r="L57" s="53"/>
      <c r="Q57" s="5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89"/>
      <c r="AU57" s="51"/>
      <c r="AV57" s="89"/>
    </row>
    <row r="58" spans="2:48" hidden="1" outlineLevel="1">
      <c r="B58" s="58" t="s">
        <v>121</v>
      </c>
      <c r="D58" s="53"/>
      <c r="E58" s="53"/>
      <c r="F58" s="53"/>
      <c r="G58" s="53"/>
      <c r="H58" s="53"/>
      <c r="I58" s="53"/>
      <c r="J58" s="53"/>
      <c r="K58" s="53"/>
      <c r="L58" s="53"/>
      <c r="Q58" s="51"/>
      <c r="AF58" s="51"/>
      <c r="AG58" s="89"/>
      <c r="AU58" s="51"/>
      <c r="AV58" s="89"/>
    </row>
    <row r="59" spans="2:48" hidden="1" outlineLevel="1">
      <c r="D59" s="53"/>
      <c r="E59" s="53"/>
      <c r="F59" s="53"/>
      <c r="G59" s="53"/>
      <c r="H59" s="53"/>
      <c r="I59" s="53"/>
      <c r="J59" s="53"/>
      <c r="K59" s="53"/>
      <c r="L59" s="53"/>
      <c r="Q59" s="51"/>
      <c r="X59" s="7"/>
      <c r="Y59" s="7"/>
      <c r="Z59" s="7"/>
      <c r="AA59" s="7"/>
      <c r="AB59" s="7"/>
      <c r="AC59" s="7"/>
      <c r="AD59" s="7"/>
      <c r="AF59" s="51"/>
      <c r="AG59" s="89" t="e">
        <f>AF59/AF7</f>
        <v>#DIV/0!</v>
      </c>
      <c r="AU59" s="51"/>
      <c r="AV59" s="89" t="e">
        <f>AU59/AU7</f>
        <v>#DIV/0!</v>
      </c>
    </row>
    <row r="60" spans="2:48" hidden="1" outlineLevel="1">
      <c r="B60" s="51" t="s">
        <v>122</v>
      </c>
      <c r="D60" s="59" t="s">
        <v>184</v>
      </c>
      <c r="E60" s="59" t="s">
        <v>184</v>
      </c>
      <c r="F60" s="59">
        <v>-134</v>
      </c>
      <c r="G60" s="59">
        <v>-166</v>
      </c>
      <c r="H60" s="59">
        <v>-253</v>
      </c>
      <c r="I60" s="59">
        <v>-285</v>
      </c>
      <c r="J60" s="59">
        <v>-427</v>
      </c>
      <c r="K60" s="59">
        <v>-293</v>
      </c>
      <c r="L60" s="59">
        <v>-246</v>
      </c>
      <c r="M60" s="60" t="s">
        <v>184</v>
      </c>
      <c r="N60" s="60" t="s">
        <v>184</v>
      </c>
      <c r="O60" s="60" t="s">
        <v>184</v>
      </c>
      <c r="P60" s="60"/>
      <c r="Q60" s="61">
        <f t="shared" ref="Q60:Q70" si="73">SUM(D60:O60)</f>
        <v>-1804</v>
      </c>
      <c r="R60" s="60"/>
      <c r="S60" s="60">
        <v>0</v>
      </c>
      <c r="T60" s="60">
        <v>0</v>
      </c>
      <c r="U60" s="60">
        <v>0</v>
      </c>
      <c r="V60" s="60">
        <v>0</v>
      </c>
      <c r="W60" s="60">
        <v>0</v>
      </c>
      <c r="X60" s="60">
        <v>0</v>
      </c>
      <c r="Y60" s="60">
        <v>0</v>
      </c>
      <c r="Z60" s="60">
        <v>0</v>
      </c>
      <c r="AA60" s="60">
        <v>0</v>
      </c>
      <c r="AB60" s="60">
        <v>0</v>
      </c>
      <c r="AC60" s="60">
        <v>0</v>
      </c>
      <c r="AD60" s="60">
        <v>0</v>
      </c>
      <c r="AE60" s="60"/>
      <c r="AF60" s="61">
        <f t="shared" ref="AF60" si="74">SUM(S60:AD60)</f>
        <v>0</v>
      </c>
      <c r="AG60" s="89"/>
      <c r="AH60" s="60">
        <v>0</v>
      </c>
      <c r="AI60" s="60">
        <v>0</v>
      </c>
      <c r="AJ60" s="60">
        <v>0</v>
      </c>
      <c r="AK60" s="60">
        <v>0</v>
      </c>
      <c r="AL60" s="60">
        <v>0</v>
      </c>
      <c r="AM60" s="60">
        <v>0</v>
      </c>
      <c r="AN60" s="60">
        <v>0</v>
      </c>
      <c r="AO60" s="60">
        <v>0</v>
      </c>
      <c r="AP60" s="60">
        <v>0</v>
      </c>
      <c r="AQ60" s="60">
        <v>0</v>
      </c>
      <c r="AR60" s="60">
        <v>0</v>
      </c>
      <c r="AS60" s="60">
        <v>0</v>
      </c>
      <c r="AT60" s="60"/>
      <c r="AU60" s="61">
        <f t="shared" ref="AU60" si="75">SUM(AH60:AS60)</f>
        <v>0</v>
      </c>
      <c r="AV60" s="89"/>
    </row>
    <row r="61" spans="2:48" hidden="1" outlineLevel="1">
      <c r="B61" s="51" t="s">
        <v>123</v>
      </c>
      <c r="D61" s="59" t="s">
        <v>184</v>
      </c>
      <c r="E61" s="59" t="s">
        <v>184</v>
      </c>
      <c r="F61" s="59" t="s">
        <v>184</v>
      </c>
      <c r="G61" s="59" t="s">
        <v>184</v>
      </c>
      <c r="H61" s="59" t="s">
        <v>184</v>
      </c>
      <c r="I61" s="59" t="s">
        <v>184</v>
      </c>
      <c r="J61" s="59" t="s">
        <v>184</v>
      </c>
      <c r="K61" s="59" t="s">
        <v>184</v>
      </c>
      <c r="L61" s="59">
        <v>-141</v>
      </c>
      <c r="M61" s="60" t="s">
        <v>184</v>
      </c>
      <c r="N61" s="60" t="s">
        <v>184</v>
      </c>
      <c r="O61" s="60" t="s">
        <v>184</v>
      </c>
      <c r="P61" s="60"/>
      <c r="Q61" s="61">
        <f>SUM(D61:O61)</f>
        <v>-141</v>
      </c>
      <c r="S61" s="60">
        <v>0</v>
      </c>
      <c r="T61" s="60">
        <v>0</v>
      </c>
      <c r="U61" s="60">
        <v>0</v>
      </c>
      <c r="V61" s="60">
        <v>0</v>
      </c>
      <c r="W61" s="60">
        <v>0</v>
      </c>
      <c r="X61" s="60">
        <v>0</v>
      </c>
      <c r="Y61" s="60">
        <v>0</v>
      </c>
      <c r="Z61" s="60">
        <v>0</v>
      </c>
      <c r="AA61" s="60">
        <v>0</v>
      </c>
      <c r="AB61" s="60">
        <v>0</v>
      </c>
      <c r="AC61" s="60">
        <v>0</v>
      </c>
      <c r="AD61" s="60">
        <v>0</v>
      </c>
      <c r="AE61" s="60"/>
      <c r="AF61" s="61">
        <f>SUM(S61:AD61)</f>
        <v>0</v>
      </c>
      <c r="AG61" s="89"/>
      <c r="AH61" s="60">
        <v>0</v>
      </c>
      <c r="AI61" s="60">
        <v>0</v>
      </c>
      <c r="AJ61" s="60">
        <v>0</v>
      </c>
      <c r="AK61" s="60">
        <v>0</v>
      </c>
      <c r="AL61" s="60">
        <v>0</v>
      </c>
      <c r="AM61" s="60">
        <v>0</v>
      </c>
      <c r="AN61" s="60">
        <v>0</v>
      </c>
      <c r="AO61" s="60">
        <v>0</v>
      </c>
      <c r="AP61" s="60">
        <v>0</v>
      </c>
      <c r="AQ61" s="60">
        <v>0</v>
      </c>
      <c r="AR61" s="60">
        <v>0</v>
      </c>
      <c r="AS61" s="60">
        <v>0</v>
      </c>
      <c r="AT61" s="60"/>
      <c r="AU61" s="61">
        <f>SUM(AH61:AS61)</f>
        <v>0</v>
      </c>
      <c r="AV61" s="89"/>
    </row>
    <row r="62" spans="2:48" hidden="1" outlineLevel="2">
      <c r="B62" s="51" t="s">
        <v>124</v>
      </c>
      <c r="D62" s="59">
        <v>-208</v>
      </c>
      <c r="E62" s="59">
        <v>-393</v>
      </c>
      <c r="F62" s="59">
        <v>-10</v>
      </c>
      <c r="G62" s="59">
        <v>-74</v>
      </c>
      <c r="H62" s="59">
        <v>-18</v>
      </c>
      <c r="I62" s="59" t="s">
        <v>184</v>
      </c>
      <c r="J62" s="59">
        <v>-57</v>
      </c>
      <c r="K62" s="59">
        <v>-51</v>
      </c>
      <c r="L62" s="59">
        <v>-64</v>
      </c>
      <c r="M62" s="60" t="s">
        <v>184</v>
      </c>
      <c r="N62" s="60" t="s">
        <v>184</v>
      </c>
      <c r="O62" s="60" t="s">
        <v>184</v>
      </c>
      <c r="P62" s="60"/>
      <c r="Q62" s="61">
        <f t="shared" si="73"/>
        <v>-875</v>
      </c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1">
        <f t="shared" ref="AF62:AF70" si="76">SUM(S62:AD62)</f>
        <v>0</v>
      </c>
      <c r="AG62" s="89"/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1">
        <f t="shared" ref="AU62:AU70" si="77">SUM(AH62:AS62)</f>
        <v>0</v>
      </c>
      <c r="AV62" s="89"/>
    </row>
    <row r="63" spans="2:48" hidden="1" outlineLevel="2">
      <c r="B63" s="51" t="s">
        <v>125</v>
      </c>
      <c r="D63" s="59">
        <v>-574</v>
      </c>
      <c r="E63" s="59">
        <v>-569</v>
      </c>
      <c r="F63" s="59">
        <v>-1154</v>
      </c>
      <c r="G63" s="59">
        <v>-659</v>
      </c>
      <c r="H63" s="59">
        <v>-448</v>
      </c>
      <c r="I63" s="59">
        <v>-766</v>
      </c>
      <c r="J63" s="59" t="s">
        <v>184</v>
      </c>
      <c r="K63" s="59" t="s">
        <v>184</v>
      </c>
      <c r="L63" s="59">
        <v>-500</v>
      </c>
      <c r="M63" s="60" t="s">
        <v>184</v>
      </c>
      <c r="N63" s="60" t="s">
        <v>184</v>
      </c>
      <c r="O63" s="60" t="s">
        <v>184</v>
      </c>
      <c r="P63" s="60"/>
      <c r="Q63" s="61">
        <f t="shared" si="73"/>
        <v>-4670</v>
      </c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1">
        <f t="shared" si="76"/>
        <v>0</v>
      </c>
      <c r="AG63" s="89"/>
      <c r="AH63" s="60"/>
      <c r="AI63" s="60"/>
      <c r="AJ63" s="60"/>
      <c r="AK63" s="60"/>
      <c r="AL63" s="60"/>
      <c r="AM63" s="60"/>
      <c r="AN63" s="60"/>
      <c r="AO63" s="60"/>
      <c r="AP63" s="60"/>
      <c r="AQ63" s="60"/>
      <c r="AR63" s="60"/>
      <c r="AS63" s="60"/>
      <c r="AT63" s="60"/>
      <c r="AU63" s="61">
        <f t="shared" si="77"/>
        <v>0</v>
      </c>
      <c r="AV63" s="89"/>
    </row>
    <row r="64" spans="2:48" hidden="1" outlineLevel="2">
      <c r="B64" s="51" t="s">
        <v>126</v>
      </c>
      <c r="D64" s="59" t="s">
        <v>184</v>
      </c>
      <c r="E64" s="59" t="s">
        <v>184</v>
      </c>
      <c r="F64" s="59" t="s">
        <v>184</v>
      </c>
      <c r="G64" s="59" t="s">
        <v>184</v>
      </c>
      <c r="H64" s="59" t="s">
        <v>184</v>
      </c>
      <c r="I64" s="59" t="s">
        <v>184</v>
      </c>
      <c r="J64" s="59" t="s">
        <v>184</v>
      </c>
      <c r="K64" s="59" t="s">
        <v>184</v>
      </c>
      <c r="L64" s="59" t="s">
        <v>184</v>
      </c>
      <c r="M64" s="60" t="s">
        <v>184</v>
      </c>
      <c r="N64" s="60" t="s">
        <v>184</v>
      </c>
      <c r="O64" s="60" t="s">
        <v>184</v>
      </c>
      <c r="P64" s="60"/>
      <c r="Q64" s="61">
        <f t="shared" si="73"/>
        <v>0</v>
      </c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1">
        <f t="shared" si="76"/>
        <v>0</v>
      </c>
      <c r="AG64" s="89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1">
        <f t="shared" si="77"/>
        <v>0</v>
      </c>
      <c r="AV64" s="89"/>
    </row>
    <row r="65" spans="2:48" hidden="1" outlineLevel="2">
      <c r="B65" s="51" t="s">
        <v>127</v>
      </c>
      <c r="D65" s="59">
        <v>-484</v>
      </c>
      <c r="E65" s="59">
        <v>-2073</v>
      </c>
      <c r="F65" s="59">
        <v>-3656</v>
      </c>
      <c r="G65" s="59" t="s">
        <v>184</v>
      </c>
      <c r="H65" s="59">
        <v>-2003</v>
      </c>
      <c r="I65" s="59" t="s">
        <v>184</v>
      </c>
      <c r="J65" s="59">
        <v>-3216</v>
      </c>
      <c r="K65" s="59" t="s">
        <v>184</v>
      </c>
      <c r="L65" s="59">
        <v>-1449</v>
      </c>
      <c r="M65" s="60" t="s">
        <v>184</v>
      </c>
      <c r="N65" s="60" t="s">
        <v>184</v>
      </c>
      <c r="O65" s="60" t="s">
        <v>184</v>
      </c>
      <c r="P65" s="60"/>
      <c r="Q65" s="61">
        <f>SUM(D65:O65)</f>
        <v>-12881</v>
      </c>
      <c r="S65" s="60">
        <f>-SUMIFS(B2B!V124:V204,B2B!$C$124:$C$204,"ROW",B2B!$D$124:$D$204,"Retail Partnerships")</f>
        <v>0</v>
      </c>
      <c r="T65" s="60">
        <f>-SUMIFS(B2B!W124:W204,B2B!$C$124:$C$204,"ROW",B2B!$D$124:$D$204,"Retail Partnerships")</f>
        <v>0</v>
      </c>
      <c r="U65" s="60">
        <f>-SUMIFS(B2B!X124:X204,B2B!$C$124:$C$204,"ROW",B2B!$D$124:$D$204,"Retail Partnerships")</f>
        <v>0</v>
      </c>
      <c r="V65" s="60">
        <f>-SUMIFS(B2B!Y124:Y204,B2B!$C$124:$C$204,"ROW",B2B!$D$124:$D$204,"Retail Partnerships")</f>
        <v>0</v>
      </c>
      <c r="W65" s="60">
        <f>-SUMIFS(B2B!Z124:Z204,B2B!$C$124:$C$204,"ROW",B2B!$D$124:$D$204,"Retail Partnerships")</f>
        <v>0</v>
      </c>
      <c r="X65" s="60">
        <f>-SUMIFS(B2B!AA124:AA204,B2B!$C$124:$C$204,"ROW",B2B!$D$124:$D$204,"Retail Partnerships")</f>
        <v>0</v>
      </c>
      <c r="Y65" s="60">
        <f>-SUMIFS(B2B!AB124:AB204,B2B!$C$124:$C$204,"ROW",B2B!$D$124:$D$204,"Retail Partnerships")</f>
        <v>0</v>
      </c>
      <c r="Z65" s="60">
        <f>-SUMIFS(B2B!AC124:AC204,B2B!$C$124:$C$204,"ROW",B2B!$D$124:$D$204,"Retail Partnerships")</f>
        <v>0</v>
      </c>
      <c r="AA65" s="60">
        <f>-SUMIFS(B2B!AD124:AD204,B2B!$C$124:$C$204,"ROW",B2B!$D$124:$D$204,"Retail Partnerships")</f>
        <v>0</v>
      </c>
      <c r="AB65" s="60">
        <f>-SUMIFS(B2B!AE124:AE204,B2B!$C$124:$C$204,"ROW",B2B!$D$124:$D$204,"Retail Partnerships")</f>
        <v>0</v>
      </c>
      <c r="AC65" s="60">
        <f>-SUMIFS(B2B!AF124:AF204,B2B!$C$124:$C$204,"ROW",B2B!$D$124:$D$204,"Retail Partnerships")</f>
        <v>0</v>
      </c>
      <c r="AD65" s="60">
        <f>-SUMIFS(B2B!AG124:AG204,B2B!$C$124:$C$204,"ROW",B2B!$D$124:$D$204,"Retail Partnerships")</f>
        <v>0</v>
      </c>
      <c r="AE65" s="60"/>
      <c r="AF65" s="61">
        <f>SUM(S65:AD65)</f>
        <v>0</v>
      </c>
      <c r="AG65" s="89"/>
      <c r="AH65" s="60">
        <f>-SUMIFS(B2B!AK124:AK204,B2B!$C$124:$C$204,"ROW",B2B!$D$124:$D$204,"Retail Partnerships")</f>
        <v>0</v>
      </c>
      <c r="AI65" s="60">
        <f>-SUMIFS(B2B!AL124:AL204,B2B!$C$124:$C$204,"ROW",B2B!$D$124:$D$204,"Retail Partnerships")</f>
        <v>0</v>
      </c>
      <c r="AJ65" s="60">
        <f>-SUMIFS(B2B!AM124:AM204,B2B!$C$124:$C$204,"ROW",B2B!$D$124:$D$204,"Retail Partnerships")</f>
        <v>0</v>
      </c>
      <c r="AK65" s="60">
        <f>-SUMIFS(B2B!AN124:AN204,B2B!$C$124:$C$204,"ROW",B2B!$D$124:$D$204,"Retail Partnerships")</f>
        <v>0</v>
      </c>
      <c r="AL65" s="60">
        <f>-SUMIFS(B2B!AO124:AO204,B2B!$C$124:$C$204,"ROW",B2B!$D$124:$D$204,"Retail Partnerships")</f>
        <v>0</v>
      </c>
      <c r="AM65" s="60">
        <f>-SUMIFS(B2B!AP124:AP204,B2B!$C$124:$C$204,"ROW",B2B!$D$124:$D$204,"Retail Partnerships")</f>
        <v>0</v>
      </c>
      <c r="AN65" s="60">
        <f>-SUMIFS(B2B!AQ124:AQ204,B2B!$C$124:$C$204,"ROW",B2B!$D$124:$D$204,"Retail Partnerships")</f>
        <v>0</v>
      </c>
      <c r="AO65" s="60">
        <f>-SUMIFS(B2B!AR124:AR204,B2B!$C$124:$C$204,"ROW",B2B!$D$124:$D$204,"Retail Partnerships")</f>
        <v>0</v>
      </c>
      <c r="AP65" s="60">
        <f>-SUMIFS(B2B!AS124:AS204,B2B!$C$124:$C$204,"ROW",B2B!$D$124:$D$204,"Retail Partnerships")</f>
        <v>0</v>
      </c>
      <c r="AQ65" s="60">
        <f>-SUMIFS(B2B!AT124:AT204,B2B!$C$124:$C$204,"ROW",B2B!$D$124:$D$204,"Retail Partnerships")</f>
        <v>0</v>
      </c>
      <c r="AR65" s="60">
        <f>-SUMIFS(B2B!AU124:AU204,B2B!$C$124:$C$204,"ROW",B2B!$D$124:$D$204,"Retail Partnerships")</f>
        <v>0</v>
      </c>
      <c r="AS65" s="60">
        <f>-SUMIFS(B2B!AV124:AV204,B2B!$C$124:$C$204,"ROW",B2B!$D$124:$D$204,"Retail Partnerships")</f>
        <v>0</v>
      </c>
      <c r="AT65" s="60"/>
      <c r="AU65" s="61">
        <f>SUM(AH65:AS65)</f>
        <v>0</v>
      </c>
      <c r="AV65" s="89"/>
    </row>
    <row r="66" spans="2:48" hidden="1" outlineLevel="2">
      <c r="B66" s="51" t="s">
        <v>128</v>
      </c>
      <c r="D66" s="59" t="s">
        <v>184</v>
      </c>
      <c r="E66" s="59" t="s">
        <v>184</v>
      </c>
      <c r="F66" s="59" t="s">
        <v>184</v>
      </c>
      <c r="G66" s="59" t="s">
        <v>184</v>
      </c>
      <c r="H66" s="59" t="s">
        <v>184</v>
      </c>
      <c r="I66" s="59" t="s">
        <v>184</v>
      </c>
      <c r="J66" s="59" t="s">
        <v>184</v>
      </c>
      <c r="K66" s="59" t="s">
        <v>184</v>
      </c>
      <c r="L66" s="59" t="s">
        <v>184</v>
      </c>
      <c r="M66" s="60" t="s">
        <v>184</v>
      </c>
      <c r="N66" s="60" t="s">
        <v>184</v>
      </c>
      <c r="O66" s="60" t="s">
        <v>184</v>
      </c>
      <c r="P66" s="60"/>
      <c r="Q66" s="61">
        <f>SUM(D66:O66)</f>
        <v>0</v>
      </c>
      <c r="S66" s="60">
        <f>-SUMIFS(B2B!V124:V204,B2B!$C$124:$C$204,"ROW",B2B!$D$124:$D$204,"Retros")</f>
        <v>0</v>
      </c>
      <c r="T66" s="60">
        <f>-SUMIFS(B2B!W124:W204,B2B!$C$124:$C$204,"ROW",B2B!$D$124:$D$204,"Retros")</f>
        <v>0</v>
      </c>
      <c r="U66" s="60">
        <f>-SUMIFS(B2B!X124:X204,B2B!$C$124:$C$204,"ROW",B2B!$D$124:$D$204,"Retros")</f>
        <v>0</v>
      </c>
      <c r="V66" s="60">
        <f>-SUMIFS(B2B!Y124:Y204,B2B!$C$124:$C$204,"ROW",B2B!$D$124:$D$204,"Retros")</f>
        <v>0</v>
      </c>
      <c r="W66" s="60">
        <f>-SUMIFS(B2B!Z124:Z204,B2B!$C$124:$C$204,"ROW",B2B!$D$124:$D$204,"Retros")</f>
        <v>0</v>
      </c>
      <c r="X66" s="60">
        <f>-SUMIFS(B2B!AA124:AA204,B2B!$C$124:$C$204,"ROW",B2B!$D$124:$D$204,"Retros")</f>
        <v>0</v>
      </c>
      <c r="Y66" s="60">
        <f>-SUMIFS(B2B!AB124:AB204,B2B!$C$124:$C$204,"ROW",B2B!$D$124:$D$204,"Retros")</f>
        <v>0</v>
      </c>
      <c r="Z66" s="60">
        <f>-SUMIFS(B2B!AC124:AC204,B2B!$C$124:$C$204,"ROW",B2B!$D$124:$D$204,"Retros")</f>
        <v>0</v>
      </c>
      <c r="AA66" s="60">
        <f>-SUMIFS(B2B!AD124:AD204,B2B!$C$124:$C$204,"ROW",B2B!$D$124:$D$204,"Retros")</f>
        <v>0</v>
      </c>
      <c r="AB66" s="60">
        <f>-SUMIFS(B2B!AE124:AE204,B2B!$C$124:$C$204,"ROW",B2B!$D$124:$D$204,"Retros")</f>
        <v>0</v>
      </c>
      <c r="AC66" s="60">
        <f>-SUMIFS(B2B!AF124:AF204,B2B!$C$124:$C$204,"ROW",B2B!$D$124:$D$204,"Retros")</f>
        <v>0</v>
      </c>
      <c r="AD66" s="60">
        <f>-SUMIFS(B2B!AG124:AG204,B2B!$C$124:$C$204,"ROW",B2B!$D$124:$D$204,"Retros")</f>
        <v>0</v>
      </c>
      <c r="AE66" s="60"/>
      <c r="AF66" s="61">
        <f>SUM(S66:AD66)</f>
        <v>0</v>
      </c>
      <c r="AG66" s="89"/>
      <c r="AH66" s="60">
        <f>-SUMIFS(B2B!AK124:AK204,B2B!$C$124:$C$204,"ROW",B2B!$D$124:$D$204,"Retros")</f>
        <v>0</v>
      </c>
      <c r="AI66" s="60">
        <f>-SUMIFS(B2B!AL124:AL204,B2B!$C$124:$C$204,"ROW",B2B!$D$124:$D$204,"Retros")</f>
        <v>0</v>
      </c>
      <c r="AJ66" s="60">
        <f>-SUMIFS(B2B!AM124:AM204,B2B!$C$124:$C$204,"ROW",B2B!$D$124:$D$204,"Retros")</f>
        <v>0</v>
      </c>
      <c r="AK66" s="60">
        <f>-SUMIFS(B2B!AN124:AN204,B2B!$C$124:$C$204,"ROW",B2B!$D$124:$D$204,"Retros")</f>
        <v>0</v>
      </c>
      <c r="AL66" s="60">
        <f>-SUMIFS(B2B!AO124:AO204,B2B!$C$124:$C$204,"ROW",B2B!$D$124:$D$204,"Retros")</f>
        <v>0</v>
      </c>
      <c r="AM66" s="60">
        <f>-SUMIFS(B2B!AP124:AP204,B2B!$C$124:$C$204,"ROW",B2B!$D$124:$D$204,"Retros")</f>
        <v>0</v>
      </c>
      <c r="AN66" s="60">
        <f>-SUMIFS(B2B!AQ124:AQ204,B2B!$C$124:$C$204,"ROW",B2B!$D$124:$D$204,"Retros")</f>
        <v>0</v>
      </c>
      <c r="AO66" s="60">
        <f>-SUMIFS(B2B!AR124:AR204,B2B!$C$124:$C$204,"ROW",B2B!$D$124:$D$204,"Retros")</f>
        <v>0</v>
      </c>
      <c r="AP66" s="60">
        <f>-SUMIFS(B2B!AS124:AS204,B2B!$C$124:$C$204,"ROW",B2B!$D$124:$D$204,"Retros")</f>
        <v>0</v>
      </c>
      <c r="AQ66" s="60">
        <f>-SUMIFS(B2B!AT124:AT204,B2B!$C$124:$C$204,"ROW",B2B!$D$124:$D$204,"Retros")</f>
        <v>0</v>
      </c>
      <c r="AR66" s="60">
        <f>-SUMIFS(B2B!AU124:AU204,B2B!$C$124:$C$204,"ROW",B2B!$D$124:$D$204,"Retros")</f>
        <v>0</v>
      </c>
      <c r="AS66" s="60">
        <f>-SUMIFS(B2B!AV124:AV204,B2B!$C$124:$C$204,"ROW",B2B!$D$124:$D$204,"Retros")</f>
        <v>0</v>
      </c>
      <c r="AT66" s="60"/>
      <c r="AU66" s="61">
        <f>SUM(AH66:AS66)</f>
        <v>0</v>
      </c>
      <c r="AV66" s="89"/>
    </row>
    <row r="67" spans="2:48" hidden="1" outlineLevel="2">
      <c r="B67" s="51" t="s">
        <v>166</v>
      </c>
      <c r="D67" s="59" t="s">
        <v>184</v>
      </c>
      <c r="E67" s="59" t="s">
        <v>184</v>
      </c>
      <c r="F67" s="59" t="s">
        <v>184</v>
      </c>
      <c r="G67" s="59" t="s">
        <v>184</v>
      </c>
      <c r="H67" s="59" t="s">
        <v>184</v>
      </c>
      <c r="I67" s="59" t="s">
        <v>184</v>
      </c>
      <c r="J67" s="59">
        <v>-757</v>
      </c>
      <c r="K67" s="59">
        <v>-747</v>
      </c>
      <c r="L67" s="59">
        <v>-6520</v>
      </c>
      <c r="M67" s="60" t="s">
        <v>184</v>
      </c>
      <c r="N67" s="60" t="s">
        <v>184</v>
      </c>
      <c r="O67" s="60" t="s">
        <v>184</v>
      </c>
      <c r="P67" s="60"/>
      <c r="Q67" s="61">
        <f>SUM(D67:O67)</f>
        <v>-8024</v>
      </c>
      <c r="S67" s="60">
        <f>-SUMIFS(B2B!V164:V192,B2B!$C$164:$C$192,"ROW",B2B!$D$164:$D$192,"Promo Funding")</f>
        <v>0</v>
      </c>
      <c r="T67" s="60">
        <f>-SUMIFS(B2B!W164:W192,B2B!$C$164:$C$192,"ROW",B2B!$D$164:$D$192,"Promo Funding")</f>
        <v>-1996.3650000000002</v>
      </c>
      <c r="U67" s="60">
        <f>-SUMIFS(B2B!X164:X192,B2B!$C$164:$C$192,"ROW",B2B!$D$164:$D$192,"Promo Funding")</f>
        <v>-2500</v>
      </c>
      <c r="V67" s="60">
        <f>-SUMIFS(B2B!Y164:Y192,B2B!$C$164:$C$192,"ROW",B2B!$D$164:$D$192,"Promo Funding")</f>
        <v>-15000</v>
      </c>
      <c r="W67" s="60">
        <f>-SUMIFS(B2B!Z164:Z192,B2B!$C$164:$C$192,"ROW",B2B!$D$164:$D$192,"Promo Funding")</f>
        <v>-2500</v>
      </c>
      <c r="X67" s="60">
        <f>-SUMIFS(B2B!AA164:AA192,B2B!$C$164:$C$192,"ROW",B2B!$D$164:$D$192,"Promo Funding")</f>
        <v>0</v>
      </c>
      <c r="Y67" s="60">
        <f>-SUMIFS(B2B!AB164:AB192,B2B!$C$164:$C$192,"ROW",B2B!$D$164:$D$192,"Promo Funding")</f>
        <v>-7500</v>
      </c>
      <c r="Z67" s="60">
        <f>-SUMIFS(B2B!AC164:AC192,B2B!$C$164:$C$192,"ROW",B2B!$D$164:$D$192,"Promo Funding")</f>
        <v>-1192.5060000000001</v>
      </c>
      <c r="AA67" s="60">
        <f>-SUMIFS(B2B!AD164:AD192,B2B!$C$164:$C$192,"ROW",B2B!$D$164:$D$192,"Promo Funding")</f>
        <v>-6000</v>
      </c>
      <c r="AB67" s="60">
        <f>-SUMIFS(B2B!AE164:AE192,B2B!$C$164:$C$192,"ROW",B2B!$D$164:$D$192,"Promo Funding")</f>
        <v>0</v>
      </c>
      <c r="AC67" s="60">
        <f>-SUMIFS(B2B!AF164:AF192,B2B!$C$164:$C$192,"ROW",B2B!$D$164:$D$192,"Promo Funding")</f>
        <v>0</v>
      </c>
      <c r="AD67" s="60">
        <f>-SUMIFS(B2B!AG164:AG192,B2B!$C$164:$C$192,"ROW",B2B!$D$164:$D$192,"Promo Funding")</f>
        <v>0</v>
      </c>
      <c r="AE67" s="60"/>
      <c r="AF67" s="61">
        <f>SUM(S67:AD67)</f>
        <v>-36688.870999999999</v>
      </c>
      <c r="AG67" s="89"/>
      <c r="AH67" s="60">
        <f>-SUMIFS(B2B!AK164:AK192,B2B!$C$164:$C$192,"ROW",B2B!$D$164:$D$192,"Promo Funding")</f>
        <v>0</v>
      </c>
      <c r="AI67" s="60">
        <f>-SUMIFS(B2B!AL164:AL192,B2B!$C$164:$C$192,"ROW",B2B!$D$164:$D$192,"Promo Funding")</f>
        <v>-1000</v>
      </c>
      <c r="AJ67" s="60">
        <f>-SUMIFS(B2B!AM164:AM192,B2B!$C$164:$C$192,"ROW",B2B!$D$164:$D$192,"Promo Funding")</f>
        <v>-2625</v>
      </c>
      <c r="AK67" s="60">
        <f>-SUMIFS(B2B!AN164:AN192,B2B!$C$164:$C$192,"ROW",B2B!$D$164:$D$192,"Promo Funding")</f>
        <v>-8500</v>
      </c>
      <c r="AL67" s="60">
        <f>-SUMIFS(B2B!AO164:AO192,B2B!$C$164:$C$192,"ROW",B2B!$D$164:$D$192,"Promo Funding")</f>
        <v>-2625</v>
      </c>
      <c r="AM67" s="60">
        <f>-SUMIFS(B2B!AP164:AP192,B2B!$C$164:$C$192,"ROW",B2B!$D$164:$D$192,"Promo Funding")</f>
        <v>-1000</v>
      </c>
      <c r="AN67" s="60">
        <f>-SUMIFS(B2B!AQ164:AQ192,B2B!$C$164:$C$192,"ROW",B2B!$D$164:$D$192,"Promo Funding")</f>
        <v>-4000</v>
      </c>
      <c r="AO67" s="60">
        <f>-SUMIFS(B2B!AR164:AR192,B2B!$C$164:$C$192,"ROW",B2B!$D$164:$D$192,"Promo Funding")</f>
        <v>-3752.1313</v>
      </c>
      <c r="AP67" s="60">
        <f>-SUMIFS(B2B!AS164:AS192,B2B!$C$164:$C$192,"ROW",B2B!$D$164:$D$192,"Promo Funding")</f>
        <v>-2000</v>
      </c>
      <c r="AQ67" s="60">
        <f>-SUMIFS(B2B!AT164:AT192,B2B!$C$164:$C$192,"ROW",B2B!$D$164:$D$192,"Promo Funding")</f>
        <v>-500</v>
      </c>
      <c r="AR67" s="60">
        <f>-SUMIFS(B2B!AU164:AU192,B2B!$C$164:$C$192,"ROW",B2B!$D$164:$D$192,"Promo Funding")</f>
        <v>0</v>
      </c>
      <c r="AS67" s="60">
        <f>-SUMIFS(B2B!AV164:AV192,B2B!$C$164:$C$192,"ROW",B2B!$D$164:$D$192,"Promo Funding")</f>
        <v>0</v>
      </c>
      <c r="AT67" s="60"/>
      <c r="AU67" s="61">
        <f>SUM(AH67:AS67)</f>
        <v>-26002.131300000001</v>
      </c>
      <c r="AV67" s="89"/>
    </row>
    <row r="68" spans="2:48" hidden="1" outlineLevel="2">
      <c r="B68" s="51" t="s">
        <v>129</v>
      </c>
      <c r="D68" s="59"/>
      <c r="E68" s="59"/>
      <c r="F68" s="59"/>
      <c r="G68" s="59"/>
      <c r="H68" s="59"/>
      <c r="I68" s="59"/>
      <c r="J68" s="59"/>
      <c r="K68" s="59"/>
      <c r="L68" s="59"/>
      <c r="M68" s="60"/>
      <c r="N68" s="60"/>
      <c r="O68" s="60"/>
      <c r="P68" s="60"/>
      <c r="Q68" s="61">
        <f>SUM(D68:O68)</f>
        <v>0</v>
      </c>
      <c r="S68" s="60">
        <f>-SUMIFS(B2B!V124:V204,B2B!$C$124:$C$204,"ROW",B2B!$A$124:$A$204,"Trade Shows")</f>
        <v>0</v>
      </c>
      <c r="T68" s="60">
        <f>-SUMIFS(B2B!W124:W204,B2B!$C$124:$C$204,"ROW",B2B!$A$124:$A$204,"Trade Shows")</f>
        <v>0</v>
      </c>
      <c r="U68" s="60">
        <f>-SUMIFS(B2B!X124:X204,B2B!$C$124:$C$204,"ROW",B2B!$A$124:$A$204,"Trade Shows")</f>
        <v>0</v>
      </c>
      <c r="V68" s="60">
        <f>-SUMIFS(B2B!Y124:Y204,B2B!$C$124:$C$204,"ROW",B2B!$A$124:$A$204,"Trade Shows")</f>
        <v>0</v>
      </c>
      <c r="W68" s="60">
        <f>-SUMIFS(B2B!Z124:Z204,B2B!$C$124:$C$204,"ROW",B2B!$A$124:$A$204,"Trade Shows")</f>
        <v>0</v>
      </c>
      <c r="X68" s="60">
        <f>-SUMIFS(B2B!AA124:AA204,B2B!$C$124:$C$204,"ROW",B2B!$A$124:$A$204,"Trade Shows")</f>
        <v>0</v>
      </c>
      <c r="Y68" s="60">
        <f>-SUMIFS(B2B!AB124:AB204,B2B!$C$124:$C$204,"ROW",B2B!$A$124:$A$204,"Trade Shows")</f>
        <v>0</v>
      </c>
      <c r="Z68" s="60">
        <f>-SUMIFS(B2B!AC124:AC204,B2B!$C$124:$C$204,"ROW",B2B!$A$124:$A$204,"Trade Shows")</f>
        <v>0</v>
      </c>
      <c r="AA68" s="60">
        <f>-SUMIFS(B2B!AD124:AD204,B2B!$C$124:$C$204,"ROW",B2B!$A$124:$A$204,"Trade Shows")</f>
        <v>-15000</v>
      </c>
      <c r="AB68" s="60">
        <f>-SUMIFS(B2B!AE124:AE204,B2B!$C$124:$C$204,"ROW",B2B!$A$124:$A$204,"Trade Shows")</f>
        <v>0</v>
      </c>
      <c r="AC68" s="60">
        <f>-SUMIFS(B2B!AF124:AF204,B2B!$C$124:$C$204,"ROW",B2B!$A$124:$A$204,"Trade Shows")</f>
        <v>0</v>
      </c>
      <c r="AD68" s="60">
        <f>-SUMIFS(B2B!AG124:AG204,B2B!$C$124:$C$204,"ROW",B2B!$A$124:$A$204,"Trade Shows")</f>
        <v>0</v>
      </c>
      <c r="AE68" s="60"/>
      <c r="AF68" s="61">
        <f>SUM(S68:AD68)</f>
        <v>-15000</v>
      </c>
      <c r="AG68" s="89"/>
      <c r="AH68" s="60">
        <f>-SUMIFS(B2B!AK124:AK204,B2B!$C$124:$C$204,"ROW",B2B!$A$124:$A$204,"Trade Shows")</f>
        <v>0</v>
      </c>
      <c r="AI68" s="60">
        <f>-SUMIFS(B2B!AL124:AL204,B2B!$C$124:$C$204,"ROW",B2B!$A$124:$A$204,"Trade Shows")</f>
        <v>0</v>
      </c>
      <c r="AJ68" s="60">
        <f>-SUMIFS(B2B!AM124:AM204,B2B!$C$124:$C$204,"ROW",B2B!$A$124:$A$204,"Trade Shows")</f>
        <v>0</v>
      </c>
      <c r="AK68" s="60">
        <f>-SUMIFS(B2B!AN124:AN204,B2B!$C$124:$C$204,"ROW",B2B!$A$124:$A$204,"Trade Shows")</f>
        <v>0</v>
      </c>
      <c r="AL68" s="60">
        <f>-SUMIFS(B2B!AO124:AO204,B2B!$C$124:$C$204,"ROW",B2B!$A$124:$A$204,"Trade Shows")</f>
        <v>0</v>
      </c>
      <c r="AM68" s="60">
        <f>-SUMIFS(B2B!AP124:AP204,B2B!$C$124:$C$204,"ROW",B2B!$A$124:$A$204,"Trade Shows")</f>
        <v>0</v>
      </c>
      <c r="AN68" s="60">
        <f>-SUMIFS(B2B!AQ124:AQ204,B2B!$C$124:$C$204,"ROW",B2B!$A$124:$A$204,"Trade Shows")</f>
        <v>0</v>
      </c>
      <c r="AO68" s="60">
        <f>-SUMIFS(B2B!AR124:AR204,B2B!$C$124:$C$204,"ROW",B2B!$A$124:$A$204,"Trade Shows")</f>
        <v>0</v>
      </c>
      <c r="AP68" s="60">
        <f>-SUMIFS(B2B!AS124:AS204,B2B!$C$124:$C$204,"ROW",B2B!$A$124:$A$204,"Trade Shows")</f>
        <v>-15000</v>
      </c>
      <c r="AQ68" s="60">
        <f>-SUMIFS(B2B!AT124:AT204,B2B!$C$124:$C$204,"ROW",B2B!$A$124:$A$204,"Trade Shows")</f>
        <v>0</v>
      </c>
      <c r="AR68" s="60">
        <f>-SUMIFS(B2B!AU124:AU204,B2B!$C$124:$C$204,"ROW",B2B!$A$124:$A$204,"Trade Shows")</f>
        <v>0</v>
      </c>
      <c r="AS68" s="60">
        <f>-SUMIFS(B2B!AV124:AV204,B2B!$C$124:$C$204,"ROW",B2B!$A$124:$A$204,"Trade Shows")</f>
        <v>0</v>
      </c>
      <c r="AT68" s="60"/>
      <c r="AU68" s="61">
        <f>SUM(AH68:AS68)</f>
        <v>-15000</v>
      </c>
      <c r="AV68" s="89"/>
    </row>
    <row r="69" spans="2:48" hidden="1" outlineLevel="2">
      <c r="B69" s="51" t="s">
        <v>130</v>
      </c>
      <c r="D69" s="59">
        <v>-1477</v>
      </c>
      <c r="E69" s="59">
        <v>-1359</v>
      </c>
      <c r="F69" s="59">
        <v>-593</v>
      </c>
      <c r="G69" s="59">
        <v>-763</v>
      </c>
      <c r="H69" s="59">
        <v>-371</v>
      </c>
      <c r="I69" s="59">
        <v>-663</v>
      </c>
      <c r="J69" s="59" t="s">
        <v>184</v>
      </c>
      <c r="K69" s="59" t="s">
        <v>184</v>
      </c>
      <c r="L69" s="59">
        <v>-1065</v>
      </c>
      <c r="M69" s="60">
        <v>-1488</v>
      </c>
      <c r="N69" s="60">
        <v>-1488</v>
      </c>
      <c r="O69" s="60">
        <v>-960</v>
      </c>
      <c r="P69" s="60"/>
      <c r="Q69" s="61">
        <f>SUM(D69:O69)</f>
        <v>-10227</v>
      </c>
      <c r="S69" s="60">
        <f>-SUMIF(Amazon!$B$53:$B$58,"ROW",Amazon!Q53:Q58)</f>
        <v>-497.45920000000001</v>
      </c>
      <c r="T69" s="60">
        <f>-SUMIF(Amazon!$B$53:$B$58,"ROW",Amazon!R53:R58)</f>
        <v>-819.84</v>
      </c>
      <c r="U69" s="60">
        <f>-SUMIF(Amazon!$B$53:$B$58,"ROW",Amazon!S53:S58)</f>
        <v>-782.83839999999998</v>
      </c>
      <c r="V69" s="60">
        <f>-SUMIF(Amazon!$B$53:$B$58,"ROW",Amazon!T53:T58)</f>
        <v>-783.1296000000001</v>
      </c>
      <c r="W69" s="60">
        <f>-SUMIF(Amazon!$B$53:$B$58,"ROW",Amazon!U53:U58)</f>
        <v>-770.2496000000001</v>
      </c>
      <c r="X69" s="60">
        <f>-SUMIF(Amazon!$B$53:$B$58,"ROW",Amazon!V53:V58)</f>
        <v>-1196.4080000000001</v>
      </c>
      <c r="Y69" s="60">
        <f>-SUMIF(Amazon!$B$53:$B$58,"ROW",Amazon!W53:W58)</f>
        <v>-783.16800000000001</v>
      </c>
      <c r="Z69" s="60">
        <f>-SUMIF(Amazon!$B$53:$B$58,"ROW",Amazon!X53:X58)</f>
        <v>-850.10880000000009</v>
      </c>
      <c r="AA69" s="60">
        <f>-SUMIF(Amazon!$B$53:$B$58,"ROW",Amazon!Y53:Y58)</f>
        <v>-1243.808</v>
      </c>
      <c r="AB69" s="60">
        <f>-SUMIF(Amazon!$B$53:$B$58,"ROW",Amazon!Z53:Z58)</f>
        <v>-1300.8920000000001</v>
      </c>
      <c r="AC69" s="60">
        <f>-SUMIF(Amazon!$B$53:$B$58,"ROW",Amazon!AA53:AA58)</f>
        <v>-1039.5744</v>
      </c>
      <c r="AD69" s="60">
        <f>-SUMIF(Amazon!$B$53:$B$58,"ROW",Amazon!AB53:AB58)</f>
        <v>-784.64639999999997</v>
      </c>
      <c r="AE69" s="60"/>
      <c r="AF69" s="61">
        <f>SUM(S69:AD69)</f>
        <v>-10852.1224</v>
      </c>
      <c r="AG69" s="89"/>
      <c r="AH69" s="60">
        <f>-SUMIF(Amazon!$B$53:$B$58,"ROW",Amazon!AE53:AE58)</f>
        <v>-870.55360000000007</v>
      </c>
      <c r="AI69" s="60">
        <f>-SUMIF(Amazon!$B$53:$B$58,"ROW",Amazon!AF53:AF58)</f>
        <v>-1434.72</v>
      </c>
      <c r="AJ69" s="60">
        <f>-SUMIF(Amazon!$B$53:$B$58,"ROW",Amazon!AG53:AG58)</f>
        <v>-1369.9672</v>
      </c>
      <c r="AK69" s="60">
        <f>-SUMIF(Amazon!$B$53:$B$58,"ROW",Amazon!AH53:AH58)</f>
        <v>-1370.4768000000001</v>
      </c>
      <c r="AL69" s="60">
        <f>-SUMIF(Amazon!$B$53:$B$58,"ROW",Amazon!AI53:AI58)</f>
        <v>-673.96840000000009</v>
      </c>
      <c r="AM69" s="60">
        <f>-SUMIF(Amazon!$B$53:$B$58,"ROW",Amazon!AJ53:AJ58)</f>
        <v>-1435.6895999999999</v>
      </c>
      <c r="AN69" s="60">
        <f>-SUMIF(Amazon!$B$53:$B$58,"ROW",Amazon!AK53:AK58)</f>
        <v>-978.96</v>
      </c>
      <c r="AO69" s="60">
        <f>-SUMIF(Amazon!$B$53:$B$58,"ROW",Amazon!AL53:AL58)</f>
        <v>-1062.6360000000002</v>
      </c>
      <c r="AP69" s="60">
        <f>-SUMIF(Amazon!$B$53:$B$58,"ROW",Amazon!AM53:AM58)</f>
        <v>-1492.5696</v>
      </c>
      <c r="AQ69" s="60">
        <f>-SUMIF(Amazon!$B$53:$B$58,"ROW",Amazon!AN53:AN58)</f>
        <v>-1561.0704000000001</v>
      </c>
      <c r="AR69" s="60">
        <f>-SUMIF(Amazon!$B$53:$B$58,"ROW",Amazon!AO53:AO58)</f>
        <v>-1559.3616</v>
      </c>
      <c r="AS69" s="60">
        <f>-SUMIF(Amazon!$B$53:$B$58,"ROW",Amazon!AP53:AP58)</f>
        <v>-980.80799999999999</v>
      </c>
      <c r="AT69" s="60"/>
      <c r="AU69" s="61">
        <f>SUM(AH69:AS69)</f>
        <v>-14790.781200000001</v>
      </c>
      <c r="AV69" s="89"/>
    </row>
    <row r="70" spans="2:48" hidden="1" outlineLevel="2">
      <c r="B70" s="51" t="s">
        <v>131</v>
      </c>
      <c r="D70" s="59"/>
      <c r="E70" s="59"/>
      <c r="F70" s="59"/>
      <c r="G70" s="59"/>
      <c r="H70" s="59"/>
      <c r="I70" s="59"/>
      <c r="J70" s="59"/>
      <c r="K70" s="59"/>
      <c r="L70" s="59"/>
      <c r="M70" s="60"/>
      <c r="N70" s="60"/>
      <c r="O70" s="60"/>
      <c r="P70" s="60"/>
      <c r="Q70" s="61">
        <f t="shared" si="73"/>
        <v>0</v>
      </c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1">
        <f t="shared" si="76"/>
        <v>0</v>
      </c>
      <c r="AG70" s="89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1">
        <f t="shared" si="77"/>
        <v>0</v>
      </c>
      <c r="AV70" s="89"/>
    </row>
    <row r="71" spans="2:48" hidden="1" outlineLevel="1">
      <c r="D71" s="59"/>
      <c r="E71" s="59"/>
      <c r="F71" s="59"/>
      <c r="G71" s="59"/>
      <c r="H71" s="59"/>
      <c r="I71" s="59"/>
      <c r="J71" s="59"/>
      <c r="K71" s="59"/>
      <c r="L71" s="59"/>
      <c r="M71" s="60"/>
      <c r="N71" s="60"/>
      <c r="O71" s="60"/>
      <c r="Q71" s="61"/>
      <c r="S71" s="83"/>
      <c r="T71" s="83"/>
      <c r="U71" s="83"/>
      <c r="V71" s="83"/>
      <c r="W71" s="83"/>
      <c r="AG71" s="531">
        <f>IFERROR(AF71/Q71-1,0)</f>
        <v>0</v>
      </c>
      <c r="AH71" s="83"/>
      <c r="AI71" s="83"/>
      <c r="AJ71" s="83"/>
      <c r="AK71" s="83"/>
      <c r="AL71" s="83"/>
      <c r="AV71" s="531">
        <f>IFERROR(AU71/AF71-1,0)</f>
        <v>0</v>
      </c>
    </row>
    <row r="72" spans="2:48" collapsed="1">
      <c r="B72" s="63" t="s">
        <v>132</v>
      </c>
      <c r="C72" s="52"/>
      <c r="D72" s="64">
        <f>SUM(D60:D71)</f>
        <v>-2743</v>
      </c>
      <c r="E72" s="64">
        <f t="shared" ref="E72:L72" si="78">SUM(E60:E71)</f>
        <v>-4394</v>
      </c>
      <c r="F72" s="64">
        <f t="shared" si="78"/>
        <v>-5547</v>
      </c>
      <c r="G72" s="64">
        <f t="shared" si="78"/>
        <v>-1662</v>
      </c>
      <c r="H72" s="64">
        <f t="shared" si="78"/>
        <v>-3093</v>
      </c>
      <c r="I72" s="64">
        <f t="shared" si="78"/>
        <v>-1714</v>
      </c>
      <c r="J72" s="64">
        <f t="shared" si="78"/>
        <v>-4457</v>
      </c>
      <c r="K72" s="64">
        <f t="shared" si="78"/>
        <v>-1091</v>
      </c>
      <c r="L72" s="64">
        <f t="shared" si="78"/>
        <v>-9985</v>
      </c>
      <c r="M72" s="65">
        <f t="shared" ref="M72:O72" si="79">SUM(M60:M71)</f>
        <v>-1488</v>
      </c>
      <c r="N72" s="65">
        <f t="shared" si="79"/>
        <v>-1488</v>
      </c>
      <c r="O72" s="65">
        <f t="shared" si="79"/>
        <v>-960</v>
      </c>
      <c r="P72" s="61"/>
      <c r="Q72" s="65">
        <f>SUM(D72:O72)</f>
        <v>-38622</v>
      </c>
      <c r="R72" s="61"/>
      <c r="S72" s="84">
        <f t="shared" ref="S72" si="80">SUM(S60:S71)</f>
        <v>-497.45920000000001</v>
      </c>
      <c r="T72" s="84">
        <f>SUM(T60:T71)</f>
        <v>-2816.2050000000004</v>
      </c>
      <c r="U72" s="84">
        <f>SUM(U60:U71)</f>
        <v>-3282.8384000000001</v>
      </c>
      <c r="V72" s="84">
        <f>SUM(V60:V71)</f>
        <v>-15783.1296</v>
      </c>
      <c r="W72" s="84">
        <f>SUM(W60:W71)</f>
        <v>-3270.2496000000001</v>
      </c>
      <c r="X72" s="65">
        <f t="shared" ref="X72:AD72" si="81">SUM(X60:X71)</f>
        <v>-1196.4080000000001</v>
      </c>
      <c r="Y72" s="65">
        <f t="shared" si="81"/>
        <v>-8283.1679999999997</v>
      </c>
      <c r="Z72" s="65">
        <f t="shared" si="81"/>
        <v>-2042.6148000000003</v>
      </c>
      <c r="AA72" s="65">
        <f t="shared" si="81"/>
        <v>-22243.808000000001</v>
      </c>
      <c r="AB72" s="65">
        <f t="shared" si="81"/>
        <v>-1300.8920000000001</v>
      </c>
      <c r="AC72" s="65">
        <f t="shared" si="81"/>
        <v>-1039.5744</v>
      </c>
      <c r="AD72" s="65">
        <f t="shared" si="81"/>
        <v>-784.64639999999997</v>
      </c>
      <c r="AE72" s="61"/>
      <c r="AF72" s="65">
        <f>SUM(S72:AD72)</f>
        <v>-62540.993399999999</v>
      </c>
      <c r="AG72" s="89"/>
      <c r="AH72" s="84">
        <f t="shared" ref="AH72" si="82">SUM(AH60:AH71)</f>
        <v>-870.55360000000007</v>
      </c>
      <c r="AI72" s="84">
        <f>SUM(AI60:AI71)</f>
        <v>-2434.7200000000003</v>
      </c>
      <c r="AJ72" s="84">
        <f>SUM(AJ60:AJ71)</f>
        <v>-3994.9672</v>
      </c>
      <c r="AK72" s="84">
        <f>SUM(AK60:AK71)</f>
        <v>-9870.4768000000004</v>
      </c>
      <c r="AL72" s="84">
        <f>SUM(AL60:AL71)</f>
        <v>-3298.9684000000002</v>
      </c>
      <c r="AM72" s="65">
        <f t="shared" ref="AM72:AS72" si="83">SUM(AM60:AM71)</f>
        <v>-2435.6895999999997</v>
      </c>
      <c r="AN72" s="65">
        <f t="shared" si="83"/>
        <v>-4978.96</v>
      </c>
      <c r="AO72" s="65">
        <f t="shared" si="83"/>
        <v>-4814.7673000000004</v>
      </c>
      <c r="AP72" s="65">
        <f t="shared" si="83"/>
        <v>-18492.569599999999</v>
      </c>
      <c r="AQ72" s="65">
        <f t="shared" si="83"/>
        <v>-2061.0704000000001</v>
      </c>
      <c r="AR72" s="65">
        <f t="shared" si="83"/>
        <v>-1559.3616</v>
      </c>
      <c r="AS72" s="65">
        <f t="shared" si="83"/>
        <v>-980.80799999999999</v>
      </c>
      <c r="AT72" s="61"/>
      <c r="AU72" s="65">
        <f>SUM(AH72:AS72)</f>
        <v>-55792.912499999991</v>
      </c>
      <c r="AV72" s="89"/>
    </row>
    <row r="73" spans="2:48">
      <c r="D73" s="53"/>
      <c r="E73" s="53"/>
      <c r="F73" s="53"/>
      <c r="G73" s="53"/>
      <c r="H73" s="53"/>
      <c r="I73" s="53"/>
      <c r="J73" s="53"/>
      <c r="K73" s="53"/>
      <c r="L73" s="53"/>
      <c r="S73" s="88"/>
      <c r="T73" s="88"/>
      <c r="U73" s="88"/>
      <c r="V73" s="88"/>
      <c r="W73" s="88"/>
      <c r="AF73" s="141">
        <f ca="1">AF72/AF13</f>
        <v>-6.9884758622972887E-2</v>
      </c>
      <c r="AG73" s="89"/>
      <c r="AH73" s="88"/>
      <c r="AI73" s="88"/>
      <c r="AJ73" s="88"/>
      <c r="AK73" s="88"/>
      <c r="AL73" s="88"/>
      <c r="AV73" s="89"/>
    </row>
    <row r="74" spans="2:48" hidden="1" outlineLevel="1">
      <c r="B74" s="67" t="s">
        <v>133</v>
      </c>
      <c r="C74" s="52"/>
      <c r="D74" s="68">
        <v>1882.02</v>
      </c>
      <c r="E74" s="68">
        <v>264.06999999999971</v>
      </c>
      <c r="F74" s="68">
        <v>1145.2600000000002</v>
      </c>
      <c r="G74" s="68">
        <v>-3404.0499999999993</v>
      </c>
      <c r="H74" s="68">
        <v>603.19000000000005</v>
      </c>
      <c r="I74" s="68">
        <v>4481.4399999999987</v>
      </c>
      <c r="J74" s="68">
        <v>-564.53000000000031</v>
      </c>
      <c r="K74" s="68">
        <v>822.54</v>
      </c>
      <c r="L74" s="68">
        <v>-855</v>
      </c>
      <c r="M74" s="69">
        <f>M46+SUM(M60:M64)</f>
        <v>0</v>
      </c>
      <c r="N74" s="69">
        <f>N46+SUM(N60:N64)</f>
        <v>0</v>
      </c>
      <c r="O74" s="69">
        <f t="shared" ref="O74" si="84">O46+SUM(O60:O64)</f>
        <v>0</v>
      </c>
      <c r="P74" s="69"/>
      <c r="Q74" s="69">
        <f>Q46+SUM(Q60:Q64)</f>
        <v>5682</v>
      </c>
      <c r="S74" s="85">
        <f>S46+SUM(S60:S64)</f>
        <v>0</v>
      </c>
      <c r="T74" s="85">
        <f t="shared" ref="T74:AD74" si="85">T46+SUM(T60:T64)</f>
        <v>0</v>
      </c>
      <c r="U74" s="85">
        <f t="shared" si="85"/>
        <v>0</v>
      </c>
      <c r="V74" s="85">
        <f t="shared" si="85"/>
        <v>0</v>
      </c>
      <c r="W74" s="85">
        <f t="shared" si="85"/>
        <v>0</v>
      </c>
      <c r="X74" s="69">
        <f t="shared" si="85"/>
        <v>0</v>
      </c>
      <c r="Y74" s="69">
        <f t="shared" si="85"/>
        <v>0</v>
      </c>
      <c r="Z74" s="69">
        <f t="shared" si="85"/>
        <v>0</v>
      </c>
      <c r="AA74" s="69">
        <f t="shared" si="85"/>
        <v>0</v>
      </c>
      <c r="AB74" s="69">
        <f t="shared" si="85"/>
        <v>0</v>
      </c>
      <c r="AC74" s="69">
        <f t="shared" si="85"/>
        <v>0</v>
      </c>
      <c r="AD74" s="69">
        <f t="shared" si="85"/>
        <v>0</v>
      </c>
      <c r="AE74" s="69"/>
      <c r="AF74" s="69">
        <f>AF46+SUM(AF60:AF64)</f>
        <v>0</v>
      </c>
      <c r="AG74" s="89"/>
      <c r="AH74" s="85">
        <f>AH46+SUM(AH60:AH64)</f>
        <v>0</v>
      </c>
      <c r="AI74" s="85">
        <f t="shared" ref="AI74:AS74" si="86">AI46+SUM(AI60:AI64)</f>
        <v>0</v>
      </c>
      <c r="AJ74" s="85">
        <f t="shared" si="86"/>
        <v>0</v>
      </c>
      <c r="AK74" s="85">
        <f t="shared" si="86"/>
        <v>0</v>
      </c>
      <c r="AL74" s="85">
        <f t="shared" si="86"/>
        <v>0</v>
      </c>
      <c r="AM74" s="69">
        <f t="shared" si="86"/>
        <v>0</v>
      </c>
      <c r="AN74" s="69">
        <f t="shared" si="86"/>
        <v>0</v>
      </c>
      <c r="AO74" s="69">
        <f t="shared" si="86"/>
        <v>0</v>
      </c>
      <c r="AP74" s="69">
        <f t="shared" si="86"/>
        <v>0</v>
      </c>
      <c r="AQ74" s="69">
        <f t="shared" si="86"/>
        <v>0</v>
      </c>
      <c r="AR74" s="69">
        <f t="shared" si="86"/>
        <v>0</v>
      </c>
      <c r="AS74" s="69">
        <f t="shared" si="86"/>
        <v>0</v>
      </c>
      <c r="AT74" s="69"/>
      <c r="AU74" s="69">
        <f>AU46+SUM(AU60:AU64)</f>
        <v>0</v>
      </c>
      <c r="AV74" s="89"/>
    </row>
    <row r="75" spans="2:48" hidden="1" outlineLevel="1">
      <c r="B75" s="67" t="s">
        <v>134</v>
      </c>
      <c r="C75" s="52"/>
      <c r="D75" s="68">
        <v>93516.45</v>
      </c>
      <c r="E75" s="68">
        <v>40181.29</v>
      </c>
      <c r="F75" s="68">
        <v>-3599.0599999999995</v>
      </c>
      <c r="G75" s="68">
        <v>36702.93</v>
      </c>
      <c r="H75" s="68">
        <v>-15008.3</v>
      </c>
      <c r="I75" s="68">
        <v>55062.200000000004</v>
      </c>
      <c r="J75" s="68">
        <v>31375.420000000002</v>
      </c>
      <c r="K75" s="68">
        <v>91597.72</v>
      </c>
      <c r="L75" s="68">
        <v>23404</v>
      </c>
      <c r="M75" s="69">
        <f t="shared" ref="M75:O75" si="87">M47+SUM(M65:M68)</f>
        <v>17700</v>
      </c>
      <c r="N75" s="69">
        <f t="shared" si="87"/>
        <v>194700</v>
      </c>
      <c r="O75" s="69">
        <f t="shared" si="87"/>
        <v>32450</v>
      </c>
      <c r="P75" s="69"/>
      <c r="Q75" s="69">
        <f>Q47+SUM(Q65:Q68)</f>
        <v>581029</v>
      </c>
      <c r="S75" s="85">
        <f>S47+SUM(S65:S68)</f>
        <v>448.61495663050459</v>
      </c>
      <c r="T75" s="85">
        <f t="shared" ref="T75:AD75" si="88">T47+SUM(T65:T68)</f>
        <v>30812.454992301075</v>
      </c>
      <c r="U75" s="85">
        <f t="shared" si="88"/>
        <v>82123.042623963396</v>
      </c>
      <c r="V75" s="85">
        <f t="shared" si="88"/>
        <v>59005.360631416494</v>
      </c>
      <c r="W75" s="85">
        <f t="shared" si="88"/>
        <v>50694.947239211382</v>
      </c>
      <c r="X75" s="69">
        <f t="shared" si="88"/>
        <v>34411.891330925908</v>
      </c>
      <c r="Y75" s="69">
        <f t="shared" si="88"/>
        <v>52872.626074937143</v>
      </c>
      <c r="Z75" s="69">
        <f t="shared" si="88"/>
        <v>76802.819808064</v>
      </c>
      <c r="AA75" s="69">
        <f t="shared" si="88"/>
        <v>16610.241166205953</v>
      </c>
      <c r="AB75" s="69">
        <f t="shared" si="88"/>
        <v>12536.747055401986</v>
      </c>
      <c r="AC75" s="69">
        <f t="shared" si="88"/>
        <v>1253.6747055401984</v>
      </c>
      <c r="AD75" s="69">
        <f t="shared" si="88"/>
        <v>12536.747055401986</v>
      </c>
      <c r="AE75" s="69"/>
      <c r="AF75" s="69">
        <f>AF47+SUM(AF65:AF68)</f>
        <v>430109.16764000006</v>
      </c>
      <c r="AG75" s="89"/>
      <c r="AH75" s="85">
        <f>AH47+SUM(AH65:AH68)</f>
        <v>384.54226388291323</v>
      </c>
      <c r="AI75" s="85">
        <f t="shared" ref="AI75:AS75" si="89">AI47+SUM(AI65:AI68)</f>
        <v>15438.8820595178</v>
      </c>
      <c r="AJ75" s="85">
        <f t="shared" si="89"/>
        <v>66614.764223475882</v>
      </c>
      <c r="AK75" s="85">
        <f t="shared" si="89"/>
        <v>44995.42553061105</v>
      </c>
      <c r="AL75" s="85">
        <f t="shared" si="89"/>
        <v>41213.996257687788</v>
      </c>
      <c r="AM75" s="69">
        <f t="shared" si="89"/>
        <v>23492.814115347108</v>
      </c>
      <c r="AN75" s="69">
        <f t="shared" si="89"/>
        <v>39763.61962784316</v>
      </c>
      <c r="AO75" s="69">
        <f t="shared" si="89"/>
        <v>85796.451282602429</v>
      </c>
      <c r="AP75" s="69">
        <f t="shared" si="89"/>
        <v>3027.0217507055495</v>
      </c>
      <c r="AQ75" s="69">
        <f t="shared" si="89"/>
        <v>15081.999849939195</v>
      </c>
      <c r="AR75" s="69">
        <f t="shared" si="89"/>
        <v>1025.7742847922352</v>
      </c>
      <c r="AS75" s="69">
        <f t="shared" si="89"/>
        <v>10697.360398547598</v>
      </c>
      <c r="AT75" s="69"/>
      <c r="AU75" s="69">
        <f>AU47+SUM(AU65:AU68)</f>
        <v>347532.65164495271</v>
      </c>
      <c r="AV75" s="89"/>
    </row>
    <row r="76" spans="2:48" hidden="1" outlineLevel="1">
      <c r="B76" s="67" t="s">
        <v>135</v>
      </c>
      <c r="C76" s="52"/>
      <c r="D76" s="68">
        <v>4821.5</v>
      </c>
      <c r="E76" s="68">
        <v>6410.85</v>
      </c>
      <c r="F76" s="68">
        <v>4037.6500000000015</v>
      </c>
      <c r="G76" s="68">
        <v>-1385.4599999999991</v>
      </c>
      <c r="H76" s="68">
        <v>706.06999999999971</v>
      </c>
      <c r="I76" s="68">
        <v>3629.3099999999995</v>
      </c>
      <c r="J76" s="68">
        <v>-7.5399999999993952</v>
      </c>
      <c r="K76" s="68">
        <v>3668.5199999999995</v>
      </c>
      <c r="L76" s="68">
        <v>1340</v>
      </c>
      <c r="M76" s="69">
        <f t="shared" ref="M76:O77" si="90">M48+M69</f>
        <v>2416</v>
      </c>
      <c r="N76" s="69">
        <f t="shared" si="90"/>
        <v>2416</v>
      </c>
      <c r="O76" s="69">
        <f t="shared" si="90"/>
        <v>2046</v>
      </c>
      <c r="P76" s="69"/>
      <c r="Q76" s="69">
        <f>Q48+Q69</f>
        <v>28102</v>
      </c>
      <c r="S76" s="85">
        <f t="shared" ref="S76:AD76" ca="1" si="91">S48+S69</f>
        <v>1927.6544000000001</v>
      </c>
      <c r="T76" s="85">
        <f t="shared" ca="1" si="91"/>
        <v>3176.88</v>
      </c>
      <c r="U76" s="85">
        <f t="shared" ca="1" si="91"/>
        <v>3033.4988000000008</v>
      </c>
      <c r="V76" s="85">
        <f t="shared" ca="1" si="91"/>
        <v>3034.6271999999999</v>
      </c>
      <c r="W76" s="85">
        <f t="shared" ca="1" si="91"/>
        <v>2984.7172</v>
      </c>
      <c r="X76" s="69">
        <f t="shared" ca="1" si="91"/>
        <v>3469.5831999999991</v>
      </c>
      <c r="Y76" s="69">
        <f t="shared" ca="1" si="91"/>
        <v>3034.7760000000003</v>
      </c>
      <c r="Z76" s="69">
        <f t="shared" ca="1" si="91"/>
        <v>3294.1715999999997</v>
      </c>
      <c r="AA76" s="69">
        <f t="shared" ca="1" si="91"/>
        <v>3607.0432000000001</v>
      </c>
      <c r="AB76" s="69">
        <f t="shared" ca="1" si="91"/>
        <v>3772.5867999999991</v>
      </c>
      <c r="AC76" s="69">
        <f t="shared" ca="1" si="91"/>
        <v>4028.3507999999997</v>
      </c>
      <c r="AD76" s="69">
        <f t="shared" ca="1" si="91"/>
        <v>3040.5048000000002</v>
      </c>
      <c r="AE76" s="69"/>
      <c r="AF76" s="69">
        <f ca="1">AF48+AF69</f>
        <v>38404.394</v>
      </c>
      <c r="AG76" s="89"/>
      <c r="AH76" s="85">
        <f t="shared" ref="AH76:AS76" ca="1" si="92">AH48+AH69</f>
        <v>1554.56</v>
      </c>
      <c r="AI76" s="85">
        <f t="shared" ca="1" si="92"/>
        <v>2562</v>
      </c>
      <c r="AJ76" s="85">
        <f t="shared" ca="1" si="92"/>
        <v>2446.3700000000008</v>
      </c>
      <c r="AK76" s="85">
        <f t="shared" ca="1" si="92"/>
        <v>2447.2799999999997</v>
      </c>
      <c r="AL76" s="85">
        <f t="shared" ca="1" si="92"/>
        <v>3080.9983999999999</v>
      </c>
      <c r="AM76" s="69">
        <f t="shared" ca="1" si="92"/>
        <v>3230.3015999999998</v>
      </c>
      <c r="AN76" s="69">
        <f t="shared" ca="1" si="92"/>
        <v>2838.9840000000004</v>
      </c>
      <c r="AO76" s="69">
        <f t="shared" ca="1" si="92"/>
        <v>3081.6443999999992</v>
      </c>
      <c r="AP76" s="69">
        <f t="shared" ca="1" si="92"/>
        <v>3358.2816000000003</v>
      </c>
      <c r="AQ76" s="69">
        <f t="shared" ca="1" si="92"/>
        <v>3512.4083999999989</v>
      </c>
      <c r="AR76" s="69">
        <f t="shared" ca="1" si="92"/>
        <v>3508.5635999999995</v>
      </c>
      <c r="AS76" s="69">
        <f t="shared" ca="1" si="92"/>
        <v>2844.3432000000003</v>
      </c>
      <c r="AT76" s="69"/>
      <c r="AU76" s="69">
        <f ca="1">AU48+AU69</f>
        <v>34465.735199999996</v>
      </c>
      <c r="AV76" s="89"/>
    </row>
    <row r="77" spans="2:48" hidden="1" outlineLevel="1">
      <c r="B77" s="67" t="s">
        <v>136</v>
      </c>
      <c r="C77" s="52"/>
      <c r="D77" s="68">
        <v>0</v>
      </c>
      <c r="E77" s="68">
        <v>0</v>
      </c>
      <c r="F77" s="68">
        <v>0</v>
      </c>
      <c r="G77" s="68">
        <v>0</v>
      </c>
      <c r="H77" s="68">
        <v>0</v>
      </c>
      <c r="I77" s="68">
        <v>0</v>
      </c>
      <c r="J77" s="68">
        <v>0</v>
      </c>
      <c r="K77" s="68">
        <v>0</v>
      </c>
      <c r="L77" s="68">
        <v>-87</v>
      </c>
      <c r="M77" s="69">
        <f t="shared" si="90"/>
        <v>0</v>
      </c>
      <c r="N77" s="69">
        <f t="shared" si="90"/>
        <v>0</v>
      </c>
      <c r="O77" s="69">
        <f t="shared" si="90"/>
        <v>0</v>
      </c>
      <c r="P77" s="69"/>
      <c r="Q77" s="69">
        <f>Q49+Q70</f>
        <v>-87</v>
      </c>
      <c r="S77" s="85">
        <f t="shared" ref="S77:AD77" si="93">S49+S70</f>
        <v>0</v>
      </c>
      <c r="T77" s="85">
        <f t="shared" si="93"/>
        <v>0</v>
      </c>
      <c r="U77" s="85">
        <f t="shared" si="93"/>
        <v>0</v>
      </c>
      <c r="V77" s="85">
        <f t="shared" si="93"/>
        <v>0</v>
      </c>
      <c r="W77" s="85">
        <f t="shared" si="93"/>
        <v>0</v>
      </c>
      <c r="X77" s="69">
        <f t="shared" si="93"/>
        <v>0</v>
      </c>
      <c r="Y77" s="69">
        <f t="shared" si="93"/>
        <v>0</v>
      </c>
      <c r="Z77" s="69">
        <f t="shared" si="93"/>
        <v>0</v>
      </c>
      <c r="AA77" s="69">
        <f t="shared" si="93"/>
        <v>0</v>
      </c>
      <c r="AB77" s="69">
        <f t="shared" si="93"/>
        <v>0</v>
      </c>
      <c r="AC77" s="69">
        <f t="shared" si="93"/>
        <v>0</v>
      </c>
      <c r="AD77" s="69">
        <f t="shared" si="93"/>
        <v>0</v>
      </c>
      <c r="AE77" s="69"/>
      <c r="AF77" s="69">
        <f>AF49+AF70</f>
        <v>0</v>
      </c>
      <c r="AG77" s="531">
        <f>IFERROR(AF77/Q77-1,0)</f>
        <v>-1</v>
      </c>
      <c r="AH77" s="85">
        <f t="shared" ref="AH77:AS77" si="94">AH49+AH70</f>
        <v>0</v>
      </c>
      <c r="AI77" s="85">
        <f t="shared" si="94"/>
        <v>0</v>
      </c>
      <c r="AJ77" s="85">
        <f t="shared" si="94"/>
        <v>0</v>
      </c>
      <c r="AK77" s="85">
        <f t="shared" si="94"/>
        <v>0</v>
      </c>
      <c r="AL77" s="85">
        <f t="shared" si="94"/>
        <v>0</v>
      </c>
      <c r="AM77" s="69">
        <f t="shared" si="94"/>
        <v>0</v>
      </c>
      <c r="AN77" s="69">
        <f t="shared" si="94"/>
        <v>0</v>
      </c>
      <c r="AO77" s="69">
        <f t="shared" si="94"/>
        <v>0</v>
      </c>
      <c r="AP77" s="69">
        <f t="shared" si="94"/>
        <v>0</v>
      </c>
      <c r="AQ77" s="69">
        <f t="shared" si="94"/>
        <v>0</v>
      </c>
      <c r="AR77" s="69">
        <f t="shared" si="94"/>
        <v>0</v>
      </c>
      <c r="AS77" s="69">
        <f t="shared" si="94"/>
        <v>0</v>
      </c>
      <c r="AT77" s="69"/>
      <c r="AU77" s="69">
        <f>AU49+AU70</f>
        <v>0</v>
      </c>
      <c r="AV77" s="531">
        <f>IFERROR(AU77/AF77-1,0)</f>
        <v>0</v>
      </c>
    </row>
    <row r="78" spans="2:48" collapsed="1">
      <c r="B78" s="67" t="s">
        <v>137</v>
      </c>
      <c r="C78" s="52"/>
      <c r="D78" s="68">
        <v>100219.97</v>
      </c>
      <c r="E78" s="68">
        <v>46856.21</v>
      </c>
      <c r="F78" s="68">
        <v>1552.8499999999985</v>
      </c>
      <c r="G78" s="68">
        <v>31914.42</v>
      </c>
      <c r="H78" s="68">
        <v>-13700.04</v>
      </c>
      <c r="I78" s="68">
        <v>63172.950000000012</v>
      </c>
      <c r="J78" s="68">
        <v>30708.879999999994</v>
      </c>
      <c r="K78" s="68">
        <v>96088.78</v>
      </c>
      <c r="L78" s="68">
        <v>23799</v>
      </c>
      <c r="M78" s="69">
        <f t="shared" ref="M78:O78" si="95">M50+M72</f>
        <v>20116</v>
      </c>
      <c r="N78" s="69">
        <f t="shared" si="95"/>
        <v>197116</v>
      </c>
      <c r="O78" s="69">
        <f t="shared" si="95"/>
        <v>34496</v>
      </c>
      <c r="P78" s="69"/>
      <c r="Q78" s="69">
        <f>Q50+Q72</f>
        <v>614598</v>
      </c>
      <c r="S78" s="85">
        <f t="shared" ref="S78:AD78" ca="1" si="96">S50+S72</f>
        <v>2376.2693566305052</v>
      </c>
      <c r="T78" s="85">
        <f t="shared" ca="1" si="96"/>
        <v>33989.334992301076</v>
      </c>
      <c r="U78" s="85">
        <f t="shared" ca="1" si="96"/>
        <v>85156.541423963412</v>
      </c>
      <c r="V78" s="85">
        <f t="shared" ca="1" si="96"/>
        <v>62039.987831416496</v>
      </c>
      <c r="W78" s="85">
        <f t="shared" ca="1" si="96"/>
        <v>53679.664439211381</v>
      </c>
      <c r="X78" s="69">
        <f t="shared" ca="1" si="96"/>
        <v>37881.474530925901</v>
      </c>
      <c r="Y78" s="69">
        <f t="shared" ca="1" si="96"/>
        <v>55907.402074937156</v>
      </c>
      <c r="Z78" s="69">
        <f t="shared" ca="1" si="96"/>
        <v>80096.991408064001</v>
      </c>
      <c r="AA78" s="69">
        <f t="shared" ca="1" si="96"/>
        <v>20217.284366205949</v>
      </c>
      <c r="AB78" s="69">
        <f t="shared" ca="1" si="96"/>
        <v>16309.333855401987</v>
      </c>
      <c r="AC78" s="69">
        <f t="shared" ca="1" si="96"/>
        <v>5282.0255055401994</v>
      </c>
      <c r="AD78" s="69">
        <f t="shared" ca="1" si="96"/>
        <v>15577.25185540199</v>
      </c>
      <c r="AE78" s="69"/>
      <c r="AF78" s="69">
        <f ca="1">AF50+AF72</f>
        <v>468513.56164000003</v>
      </c>
      <c r="AG78" s="89"/>
      <c r="AH78" s="85">
        <f t="shared" ref="AH78:AS78" ca="1" si="97">AH50+AH72</f>
        <v>1939.1022638829127</v>
      </c>
      <c r="AI78" s="85">
        <f t="shared" ca="1" si="97"/>
        <v>18000.8820595178</v>
      </c>
      <c r="AJ78" s="85">
        <f t="shared" ca="1" si="97"/>
        <v>69061.134223475907</v>
      </c>
      <c r="AK78" s="85">
        <f t="shared" ca="1" si="97"/>
        <v>47442.705530611041</v>
      </c>
      <c r="AL78" s="85">
        <f t="shared" ca="1" si="97"/>
        <v>44294.994657687785</v>
      </c>
      <c r="AM78" s="69">
        <f t="shared" ca="1" si="97"/>
        <v>26723.115715347107</v>
      </c>
      <c r="AN78" s="69">
        <f t="shared" ca="1" si="97"/>
        <v>42602.603627843164</v>
      </c>
      <c r="AO78" s="69">
        <f t="shared" ca="1" si="97"/>
        <v>88878.095682602405</v>
      </c>
      <c r="AP78" s="69">
        <f t="shared" ca="1" si="97"/>
        <v>6385.3033507055552</v>
      </c>
      <c r="AQ78" s="69">
        <f t="shared" ca="1" si="97"/>
        <v>18594.408249939192</v>
      </c>
      <c r="AR78" s="69">
        <f t="shared" ca="1" si="97"/>
        <v>4534.3378847922349</v>
      </c>
      <c r="AS78" s="69">
        <f t="shared" ca="1" si="97"/>
        <v>13541.703598547596</v>
      </c>
      <c r="AT78" s="69"/>
      <c r="AU78" s="69">
        <f ca="1">AU50+AU72</f>
        <v>381998.38684495282</v>
      </c>
      <c r="AV78" s="89"/>
    </row>
    <row r="79" spans="2:48">
      <c r="B79" s="52"/>
      <c r="C79" s="52"/>
      <c r="D79" s="70"/>
      <c r="E79" s="70"/>
      <c r="F79" s="70"/>
      <c r="G79" s="70"/>
      <c r="H79" s="70"/>
      <c r="I79" s="70"/>
      <c r="J79" s="70"/>
      <c r="K79" s="70"/>
      <c r="L79" s="70"/>
      <c r="M79" s="52"/>
      <c r="N79" s="52"/>
      <c r="O79" s="52"/>
      <c r="P79" s="52"/>
      <c r="S79" s="10"/>
      <c r="T79" s="10"/>
      <c r="U79" s="10"/>
      <c r="V79" s="10"/>
      <c r="W79" s="10"/>
      <c r="X79" s="52"/>
      <c r="Y79" s="52"/>
      <c r="Z79" s="52"/>
      <c r="AA79" s="52"/>
      <c r="AB79" s="52"/>
      <c r="AC79" s="52"/>
      <c r="AD79" s="52"/>
      <c r="AE79" s="52"/>
      <c r="AG79" s="89"/>
      <c r="AH79" s="10"/>
      <c r="AI79" s="10"/>
      <c r="AJ79" s="10"/>
      <c r="AK79" s="10"/>
      <c r="AL79" s="10"/>
      <c r="AM79" s="52"/>
      <c r="AN79" s="52"/>
      <c r="AO79" s="52"/>
      <c r="AP79" s="52"/>
      <c r="AQ79" s="52"/>
      <c r="AR79" s="52"/>
      <c r="AS79" s="52"/>
      <c r="AT79" s="52"/>
      <c r="AV79" s="89"/>
    </row>
    <row r="80" spans="2:48" hidden="1" outlineLevel="1">
      <c r="B80" s="67" t="s">
        <v>138</v>
      </c>
      <c r="C80" s="52"/>
      <c r="D80" s="97">
        <v>0.45408308522291335</v>
      </c>
      <c r="E80" s="97">
        <v>5.3910650451484028E-2</v>
      </c>
      <c r="F80" s="97">
        <v>0.19596020087777086</v>
      </c>
      <c r="G80" s="97">
        <v>-0.57204771251495623</v>
      </c>
      <c r="H80" s="97">
        <v>0.15212862547288777</v>
      </c>
      <c r="I80" s="97">
        <v>0.42195573901384464</v>
      </c>
      <c r="J80" s="97">
        <v>-0.10373213724621896</v>
      </c>
      <c r="K80" s="97">
        <v>0.28446335010634433</v>
      </c>
      <c r="L80" s="97">
        <v>-0.30095036958817317</v>
      </c>
      <c r="M80" s="91">
        <f t="shared" ref="M80:O83" si="98">IFERROR(M74/M8,0)</f>
        <v>0</v>
      </c>
      <c r="N80" s="91">
        <f t="shared" si="98"/>
        <v>0</v>
      </c>
      <c r="O80" s="91">
        <f t="shared" si="98"/>
        <v>0</v>
      </c>
      <c r="P80" s="91"/>
      <c r="Q80" s="91">
        <f>IFERROR(Q74/Q8,0)</f>
        <v>0.12193394708040946</v>
      </c>
      <c r="S80" s="91">
        <f t="shared" ref="S80:AD80" si="99">IFERROR(S74/S8,0)</f>
        <v>0</v>
      </c>
      <c r="T80" s="91">
        <f t="shared" si="99"/>
        <v>0</v>
      </c>
      <c r="U80" s="91">
        <f t="shared" si="99"/>
        <v>0</v>
      </c>
      <c r="V80" s="91">
        <f t="shared" si="99"/>
        <v>0</v>
      </c>
      <c r="W80" s="91">
        <f t="shared" si="99"/>
        <v>0</v>
      </c>
      <c r="X80" s="91">
        <f t="shared" si="99"/>
        <v>0</v>
      </c>
      <c r="Y80" s="91">
        <f t="shared" si="99"/>
        <v>0</v>
      </c>
      <c r="Z80" s="91">
        <f t="shared" si="99"/>
        <v>0</v>
      </c>
      <c r="AA80" s="91">
        <f t="shared" si="99"/>
        <v>0</v>
      </c>
      <c r="AB80" s="91">
        <f t="shared" si="99"/>
        <v>0</v>
      </c>
      <c r="AC80" s="91">
        <f t="shared" si="99"/>
        <v>0</v>
      </c>
      <c r="AD80" s="91">
        <f t="shared" si="99"/>
        <v>0</v>
      </c>
      <c r="AE80" s="91"/>
      <c r="AF80" s="91">
        <f>IFERROR(AF74/AF8,0)</f>
        <v>0</v>
      </c>
      <c r="AG80" s="89"/>
      <c r="AH80" s="91">
        <f t="shared" ref="AH80:AS80" si="100">IFERROR(AH74/AH8,0)</f>
        <v>0</v>
      </c>
      <c r="AI80" s="91">
        <f t="shared" si="100"/>
        <v>0</v>
      </c>
      <c r="AJ80" s="91">
        <f t="shared" si="100"/>
        <v>0</v>
      </c>
      <c r="AK80" s="91">
        <f t="shared" si="100"/>
        <v>0</v>
      </c>
      <c r="AL80" s="91">
        <f t="shared" si="100"/>
        <v>0</v>
      </c>
      <c r="AM80" s="91">
        <f t="shared" si="100"/>
        <v>0</v>
      </c>
      <c r="AN80" s="91">
        <f t="shared" si="100"/>
        <v>0</v>
      </c>
      <c r="AO80" s="91">
        <f t="shared" si="100"/>
        <v>0</v>
      </c>
      <c r="AP80" s="91">
        <f t="shared" si="100"/>
        <v>0</v>
      </c>
      <c r="AQ80" s="91">
        <f t="shared" si="100"/>
        <v>0</v>
      </c>
      <c r="AR80" s="91">
        <f t="shared" si="100"/>
        <v>0</v>
      </c>
      <c r="AS80" s="91">
        <f t="shared" si="100"/>
        <v>0</v>
      </c>
      <c r="AT80" s="91"/>
      <c r="AU80" s="91">
        <f>IFERROR(AU74/AU8,0)</f>
        <v>0</v>
      </c>
      <c r="AV80" s="89"/>
    </row>
    <row r="81" spans="2:48" hidden="1" outlineLevel="1">
      <c r="B81" s="67" t="s">
        <v>139</v>
      </c>
      <c r="C81" s="52"/>
      <c r="D81" s="97">
        <v>0.54518350680333461</v>
      </c>
      <c r="E81" s="97">
        <v>0.4539267299018192</v>
      </c>
      <c r="F81" s="97">
        <v>-0.49514902375134817</v>
      </c>
      <c r="G81" s="97">
        <v>0.76717076422293162</v>
      </c>
      <c r="H81" s="97">
        <v>-1.4001585968840375</v>
      </c>
      <c r="I81" s="97">
        <v>0.54656864691448226</v>
      </c>
      <c r="J81" s="97">
        <v>0.38932894362294551</v>
      </c>
      <c r="K81" s="97">
        <v>0.54775502159141387</v>
      </c>
      <c r="L81" s="97">
        <v>0.41236168863203893</v>
      </c>
      <c r="M81" s="91">
        <f t="shared" si="98"/>
        <v>0.59</v>
      </c>
      <c r="N81" s="91">
        <f t="shared" si="98"/>
        <v>0.59</v>
      </c>
      <c r="O81" s="91">
        <f t="shared" si="98"/>
        <v>0.59</v>
      </c>
      <c r="P81" s="91"/>
      <c r="Q81" s="91">
        <f>IFERROR(Q75/Q9,0)</f>
        <v>0.50692162126556572</v>
      </c>
      <c r="S81" s="91">
        <f t="shared" ref="S81:AD81" si="101">IFERROR(S75/S9,0)</f>
        <v>0.62683735277009922</v>
      </c>
      <c r="T81" s="91">
        <f t="shared" si="101"/>
        <v>0.58869528755542433</v>
      </c>
      <c r="U81" s="91">
        <f t="shared" si="101"/>
        <v>0.60831883425158073</v>
      </c>
      <c r="V81" s="91">
        <f t="shared" si="101"/>
        <v>0.49978493100864185</v>
      </c>
      <c r="W81" s="91">
        <f t="shared" si="101"/>
        <v>0.59737791229207382</v>
      </c>
      <c r="X81" s="91">
        <f t="shared" si="101"/>
        <v>0.62683735277009922</v>
      </c>
      <c r="Y81" s="91">
        <f t="shared" si="101"/>
        <v>0.5489662967729606</v>
      </c>
      <c r="Z81" s="91">
        <f t="shared" si="101"/>
        <v>0.61725335146671378</v>
      </c>
      <c r="AA81" s="91">
        <f t="shared" si="101"/>
        <v>0.27683735277009924</v>
      </c>
      <c r="AB81" s="91">
        <f t="shared" si="101"/>
        <v>0.62683735277009933</v>
      </c>
      <c r="AC81" s="91">
        <f t="shared" si="101"/>
        <v>0.62683735277009922</v>
      </c>
      <c r="AD81" s="91">
        <f t="shared" si="101"/>
        <v>0.62683735277009933</v>
      </c>
      <c r="AE81" s="91"/>
      <c r="AF81" s="91">
        <f>IFERROR(AF75/AF9,0)</f>
        <v>0.55958818928912279</v>
      </c>
      <c r="AG81" s="89"/>
      <c r="AH81" s="91">
        <f t="shared" ref="AH81:AS81" si="102">IFERROR(AH75/AH9,0)</f>
        <v>0.48846394513915969</v>
      </c>
      <c r="AI81" s="91">
        <f t="shared" si="102"/>
        <v>0.45875000575017616</v>
      </c>
      <c r="AJ81" s="91">
        <f t="shared" si="102"/>
        <v>0.46994542662064115</v>
      </c>
      <c r="AK81" s="91">
        <f t="shared" si="102"/>
        <v>0.41085088771414602</v>
      </c>
      <c r="AL81" s="91">
        <f t="shared" si="102"/>
        <v>0.45921560540862955</v>
      </c>
      <c r="AM81" s="91">
        <f t="shared" si="102"/>
        <v>0.46852079190087625</v>
      </c>
      <c r="AN81" s="91">
        <f t="shared" si="102"/>
        <v>0.44381828289339886</v>
      </c>
      <c r="AO81" s="91">
        <f t="shared" si="102"/>
        <v>0.46799705661205759</v>
      </c>
      <c r="AP81" s="91">
        <f t="shared" si="102"/>
        <v>7.3829798797696328E-2</v>
      </c>
      <c r="AQ81" s="91">
        <f t="shared" si="102"/>
        <v>0.47278996394793715</v>
      </c>
      <c r="AR81" s="91">
        <f t="shared" si="102"/>
        <v>0.48846394513915964</v>
      </c>
      <c r="AS81" s="91">
        <f t="shared" si="102"/>
        <v>0.48846394513915975</v>
      </c>
      <c r="AT81" s="91"/>
      <c r="AU81" s="91">
        <f>IFERROR(AU75/AU9,0)</f>
        <v>0.43691627503841257</v>
      </c>
      <c r="AV81" s="89"/>
    </row>
    <row r="82" spans="2:48" hidden="1" outlineLevel="1">
      <c r="B82" s="67" t="s">
        <v>140</v>
      </c>
      <c r="C82" s="52"/>
      <c r="D82" s="97">
        <v>0.41457437661220981</v>
      </c>
      <c r="E82" s="97">
        <v>0.5230716635553061</v>
      </c>
      <c r="F82" s="97">
        <v>0.35570279415638373</v>
      </c>
      <c r="G82" s="97">
        <v>-0.11091719278132783</v>
      </c>
      <c r="H82" s="97">
        <v>7.977290701615633E-2</v>
      </c>
      <c r="I82" s="97">
        <v>0.2741454364990939</v>
      </c>
      <c r="J82" s="97">
        <v>-7.5609513963185938E-4</v>
      </c>
      <c r="K82" s="97">
        <v>0.35968809226633142</v>
      </c>
      <c r="L82" s="97">
        <v>0.16005733397037744</v>
      </c>
      <c r="M82" s="91">
        <f t="shared" si="98"/>
        <v>0.19483870967741934</v>
      </c>
      <c r="N82" s="91">
        <f t="shared" si="98"/>
        <v>0.19483870967741934</v>
      </c>
      <c r="O82" s="91">
        <f t="shared" si="98"/>
        <v>0.21312500000000001</v>
      </c>
      <c r="P82" s="91"/>
      <c r="Q82" s="91">
        <f>IFERROR(Q76/Q10,0)</f>
        <v>0.21364493370636176</v>
      </c>
      <c r="S82" s="91">
        <f t="shared" ref="S82:AD82" ca="1" si="103">IFERROR(S76/S10,0)</f>
        <v>0.31000000000000005</v>
      </c>
      <c r="T82" s="91">
        <f t="shared" ca="1" si="103"/>
        <v>0.31</v>
      </c>
      <c r="U82" s="91">
        <f t="shared" ca="1" si="103"/>
        <v>0.31000000000000011</v>
      </c>
      <c r="V82" s="91">
        <f t="shared" ca="1" si="103"/>
        <v>0.30999999999999994</v>
      </c>
      <c r="W82" s="91">
        <f t="shared" ca="1" si="103"/>
        <v>0.31</v>
      </c>
      <c r="X82" s="91">
        <f t="shared" ca="1" si="103"/>
        <v>0.28999999999999992</v>
      </c>
      <c r="Y82" s="91">
        <f t="shared" ca="1" si="103"/>
        <v>0.31</v>
      </c>
      <c r="Z82" s="91">
        <f t="shared" ca="1" si="103"/>
        <v>0.30999999999999994</v>
      </c>
      <c r="AA82" s="91">
        <f t="shared" ca="1" si="103"/>
        <v>0.28999999999999998</v>
      </c>
      <c r="AB82" s="91">
        <f t="shared" ca="1" si="103"/>
        <v>0.28999999999999992</v>
      </c>
      <c r="AC82" s="91">
        <f t="shared" ca="1" si="103"/>
        <v>0.31</v>
      </c>
      <c r="AD82" s="91">
        <f t="shared" ca="1" si="103"/>
        <v>0.31</v>
      </c>
      <c r="AE82" s="91"/>
      <c r="AF82" s="91">
        <f ca="1">IFERROR(AF76/AF10,0)</f>
        <v>0.30407578031644966</v>
      </c>
      <c r="AG82" s="89"/>
      <c r="AH82" s="91">
        <f t="shared" ref="AH82:AS82" ca="1" si="104">IFERROR(AH76/AH10,0)</f>
        <v>0.25</v>
      </c>
      <c r="AI82" s="91">
        <f t="shared" ca="1" si="104"/>
        <v>0.25</v>
      </c>
      <c r="AJ82" s="91">
        <f t="shared" ca="1" si="104"/>
        <v>0.25000000000000011</v>
      </c>
      <c r="AK82" s="91">
        <f t="shared" ca="1" si="104"/>
        <v>0.24999999999999994</v>
      </c>
      <c r="AL82" s="91">
        <f t="shared" ca="1" si="104"/>
        <v>0.31999999999999995</v>
      </c>
      <c r="AM82" s="91">
        <f t="shared" ca="1" si="104"/>
        <v>0.26999999999999996</v>
      </c>
      <c r="AN82" s="91">
        <f t="shared" ca="1" si="104"/>
        <v>0.29000000000000004</v>
      </c>
      <c r="AO82" s="91">
        <f t="shared" ca="1" si="104"/>
        <v>0.28999999999999992</v>
      </c>
      <c r="AP82" s="91">
        <f t="shared" ca="1" si="104"/>
        <v>0.27</v>
      </c>
      <c r="AQ82" s="91">
        <f t="shared" ca="1" si="104"/>
        <v>0.26999999999999991</v>
      </c>
      <c r="AR82" s="91">
        <f t="shared" ca="1" si="104"/>
        <v>0.26999999999999996</v>
      </c>
      <c r="AS82" s="91">
        <f t="shared" ca="1" si="104"/>
        <v>0.29000000000000004</v>
      </c>
      <c r="AT82" s="91"/>
      <c r="AU82" s="91">
        <f ca="1">IFERROR(AU76/AU10,0)</f>
        <v>0.27289052719124079</v>
      </c>
      <c r="AV82" s="89"/>
    </row>
    <row r="83" spans="2:48" hidden="1" outlineLevel="1">
      <c r="B83" s="67" t="s">
        <v>141</v>
      </c>
      <c r="C83" s="52"/>
      <c r="D83" s="97">
        <v>0</v>
      </c>
      <c r="E83" s="97">
        <v>0</v>
      </c>
      <c r="F83" s="97">
        <v>0</v>
      </c>
      <c r="G83" s="97">
        <v>0</v>
      </c>
      <c r="H83" s="97">
        <v>0</v>
      </c>
      <c r="I83" s="97">
        <v>0</v>
      </c>
      <c r="J83" s="97">
        <v>0</v>
      </c>
      <c r="K83" s="97">
        <v>0</v>
      </c>
      <c r="L83" s="97">
        <v>0</v>
      </c>
      <c r="M83" s="91">
        <f t="shared" si="98"/>
        <v>0</v>
      </c>
      <c r="N83" s="91">
        <f t="shared" si="98"/>
        <v>0</v>
      </c>
      <c r="O83" s="91">
        <f t="shared" si="98"/>
        <v>0</v>
      </c>
      <c r="P83" s="91"/>
      <c r="Q83" s="91">
        <f>IFERROR(Q77/Q11,0)</f>
        <v>0</v>
      </c>
      <c r="S83" s="91">
        <f t="shared" ref="S83:AD83" si="105">IFERROR(S77/S11,0)</f>
        <v>0</v>
      </c>
      <c r="T83" s="91">
        <f t="shared" si="105"/>
        <v>0</v>
      </c>
      <c r="U83" s="91">
        <f t="shared" si="105"/>
        <v>0</v>
      </c>
      <c r="V83" s="91">
        <f t="shared" si="105"/>
        <v>0</v>
      </c>
      <c r="W83" s="91">
        <f t="shared" si="105"/>
        <v>0</v>
      </c>
      <c r="X83" s="91">
        <f t="shared" si="105"/>
        <v>0</v>
      </c>
      <c r="Y83" s="91">
        <f t="shared" si="105"/>
        <v>0</v>
      </c>
      <c r="Z83" s="91">
        <f t="shared" si="105"/>
        <v>0</v>
      </c>
      <c r="AA83" s="91">
        <f t="shared" si="105"/>
        <v>0</v>
      </c>
      <c r="AB83" s="91">
        <f t="shared" si="105"/>
        <v>0</v>
      </c>
      <c r="AC83" s="91">
        <f t="shared" si="105"/>
        <v>0</v>
      </c>
      <c r="AD83" s="91">
        <f t="shared" si="105"/>
        <v>0</v>
      </c>
      <c r="AE83" s="91"/>
      <c r="AF83" s="91">
        <f>IFERROR(AF77/AF11,0)</f>
        <v>0</v>
      </c>
      <c r="AG83" s="89"/>
      <c r="AH83" s="91">
        <f t="shared" ref="AH83:AS83" si="106">IFERROR(AH77/AH11,0)</f>
        <v>0</v>
      </c>
      <c r="AI83" s="91">
        <f t="shared" si="106"/>
        <v>0</v>
      </c>
      <c r="AJ83" s="91">
        <f t="shared" si="106"/>
        <v>0</v>
      </c>
      <c r="AK83" s="91">
        <f t="shared" si="106"/>
        <v>0</v>
      </c>
      <c r="AL83" s="91">
        <f t="shared" si="106"/>
        <v>0</v>
      </c>
      <c r="AM83" s="91">
        <f t="shared" si="106"/>
        <v>0</v>
      </c>
      <c r="AN83" s="91">
        <f t="shared" si="106"/>
        <v>0</v>
      </c>
      <c r="AO83" s="91">
        <f t="shared" si="106"/>
        <v>0</v>
      </c>
      <c r="AP83" s="91">
        <f t="shared" si="106"/>
        <v>0</v>
      </c>
      <c r="AQ83" s="91">
        <f t="shared" si="106"/>
        <v>0</v>
      </c>
      <c r="AR83" s="91">
        <f t="shared" si="106"/>
        <v>0</v>
      </c>
      <c r="AS83" s="91">
        <f t="shared" si="106"/>
        <v>0</v>
      </c>
      <c r="AT83" s="91"/>
      <c r="AU83" s="91">
        <f>IFERROR(AU77/AU11,0)</f>
        <v>0</v>
      </c>
      <c r="AV83" s="89"/>
    </row>
    <row r="84" spans="2:48" collapsed="1">
      <c r="B84" s="72" t="s">
        <v>142</v>
      </c>
      <c r="C84" s="73"/>
      <c r="D84" s="97">
        <v>0.53505805878187396</v>
      </c>
      <c r="E84" s="97">
        <v>0.44340431467484176</v>
      </c>
      <c r="F84" s="97">
        <v>6.3474434867630894E-2</v>
      </c>
      <c r="G84" s="97">
        <v>0.48148355450699581</v>
      </c>
      <c r="H84" s="97">
        <v>-0.58211344805608667</v>
      </c>
      <c r="I84" s="97">
        <v>0.50700247919617258</v>
      </c>
      <c r="J84" s="97">
        <v>0.31987437051406958</v>
      </c>
      <c r="K84" s="97">
        <v>0.53289517321392721</v>
      </c>
      <c r="L84" s="97">
        <v>0.35014491900719447</v>
      </c>
      <c r="M84" s="91">
        <f>IFERROR(M78/M13,0)</f>
        <v>0.47443396226415097</v>
      </c>
      <c r="N84" s="91">
        <f>IFERROR(N78/N13,0)</f>
        <v>0.57568925233644863</v>
      </c>
      <c r="O84" s="91">
        <f>IFERROR(O78/O13,0)</f>
        <v>0.53399380804953556</v>
      </c>
      <c r="P84" s="91"/>
      <c r="Q84" s="91">
        <f>IFERROR(Q78/Q13,0)</f>
        <v>0.46408361687379091</v>
      </c>
      <c r="S84" s="91">
        <f t="shared" ref="S84:AD84" ca="1" si="107">IFERROR(S78/S13,0)</f>
        <v>0.34270215933130249</v>
      </c>
      <c r="T84" s="91">
        <f t="shared" ca="1" si="107"/>
        <v>0.5430626076088837</v>
      </c>
      <c r="U84" s="91">
        <f t="shared" ca="1" si="107"/>
        <v>0.58815663990590361</v>
      </c>
      <c r="V84" s="91">
        <f t="shared" ca="1" si="107"/>
        <v>0.48525369599616891</v>
      </c>
      <c r="W84" s="91">
        <f t="shared" ca="1" si="107"/>
        <v>0.56809552657124041</v>
      </c>
      <c r="X84" s="91">
        <f t="shared" ca="1" si="107"/>
        <v>0.56656446365612345</v>
      </c>
      <c r="Y84" s="91">
        <f t="shared" ca="1" si="107"/>
        <v>0.52691798647899313</v>
      </c>
      <c r="Z84" s="91">
        <f t="shared" ca="1" si="107"/>
        <v>0.5930777877766239</v>
      </c>
      <c r="AA84" s="91">
        <f t="shared" ca="1" si="107"/>
        <v>0.27909746318795237</v>
      </c>
      <c r="AB84" s="91">
        <f t="shared" ca="1" si="107"/>
        <v>0.49408868437385978</v>
      </c>
      <c r="AC84" s="91">
        <f t="shared" ca="1" si="107"/>
        <v>0.3522599685715333</v>
      </c>
      <c r="AD84" s="91">
        <f t="shared" ca="1" si="107"/>
        <v>0.52258487817403831</v>
      </c>
      <c r="AE84" s="91"/>
      <c r="AF84" s="91">
        <f ca="1">IFERROR(AF78/AF13,0)</f>
        <v>0.52352793562759004</v>
      </c>
      <c r="AG84" s="89"/>
      <c r="AH84" s="91">
        <f t="shared" ref="AH84:AS84" ca="1" si="108">IFERROR(AH78/AH13,0)</f>
        <v>0.27679759980788105</v>
      </c>
      <c r="AI84" s="91">
        <f t="shared" ca="1" si="108"/>
        <v>0.41002196506494759</v>
      </c>
      <c r="AJ84" s="91">
        <f t="shared" ca="1" si="108"/>
        <v>0.45574233983668977</v>
      </c>
      <c r="AK84" s="91">
        <f t="shared" ca="1" si="108"/>
        <v>0.39765307350905166</v>
      </c>
      <c r="AL84" s="91">
        <f t="shared" ca="1" si="108"/>
        <v>0.44572770379783783</v>
      </c>
      <c r="AM84" s="91">
        <f t="shared" ca="1" si="108"/>
        <v>0.4302781806569792</v>
      </c>
      <c r="AN84" s="91">
        <f t="shared" ca="1" si="108"/>
        <v>0.42866675034592061</v>
      </c>
      <c r="AO84" s="91">
        <f t="shared" ca="1" si="108"/>
        <v>0.45824490927824946</v>
      </c>
      <c r="AP84" s="91">
        <f t="shared" ca="1" si="108"/>
        <v>0.11948975993721248</v>
      </c>
      <c r="AQ84" s="91">
        <f t="shared" ca="1" si="108"/>
        <v>0.4140471035584733</v>
      </c>
      <c r="AR84" s="91">
        <f t="shared" ca="1" si="108"/>
        <v>0.30039311100283245</v>
      </c>
      <c r="AS84" s="91">
        <f t="shared" ca="1" si="108"/>
        <v>0.42707422204521989</v>
      </c>
      <c r="AT84" s="91"/>
      <c r="AU84" s="91">
        <f ca="1">IFERROR(AU78/AU13,0)</f>
        <v>0.41444064252262736</v>
      </c>
      <c r="AV84" s="89"/>
    </row>
    <row r="85" spans="2:48">
      <c r="D85" s="53"/>
      <c r="E85" s="53"/>
      <c r="F85" s="53"/>
      <c r="G85" s="53"/>
      <c r="H85" s="53"/>
      <c r="I85" s="53"/>
      <c r="J85" s="53"/>
      <c r="K85" s="53"/>
      <c r="L85" s="53"/>
      <c r="M85" s="91"/>
      <c r="N85" s="91"/>
      <c r="O85" s="91"/>
      <c r="P85" s="91"/>
      <c r="Q85" s="91"/>
      <c r="AG85" s="89"/>
      <c r="AV85" s="89"/>
    </row>
    <row r="86" spans="2:48" hidden="1" outlineLevel="1">
      <c r="B86" s="58" t="s">
        <v>143</v>
      </c>
      <c r="D86" s="53"/>
      <c r="E86" s="53"/>
      <c r="F86" s="53"/>
      <c r="G86" s="53"/>
      <c r="H86" s="53"/>
      <c r="I86" s="53"/>
      <c r="J86" s="53"/>
      <c r="K86" s="53"/>
      <c r="L86" s="53"/>
      <c r="M86" s="60"/>
      <c r="N86" s="60"/>
      <c r="O86" s="60"/>
      <c r="X86" s="60"/>
      <c r="Y86" s="60"/>
      <c r="Z86" s="60"/>
      <c r="AA86" s="60"/>
      <c r="AB86" s="60"/>
      <c r="AC86" s="60"/>
      <c r="AD86" s="60"/>
      <c r="AG86" s="89"/>
      <c r="AM86" s="60"/>
      <c r="AN86" s="60"/>
      <c r="AO86" s="60"/>
      <c r="AP86" s="60"/>
      <c r="AQ86" s="60"/>
      <c r="AR86" s="60"/>
      <c r="AS86" s="60"/>
      <c r="AV86" s="89"/>
    </row>
    <row r="87" spans="2:48" hidden="1" outlineLevel="1">
      <c r="B87" s="58"/>
      <c r="D87" s="53"/>
      <c r="E87" s="53"/>
      <c r="F87" s="53"/>
      <c r="G87" s="53"/>
      <c r="H87" s="53"/>
      <c r="I87" s="53"/>
      <c r="J87" s="53"/>
      <c r="K87" s="53"/>
      <c r="L87" s="53"/>
      <c r="AG87" s="89"/>
      <c r="AV87" s="89"/>
    </row>
    <row r="88" spans="2:48" hidden="1" outlineLevel="1">
      <c r="B88" s="51" t="s">
        <v>144</v>
      </c>
      <c r="D88" s="59"/>
      <c r="E88" s="59">
        <v>0</v>
      </c>
      <c r="F88" s="59">
        <v>0</v>
      </c>
      <c r="G88" s="59"/>
      <c r="H88" s="59">
        <v>0</v>
      </c>
      <c r="I88" s="59">
        <v>0</v>
      </c>
      <c r="J88" s="59"/>
      <c r="K88" s="59"/>
      <c r="L88" s="59">
        <v>-201</v>
      </c>
      <c r="M88" s="60"/>
      <c r="N88" s="60"/>
      <c r="O88" s="60"/>
      <c r="P88" s="60"/>
      <c r="Q88" s="61">
        <f>SUM(D88:O88)</f>
        <v>-201</v>
      </c>
      <c r="R88" s="61"/>
      <c r="S88" s="60">
        <f>SUMIFS(Payroll!I:I,Payroll!$C:$C,"Permanent",Payroll!$B:$B,"ROW")</f>
        <v>0</v>
      </c>
      <c r="T88" s="60">
        <f>SUMIFS(Payroll!J:J,Payroll!$C:$C,"Permanent",Payroll!$B:$B,"ROW")</f>
        <v>0</v>
      </c>
      <c r="U88" s="60">
        <f>SUMIFS(Payroll!K:K,Payroll!$C:$C,"Permanent",Payroll!$B:$B,"ROW")</f>
        <v>0</v>
      </c>
      <c r="V88" s="60">
        <f>SUMIFS(Payroll!L:L,Payroll!$C:$C,"Permanent",Payroll!$B:$B,"ROW")</f>
        <v>0</v>
      </c>
      <c r="W88" s="60">
        <f>SUMIFS(Payroll!M:M,Payroll!$C:$C,"Permanent",Payroll!$B:$B,"ROW")</f>
        <v>0</v>
      </c>
      <c r="X88" s="60">
        <f>SUMIFS(Payroll!N:N,Payroll!$C:$C,"Permanent",Payroll!$B:$B,"ROW")</f>
        <v>0</v>
      </c>
      <c r="Y88" s="60">
        <f>SUMIFS(Payroll!O:O,Payroll!$C:$C,"Permanent",Payroll!$B:$B,"ROW")</f>
        <v>0</v>
      </c>
      <c r="Z88" s="60">
        <f>SUMIFS(Payroll!P:P,Payroll!$C:$C,"Permanent",Payroll!$B:$B,"ROW")</f>
        <v>0</v>
      </c>
      <c r="AA88" s="60">
        <f>SUMIFS(Payroll!Q:Q,Payroll!$C:$C,"Permanent",Payroll!$B:$B,"ROW")</f>
        <v>0</v>
      </c>
      <c r="AB88" s="60">
        <f>SUMIFS(Payroll!R:R,Payroll!$C:$C,"Permanent",Payroll!$B:$B,"ROW")</f>
        <v>0</v>
      </c>
      <c r="AC88" s="60">
        <f>SUMIFS(Payroll!S:S,Payroll!$C:$C,"Permanent",Payroll!$B:$B,"ROW")</f>
        <v>0</v>
      </c>
      <c r="AD88" s="60">
        <f>SUMIFS(Payroll!T:T,Payroll!$C:$C,"Permanent",Payroll!$B:$B,"ROW")</f>
        <v>0</v>
      </c>
      <c r="AE88" s="60"/>
      <c r="AF88" s="61">
        <f>SUM(S88:AD88)</f>
        <v>0</v>
      </c>
      <c r="AG88" s="89"/>
      <c r="AH88" s="60">
        <f>SUMIFS(Payroll!U:U,Payroll!$C:$C,"Permanent",Payroll!$B:$B,"ROW")</f>
        <v>0</v>
      </c>
      <c r="AI88" s="60">
        <f>SUMIFS(Payroll!V:V,Payroll!$C:$C,"Permanent",Payroll!$B:$B,"ROW")</f>
        <v>0</v>
      </c>
      <c r="AJ88" s="60">
        <f>SUMIFS(Payroll!W:W,Payroll!$C:$C,"Permanent",Payroll!$B:$B,"ROW")</f>
        <v>0</v>
      </c>
      <c r="AK88" s="60">
        <f>SUMIFS(Payroll!X:X,Payroll!$C:$C,"Permanent",Payroll!$B:$B,"ROW")</f>
        <v>0</v>
      </c>
      <c r="AL88" s="60">
        <f>SUMIFS(Payroll!Y:Y,Payroll!$C:$C,"Permanent",Payroll!$B:$B,"ROW")</f>
        <v>0</v>
      </c>
      <c r="AM88" s="60">
        <f>SUMIFS(Payroll!Z:Z,Payroll!$C:$C,"Permanent",Payroll!$B:$B,"ROW")</f>
        <v>0</v>
      </c>
      <c r="AN88" s="60">
        <f>SUMIFS(Payroll!AA:AA,Payroll!$C:$C,"Permanent",Payroll!$B:$B,"ROW")</f>
        <v>0</v>
      </c>
      <c r="AO88" s="60">
        <f>SUMIFS(Payroll!AB:AB,Payroll!$C:$C,"Permanent",Payroll!$B:$B,"ROW")</f>
        <v>0</v>
      </c>
      <c r="AP88" s="60">
        <f>SUMIFS(Payroll!AC:AC,Payroll!$C:$C,"Permanent",Payroll!$B:$B,"ROW")</f>
        <v>0</v>
      </c>
      <c r="AQ88" s="60">
        <f>SUMIFS(Payroll!AD:AD,Payroll!$C:$C,"Permanent",Payroll!$B:$B,"ROW")</f>
        <v>0</v>
      </c>
      <c r="AR88" s="60">
        <f>SUMIFS(Payroll!AE:AE,Payroll!$C:$C,"Permanent",Payroll!$B:$B,"ROW")</f>
        <v>0</v>
      </c>
      <c r="AS88" s="60">
        <f>SUMIFS(Payroll!AF:AF,Payroll!$C:$C,"Permanent",Payroll!$B:$B,"ROW")</f>
        <v>0</v>
      </c>
      <c r="AT88" s="60"/>
      <c r="AU88" s="61">
        <f>SUM(AH88:AS88)</f>
        <v>0</v>
      </c>
      <c r="AV88" s="89"/>
    </row>
    <row r="89" spans="2:48" hidden="1" outlineLevel="1">
      <c r="B89" s="51" t="s">
        <v>145</v>
      </c>
      <c r="D89" s="59">
        <v>0</v>
      </c>
      <c r="E89" s="59">
        <v>0</v>
      </c>
      <c r="F89" s="59">
        <v>0</v>
      </c>
      <c r="G89" s="59"/>
      <c r="H89" s="59">
        <v>0</v>
      </c>
      <c r="I89" s="59">
        <v>0</v>
      </c>
      <c r="J89" s="59"/>
      <c r="K89" s="59"/>
      <c r="L89" s="59"/>
      <c r="M89" s="60"/>
      <c r="N89" s="60"/>
      <c r="O89" s="60"/>
      <c r="P89" s="60"/>
      <c r="Q89" s="61">
        <f t="shared" ref="Q89:Q96" si="109">SUM(D89:O89)</f>
        <v>0</v>
      </c>
      <c r="R89" s="61"/>
      <c r="S89" s="60">
        <f>SUMIFS(Payroll!I:I,Payroll!$C:$C,"FrROWlanROWr",Payroll!$B:$B,"ROW")</f>
        <v>0</v>
      </c>
      <c r="T89" s="60">
        <f>SUMIFS(Payroll!J:J,Payroll!$C:$C,"FrROWlanROWr",Payroll!$B:$B,"ROW")</f>
        <v>0</v>
      </c>
      <c r="U89" s="60">
        <f>SUMIFS(Payroll!K:K,Payroll!$C:$C,"FrROWlanROWr",Payroll!$B:$B,"ROW")</f>
        <v>0</v>
      </c>
      <c r="V89" s="60">
        <f>SUMIFS(Payroll!L:L,Payroll!$C:$C,"FrROWlanROWr",Payroll!$B:$B,"ROW")</f>
        <v>0</v>
      </c>
      <c r="W89" s="60">
        <f>SUMIFS(Payroll!M:M,Payroll!$C:$C,"FrROWlanROWr",Payroll!$B:$B,"ROW")</f>
        <v>0</v>
      </c>
      <c r="X89" s="60">
        <f>SUMIFS(Payroll!N:N,Payroll!$C:$C,"FrROWlanROWr",Payroll!$B:$B,"ROW")</f>
        <v>0</v>
      </c>
      <c r="Y89" s="60">
        <f>SUMIFS(Payroll!O:O,Payroll!$C:$C,"FrROWlanROWr",Payroll!$B:$B,"ROW")</f>
        <v>0</v>
      </c>
      <c r="Z89" s="60">
        <f>SUMIFS(Payroll!P:P,Payroll!$C:$C,"FrROWlanROWr",Payroll!$B:$B,"ROW")</f>
        <v>0</v>
      </c>
      <c r="AA89" s="60">
        <f>SUMIFS(Payroll!Q:Q,Payroll!$C:$C,"FrROWlanROWr",Payroll!$B:$B,"ROW")</f>
        <v>0</v>
      </c>
      <c r="AB89" s="60">
        <f>SUMIFS(Payroll!R:R,Payroll!$C:$C,"FrROWlanROWr",Payroll!$B:$B,"ROW")</f>
        <v>0</v>
      </c>
      <c r="AC89" s="60">
        <f>SUMIFS(Payroll!S:S,Payroll!$C:$C,"FrROWlanROWr",Payroll!$B:$B,"ROW")</f>
        <v>0</v>
      </c>
      <c r="AD89" s="60">
        <f>SUMIFS(Payroll!T:T,Payroll!$C:$C,"FrROWlanROWr",Payroll!$B:$B,"ROW")</f>
        <v>0</v>
      </c>
      <c r="AE89" s="60"/>
      <c r="AF89" s="61">
        <f t="shared" ref="AF89" si="110">SUM(S89:AD89)</f>
        <v>0</v>
      </c>
      <c r="AG89" s="89"/>
      <c r="AH89" s="60">
        <f>SUMIFS(Payroll!U:U,Payroll!$C:$C,"FrROWlanROWr",Payroll!$B:$B,"ROW")</f>
        <v>0</v>
      </c>
      <c r="AI89" s="60">
        <f>SUMIFS(Payroll!V:V,Payroll!$C:$C,"FrROWlanROWr",Payroll!$B:$B,"ROW")</f>
        <v>0</v>
      </c>
      <c r="AJ89" s="60">
        <f>SUMIFS(Payroll!W:W,Payroll!$C:$C,"FrROWlanROWr",Payroll!$B:$B,"ROW")</f>
        <v>0</v>
      </c>
      <c r="AK89" s="60">
        <f>SUMIFS(Payroll!X:X,Payroll!$C:$C,"FrROWlanROWr",Payroll!$B:$B,"ROW")</f>
        <v>0</v>
      </c>
      <c r="AL89" s="60">
        <f>SUMIFS(Payroll!Y:Y,Payroll!$C:$C,"FrROWlanROWr",Payroll!$B:$B,"ROW")</f>
        <v>0</v>
      </c>
      <c r="AM89" s="60">
        <f>SUMIFS(Payroll!Z:Z,Payroll!$C:$C,"FrROWlanROWr",Payroll!$B:$B,"ROW")</f>
        <v>0</v>
      </c>
      <c r="AN89" s="60">
        <f>SUMIFS(Payroll!AA:AA,Payroll!$C:$C,"FrROWlanROWr",Payroll!$B:$B,"ROW")</f>
        <v>0</v>
      </c>
      <c r="AO89" s="60">
        <f>SUMIFS(Payroll!AB:AB,Payroll!$C:$C,"FrROWlanROWr",Payroll!$B:$B,"ROW")</f>
        <v>0</v>
      </c>
      <c r="AP89" s="60">
        <f>SUMIFS(Payroll!AC:AC,Payroll!$C:$C,"FrROWlanROWr",Payroll!$B:$B,"ROW")</f>
        <v>0</v>
      </c>
      <c r="AQ89" s="60">
        <f>SUMIFS(Payroll!AD:AD,Payroll!$C:$C,"FrROWlanROWr",Payroll!$B:$B,"ROW")</f>
        <v>0</v>
      </c>
      <c r="AR89" s="60">
        <f>SUMIFS(Payroll!AE:AE,Payroll!$C:$C,"FrROWlanROWr",Payroll!$B:$B,"ROW")</f>
        <v>0</v>
      </c>
      <c r="AS89" s="60">
        <f>SUMIFS(Payroll!AF:AF,Payroll!$C:$C,"FrROWlanROWr",Payroll!$B:$B,"ROW")</f>
        <v>0</v>
      </c>
      <c r="AT89" s="60"/>
      <c r="AU89" s="61">
        <f t="shared" ref="AU89:AU96" si="111">SUM(AH89:AS89)</f>
        <v>0</v>
      </c>
      <c r="AV89" s="89"/>
    </row>
    <row r="90" spans="2:48" hidden="1" outlineLevel="1">
      <c r="B90" s="51" t="s">
        <v>146</v>
      </c>
      <c r="D90" s="59">
        <v>-935</v>
      </c>
      <c r="E90" s="59">
        <v>-134</v>
      </c>
      <c r="F90" s="59"/>
      <c r="G90" s="59"/>
      <c r="H90" s="59"/>
      <c r="I90" s="59"/>
      <c r="J90" s="59"/>
      <c r="K90" s="59"/>
      <c r="L90" s="59">
        <v>-109</v>
      </c>
      <c r="M90" s="60"/>
      <c r="N90" s="60"/>
      <c r="O90" s="60"/>
      <c r="P90" s="60"/>
      <c r="Q90" s="61">
        <f t="shared" si="109"/>
        <v>-1178</v>
      </c>
      <c r="R90" s="61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1"/>
      <c r="AG90" s="89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1">
        <f t="shared" si="111"/>
        <v>0</v>
      </c>
      <c r="AV90" s="89"/>
    </row>
    <row r="91" spans="2:48" hidden="1" outlineLevel="1">
      <c r="B91" s="51" t="s">
        <v>147</v>
      </c>
      <c r="D91" s="59">
        <v>0</v>
      </c>
      <c r="E91" s="59"/>
      <c r="F91" s="59"/>
      <c r="G91" s="59"/>
      <c r="H91" s="59"/>
      <c r="I91" s="59">
        <v>-82</v>
      </c>
      <c r="J91" s="59">
        <v>-95.05</v>
      </c>
      <c r="K91" s="59"/>
      <c r="L91" s="59"/>
      <c r="M91" s="60"/>
      <c r="N91" s="60"/>
      <c r="O91" s="60"/>
      <c r="P91" s="60"/>
      <c r="Q91" s="61">
        <f t="shared" si="109"/>
        <v>-177.05</v>
      </c>
      <c r="R91" s="61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1"/>
      <c r="AG91" s="89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1">
        <f t="shared" si="111"/>
        <v>0</v>
      </c>
      <c r="AV91" s="89"/>
    </row>
    <row r="92" spans="2:48" hidden="1" outlineLevel="1">
      <c r="B92" s="51" t="s">
        <v>148</v>
      </c>
      <c r="D92" s="59">
        <v>0</v>
      </c>
      <c r="E92" s="59">
        <v>0</v>
      </c>
      <c r="F92" s="59">
        <v>0</v>
      </c>
      <c r="G92" s="59"/>
      <c r="H92" s="59">
        <v>0</v>
      </c>
      <c r="I92" s="59">
        <v>0</v>
      </c>
      <c r="J92" s="59"/>
      <c r="K92" s="59">
        <v>-78.44</v>
      </c>
      <c r="L92" s="59"/>
      <c r="M92" s="60"/>
      <c r="N92" s="60"/>
      <c r="O92" s="60"/>
      <c r="P92" s="60"/>
      <c r="Q92" s="61">
        <f t="shared" si="109"/>
        <v>-78.44</v>
      </c>
      <c r="R92" s="61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1"/>
      <c r="AG92" s="89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1">
        <f t="shared" si="111"/>
        <v>0</v>
      </c>
      <c r="AV92" s="89"/>
    </row>
    <row r="93" spans="2:48" hidden="1" outlineLevel="1">
      <c r="B93" s="51" t="s">
        <v>149</v>
      </c>
      <c r="D93" s="59">
        <v>0</v>
      </c>
      <c r="E93" s="59">
        <v>0</v>
      </c>
      <c r="F93" s="59">
        <v>0</v>
      </c>
      <c r="G93" s="59"/>
      <c r="H93" s="59">
        <v>0</v>
      </c>
      <c r="I93" s="59">
        <v>0</v>
      </c>
      <c r="J93" s="59"/>
      <c r="K93" s="59">
        <v>0</v>
      </c>
      <c r="L93" s="59">
        <v>0</v>
      </c>
      <c r="M93" s="60"/>
      <c r="N93" s="60"/>
      <c r="O93" s="60"/>
      <c r="P93" s="60"/>
      <c r="Q93" s="61">
        <f t="shared" si="109"/>
        <v>0</v>
      </c>
      <c r="R93" s="61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1"/>
      <c r="AG93" s="89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1">
        <f t="shared" si="111"/>
        <v>0</v>
      </c>
      <c r="AV93" s="89"/>
    </row>
    <row r="94" spans="2:48" hidden="1" outlineLevel="1">
      <c r="B94" s="51" t="s">
        <v>150</v>
      </c>
      <c r="D94" s="59">
        <v>0</v>
      </c>
      <c r="E94" s="59">
        <v>0</v>
      </c>
      <c r="F94" s="59">
        <v>0</v>
      </c>
      <c r="G94" s="59"/>
      <c r="H94" s="59">
        <v>-37</v>
      </c>
      <c r="I94" s="59">
        <v>37</v>
      </c>
      <c r="J94" s="59"/>
      <c r="K94" s="59">
        <v>0</v>
      </c>
      <c r="L94" s="59">
        <v>0</v>
      </c>
      <c r="M94" s="60"/>
      <c r="N94" s="60"/>
      <c r="O94" s="60"/>
      <c r="P94" s="60"/>
      <c r="Q94" s="61">
        <f t="shared" si="109"/>
        <v>0</v>
      </c>
      <c r="R94" s="61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1"/>
      <c r="AG94" s="89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1">
        <f t="shared" si="111"/>
        <v>0</v>
      </c>
      <c r="AV94" s="89"/>
    </row>
    <row r="95" spans="2:48" hidden="1" outlineLevel="1">
      <c r="B95" s="51" t="s">
        <v>151</v>
      </c>
      <c r="D95" s="59">
        <v>0</v>
      </c>
      <c r="E95" s="59">
        <v>0</v>
      </c>
      <c r="F95" s="59">
        <v>0</v>
      </c>
      <c r="G95" s="59"/>
      <c r="H95" s="59">
        <v>0</v>
      </c>
      <c r="I95" s="59">
        <v>0</v>
      </c>
      <c r="J95" s="59"/>
      <c r="K95" s="59">
        <v>0</v>
      </c>
      <c r="L95" s="59">
        <v>-374</v>
      </c>
      <c r="M95" s="60"/>
      <c r="N95" s="60"/>
      <c r="O95" s="60"/>
      <c r="P95" s="60"/>
      <c r="Q95" s="61">
        <f t="shared" si="109"/>
        <v>-374</v>
      </c>
      <c r="R95" s="61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1"/>
      <c r="AG95" s="89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1">
        <f t="shared" si="111"/>
        <v>0</v>
      </c>
      <c r="AV95" s="89"/>
    </row>
    <row r="96" spans="2:48" hidden="1" outlineLevel="1">
      <c r="B96" s="51" t="s">
        <v>143</v>
      </c>
      <c r="D96" s="59">
        <v>0</v>
      </c>
      <c r="E96" s="59">
        <v>0</v>
      </c>
      <c r="F96" s="59">
        <v>-77</v>
      </c>
      <c r="G96" s="59"/>
      <c r="H96" s="59">
        <v>0</v>
      </c>
      <c r="I96" s="59">
        <v>0</v>
      </c>
      <c r="J96" s="59"/>
      <c r="K96" s="59">
        <v>-64.28</v>
      </c>
      <c r="L96" s="59"/>
      <c r="M96" s="60"/>
      <c r="N96" s="60"/>
      <c r="O96" s="60"/>
      <c r="P96" s="60"/>
      <c r="Q96" s="61">
        <f t="shared" si="109"/>
        <v>-141.28</v>
      </c>
      <c r="R96" s="61"/>
      <c r="S96" s="60">
        <f>SUMIF('OH Matrix'!$A$58:$A$70,"ROW",'OH Matrix'!P58:P70)</f>
        <v>-13466.17325191485</v>
      </c>
      <c r="T96" s="60">
        <f>SUMIF('OH Matrix'!$A$58:$A$70,"ROW",'OH Matrix'!Q58:Q70)</f>
        <v>-5420.2157824563537</v>
      </c>
      <c r="U96" s="60">
        <f>SUMIF('OH Matrix'!$A$58:$A$70,"ROW",'OH Matrix'!R58:R70)</f>
        <v>-3064.5566620475106</v>
      </c>
      <c r="V96" s="60">
        <f>SUMIF('OH Matrix'!$A$58:$A$70,"ROW",'OH Matrix'!S58:S70)</f>
        <v>-5747.9120450518249</v>
      </c>
      <c r="W96" s="60">
        <f>SUMIF('OH Matrix'!$A$58:$A$70,"ROW",'OH Matrix'!T58:T70)</f>
        <v>-4552.2106510603508</v>
      </c>
      <c r="X96" s="60">
        <f>SUMIF('OH Matrix'!$A$58:$A$70,"ROW",'OH Matrix'!U58:U70)</f>
        <v>-8879.7063001387232</v>
      </c>
      <c r="Y96" s="60">
        <f>SUMIF('OH Matrix'!$A$58:$A$70,"ROW",'OH Matrix'!V58:V70)</f>
        <v>-7425.0758575762366</v>
      </c>
      <c r="Z96" s="60">
        <f>SUMIF('OH Matrix'!$A$58:$A$70,"ROW",'OH Matrix'!W58:W70)</f>
        <v>-20805.654470075413</v>
      </c>
      <c r="AA96" s="60">
        <f>SUMIF('OH Matrix'!$A$58:$A$70,"ROW",'OH Matrix'!X58:X70)</f>
        <v>-4914.9314452205626</v>
      </c>
      <c r="AB96" s="60">
        <f>SUMIF('OH Matrix'!$A$58:$A$70,"ROW",'OH Matrix'!Y58:Y70)</f>
        <v>-5733.4958569603632</v>
      </c>
      <c r="AC96" s="60">
        <f>SUMIF('OH Matrix'!$A$58:$A$70,"ROW",'OH Matrix'!Z58:Z70)</f>
        <v>-6561.0525643141282</v>
      </c>
      <c r="AD96" s="60">
        <f>SUMIF('OH Matrix'!$A$58:$A$70,"ROW",'OH Matrix'!AA58:AA70)</f>
        <v>-5824.19522797846</v>
      </c>
      <c r="AE96" s="60"/>
      <c r="AF96" s="61">
        <f t="shared" ref="AF96" si="112">SUM(S96:AD96)</f>
        <v>-92395.18011479477</v>
      </c>
      <c r="AG96" s="89"/>
      <c r="AH96" s="60">
        <f>SUMIF('OH Matrix'!$A$58:$A$70,"ROW",'OH Matrix'!AD58:AD70)</f>
        <v>-11572.241975216457</v>
      </c>
      <c r="AI96" s="60">
        <f>SUMIF('OH Matrix'!$A$58:$A$70,"ROW",'OH Matrix'!AE58:AE70)</f>
        <v>-10317.232605735055</v>
      </c>
      <c r="AJ96" s="60">
        <f>SUMIF('OH Matrix'!$A$58:$A$70,"ROW",'OH Matrix'!AF58:AF70)</f>
        <v>-10653.858606022568</v>
      </c>
      <c r="AK96" s="60">
        <f>SUMIF('OH Matrix'!$A$58:$A$70,"ROW",'OH Matrix'!AG58:AG70)</f>
        <v>-13081.518051844352</v>
      </c>
      <c r="AL96" s="60">
        <f>SUMIF('OH Matrix'!$A$58:$A$70,"ROW",'OH Matrix'!AH58:AH70)</f>
        <v>-4633.5337026266407</v>
      </c>
      <c r="AM96" s="60">
        <f>SUMIF('OH Matrix'!$A$58:$A$70,"ROW",'OH Matrix'!AI58:AI70)</f>
        <v>-9936.573802979623</v>
      </c>
      <c r="AN96" s="60">
        <f>SUMIF('OH Matrix'!$A$58:$A$70,"ROW",'OH Matrix'!AJ58:AJ70)</f>
        <v>-6912.7315200261319</v>
      </c>
      <c r="AO96" s="60">
        <f>SUMIF('OH Matrix'!$A$58:$A$70,"ROW",'OH Matrix'!AK58:AK70)</f>
        <v>-19150.071541457794</v>
      </c>
      <c r="AP96" s="60">
        <f>SUMIF('OH Matrix'!$A$58:$A$70,"ROW",'OH Matrix'!AL58:AL70)</f>
        <v>-13645.63569417422</v>
      </c>
      <c r="AQ96" s="60">
        <f>SUMIF('OH Matrix'!$A$58:$A$70,"ROW",'OH Matrix'!AM58:AM70)</f>
        <v>-18064.918986046454</v>
      </c>
      <c r="AR96" s="60">
        <f>SUMIF('OH Matrix'!$A$58:$A$70,"ROW",'OH Matrix'!AN58:AN70)</f>
        <v>-16696.937636663399</v>
      </c>
      <c r="AS96" s="60">
        <f>SUMIF('OH Matrix'!$A$58:$A$70,"ROW",'OH Matrix'!AO58:AO70)</f>
        <v>-14899.292307878566</v>
      </c>
      <c r="AT96" s="60"/>
      <c r="AU96" s="61">
        <f t="shared" si="111"/>
        <v>-149564.54643067127</v>
      </c>
      <c r="AV96" s="89"/>
    </row>
    <row r="97" spans="2:48" hidden="1" outlineLevel="1">
      <c r="D97" s="53"/>
      <c r="E97" s="53"/>
      <c r="F97" s="53"/>
      <c r="G97" s="53"/>
      <c r="H97" s="53"/>
      <c r="I97" s="53"/>
      <c r="J97" s="53"/>
      <c r="K97" s="53"/>
      <c r="L97" s="53"/>
      <c r="AG97" s="89"/>
      <c r="AV97" s="89"/>
    </row>
    <row r="98" spans="2:48" collapsed="1">
      <c r="B98" s="65" t="s">
        <v>152</v>
      </c>
      <c r="C98" s="61"/>
      <c r="D98" s="64">
        <f>SUM(D88:D97)</f>
        <v>-935</v>
      </c>
      <c r="E98" s="64">
        <f t="shared" ref="E98:L98" si="113">SUM(E88:E97)</f>
        <v>-134</v>
      </c>
      <c r="F98" s="64">
        <f t="shared" si="113"/>
        <v>-77</v>
      </c>
      <c r="G98" s="64">
        <f t="shared" si="113"/>
        <v>0</v>
      </c>
      <c r="H98" s="64">
        <f t="shared" si="113"/>
        <v>-37</v>
      </c>
      <c r="I98" s="64">
        <f t="shared" si="113"/>
        <v>-45</v>
      </c>
      <c r="J98" s="64">
        <f t="shared" si="113"/>
        <v>-95.05</v>
      </c>
      <c r="K98" s="64">
        <f t="shared" si="113"/>
        <v>-142.72</v>
      </c>
      <c r="L98" s="64">
        <f t="shared" si="113"/>
        <v>-684</v>
      </c>
      <c r="M98" s="65">
        <f>SUM(M88:M97)</f>
        <v>0</v>
      </c>
      <c r="N98" s="65">
        <f>SUM(N88:N97)</f>
        <v>0</v>
      </c>
      <c r="O98" s="65">
        <f>SUM(O88:O97)</f>
        <v>0</v>
      </c>
      <c r="P98" s="61"/>
      <c r="Q98" s="65">
        <f>SUM(D98:O98)</f>
        <v>-2149.77</v>
      </c>
      <c r="R98" s="61"/>
      <c r="S98" s="84">
        <f>SUM(S88:S97)</f>
        <v>-13466.17325191485</v>
      </c>
      <c r="T98" s="84">
        <f t="shared" ref="T98:Z98" si="114">SUM(T88:T97)</f>
        <v>-5420.2157824563537</v>
      </c>
      <c r="U98" s="84">
        <f t="shared" si="114"/>
        <v>-3064.5566620475106</v>
      </c>
      <c r="V98" s="84">
        <f t="shared" si="114"/>
        <v>-5747.9120450518249</v>
      </c>
      <c r="W98" s="84">
        <f t="shared" si="114"/>
        <v>-4552.2106510603508</v>
      </c>
      <c r="X98" s="84">
        <f t="shared" si="114"/>
        <v>-8879.7063001387232</v>
      </c>
      <c r="Y98" s="84">
        <f t="shared" si="114"/>
        <v>-7425.0758575762366</v>
      </c>
      <c r="Z98" s="84">
        <f t="shared" si="114"/>
        <v>-20805.654470075413</v>
      </c>
      <c r="AA98" s="65">
        <f>SUM(AA88:AA97)</f>
        <v>-4914.9314452205626</v>
      </c>
      <c r="AB98" s="65">
        <f>SUM(AB88:AB97)</f>
        <v>-5733.4958569603632</v>
      </c>
      <c r="AC98" s="65">
        <f>SUM(AC88:AC97)</f>
        <v>-6561.0525643141282</v>
      </c>
      <c r="AD98" s="65">
        <f>SUM(AD88:AD97)</f>
        <v>-5824.19522797846</v>
      </c>
      <c r="AE98" s="61"/>
      <c r="AF98" s="65">
        <f>SUM(S98:AD98)</f>
        <v>-92395.18011479477</v>
      </c>
      <c r="AG98" s="89"/>
      <c r="AH98" s="84">
        <f>SUM(AH88:AH97)</f>
        <v>-11572.241975216457</v>
      </c>
      <c r="AI98" s="84">
        <f t="shared" ref="AI98:AO98" si="115">SUM(AI88:AI97)</f>
        <v>-10317.232605735055</v>
      </c>
      <c r="AJ98" s="84">
        <f t="shared" si="115"/>
        <v>-10653.858606022568</v>
      </c>
      <c r="AK98" s="84">
        <f t="shared" si="115"/>
        <v>-13081.518051844352</v>
      </c>
      <c r="AL98" s="84">
        <f t="shared" si="115"/>
        <v>-4633.5337026266407</v>
      </c>
      <c r="AM98" s="84">
        <f t="shared" si="115"/>
        <v>-9936.573802979623</v>
      </c>
      <c r="AN98" s="84">
        <f t="shared" si="115"/>
        <v>-6912.7315200261319</v>
      </c>
      <c r="AO98" s="84">
        <f t="shared" si="115"/>
        <v>-19150.071541457794</v>
      </c>
      <c r="AP98" s="65">
        <f>SUM(AP88:AP97)</f>
        <v>-13645.63569417422</v>
      </c>
      <c r="AQ98" s="65">
        <f>SUM(AQ88:AQ97)</f>
        <v>-18064.918986046454</v>
      </c>
      <c r="AR98" s="65">
        <f>SUM(AR88:AR97)</f>
        <v>-16696.937636663399</v>
      </c>
      <c r="AS98" s="65">
        <f>SUM(AS88:AS97)</f>
        <v>-14899.292307878566</v>
      </c>
      <c r="AT98" s="61"/>
      <c r="AU98" s="65">
        <f>SUM(AH98:AS98)</f>
        <v>-149564.54643067127</v>
      </c>
      <c r="AV98" s="89"/>
    </row>
    <row r="99" spans="2:48">
      <c r="D99" s="76"/>
      <c r="E99" s="76"/>
      <c r="F99" s="76"/>
      <c r="G99" s="76"/>
      <c r="H99" s="76"/>
      <c r="I99" s="76"/>
      <c r="J99" s="76"/>
      <c r="K99" s="76"/>
      <c r="L99" s="76"/>
      <c r="M99" s="77"/>
      <c r="N99" s="77"/>
      <c r="O99" s="77"/>
      <c r="Q99" s="91">
        <f>-Q98/Q13</f>
        <v>1.6232936603223073E-3</v>
      </c>
      <c r="S99" s="89"/>
      <c r="T99" s="89"/>
      <c r="U99" s="89"/>
      <c r="V99" s="89"/>
      <c r="W99" s="89"/>
      <c r="X99" s="77"/>
      <c r="Y99" s="77"/>
      <c r="Z99" s="77"/>
      <c r="AA99" s="77"/>
      <c r="AB99" s="77"/>
      <c r="AC99" s="77"/>
      <c r="AD99" s="77"/>
      <c r="AF99" s="91">
        <f ca="1">-AF98/AF13</f>
        <v>0.10324452026130651</v>
      </c>
      <c r="AG99" s="89"/>
      <c r="AH99" s="89"/>
      <c r="AI99" s="89"/>
      <c r="AJ99" s="89"/>
      <c r="AK99" s="89"/>
      <c r="AL99" s="89"/>
      <c r="AM99" s="77"/>
      <c r="AN99" s="77"/>
      <c r="AO99" s="77"/>
      <c r="AP99" s="77"/>
      <c r="AQ99" s="77"/>
      <c r="AR99" s="77"/>
      <c r="AS99" s="77"/>
      <c r="AU99" s="91">
        <f ca="1">-AU98/AU13</f>
        <v>0.16226672377674656</v>
      </c>
      <c r="AV99" s="89"/>
    </row>
    <row r="100" spans="2:48">
      <c r="B100" s="52" t="s">
        <v>153</v>
      </c>
      <c r="C100" s="52"/>
      <c r="D100" s="78">
        <v>99284.97</v>
      </c>
      <c r="E100" s="78">
        <v>46722.21</v>
      </c>
      <c r="F100" s="78">
        <v>1475.8499999999985</v>
      </c>
      <c r="G100" s="78">
        <v>31914.42</v>
      </c>
      <c r="H100" s="78">
        <v>-13737.04</v>
      </c>
      <c r="I100" s="78">
        <v>63127.950000000012</v>
      </c>
      <c r="J100" s="78">
        <v>30613.829999999994</v>
      </c>
      <c r="K100" s="78">
        <v>95946.06</v>
      </c>
      <c r="L100" s="78">
        <v>23115</v>
      </c>
      <c r="M100" s="61">
        <f t="shared" ref="M100:O100" si="116">M78+M98</f>
        <v>20116</v>
      </c>
      <c r="N100" s="61">
        <f t="shared" si="116"/>
        <v>197116</v>
      </c>
      <c r="O100" s="61">
        <f t="shared" si="116"/>
        <v>34496</v>
      </c>
      <c r="P100" s="61"/>
      <c r="Q100" s="79">
        <f>Q78+Q98</f>
        <v>612448.23</v>
      </c>
      <c r="R100" s="61"/>
      <c r="S100" s="61">
        <f ca="1">S78+S98</f>
        <v>-11089.903895284344</v>
      </c>
      <c r="T100" s="61">
        <f t="shared" ref="T100:AS100" ca="1" si="117">T78+T98</f>
        <v>28569.119209844721</v>
      </c>
      <c r="U100" s="61">
        <f t="shared" ca="1" si="117"/>
        <v>82091.984761915897</v>
      </c>
      <c r="V100" s="61">
        <f t="shared" ca="1" si="117"/>
        <v>56292.075786364672</v>
      </c>
      <c r="W100" s="61">
        <f t="shared" ca="1" si="117"/>
        <v>49127.453788151033</v>
      </c>
      <c r="X100" s="61">
        <f t="shared" ca="1" si="117"/>
        <v>29001.76823078718</v>
      </c>
      <c r="Y100" s="61">
        <f t="shared" ca="1" si="117"/>
        <v>48482.326217360918</v>
      </c>
      <c r="Z100" s="61">
        <f t="shared" ca="1" si="117"/>
        <v>59291.336937988584</v>
      </c>
      <c r="AA100" s="61">
        <f t="shared" ca="1" si="117"/>
        <v>15302.352920985388</v>
      </c>
      <c r="AB100" s="61">
        <f t="shared" ca="1" si="117"/>
        <v>10575.837998441624</v>
      </c>
      <c r="AC100" s="61">
        <f t="shared" ca="1" si="117"/>
        <v>-1279.0270587739287</v>
      </c>
      <c r="AD100" s="61">
        <f t="shared" ca="1" si="117"/>
        <v>9753.0566274235298</v>
      </c>
      <c r="AE100" s="61"/>
      <c r="AF100" s="79">
        <f t="shared" ca="1" si="117"/>
        <v>376118.38152520527</v>
      </c>
      <c r="AG100" s="89"/>
      <c r="AH100" s="61">
        <f t="shared" ca="1" si="117"/>
        <v>-9633.1397113335443</v>
      </c>
      <c r="AI100" s="61">
        <f t="shared" ca="1" si="117"/>
        <v>7683.6494537827457</v>
      </c>
      <c r="AJ100" s="61">
        <f t="shared" ca="1" si="117"/>
        <v>58407.275617453342</v>
      </c>
      <c r="AK100" s="61">
        <f t="shared" ca="1" si="117"/>
        <v>34361.187478766689</v>
      </c>
      <c r="AL100" s="61">
        <f t="shared" ca="1" si="117"/>
        <v>39661.460955061142</v>
      </c>
      <c r="AM100" s="61">
        <f t="shared" ca="1" si="117"/>
        <v>16786.541912367484</v>
      </c>
      <c r="AN100" s="61">
        <f t="shared" ca="1" si="117"/>
        <v>35689.872107817035</v>
      </c>
      <c r="AO100" s="61">
        <f t="shared" ca="1" si="117"/>
        <v>69728.024141144619</v>
      </c>
      <c r="AP100" s="61">
        <f t="shared" ca="1" si="117"/>
        <v>-7260.3323434686645</v>
      </c>
      <c r="AQ100" s="61">
        <f t="shared" ca="1" si="117"/>
        <v>529.48926389273765</v>
      </c>
      <c r="AR100" s="61">
        <f t="shared" ca="1" si="117"/>
        <v>-12162.599751871163</v>
      </c>
      <c r="AS100" s="61">
        <f t="shared" ca="1" si="117"/>
        <v>-1357.5887093309702</v>
      </c>
      <c r="AT100" s="61"/>
      <c r="AU100" s="79">
        <f t="shared" ref="AU100" ca="1" si="118">AU78+AU98</f>
        <v>232433.84041428156</v>
      </c>
      <c r="AV100" s="89"/>
    </row>
    <row r="101" spans="2:48">
      <c r="B101" s="72" t="s">
        <v>186</v>
      </c>
      <c r="C101" s="73"/>
      <c r="D101" s="97">
        <v>0</v>
      </c>
      <c r="E101" s="97">
        <v>0</v>
      </c>
      <c r="F101" s="97">
        <v>0</v>
      </c>
      <c r="G101" s="97">
        <v>0</v>
      </c>
      <c r="H101" s="97">
        <v>0</v>
      </c>
      <c r="I101" s="97">
        <v>0</v>
      </c>
      <c r="J101" s="97">
        <v>0</v>
      </c>
      <c r="K101" s="97">
        <v>0</v>
      </c>
      <c r="L101" s="97">
        <v>0</v>
      </c>
      <c r="M101" s="91">
        <f>IFERROR(M100/M13,0)</f>
        <v>0.47443396226415097</v>
      </c>
      <c r="N101" s="91">
        <f>IFERROR(N100/N13,0)</f>
        <v>0.57568925233644863</v>
      </c>
      <c r="O101" s="91">
        <f>IFERROR(O100/O13,0)</f>
        <v>0.53399380804953556</v>
      </c>
      <c r="P101" s="91"/>
      <c r="Q101" s="91">
        <f>IFERROR(Q100/Q13,0)</f>
        <v>0.46246032321346858</v>
      </c>
      <c r="S101" s="91">
        <f t="shared" ref="S101:AD101" ca="1" si="119">IFERROR(S100/S13,0)</f>
        <v>-1.5993700382012404</v>
      </c>
      <c r="T101" s="91">
        <f t="shared" ca="1" si="119"/>
        <v>0.45646142764198205</v>
      </c>
      <c r="U101" s="91">
        <f t="shared" ca="1" si="119"/>
        <v>0.56699045209447718</v>
      </c>
      <c r="V101" s="91">
        <f t="shared" ca="1" si="119"/>
        <v>0.44029566712450829</v>
      </c>
      <c r="W101" s="91">
        <f t="shared" ca="1" si="119"/>
        <v>0.51991917275282351</v>
      </c>
      <c r="X101" s="91">
        <f t="shared" ca="1" si="119"/>
        <v>0.43375743595568855</v>
      </c>
      <c r="Y101" s="91">
        <f t="shared" ca="1" si="119"/>
        <v>0.45693787874507014</v>
      </c>
      <c r="Z101" s="91">
        <f t="shared" ca="1" si="119"/>
        <v>0.43902241928603092</v>
      </c>
      <c r="AA101" s="91">
        <f t="shared" ca="1" si="119"/>
        <v>0.21124735665254224</v>
      </c>
      <c r="AB101" s="91">
        <f t="shared" ca="1" si="119"/>
        <v>0.32039333605709075</v>
      </c>
      <c r="AC101" s="91">
        <f t="shared" ca="1" si="119"/>
        <v>-8.5298723198756407E-2</v>
      </c>
      <c r="AD101" s="91">
        <f t="shared" ca="1" si="119"/>
        <v>0.3271950634668026</v>
      </c>
      <c r="AE101" s="91"/>
      <c r="AF101" s="91">
        <f ca="1">IFERROR(AF100/AF13,0)</f>
        <v>0.42028341536628355</v>
      </c>
      <c r="AG101" s="531">
        <f ca="1">IFERROR(AF101/Q101-1,0)</f>
        <v>-9.120113819519271E-2</v>
      </c>
      <c r="AH101" s="91">
        <f t="shared" ref="AH101:AS101" ca="1" si="120">IFERROR(AH100/AH13,0)</f>
        <v>-1.3750847494612146</v>
      </c>
      <c r="AI101" s="91">
        <f t="shared" ca="1" si="120"/>
        <v>0.1750172595705905</v>
      </c>
      <c r="AJ101" s="91">
        <f t="shared" ca="1" si="120"/>
        <v>0.3854363058569078</v>
      </c>
      <c r="AK101" s="91">
        <f t="shared" ca="1" si="120"/>
        <v>0.28800701093102965</v>
      </c>
      <c r="AL101" s="91">
        <f t="shared" ca="1" si="120"/>
        <v>0.39910179597908119</v>
      </c>
      <c r="AM101" s="91">
        <f t="shared" ca="1" si="120"/>
        <v>0.27028594983134779</v>
      </c>
      <c r="AN101" s="91">
        <f t="shared" ca="1" si="120"/>
        <v>0.35911095083213773</v>
      </c>
      <c r="AO101" s="91">
        <f t="shared" ca="1" si="120"/>
        <v>0.35950941400474901</v>
      </c>
      <c r="AP101" s="91">
        <f t="shared" ca="1" si="120"/>
        <v>-0.13586439377067186</v>
      </c>
      <c r="AQ101" s="91">
        <f t="shared" ca="1" si="120"/>
        <v>1.1790291636778121E-2</v>
      </c>
      <c r="AR101" s="91">
        <f t="shared" ca="1" si="120"/>
        <v>-0.80575406380732562</v>
      </c>
      <c r="AS101" s="91">
        <f t="shared" ca="1" si="120"/>
        <v>-4.2815229094002857E-2</v>
      </c>
      <c r="AT101" s="91"/>
      <c r="AU101" s="91">
        <f ca="1">IFERROR(AU100/AU13,0)</f>
        <v>0.2521739187458808</v>
      </c>
      <c r="AV101" s="531">
        <f ca="1">IFERROR(AU101/AF101-1,0)</f>
        <v>-0.39999079305542595</v>
      </c>
    </row>
  </sheetData>
  <mergeCells count="3">
    <mergeCell ref="D3:Q3"/>
    <mergeCell ref="S3:AF3"/>
    <mergeCell ref="AH3:AU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C2165-CAC5-462A-9A53-D92B2E9D5A78}">
  <sheetPr codeName="Sheet10">
    <tabColor theme="4" tint="0.79998168889431442"/>
  </sheetPr>
  <dimension ref="A1:AU240"/>
  <sheetViews>
    <sheetView showGridLines="0" zoomScaleNormal="100" workbookViewId="0">
      <selection activeCell="AF57" sqref="AF57"/>
    </sheetView>
  </sheetViews>
  <sheetFormatPr baseColWidth="10" defaultColWidth="8.5" defaultRowHeight="11" outlineLevelRow="1" outlineLevelCol="1"/>
  <cols>
    <col min="1" max="1" width="7.1640625" style="7" customWidth="1"/>
    <col min="2" max="2" width="24.5" style="7" bestFit="1" customWidth="1"/>
    <col min="3" max="3" width="15.1640625" style="7" customWidth="1"/>
    <col min="4" max="4" width="10.1640625" style="53" hidden="1" customWidth="1" outlineLevel="1"/>
    <col min="5" max="6" width="10.5" style="53" hidden="1" customWidth="1" outlineLevel="1"/>
    <col min="7" max="8" width="10.5" style="7" hidden="1" customWidth="1" outlineLevel="1"/>
    <col min="9" max="11" width="8.5" style="7" hidden="1" customWidth="1" outlineLevel="1"/>
    <col min="12" max="12" width="10.1640625" style="7" bestFit="1" customWidth="1" collapsed="1"/>
    <col min="13" max="15" width="10.1640625" style="7" bestFit="1" customWidth="1"/>
    <col min="16" max="16" width="3.1640625" style="7" customWidth="1"/>
    <col min="17" max="17" width="11.5" style="7" bestFit="1" customWidth="1"/>
    <col min="18" max="18" width="12.1640625" style="7" customWidth="1"/>
    <col min="19" max="30" width="10.5" style="7" hidden="1" customWidth="1" outlineLevel="1"/>
    <col min="31" max="31" width="3.1640625" style="7" hidden="1" customWidth="1" outlineLevel="1"/>
    <col min="32" max="32" width="11.83203125" style="7" bestFit="1" customWidth="1" collapsed="1"/>
    <col min="33" max="33" width="8.5" style="7" customWidth="1"/>
    <col min="34" max="45" width="10.5" style="7" hidden="1" customWidth="1" outlineLevel="1"/>
    <col min="46" max="46" width="3.1640625" style="7" customWidth="1" collapsed="1"/>
    <col min="47" max="47" width="11.83203125" style="7" bestFit="1" customWidth="1"/>
    <col min="48" max="16384" width="8.5" style="7"/>
  </cols>
  <sheetData>
    <row r="1" spans="2:47" ht="16">
      <c r="B1" s="147" t="s">
        <v>192</v>
      </c>
      <c r="D1" s="400" t="s">
        <v>174</v>
      </c>
      <c r="E1" s="400"/>
      <c r="F1" s="400"/>
      <c r="G1" s="400"/>
      <c r="H1" s="400"/>
      <c r="I1" s="400"/>
      <c r="J1" s="400"/>
      <c r="K1" s="400"/>
      <c r="L1" s="400"/>
      <c r="M1" s="400"/>
      <c r="N1" s="400"/>
      <c r="O1" s="400"/>
      <c r="P1" s="400"/>
      <c r="Q1" s="400"/>
      <c r="S1" s="547" t="s">
        <v>75</v>
      </c>
      <c r="T1" s="547"/>
      <c r="U1" s="547"/>
      <c r="V1" s="547"/>
      <c r="W1" s="547"/>
      <c r="X1" s="547"/>
      <c r="Y1" s="547"/>
      <c r="Z1" s="547"/>
      <c r="AA1" s="547"/>
      <c r="AB1" s="547"/>
      <c r="AC1" s="547"/>
      <c r="AD1" s="547"/>
      <c r="AE1" s="547"/>
      <c r="AF1" s="547"/>
      <c r="AH1" s="547" t="s">
        <v>81</v>
      </c>
      <c r="AI1" s="547"/>
      <c r="AJ1" s="547"/>
      <c r="AK1" s="547"/>
      <c r="AL1" s="547"/>
      <c r="AM1" s="547"/>
      <c r="AN1" s="547"/>
      <c r="AO1" s="547"/>
      <c r="AP1" s="547"/>
      <c r="AQ1" s="547"/>
      <c r="AR1" s="547"/>
      <c r="AS1" s="547"/>
      <c r="AT1" s="547"/>
      <c r="AU1" s="547"/>
    </row>
    <row r="2" spans="2:47">
      <c r="D2" s="54" t="s">
        <v>175</v>
      </c>
      <c r="E2" s="54" t="s">
        <v>175</v>
      </c>
      <c r="F2" s="54" t="s">
        <v>175</v>
      </c>
      <c r="G2" s="54" t="s">
        <v>176</v>
      </c>
      <c r="H2" s="54" t="s">
        <v>176</v>
      </c>
      <c r="I2" s="54" t="s">
        <v>176</v>
      </c>
      <c r="J2" s="54" t="s">
        <v>176</v>
      </c>
      <c r="K2" s="54" t="s">
        <v>176</v>
      </c>
      <c r="L2" s="54" t="s">
        <v>177</v>
      </c>
      <c r="M2" s="80" t="s">
        <v>178</v>
      </c>
      <c r="N2" s="80" t="s">
        <v>178</v>
      </c>
      <c r="O2" s="80" t="s">
        <v>178</v>
      </c>
      <c r="S2" s="80" t="s">
        <v>175</v>
      </c>
      <c r="T2" s="80" t="s">
        <v>175</v>
      </c>
      <c r="U2" s="80" t="s">
        <v>175</v>
      </c>
      <c r="V2" s="80" t="s">
        <v>176</v>
      </c>
      <c r="W2" s="80" t="s">
        <v>176</v>
      </c>
      <c r="X2" s="80" t="s">
        <v>176</v>
      </c>
      <c r="Y2" s="80" t="s">
        <v>177</v>
      </c>
      <c r="Z2" s="80" t="s">
        <v>177</v>
      </c>
      <c r="AA2" s="80" t="s">
        <v>177</v>
      </c>
      <c r="AB2" s="80" t="s">
        <v>178</v>
      </c>
      <c r="AC2" s="80" t="s">
        <v>178</v>
      </c>
      <c r="AD2" s="80" t="s">
        <v>178</v>
      </c>
      <c r="AH2" s="80" t="s">
        <v>175</v>
      </c>
      <c r="AI2" s="80" t="s">
        <v>175</v>
      </c>
      <c r="AJ2" s="80" t="s">
        <v>175</v>
      </c>
      <c r="AK2" s="80" t="s">
        <v>176</v>
      </c>
      <c r="AL2" s="80" t="s">
        <v>176</v>
      </c>
      <c r="AM2" s="80" t="s">
        <v>176</v>
      </c>
      <c r="AN2" s="80" t="s">
        <v>177</v>
      </c>
      <c r="AO2" s="80" t="s">
        <v>177</v>
      </c>
      <c r="AP2" s="80" t="s">
        <v>177</v>
      </c>
      <c r="AQ2" s="80" t="s">
        <v>178</v>
      </c>
      <c r="AR2" s="80" t="s">
        <v>178</v>
      </c>
      <c r="AS2" s="80" t="s">
        <v>178</v>
      </c>
    </row>
    <row r="3" spans="2:47">
      <c r="D3" s="56">
        <v>45716</v>
      </c>
      <c r="E3" s="56">
        <f>EOMONTH(D3,1)</f>
        <v>45747</v>
      </c>
      <c r="F3" s="56">
        <f>EOMONTH(E3,1)</f>
        <v>45777</v>
      </c>
      <c r="G3" s="56">
        <f>EOMONTH(F3,1)</f>
        <v>45808</v>
      </c>
      <c r="H3" s="56">
        <f>EOMONTH(G3,1)</f>
        <v>45838</v>
      </c>
      <c r="I3" s="56">
        <f t="shared" ref="I3:K3" si="0">EOMONTH(H3,1)</f>
        <v>45869</v>
      </c>
      <c r="J3" s="56">
        <f t="shared" si="0"/>
        <v>45900</v>
      </c>
      <c r="K3" s="56">
        <f t="shared" si="0"/>
        <v>45930</v>
      </c>
      <c r="L3" s="56">
        <f t="shared" ref="L3:O3" si="1">EOMONTH(K3,1)</f>
        <v>45961</v>
      </c>
      <c r="M3" s="81">
        <f t="shared" si="1"/>
        <v>45991</v>
      </c>
      <c r="N3" s="81">
        <f t="shared" si="1"/>
        <v>46022</v>
      </c>
      <c r="O3" s="81">
        <f t="shared" si="1"/>
        <v>46053</v>
      </c>
      <c r="P3" s="81"/>
      <c r="Q3" s="80" t="s">
        <v>174</v>
      </c>
      <c r="S3" s="81">
        <v>46081</v>
      </c>
      <c r="T3" s="81">
        <f>EOMONTH(S3,1)</f>
        <v>46112</v>
      </c>
      <c r="U3" s="81">
        <f>EOMONTH(T3,1)</f>
        <v>46142</v>
      </c>
      <c r="V3" s="81">
        <f>EOMONTH(U3,1)</f>
        <v>46173</v>
      </c>
      <c r="W3" s="81">
        <f>EOMONTH(V3,1)</f>
        <v>46203</v>
      </c>
      <c r="X3" s="81">
        <f t="shared" ref="X3" si="2">EOMONTH(W3,1)</f>
        <v>46234</v>
      </c>
      <c r="Y3" s="81">
        <f t="shared" ref="Y3" si="3">EOMONTH(X3,1)</f>
        <v>46265</v>
      </c>
      <c r="Z3" s="81">
        <f t="shared" ref="Z3" si="4">EOMONTH(Y3,1)</f>
        <v>46295</v>
      </c>
      <c r="AA3" s="81">
        <f t="shared" ref="AA3" si="5">EOMONTH(Z3,1)</f>
        <v>46326</v>
      </c>
      <c r="AB3" s="81">
        <f t="shared" ref="AB3" si="6">EOMONTH(AA3,1)</f>
        <v>46356</v>
      </c>
      <c r="AC3" s="81">
        <f t="shared" ref="AC3" si="7">EOMONTH(AB3,1)</f>
        <v>46387</v>
      </c>
      <c r="AD3" s="81">
        <f t="shared" ref="AD3" si="8">EOMONTH(AC3,1)</f>
        <v>46418</v>
      </c>
      <c r="AE3" s="81"/>
      <c r="AF3" s="80" t="s">
        <v>75</v>
      </c>
      <c r="AH3" s="81">
        <v>46446</v>
      </c>
      <c r="AI3" s="81">
        <f>EOMONTH(AH3,1)</f>
        <v>46477</v>
      </c>
      <c r="AJ3" s="81">
        <f>EOMONTH(AI3,1)</f>
        <v>46507</v>
      </c>
      <c r="AK3" s="81">
        <f>EOMONTH(AJ3,1)</f>
        <v>46538</v>
      </c>
      <c r="AL3" s="81">
        <f>EOMONTH(AK3,1)</f>
        <v>46568</v>
      </c>
      <c r="AM3" s="81">
        <f t="shared" ref="AM3" si="9">EOMONTH(AL3,1)</f>
        <v>46599</v>
      </c>
      <c r="AN3" s="81">
        <f t="shared" ref="AN3" si="10">EOMONTH(AM3,1)</f>
        <v>46630</v>
      </c>
      <c r="AO3" s="81">
        <f t="shared" ref="AO3" si="11">EOMONTH(AN3,1)</f>
        <v>46660</v>
      </c>
      <c r="AP3" s="81">
        <f t="shared" ref="AP3" si="12">EOMONTH(AO3,1)</f>
        <v>46691</v>
      </c>
      <c r="AQ3" s="81">
        <f t="shared" ref="AQ3" si="13">EOMONTH(AP3,1)</f>
        <v>46721</v>
      </c>
      <c r="AR3" s="81">
        <f t="shared" ref="AR3" si="14">EOMONTH(AQ3,1)</f>
        <v>46752</v>
      </c>
      <c r="AS3" s="81">
        <f t="shared" ref="AS3" si="15">EOMONTH(AR3,1)</f>
        <v>46783</v>
      </c>
      <c r="AT3" s="81"/>
      <c r="AU3" s="80" t="s">
        <v>81</v>
      </c>
    </row>
    <row r="4" spans="2:47" outlineLevel="1">
      <c r="B4" s="156" t="s">
        <v>82</v>
      </c>
      <c r="D4" s="46" t="s">
        <v>180</v>
      </c>
      <c r="E4" s="46" t="s">
        <v>180</v>
      </c>
      <c r="F4" s="46" t="s">
        <v>180</v>
      </c>
      <c r="G4" s="46" t="s">
        <v>180</v>
      </c>
      <c r="H4" s="46" t="s">
        <v>180</v>
      </c>
      <c r="I4" s="46" t="s">
        <v>180</v>
      </c>
      <c r="J4" s="46" t="s">
        <v>180</v>
      </c>
      <c r="K4" s="46" t="s">
        <v>180</v>
      </c>
      <c r="L4" s="46" t="s">
        <v>180</v>
      </c>
      <c r="M4" s="47" t="s">
        <v>42</v>
      </c>
      <c r="N4" s="47" t="s">
        <v>42</v>
      </c>
      <c r="O4" s="47" t="s">
        <v>42</v>
      </c>
      <c r="S4" s="47" t="s">
        <v>42</v>
      </c>
      <c r="T4" s="47" t="s">
        <v>42</v>
      </c>
      <c r="U4" s="47" t="s">
        <v>42</v>
      </c>
      <c r="V4" s="47" t="s">
        <v>42</v>
      </c>
      <c r="W4" s="47" t="s">
        <v>42</v>
      </c>
      <c r="X4" s="47" t="s">
        <v>42</v>
      </c>
      <c r="Y4" s="47" t="s">
        <v>42</v>
      </c>
      <c r="Z4" s="47" t="s">
        <v>42</v>
      </c>
      <c r="AA4" s="47" t="s">
        <v>42</v>
      </c>
      <c r="AB4" s="47" t="s">
        <v>42</v>
      </c>
      <c r="AC4" s="47" t="s">
        <v>42</v>
      </c>
      <c r="AD4" s="47" t="s">
        <v>42</v>
      </c>
      <c r="AH4" s="47" t="s">
        <v>42</v>
      </c>
      <c r="AI4" s="47" t="s">
        <v>42</v>
      </c>
      <c r="AJ4" s="47" t="s">
        <v>42</v>
      </c>
      <c r="AK4" s="47" t="s">
        <v>42</v>
      </c>
      <c r="AL4" s="47" t="s">
        <v>42</v>
      </c>
      <c r="AM4" s="47" t="s">
        <v>42</v>
      </c>
      <c r="AN4" s="47" t="s">
        <v>42</v>
      </c>
      <c r="AO4" s="47" t="s">
        <v>42</v>
      </c>
      <c r="AP4" s="47" t="s">
        <v>42</v>
      </c>
      <c r="AQ4" s="47" t="s">
        <v>42</v>
      </c>
      <c r="AR4" s="47" t="s">
        <v>42</v>
      </c>
      <c r="AS4" s="47" t="s">
        <v>42</v>
      </c>
    </row>
    <row r="5" spans="2:47" outlineLevel="1">
      <c r="G5" s="53"/>
      <c r="H5" s="53"/>
      <c r="I5" s="53"/>
      <c r="J5" s="53"/>
      <c r="K5" s="53"/>
      <c r="L5" s="53"/>
    </row>
    <row r="6" spans="2:47" outlineLevel="1">
      <c r="D6" s="59"/>
      <c r="E6" s="59"/>
      <c r="F6" s="59"/>
      <c r="G6" s="59"/>
      <c r="H6" s="59"/>
      <c r="I6" s="59"/>
      <c r="J6" s="59"/>
      <c r="K6" s="59"/>
      <c r="L6" s="59"/>
      <c r="M6" s="83"/>
      <c r="N6" s="83"/>
      <c r="O6" s="83"/>
      <c r="P6" s="83"/>
      <c r="Q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</row>
    <row r="7" spans="2:47" s="10" customFormat="1" outlineLevel="1">
      <c r="B7" s="157" t="s">
        <v>87</v>
      </c>
      <c r="D7" s="64">
        <v>0</v>
      </c>
      <c r="E7" s="64">
        <v>0</v>
      </c>
      <c r="F7" s="64">
        <v>0</v>
      </c>
      <c r="G7" s="64">
        <v>0</v>
      </c>
      <c r="H7" s="64">
        <v>0</v>
      </c>
      <c r="I7" s="64">
        <v>0</v>
      </c>
      <c r="J7" s="64">
        <v>0</v>
      </c>
      <c r="K7" s="64">
        <v>0</v>
      </c>
      <c r="L7" s="64">
        <v>0</v>
      </c>
      <c r="M7" s="84">
        <f t="shared" ref="M7:O7" si="16">SUM(M6:M6)</f>
        <v>0</v>
      </c>
      <c r="N7" s="84">
        <f t="shared" si="16"/>
        <v>0</v>
      </c>
      <c r="O7" s="84">
        <f t="shared" si="16"/>
        <v>0</v>
      </c>
      <c r="P7" s="90"/>
      <c r="Q7" s="84">
        <f>SUM(Q6:Q6)</f>
        <v>0</v>
      </c>
      <c r="R7" s="61"/>
      <c r="S7" s="84">
        <f t="shared" ref="S7:AD7" si="17">SUM(S6:S6)</f>
        <v>0</v>
      </c>
      <c r="T7" s="84">
        <f t="shared" si="17"/>
        <v>0</v>
      </c>
      <c r="U7" s="84">
        <f t="shared" si="17"/>
        <v>0</v>
      </c>
      <c r="V7" s="84">
        <f t="shared" si="17"/>
        <v>0</v>
      </c>
      <c r="W7" s="84">
        <f t="shared" si="17"/>
        <v>0</v>
      </c>
      <c r="X7" s="84">
        <f t="shared" si="17"/>
        <v>0</v>
      </c>
      <c r="Y7" s="84">
        <f t="shared" si="17"/>
        <v>0</v>
      </c>
      <c r="Z7" s="84">
        <f t="shared" si="17"/>
        <v>0</v>
      </c>
      <c r="AA7" s="84">
        <f t="shared" si="17"/>
        <v>0</v>
      </c>
      <c r="AB7" s="84">
        <f t="shared" si="17"/>
        <v>0</v>
      </c>
      <c r="AC7" s="84">
        <f t="shared" si="17"/>
        <v>0</v>
      </c>
      <c r="AD7" s="84">
        <f t="shared" si="17"/>
        <v>0</v>
      </c>
      <c r="AE7" s="90"/>
      <c r="AF7" s="84">
        <f>SUM(AF6:AF6)</f>
        <v>0</v>
      </c>
      <c r="AH7" s="84">
        <f t="shared" ref="AH7:AS7" si="18">SUM(AH6:AH6)</f>
        <v>0</v>
      </c>
      <c r="AI7" s="84">
        <f t="shared" si="18"/>
        <v>0</v>
      </c>
      <c r="AJ7" s="84">
        <f t="shared" si="18"/>
        <v>0</v>
      </c>
      <c r="AK7" s="84">
        <f t="shared" si="18"/>
        <v>0</v>
      </c>
      <c r="AL7" s="84">
        <f t="shared" si="18"/>
        <v>0</v>
      </c>
      <c r="AM7" s="84">
        <f t="shared" si="18"/>
        <v>0</v>
      </c>
      <c r="AN7" s="84">
        <f t="shared" si="18"/>
        <v>0</v>
      </c>
      <c r="AO7" s="84">
        <f t="shared" si="18"/>
        <v>0</v>
      </c>
      <c r="AP7" s="84">
        <f t="shared" si="18"/>
        <v>0</v>
      </c>
      <c r="AQ7" s="84">
        <f t="shared" si="18"/>
        <v>0</v>
      </c>
      <c r="AR7" s="84">
        <f t="shared" si="18"/>
        <v>0</v>
      </c>
      <c r="AS7" s="84">
        <f t="shared" si="18"/>
        <v>0</v>
      </c>
      <c r="AT7" s="90"/>
      <c r="AU7" s="84">
        <f>SUM(AU6:AU6)</f>
        <v>0</v>
      </c>
    </row>
    <row r="8" spans="2:47" outlineLevel="1">
      <c r="D8" s="59"/>
      <c r="E8" s="59"/>
      <c r="F8" s="59"/>
      <c r="G8" s="59"/>
      <c r="H8" s="59"/>
      <c r="I8" s="59"/>
      <c r="J8" s="59"/>
      <c r="K8" s="59"/>
      <c r="L8" s="59"/>
      <c r="M8" s="83"/>
      <c r="N8" s="83"/>
      <c r="O8" s="83"/>
      <c r="P8" s="83"/>
      <c r="Q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</row>
    <row r="9" spans="2:47" outlineLevel="1">
      <c r="B9" s="156" t="s">
        <v>88</v>
      </c>
      <c r="D9" s="59"/>
      <c r="E9" s="59"/>
      <c r="F9" s="59"/>
      <c r="G9" s="59"/>
      <c r="H9" s="59"/>
      <c r="I9" s="59"/>
      <c r="J9" s="59"/>
      <c r="K9" s="59"/>
      <c r="L9" s="59"/>
      <c r="M9" s="83"/>
      <c r="N9" s="83"/>
      <c r="O9" s="83"/>
      <c r="P9" s="83"/>
      <c r="Q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</row>
    <row r="10" spans="2:47" outlineLevel="1">
      <c r="B10" s="7" t="s">
        <v>193</v>
      </c>
      <c r="D10" s="59"/>
      <c r="E10" s="59"/>
      <c r="F10" s="59"/>
      <c r="G10" s="59"/>
      <c r="H10" s="59"/>
      <c r="I10" s="59"/>
      <c r="J10" s="59"/>
      <c r="K10" s="59">
        <v>-9102</v>
      </c>
      <c r="L10" s="59"/>
      <c r="M10" s="83"/>
      <c r="N10" s="83"/>
      <c r="O10" s="83"/>
      <c r="P10" s="83"/>
      <c r="Q10" s="83">
        <f>SUM(K10:P10)</f>
        <v>-9102</v>
      </c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</row>
    <row r="11" spans="2:47" outlineLevel="1">
      <c r="B11" s="7" t="s">
        <v>194</v>
      </c>
      <c r="D11" s="59"/>
      <c r="E11" s="59"/>
      <c r="F11" s="59"/>
      <c r="G11" s="59"/>
      <c r="H11" s="59"/>
      <c r="I11" s="59"/>
      <c r="J11" s="59"/>
      <c r="K11" s="59"/>
      <c r="L11" s="59">
        <v>35214</v>
      </c>
      <c r="M11" s="83"/>
      <c r="N11" s="83"/>
      <c r="O11" s="83"/>
      <c r="P11" s="83"/>
      <c r="Q11" s="83">
        <f>SUM(K11:P11)</f>
        <v>35214</v>
      </c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</row>
    <row r="12" spans="2:47" s="10" customFormat="1" outlineLevel="1">
      <c r="B12" s="157" t="s">
        <v>93</v>
      </c>
      <c r="D12" s="64">
        <v>0</v>
      </c>
      <c r="E12" s="64">
        <v>0</v>
      </c>
      <c r="F12" s="64">
        <v>0</v>
      </c>
      <c r="G12" s="64">
        <v>0</v>
      </c>
      <c r="H12" s="64">
        <v>0</v>
      </c>
      <c r="I12" s="64">
        <v>0</v>
      </c>
      <c r="J12" s="64">
        <v>0</v>
      </c>
      <c r="K12" s="64">
        <v>-9102</v>
      </c>
      <c r="L12" s="64">
        <v>35214</v>
      </c>
      <c r="M12" s="84">
        <f t="shared" ref="M12:O12" si="19">SUM(M11:M11)</f>
        <v>0</v>
      </c>
      <c r="N12" s="84">
        <f t="shared" si="19"/>
        <v>0</v>
      </c>
      <c r="O12" s="84">
        <f t="shared" si="19"/>
        <v>0</v>
      </c>
      <c r="P12" s="90"/>
      <c r="Q12" s="84">
        <f>SUM(Q10:Q11)</f>
        <v>26112</v>
      </c>
      <c r="R12" s="61"/>
      <c r="S12" s="84">
        <f t="shared" ref="S12:AD12" si="20">SUM(S11:S11)</f>
        <v>0</v>
      </c>
      <c r="T12" s="84">
        <f t="shared" si="20"/>
        <v>0</v>
      </c>
      <c r="U12" s="84">
        <f t="shared" si="20"/>
        <v>0</v>
      </c>
      <c r="V12" s="84">
        <f t="shared" si="20"/>
        <v>0</v>
      </c>
      <c r="W12" s="84">
        <f t="shared" si="20"/>
        <v>0</v>
      </c>
      <c r="X12" s="84">
        <f t="shared" si="20"/>
        <v>0</v>
      </c>
      <c r="Y12" s="84">
        <f t="shared" si="20"/>
        <v>0</v>
      </c>
      <c r="Z12" s="84">
        <f t="shared" si="20"/>
        <v>0</v>
      </c>
      <c r="AA12" s="84">
        <f t="shared" si="20"/>
        <v>0</v>
      </c>
      <c r="AB12" s="84">
        <f t="shared" si="20"/>
        <v>0</v>
      </c>
      <c r="AC12" s="84">
        <f t="shared" si="20"/>
        <v>0</v>
      </c>
      <c r="AD12" s="84">
        <f t="shared" si="20"/>
        <v>0</v>
      </c>
      <c r="AE12" s="90"/>
      <c r="AF12" s="84">
        <f>SUM(AF11:AF11)</f>
        <v>0</v>
      </c>
      <c r="AH12" s="84">
        <f t="shared" ref="AH12:AS12" si="21">SUM(AH11:AH11)</f>
        <v>0</v>
      </c>
      <c r="AI12" s="84">
        <f t="shared" si="21"/>
        <v>0</v>
      </c>
      <c r="AJ12" s="84">
        <f t="shared" si="21"/>
        <v>0</v>
      </c>
      <c r="AK12" s="84">
        <f t="shared" si="21"/>
        <v>0</v>
      </c>
      <c r="AL12" s="84">
        <f t="shared" si="21"/>
        <v>0</v>
      </c>
      <c r="AM12" s="84">
        <f t="shared" si="21"/>
        <v>0</v>
      </c>
      <c r="AN12" s="84">
        <f t="shared" si="21"/>
        <v>0</v>
      </c>
      <c r="AO12" s="84">
        <f t="shared" si="21"/>
        <v>0</v>
      </c>
      <c r="AP12" s="84">
        <f t="shared" si="21"/>
        <v>0</v>
      </c>
      <c r="AQ12" s="84">
        <f t="shared" si="21"/>
        <v>0</v>
      </c>
      <c r="AR12" s="84">
        <f t="shared" si="21"/>
        <v>0</v>
      </c>
      <c r="AS12" s="84">
        <f t="shared" si="21"/>
        <v>0</v>
      </c>
      <c r="AT12" s="90"/>
      <c r="AU12" s="84">
        <f>SUM(AU11:AU11)</f>
        <v>0</v>
      </c>
    </row>
    <row r="13" spans="2:47" outlineLevel="1">
      <c r="D13" s="59"/>
      <c r="E13" s="59"/>
      <c r="F13" s="59"/>
      <c r="G13" s="59"/>
      <c r="H13" s="59"/>
      <c r="I13" s="59"/>
      <c r="J13" s="59"/>
      <c r="K13" s="59"/>
      <c r="L13" s="59"/>
      <c r="M13" s="83"/>
      <c r="N13" s="83"/>
      <c r="O13" s="83"/>
      <c r="P13" s="83"/>
      <c r="Q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</row>
    <row r="14" spans="2:47" outlineLevel="1">
      <c r="B14" s="158" t="s">
        <v>98</v>
      </c>
      <c r="C14" s="10"/>
      <c r="D14" s="68">
        <v>0</v>
      </c>
      <c r="E14" s="68">
        <v>0</v>
      </c>
      <c r="F14" s="68">
        <v>0</v>
      </c>
      <c r="G14" s="68">
        <v>0</v>
      </c>
      <c r="H14" s="68">
        <v>0</v>
      </c>
      <c r="I14" s="68">
        <v>0</v>
      </c>
      <c r="J14" s="68">
        <v>0</v>
      </c>
      <c r="K14" s="68">
        <v>-9102</v>
      </c>
      <c r="L14" s="68">
        <v>35214</v>
      </c>
      <c r="M14" s="85">
        <f t="shared" ref="M14:O14" si="22">M7+M12</f>
        <v>0</v>
      </c>
      <c r="N14" s="85">
        <f t="shared" si="22"/>
        <v>0</v>
      </c>
      <c r="O14" s="85">
        <f t="shared" si="22"/>
        <v>0</v>
      </c>
      <c r="P14" s="85"/>
      <c r="Q14" s="85">
        <f>Q7+Q12</f>
        <v>26112</v>
      </c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>
        <f>AF7+AF12</f>
        <v>0</v>
      </c>
      <c r="AH14" s="85"/>
      <c r="AI14" s="85"/>
      <c r="AJ14" s="85"/>
      <c r="AK14" s="85"/>
      <c r="AL14" s="85"/>
      <c r="AM14" s="85"/>
      <c r="AN14" s="85"/>
      <c r="AO14" s="85"/>
      <c r="AP14" s="85"/>
      <c r="AQ14" s="85"/>
      <c r="AR14" s="85"/>
      <c r="AS14" s="85"/>
      <c r="AT14" s="85"/>
      <c r="AU14" s="85">
        <f>AU7+AU12</f>
        <v>0</v>
      </c>
    </row>
    <row r="15" spans="2:47" outlineLevel="1">
      <c r="B15" s="158" t="s">
        <v>103</v>
      </c>
      <c r="C15" s="10"/>
      <c r="D15" s="71">
        <v>0</v>
      </c>
      <c r="E15" s="71">
        <v>0</v>
      </c>
      <c r="F15" s="71">
        <v>0</v>
      </c>
      <c r="G15" s="71">
        <v>0</v>
      </c>
      <c r="H15" s="71">
        <v>0</v>
      </c>
      <c r="I15" s="71">
        <v>0</v>
      </c>
      <c r="J15" s="71">
        <v>0</v>
      </c>
      <c r="K15" s="71">
        <v>0</v>
      </c>
      <c r="L15" s="71">
        <v>0.73346152405946663</v>
      </c>
      <c r="M15" s="86">
        <v>0.74310395754159175</v>
      </c>
      <c r="N15" s="86">
        <v>0.70828176283950595</v>
      </c>
      <c r="O15" s="86">
        <v>0.71507872962313002</v>
      </c>
      <c r="P15" s="10"/>
      <c r="Q15" s="86">
        <f>IFERROR(Q14/Q7,0)</f>
        <v>0</v>
      </c>
      <c r="S15" s="86">
        <f t="shared" ref="S15:AD15" si="23">IFERROR(S14/S7,0)</f>
        <v>0</v>
      </c>
      <c r="T15" s="86">
        <f t="shared" si="23"/>
        <v>0</v>
      </c>
      <c r="U15" s="86">
        <f t="shared" si="23"/>
        <v>0</v>
      </c>
      <c r="V15" s="86">
        <f t="shared" si="23"/>
        <v>0</v>
      </c>
      <c r="W15" s="86">
        <f t="shared" si="23"/>
        <v>0</v>
      </c>
      <c r="X15" s="86">
        <f t="shared" si="23"/>
        <v>0</v>
      </c>
      <c r="Y15" s="86">
        <f t="shared" si="23"/>
        <v>0</v>
      </c>
      <c r="Z15" s="86">
        <f t="shared" si="23"/>
        <v>0</v>
      </c>
      <c r="AA15" s="86">
        <f t="shared" si="23"/>
        <v>0</v>
      </c>
      <c r="AB15" s="86">
        <f t="shared" si="23"/>
        <v>0</v>
      </c>
      <c r="AC15" s="86">
        <f t="shared" si="23"/>
        <v>0</v>
      </c>
      <c r="AD15" s="86">
        <f t="shared" si="23"/>
        <v>0</v>
      </c>
      <c r="AE15" s="10"/>
      <c r="AF15" s="86">
        <f>IFERROR(AF14/AF7,0)</f>
        <v>0</v>
      </c>
      <c r="AH15" s="86">
        <f t="shared" ref="AH15:AS15" si="24">IFERROR(AH14/AH7,0)</f>
        <v>0</v>
      </c>
      <c r="AI15" s="86">
        <f t="shared" si="24"/>
        <v>0</v>
      </c>
      <c r="AJ15" s="86">
        <f t="shared" si="24"/>
        <v>0</v>
      </c>
      <c r="AK15" s="86">
        <f t="shared" si="24"/>
        <v>0</v>
      </c>
      <c r="AL15" s="86">
        <f t="shared" si="24"/>
        <v>0</v>
      </c>
      <c r="AM15" s="86">
        <f t="shared" si="24"/>
        <v>0</v>
      </c>
      <c r="AN15" s="86">
        <f t="shared" si="24"/>
        <v>0</v>
      </c>
      <c r="AO15" s="86">
        <f t="shared" si="24"/>
        <v>0</v>
      </c>
      <c r="AP15" s="86">
        <f t="shared" si="24"/>
        <v>0</v>
      </c>
      <c r="AQ15" s="86">
        <f t="shared" si="24"/>
        <v>0</v>
      </c>
      <c r="AR15" s="86">
        <f t="shared" si="24"/>
        <v>0</v>
      </c>
      <c r="AS15" s="86">
        <f t="shared" si="24"/>
        <v>0</v>
      </c>
      <c r="AT15" s="10"/>
      <c r="AU15" s="86">
        <f>IFERROR(AU14/AU7,0)</f>
        <v>0</v>
      </c>
    </row>
    <row r="16" spans="2:47" outlineLevel="1">
      <c r="G16" s="53"/>
      <c r="H16" s="53"/>
      <c r="I16" s="53"/>
      <c r="J16" s="53"/>
      <c r="K16" s="53"/>
      <c r="L16" s="53"/>
    </row>
    <row r="17" spans="2:47">
      <c r="B17" s="156" t="s">
        <v>104</v>
      </c>
      <c r="D17" s="74"/>
      <c r="E17" s="74"/>
      <c r="F17" s="74"/>
      <c r="G17" s="74"/>
      <c r="H17" s="74"/>
      <c r="I17" s="74"/>
      <c r="J17" s="74"/>
      <c r="K17" s="74"/>
      <c r="L17" s="74"/>
      <c r="S17" s="87"/>
      <c r="T17" s="87"/>
      <c r="U17" s="87"/>
      <c r="V17" s="87"/>
      <c r="W17" s="87"/>
      <c r="AH17" s="87"/>
      <c r="AI17" s="87"/>
      <c r="AJ17" s="87"/>
      <c r="AK17" s="87"/>
      <c r="AL17" s="87"/>
    </row>
    <row r="18" spans="2:47">
      <c r="G18" s="53"/>
      <c r="H18" s="53"/>
      <c r="I18" s="53"/>
      <c r="J18" s="53"/>
      <c r="K18" s="53"/>
      <c r="L18" s="53"/>
    </row>
    <row r="19" spans="2:47">
      <c r="B19" s="7" t="s">
        <v>104</v>
      </c>
      <c r="C19" s="92"/>
      <c r="D19" s="59">
        <v>-20318</v>
      </c>
      <c r="E19" s="59">
        <v>-41137</v>
      </c>
      <c r="F19" s="59">
        <v>-22811</v>
      </c>
      <c r="G19" s="59">
        <v>-29571</v>
      </c>
      <c r="H19" s="59">
        <v>-23485</v>
      </c>
      <c r="I19" s="59">
        <v>-24458</v>
      </c>
      <c r="J19" s="59">
        <v>-12717</v>
      </c>
      <c r="K19" s="59">
        <v>-25470</v>
      </c>
      <c r="L19" s="59">
        <v>-25010</v>
      </c>
      <c r="M19" s="83">
        <v>-37451</v>
      </c>
      <c r="N19" s="83">
        <v>-41453</v>
      </c>
      <c r="O19" s="83">
        <v>-36510</v>
      </c>
      <c r="P19" s="83"/>
      <c r="Q19" s="90">
        <f>SUM(D19:O19)</f>
        <v>-340391</v>
      </c>
      <c r="S19" s="83">
        <v>-25000</v>
      </c>
      <c r="T19" s="83">
        <v>-25000</v>
      </c>
      <c r="U19" s="83">
        <v>-25000</v>
      </c>
      <c r="V19" s="83">
        <v>-25000</v>
      </c>
      <c r="W19" s="83">
        <v>-25000</v>
      </c>
      <c r="X19" s="83">
        <v>-25000</v>
      </c>
      <c r="Y19" s="83">
        <v>-25000</v>
      </c>
      <c r="Z19" s="83">
        <v>-25000</v>
      </c>
      <c r="AA19" s="83">
        <v>-25000</v>
      </c>
      <c r="AB19" s="83">
        <v>-25000</v>
      </c>
      <c r="AC19" s="83">
        <v>-25000</v>
      </c>
      <c r="AD19" s="83">
        <v>-25000</v>
      </c>
      <c r="AE19" s="83"/>
      <c r="AF19" s="90">
        <f>SUM(S19:AD19)</f>
        <v>-300000</v>
      </c>
      <c r="AH19" s="83">
        <v>-25000</v>
      </c>
      <c r="AI19" s="83">
        <v>-25000</v>
      </c>
      <c r="AJ19" s="83">
        <v>-25000</v>
      </c>
      <c r="AK19" s="83">
        <v>-25000</v>
      </c>
      <c r="AL19" s="83">
        <v>-25000</v>
      </c>
      <c r="AM19" s="83">
        <v>-25000</v>
      </c>
      <c r="AN19" s="83">
        <v>-25000</v>
      </c>
      <c r="AO19" s="83">
        <v>-25000</v>
      </c>
      <c r="AP19" s="83">
        <v>-25000</v>
      </c>
      <c r="AQ19" s="83">
        <v>-25000</v>
      </c>
      <c r="AR19" s="83">
        <v>-25000</v>
      </c>
      <c r="AS19" s="83">
        <v>-25000</v>
      </c>
      <c r="AT19" s="83"/>
      <c r="AU19" s="90">
        <f>SUM(AH19:AS19)</f>
        <v>-300000</v>
      </c>
    </row>
    <row r="20" spans="2:47">
      <c r="B20" s="51" t="s">
        <v>106</v>
      </c>
      <c r="C20" s="92"/>
      <c r="D20" s="59">
        <v>-1637</v>
      </c>
      <c r="E20" s="59">
        <v>-4347</v>
      </c>
      <c r="F20" s="59" t="s">
        <v>184</v>
      </c>
      <c r="G20" s="59">
        <v>-3191</v>
      </c>
      <c r="H20" s="59">
        <v>-3720</v>
      </c>
      <c r="I20" s="59">
        <v>-8077</v>
      </c>
      <c r="J20" s="59">
        <v>-3635</v>
      </c>
      <c r="K20" s="59">
        <v>-3405</v>
      </c>
      <c r="L20" s="59">
        <v>-14143</v>
      </c>
      <c r="M20" s="83" t="s">
        <v>184</v>
      </c>
      <c r="N20" s="83" t="s">
        <v>184</v>
      </c>
      <c r="O20" s="83" t="s">
        <v>184</v>
      </c>
      <c r="P20" s="83"/>
      <c r="Q20" s="90">
        <f t="shared" ref="Q20:Q23" si="25">SUM(D20:O20)</f>
        <v>-42155</v>
      </c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90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90"/>
    </row>
    <row r="21" spans="2:47">
      <c r="B21" s="51" t="s">
        <v>107</v>
      </c>
      <c r="C21" s="92"/>
      <c r="D21" s="59" t="s">
        <v>184</v>
      </c>
      <c r="E21" s="59">
        <v>-176</v>
      </c>
      <c r="F21" s="59">
        <v>-181</v>
      </c>
      <c r="G21" s="59" t="s">
        <v>184</v>
      </c>
      <c r="H21" s="59" t="s">
        <v>184</v>
      </c>
      <c r="I21" s="59" t="s">
        <v>184</v>
      </c>
      <c r="J21" s="59" t="s">
        <v>184</v>
      </c>
      <c r="K21" s="59">
        <v>6030</v>
      </c>
      <c r="L21" s="59" t="s">
        <v>184</v>
      </c>
      <c r="M21" s="83" t="s">
        <v>184</v>
      </c>
      <c r="N21" s="83" t="s">
        <v>184</v>
      </c>
      <c r="O21" s="83" t="s">
        <v>184</v>
      </c>
      <c r="P21" s="83"/>
      <c r="Q21" s="90">
        <f t="shared" si="25"/>
        <v>5673</v>
      </c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90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90"/>
    </row>
    <row r="22" spans="2:47">
      <c r="B22" s="51" t="s">
        <v>108</v>
      </c>
      <c r="C22" s="92"/>
      <c r="D22" s="59" t="s">
        <v>184</v>
      </c>
      <c r="E22" s="59" t="s">
        <v>184</v>
      </c>
      <c r="F22" s="59">
        <v>-176</v>
      </c>
      <c r="G22" s="59" t="s">
        <v>184</v>
      </c>
      <c r="H22" s="59" t="s">
        <v>184</v>
      </c>
      <c r="I22" s="59" t="s">
        <v>184</v>
      </c>
      <c r="J22" s="59" t="s">
        <v>184</v>
      </c>
      <c r="K22" s="59" t="s">
        <v>184</v>
      </c>
      <c r="L22" s="59"/>
      <c r="M22" s="83"/>
      <c r="N22" s="83"/>
      <c r="O22" s="83"/>
      <c r="P22" s="83"/>
      <c r="Q22" s="90">
        <f t="shared" si="25"/>
        <v>-176</v>
      </c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90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90"/>
    </row>
    <row r="23" spans="2:47">
      <c r="B23" s="51" t="s">
        <v>109</v>
      </c>
      <c r="C23" s="92"/>
      <c r="D23" s="59">
        <v>-225</v>
      </c>
      <c r="E23" s="59">
        <v>-301</v>
      </c>
      <c r="F23" s="59" t="s">
        <v>184</v>
      </c>
      <c r="G23" s="59" t="s">
        <v>184</v>
      </c>
      <c r="H23" s="59" t="s">
        <v>184</v>
      </c>
      <c r="I23" s="59" t="s">
        <v>184</v>
      </c>
      <c r="J23" s="59" t="s">
        <v>184</v>
      </c>
      <c r="K23" s="59" t="s">
        <v>184</v>
      </c>
      <c r="L23" s="59"/>
      <c r="M23" s="83"/>
      <c r="N23" s="83"/>
      <c r="O23" s="83"/>
      <c r="P23" s="83"/>
      <c r="Q23" s="90">
        <f t="shared" si="25"/>
        <v>-526</v>
      </c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90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90"/>
    </row>
    <row r="24" spans="2:47" s="10" customFormat="1">
      <c r="B24" s="157" t="s">
        <v>110</v>
      </c>
      <c r="D24" s="64">
        <v>-22179.759999999998</v>
      </c>
      <c r="E24" s="64">
        <v>-45962.28</v>
      </c>
      <c r="F24" s="64">
        <v>-23167.81</v>
      </c>
      <c r="G24" s="64">
        <v>-32762.489999999998</v>
      </c>
      <c r="H24" s="64">
        <v>-27205.68</v>
      </c>
      <c r="I24" s="64">
        <v>-32534.83</v>
      </c>
      <c r="J24" s="64">
        <v>-16351.869999999999</v>
      </c>
      <c r="K24" s="64">
        <v>-22844.720000000001</v>
      </c>
      <c r="L24" s="64">
        <v>-39153</v>
      </c>
      <c r="M24" s="84">
        <f>SUM(M19:M23)</f>
        <v>-37451</v>
      </c>
      <c r="N24" s="84">
        <f t="shared" ref="N24:O24" si="26">SUM(N19:N23)</f>
        <v>-41453</v>
      </c>
      <c r="O24" s="84">
        <f t="shared" si="26"/>
        <v>-36510</v>
      </c>
      <c r="P24" s="90"/>
      <c r="Q24" s="84">
        <f>SUM(Q19:Q23)</f>
        <v>-377575</v>
      </c>
      <c r="R24" s="61"/>
      <c r="S24" s="84">
        <f t="shared" ref="S24:AD24" si="27">SUM(S19:S19)</f>
        <v>-25000</v>
      </c>
      <c r="T24" s="84">
        <f t="shared" si="27"/>
        <v>-25000</v>
      </c>
      <c r="U24" s="84">
        <f t="shared" si="27"/>
        <v>-25000</v>
      </c>
      <c r="V24" s="84">
        <f t="shared" si="27"/>
        <v>-25000</v>
      </c>
      <c r="W24" s="84">
        <f t="shared" si="27"/>
        <v>-25000</v>
      </c>
      <c r="X24" s="84">
        <f t="shared" si="27"/>
        <v>-25000</v>
      </c>
      <c r="Y24" s="84">
        <f t="shared" si="27"/>
        <v>-25000</v>
      </c>
      <c r="Z24" s="84">
        <f t="shared" si="27"/>
        <v>-25000</v>
      </c>
      <c r="AA24" s="84">
        <f t="shared" si="27"/>
        <v>-25000</v>
      </c>
      <c r="AB24" s="84">
        <f t="shared" si="27"/>
        <v>-25000</v>
      </c>
      <c r="AC24" s="84">
        <f t="shared" si="27"/>
        <v>-25000</v>
      </c>
      <c r="AD24" s="84">
        <f t="shared" si="27"/>
        <v>-25000</v>
      </c>
      <c r="AE24" s="90"/>
      <c r="AF24" s="84">
        <f>SUM(AF19:AF19)</f>
        <v>-300000</v>
      </c>
      <c r="AH24" s="84">
        <f t="shared" ref="AH24:AS24" si="28">SUM(AH19:AH19)</f>
        <v>-25000</v>
      </c>
      <c r="AI24" s="84">
        <f t="shared" si="28"/>
        <v>-25000</v>
      </c>
      <c r="AJ24" s="84">
        <f t="shared" si="28"/>
        <v>-25000</v>
      </c>
      <c r="AK24" s="84">
        <f t="shared" si="28"/>
        <v>-25000</v>
      </c>
      <c r="AL24" s="84">
        <f t="shared" si="28"/>
        <v>-25000</v>
      </c>
      <c r="AM24" s="84">
        <f t="shared" si="28"/>
        <v>-25000</v>
      </c>
      <c r="AN24" s="84">
        <f t="shared" si="28"/>
        <v>-25000</v>
      </c>
      <c r="AO24" s="84">
        <f t="shared" si="28"/>
        <v>-25000</v>
      </c>
      <c r="AP24" s="84">
        <f t="shared" si="28"/>
        <v>-25000</v>
      </c>
      <c r="AQ24" s="84">
        <f t="shared" si="28"/>
        <v>-25000</v>
      </c>
      <c r="AR24" s="84">
        <f t="shared" si="28"/>
        <v>-25000</v>
      </c>
      <c r="AS24" s="84">
        <f t="shared" si="28"/>
        <v>-25000</v>
      </c>
      <c r="AT24" s="90"/>
      <c r="AU24" s="84">
        <f>SUM(AU19:AU19)</f>
        <v>-300000</v>
      </c>
    </row>
    <row r="25" spans="2:47">
      <c r="G25" s="53"/>
      <c r="H25" s="53"/>
      <c r="I25" s="53"/>
      <c r="J25" s="53"/>
      <c r="K25" s="53"/>
      <c r="L25" s="53"/>
      <c r="Q25" s="159"/>
      <c r="AF25" s="159"/>
      <c r="AU25" s="159"/>
    </row>
    <row r="26" spans="2:47">
      <c r="B26" s="158" t="s">
        <v>115</v>
      </c>
      <c r="C26" s="10"/>
      <c r="D26" s="68">
        <v>-22179.759999999998</v>
      </c>
      <c r="E26" s="68">
        <v>-45962.28</v>
      </c>
      <c r="F26" s="68">
        <v>-23167.81</v>
      </c>
      <c r="G26" s="68">
        <v>-32762.489999999998</v>
      </c>
      <c r="H26" s="68">
        <v>-27205.68</v>
      </c>
      <c r="I26" s="68">
        <v>-32534.83</v>
      </c>
      <c r="J26" s="68">
        <v>-16351.869999999999</v>
      </c>
      <c r="K26" s="68">
        <v>-31946.720000000001</v>
      </c>
      <c r="L26" s="68">
        <v>-3939</v>
      </c>
      <c r="M26" s="85">
        <f t="shared" ref="M26:O26" si="29">M14+M24</f>
        <v>-37451</v>
      </c>
      <c r="N26" s="85">
        <f t="shared" si="29"/>
        <v>-41453</v>
      </c>
      <c r="O26" s="85">
        <f t="shared" si="29"/>
        <v>-36510</v>
      </c>
      <c r="P26" s="85"/>
      <c r="Q26" s="85">
        <f>Q14+Q24</f>
        <v>-351463</v>
      </c>
      <c r="S26" s="85">
        <f t="shared" ref="S26:AD26" si="30">S14+S24</f>
        <v>-25000</v>
      </c>
      <c r="T26" s="85">
        <f t="shared" si="30"/>
        <v>-25000</v>
      </c>
      <c r="U26" s="85">
        <f t="shared" si="30"/>
        <v>-25000</v>
      </c>
      <c r="V26" s="85">
        <f t="shared" si="30"/>
        <v>-25000</v>
      </c>
      <c r="W26" s="85">
        <f t="shared" si="30"/>
        <v>-25000</v>
      </c>
      <c r="X26" s="85">
        <f t="shared" si="30"/>
        <v>-25000</v>
      </c>
      <c r="Y26" s="85">
        <f t="shared" si="30"/>
        <v>-25000</v>
      </c>
      <c r="Z26" s="85">
        <f t="shared" si="30"/>
        <v>-25000</v>
      </c>
      <c r="AA26" s="85">
        <f t="shared" si="30"/>
        <v>-25000</v>
      </c>
      <c r="AB26" s="85">
        <f t="shared" si="30"/>
        <v>-25000</v>
      </c>
      <c r="AC26" s="85">
        <f t="shared" si="30"/>
        <v>-25000</v>
      </c>
      <c r="AD26" s="85">
        <f t="shared" si="30"/>
        <v>-25000</v>
      </c>
      <c r="AE26" s="85"/>
      <c r="AF26" s="85">
        <f>AF14+AF24</f>
        <v>-300000</v>
      </c>
      <c r="AH26" s="85">
        <f t="shared" ref="AH26:AS26" si="31">AH14+AH24</f>
        <v>-25000</v>
      </c>
      <c r="AI26" s="85">
        <f t="shared" si="31"/>
        <v>-25000</v>
      </c>
      <c r="AJ26" s="85">
        <f t="shared" si="31"/>
        <v>-25000</v>
      </c>
      <c r="AK26" s="85">
        <f t="shared" si="31"/>
        <v>-25000</v>
      </c>
      <c r="AL26" s="85">
        <f t="shared" si="31"/>
        <v>-25000</v>
      </c>
      <c r="AM26" s="85">
        <f t="shared" si="31"/>
        <v>-25000</v>
      </c>
      <c r="AN26" s="85">
        <f t="shared" si="31"/>
        <v>-25000</v>
      </c>
      <c r="AO26" s="85">
        <f t="shared" si="31"/>
        <v>-25000</v>
      </c>
      <c r="AP26" s="85">
        <f t="shared" si="31"/>
        <v>-25000</v>
      </c>
      <c r="AQ26" s="85">
        <f t="shared" si="31"/>
        <v>-25000</v>
      </c>
      <c r="AR26" s="85">
        <f t="shared" si="31"/>
        <v>-25000</v>
      </c>
      <c r="AS26" s="85">
        <f t="shared" si="31"/>
        <v>-25000</v>
      </c>
      <c r="AT26" s="85"/>
      <c r="AU26" s="85">
        <f>AU14+AU24</f>
        <v>-300000</v>
      </c>
    </row>
    <row r="27" spans="2:47">
      <c r="B27" s="158" t="s">
        <v>120</v>
      </c>
      <c r="C27" s="10"/>
      <c r="D27" s="71">
        <v>0</v>
      </c>
      <c r="E27" s="71">
        <v>0</v>
      </c>
      <c r="F27" s="71">
        <v>0</v>
      </c>
      <c r="G27" s="71">
        <v>0</v>
      </c>
      <c r="H27" s="71">
        <v>0</v>
      </c>
      <c r="I27" s="71">
        <v>0</v>
      </c>
      <c r="J27" s="71">
        <v>0</v>
      </c>
      <c r="K27" s="71">
        <v>0</v>
      </c>
      <c r="L27" s="71">
        <v>0</v>
      </c>
      <c r="M27" s="86">
        <f t="shared" ref="M27:O27" si="32">IFERROR(M26/M7,0)</f>
        <v>0</v>
      </c>
      <c r="N27" s="86">
        <f t="shared" si="32"/>
        <v>0</v>
      </c>
      <c r="O27" s="86">
        <f t="shared" si="32"/>
        <v>0</v>
      </c>
      <c r="P27" s="160"/>
      <c r="Q27" s="86">
        <f>IFERROR(Q26/Q7,0)</f>
        <v>0</v>
      </c>
      <c r="S27" s="86">
        <f t="shared" ref="S27:AD27" si="33">IFERROR(S26/S7,0)</f>
        <v>0</v>
      </c>
      <c r="T27" s="86">
        <f t="shared" si="33"/>
        <v>0</v>
      </c>
      <c r="U27" s="86">
        <f t="shared" si="33"/>
        <v>0</v>
      </c>
      <c r="V27" s="86">
        <f t="shared" si="33"/>
        <v>0</v>
      </c>
      <c r="W27" s="86">
        <f t="shared" si="33"/>
        <v>0</v>
      </c>
      <c r="X27" s="86">
        <f t="shared" si="33"/>
        <v>0</v>
      </c>
      <c r="Y27" s="86">
        <f t="shared" si="33"/>
        <v>0</v>
      </c>
      <c r="Z27" s="86">
        <f t="shared" si="33"/>
        <v>0</v>
      </c>
      <c r="AA27" s="86">
        <f t="shared" si="33"/>
        <v>0</v>
      </c>
      <c r="AB27" s="86">
        <f t="shared" si="33"/>
        <v>0</v>
      </c>
      <c r="AC27" s="86">
        <f t="shared" si="33"/>
        <v>0</v>
      </c>
      <c r="AD27" s="86">
        <f t="shared" si="33"/>
        <v>0</v>
      </c>
      <c r="AE27" s="160"/>
      <c r="AF27" s="86">
        <f>IFERROR(AF26/AF7,0)</f>
        <v>0</v>
      </c>
      <c r="AH27" s="86">
        <f t="shared" ref="AH27:AS27" si="34">IFERROR(AH26/AH7,0)</f>
        <v>0</v>
      </c>
      <c r="AI27" s="86">
        <f t="shared" si="34"/>
        <v>0</v>
      </c>
      <c r="AJ27" s="86">
        <f t="shared" si="34"/>
        <v>0</v>
      </c>
      <c r="AK27" s="86">
        <f t="shared" si="34"/>
        <v>0</v>
      </c>
      <c r="AL27" s="86">
        <f t="shared" si="34"/>
        <v>0</v>
      </c>
      <c r="AM27" s="86">
        <f t="shared" si="34"/>
        <v>0</v>
      </c>
      <c r="AN27" s="86">
        <f t="shared" si="34"/>
        <v>0</v>
      </c>
      <c r="AO27" s="86">
        <f t="shared" si="34"/>
        <v>0</v>
      </c>
      <c r="AP27" s="86">
        <f t="shared" si="34"/>
        <v>0</v>
      </c>
      <c r="AQ27" s="86">
        <f t="shared" si="34"/>
        <v>0</v>
      </c>
      <c r="AR27" s="86">
        <f t="shared" si="34"/>
        <v>0</v>
      </c>
      <c r="AS27" s="86">
        <f t="shared" si="34"/>
        <v>0</v>
      </c>
      <c r="AT27" s="160"/>
      <c r="AU27" s="86">
        <f>IFERROR(AU26/AU7,0)</f>
        <v>0</v>
      </c>
    </row>
    <row r="28" spans="2:47">
      <c r="G28" s="53"/>
      <c r="H28" s="53"/>
      <c r="I28" s="53"/>
      <c r="J28" s="53"/>
      <c r="K28" s="53"/>
      <c r="L28" s="53"/>
    </row>
    <row r="29" spans="2:47">
      <c r="B29" s="156" t="s">
        <v>121</v>
      </c>
      <c r="G29" s="53"/>
      <c r="H29" s="53"/>
      <c r="I29" s="53"/>
      <c r="J29" s="53"/>
      <c r="K29" s="53"/>
      <c r="L29" s="53"/>
    </row>
    <row r="30" spans="2:47">
      <c r="G30" s="53"/>
      <c r="H30" s="53"/>
      <c r="I30" s="53"/>
      <c r="J30" s="53"/>
      <c r="K30" s="53"/>
      <c r="L30" s="53"/>
    </row>
    <row r="31" spans="2:47">
      <c r="B31" s="7" t="s">
        <v>195</v>
      </c>
      <c r="D31" s="59">
        <v>0</v>
      </c>
      <c r="E31" s="59">
        <v>0</v>
      </c>
      <c r="F31" s="59">
        <v>0</v>
      </c>
      <c r="G31" s="59">
        <v>0</v>
      </c>
      <c r="H31" s="59">
        <v>0</v>
      </c>
      <c r="I31" s="59">
        <v>0</v>
      </c>
      <c r="J31" s="59"/>
      <c r="K31" s="59">
        <v>0</v>
      </c>
      <c r="L31" s="59"/>
      <c r="M31" s="83"/>
      <c r="N31" s="83"/>
      <c r="O31" s="83"/>
      <c r="P31" s="83"/>
      <c r="Q31" s="90">
        <f>SUM(D31:O31)</f>
        <v>0</v>
      </c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90">
        <f t="shared" ref="AF31:AF40" si="35">SUM(S31:AD31)</f>
        <v>0</v>
      </c>
      <c r="AH31" s="83"/>
      <c r="AI31" s="83"/>
      <c r="AJ31" s="83"/>
      <c r="AK31" s="83"/>
      <c r="AL31" s="83"/>
      <c r="AM31" s="83"/>
      <c r="AN31" s="83"/>
      <c r="AO31" s="83"/>
      <c r="AP31" s="83"/>
      <c r="AQ31" s="83"/>
      <c r="AR31" s="83"/>
      <c r="AS31" s="83"/>
      <c r="AT31" s="83"/>
      <c r="AU31" s="90">
        <f t="shared" ref="AU31:AU40" si="36">SUM(AH31:AS31)</f>
        <v>0</v>
      </c>
    </row>
    <row r="32" spans="2:47">
      <c r="B32" s="7" t="s">
        <v>196</v>
      </c>
      <c r="D32" s="59">
        <v>-138.75</v>
      </c>
      <c r="E32" s="59">
        <v>0</v>
      </c>
      <c r="F32" s="59">
        <v>-6886.81</v>
      </c>
      <c r="G32" s="59">
        <v>-9639.4</v>
      </c>
      <c r="H32" s="59">
        <v>-127.37</v>
      </c>
      <c r="I32" s="59">
        <v>-832.86</v>
      </c>
      <c r="J32" s="59">
        <v>-360.56</v>
      </c>
      <c r="K32" s="59">
        <v>-13351.51</v>
      </c>
      <c r="L32" s="59">
        <v>-1724</v>
      </c>
      <c r="M32" s="83"/>
      <c r="N32" s="83"/>
      <c r="O32" s="83"/>
      <c r="P32" s="83"/>
      <c r="Q32" s="90">
        <f>SUM(D32:O32)</f>
        <v>-33061.26</v>
      </c>
      <c r="S32" s="83">
        <v>0</v>
      </c>
      <c r="T32" s="83">
        <v>0</v>
      </c>
      <c r="U32" s="83">
        <v>0</v>
      </c>
      <c r="V32" s="83">
        <v>0</v>
      </c>
      <c r="W32" s="83">
        <v>0</v>
      </c>
      <c r="X32" s="83">
        <v>0</v>
      </c>
      <c r="Y32" s="83">
        <v>0</v>
      </c>
      <c r="Z32" s="83">
        <v>0</v>
      </c>
      <c r="AA32" s="83">
        <v>0</v>
      </c>
      <c r="AB32" s="83">
        <v>0</v>
      </c>
      <c r="AC32" s="83">
        <v>0</v>
      </c>
      <c r="AD32" s="83">
        <v>0</v>
      </c>
      <c r="AE32" s="83"/>
      <c r="AF32" s="90">
        <f t="shared" si="35"/>
        <v>0</v>
      </c>
      <c r="AH32" s="83">
        <v>0</v>
      </c>
      <c r="AI32" s="83">
        <v>0</v>
      </c>
      <c r="AJ32" s="83">
        <v>0</v>
      </c>
      <c r="AK32" s="83">
        <v>0</v>
      </c>
      <c r="AL32" s="83">
        <v>0</v>
      </c>
      <c r="AM32" s="83">
        <v>0</v>
      </c>
      <c r="AN32" s="83">
        <v>0</v>
      </c>
      <c r="AO32" s="83">
        <v>0</v>
      </c>
      <c r="AP32" s="83">
        <v>0</v>
      </c>
      <c r="AQ32" s="83">
        <v>0</v>
      </c>
      <c r="AR32" s="83">
        <v>0</v>
      </c>
      <c r="AS32" s="83">
        <v>0</v>
      </c>
      <c r="AT32" s="83"/>
      <c r="AU32" s="90">
        <f t="shared" si="36"/>
        <v>0</v>
      </c>
    </row>
    <row r="33" spans="2:47">
      <c r="B33" s="7" t="s">
        <v>124</v>
      </c>
      <c r="D33" s="59">
        <v>0</v>
      </c>
      <c r="E33" s="59">
        <v>0</v>
      </c>
      <c r="F33" s="59">
        <v>0</v>
      </c>
      <c r="G33" s="59">
        <v>0</v>
      </c>
      <c r="H33" s="59">
        <v>0</v>
      </c>
      <c r="I33" s="59">
        <v>-2770.1</v>
      </c>
      <c r="J33" s="59">
        <v>-18.329999999999998</v>
      </c>
      <c r="K33" s="59"/>
      <c r="L33" s="59"/>
      <c r="M33" s="83"/>
      <c r="N33" s="83"/>
      <c r="O33" s="83"/>
      <c r="P33" s="83"/>
      <c r="Q33" s="90">
        <f>SUM(D33:O33)</f>
        <v>-2788.43</v>
      </c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90">
        <f>SUM(S33:AD33)</f>
        <v>0</v>
      </c>
      <c r="AH33" s="83"/>
      <c r="AI33" s="83"/>
      <c r="AJ33" s="83"/>
      <c r="AK33" s="83"/>
      <c r="AL33" s="83"/>
      <c r="AM33" s="83"/>
      <c r="AN33" s="83"/>
      <c r="AO33" s="83"/>
      <c r="AP33" s="83"/>
      <c r="AQ33" s="83"/>
      <c r="AR33" s="83"/>
      <c r="AS33" s="83"/>
      <c r="AT33" s="83"/>
      <c r="AU33" s="90">
        <f>SUM(AH33:AS33)</f>
        <v>0</v>
      </c>
    </row>
    <row r="34" spans="2:47">
      <c r="B34" s="7" t="s">
        <v>125</v>
      </c>
      <c r="D34" s="59">
        <v>-481.56</v>
      </c>
      <c r="E34" s="59">
        <v>-629.09</v>
      </c>
      <c r="F34" s="59">
        <v>0</v>
      </c>
      <c r="G34" s="59">
        <v>0</v>
      </c>
      <c r="H34" s="59">
        <v>0</v>
      </c>
      <c r="I34" s="59"/>
      <c r="J34" s="59"/>
      <c r="K34" s="59"/>
      <c r="L34" s="59"/>
      <c r="M34" s="83"/>
      <c r="N34" s="83"/>
      <c r="O34" s="83"/>
      <c r="P34" s="83"/>
      <c r="Q34" s="90">
        <f t="shared" ref="Q34:Q40" si="37">SUM(D34:O34)</f>
        <v>-1110.6500000000001</v>
      </c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90">
        <f t="shared" si="35"/>
        <v>0</v>
      </c>
      <c r="AH34" s="83"/>
      <c r="AI34" s="83"/>
      <c r="AJ34" s="83"/>
      <c r="AK34" s="83"/>
      <c r="AL34" s="83"/>
      <c r="AM34" s="83"/>
      <c r="AN34" s="83"/>
      <c r="AO34" s="83"/>
      <c r="AP34" s="83"/>
      <c r="AQ34" s="83"/>
      <c r="AR34" s="83"/>
      <c r="AS34" s="83"/>
      <c r="AT34" s="83"/>
      <c r="AU34" s="90">
        <f t="shared" si="36"/>
        <v>0</v>
      </c>
    </row>
    <row r="35" spans="2:47">
      <c r="B35" s="7" t="s">
        <v>126</v>
      </c>
      <c r="D35" s="59">
        <v>-246.13</v>
      </c>
      <c r="E35" s="59">
        <v>-6801.59</v>
      </c>
      <c r="F35" s="59"/>
      <c r="G35" s="59">
        <v>0</v>
      </c>
      <c r="H35" s="59">
        <v>0</v>
      </c>
      <c r="I35" s="59">
        <v>0</v>
      </c>
      <c r="J35" s="59"/>
      <c r="K35" s="59"/>
      <c r="L35" s="59"/>
      <c r="M35" s="83"/>
      <c r="N35" s="83"/>
      <c r="O35" s="83"/>
      <c r="P35" s="83"/>
      <c r="Q35" s="90">
        <f t="shared" si="37"/>
        <v>-7047.72</v>
      </c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90">
        <f t="shared" si="35"/>
        <v>0</v>
      </c>
      <c r="AH35" s="83"/>
      <c r="AI35" s="83"/>
      <c r="AJ35" s="83"/>
      <c r="AK35" s="83"/>
      <c r="AL35" s="83"/>
      <c r="AM35" s="83"/>
      <c r="AN35" s="83"/>
      <c r="AO35" s="83"/>
      <c r="AP35" s="83"/>
      <c r="AQ35" s="83"/>
      <c r="AR35" s="83"/>
      <c r="AS35" s="83"/>
      <c r="AT35" s="83"/>
      <c r="AU35" s="90">
        <f t="shared" si="36"/>
        <v>0</v>
      </c>
    </row>
    <row r="36" spans="2:47">
      <c r="B36" s="7" t="s">
        <v>127</v>
      </c>
      <c r="D36" s="59">
        <v>-902.78</v>
      </c>
      <c r="E36" s="59">
        <v>-666.67</v>
      </c>
      <c r="F36" s="59">
        <v>-23005.42</v>
      </c>
      <c r="G36" s="59">
        <v>8390</v>
      </c>
      <c r="H36" s="59">
        <v>0</v>
      </c>
      <c r="I36" s="59">
        <v>-666.67</v>
      </c>
      <c r="J36" s="59"/>
      <c r="K36" s="59"/>
      <c r="L36" s="59"/>
      <c r="M36" s="83"/>
      <c r="N36" s="83"/>
      <c r="O36" s="83"/>
      <c r="P36" s="83"/>
      <c r="Q36" s="90">
        <f t="shared" si="37"/>
        <v>-16851.539999999997</v>
      </c>
      <c r="S36" s="83"/>
      <c r="T36" s="83"/>
      <c r="U36" s="83"/>
      <c r="V36" s="83"/>
      <c r="W36" s="83"/>
      <c r="X36" s="83"/>
      <c r="Y36" s="83"/>
      <c r="Z36" s="83"/>
      <c r="AA36" s="83"/>
      <c r="AB36" s="83"/>
      <c r="AC36" s="83"/>
      <c r="AD36" s="83"/>
      <c r="AE36" s="83"/>
      <c r="AF36" s="90">
        <f t="shared" si="35"/>
        <v>0</v>
      </c>
      <c r="AH36" s="83"/>
      <c r="AI36" s="83"/>
      <c r="AJ36" s="83"/>
      <c r="AK36" s="83"/>
      <c r="AL36" s="83"/>
      <c r="AM36" s="83"/>
      <c r="AN36" s="83"/>
      <c r="AO36" s="83"/>
      <c r="AP36" s="83"/>
      <c r="AQ36" s="83"/>
      <c r="AR36" s="83"/>
      <c r="AS36" s="83"/>
      <c r="AT36" s="83"/>
      <c r="AU36" s="90">
        <f t="shared" si="36"/>
        <v>0</v>
      </c>
    </row>
    <row r="37" spans="2:47">
      <c r="B37" s="7" t="s">
        <v>128</v>
      </c>
      <c r="D37" s="59">
        <v>0</v>
      </c>
      <c r="E37" s="59">
        <v>0</v>
      </c>
      <c r="F37" s="59">
        <v>0</v>
      </c>
      <c r="G37" s="59">
        <v>0</v>
      </c>
      <c r="H37" s="59">
        <v>0</v>
      </c>
      <c r="I37" s="59">
        <v>0</v>
      </c>
      <c r="J37" s="59"/>
      <c r="K37" s="59"/>
      <c r="L37" s="59"/>
      <c r="M37" s="83"/>
      <c r="N37" s="83"/>
      <c r="O37" s="83"/>
      <c r="P37" s="83"/>
      <c r="Q37" s="90">
        <f t="shared" si="37"/>
        <v>0</v>
      </c>
      <c r="S37" s="83"/>
      <c r="T37" s="83"/>
      <c r="U37" s="83"/>
      <c r="V37" s="83"/>
      <c r="W37" s="83"/>
      <c r="X37" s="83"/>
      <c r="Y37" s="83"/>
      <c r="Z37" s="83"/>
      <c r="AA37" s="83"/>
      <c r="AB37" s="83"/>
      <c r="AC37" s="83"/>
      <c r="AD37" s="83"/>
      <c r="AE37" s="83"/>
      <c r="AF37" s="90">
        <f t="shared" si="35"/>
        <v>0</v>
      </c>
      <c r="AH37" s="83"/>
      <c r="AI37" s="83"/>
      <c r="AJ37" s="83"/>
      <c r="AK37" s="83"/>
      <c r="AL37" s="83"/>
      <c r="AM37" s="83"/>
      <c r="AN37" s="83"/>
      <c r="AO37" s="83"/>
      <c r="AP37" s="83"/>
      <c r="AQ37" s="83"/>
      <c r="AR37" s="83"/>
      <c r="AS37" s="83"/>
      <c r="AT37" s="83"/>
      <c r="AU37" s="90">
        <f t="shared" si="36"/>
        <v>0</v>
      </c>
    </row>
    <row r="38" spans="2:47">
      <c r="B38" s="51" t="s">
        <v>129</v>
      </c>
      <c r="D38" s="59">
        <v>-9876.5</v>
      </c>
      <c r="E38" s="59">
        <v>-6918.54</v>
      </c>
      <c r="F38" s="59">
        <v>0</v>
      </c>
      <c r="G38" s="59">
        <v>-12000</v>
      </c>
      <c r="H38" s="59">
        <v>0</v>
      </c>
      <c r="I38" s="59">
        <v>197.5</v>
      </c>
      <c r="J38" s="59"/>
      <c r="K38" s="59"/>
      <c r="L38" s="59">
        <v>-4287</v>
      </c>
      <c r="M38" s="83"/>
      <c r="N38" s="83"/>
      <c r="O38" s="83"/>
      <c r="P38" s="83"/>
      <c r="Q38" s="90">
        <f t="shared" si="37"/>
        <v>-32884.54</v>
      </c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90">
        <f t="shared" si="35"/>
        <v>0</v>
      </c>
      <c r="AH38" s="83"/>
      <c r="AI38" s="83"/>
      <c r="AJ38" s="83"/>
      <c r="AK38" s="83"/>
      <c r="AL38" s="83"/>
      <c r="AM38" s="83"/>
      <c r="AN38" s="83"/>
      <c r="AO38" s="83"/>
      <c r="AP38" s="83"/>
      <c r="AQ38" s="83"/>
      <c r="AR38" s="83"/>
      <c r="AS38" s="83"/>
      <c r="AT38" s="83"/>
      <c r="AU38" s="90">
        <f t="shared" si="36"/>
        <v>0</v>
      </c>
    </row>
    <row r="39" spans="2:47">
      <c r="B39" s="7" t="s">
        <v>130</v>
      </c>
      <c r="D39" s="59">
        <v>-1163.77</v>
      </c>
      <c r="E39" s="59">
        <v>-1075.69</v>
      </c>
      <c r="F39" s="59">
        <v>-59.03</v>
      </c>
      <c r="G39" s="59">
        <v>-58.02</v>
      </c>
      <c r="H39" s="59">
        <v>27.52</v>
      </c>
      <c r="I39" s="59">
        <v>20.100000000000001</v>
      </c>
      <c r="J39" s="59">
        <v>-49.75</v>
      </c>
      <c r="K39" s="59"/>
      <c r="L39" s="59"/>
      <c r="M39" s="83"/>
      <c r="N39" s="83"/>
      <c r="O39" s="83"/>
      <c r="P39" s="83"/>
      <c r="Q39" s="90">
        <f t="shared" si="37"/>
        <v>-2358.6400000000003</v>
      </c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90">
        <f t="shared" si="35"/>
        <v>0</v>
      </c>
      <c r="AH39" s="83"/>
      <c r="AI39" s="83"/>
      <c r="AJ39" s="83"/>
      <c r="AK39" s="83"/>
      <c r="AL39" s="83"/>
      <c r="AM39" s="83"/>
      <c r="AN39" s="83"/>
      <c r="AO39" s="83"/>
      <c r="AP39" s="83"/>
      <c r="AQ39" s="83"/>
      <c r="AR39" s="83"/>
      <c r="AS39" s="83"/>
      <c r="AT39" s="83"/>
      <c r="AU39" s="90">
        <f t="shared" si="36"/>
        <v>0</v>
      </c>
    </row>
    <row r="40" spans="2:47">
      <c r="B40" s="7" t="s">
        <v>131</v>
      </c>
      <c r="D40" s="59">
        <v>0</v>
      </c>
      <c r="E40" s="59">
        <v>0</v>
      </c>
      <c r="F40" s="59">
        <v>0</v>
      </c>
      <c r="G40" s="59">
        <v>0</v>
      </c>
      <c r="H40" s="59">
        <v>0</v>
      </c>
      <c r="I40" s="59">
        <v>0</v>
      </c>
      <c r="J40" s="59"/>
      <c r="K40" s="59"/>
      <c r="L40" s="59"/>
      <c r="M40" s="83"/>
      <c r="N40" s="83"/>
      <c r="O40" s="83"/>
      <c r="P40" s="83"/>
      <c r="Q40" s="90">
        <f t="shared" si="37"/>
        <v>0</v>
      </c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3"/>
      <c r="AD40" s="83"/>
      <c r="AE40" s="83"/>
      <c r="AF40" s="90">
        <f t="shared" si="35"/>
        <v>0</v>
      </c>
      <c r="AH40" s="83"/>
      <c r="AI40" s="83"/>
      <c r="AJ40" s="83"/>
      <c r="AK40" s="83"/>
      <c r="AL40" s="83"/>
      <c r="AM40" s="83"/>
      <c r="AN40" s="83"/>
      <c r="AO40" s="83"/>
      <c r="AP40" s="83"/>
      <c r="AQ40" s="83"/>
      <c r="AR40" s="83"/>
      <c r="AS40" s="83"/>
      <c r="AT40" s="83"/>
      <c r="AU40" s="90">
        <f t="shared" si="36"/>
        <v>0</v>
      </c>
    </row>
    <row r="41" spans="2:47">
      <c r="D41" s="59"/>
      <c r="E41" s="59"/>
      <c r="F41" s="59"/>
      <c r="G41" s="59"/>
      <c r="H41" s="59"/>
      <c r="I41" s="59"/>
      <c r="J41" s="59"/>
      <c r="K41" s="59"/>
      <c r="L41" s="59"/>
      <c r="S41" s="83"/>
      <c r="T41" s="83"/>
      <c r="U41" s="83"/>
      <c r="V41" s="83"/>
      <c r="W41" s="83"/>
      <c r="AH41" s="83"/>
      <c r="AI41" s="83"/>
      <c r="AJ41" s="83"/>
      <c r="AK41" s="83"/>
      <c r="AL41" s="83"/>
    </row>
    <row r="42" spans="2:47">
      <c r="B42" s="157" t="s">
        <v>132</v>
      </c>
      <c r="C42" s="10"/>
      <c r="D42" s="64">
        <f t="shared" ref="D42:H42" si="38">SUM(D31:D40)</f>
        <v>-12809.49</v>
      </c>
      <c r="E42" s="64">
        <f t="shared" si="38"/>
        <v>-16091.58</v>
      </c>
      <c r="F42" s="64">
        <f t="shared" si="38"/>
        <v>-29951.26</v>
      </c>
      <c r="G42" s="64">
        <f t="shared" si="38"/>
        <v>-13307.42</v>
      </c>
      <c r="H42" s="64">
        <f t="shared" si="38"/>
        <v>-99.850000000000009</v>
      </c>
      <c r="I42" s="64">
        <f>SUM(I31:I40)</f>
        <v>-4052.03</v>
      </c>
      <c r="J42" s="64">
        <f t="shared" ref="J42:L42" si="39">SUM(J31:J40)</f>
        <v>-428.64</v>
      </c>
      <c r="K42" s="64">
        <f t="shared" si="39"/>
        <v>-13351.51</v>
      </c>
      <c r="L42" s="64">
        <f t="shared" si="39"/>
        <v>-6011</v>
      </c>
      <c r="M42" s="84">
        <f t="shared" ref="M42:O42" si="40">SUM(M31:M41)</f>
        <v>0</v>
      </c>
      <c r="N42" s="84">
        <f t="shared" si="40"/>
        <v>0</v>
      </c>
      <c r="O42" s="84">
        <f t="shared" si="40"/>
        <v>0</v>
      </c>
      <c r="P42" s="90"/>
      <c r="Q42" s="84">
        <f>SUM(Q31:Q41)</f>
        <v>-96102.780000000013</v>
      </c>
      <c r="R42" s="61"/>
      <c r="S42" s="84">
        <f t="shared" ref="S42:AD42" si="41">SUM(S31:S41)</f>
        <v>0</v>
      </c>
      <c r="T42" s="84">
        <f t="shared" si="41"/>
        <v>0</v>
      </c>
      <c r="U42" s="84">
        <f t="shared" si="41"/>
        <v>0</v>
      </c>
      <c r="V42" s="84">
        <f t="shared" si="41"/>
        <v>0</v>
      </c>
      <c r="W42" s="84">
        <f t="shared" si="41"/>
        <v>0</v>
      </c>
      <c r="X42" s="84">
        <f t="shared" si="41"/>
        <v>0</v>
      </c>
      <c r="Y42" s="84">
        <f t="shared" si="41"/>
        <v>0</v>
      </c>
      <c r="Z42" s="84">
        <f t="shared" si="41"/>
        <v>0</v>
      </c>
      <c r="AA42" s="84">
        <f t="shared" si="41"/>
        <v>0</v>
      </c>
      <c r="AB42" s="84">
        <f t="shared" si="41"/>
        <v>0</v>
      </c>
      <c r="AC42" s="84">
        <f t="shared" si="41"/>
        <v>0</v>
      </c>
      <c r="AD42" s="84">
        <f t="shared" si="41"/>
        <v>0</v>
      </c>
      <c r="AE42" s="90"/>
      <c r="AF42" s="84">
        <f>SUM(AF31:AF41)</f>
        <v>0</v>
      </c>
      <c r="AH42" s="84">
        <f t="shared" ref="AH42:AS42" si="42">SUM(AH31:AH41)</f>
        <v>0</v>
      </c>
      <c r="AI42" s="84">
        <f t="shared" si="42"/>
        <v>0</v>
      </c>
      <c r="AJ42" s="84">
        <f t="shared" si="42"/>
        <v>0</v>
      </c>
      <c r="AK42" s="84">
        <f t="shared" si="42"/>
        <v>0</v>
      </c>
      <c r="AL42" s="84">
        <f t="shared" si="42"/>
        <v>0</v>
      </c>
      <c r="AM42" s="84">
        <f t="shared" si="42"/>
        <v>0</v>
      </c>
      <c r="AN42" s="84">
        <f t="shared" si="42"/>
        <v>0</v>
      </c>
      <c r="AO42" s="84">
        <f t="shared" si="42"/>
        <v>0</v>
      </c>
      <c r="AP42" s="84">
        <f t="shared" si="42"/>
        <v>0</v>
      </c>
      <c r="AQ42" s="84">
        <f t="shared" si="42"/>
        <v>0</v>
      </c>
      <c r="AR42" s="84">
        <f t="shared" si="42"/>
        <v>0</v>
      </c>
      <c r="AS42" s="84">
        <f t="shared" si="42"/>
        <v>0</v>
      </c>
      <c r="AT42" s="90"/>
      <c r="AU42" s="84">
        <f>SUM(AU31:AU41)</f>
        <v>0</v>
      </c>
    </row>
    <row r="43" spans="2:47">
      <c r="G43" s="53"/>
      <c r="H43" s="53"/>
      <c r="I43" s="53"/>
      <c r="J43" s="53"/>
      <c r="K43" s="53"/>
      <c r="L43" s="53"/>
    </row>
    <row r="44" spans="2:47">
      <c r="B44" s="158" t="s">
        <v>137</v>
      </c>
      <c r="C44" s="10"/>
      <c r="D44" s="68">
        <v>-34989.25</v>
      </c>
      <c r="E44" s="68">
        <v>-62053.86</v>
      </c>
      <c r="F44" s="68">
        <v>-64504.069999999992</v>
      </c>
      <c r="G44" s="68">
        <v>-59705.91</v>
      </c>
      <c r="H44" s="68">
        <v>-27305.53</v>
      </c>
      <c r="I44" s="68">
        <v>-70642.86</v>
      </c>
      <c r="J44" s="68">
        <v>-16780.509999999998</v>
      </c>
      <c r="K44" s="68">
        <v>-45298.23</v>
      </c>
      <c r="L44" s="68">
        <v>-9950</v>
      </c>
      <c r="M44" s="85">
        <f t="shared" ref="M44:O44" si="43">M26+M42</f>
        <v>-37451</v>
      </c>
      <c r="N44" s="85">
        <f t="shared" si="43"/>
        <v>-41453</v>
      </c>
      <c r="O44" s="85">
        <f t="shared" si="43"/>
        <v>-36510</v>
      </c>
      <c r="P44" s="85"/>
      <c r="Q44" s="85">
        <f>Q26+Q42</f>
        <v>-447565.78</v>
      </c>
      <c r="S44" s="85">
        <f t="shared" ref="S44:AD44" si="44">S26+S42</f>
        <v>-25000</v>
      </c>
      <c r="T44" s="85">
        <f t="shared" si="44"/>
        <v>-25000</v>
      </c>
      <c r="U44" s="85">
        <f t="shared" si="44"/>
        <v>-25000</v>
      </c>
      <c r="V44" s="85">
        <f t="shared" si="44"/>
        <v>-25000</v>
      </c>
      <c r="W44" s="85">
        <f t="shared" si="44"/>
        <v>-25000</v>
      </c>
      <c r="X44" s="85">
        <f t="shared" si="44"/>
        <v>-25000</v>
      </c>
      <c r="Y44" s="85">
        <f t="shared" si="44"/>
        <v>-25000</v>
      </c>
      <c r="Z44" s="85">
        <f t="shared" si="44"/>
        <v>-25000</v>
      </c>
      <c r="AA44" s="85">
        <f t="shared" si="44"/>
        <v>-25000</v>
      </c>
      <c r="AB44" s="85">
        <f t="shared" si="44"/>
        <v>-25000</v>
      </c>
      <c r="AC44" s="85">
        <f t="shared" si="44"/>
        <v>-25000</v>
      </c>
      <c r="AD44" s="85">
        <f t="shared" si="44"/>
        <v>-25000</v>
      </c>
      <c r="AE44" s="85"/>
      <c r="AF44" s="85">
        <f>AF26+AF42</f>
        <v>-300000</v>
      </c>
      <c r="AH44" s="85">
        <f t="shared" ref="AH44:AS44" si="45">AH26+AH42</f>
        <v>-25000</v>
      </c>
      <c r="AI44" s="85">
        <f t="shared" si="45"/>
        <v>-25000</v>
      </c>
      <c r="AJ44" s="85">
        <f t="shared" si="45"/>
        <v>-25000</v>
      </c>
      <c r="AK44" s="85">
        <f t="shared" si="45"/>
        <v>-25000</v>
      </c>
      <c r="AL44" s="85">
        <f t="shared" si="45"/>
        <v>-25000</v>
      </c>
      <c r="AM44" s="85">
        <f t="shared" si="45"/>
        <v>-25000</v>
      </c>
      <c r="AN44" s="85">
        <f t="shared" si="45"/>
        <v>-25000</v>
      </c>
      <c r="AO44" s="85">
        <f t="shared" si="45"/>
        <v>-25000</v>
      </c>
      <c r="AP44" s="85">
        <f t="shared" si="45"/>
        <v>-25000</v>
      </c>
      <c r="AQ44" s="85">
        <f t="shared" si="45"/>
        <v>-25000</v>
      </c>
      <c r="AR44" s="85">
        <f t="shared" si="45"/>
        <v>-25000</v>
      </c>
      <c r="AS44" s="85">
        <f t="shared" si="45"/>
        <v>-25000</v>
      </c>
      <c r="AT44" s="85"/>
      <c r="AU44" s="85">
        <f>AU26+AU42</f>
        <v>-300000</v>
      </c>
    </row>
    <row r="45" spans="2:47">
      <c r="B45" s="10"/>
      <c r="C45" s="10"/>
      <c r="D45" s="70"/>
      <c r="E45" s="70"/>
      <c r="F45" s="70"/>
      <c r="G45" s="70"/>
      <c r="H45" s="70"/>
      <c r="I45" s="70"/>
      <c r="J45" s="70"/>
      <c r="K45" s="70"/>
      <c r="L45" s="70"/>
      <c r="M45" s="10"/>
      <c r="N45" s="10"/>
      <c r="O45" s="10"/>
      <c r="P45" s="10"/>
      <c r="Q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</row>
    <row r="46" spans="2:47">
      <c r="B46" s="158" t="s">
        <v>142</v>
      </c>
      <c r="C46" s="10"/>
      <c r="D46" s="71">
        <v>0</v>
      </c>
      <c r="E46" s="71">
        <v>0</v>
      </c>
      <c r="F46" s="71">
        <v>0</v>
      </c>
      <c r="G46" s="71">
        <v>0</v>
      </c>
      <c r="H46" s="71">
        <v>0</v>
      </c>
      <c r="I46" s="71">
        <v>0</v>
      </c>
      <c r="J46" s="71">
        <v>0</v>
      </c>
      <c r="K46" s="71">
        <v>0</v>
      </c>
      <c r="L46" s="71">
        <v>0</v>
      </c>
      <c r="M46" s="86">
        <f t="shared" ref="M46:O46" si="46">IFERROR(M44/M7,0)</f>
        <v>0</v>
      </c>
      <c r="N46" s="86">
        <f t="shared" si="46"/>
        <v>0</v>
      </c>
      <c r="O46" s="86">
        <f t="shared" si="46"/>
        <v>0</v>
      </c>
      <c r="P46" s="10"/>
      <c r="Q46" s="86">
        <f>IFERROR(Q44/Q7,0)</f>
        <v>0</v>
      </c>
      <c r="S46" s="86">
        <f t="shared" ref="S46:AD46" si="47">IFERROR(S44/S7,0)</f>
        <v>0</v>
      </c>
      <c r="T46" s="86">
        <f t="shared" si="47"/>
        <v>0</v>
      </c>
      <c r="U46" s="86">
        <f t="shared" si="47"/>
        <v>0</v>
      </c>
      <c r="V46" s="86">
        <f t="shared" si="47"/>
        <v>0</v>
      </c>
      <c r="W46" s="86">
        <f t="shared" si="47"/>
        <v>0</v>
      </c>
      <c r="X46" s="86">
        <f t="shared" si="47"/>
        <v>0</v>
      </c>
      <c r="Y46" s="86">
        <f t="shared" si="47"/>
        <v>0</v>
      </c>
      <c r="Z46" s="86">
        <f t="shared" si="47"/>
        <v>0</v>
      </c>
      <c r="AA46" s="86">
        <f t="shared" si="47"/>
        <v>0</v>
      </c>
      <c r="AB46" s="86">
        <f t="shared" si="47"/>
        <v>0</v>
      </c>
      <c r="AC46" s="86">
        <f t="shared" si="47"/>
        <v>0</v>
      </c>
      <c r="AD46" s="86">
        <f t="shared" si="47"/>
        <v>0</v>
      </c>
      <c r="AE46" s="10"/>
      <c r="AF46" s="86">
        <f>IFERROR(AF44/AF7,0)</f>
        <v>0</v>
      </c>
      <c r="AH46" s="86">
        <f t="shared" ref="AH46:AS46" si="48">IFERROR(AH44/AH7,0)</f>
        <v>0</v>
      </c>
      <c r="AI46" s="86">
        <f t="shared" si="48"/>
        <v>0</v>
      </c>
      <c r="AJ46" s="86">
        <f t="shared" si="48"/>
        <v>0</v>
      </c>
      <c r="AK46" s="86">
        <f t="shared" si="48"/>
        <v>0</v>
      </c>
      <c r="AL46" s="86">
        <f t="shared" si="48"/>
        <v>0</v>
      </c>
      <c r="AM46" s="86">
        <f t="shared" si="48"/>
        <v>0</v>
      </c>
      <c r="AN46" s="86">
        <f t="shared" si="48"/>
        <v>0</v>
      </c>
      <c r="AO46" s="86">
        <f t="shared" si="48"/>
        <v>0</v>
      </c>
      <c r="AP46" s="86">
        <f t="shared" si="48"/>
        <v>0</v>
      </c>
      <c r="AQ46" s="86">
        <f t="shared" si="48"/>
        <v>0</v>
      </c>
      <c r="AR46" s="86">
        <f t="shared" si="48"/>
        <v>0</v>
      </c>
      <c r="AS46" s="86">
        <f t="shared" si="48"/>
        <v>0</v>
      </c>
      <c r="AT46" s="10"/>
      <c r="AU46" s="86">
        <f>IFERROR(AU44/AU7,0)</f>
        <v>0</v>
      </c>
    </row>
    <row r="47" spans="2:47">
      <c r="G47" s="53"/>
      <c r="H47" s="53"/>
      <c r="I47" s="53"/>
      <c r="J47" s="53"/>
      <c r="K47" s="53"/>
      <c r="L47" s="53"/>
    </row>
    <row r="48" spans="2:47">
      <c r="D48" s="59"/>
      <c r="E48" s="59"/>
      <c r="F48" s="59"/>
      <c r="G48" s="59"/>
      <c r="H48" s="59"/>
      <c r="I48" s="59"/>
      <c r="J48" s="59"/>
      <c r="K48" s="59"/>
      <c r="L48" s="59"/>
      <c r="M48" s="83"/>
      <c r="N48" s="83"/>
      <c r="O48" s="83"/>
      <c r="P48" s="83"/>
      <c r="Q48" s="90">
        <f>SUM(D48:O48)</f>
        <v>0</v>
      </c>
      <c r="S48" s="83"/>
      <c r="T48" s="83"/>
      <c r="U48" s="83"/>
      <c r="V48" s="83"/>
      <c r="W48" s="83"/>
      <c r="X48" s="83"/>
      <c r="Y48" s="83"/>
      <c r="Z48" s="83"/>
      <c r="AA48" s="83"/>
      <c r="AB48" s="83"/>
      <c r="AC48" s="83"/>
      <c r="AD48" s="83"/>
      <c r="AE48" s="83"/>
      <c r="AF48" s="90">
        <f>SUM(S48:AD48)</f>
        <v>0</v>
      </c>
      <c r="AH48" s="83"/>
      <c r="AI48" s="83"/>
      <c r="AJ48" s="83"/>
      <c r="AK48" s="83"/>
      <c r="AL48" s="83"/>
      <c r="AM48" s="83"/>
      <c r="AN48" s="83"/>
      <c r="AO48" s="83"/>
      <c r="AP48" s="83"/>
      <c r="AQ48" s="83"/>
      <c r="AR48" s="83"/>
      <c r="AS48" s="83"/>
      <c r="AT48" s="83"/>
      <c r="AU48" s="90">
        <f>SUM(AH48:AS48)</f>
        <v>0</v>
      </c>
    </row>
    <row r="49" spans="1:47">
      <c r="G49" s="53"/>
      <c r="H49" s="53"/>
      <c r="I49" s="53"/>
      <c r="J49" s="53"/>
      <c r="K49" s="53"/>
      <c r="L49" s="53"/>
    </row>
    <row r="50" spans="1:47">
      <c r="B50" s="156" t="s">
        <v>143</v>
      </c>
      <c r="G50" s="53"/>
      <c r="H50" s="53"/>
      <c r="I50" s="53"/>
      <c r="J50" s="53"/>
      <c r="K50" s="53"/>
      <c r="L50" s="53"/>
    </row>
    <row r="51" spans="1:47">
      <c r="B51" s="156"/>
      <c r="G51" s="53"/>
      <c r="H51" s="53"/>
      <c r="I51" s="53"/>
      <c r="J51" s="53"/>
      <c r="K51" s="53"/>
      <c r="L51" s="53"/>
    </row>
    <row r="52" spans="1:47" outlineLevel="1">
      <c r="A52" s="51"/>
      <c r="B52" s="51" t="s">
        <v>144</v>
      </c>
      <c r="C52" s="51"/>
      <c r="D52" s="59">
        <v>-175733</v>
      </c>
      <c r="E52" s="59">
        <v>-176363</v>
      </c>
      <c r="F52" s="59">
        <v>-118774</v>
      </c>
      <c r="G52" s="59">
        <v>-139640</v>
      </c>
      <c r="H52" s="59">
        <v>-170913</v>
      </c>
      <c r="I52" s="59">
        <v>-170758</v>
      </c>
      <c r="J52" s="59">
        <v>-185713</v>
      </c>
      <c r="K52" s="59">
        <v>-181099</v>
      </c>
      <c r="L52" s="59">
        <v>-175859</v>
      </c>
      <c r="M52" s="60">
        <v>-177450</v>
      </c>
      <c r="N52" s="60">
        <v>-196390</v>
      </c>
      <c r="O52" s="60">
        <v>-242458</v>
      </c>
      <c r="P52" s="60"/>
      <c r="Q52" s="61">
        <f>SUM(D52:O52)</f>
        <v>-2111150</v>
      </c>
      <c r="R52" s="61"/>
      <c r="S52" s="60">
        <f>SUMIFS(Payroll!I:I,Payroll!$C:$C,"Permanent",Payroll!$B:$B,"Non Rev P&amp;L")</f>
        <v>-242710.57930000001</v>
      </c>
      <c r="T52" s="60">
        <f>SUMIFS(Payroll!J:J,Payroll!$C:$C,"Permanent",Payroll!$B:$B,"Non Rev P&amp;L")</f>
        <v>-241209.37179999999</v>
      </c>
      <c r="U52" s="60">
        <f>SUMIFS(Payroll!K:K,Payroll!$C:$C,"Permanent",Payroll!$B:$B,"Non Rev P&amp;L")</f>
        <v>-230484.37179999999</v>
      </c>
      <c r="V52" s="60">
        <f>SUMIFS(Payroll!L:L,Payroll!$C:$C,"Permanent",Payroll!$B:$B,"Non Rev P&amp;L")</f>
        <v>-230484.37179999999</v>
      </c>
      <c r="W52" s="60">
        <f>SUMIFS(Payroll!M:M,Payroll!$C:$C,"Permanent",Payroll!$B:$B,"Non Rev P&amp;L")</f>
        <v>-230484.37179999999</v>
      </c>
      <c r="X52" s="60">
        <f>SUMIFS(Payroll!N:N,Payroll!$C:$C,"Permanent",Payroll!$B:$B,"Non Rev P&amp;L")</f>
        <v>-230484.37179999999</v>
      </c>
      <c r="Y52" s="60">
        <f>SUMIFS(Payroll!O:O,Payroll!$C:$C,"Permanent",Payroll!$B:$B,"Non Rev P&amp;L")</f>
        <v>-230484.37179999999</v>
      </c>
      <c r="Z52" s="60">
        <f>SUMIFS(Payroll!P:P,Payroll!$C:$C,"Permanent",Payroll!$B:$B,"Non Rev P&amp;L")</f>
        <v>-230484.37179999999</v>
      </c>
      <c r="AA52" s="60">
        <f>SUMIFS(Payroll!Q:Q,Payroll!$C:$C,"Permanent",Payroll!$B:$B,"Non Rev P&amp;L")</f>
        <v>-230484.37179999999</v>
      </c>
      <c r="AB52" s="60">
        <f>SUMIFS(Payroll!R:R,Payroll!$C:$C,"Permanent",Payroll!$B:$B,"Non Rev P&amp;L")</f>
        <v>-230484.37179999999</v>
      </c>
      <c r="AC52" s="60">
        <f>SUMIFS(Payroll!S:S,Payroll!$C:$C,"Permanent",Payroll!$B:$B,"Non Rev P&amp;L")</f>
        <v>-230484.37179999999</v>
      </c>
      <c r="AD52" s="60">
        <f>SUMIFS(Payroll!T:T,Payroll!$C:$C,"Permanent",Payroll!$B:$B,"Non Rev P&amp;L")</f>
        <v>-230484.37179999999</v>
      </c>
      <c r="AE52" s="60"/>
      <c r="AF52" s="61">
        <f>SUM(S52:AD52)</f>
        <v>-2788763.6690999996</v>
      </c>
      <c r="AH52" s="60">
        <f>SUMIFS(Payroll!U:U,Payroll!$C:$C,"Permanent",Payroll!$B:$B,"Non Rev P&amp;L")</f>
        <v>-230484.37179999999</v>
      </c>
      <c r="AI52" s="60">
        <f>SUMIFS(Payroll!V:V,Payroll!$C:$C,"Permanent",Payroll!$B:$B,"Non Rev P&amp;L")</f>
        <v>-230484.37179999999</v>
      </c>
      <c r="AJ52" s="60">
        <f>SUMIFS(Payroll!W:W,Payroll!$C:$C,"Permanent",Payroll!$B:$B,"Non Rev P&amp;L")</f>
        <v>-230484.37179999999</v>
      </c>
      <c r="AK52" s="60">
        <f>SUMIFS(Payroll!X:X,Payroll!$C:$C,"Permanent",Payroll!$B:$B,"Non Rev P&amp;L")</f>
        <v>-230484.37179999999</v>
      </c>
      <c r="AL52" s="60">
        <f>SUMIFS(Payroll!Y:Y,Payroll!$C:$C,"Permanent",Payroll!$B:$B,"Non Rev P&amp;L")</f>
        <v>-230484.37179999999</v>
      </c>
      <c r="AM52" s="60">
        <f>SUMIFS(Payroll!Z:Z,Payroll!$C:$C,"Permanent",Payroll!$B:$B,"Non Rev P&amp;L")</f>
        <v>-230484.37179999999</v>
      </c>
      <c r="AN52" s="60">
        <f>SUMIFS(Payroll!AA:AA,Payroll!$C:$C,"Permanent",Payroll!$B:$B,"Non Rev P&amp;L")</f>
        <v>-230484.37179999999</v>
      </c>
      <c r="AO52" s="60">
        <f>SUMIFS(Payroll!AB:AB,Payroll!$C:$C,"Permanent",Payroll!$B:$B,"Non Rev P&amp;L")</f>
        <v>-230484.37179999999</v>
      </c>
      <c r="AP52" s="60">
        <f>SUMIFS(Payroll!AC:AC,Payroll!$C:$C,"Permanent",Payroll!$B:$B,"Non Rev P&amp;L")</f>
        <v>-230484.37179999999</v>
      </c>
      <c r="AQ52" s="60">
        <f>SUMIFS(Payroll!AD:AD,Payroll!$C:$C,"Permanent",Payroll!$B:$B,"Non Rev P&amp;L")</f>
        <v>-230484.37179999999</v>
      </c>
      <c r="AR52" s="60">
        <f>SUMIFS(Payroll!AE:AE,Payroll!$C:$C,"Permanent",Payroll!$B:$B,"Non Rev P&amp;L")</f>
        <v>-230484.37179999999</v>
      </c>
      <c r="AS52" s="60">
        <f>SUMIFS(Payroll!AF:AF,Payroll!$C:$C,"Permanent",Payroll!$B:$B,"Non Rev P&amp;L")</f>
        <v>-230484.37179999999</v>
      </c>
      <c r="AT52" s="60"/>
      <c r="AU52" s="61">
        <f>SUM(AH52:AS52)</f>
        <v>-2765812.4616</v>
      </c>
    </row>
    <row r="53" spans="1:47" outlineLevel="1">
      <c r="A53" s="51"/>
      <c r="B53" s="51" t="s">
        <v>145</v>
      </c>
      <c r="C53" s="51"/>
      <c r="D53" s="59">
        <v>-23026</v>
      </c>
      <c r="E53" s="59">
        <v>-27393</v>
      </c>
      <c r="F53" s="59">
        <v>-27303</v>
      </c>
      <c r="G53" s="59">
        <v>-37914</v>
      </c>
      <c r="H53" s="59">
        <v>-40019</v>
      </c>
      <c r="I53" s="59">
        <v>-51982</v>
      </c>
      <c r="J53" s="59">
        <v>-34384</v>
      </c>
      <c r="K53" s="59">
        <v>-53306</v>
      </c>
      <c r="L53" s="59">
        <v>-49522</v>
      </c>
      <c r="M53" s="60">
        <v>-51737</v>
      </c>
      <c r="N53" s="60">
        <v>-49512</v>
      </c>
      <c r="O53" s="60">
        <v>-49512</v>
      </c>
      <c r="P53" s="60"/>
      <c r="Q53" s="61">
        <f t="shared" ref="Q53" si="49">SUM(D53:O53)</f>
        <v>-495610</v>
      </c>
      <c r="R53" s="61"/>
      <c r="S53" s="60">
        <f>SUMIFS(Payroll!I:I,Payroll!$C:$C,"Freelancer",Payroll!$B:$B,"Non Rev P&amp;L")</f>
        <v>-25556.348819999999</v>
      </c>
      <c r="T53" s="60">
        <f>SUMIFS(Payroll!J:J,Payroll!$C:$C,"Freelancer",Payroll!$B:$B,"Non Rev P&amp;L")</f>
        <v>-14624.14543</v>
      </c>
      <c r="U53" s="60">
        <f>SUMIFS(Payroll!K:K,Payroll!$C:$C,"Freelancer",Payroll!$B:$B,"Non Rev P&amp;L")</f>
        <v>-14624.14543</v>
      </c>
      <c r="V53" s="60">
        <f>SUMIFS(Payroll!L:L,Payroll!$C:$C,"Freelancer",Payroll!$B:$B,"Non Rev P&amp;L")</f>
        <v>-14624.14543</v>
      </c>
      <c r="W53" s="60">
        <f>SUMIFS(Payroll!M:M,Payroll!$C:$C,"Freelancer",Payroll!$B:$B,"Non Rev P&amp;L")</f>
        <v>-14624.14543</v>
      </c>
      <c r="X53" s="60">
        <f>SUMIFS(Payroll!N:N,Payroll!$C:$C,"Freelancer",Payroll!$B:$B,"Non Rev P&amp;L")</f>
        <v>-14624.14543</v>
      </c>
      <c r="Y53" s="60">
        <f>SUMIFS(Payroll!O:O,Payroll!$C:$C,"Freelancer",Payroll!$B:$B,"Non Rev P&amp;L")</f>
        <v>-14624.14543</v>
      </c>
      <c r="Z53" s="60">
        <f>SUMIFS(Payroll!P:P,Payroll!$C:$C,"Freelancer",Payroll!$B:$B,"Non Rev P&amp;L")</f>
        <v>-14624.14543</v>
      </c>
      <c r="AA53" s="60">
        <f>SUMIFS(Payroll!Q:Q,Payroll!$C:$C,"Freelancer",Payroll!$B:$B,"Non Rev P&amp;L")</f>
        <v>-14624.14543</v>
      </c>
      <c r="AB53" s="60">
        <f>SUMIFS(Payroll!R:R,Payroll!$C:$C,"Freelancer",Payroll!$B:$B,"Non Rev P&amp;L")</f>
        <v>-14624.14543</v>
      </c>
      <c r="AC53" s="60">
        <f>SUMIFS(Payroll!S:S,Payroll!$C:$C,"Freelancer",Payroll!$B:$B,"Non Rev P&amp;L")</f>
        <v>-14624.14543</v>
      </c>
      <c r="AD53" s="60">
        <f>SUMIFS(Payroll!T:T,Payroll!$C:$C,"Freelancer",Payroll!$B:$B,"Non Rev P&amp;L")</f>
        <v>-14624.14543</v>
      </c>
      <c r="AE53" s="60"/>
      <c r="AF53" s="61">
        <f t="shared" ref="AF53" si="50">SUM(S53:AD53)</f>
        <v>-186421.94855000003</v>
      </c>
      <c r="AH53" s="60">
        <f>SUMIFS(Payroll!U:U,Payroll!$C:$C,"Freelancer",Payroll!$B:$B,"Non Rev P&amp;L")</f>
        <v>-14624.14543</v>
      </c>
      <c r="AI53" s="60">
        <f>SUMIFS(Payroll!V:V,Payroll!$C:$C,"Freelancer",Payroll!$B:$B,"Non Rev P&amp;L")</f>
        <v>-14624.14543</v>
      </c>
      <c r="AJ53" s="60">
        <f>SUMIFS(Payroll!W:W,Payroll!$C:$C,"Freelancer",Payroll!$B:$B,"Non Rev P&amp;L")</f>
        <v>-14624.14543</v>
      </c>
      <c r="AK53" s="60">
        <f>SUMIFS(Payroll!X:X,Payroll!$C:$C,"Freelancer",Payroll!$B:$B,"Non Rev P&amp;L")</f>
        <v>-14624.14543</v>
      </c>
      <c r="AL53" s="60">
        <f>SUMIFS(Payroll!Y:Y,Payroll!$C:$C,"Freelancer",Payroll!$B:$B,"Non Rev P&amp;L")</f>
        <v>-14624.14543</v>
      </c>
      <c r="AM53" s="60">
        <f>SUMIFS(Payroll!Z:Z,Payroll!$C:$C,"Freelancer",Payroll!$B:$B,"Non Rev P&amp;L")</f>
        <v>-14624.14543</v>
      </c>
      <c r="AN53" s="60">
        <f>SUMIFS(Payroll!AA:AA,Payroll!$C:$C,"Freelancer",Payroll!$B:$B,"Non Rev P&amp;L")</f>
        <v>-14624.14543</v>
      </c>
      <c r="AO53" s="60">
        <f>SUMIFS(Payroll!AB:AB,Payroll!$C:$C,"Freelancer",Payroll!$B:$B,"Non Rev P&amp;L")</f>
        <v>-14624.14543</v>
      </c>
      <c r="AP53" s="60">
        <f>SUMIFS(Payroll!AC:AC,Payroll!$C:$C,"Freelancer",Payroll!$B:$B,"Non Rev P&amp;L")</f>
        <v>-14624.14543</v>
      </c>
      <c r="AQ53" s="60">
        <f>SUMIFS(Payroll!AD:AD,Payroll!$C:$C,"Freelancer",Payroll!$B:$B,"Non Rev P&amp;L")</f>
        <v>-14624.14543</v>
      </c>
      <c r="AR53" s="60">
        <f>SUMIFS(Payroll!AE:AE,Payroll!$C:$C,"Freelancer",Payroll!$B:$B,"Non Rev P&amp;L")</f>
        <v>-14624.14543</v>
      </c>
      <c r="AS53" s="60">
        <f>SUMIFS(Payroll!AF:AF,Payroll!$C:$C,"Freelancer",Payroll!$B:$B,"Non Rev P&amp;L")</f>
        <v>-14624.14543</v>
      </c>
      <c r="AT53" s="60"/>
      <c r="AU53" s="61">
        <f t="shared" ref="AU53" si="51">SUM(AH53:AS53)</f>
        <v>-175489.74516000002</v>
      </c>
    </row>
    <row r="54" spans="1:47">
      <c r="B54" s="7" t="s">
        <v>146</v>
      </c>
      <c r="D54" s="59">
        <v>-45897</v>
      </c>
      <c r="E54" s="59">
        <v>-42119</v>
      </c>
      <c r="F54" s="59">
        <v>-38263</v>
      </c>
      <c r="G54" s="59">
        <v>-56736</v>
      </c>
      <c r="H54" s="59">
        <v>-38153</v>
      </c>
      <c r="I54" s="59">
        <v>-24389</v>
      </c>
      <c r="J54" s="59">
        <v>-10948</v>
      </c>
      <c r="K54" s="59">
        <v>-30466</v>
      </c>
      <c r="L54" s="59">
        <v>-27754</v>
      </c>
      <c r="M54" s="83">
        <v>-31866</v>
      </c>
      <c r="N54" s="83">
        <v>-31866</v>
      </c>
      <c r="O54" s="83">
        <v>-31866</v>
      </c>
      <c r="P54" s="83"/>
      <c r="Q54" s="90">
        <f t="shared" ref="Q54:Q60" si="52">SUM(D54:O54)</f>
        <v>-410323</v>
      </c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1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83"/>
      <c r="AU54" s="90">
        <f t="shared" ref="AU54:AU60" si="53">SUM(AH54:AS54)</f>
        <v>0</v>
      </c>
    </row>
    <row r="55" spans="1:47">
      <c r="B55" s="7" t="s">
        <v>147</v>
      </c>
      <c r="D55" s="59">
        <v>-38197</v>
      </c>
      <c r="E55" s="59">
        <v>-38651</v>
      </c>
      <c r="F55" s="59">
        <v>-41491</v>
      </c>
      <c r="G55" s="59">
        <v>-37868</v>
      </c>
      <c r="H55" s="59">
        <v>-41077</v>
      </c>
      <c r="I55" s="59">
        <v>-33111</v>
      </c>
      <c r="J55" s="59">
        <v>-38400</v>
      </c>
      <c r="K55" s="59">
        <v>-33672</v>
      </c>
      <c r="L55" s="59">
        <v>-41021</v>
      </c>
      <c r="M55" s="83">
        <v>-40694</v>
      </c>
      <c r="N55" s="83">
        <v>-36734</v>
      </c>
      <c r="O55" s="83">
        <v>-36750</v>
      </c>
      <c r="P55" s="83"/>
      <c r="Q55" s="90">
        <f t="shared" si="52"/>
        <v>-457666</v>
      </c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1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83"/>
      <c r="AU55" s="90">
        <f t="shared" si="53"/>
        <v>0</v>
      </c>
    </row>
    <row r="56" spans="1:47">
      <c r="B56" s="7" t="s">
        <v>148</v>
      </c>
      <c r="D56" s="59">
        <v>-1043</v>
      </c>
      <c r="E56" s="59">
        <v>-1045</v>
      </c>
      <c r="F56" s="59">
        <v>-258</v>
      </c>
      <c r="G56" s="59">
        <v>-311</v>
      </c>
      <c r="H56" s="59">
        <v>-368</v>
      </c>
      <c r="I56" s="59">
        <v>-262</v>
      </c>
      <c r="J56" s="59">
        <v>-263</v>
      </c>
      <c r="K56" s="59">
        <v>-284</v>
      </c>
      <c r="L56" s="59">
        <v>-274</v>
      </c>
      <c r="M56" s="83">
        <v>-205</v>
      </c>
      <c r="N56" s="83">
        <v>-222</v>
      </c>
      <c r="O56" s="83">
        <v>-222</v>
      </c>
      <c r="P56" s="83"/>
      <c r="Q56" s="90">
        <f t="shared" si="52"/>
        <v>-4757</v>
      </c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1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83"/>
      <c r="AU56" s="90">
        <f t="shared" si="53"/>
        <v>0</v>
      </c>
    </row>
    <row r="57" spans="1:47">
      <c r="B57" s="7" t="s">
        <v>149</v>
      </c>
      <c r="D57" s="59">
        <v>-4848</v>
      </c>
      <c r="E57" s="59">
        <v>-4947</v>
      </c>
      <c r="F57" s="59">
        <v>-2361</v>
      </c>
      <c r="G57" s="59">
        <v>-5900</v>
      </c>
      <c r="H57" s="59">
        <v>-5900</v>
      </c>
      <c r="I57" s="59">
        <v>-4946</v>
      </c>
      <c r="J57" s="59">
        <v>-5913</v>
      </c>
      <c r="K57" s="59">
        <v>-6027</v>
      </c>
      <c r="L57" s="59">
        <v>-3327</v>
      </c>
      <c r="M57" s="83">
        <v>-3201</v>
      </c>
      <c r="N57" s="83">
        <v>-3201</v>
      </c>
      <c r="O57" s="83">
        <v>-3201</v>
      </c>
      <c r="P57" s="83"/>
      <c r="Q57" s="90">
        <f t="shared" si="52"/>
        <v>-53772</v>
      </c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1"/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83"/>
      <c r="AU57" s="90">
        <f t="shared" si="53"/>
        <v>0</v>
      </c>
    </row>
    <row r="58" spans="1:47">
      <c r="B58" s="7" t="s">
        <v>150</v>
      </c>
      <c r="D58" s="59">
        <v>-1505</v>
      </c>
      <c r="E58" s="59">
        <v>-8351</v>
      </c>
      <c r="F58" s="59">
        <v>-8332</v>
      </c>
      <c r="G58" s="59">
        <v>-10604</v>
      </c>
      <c r="H58" s="59">
        <v>-10478</v>
      </c>
      <c r="I58" s="59">
        <v>-8557</v>
      </c>
      <c r="J58" s="59">
        <v>-8242</v>
      </c>
      <c r="K58" s="59">
        <v>-8203</v>
      </c>
      <c r="L58" s="59">
        <v>-8635</v>
      </c>
      <c r="M58" s="83">
        <v>-10550</v>
      </c>
      <c r="N58" s="83">
        <v>-10550</v>
      </c>
      <c r="O58" s="83">
        <v>-10550</v>
      </c>
      <c r="P58" s="83"/>
      <c r="Q58" s="90">
        <f t="shared" si="52"/>
        <v>-104557</v>
      </c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1"/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83"/>
      <c r="AU58" s="90">
        <f t="shared" si="53"/>
        <v>0</v>
      </c>
    </row>
    <row r="59" spans="1:47">
      <c r="B59" s="7" t="s">
        <v>151</v>
      </c>
      <c r="D59" s="59">
        <v>-9327</v>
      </c>
      <c r="E59" s="59">
        <v>-6888</v>
      </c>
      <c r="F59" s="59">
        <v>-5198</v>
      </c>
      <c r="G59" s="59">
        <v>-5778</v>
      </c>
      <c r="H59" s="59">
        <v>-6832</v>
      </c>
      <c r="I59" s="59">
        <v>-8083</v>
      </c>
      <c r="J59" s="59">
        <v>-2759</v>
      </c>
      <c r="K59" s="59">
        <v>-14925</v>
      </c>
      <c r="L59" s="59">
        <v>-3662</v>
      </c>
      <c r="M59" s="83">
        <v>-5000</v>
      </c>
      <c r="N59" s="83">
        <v>-5000</v>
      </c>
      <c r="O59" s="83">
        <v>-5000</v>
      </c>
      <c r="P59" s="83"/>
      <c r="Q59" s="90">
        <f t="shared" si="52"/>
        <v>-78452</v>
      </c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1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83"/>
      <c r="AU59" s="90">
        <f t="shared" si="53"/>
        <v>0</v>
      </c>
    </row>
    <row r="60" spans="1:47">
      <c r="B60" s="7" t="s">
        <v>143</v>
      </c>
      <c r="D60" s="59">
        <v>-5840</v>
      </c>
      <c r="E60" s="59">
        <v>-2454</v>
      </c>
      <c r="F60" s="59">
        <v>-7928</v>
      </c>
      <c r="G60" s="59">
        <v>-4718</v>
      </c>
      <c r="H60" s="59">
        <v>-10996</v>
      </c>
      <c r="I60" s="59">
        <v>-8257</v>
      </c>
      <c r="J60" s="59">
        <v>-3167</v>
      </c>
      <c r="K60" s="59">
        <v>-4585</v>
      </c>
      <c r="L60" s="59">
        <v>470</v>
      </c>
      <c r="M60" s="83">
        <v>-366</v>
      </c>
      <c r="N60" s="83">
        <v>-7666</v>
      </c>
      <c r="O60" s="83">
        <v>284</v>
      </c>
      <c r="P60" s="83"/>
      <c r="Q60" s="90">
        <f t="shared" si="52"/>
        <v>-55223</v>
      </c>
      <c r="S60" s="60">
        <f>SUMIF('OH Matrix'!$A$58:$A$70,"Non Rev P&amp;L",'OH Matrix'!P58:P70)</f>
        <v>0</v>
      </c>
      <c r="T60" s="60">
        <f>SUMIF('OH Matrix'!$A$58:$A$70,"Non Rev P&amp;L",'OH Matrix'!Q58:Q70)</f>
        <v>0</v>
      </c>
      <c r="U60" s="60">
        <f>SUMIF('OH Matrix'!$A$58:$A$70,"Non Rev P&amp;L",'OH Matrix'!R58:R70)</f>
        <v>0</v>
      </c>
      <c r="V60" s="60">
        <f>SUMIF('OH Matrix'!$A$58:$A$70,"Non Rev P&amp;L",'OH Matrix'!S58:S70)</f>
        <v>0</v>
      </c>
      <c r="W60" s="60">
        <f>SUMIF('OH Matrix'!$A$58:$A$70,"Non Rev P&amp;L",'OH Matrix'!T58:T70)</f>
        <v>0</v>
      </c>
      <c r="X60" s="60">
        <f>SUMIF('OH Matrix'!$A$58:$A$70,"Non Rev P&amp;L",'OH Matrix'!U58:U70)</f>
        <v>0</v>
      </c>
      <c r="Y60" s="60">
        <f>SUMIF('OH Matrix'!$A$58:$A$70,"Non Rev P&amp;L",'OH Matrix'!V58:V70)</f>
        <v>0</v>
      </c>
      <c r="Z60" s="60">
        <f>SUMIF('OH Matrix'!$A$58:$A$70,"Non Rev P&amp;L",'OH Matrix'!W58:W70)</f>
        <v>0</v>
      </c>
      <c r="AA60" s="60">
        <f>SUMIF('OH Matrix'!$A$58:$A$70,"Non Rev P&amp;L",'OH Matrix'!X58:X70)</f>
        <v>0</v>
      </c>
      <c r="AB60" s="60">
        <f>SUMIF('OH Matrix'!$A$58:$A$70,"Non Rev P&amp;L",'OH Matrix'!Y58:Y70)</f>
        <v>0</v>
      </c>
      <c r="AC60" s="60">
        <f>SUMIF('OH Matrix'!$A$58:$A$70,"Non Rev P&amp;L",'OH Matrix'!Z58:Z70)</f>
        <v>0</v>
      </c>
      <c r="AD60" s="60">
        <f>SUMIF('OH Matrix'!$A$58:$A$70,"Non Rev P&amp;L",'OH Matrix'!AA58:AA70)</f>
        <v>0</v>
      </c>
      <c r="AE60" s="60"/>
      <c r="AF60" s="61">
        <f>SUM(S60:AD60)</f>
        <v>0</v>
      </c>
      <c r="AH60" s="60">
        <f>SUMIF('OH Matrix'!$A$58:$A$70,"Non Rev P&amp;L",'OH Matrix'!AD58:AD70)</f>
        <v>0</v>
      </c>
      <c r="AI60" s="60">
        <f>SUMIF('OH Matrix'!$A$58:$A$70,"Non Rev P&amp;L",'OH Matrix'!AE58:AE70)</f>
        <v>0</v>
      </c>
      <c r="AJ60" s="60">
        <f>SUMIF('OH Matrix'!$A$58:$A$70,"Non Rev P&amp;L",'OH Matrix'!AF58:AF70)</f>
        <v>0</v>
      </c>
      <c r="AK60" s="60">
        <f>SUMIF('OH Matrix'!$A$58:$A$70,"Non Rev P&amp;L",'OH Matrix'!AG58:AG70)</f>
        <v>0</v>
      </c>
      <c r="AL60" s="60">
        <f>SUMIF('OH Matrix'!$A$58:$A$70,"Non Rev P&amp;L",'OH Matrix'!AH58:AH70)</f>
        <v>0</v>
      </c>
      <c r="AM60" s="60">
        <f>SUMIF('OH Matrix'!$A$58:$A$70,"Non Rev P&amp;L",'OH Matrix'!AI58:AI70)</f>
        <v>0</v>
      </c>
      <c r="AN60" s="60">
        <f>SUMIF('OH Matrix'!$A$58:$A$70,"Non Rev P&amp;L",'OH Matrix'!AJ58:AJ70)</f>
        <v>0</v>
      </c>
      <c r="AO60" s="60">
        <f>SUMIF('OH Matrix'!$A$58:$A$70,"Non Rev P&amp;L",'OH Matrix'!AK58:AK70)</f>
        <v>0</v>
      </c>
      <c r="AP60" s="60">
        <f>SUMIF('OH Matrix'!$A$58:$A$70,"Non Rev P&amp;L",'OH Matrix'!AL58:AL70)</f>
        <v>0</v>
      </c>
      <c r="AQ60" s="60">
        <f>SUMIF('OH Matrix'!$A$58:$A$70,"Non Rev P&amp;L",'OH Matrix'!AM58:AM70)</f>
        <v>0</v>
      </c>
      <c r="AR60" s="60">
        <f>SUMIF('OH Matrix'!$A$58:$A$70,"Non Rev P&amp;L",'OH Matrix'!AN58:AN70)</f>
        <v>0</v>
      </c>
      <c r="AS60" s="60">
        <f>SUMIF('OH Matrix'!$A$58:$A$70,"Non Rev P&amp;L",'OH Matrix'!AO58:AO70)</f>
        <v>0</v>
      </c>
      <c r="AT60" s="83"/>
      <c r="AU60" s="90">
        <f t="shared" si="53"/>
        <v>0</v>
      </c>
    </row>
    <row r="61" spans="1:47">
      <c r="G61" s="53"/>
      <c r="H61" s="53"/>
      <c r="I61" s="53"/>
      <c r="J61" s="53"/>
      <c r="K61" s="53"/>
      <c r="L61" s="53"/>
    </row>
    <row r="62" spans="1:47">
      <c r="B62" s="84" t="s">
        <v>152</v>
      </c>
      <c r="C62" s="90"/>
      <c r="D62" s="64">
        <v>-302756.98</v>
      </c>
      <c r="E62" s="64">
        <v>-306000.03999999998</v>
      </c>
      <c r="F62" s="64">
        <v>-247561.02</v>
      </c>
      <c r="G62" s="64">
        <v>-294908.27999999997</v>
      </c>
      <c r="H62" s="64">
        <v>-320229.07999999996</v>
      </c>
      <c r="I62" s="64">
        <v>-310340.51999999996</v>
      </c>
      <c r="J62" s="64">
        <v>-289789.27999999991</v>
      </c>
      <c r="K62" s="64">
        <v>-332567.68999999994</v>
      </c>
      <c r="L62" s="64">
        <v>-309584</v>
      </c>
      <c r="M62" s="84">
        <f>SUM(M52:M61)</f>
        <v>-321069</v>
      </c>
      <c r="N62" s="84">
        <f>SUM(N52:N61)</f>
        <v>-341141</v>
      </c>
      <c r="O62" s="84">
        <f>SUM(O52:O61)</f>
        <v>-379275</v>
      </c>
      <c r="P62" s="90"/>
      <c r="Q62" s="84">
        <f>SUM(Q52:Q61)</f>
        <v>-3771510</v>
      </c>
      <c r="R62" s="61"/>
      <c r="S62" s="84">
        <f>SUM(S52:S61)</f>
        <v>-268266.92812</v>
      </c>
      <c r="T62" s="84">
        <f>SUM(T52:T61)</f>
        <v>-255833.51723</v>
      </c>
      <c r="U62" s="84">
        <f>SUM(U52:U61)</f>
        <v>-245108.51723</v>
      </c>
      <c r="V62" s="84">
        <f>SUM(V52:V61)</f>
        <v>-245108.51723</v>
      </c>
      <c r="W62" s="84">
        <f>SUM(W52:W61)</f>
        <v>-245108.51723</v>
      </c>
      <c r="X62" s="84">
        <f t="shared" ref="X62:Z62" si="54">SUM(X52:X61)</f>
        <v>-245108.51723</v>
      </c>
      <c r="Y62" s="84">
        <f t="shared" si="54"/>
        <v>-245108.51723</v>
      </c>
      <c r="Z62" s="84">
        <f t="shared" si="54"/>
        <v>-245108.51723</v>
      </c>
      <c r="AA62" s="84">
        <f>SUM(AA52:AA61)</f>
        <v>-245108.51723</v>
      </c>
      <c r="AB62" s="84">
        <f>SUM(AB52:AB61)</f>
        <v>-245108.51723</v>
      </c>
      <c r="AC62" s="84">
        <f>SUM(AC52:AC61)</f>
        <v>-245108.51723</v>
      </c>
      <c r="AD62" s="84">
        <f>SUM(AD52:AD61)</f>
        <v>-245108.51723</v>
      </c>
      <c r="AE62" s="90"/>
      <c r="AF62" s="84">
        <f>SUM(AF52:AF61)</f>
        <v>-2975185.6176499994</v>
      </c>
      <c r="AH62" s="84">
        <f>SUM(AH52:AH61)</f>
        <v>-245108.51723</v>
      </c>
      <c r="AI62" s="84">
        <f>SUM(AI52:AI61)</f>
        <v>-245108.51723</v>
      </c>
      <c r="AJ62" s="84">
        <f>SUM(AJ52:AJ61)</f>
        <v>-245108.51723</v>
      </c>
      <c r="AK62" s="84">
        <f>SUM(AK52:AK61)</f>
        <v>-245108.51723</v>
      </c>
      <c r="AL62" s="84">
        <f>SUM(AL52:AL61)</f>
        <v>-245108.51723</v>
      </c>
      <c r="AM62" s="84">
        <f t="shared" ref="AM62:AO62" si="55">SUM(AM52:AM61)</f>
        <v>-245108.51723</v>
      </c>
      <c r="AN62" s="84">
        <f t="shared" si="55"/>
        <v>-245108.51723</v>
      </c>
      <c r="AO62" s="84">
        <f t="shared" si="55"/>
        <v>-245108.51723</v>
      </c>
      <c r="AP62" s="84">
        <f>SUM(AP52:AP61)</f>
        <v>-245108.51723</v>
      </c>
      <c r="AQ62" s="84">
        <f>SUM(AQ52:AQ61)</f>
        <v>-245108.51723</v>
      </c>
      <c r="AR62" s="84">
        <f>SUM(AR52:AR61)</f>
        <v>-245108.51723</v>
      </c>
      <c r="AS62" s="84">
        <f>SUM(AS52:AS61)</f>
        <v>-245108.51723</v>
      </c>
      <c r="AT62" s="90"/>
      <c r="AU62" s="84">
        <f>SUM(AU52:AU61)</f>
        <v>-2941302.20676</v>
      </c>
    </row>
    <row r="63" spans="1:47">
      <c r="D63" s="76"/>
      <c r="E63" s="76"/>
      <c r="F63" s="76"/>
      <c r="G63" s="76"/>
      <c r="H63" s="76"/>
      <c r="I63" s="76"/>
      <c r="J63" s="76"/>
      <c r="K63" s="76"/>
      <c r="L63" s="76"/>
      <c r="M63" s="89"/>
      <c r="N63" s="89"/>
      <c r="O63" s="89"/>
      <c r="Q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F63" s="89"/>
      <c r="AH63" s="89"/>
      <c r="AI63" s="89"/>
      <c r="AJ63" s="89"/>
      <c r="AK63" s="89"/>
      <c r="AL63" s="89"/>
      <c r="AM63" s="89"/>
      <c r="AN63" s="89"/>
      <c r="AO63" s="89"/>
      <c r="AP63" s="89"/>
      <c r="AQ63" s="89"/>
      <c r="AR63" s="89"/>
      <c r="AS63" s="89"/>
      <c r="AU63" s="89"/>
    </row>
    <row r="64" spans="1:47">
      <c r="B64" s="10" t="s">
        <v>153</v>
      </c>
      <c r="C64" s="10"/>
      <c r="D64" s="78">
        <v>-337746.23</v>
      </c>
      <c r="E64" s="78">
        <v>-368053.89999999997</v>
      </c>
      <c r="F64" s="78">
        <v>-312065.08999999997</v>
      </c>
      <c r="G64" s="78">
        <v>-354613.18999999994</v>
      </c>
      <c r="H64" s="78">
        <v>-347533.61</v>
      </c>
      <c r="I64" s="78">
        <v>-380983.37999999995</v>
      </c>
      <c r="J64" s="78">
        <v>-306569.78999999992</v>
      </c>
      <c r="K64" s="78">
        <v>-377865.91999999993</v>
      </c>
      <c r="L64" s="78">
        <v>-319534</v>
      </c>
      <c r="M64" s="90">
        <f t="shared" ref="M64:O64" si="56">M44+M48+M62</f>
        <v>-358520</v>
      </c>
      <c r="N64" s="90">
        <f t="shared" si="56"/>
        <v>-382594</v>
      </c>
      <c r="O64" s="90">
        <f t="shared" si="56"/>
        <v>-415785</v>
      </c>
      <c r="P64" s="90"/>
      <c r="Q64" s="79">
        <f>Q44+Q48+Q62</f>
        <v>-4219075.78</v>
      </c>
      <c r="R64" s="61"/>
      <c r="S64" s="90">
        <f t="shared" ref="S64:AD64" si="57">S44+S48+S62</f>
        <v>-293266.92812</v>
      </c>
      <c r="T64" s="90">
        <f t="shared" si="57"/>
        <v>-280833.51723</v>
      </c>
      <c r="U64" s="90">
        <f t="shared" si="57"/>
        <v>-270108.51723</v>
      </c>
      <c r="V64" s="90">
        <f t="shared" si="57"/>
        <v>-270108.51723</v>
      </c>
      <c r="W64" s="90">
        <f t="shared" si="57"/>
        <v>-270108.51723</v>
      </c>
      <c r="X64" s="90">
        <f t="shared" si="57"/>
        <v>-270108.51723</v>
      </c>
      <c r="Y64" s="90">
        <f t="shared" si="57"/>
        <v>-270108.51723</v>
      </c>
      <c r="Z64" s="90">
        <f t="shared" si="57"/>
        <v>-270108.51723</v>
      </c>
      <c r="AA64" s="90">
        <f t="shared" si="57"/>
        <v>-270108.51723</v>
      </c>
      <c r="AB64" s="90">
        <f t="shared" si="57"/>
        <v>-270108.51723</v>
      </c>
      <c r="AC64" s="90">
        <f t="shared" si="57"/>
        <v>-270108.51723</v>
      </c>
      <c r="AD64" s="90">
        <f t="shared" si="57"/>
        <v>-270108.51723</v>
      </c>
      <c r="AE64" s="90"/>
      <c r="AF64" s="79">
        <f>AF44+AF48+AF62</f>
        <v>-3275185.6176499994</v>
      </c>
      <c r="AH64" s="90">
        <f t="shared" ref="AH64:AS64" si="58">AH44+AH48+AH62</f>
        <v>-270108.51723</v>
      </c>
      <c r="AI64" s="90">
        <f t="shared" si="58"/>
        <v>-270108.51723</v>
      </c>
      <c r="AJ64" s="90">
        <f t="shared" si="58"/>
        <v>-270108.51723</v>
      </c>
      <c r="AK64" s="90">
        <f t="shared" si="58"/>
        <v>-270108.51723</v>
      </c>
      <c r="AL64" s="90">
        <f t="shared" si="58"/>
        <v>-270108.51723</v>
      </c>
      <c r="AM64" s="90">
        <f t="shared" si="58"/>
        <v>-270108.51723</v>
      </c>
      <c r="AN64" s="90">
        <f t="shared" si="58"/>
        <v>-270108.51723</v>
      </c>
      <c r="AO64" s="90">
        <f t="shared" si="58"/>
        <v>-270108.51723</v>
      </c>
      <c r="AP64" s="90">
        <f t="shared" si="58"/>
        <v>-270108.51723</v>
      </c>
      <c r="AQ64" s="90">
        <f t="shared" si="58"/>
        <v>-270108.51723</v>
      </c>
      <c r="AR64" s="90">
        <f t="shared" si="58"/>
        <v>-270108.51723</v>
      </c>
      <c r="AS64" s="90">
        <f t="shared" si="58"/>
        <v>-270108.51723</v>
      </c>
      <c r="AT64" s="90"/>
      <c r="AU64" s="488">
        <f>AU44+AU48+AU62</f>
        <v>-3241302.20676</v>
      </c>
    </row>
    <row r="65" spans="2:47">
      <c r="B65" s="158" t="s">
        <v>186</v>
      </c>
      <c r="C65" s="10"/>
      <c r="D65" s="71">
        <v>0</v>
      </c>
      <c r="E65" s="71">
        <v>0</v>
      </c>
      <c r="F65" s="71">
        <v>0</v>
      </c>
      <c r="G65" s="71">
        <v>0</v>
      </c>
      <c r="H65" s="71">
        <v>0</v>
      </c>
      <c r="I65" s="71">
        <v>0</v>
      </c>
      <c r="J65" s="71">
        <v>0</v>
      </c>
      <c r="K65" s="71">
        <v>0</v>
      </c>
      <c r="L65" s="71">
        <v>0</v>
      </c>
      <c r="M65" s="86">
        <f t="shared" ref="M65:O65" si="59">IFERROR(M64/M7,0)</f>
        <v>0</v>
      </c>
      <c r="N65" s="86">
        <f t="shared" si="59"/>
        <v>0</v>
      </c>
      <c r="O65" s="86">
        <f t="shared" si="59"/>
        <v>0</v>
      </c>
      <c r="P65" s="10"/>
      <c r="Q65" s="86">
        <f>IFERROR(Q64/Q7,0)</f>
        <v>0</v>
      </c>
      <c r="S65" s="86">
        <f t="shared" ref="S65:AD65" si="60">IFERROR(S64/S7,0)</f>
        <v>0</v>
      </c>
      <c r="T65" s="86">
        <f t="shared" si="60"/>
        <v>0</v>
      </c>
      <c r="U65" s="86">
        <f t="shared" si="60"/>
        <v>0</v>
      </c>
      <c r="V65" s="86">
        <f t="shared" si="60"/>
        <v>0</v>
      </c>
      <c r="W65" s="86">
        <f t="shared" si="60"/>
        <v>0</v>
      </c>
      <c r="X65" s="86">
        <f t="shared" si="60"/>
        <v>0</v>
      </c>
      <c r="Y65" s="86">
        <f t="shared" si="60"/>
        <v>0</v>
      </c>
      <c r="Z65" s="86">
        <f t="shared" si="60"/>
        <v>0</v>
      </c>
      <c r="AA65" s="86">
        <f t="shared" si="60"/>
        <v>0</v>
      </c>
      <c r="AB65" s="86">
        <f t="shared" si="60"/>
        <v>0</v>
      </c>
      <c r="AC65" s="86">
        <f t="shared" si="60"/>
        <v>0</v>
      </c>
      <c r="AD65" s="86">
        <f t="shared" si="60"/>
        <v>0</v>
      </c>
      <c r="AE65" s="10"/>
      <c r="AF65" s="86">
        <f>IFERROR(AF64/AF7,0)</f>
        <v>0</v>
      </c>
      <c r="AH65" s="86">
        <f t="shared" ref="AH65:AS65" si="61">IFERROR(AH64/AH7,0)</f>
        <v>0</v>
      </c>
      <c r="AI65" s="86">
        <f t="shared" si="61"/>
        <v>0</v>
      </c>
      <c r="AJ65" s="86">
        <f t="shared" si="61"/>
        <v>0</v>
      </c>
      <c r="AK65" s="86">
        <f t="shared" si="61"/>
        <v>0</v>
      </c>
      <c r="AL65" s="86">
        <f t="shared" si="61"/>
        <v>0</v>
      </c>
      <c r="AM65" s="86">
        <f t="shared" si="61"/>
        <v>0</v>
      </c>
      <c r="AN65" s="86">
        <f t="shared" si="61"/>
        <v>0</v>
      </c>
      <c r="AO65" s="86">
        <f t="shared" si="61"/>
        <v>0</v>
      </c>
      <c r="AP65" s="86">
        <f t="shared" si="61"/>
        <v>0</v>
      </c>
      <c r="AQ65" s="86">
        <f t="shared" si="61"/>
        <v>0</v>
      </c>
      <c r="AR65" s="86">
        <f t="shared" si="61"/>
        <v>0</v>
      </c>
      <c r="AS65" s="86">
        <f t="shared" si="61"/>
        <v>0</v>
      </c>
      <c r="AT65" s="10"/>
      <c r="AU65" s="86">
        <f>IFERROR(AU64/AU7,0)</f>
        <v>0</v>
      </c>
    </row>
    <row r="66" spans="2:47">
      <c r="D66" s="7"/>
      <c r="E66" s="7"/>
      <c r="F66" s="7"/>
    </row>
    <row r="67" spans="2:47">
      <c r="B67" s="7" t="s">
        <v>197</v>
      </c>
      <c r="D67" s="7"/>
      <c r="E67" s="7"/>
      <c r="F67" s="7"/>
      <c r="M67" s="83">
        <f>SUMIF(Overheads!$C:$C,$B$67,Overheads!O:O)</f>
        <v>-751.30000000000007</v>
      </c>
      <c r="N67" s="83">
        <f>SUMIF(Overheads!$C:$C,$B$67,Overheads!P:P)</f>
        <v>-751.30000000000007</v>
      </c>
      <c r="O67" s="83">
        <f>SUMIF(Overheads!$C:$C,$B$67,Overheads!Q:Q)</f>
        <v>-751.30000000000007</v>
      </c>
      <c r="Q67" s="90">
        <f t="shared" ref="Q67:Q68" si="62">SUM(D67:O67)</f>
        <v>-2253.9</v>
      </c>
      <c r="S67" s="83">
        <f>SUMIF(Overheads!$C:$C,$B$67,Overheads!V:V)</f>
        <v>-751.30000000000007</v>
      </c>
      <c r="T67" s="83">
        <f>SUMIF(Overheads!$C:$C,$B$67,Overheads!W:W)</f>
        <v>-751.30000000000007</v>
      </c>
      <c r="U67" s="83">
        <f>SUMIF(Overheads!$C:$C,$B$67,Overheads!X:X)</f>
        <v>-751.30000000000007</v>
      </c>
      <c r="V67" s="83">
        <f>SUMIF(Overheads!$C:$C,$B$67,Overheads!Y:Y)</f>
        <v>-751.30000000000007</v>
      </c>
      <c r="W67" s="83">
        <f>SUMIF(Overheads!$C:$C,$B$67,Overheads!Z:Z)</f>
        <v>-751.30000000000007</v>
      </c>
      <c r="X67" s="83">
        <f>SUMIF(Overheads!$C:$C,$B$67,Overheads!AA:AA)</f>
        <v>-751.30000000000007</v>
      </c>
      <c r="Y67" s="83">
        <f>SUMIF(Overheads!$C:$C,$B$67,Overheads!AB:AB)</f>
        <v>-751.30000000000007</v>
      </c>
      <c r="Z67" s="83">
        <f>SUMIF(Overheads!$C:$C,$B$67,Overheads!AC:AC)</f>
        <v>-751.30000000000007</v>
      </c>
      <c r="AA67" s="83">
        <f>SUMIF(Overheads!$C:$C,$B$67,Overheads!AD:AD)</f>
        <v>-751.30000000000007</v>
      </c>
      <c r="AB67" s="83">
        <f>SUMIF(Overheads!$C:$C,$B$67,Overheads!AE:AE)</f>
        <v>-751.30000000000007</v>
      </c>
      <c r="AC67" s="83">
        <f>SUMIF(Overheads!$C:$C,$B$67,Overheads!AF:AF)</f>
        <v>-751.30000000000007</v>
      </c>
      <c r="AD67" s="83">
        <f>SUMIF(Overheads!$C:$C,$B$67,Overheads!AG:AG)</f>
        <v>-751.30000000000007</v>
      </c>
      <c r="AF67" s="90">
        <f t="shared" ref="AF67:AF68" si="63">SUM(S67:AD67)</f>
        <v>-9015.6</v>
      </c>
      <c r="AH67" s="83">
        <f>SUMIF(Overheads!$C:$C,$B$67,Overheads!AJ:AJ)</f>
        <v>-751.30000000000007</v>
      </c>
      <c r="AI67" s="83">
        <f>SUMIF(Overheads!$C:$C,$B$67,Overheads!AK:AK)</f>
        <v>-751.30000000000007</v>
      </c>
      <c r="AJ67" s="83">
        <f>SUMIF(Overheads!$C:$C,$B$67,Overheads!AL:AL)</f>
        <v>-751.30000000000007</v>
      </c>
      <c r="AK67" s="83">
        <f>SUMIF(Overheads!$C:$C,$B$67,Overheads!AM:AM)</f>
        <v>-751.30000000000007</v>
      </c>
      <c r="AL67" s="83">
        <f>SUMIF(Overheads!$C:$C,$B$67,Overheads!AN:AN)</f>
        <v>-751.30000000000007</v>
      </c>
      <c r="AM67" s="83">
        <f>SUMIF(Overheads!$C:$C,$B$67,Overheads!AO:AO)</f>
        <v>-751.30000000000007</v>
      </c>
      <c r="AN67" s="83">
        <f>SUMIF(Overheads!$C:$C,$B$67,Overheads!AP:AP)</f>
        <v>-751.30000000000007</v>
      </c>
      <c r="AO67" s="83">
        <f>SUMIF(Overheads!$C:$C,$B$67,Overheads!AQ:AQ)</f>
        <v>-751.30000000000007</v>
      </c>
      <c r="AP67" s="83">
        <f>SUMIF(Overheads!$C:$C,$B$67,Overheads!AR:AR)</f>
        <v>-751.30000000000007</v>
      </c>
      <c r="AQ67" s="83">
        <f>SUMIF(Overheads!$C:$C,$B$67,Overheads!AS:AS)</f>
        <v>-751.30000000000007</v>
      </c>
      <c r="AR67" s="83">
        <f>SUMIF(Overheads!$C:$C,$B$67,Overheads!AT:AT)</f>
        <v>-751.30000000000007</v>
      </c>
      <c r="AS67" s="83">
        <f>SUMIF(Overheads!$C:$C,$B$67,Overheads!AU:AU)</f>
        <v>-751.30000000000007</v>
      </c>
      <c r="AU67" s="90">
        <f t="shared" ref="AU67:AU68" si="64">SUM(AH67:AS67)</f>
        <v>-9015.6</v>
      </c>
    </row>
    <row r="68" spans="2:47">
      <c r="B68" s="7" t="s">
        <v>198</v>
      </c>
      <c r="D68" s="7"/>
      <c r="E68" s="7"/>
      <c r="F68" s="7"/>
      <c r="M68" s="83">
        <f>SUMIF(Overheads!$C:$C,$B$68,Overheads!O:O)</f>
        <v>0</v>
      </c>
      <c r="N68" s="83">
        <f>SUMIF(Overheads!$C:$C,$B$68,Overheads!P:P)</f>
        <v>0</v>
      </c>
      <c r="O68" s="83">
        <f>SUMIF(Overheads!$C:$C,$B$68,Overheads!Q:Q)</f>
        <v>0</v>
      </c>
      <c r="Q68" s="90">
        <f t="shared" si="62"/>
        <v>0</v>
      </c>
      <c r="S68" s="83">
        <f>SUMIF(Overheads!$C:$C,'Non Rev P&amp;L'!$B$68,Overheads!V:V)</f>
        <v>0</v>
      </c>
      <c r="T68" s="83">
        <f>SUMIF(Overheads!$C:$C,'Non Rev P&amp;L'!$B$68,Overheads!W:W)</f>
        <v>0</v>
      </c>
      <c r="U68" s="83">
        <f>SUMIF(Overheads!$C:$C,'Non Rev P&amp;L'!$B$68,Overheads!X:X)</f>
        <v>0</v>
      </c>
      <c r="V68" s="83">
        <f>SUMIF(Overheads!$C:$C,'Non Rev P&amp;L'!$B$68,Overheads!Y:Y)</f>
        <v>0</v>
      </c>
      <c r="W68" s="83">
        <f>SUMIF(Overheads!$C:$C,'Non Rev P&amp;L'!$B$68,Overheads!Z:Z)</f>
        <v>0</v>
      </c>
      <c r="X68" s="83">
        <f>SUMIF(Overheads!$C:$C,'Non Rev P&amp;L'!$B$68,Overheads!AA:AA)</f>
        <v>0</v>
      </c>
      <c r="Y68" s="83">
        <f>SUMIF(Overheads!$C:$C,'Non Rev P&amp;L'!$B$68,Overheads!AB:AB)</f>
        <v>0</v>
      </c>
      <c r="Z68" s="83">
        <f>SUMIF(Overheads!$C:$C,'Non Rev P&amp;L'!$B$68,Overheads!AC:AC)</f>
        <v>0</v>
      </c>
      <c r="AA68" s="83">
        <f>SUMIF(Overheads!$C:$C,'Non Rev P&amp;L'!$B$68,Overheads!AD:AD)</f>
        <v>0</v>
      </c>
      <c r="AB68" s="83">
        <f>SUMIF(Overheads!$C:$C,'Non Rev P&amp;L'!$B$68,Overheads!AE:AE)</f>
        <v>0</v>
      </c>
      <c r="AC68" s="83">
        <f>SUMIF(Overheads!$C:$C,'Non Rev P&amp;L'!$B$68,Overheads!AF:AF)</f>
        <v>0</v>
      </c>
      <c r="AD68" s="83">
        <f>SUMIF(Overheads!$C:$C,'Non Rev P&amp;L'!$B$68,Overheads!AG:AG)</f>
        <v>0</v>
      </c>
      <c r="AF68" s="90">
        <f t="shared" si="63"/>
        <v>0</v>
      </c>
      <c r="AH68" s="83">
        <f>SUMIF(Overheads!$C:$C,'Non Rev P&amp;L'!$B$68,Overheads!AJ:AJ)</f>
        <v>0</v>
      </c>
      <c r="AI68" s="83">
        <f>SUMIF(Overheads!$C:$C,'Non Rev P&amp;L'!$B$68,Overheads!AK:AK)</f>
        <v>0</v>
      </c>
      <c r="AJ68" s="83">
        <f>SUMIF(Overheads!$C:$C,'Non Rev P&amp;L'!$B$68,Overheads!AL:AL)</f>
        <v>0</v>
      </c>
      <c r="AK68" s="83">
        <f>SUMIF(Overheads!$C:$C,'Non Rev P&amp;L'!$B$68,Overheads!AM:AM)</f>
        <v>0</v>
      </c>
      <c r="AL68" s="83">
        <f>SUMIF(Overheads!$C:$C,'Non Rev P&amp;L'!$B$68,Overheads!AN:AN)</f>
        <v>0</v>
      </c>
      <c r="AM68" s="83">
        <f>SUMIF(Overheads!$C:$C,'Non Rev P&amp;L'!$B$68,Overheads!AO:AO)</f>
        <v>0</v>
      </c>
      <c r="AN68" s="83">
        <f>SUMIF(Overheads!$C:$C,'Non Rev P&amp;L'!$B$68,Overheads!AP:AP)</f>
        <v>0</v>
      </c>
      <c r="AO68" s="83">
        <f>SUMIF(Overheads!$C:$C,'Non Rev P&amp;L'!$B$68,Overheads!AQ:AQ)</f>
        <v>0</v>
      </c>
      <c r="AP68" s="83">
        <f>SUMIF(Overheads!$C:$C,'Non Rev P&amp;L'!$B$68,Overheads!AR:AR)</f>
        <v>0</v>
      </c>
      <c r="AQ68" s="83">
        <f>SUMIF(Overheads!$C:$C,'Non Rev P&amp;L'!$B$68,Overheads!AS:AS)</f>
        <v>0</v>
      </c>
      <c r="AR68" s="83">
        <f>SUMIF(Overheads!$C:$C,'Non Rev P&amp;L'!$B$68,Overheads!AT:AT)</f>
        <v>0</v>
      </c>
      <c r="AS68" s="83">
        <f>SUMIF(Overheads!$C:$C,'Non Rev P&amp;L'!$B$68,Overheads!AU:AU)</f>
        <v>0</v>
      </c>
      <c r="AU68" s="90">
        <f t="shared" si="64"/>
        <v>0</v>
      </c>
    </row>
    <row r="69" spans="2:47">
      <c r="D69" s="7"/>
      <c r="E69" s="7"/>
      <c r="F69" s="7"/>
    </row>
    <row r="70" spans="2:47">
      <c r="D70" s="7"/>
      <c r="E70" s="7"/>
      <c r="F70" s="7"/>
    </row>
    <row r="71" spans="2:47">
      <c r="D71" s="7"/>
      <c r="E71" s="7"/>
      <c r="F71" s="7"/>
    </row>
    <row r="72" spans="2:47">
      <c r="D72" s="7"/>
      <c r="E72" s="7"/>
      <c r="F72" s="7"/>
    </row>
    <row r="73" spans="2:47">
      <c r="D73" s="7"/>
      <c r="E73" s="7"/>
      <c r="F73" s="7"/>
    </row>
    <row r="74" spans="2:47">
      <c r="D74" s="7"/>
      <c r="E74" s="7"/>
      <c r="F74" s="7"/>
    </row>
    <row r="75" spans="2:47">
      <c r="D75" s="7"/>
      <c r="E75" s="7"/>
      <c r="F75" s="7"/>
    </row>
    <row r="76" spans="2:47">
      <c r="D76" s="7"/>
      <c r="E76" s="7"/>
      <c r="F76" s="7"/>
    </row>
    <row r="77" spans="2:47">
      <c r="D77" s="7"/>
      <c r="E77" s="7"/>
      <c r="F77" s="7"/>
    </row>
    <row r="78" spans="2:47">
      <c r="D78" s="7"/>
      <c r="E78" s="7"/>
      <c r="F78" s="7"/>
    </row>
    <row r="79" spans="2:47">
      <c r="D79" s="7"/>
      <c r="E79" s="7"/>
      <c r="F79" s="7"/>
    </row>
    <row r="80" spans="2:47">
      <c r="D80" s="7"/>
      <c r="E80" s="7"/>
      <c r="F80" s="7"/>
    </row>
    <row r="81" s="7" customFormat="1"/>
    <row r="82" s="7" customFormat="1"/>
    <row r="83" s="7" customFormat="1"/>
    <row r="84" s="7" customFormat="1"/>
    <row r="85" s="7" customFormat="1"/>
    <row r="86" s="7" customFormat="1"/>
    <row r="87" s="7" customFormat="1"/>
    <row r="88" s="7" customFormat="1"/>
    <row r="89" s="7" customFormat="1"/>
    <row r="90" s="7" customFormat="1"/>
    <row r="91" s="7" customFormat="1"/>
    <row r="92" s="7" customFormat="1"/>
    <row r="93" s="7" customFormat="1"/>
    <row r="94" s="7" customFormat="1"/>
    <row r="95" s="7" customFormat="1"/>
    <row r="96" s="7" customFormat="1"/>
    <row r="97" s="7" customFormat="1"/>
    <row r="98" s="7" customFormat="1"/>
    <row r="99" s="7" customFormat="1"/>
    <row r="100" s="7" customFormat="1"/>
    <row r="101" s="7" customFormat="1"/>
    <row r="102" s="7" customFormat="1"/>
    <row r="103" s="7" customFormat="1"/>
    <row r="104" s="7" customFormat="1"/>
    <row r="105" s="7" customFormat="1"/>
    <row r="106" s="7" customFormat="1"/>
    <row r="107" s="7" customFormat="1"/>
    <row r="108" s="7" customFormat="1"/>
    <row r="109" s="7" customFormat="1"/>
    <row r="110" s="7" customFormat="1"/>
    <row r="111" s="7" customFormat="1"/>
    <row r="112" s="7" customFormat="1"/>
    <row r="113" s="7" customFormat="1"/>
    <row r="114" s="7" customFormat="1"/>
    <row r="115" s="7" customFormat="1"/>
    <row r="116" s="7" customFormat="1"/>
    <row r="117" s="7" customFormat="1"/>
    <row r="118" s="7" customFormat="1"/>
    <row r="119" s="7" customFormat="1"/>
    <row r="120" s="7" customFormat="1"/>
    <row r="121" s="7" customFormat="1"/>
    <row r="122" s="7" customFormat="1"/>
    <row r="123" s="7" customFormat="1"/>
    <row r="124" s="7" customFormat="1"/>
    <row r="125" s="7" customFormat="1"/>
    <row r="126" s="7" customFormat="1"/>
    <row r="127" s="7" customFormat="1"/>
    <row r="128" s="7" customFormat="1"/>
    <row r="129" s="7" customFormat="1"/>
    <row r="130" s="7" customFormat="1"/>
    <row r="131" s="7" customFormat="1"/>
    <row r="132" s="7" customFormat="1"/>
    <row r="133" s="7" customFormat="1"/>
    <row r="134" s="7" customFormat="1"/>
    <row r="135" s="7" customFormat="1"/>
    <row r="136" s="7" customFormat="1"/>
    <row r="137" s="7" customFormat="1"/>
    <row r="138" s="7" customFormat="1"/>
    <row r="139" s="7" customFormat="1"/>
    <row r="140" s="7" customFormat="1"/>
    <row r="141" s="7" customFormat="1"/>
    <row r="142" s="7" customFormat="1"/>
    <row r="143" s="7" customFormat="1"/>
    <row r="144" s="7" customFormat="1"/>
    <row r="145" s="7" customFormat="1"/>
    <row r="146" s="7" customFormat="1"/>
    <row r="147" s="7" customFormat="1"/>
    <row r="148" s="7" customFormat="1"/>
    <row r="149" s="7" customFormat="1"/>
    <row r="150" s="7" customFormat="1"/>
    <row r="151" s="7" customFormat="1"/>
    <row r="152" s="7" customFormat="1"/>
    <row r="153" s="7" customFormat="1"/>
    <row r="154" s="7" customFormat="1"/>
    <row r="155" s="7" customFormat="1"/>
    <row r="156" s="7" customFormat="1"/>
    <row r="157" s="7" customFormat="1"/>
    <row r="158" s="7" customFormat="1"/>
    <row r="159" s="7" customFormat="1"/>
    <row r="160" s="7" customFormat="1"/>
    <row r="161" s="7" customFormat="1"/>
    <row r="162" s="7" customFormat="1"/>
    <row r="163" s="7" customFormat="1"/>
    <row r="164" s="7" customFormat="1"/>
    <row r="165" s="7" customFormat="1"/>
    <row r="166" s="7" customFormat="1"/>
    <row r="167" s="7" customFormat="1"/>
    <row r="168" s="7" customFormat="1"/>
    <row r="169" s="7" customFormat="1"/>
    <row r="170" s="7" customFormat="1"/>
    <row r="171" s="7" customFormat="1"/>
    <row r="172" s="7" customFormat="1"/>
    <row r="173" s="7" customFormat="1"/>
    <row r="174" s="7" customFormat="1"/>
    <row r="175" s="7" customFormat="1"/>
    <row r="176" s="7" customFormat="1"/>
    <row r="177" s="7" customFormat="1"/>
    <row r="178" s="7" customFormat="1"/>
    <row r="179" s="7" customFormat="1"/>
    <row r="180" s="7" customFormat="1"/>
    <row r="181" s="7" customFormat="1"/>
    <row r="182" s="7" customFormat="1"/>
    <row r="183" s="7" customFormat="1"/>
    <row r="184" s="7" customFormat="1"/>
    <row r="185" s="7" customFormat="1"/>
    <row r="186" s="7" customFormat="1"/>
    <row r="187" s="7" customFormat="1"/>
    <row r="188" s="7" customFormat="1"/>
    <row r="189" s="7" customFormat="1"/>
    <row r="190" s="7" customFormat="1"/>
    <row r="191" s="7" customFormat="1"/>
    <row r="192" s="7" customFormat="1"/>
    <row r="193" s="7" customFormat="1"/>
    <row r="194" s="7" customFormat="1"/>
    <row r="195" s="7" customFormat="1"/>
    <row r="196" s="7" customFormat="1"/>
    <row r="197" s="7" customFormat="1"/>
    <row r="198" s="7" customFormat="1"/>
    <row r="199" s="7" customFormat="1"/>
    <row r="200" s="7" customFormat="1"/>
    <row r="201" s="7" customFormat="1"/>
    <row r="202" s="7" customFormat="1"/>
    <row r="203" s="7" customFormat="1"/>
    <row r="204" s="7" customFormat="1"/>
    <row r="205" s="7" customFormat="1"/>
    <row r="206" s="7" customFormat="1"/>
    <row r="207" s="7" customFormat="1"/>
    <row r="208" s="7" customFormat="1"/>
    <row r="209" s="7" customFormat="1"/>
    <row r="210" s="7" customFormat="1"/>
    <row r="211" s="7" customFormat="1"/>
    <row r="212" s="7" customFormat="1"/>
    <row r="213" s="7" customFormat="1"/>
    <row r="214" s="7" customFormat="1"/>
    <row r="215" s="7" customFormat="1"/>
    <row r="216" s="7" customFormat="1"/>
    <row r="217" s="7" customFormat="1"/>
    <row r="218" s="7" customFormat="1"/>
    <row r="219" s="7" customFormat="1"/>
    <row r="220" s="7" customFormat="1"/>
    <row r="221" s="7" customFormat="1"/>
    <row r="222" s="7" customFormat="1"/>
    <row r="223" s="7" customFormat="1"/>
    <row r="224" s="7" customFormat="1"/>
    <row r="225" s="7" customFormat="1"/>
    <row r="226" s="7" customFormat="1"/>
    <row r="227" s="7" customFormat="1"/>
    <row r="228" s="7" customFormat="1"/>
    <row r="229" s="7" customFormat="1"/>
    <row r="230" s="7" customFormat="1"/>
    <row r="231" s="7" customFormat="1"/>
    <row r="232" s="7" customFormat="1"/>
    <row r="233" s="7" customFormat="1"/>
    <row r="234" s="7" customFormat="1"/>
    <row r="235" s="7" customFormat="1"/>
    <row r="236" s="7" customFormat="1"/>
    <row r="237" s="7" customFormat="1"/>
    <row r="238" s="7" customFormat="1"/>
    <row r="239" s="7" customFormat="1"/>
    <row r="240" s="7" customFormat="1"/>
  </sheetData>
  <mergeCells count="2">
    <mergeCell ref="S1:AF1"/>
    <mergeCell ref="AH1:AU1"/>
  </mergeCell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6F323-0099-4176-AFCF-BDE3A4E365F5}">
  <sheetPr codeName="Sheet16">
    <tabColor theme="4" tint="0.39997558519241921"/>
  </sheetPr>
  <dimension ref="A1:AW100"/>
  <sheetViews>
    <sheetView showGridLines="0" zoomScale="158" zoomScaleNormal="100" workbookViewId="0">
      <pane xSplit="2" ySplit="5" topLeftCell="AA64" activePane="bottomRight" state="frozen"/>
      <selection pane="topRight"/>
      <selection pane="bottomLeft"/>
      <selection pane="bottomRight" activeCell="M87" sqref="M87:O92"/>
    </sheetView>
  </sheetViews>
  <sheetFormatPr baseColWidth="10" defaultColWidth="8.5" defaultRowHeight="11" outlineLevelRow="2" outlineLevelCol="1"/>
  <cols>
    <col min="1" max="1" width="9.5" style="51" customWidth="1"/>
    <col min="2" max="2" width="22.5" style="51" bestFit="1" customWidth="1"/>
    <col min="3" max="3" width="5" style="51" customWidth="1"/>
    <col min="4" max="4" width="8.5" style="7" customWidth="1" outlineLevel="1"/>
    <col min="5" max="5" width="9.1640625" style="7" customWidth="1" outlineLevel="1"/>
    <col min="6" max="6" width="8.5" style="7" customWidth="1" outlineLevel="1"/>
    <col min="7" max="7" width="9.1640625" style="7" customWidth="1" outlineLevel="1"/>
    <col min="8" max="8" width="8.5" style="7" customWidth="1" outlineLevel="1"/>
    <col min="9" max="11" width="8.83203125" style="51" customWidth="1" outlineLevel="1"/>
    <col min="12" max="12" width="9.5" style="51" bestFit="1" customWidth="1"/>
    <col min="13" max="15" width="8.83203125" style="51" bestFit="1" customWidth="1"/>
    <col min="16" max="16" width="3.1640625" style="51" customWidth="1"/>
    <col min="17" max="17" width="9.5" style="52" bestFit="1" customWidth="1"/>
    <col min="18" max="18" width="11.1640625" style="51" bestFit="1" customWidth="1"/>
    <col min="19" max="19" width="8.5" style="7"/>
    <col min="20" max="22" width="8.83203125" style="7" bestFit="1" customWidth="1"/>
    <col min="23" max="23" width="9.1640625" style="7" bestFit="1" customWidth="1"/>
    <col min="24" max="30" width="8.83203125" style="51" bestFit="1" customWidth="1"/>
    <col min="31" max="31" width="3.1640625" style="51" customWidth="1"/>
    <col min="32" max="32" width="9.5" style="52" bestFit="1" customWidth="1"/>
    <col min="33" max="33" width="11" style="7" bestFit="1" customWidth="1"/>
    <col min="34" max="35" width="8.83203125" style="7" bestFit="1" customWidth="1"/>
    <col min="36" max="36" width="8.5" style="7"/>
    <col min="37" max="37" width="8.83203125" style="7" bestFit="1" customWidth="1"/>
    <col min="38" max="38" width="9.1640625" style="7" bestFit="1" customWidth="1"/>
    <col min="39" max="45" width="8.83203125" style="51" bestFit="1" customWidth="1"/>
    <col min="46" max="46" width="3.1640625" style="51" customWidth="1"/>
    <col min="47" max="47" width="9.5" style="52" bestFit="1" customWidth="1"/>
    <col min="48" max="48" width="8.5" style="7"/>
    <col min="49" max="49" width="12.5" style="7" bestFit="1" customWidth="1"/>
    <col min="50" max="16384" width="8.5" style="7"/>
  </cols>
  <sheetData>
    <row r="1" spans="1:49">
      <c r="S1" s="7">
        <f>S7*$C$16</f>
        <v>-5556.5055987942424</v>
      </c>
      <c r="T1" s="7">
        <f t="shared" ref="T1:AD1" si="0">T7*$C$16</f>
        <v>-14977.552429042911</v>
      </c>
      <c r="U1" s="7">
        <f t="shared" si="0"/>
        <v>-13895.267275361697</v>
      </c>
      <c r="V1" s="7">
        <f t="shared" si="0"/>
        <v>-8826.3660021421019</v>
      </c>
      <c r="W1" s="7">
        <f t="shared" si="0"/>
        <v>-7960.3172223273123</v>
      </c>
      <c r="X1" s="7">
        <f t="shared" si="0"/>
        <v>-19503.299141856296</v>
      </c>
      <c r="Y1" s="7">
        <f t="shared" si="0"/>
        <v>-10011.295676936803</v>
      </c>
      <c r="Z1" s="7">
        <f t="shared" si="0"/>
        <v>-8080.319943263632</v>
      </c>
      <c r="AA1" s="7">
        <f t="shared" si="0"/>
        <v>-17621.034912849049</v>
      </c>
      <c r="AB1" s="7">
        <f t="shared" si="0"/>
        <v>-12877.08003139784</v>
      </c>
      <c r="AC1" s="7">
        <f t="shared" si="0"/>
        <v>-7595.8515833669435</v>
      </c>
      <c r="AD1" s="7">
        <f t="shared" si="0"/>
        <v>-8805.4370828970241</v>
      </c>
      <c r="AF1" s="52">
        <f>SUM(S1:AD1)</f>
        <v>-135710.32690023584</v>
      </c>
      <c r="AH1" s="7">
        <f>AH7*$C$16</f>
        <v>-21771.929390340476</v>
      </c>
      <c r="AI1" s="7">
        <f t="shared" ref="AI1:AS1" si="1">AI7*$C$16</f>
        <v>-43259.233718848605</v>
      </c>
      <c r="AJ1" s="7">
        <f t="shared" si="1"/>
        <v>-37107.903159550995</v>
      </c>
      <c r="AK1" s="7">
        <f t="shared" si="1"/>
        <v>-35567.085995789552</v>
      </c>
      <c r="AL1" s="7">
        <f t="shared" si="1"/>
        <v>-39321.213558456227</v>
      </c>
      <c r="AM1" s="7">
        <f t="shared" si="1"/>
        <v>-54996.810239730075</v>
      </c>
      <c r="AN1" s="7">
        <f t="shared" si="1"/>
        <v>-38013.697252373888</v>
      </c>
      <c r="AO1" s="7">
        <f t="shared" si="1"/>
        <v>-33595.863117899164</v>
      </c>
      <c r="AP1" s="7">
        <f t="shared" si="1"/>
        <v>-55378.686063360823</v>
      </c>
      <c r="AQ1" s="7">
        <f t="shared" si="1"/>
        <v>-50016.124257959847</v>
      </c>
      <c r="AR1" s="7">
        <f t="shared" si="1"/>
        <v>-33587.458760045156</v>
      </c>
      <c r="AS1" s="7">
        <f t="shared" si="1"/>
        <v>-37800.899000437676</v>
      </c>
      <c r="AU1" s="52">
        <f>SUM(AH1:AS1)</f>
        <v>-480416.90451479255</v>
      </c>
    </row>
    <row r="2" spans="1:49" ht="16">
      <c r="B2" s="143" t="s">
        <v>199</v>
      </c>
      <c r="D2" s="546" t="s">
        <v>174</v>
      </c>
      <c r="E2" s="546"/>
      <c r="F2" s="546"/>
      <c r="G2" s="546"/>
      <c r="H2" s="546"/>
      <c r="I2" s="546"/>
      <c r="J2" s="546"/>
      <c r="K2" s="546"/>
      <c r="L2" s="546"/>
      <c r="M2" s="546"/>
      <c r="N2" s="546"/>
      <c r="O2" s="546"/>
      <c r="P2" s="546"/>
      <c r="Q2" s="546"/>
      <c r="S2" s="546" t="s">
        <v>75</v>
      </c>
      <c r="T2" s="546"/>
      <c r="U2" s="546"/>
      <c r="V2" s="546"/>
      <c r="W2" s="546"/>
      <c r="X2" s="546"/>
      <c r="Y2" s="546"/>
      <c r="Z2" s="546"/>
      <c r="AA2" s="546"/>
      <c r="AB2" s="546"/>
      <c r="AC2" s="546"/>
      <c r="AD2" s="546"/>
      <c r="AE2" s="546"/>
      <c r="AF2" s="546"/>
      <c r="AH2" s="546" t="s">
        <v>81</v>
      </c>
      <c r="AI2" s="546"/>
      <c r="AJ2" s="546"/>
      <c r="AK2" s="546"/>
      <c r="AL2" s="546"/>
      <c r="AM2" s="546"/>
      <c r="AN2" s="546"/>
      <c r="AO2" s="546"/>
      <c r="AP2" s="546"/>
      <c r="AQ2" s="546"/>
      <c r="AR2" s="546"/>
      <c r="AS2" s="546"/>
      <c r="AT2" s="546"/>
      <c r="AU2" s="546"/>
    </row>
    <row r="3" spans="1:49">
      <c r="B3" s="52"/>
      <c r="D3" s="54" t="s">
        <v>175</v>
      </c>
      <c r="E3" s="54" t="s">
        <v>175</v>
      </c>
      <c r="F3" s="54" t="s">
        <v>175</v>
      </c>
      <c r="G3" s="54" t="s">
        <v>176</v>
      </c>
      <c r="H3" s="54" t="s">
        <v>176</v>
      </c>
      <c r="I3" s="54" t="s">
        <v>176</v>
      </c>
      <c r="J3" s="54" t="s">
        <v>177</v>
      </c>
      <c r="K3" s="54" t="s">
        <v>177</v>
      </c>
      <c r="L3" s="54" t="s">
        <v>177</v>
      </c>
      <c r="M3" s="55" t="s">
        <v>178</v>
      </c>
      <c r="N3" s="55" t="s">
        <v>178</v>
      </c>
      <c r="O3" s="55" t="s">
        <v>178</v>
      </c>
      <c r="S3" s="80" t="s">
        <v>175</v>
      </c>
      <c r="T3" s="80" t="s">
        <v>175</v>
      </c>
      <c r="U3" s="80" t="s">
        <v>175</v>
      </c>
      <c r="V3" s="80" t="s">
        <v>176</v>
      </c>
      <c r="W3" s="80" t="s">
        <v>176</v>
      </c>
      <c r="X3" s="55" t="s">
        <v>176</v>
      </c>
      <c r="Y3" s="55" t="s">
        <v>177</v>
      </c>
      <c r="Z3" s="55" t="s">
        <v>177</v>
      </c>
      <c r="AA3" s="55" t="s">
        <v>177</v>
      </c>
      <c r="AB3" s="55" t="s">
        <v>178</v>
      </c>
      <c r="AC3" s="55" t="s">
        <v>178</v>
      </c>
      <c r="AD3" s="55" t="s">
        <v>178</v>
      </c>
      <c r="AH3" s="80" t="s">
        <v>175</v>
      </c>
      <c r="AI3" s="80" t="s">
        <v>175</v>
      </c>
      <c r="AJ3" s="80" t="s">
        <v>175</v>
      </c>
      <c r="AK3" s="80" t="s">
        <v>176</v>
      </c>
      <c r="AL3" s="80" t="s">
        <v>176</v>
      </c>
      <c r="AM3" s="55" t="s">
        <v>176</v>
      </c>
      <c r="AN3" s="55" t="s">
        <v>177</v>
      </c>
      <c r="AO3" s="55" t="s">
        <v>177</v>
      </c>
      <c r="AP3" s="55" t="s">
        <v>177</v>
      </c>
      <c r="AQ3" s="55" t="s">
        <v>178</v>
      </c>
      <c r="AR3" s="55" t="s">
        <v>178</v>
      </c>
      <c r="AS3" s="55" t="s">
        <v>178</v>
      </c>
    </row>
    <row r="4" spans="1:49">
      <c r="D4" s="56">
        <v>45716</v>
      </c>
      <c r="E4" s="56">
        <v>45747</v>
      </c>
      <c r="F4" s="56">
        <v>45777</v>
      </c>
      <c r="G4" s="56">
        <v>45808</v>
      </c>
      <c r="H4" s="56">
        <v>45838</v>
      </c>
      <c r="I4" s="56">
        <f t="shared" ref="I4:O4" si="2">EOMONTH(H4,1)</f>
        <v>45869</v>
      </c>
      <c r="J4" s="56">
        <f t="shared" si="2"/>
        <v>45900</v>
      </c>
      <c r="K4" s="56">
        <f t="shared" si="2"/>
        <v>45930</v>
      </c>
      <c r="L4" s="56">
        <f t="shared" si="2"/>
        <v>45961</v>
      </c>
      <c r="M4" s="57">
        <f t="shared" si="2"/>
        <v>45991</v>
      </c>
      <c r="N4" s="57">
        <f t="shared" si="2"/>
        <v>46022</v>
      </c>
      <c r="O4" s="57">
        <f t="shared" si="2"/>
        <v>46053</v>
      </c>
      <c r="P4" s="57"/>
      <c r="Q4" s="55" t="s">
        <v>174</v>
      </c>
      <c r="S4" s="81">
        <v>46081</v>
      </c>
      <c r="T4" s="81">
        <f>EOMONTH(S4,1)</f>
        <v>46112</v>
      </c>
      <c r="U4" s="81">
        <f>EOMONTH(T4,1)</f>
        <v>46142</v>
      </c>
      <c r="V4" s="81">
        <f>EOMONTH(U4,1)</f>
        <v>46173</v>
      </c>
      <c r="W4" s="81">
        <f>EOMONTH(V4,1)</f>
        <v>46203</v>
      </c>
      <c r="X4" s="57">
        <f t="shared" ref="X4:AD4" si="3">EOMONTH(W4,1)</f>
        <v>46234</v>
      </c>
      <c r="Y4" s="57">
        <f t="shared" si="3"/>
        <v>46265</v>
      </c>
      <c r="Z4" s="57">
        <f t="shared" si="3"/>
        <v>46295</v>
      </c>
      <c r="AA4" s="57">
        <f t="shared" si="3"/>
        <v>46326</v>
      </c>
      <c r="AB4" s="57">
        <f t="shared" si="3"/>
        <v>46356</v>
      </c>
      <c r="AC4" s="57">
        <f t="shared" si="3"/>
        <v>46387</v>
      </c>
      <c r="AD4" s="57">
        <f t="shared" si="3"/>
        <v>46418</v>
      </c>
      <c r="AE4" s="57"/>
      <c r="AF4" s="55" t="s">
        <v>75</v>
      </c>
      <c r="AH4" s="81">
        <v>46446</v>
      </c>
      <c r="AI4" s="81">
        <f>EOMONTH(AH4,1)</f>
        <v>46477</v>
      </c>
      <c r="AJ4" s="81">
        <f>EOMONTH(AI4,1)</f>
        <v>46507</v>
      </c>
      <c r="AK4" s="81">
        <f>EOMONTH(AJ4,1)</f>
        <v>46538</v>
      </c>
      <c r="AL4" s="81">
        <f>EOMONTH(AK4,1)</f>
        <v>46568</v>
      </c>
      <c r="AM4" s="57">
        <f t="shared" ref="AM4:AS4" si="4">EOMONTH(AL4,1)</f>
        <v>46599</v>
      </c>
      <c r="AN4" s="57">
        <f t="shared" si="4"/>
        <v>46630</v>
      </c>
      <c r="AO4" s="57">
        <f t="shared" si="4"/>
        <v>46660</v>
      </c>
      <c r="AP4" s="57">
        <f t="shared" si="4"/>
        <v>46691</v>
      </c>
      <c r="AQ4" s="57">
        <f t="shared" si="4"/>
        <v>46721</v>
      </c>
      <c r="AR4" s="57">
        <f t="shared" si="4"/>
        <v>46752</v>
      </c>
      <c r="AS4" s="57">
        <f t="shared" si="4"/>
        <v>46783</v>
      </c>
      <c r="AT4" s="57"/>
      <c r="AU4" s="55" t="s">
        <v>81</v>
      </c>
    </row>
    <row r="5" spans="1:49">
      <c r="B5" s="58" t="s">
        <v>82</v>
      </c>
      <c r="D5" s="46" t="s">
        <v>180</v>
      </c>
      <c r="E5" s="46" t="s">
        <v>180</v>
      </c>
      <c r="F5" s="46" t="s">
        <v>180</v>
      </c>
      <c r="G5" s="46" t="s">
        <v>180</v>
      </c>
      <c r="H5" s="46" t="s">
        <v>180</v>
      </c>
      <c r="I5" s="46" t="s">
        <v>180</v>
      </c>
      <c r="J5" s="46" t="s">
        <v>180</v>
      </c>
      <c r="K5" s="46" t="s">
        <v>180</v>
      </c>
      <c r="L5" s="46" t="s">
        <v>180</v>
      </c>
      <c r="M5" s="48" t="s">
        <v>42</v>
      </c>
      <c r="N5" s="48" t="s">
        <v>42</v>
      </c>
      <c r="O5" s="48" t="s">
        <v>42</v>
      </c>
      <c r="S5" s="82" t="s">
        <v>42</v>
      </c>
      <c r="T5" s="82" t="s">
        <v>42</v>
      </c>
      <c r="U5" s="82" t="s">
        <v>42</v>
      </c>
      <c r="V5" s="82" t="s">
        <v>42</v>
      </c>
      <c r="W5" s="82" t="s">
        <v>42</v>
      </c>
      <c r="X5" s="48" t="s">
        <v>42</v>
      </c>
      <c r="Y5" s="48" t="s">
        <v>42</v>
      </c>
      <c r="Z5" s="48" t="s">
        <v>42</v>
      </c>
      <c r="AA5" s="48" t="s">
        <v>42</v>
      </c>
      <c r="AB5" s="48" t="s">
        <v>42</v>
      </c>
      <c r="AC5" s="48" t="s">
        <v>42</v>
      </c>
      <c r="AD5" s="48" t="s">
        <v>42</v>
      </c>
      <c r="AH5" s="82" t="s">
        <v>42</v>
      </c>
      <c r="AI5" s="82" t="s">
        <v>42</v>
      </c>
      <c r="AJ5" s="82" t="s">
        <v>42</v>
      </c>
      <c r="AK5" s="82" t="s">
        <v>42</v>
      </c>
      <c r="AL5" s="82" t="s">
        <v>42</v>
      </c>
      <c r="AM5" s="48" t="s">
        <v>42</v>
      </c>
      <c r="AN5" s="48" t="s">
        <v>42</v>
      </c>
      <c r="AO5" s="48" t="s">
        <v>42</v>
      </c>
      <c r="AP5" s="48" t="s">
        <v>42</v>
      </c>
      <c r="AQ5" s="48" t="s">
        <v>42</v>
      </c>
      <c r="AR5" s="48" t="s">
        <v>42</v>
      </c>
      <c r="AS5" s="48" t="s">
        <v>42</v>
      </c>
    </row>
    <row r="6" spans="1:49">
      <c r="D6" s="53"/>
      <c r="E6" s="53"/>
      <c r="F6" s="53"/>
      <c r="G6" s="53"/>
      <c r="H6" s="53"/>
      <c r="I6" s="53"/>
      <c r="J6" s="53"/>
      <c r="K6" s="53"/>
      <c r="L6" s="53"/>
    </row>
    <row r="7" spans="1:49">
      <c r="B7" s="51" t="s">
        <v>83</v>
      </c>
      <c r="D7" s="59">
        <v>12137.46</v>
      </c>
      <c r="E7" s="59">
        <v>13528.59</v>
      </c>
      <c r="F7" s="59">
        <v>16256</v>
      </c>
      <c r="G7" s="59">
        <v>52117.37</v>
      </c>
      <c r="H7" s="59">
        <v>11965.62</v>
      </c>
      <c r="I7" s="59">
        <v>37248.47</v>
      </c>
      <c r="J7" s="59">
        <v>34852.129999999997</v>
      </c>
      <c r="K7" s="59">
        <v>9237.6</v>
      </c>
      <c r="L7" s="59">
        <v>44115</v>
      </c>
      <c r="M7" s="60">
        <v>70000</v>
      </c>
      <c r="N7" s="60">
        <v>35700</v>
      </c>
      <c r="O7" s="60">
        <v>24650</v>
      </c>
      <c r="P7" s="60"/>
      <c r="Q7" s="61">
        <f>SUM(D7:O7)</f>
        <v>361808.24</v>
      </c>
      <c r="R7" s="62"/>
      <c r="S7" s="60">
        <f>ES!Q$25</f>
        <v>23152.106661642676</v>
      </c>
      <c r="T7" s="60">
        <f>ES!R$25</f>
        <v>62406.468454345464</v>
      </c>
      <c r="U7" s="60">
        <f>ES!S$25</f>
        <v>57896.94698067374</v>
      </c>
      <c r="V7" s="60">
        <f>ES!T$25</f>
        <v>36776.525008925426</v>
      </c>
      <c r="W7" s="60">
        <f>ES!U$25</f>
        <v>33167.988426363801</v>
      </c>
      <c r="X7" s="60">
        <f>ES!V$25</f>
        <v>81263.746424401237</v>
      </c>
      <c r="Y7" s="60">
        <f>ES!W$25</f>
        <v>41713.731987236679</v>
      </c>
      <c r="Z7" s="60">
        <f>ES!X$25</f>
        <v>33667.999763598469</v>
      </c>
      <c r="AA7" s="60">
        <f>ES!Y$25</f>
        <v>73420.978803537713</v>
      </c>
      <c r="AB7" s="60">
        <f>ES!Z$25</f>
        <v>53654.500130824337</v>
      </c>
      <c r="AC7" s="60">
        <f>ES!AA$25</f>
        <v>31649.381597362266</v>
      </c>
      <c r="AD7" s="60">
        <f>ES!AB$25</f>
        <v>36689.321178737599</v>
      </c>
      <c r="AE7" s="60"/>
      <c r="AF7" s="61">
        <f>SUM(S7:AD7)</f>
        <v>565459.69541764946</v>
      </c>
      <c r="AH7" s="60">
        <f>ES!AC$25+ES!AC$25</f>
        <v>90716.37245975199</v>
      </c>
      <c r="AI7" s="60">
        <f>ES!AD$25+ES!AD$25</f>
        <v>180246.80716186919</v>
      </c>
      <c r="AJ7" s="60">
        <f>ES!AE$25+ES!AE$25</f>
        <v>154616.26316479582</v>
      </c>
      <c r="AK7" s="60">
        <f>ES!AF$25+ES!AF$25</f>
        <v>148196.19164912315</v>
      </c>
      <c r="AL7" s="60">
        <f>ES!AG$25+ES!AG$25</f>
        <v>163838.38982690097</v>
      </c>
      <c r="AM7" s="60">
        <f>ES!AH$25+ES!AH$25</f>
        <v>229153.37599887533</v>
      </c>
      <c r="AN7" s="60">
        <f>ES!AI$25+ES!AI$25</f>
        <v>158390.40521822454</v>
      </c>
      <c r="AO7" s="60">
        <f>ES!AJ$25+ES!AJ$25</f>
        <v>139982.76299124653</v>
      </c>
      <c r="AP7" s="60">
        <f>ES!AK$25+ES!AK$25</f>
        <v>230744.52526400343</v>
      </c>
      <c r="AQ7" s="60">
        <f>ES!AL$25+ES!AL$25</f>
        <v>208400.51774149938</v>
      </c>
      <c r="AR7" s="60">
        <f>ES!AM$25+ES!AM$25</f>
        <v>139947.74483352149</v>
      </c>
      <c r="AS7" s="60">
        <f>ES!AN$25+ES!AN$25</f>
        <v>157503.74583515699</v>
      </c>
      <c r="AT7" s="60"/>
      <c r="AU7" s="61">
        <f>SUM(AH7:AS7)</f>
        <v>2001737.1021449692</v>
      </c>
    </row>
    <row r="8" spans="1:49">
      <c r="B8" s="51" t="s">
        <v>84</v>
      </c>
      <c r="D8" s="59">
        <v>69841.83</v>
      </c>
      <c r="E8" s="59">
        <v>48931.65</v>
      </c>
      <c r="F8" s="59">
        <v>6544.08</v>
      </c>
      <c r="G8" s="59">
        <v>67992.19</v>
      </c>
      <c r="H8" s="59">
        <v>75403.28</v>
      </c>
      <c r="I8" s="59">
        <v>34460.04</v>
      </c>
      <c r="J8" s="59">
        <v>45130.49</v>
      </c>
      <c r="K8" s="59">
        <v>-840.39</v>
      </c>
      <c r="L8" s="59">
        <f>SUMIF(B2B!$B:$B,"Spain",B2B!N:N)</f>
        <v>2768.4399999999996</v>
      </c>
      <c r="M8" s="60">
        <v>125716</v>
      </c>
      <c r="N8" s="60">
        <v>40000</v>
      </c>
      <c r="O8" s="60">
        <v>50406</v>
      </c>
      <c r="P8" s="60"/>
      <c r="Q8" s="61">
        <f>SUM(D8:O8)</f>
        <v>566353.61</v>
      </c>
      <c r="R8" s="62"/>
      <c r="S8" s="83">
        <f>SUMIF(B2B!$B$7:$B$111,"Spain",B2B!V7:V111)</f>
        <v>27000</v>
      </c>
      <c r="T8" s="83">
        <f>SUMIF(B2B!$B$7:$B$111,"Spain",B2B!W7:W111)</f>
        <v>45000</v>
      </c>
      <c r="U8" s="83">
        <f>SUMIF(B2B!$B$7:$B$111,"Spain",B2B!X7:X111)</f>
        <v>46400</v>
      </c>
      <c r="V8" s="83">
        <f>SUMIF(B2B!$B$7:$B$111,"Spain",B2B!Y7:Y111)</f>
        <v>104500</v>
      </c>
      <c r="W8" s="83">
        <f>SUMIF(B2B!$B$7:$B$111,"Spain",B2B!Z7:Z111)</f>
        <v>86404.947423580787</v>
      </c>
      <c r="X8" s="83">
        <f>SUMIF(B2B!$B$7:$B$111,"Spain",B2B!AA7:AA111)</f>
        <v>34911.353711790391</v>
      </c>
      <c r="Y8" s="83">
        <f>SUMIF(B2B!$B$7:$B$111,"Spain",B2B!AB7:AB111)</f>
        <v>51548.471615720526</v>
      </c>
      <c r="Z8" s="83">
        <f>SUMIF(B2B!$B$7:$B$111,"Spain",B2B!AC7:AC111)</f>
        <v>53074.235807860197</v>
      </c>
      <c r="AA8" s="83">
        <f>SUMIF(B2B!$B$7:$B$111,"Spain",B2B!AD7:AD111)</f>
        <v>65548.471615720526</v>
      </c>
      <c r="AB8" s="83">
        <f>SUMIF(B2B!$B$7:$B$111,"Spain",B2B!AE7:AE111)</f>
        <v>69822.707423580781</v>
      </c>
      <c r="AC8" s="83">
        <f>SUMIF(B2B!$B$7:$B$111,"Spain",B2B!AF7:AF111)</f>
        <v>46548.471615720526</v>
      </c>
      <c r="AD8" s="83">
        <f>SUMIF(B2B!$B$7:$B$111,"Spain",B2B!AG7:AG111)</f>
        <v>46548.471615720526</v>
      </c>
      <c r="AE8" s="60"/>
      <c r="AF8" s="61">
        <f>SUM(S8:AD8)</f>
        <v>677307.13082969433</v>
      </c>
      <c r="AH8" s="83">
        <f>SUMIF(B2B!$B$7:$B$111,"Spain",B2B!AK7:AK111)</f>
        <v>29160.000000000004</v>
      </c>
      <c r="AI8" s="83">
        <f>SUMIF(B2B!$B$7:$B$111,"Spain",B2B!AL7:AL111)</f>
        <v>101290.39944000001</v>
      </c>
      <c r="AJ8" s="83">
        <f>SUMIF(B2B!$B$7:$B$111,"Spain",B2B!AM7:AM111)</f>
        <v>135504.49719999998</v>
      </c>
      <c r="AK8" s="83">
        <f>SUMIF(B2B!$B$7:$B$111,"Spain",B2B!AN7:AN111)</f>
        <v>207892.14360000001</v>
      </c>
      <c r="AL8" s="83">
        <f>SUMIF(B2B!$B$7:$B$111,"Spain",B2B!AO7:AO111)</f>
        <v>156167.86638951965</v>
      </c>
      <c r="AM8" s="83">
        <f>SUMIF(B2B!$B$7:$B$111,"Spain",B2B!AP7:AP111)</f>
        <v>69118.978794759823</v>
      </c>
      <c r="AN8" s="83">
        <f>SUMIF(B2B!$B$7:$B$111,"Spain",B2B!AQ7:AQ111)</f>
        <v>111438.0230330131</v>
      </c>
      <c r="AO8" s="83">
        <f>SUMIF(B2B!$B$7:$B$111,"Spain",B2B!AR7:AR111)</f>
        <v>100127.79631650641</v>
      </c>
      <c r="AP8" s="83">
        <f>SUMIF(B2B!$B$7:$B$111,"Spain",B2B!AS7:AS111)</f>
        <v>225082.46435301309</v>
      </c>
      <c r="AQ8" s="83">
        <f>SUMIF(B2B!$B$7:$B$111,"Spain",B2B!AT7:AT111)</f>
        <v>172856.23950951966</v>
      </c>
      <c r="AR8" s="83">
        <f>SUMIF(B2B!$B$7:$B$111,"Spain",B2B!AU7:AU111)</f>
        <v>156176.28687301307</v>
      </c>
      <c r="AS8" s="83">
        <f>SUMIF(B2B!$B$7:$B$111,"Spain",B2B!AV7:AV111)</f>
        <v>99135.558393013111</v>
      </c>
      <c r="AT8" s="60"/>
      <c r="AU8" s="61">
        <f>SUM(AH8:AS8)</f>
        <v>1563950.253902358</v>
      </c>
    </row>
    <row r="9" spans="1:49">
      <c r="B9" s="51" t="s">
        <v>85</v>
      </c>
      <c r="D9" s="59">
        <v>5462.15</v>
      </c>
      <c r="E9" s="59">
        <v>7701.31</v>
      </c>
      <c r="F9" s="59">
        <v>6695.18</v>
      </c>
      <c r="G9" s="59">
        <v>7769.83</v>
      </c>
      <c r="H9" s="59">
        <v>8068.3</v>
      </c>
      <c r="I9" s="59">
        <v>11235.03</v>
      </c>
      <c r="J9" s="59">
        <v>9868.75</v>
      </c>
      <c r="K9" s="59">
        <v>12146.92</v>
      </c>
      <c r="L9" s="59">
        <v>15127</v>
      </c>
      <c r="M9" s="60">
        <v>9300</v>
      </c>
      <c r="N9" s="60">
        <v>9300</v>
      </c>
      <c r="O9" s="60">
        <v>7200</v>
      </c>
      <c r="P9" s="60"/>
      <c r="Q9" s="61">
        <f>SUM(D9:O9)</f>
        <v>109874.47</v>
      </c>
      <c r="R9" s="62"/>
      <c r="S9" s="60">
        <f ca="1">SUMIF(Amazon!$A$25:$A$39,"Spain",Amazon!Q25:Q37)</f>
        <v>9716</v>
      </c>
      <c r="T9" s="60">
        <f ca="1">SUMIF(Amazon!$A$25:$A$39,"Spain",Amazon!R25:R37)</f>
        <v>12810</v>
      </c>
      <c r="U9" s="60">
        <f ca="1">SUMIF(Amazon!$A$25:$A$39,"Spain",Amazon!S25:S37)</f>
        <v>12231.85</v>
      </c>
      <c r="V9" s="60">
        <f ca="1">SUMIF(Amazon!$A$25:$A$39,"Spain",Amazon!T25:T37)</f>
        <v>12236.400000000001</v>
      </c>
      <c r="W9" s="60">
        <f ca="1">SUMIF(Amazon!$A$25:$A$39,"Spain",Amazon!U25:U37)</f>
        <v>9628.1200000000008</v>
      </c>
      <c r="X9" s="60">
        <f ca="1">SUMIF(Amazon!$A$25:$A$39,"Spain",Amazon!V25:V37)</f>
        <v>11964.08</v>
      </c>
      <c r="Y9" s="60">
        <f ca="1">SUMIF(Amazon!$A$25:$A$39,"Spain",Amazon!W25:W37)</f>
        <v>12237</v>
      </c>
      <c r="Z9" s="60">
        <f ca="1">SUMIF(Amazon!$A$25:$A$39,"Spain",Amazon!X25:X37)</f>
        <v>15939.539999999999</v>
      </c>
      <c r="AA9" s="60">
        <f ca="1">SUMIF(Amazon!$A$25:$A$39,"Spain",Amazon!Y25:Y37)</f>
        <v>15547.6</v>
      </c>
      <c r="AB9" s="60">
        <f ca="1">SUMIF(Amazon!$A$25:$A$39,"Spain",Amazon!Z25:Z37)</f>
        <v>22765.61</v>
      </c>
      <c r="AC9" s="60">
        <f ca="1">SUMIF(Amazon!$A$25:$A$39,"Spain",Amazon!AA25:AA37)</f>
        <v>22740.690000000002</v>
      </c>
      <c r="AD9" s="60">
        <f ca="1">SUMIF(Amazon!$A$25:$A$39,"Spain",Amazon!AB25:AB37)</f>
        <v>17164.140000000003</v>
      </c>
      <c r="AE9" s="60"/>
      <c r="AF9" s="61">
        <f ca="1">SUM(S9:AD9)</f>
        <v>174981.03000000003</v>
      </c>
      <c r="AH9" s="60">
        <f ca="1">SUMIF(Amazon!$A$25:$A$39,"Spain",Amazon!AE25:AE37)</f>
        <v>17164.140000000003</v>
      </c>
      <c r="AI9" s="60">
        <f ca="1">SUMIF(Amazon!$A$25:$A$39,"Spain",Amazon!AF25:AF37)</f>
        <v>18880.554000000004</v>
      </c>
      <c r="AJ9" s="60">
        <f ca="1">SUMIF(Amazon!$A$25:$A$39,"Spain",Amazon!AG25:AG37)</f>
        <v>20768.609400000005</v>
      </c>
      <c r="AK9" s="60">
        <f ca="1">SUMIF(Amazon!$A$25:$A$39,"Spain",Amazon!AH25:AH37)</f>
        <v>20768.609400000005</v>
      </c>
      <c r="AL9" s="60">
        <f ca="1">SUMIF(Amazon!$A$25:$A$39,"Spain",Amazon!AI25:AI37)</f>
        <v>22845.470340000007</v>
      </c>
      <c r="AM9" s="60">
        <f ca="1">SUMIF(Amazon!$A$25:$A$39,"Spain",Amazon!AJ25:AJ37)</f>
        <v>25130.01737400001</v>
      </c>
      <c r="AN9" s="60">
        <f ca="1">SUMIF(Amazon!$A$25:$A$39,"Spain",Amazon!AK25:AK37)</f>
        <v>20768.609400000005</v>
      </c>
      <c r="AO9" s="60">
        <f ca="1">SUMIF(Amazon!$A$25:$A$39,"Spain",Amazon!AL25:AL37)</f>
        <v>22845.470340000007</v>
      </c>
      <c r="AP9" s="60">
        <f ca="1">SUMIF(Amazon!$A$25:$A$39,"Spain",Amazon!AM25:AM37)</f>
        <v>25130.01737400001</v>
      </c>
      <c r="AQ9" s="60">
        <f ca="1">SUMIF(Amazon!$A$25:$A$39,"Spain",Amazon!AN25:AN37)</f>
        <v>27643.019111400012</v>
      </c>
      <c r="AR9" s="60">
        <f ca="1">SUMIF(Amazon!$A$25:$A$39,"Spain",Amazon!AO25:AO37)</f>
        <v>27643.019111400012</v>
      </c>
      <c r="AS9" s="60">
        <f ca="1">SUMIF(Amazon!$A$25:$A$39,"Spain",Amazon!AP25:AP37)</f>
        <v>30407.321022540014</v>
      </c>
      <c r="AT9" s="60"/>
      <c r="AU9" s="61">
        <f ca="1">SUM(AH9:AS9)</f>
        <v>279994.85687334009</v>
      </c>
    </row>
    <row r="10" spans="1:49">
      <c r="B10" s="51" t="s">
        <v>86</v>
      </c>
      <c r="D10" s="59"/>
      <c r="E10" s="59"/>
      <c r="F10" s="59"/>
      <c r="G10" s="59"/>
      <c r="H10" s="59"/>
      <c r="I10" s="59"/>
      <c r="J10" s="59"/>
      <c r="K10" s="59">
        <v>0</v>
      </c>
      <c r="L10" s="59"/>
      <c r="M10" s="60"/>
      <c r="N10" s="60"/>
      <c r="O10" s="60"/>
      <c r="P10" s="60"/>
      <c r="Q10" s="61">
        <f>SUM(D10:O10)</f>
        <v>0</v>
      </c>
      <c r="R10" s="62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60"/>
      <c r="AF10" s="61">
        <f>SUM(S10:AD10)</f>
        <v>0</v>
      </c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60"/>
      <c r="AU10" s="61">
        <f>SUM(AH10:AS10)</f>
        <v>0</v>
      </c>
    </row>
    <row r="11" spans="1:49">
      <c r="D11" s="59"/>
      <c r="E11" s="59"/>
      <c r="F11" s="59"/>
      <c r="G11" s="59"/>
      <c r="H11" s="59"/>
      <c r="I11" s="59"/>
      <c r="J11" s="59"/>
      <c r="K11" s="59"/>
      <c r="L11" s="59"/>
      <c r="M11" s="60"/>
      <c r="N11" s="60"/>
      <c r="O11" s="60"/>
      <c r="P11" s="60"/>
      <c r="Q11" s="61"/>
      <c r="S11" s="83"/>
      <c r="T11" s="83"/>
      <c r="U11" s="83"/>
      <c r="V11" s="83"/>
      <c r="W11" s="83"/>
      <c r="X11" s="60"/>
      <c r="Y11" s="60"/>
      <c r="Z11" s="60"/>
      <c r="AA11" s="60"/>
      <c r="AB11" s="60"/>
      <c r="AC11" s="60"/>
      <c r="AD11" s="60"/>
      <c r="AE11" s="60"/>
      <c r="AF11" s="61"/>
      <c r="AH11" s="83"/>
      <c r="AI11" s="83"/>
      <c r="AJ11" s="83"/>
      <c r="AK11" s="83"/>
      <c r="AL11" s="83"/>
      <c r="AM11" s="60"/>
      <c r="AN11" s="60"/>
      <c r="AO11" s="60"/>
      <c r="AP11" s="60"/>
      <c r="AQ11" s="60"/>
      <c r="AR11" s="60"/>
      <c r="AS11" s="60"/>
      <c r="AT11" s="60"/>
      <c r="AU11" s="61"/>
    </row>
    <row r="12" spans="1:49" s="10" customFormat="1">
      <c r="A12" s="52"/>
      <c r="B12" s="63" t="s">
        <v>87</v>
      </c>
      <c r="C12" s="52"/>
      <c r="D12" s="64">
        <f t="shared" ref="D12:J12" si="5">SUM(D7:D11)</f>
        <v>87441.44</v>
      </c>
      <c r="E12" s="64">
        <f t="shared" si="5"/>
        <v>70161.55</v>
      </c>
      <c r="F12" s="64">
        <f t="shared" si="5"/>
        <v>29495.260000000002</v>
      </c>
      <c r="G12" s="64">
        <f t="shared" si="5"/>
        <v>127879.39</v>
      </c>
      <c r="H12" s="64">
        <f t="shared" si="5"/>
        <v>95437.2</v>
      </c>
      <c r="I12" s="64">
        <f t="shared" si="5"/>
        <v>82943.540000000008</v>
      </c>
      <c r="J12" s="64">
        <f t="shared" si="5"/>
        <v>89851.37</v>
      </c>
      <c r="K12" s="64">
        <f t="shared" ref="K12:O12" si="6">SUM(K7:K11)</f>
        <v>20544.13</v>
      </c>
      <c r="L12" s="64">
        <f t="shared" si="6"/>
        <v>62010.44</v>
      </c>
      <c r="M12" s="65">
        <f t="shared" si="6"/>
        <v>205016</v>
      </c>
      <c r="N12" s="65">
        <f t="shared" si="6"/>
        <v>85000</v>
      </c>
      <c r="O12" s="65">
        <f t="shared" si="6"/>
        <v>82256</v>
      </c>
      <c r="P12" s="61"/>
      <c r="Q12" s="65">
        <f>SUM(D12:O12)</f>
        <v>1038036.3200000001</v>
      </c>
      <c r="R12" s="52"/>
      <c r="S12" s="84">
        <f ca="1">SUM(S7:S11)</f>
        <v>59868.106661642676</v>
      </c>
      <c r="T12" s="84">
        <f t="shared" ref="T12:AD12" ca="1" si="7">SUM(T7:T11)</f>
        <v>120216.46845434546</v>
      </c>
      <c r="U12" s="84">
        <f t="shared" ca="1" si="7"/>
        <v>116528.79698067374</v>
      </c>
      <c r="V12" s="84">
        <f t="shared" ca="1" si="7"/>
        <v>153512.92500892541</v>
      </c>
      <c r="W12" s="84">
        <f t="shared" ca="1" si="7"/>
        <v>129201.05584994459</v>
      </c>
      <c r="X12" s="65">
        <f t="shared" ca="1" si="7"/>
        <v>128139.18013619163</v>
      </c>
      <c r="Y12" s="65">
        <f t="shared" ca="1" si="7"/>
        <v>105499.2036029572</v>
      </c>
      <c r="Z12" s="65">
        <f t="shared" ca="1" si="7"/>
        <v>102681.77557145867</v>
      </c>
      <c r="AA12" s="65">
        <f t="shared" ca="1" si="7"/>
        <v>154517.05041925824</v>
      </c>
      <c r="AB12" s="65">
        <f t="shared" ca="1" si="7"/>
        <v>146242.81755440513</v>
      </c>
      <c r="AC12" s="65">
        <f t="shared" ca="1" si="7"/>
        <v>100938.5432130828</v>
      </c>
      <c r="AD12" s="65">
        <f t="shared" ca="1" si="7"/>
        <v>100401.93279445813</v>
      </c>
      <c r="AE12" s="61"/>
      <c r="AF12" s="65">
        <f ca="1">SUM(S12:AD12)</f>
        <v>1417747.8562473438</v>
      </c>
      <c r="AG12" s="7"/>
      <c r="AH12" s="84">
        <f ca="1">SUM(AH7:AH11)</f>
        <v>137040.512459752</v>
      </c>
      <c r="AI12" s="84">
        <f t="shared" ref="AI12:AS12" ca="1" si="8">SUM(AI7:AI11)</f>
        <v>300417.7606018692</v>
      </c>
      <c r="AJ12" s="84">
        <f t="shared" ca="1" si="8"/>
        <v>310889.36976479582</v>
      </c>
      <c r="AK12" s="84">
        <f t="shared" ca="1" si="8"/>
        <v>376856.94464912318</v>
      </c>
      <c r="AL12" s="84">
        <f t="shared" ca="1" si="8"/>
        <v>342851.72655642062</v>
      </c>
      <c r="AM12" s="65">
        <f t="shared" ca="1" si="8"/>
        <v>323402.37216763513</v>
      </c>
      <c r="AN12" s="65">
        <f t="shared" ca="1" si="8"/>
        <v>290597.03765123762</v>
      </c>
      <c r="AO12" s="65">
        <f t="shared" ca="1" si="8"/>
        <v>262956.02964775293</v>
      </c>
      <c r="AP12" s="65">
        <f t="shared" ca="1" si="8"/>
        <v>480957.0069910165</v>
      </c>
      <c r="AQ12" s="65">
        <f t="shared" ca="1" si="8"/>
        <v>408899.77636241901</v>
      </c>
      <c r="AR12" s="65">
        <f t="shared" ca="1" si="8"/>
        <v>323767.05081793456</v>
      </c>
      <c r="AS12" s="65">
        <f t="shared" ca="1" si="8"/>
        <v>287046.62525071012</v>
      </c>
      <c r="AT12" s="61"/>
      <c r="AU12" s="65">
        <f ca="1">SUM(AH12:AS12)</f>
        <v>3845682.2129206667</v>
      </c>
      <c r="AW12" s="140"/>
    </row>
    <row r="13" spans="1:49" outlineLevel="1">
      <c r="D13" s="59"/>
      <c r="E13" s="59"/>
      <c r="F13" s="59"/>
      <c r="G13" s="59"/>
      <c r="H13" s="59"/>
      <c r="I13" s="59"/>
      <c r="J13" s="59"/>
      <c r="K13" s="59"/>
      <c r="L13" s="59"/>
      <c r="M13" s="60"/>
      <c r="N13" s="60"/>
      <c r="O13" s="60"/>
      <c r="P13" s="60"/>
      <c r="Q13" s="61"/>
      <c r="R13" s="66"/>
      <c r="S13" s="83"/>
      <c r="T13" s="83"/>
      <c r="U13" s="83"/>
      <c r="V13" s="83"/>
      <c r="W13" s="83"/>
      <c r="X13" s="60"/>
      <c r="Y13" s="60"/>
      <c r="Z13" s="60"/>
      <c r="AA13" s="60"/>
      <c r="AB13" s="60"/>
      <c r="AC13" s="60"/>
      <c r="AD13" s="60"/>
      <c r="AE13" s="60"/>
      <c r="AF13" s="61"/>
      <c r="AH13" s="83"/>
      <c r="AI13" s="83"/>
      <c r="AJ13" s="83"/>
      <c r="AK13" s="83"/>
      <c r="AL13" s="83"/>
      <c r="AM13" s="60"/>
      <c r="AN13" s="60"/>
      <c r="AO13" s="60"/>
      <c r="AP13" s="60"/>
      <c r="AQ13" s="60"/>
      <c r="AR13" s="60"/>
      <c r="AS13" s="60"/>
      <c r="AT13" s="60"/>
      <c r="AU13" s="61"/>
    </row>
    <row r="14" spans="1:49" outlineLevel="1">
      <c r="B14" s="58" t="s">
        <v>88</v>
      </c>
      <c r="D14" s="59"/>
      <c r="E14" s="59"/>
      <c r="F14" s="59"/>
      <c r="G14" s="59"/>
      <c r="H14" s="59"/>
      <c r="I14" s="59"/>
      <c r="J14" s="59"/>
      <c r="K14" s="59"/>
      <c r="L14" s="59"/>
      <c r="M14" s="60"/>
      <c r="N14" s="60"/>
      <c r="O14" s="60"/>
      <c r="P14" s="60"/>
      <c r="Q14" s="61"/>
      <c r="S14" s="83"/>
      <c r="T14" s="83"/>
      <c r="U14" s="83"/>
      <c r="V14" s="83"/>
      <c r="W14" s="83"/>
      <c r="X14" s="60"/>
      <c r="Y14" s="60"/>
      <c r="Z14" s="60"/>
      <c r="AA14" s="60"/>
      <c r="AB14" s="60"/>
      <c r="AC14" s="60"/>
      <c r="AD14" s="60"/>
      <c r="AE14" s="60"/>
      <c r="AF14" s="61"/>
      <c r="AH14" s="83"/>
      <c r="AI14" s="83"/>
      <c r="AJ14" s="83"/>
      <c r="AK14" s="83"/>
      <c r="AL14" s="83"/>
      <c r="AM14" s="60"/>
      <c r="AN14" s="60"/>
      <c r="AO14" s="60"/>
      <c r="AP14" s="60"/>
      <c r="AQ14" s="60"/>
      <c r="AR14" s="60"/>
      <c r="AS14" s="60"/>
      <c r="AT14" s="60"/>
      <c r="AU14" s="61"/>
    </row>
    <row r="15" spans="1:49">
      <c r="D15" s="59"/>
      <c r="E15" s="59"/>
      <c r="F15" s="59"/>
      <c r="G15" s="59"/>
      <c r="H15" s="59"/>
      <c r="I15" s="59"/>
      <c r="J15" s="59"/>
      <c r="K15" s="59"/>
      <c r="L15" s="59"/>
      <c r="M15" s="60"/>
      <c r="N15" s="60"/>
      <c r="O15" s="60"/>
      <c r="P15" s="60"/>
      <c r="Q15" s="61"/>
      <c r="S15" s="83"/>
      <c r="T15" s="83"/>
      <c r="U15" s="83"/>
      <c r="V15" s="83"/>
      <c r="W15" s="83"/>
      <c r="X15" s="60"/>
      <c r="Y15" s="60"/>
      <c r="Z15" s="60"/>
      <c r="AA15" s="60"/>
      <c r="AB15" s="60"/>
      <c r="AC15" s="60"/>
      <c r="AD15" s="60"/>
      <c r="AE15" s="60"/>
      <c r="AF15" s="61"/>
      <c r="AH15" s="83"/>
      <c r="AI15" s="83"/>
      <c r="AJ15" s="83"/>
      <c r="AK15" s="83"/>
      <c r="AL15" s="83"/>
      <c r="AM15" s="60"/>
      <c r="AN15" s="60"/>
      <c r="AO15" s="60"/>
      <c r="AP15" s="60"/>
      <c r="AQ15" s="60"/>
      <c r="AR15" s="60"/>
      <c r="AS15" s="60"/>
      <c r="AT15" s="60"/>
      <c r="AU15" s="61"/>
    </row>
    <row r="16" spans="1:49" outlineLevel="1">
      <c r="B16" s="51" t="s">
        <v>89</v>
      </c>
      <c r="C16" s="75">
        <v>-0.24</v>
      </c>
      <c r="D16" s="59">
        <v>-2553.6799999999998</v>
      </c>
      <c r="E16" s="59">
        <v>-2332.35</v>
      </c>
      <c r="F16" s="59">
        <v>-3485.16</v>
      </c>
      <c r="G16" s="59">
        <v>-14463.78</v>
      </c>
      <c r="H16" s="59">
        <v>-2634.13</v>
      </c>
      <c r="I16" s="59">
        <v>-9233.4</v>
      </c>
      <c r="J16" s="59">
        <v>-9249.7000000000007</v>
      </c>
      <c r="K16" s="59">
        <v>-1428.33</v>
      </c>
      <c r="L16" s="59">
        <v>-11470</v>
      </c>
      <c r="M16" s="60">
        <v>-18900</v>
      </c>
      <c r="N16" s="60">
        <v>-8568</v>
      </c>
      <c r="O16" s="60">
        <v>-5670</v>
      </c>
      <c r="P16" s="60"/>
      <c r="Q16" s="61">
        <f>SUM(D16:O16)</f>
        <v>-89988.53</v>
      </c>
      <c r="S16" s="60">
        <f t="shared" ref="S16:AD16" si="9">S7*$C$16</f>
        <v>-5556.5055987942424</v>
      </c>
      <c r="T16" s="60">
        <f t="shared" si="9"/>
        <v>-14977.552429042911</v>
      </c>
      <c r="U16" s="60">
        <f t="shared" si="9"/>
        <v>-13895.267275361697</v>
      </c>
      <c r="V16" s="60">
        <f t="shared" si="9"/>
        <v>-8826.3660021421019</v>
      </c>
      <c r="W16" s="60">
        <f t="shared" si="9"/>
        <v>-7960.3172223273123</v>
      </c>
      <c r="X16" s="60">
        <f t="shared" si="9"/>
        <v>-19503.299141856296</v>
      </c>
      <c r="Y16" s="60">
        <f t="shared" si="9"/>
        <v>-10011.295676936803</v>
      </c>
      <c r="Z16" s="60">
        <f t="shared" si="9"/>
        <v>-8080.319943263632</v>
      </c>
      <c r="AA16" s="60">
        <f t="shared" si="9"/>
        <v>-17621.034912849049</v>
      </c>
      <c r="AB16" s="60">
        <f t="shared" si="9"/>
        <v>-12877.08003139784</v>
      </c>
      <c r="AC16" s="60">
        <f t="shared" si="9"/>
        <v>-7595.8515833669435</v>
      </c>
      <c r="AD16" s="60">
        <f t="shared" si="9"/>
        <v>-8805.4370828970241</v>
      </c>
      <c r="AE16" s="60"/>
      <c r="AF16" s="61">
        <f>SUM(S16:AD16)</f>
        <v>-135710.32690023584</v>
      </c>
      <c r="AH16" s="60">
        <f t="shared" ref="AH16:AS16" si="10">AH7*$C$16</f>
        <v>-21771.929390340476</v>
      </c>
      <c r="AI16" s="60">
        <f t="shared" si="10"/>
        <v>-43259.233718848605</v>
      </c>
      <c r="AJ16" s="60">
        <f t="shared" si="10"/>
        <v>-37107.903159550995</v>
      </c>
      <c r="AK16" s="60">
        <f t="shared" si="10"/>
        <v>-35567.085995789552</v>
      </c>
      <c r="AL16" s="60">
        <f t="shared" si="10"/>
        <v>-39321.213558456227</v>
      </c>
      <c r="AM16" s="60">
        <f t="shared" si="10"/>
        <v>-54996.810239730075</v>
      </c>
      <c r="AN16" s="60">
        <f t="shared" si="10"/>
        <v>-38013.697252373888</v>
      </c>
      <c r="AO16" s="60">
        <f t="shared" si="10"/>
        <v>-33595.863117899164</v>
      </c>
      <c r="AP16" s="60">
        <f t="shared" si="10"/>
        <v>-55378.686063360823</v>
      </c>
      <c r="AQ16" s="60">
        <f t="shared" si="10"/>
        <v>-50016.124257959847</v>
      </c>
      <c r="AR16" s="60">
        <f t="shared" si="10"/>
        <v>-33587.458760045156</v>
      </c>
      <c r="AS16" s="60">
        <f t="shared" si="10"/>
        <v>-37800.899000437676</v>
      </c>
      <c r="AT16" s="60"/>
      <c r="AU16" s="61">
        <f>SUM(AH16:AS16)</f>
        <v>-480416.90451479255</v>
      </c>
    </row>
    <row r="17" spans="1:47" outlineLevel="1">
      <c r="B17" s="51" t="s">
        <v>90</v>
      </c>
      <c r="C17" s="75">
        <v>-0.27</v>
      </c>
      <c r="D17" s="59">
        <v>-20358.64</v>
      </c>
      <c r="E17" s="59">
        <v>-14298.52</v>
      </c>
      <c r="F17" s="59">
        <v>-2220.6</v>
      </c>
      <c r="G17" s="59">
        <v>-15050.62</v>
      </c>
      <c r="H17" s="59">
        <v>-22541.16</v>
      </c>
      <c r="I17" s="59">
        <v>-9262.98</v>
      </c>
      <c r="J17" s="59">
        <v>-12361.72</v>
      </c>
      <c r="K17" s="59">
        <f>--157.68</f>
        <v>157.68</v>
      </c>
      <c r="L17" s="59">
        <v>-2670</v>
      </c>
      <c r="M17" s="60">
        <v>-41486</v>
      </c>
      <c r="N17" s="60">
        <v>-13200</v>
      </c>
      <c r="O17" s="60">
        <v>-16634</v>
      </c>
      <c r="P17" s="60"/>
      <c r="Q17" s="61">
        <f>SUM(D17:O17)</f>
        <v>-169926.56</v>
      </c>
      <c r="S17" s="60">
        <f>(S8*$C$17)+(S1/$AF$1)*12954</f>
        <v>-6759.6131446231493</v>
      </c>
      <c r="T17" s="60">
        <f t="shared" ref="T17:AD17" si="11">(T8*$C$17)+(T1/$AF$1)*12954</f>
        <v>-10720.343034333338</v>
      </c>
      <c r="U17" s="60">
        <f t="shared" si="11"/>
        <v>-11201.650735383184</v>
      </c>
      <c r="V17" s="60">
        <f t="shared" si="11"/>
        <v>-27372.494143568012</v>
      </c>
      <c r="W17" s="60">
        <f t="shared" si="11"/>
        <v>-22569.497171203453</v>
      </c>
      <c r="X17" s="60">
        <f t="shared" si="11"/>
        <v>-7564.4110293492731</v>
      </c>
      <c r="Y17" s="60">
        <f t="shared" si="11"/>
        <v>-12962.476019396305</v>
      </c>
      <c r="Z17" s="60">
        <f t="shared" si="11"/>
        <v>-13558.750377951459</v>
      </c>
      <c r="AA17" s="60">
        <f t="shared" si="11"/>
        <v>-16016.101215697883</v>
      </c>
      <c r="AB17" s="60">
        <f t="shared" si="11"/>
        <v>-17622.971083107808</v>
      </c>
      <c r="AC17" s="60">
        <f t="shared" si="11"/>
        <v>-11843.038154959546</v>
      </c>
      <c r="AD17" s="60">
        <f t="shared" si="11"/>
        <v>-11727.579214444051</v>
      </c>
      <c r="AE17" s="60"/>
      <c r="AF17" s="61">
        <f>SUM(S17:AD17)</f>
        <v>-169918.92532401747</v>
      </c>
      <c r="AH17" s="60">
        <f>(AH8*$C$17)+(AH1/$AF$1)*12954</f>
        <v>-5794.9972591739424</v>
      </c>
      <c r="AI17" s="60">
        <f t="shared" ref="AI17:AS17" si="12">(AI8*$C$17)+(AI1/$AF$1)*12954</f>
        <v>-23219.170771610479</v>
      </c>
      <c r="AJ17" s="60">
        <f t="shared" si="12"/>
        <v>-33044.142033959593</v>
      </c>
      <c r="AK17" s="60">
        <f t="shared" si="12"/>
        <v>-52735.882661437565</v>
      </c>
      <c r="AL17" s="60">
        <f t="shared" si="12"/>
        <v>-38411.983909928204</v>
      </c>
      <c r="AM17" s="60">
        <f t="shared" si="12"/>
        <v>-13412.496658779703</v>
      </c>
      <c r="AN17" s="60">
        <f t="shared" si="12"/>
        <v>-26459.732963892726</v>
      </c>
      <c r="AO17" s="60">
        <f t="shared" si="12"/>
        <v>-23827.668644733843</v>
      </c>
      <c r="AP17" s="60">
        <f t="shared" si="12"/>
        <v>-55486.186447862885</v>
      </c>
      <c r="AQ17" s="60">
        <f t="shared" si="12"/>
        <v>-41896.980018325703</v>
      </c>
      <c r="AR17" s="60">
        <f t="shared" si="12"/>
        <v>-38961.563318772191</v>
      </c>
      <c r="AS17" s="60">
        <f t="shared" si="12"/>
        <v>-23158.379808753081</v>
      </c>
      <c r="AT17" s="60"/>
      <c r="AU17" s="61">
        <f>SUM(AH17:AS17)</f>
        <v>-376409.18449722999</v>
      </c>
    </row>
    <row r="18" spans="1:47" outlineLevel="1">
      <c r="B18" s="51" t="s">
        <v>91</v>
      </c>
      <c r="C18" s="75">
        <v>-0.18</v>
      </c>
      <c r="D18" s="59">
        <v>-872.34</v>
      </c>
      <c r="E18" s="59">
        <v>-1318.44</v>
      </c>
      <c r="F18" s="59">
        <v>-1149.19</v>
      </c>
      <c r="G18" s="59">
        <v>-1344.66</v>
      </c>
      <c r="H18" s="59">
        <v>-1490.32</v>
      </c>
      <c r="I18" s="59">
        <v>-2273.83</v>
      </c>
      <c r="J18" s="59">
        <v>-1761.13</v>
      </c>
      <c r="K18" s="59">
        <v>-2373.5300000000002</v>
      </c>
      <c r="L18" s="59">
        <v>-2973</v>
      </c>
      <c r="M18" s="60">
        <v>-1633</v>
      </c>
      <c r="N18" s="60">
        <v>-1633</v>
      </c>
      <c r="O18" s="60">
        <v>-1264</v>
      </c>
      <c r="P18" s="60"/>
      <c r="Q18" s="61">
        <f>SUM(D18:O18)</f>
        <v>-20086.440000000002</v>
      </c>
      <c r="S18" s="60">
        <f t="shared" ref="S18:AD18" ca="1" si="13">S9*$C$18</f>
        <v>-1748.8799999999999</v>
      </c>
      <c r="T18" s="60">
        <f t="shared" ca="1" si="13"/>
        <v>-2305.7999999999997</v>
      </c>
      <c r="U18" s="60">
        <f t="shared" ca="1" si="13"/>
        <v>-2201.7330000000002</v>
      </c>
      <c r="V18" s="60">
        <f t="shared" ca="1" si="13"/>
        <v>-2202.5520000000001</v>
      </c>
      <c r="W18" s="60">
        <f t="shared" ca="1" si="13"/>
        <v>-1733.0616</v>
      </c>
      <c r="X18" s="60">
        <f t="shared" ca="1" si="13"/>
        <v>-2153.5344</v>
      </c>
      <c r="Y18" s="60">
        <f t="shared" ca="1" si="13"/>
        <v>-2202.66</v>
      </c>
      <c r="Z18" s="60">
        <f t="shared" ca="1" si="13"/>
        <v>-2869.1171999999997</v>
      </c>
      <c r="AA18" s="60">
        <f t="shared" ca="1" si="13"/>
        <v>-2798.5679999999998</v>
      </c>
      <c r="AB18" s="60">
        <f t="shared" ca="1" si="13"/>
        <v>-4097.8098</v>
      </c>
      <c r="AC18" s="60">
        <f t="shared" ca="1" si="13"/>
        <v>-4093.3242000000005</v>
      </c>
      <c r="AD18" s="60">
        <f t="shared" ca="1" si="13"/>
        <v>-3089.5452000000005</v>
      </c>
      <c r="AE18" s="60"/>
      <c r="AF18" s="61">
        <f ca="1">SUM(S18:AD18)</f>
        <v>-31496.5854</v>
      </c>
      <c r="AH18" s="60">
        <f t="shared" ref="AH18:AS18" ca="1" si="14">AH9*$C$18</f>
        <v>-3089.5452000000005</v>
      </c>
      <c r="AI18" s="60">
        <f t="shared" ca="1" si="14"/>
        <v>-3398.4997200000007</v>
      </c>
      <c r="AJ18" s="60">
        <f t="shared" ca="1" si="14"/>
        <v>-3738.3496920000007</v>
      </c>
      <c r="AK18" s="60">
        <f t="shared" ca="1" si="14"/>
        <v>-3738.3496920000007</v>
      </c>
      <c r="AL18" s="60">
        <f t="shared" ca="1" si="14"/>
        <v>-4112.1846612000008</v>
      </c>
      <c r="AM18" s="60">
        <f t="shared" ca="1" si="14"/>
        <v>-4523.4031273200017</v>
      </c>
      <c r="AN18" s="60">
        <f t="shared" ca="1" si="14"/>
        <v>-3738.3496920000007</v>
      </c>
      <c r="AO18" s="60">
        <f t="shared" ca="1" si="14"/>
        <v>-4112.1846612000008</v>
      </c>
      <c r="AP18" s="60">
        <f t="shared" ca="1" si="14"/>
        <v>-4523.4031273200017</v>
      </c>
      <c r="AQ18" s="60">
        <f t="shared" ca="1" si="14"/>
        <v>-4975.7434400520024</v>
      </c>
      <c r="AR18" s="60">
        <f t="shared" ca="1" si="14"/>
        <v>-4975.7434400520024</v>
      </c>
      <c r="AS18" s="60">
        <f t="shared" ca="1" si="14"/>
        <v>-5473.3177840572025</v>
      </c>
      <c r="AT18" s="60"/>
      <c r="AU18" s="61">
        <f ca="1">SUM(AH18:AS18)</f>
        <v>-50399.07423720121</v>
      </c>
    </row>
    <row r="19" spans="1:47" outlineLevel="1">
      <c r="B19" s="51" t="s">
        <v>92</v>
      </c>
      <c r="D19" s="59"/>
      <c r="E19" s="59"/>
      <c r="F19" s="59"/>
      <c r="G19" s="59"/>
      <c r="H19" s="59"/>
      <c r="I19" s="59"/>
      <c r="J19" s="59"/>
      <c r="K19" s="59">
        <v>0</v>
      </c>
      <c r="L19" s="59">
        <f>L10*$C$19</f>
        <v>0</v>
      </c>
      <c r="M19" s="60">
        <f t="shared" ref="M19:O19" si="15">M10*$C$19</f>
        <v>0</v>
      </c>
      <c r="N19" s="60">
        <f t="shared" si="15"/>
        <v>0</v>
      </c>
      <c r="O19" s="60">
        <f t="shared" si="15"/>
        <v>0</v>
      </c>
      <c r="P19" s="60"/>
      <c r="Q19" s="61">
        <f>SUM(D19:O19)</f>
        <v>0</v>
      </c>
      <c r="S19" s="60">
        <f t="shared" ref="S19:AD19" si="16">S10*$C$19</f>
        <v>0</v>
      </c>
      <c r="T19" s="60">
        <f t="shared" si="16"/>
        <v>0</v>
      </c>
      <c r="U19" s="60">
        <f t="shared" si="16"/>
        <v>0</v>
      </c>
      <c r="V19" s="60">
        <f t="shared" si="16"/>
        <v>0</v>
      </c>
      <c r="W19" s="60">
        <f t="shared" si="16"/>
        <v>0</v>
      </c>
      <c r="X19" s="60">
        <f t="shared" si="16"/>
        <v>0</v>
      </c>
      <c r="Y19" s="60">
        <f t="shared" si="16"/>
        <v>0</v>
      </c>
      <c r="Z19" s="60">
        <f t="shared" si="16"/>
        <v>0</v>
      </c>
      <c r="AA19" s="60">
        <f t="shared" si="16"/>
        <v>0</v>
      </c>
      <c r="AB19" s="60">
        <f t="shared" si="16"/>
        <v>0</v>
      </c>
      <c r="AC19" s="60">
        <f t="shared" si="16"/>
        <v>0</v>
      </c>
      <c r="AD19" s="60">
        <f t="shared" si="16"/>
        <v>0</v>
      </c>
      <c r="AE19" s="60"/>
      <c r="AF19" s="61">
        <f>SUM(S19:AD19)</f>
        <v>0</v>
      </c>
      <c r="AH19" s="60">
        <f t="shared" ref="AH19:AS19" si="17">AH10*$C$19</f>
        <v>0</v>
      </c>
      <c r="AI19" s="60">
        <f t="shared" si="17"/>
        <v>0</v>
      </c>
      <c r="AJ19" s="60">
        <f t="shared" si="17"/>
        <v>0</v>
      </c>
      <c r="AK19" s="60">
        <f t="shared" si="17"/>
        <v>0</v>
      </c>
      <c r="AL19" s="60">
        <f t="shared" si="17"/>
        <v>0</v>
      </c>
      <c r="AM19" s="60">
        <f t="shared" si="17"/>
        <v>0</v>
      </c>
      <c r="AN19" s="60">
        <f t="shared" si="17"/>
        <v>0</v>
      </c>
      <c r="AO19" s="60">
        <f t="shared" si="17"/>
        <v>0</v>
      </c>
      <c r="AP19" s="60">
        <f t="shared" si="17"/>
        <v>0</v>
      </c>
      <c r="AQ19" s="60">
        <f t="shared" si="17"/>
        <v>0</v>
      </c>
      <c r="AR19" s="60">
        <f t="shared" si="17"/>
        <v>0</v>
      </c>
      <c r="AS19" s="60">
        <f t="shared" si="17"/>
        <v>0</v>
      </c>
      <c r="AT19" s="60"/>
      <c r="AU19" s="61">
        <f>SUM(AH19:AS19)</f>
        <v>0</v>
      </c>
    </row>
    <row r="20" spans="1:47" outlineLevel="1">
      <c r="D20" s="59"/>
      <c r="E20" s="59"/>
      <c r="F20" s="59"/>
      <c r="G20" s="59"/>
      <c r="H20" s="59"/>
      <c r="I20" s="59"/>
      <c r="J20" s="59"/>
      <c r="K20" s="59"/>
      <c r="L20" s="59"/>
      <c r="M20" s="60"/>
      <c r="N20" s="60"/>
      <c r="O20" s="60"/>
      <c r="P20" s="60"/>
      <c r="Q20" s="61"/>
      <c r="S20" s="83"/>
      <c r="T20" s="83"/>
      <c r="U20" s="83"/>
      <c r="V20" s="83"/>
      <c r="W20" s="83"/>
      <c r="X20" s="60"/>
      <c r="Y20" s="60"/>
      <c r="Z20" s="60"/>
      <c r="AA20" s="60"/>
      <c r="AB20" s="60"/>
      <c r="AC20" s="60"/>
      <c r="AD20" s="60"/>
      <c r="AE20" s="60"/>
      <c r="AF20" s="61"/>
      <c r="AH20" s="83"/>
      <c r="AI20" s="83"/>
      <c r="AJ20" s="83"/>
      <c r="AK20" s="83"/>
      <c r="AL20" s="83"/>
      <c r="AM20" s="60"/>
      <c r="AN20" s="60"/>
      <c r="AO20" s="60"/>
      <c r="AP20" s="60"/>
      <c r="AQ20" s="60"/>
      <c r="AR20" s="60"/>
      <c r="AS20" s="60"/>
      <c r="AT20" s="60"/>
      <c r="AU20" s="61"/>
    </row>
    <row r="21" spans="1:47" s="10" customFormat="1">
      <c r="A21" s="52"/>
      <c r="B21" s="63" t="s">
        <v>93</v>
      </c>
      <c r="C21" s="52"/>
      <c r="D21" s="64">
        <f t="shared" ref="D21:I21" si="18">SUM(D16:D20)</f>
        <v>-23784.66</v>
      </c>
      <c r="E21" s="64">
        <f t="shared" si="18"/>
        <v>-17949.309999999998</v>
      </c>
      <c r="F21" s="64">
        <f t="shared" si="18"/>
        <v>-6854.9500000000007</v>
      </c>
      <c r="G21" s="64">
        <f t="shared" si="18"/>
        <v>-30859.06</v>
      </c>
      <c r="H21" s="64">
        <f t="shared" si="18"/>
        <v>-26665.61</v>
      </c>
      <c r="I21" s="64">
        <f t="shared" si="18"/>
        <v>-20770.21</v>
      </c>
      <c r="J21" s="64">
        <f t="shared" ref="J21" si="19">SUM(J16:J20)</f>
        <v>-23372.55</v>
      </c>
      <c r="K21" s="64">
        <f t="shared" ref="K21:O21" si="20">SUM(K16:K20)</f>
        <v>-3644.1800000000003</v>
      </c>
      <c r="L21" s="64">
        <f t="shared" si="20"/>
        <v>-17113</v>
      </c>
      <c r="M21" s="65">
        <f t="shared" si="20"/>
        <v>-62019</v>
      </c>
      <c r="N21" s="65">
        <f t="shared" si="20"/>
        <v>-23401</v>
      </c>
      <c r="O21" s="65">
        <f t="shared" si="20"/>
        <v>-23568</v>
      </c>
      <c r="P21" s="61"/>
      <c r="Q21" s="65">
        <f>SUM(D21:O21)</f>
        <v>-280001.52999999997</v>
      </c>
      <c r="R21" s="52"/>
      <c r="S21" s="84">
        <f t="shared" ref="S21:AD21" ca="1" si="21">SUM(S16:S20)</f>
        <v>-14064.998743417391</v>
      </c>
      <c r="T21" s="84">
        <f t="shared" ca="1" si="21"/>
        <v>-28003.695463376247</v>
      </c>
      <c r="U21" s="84">
        <f t="shared" ca="1" si="21"/>
        <v>-27298.651010744881</v>
      </c>
      <c r="V21" s="84">
        <f t="shared" ca="1" si="21"/>
        <v>-38401.412145710121</v>
      </c>
      <c r="W21" s="84">
        <f t="shared" ca="1" si="21"/>
        <v>-32262.875993530768</v>
      </c>
      <c r="X21" s="65">
        <f t="shared" ca="1" si="21"/>
        <v>-29221.244571205571</v>
      </c>
      <c r="Y21" s="65">
        <f t="shared" ca="1" si="21"/>
        <v>-25176.431696333108</v>
      </c>
      <c r="Z21" s="65">
        <f t="shared" ca="1" si="21"/>
        <v>-24508.187521215092</v>
      </c>
      <c r="AA21" s="65">
        <f t="shared" ca="1" si="21"/>
        <v>-36435.704128546931</v>
      </c>
      <c r="AB21" s="65">
        <f t="shared" ca="1" si="21"/>
        <v>-34597.860914505647</v>
      </c>
      <c r="AC21" s="65">
        <f t="shared" ca="1" si="21"/>
        <v>-23532.213938326488</v>
      </c>
      <c r="AD21" s="65">
        <f t="shared" ca="1" si="21"/>
        <v>-23622.561497341077</v>
      </c>
      <c r="AE21" s="61"/>
      <c r="AF21" s="65">
        <f ca="1">SUM(S21:AD21)</f>
        <v>-337125.8376242533</v>
      </c>
      <c r="AG21" s="7"/>
      <c r="AH21" s="84">
        <f t="shared" ref="AH21:AS21" ca="1" si="22">SUM(AH16:AH20)</f>
        <v>-30656.471849514419</v>
      </c>
      <c r="AI21" s="84">
        <f t="shared" ca="1" si="22"/>
        <v>-69876.904210459092</v>
      </c>
      <c r="AJ21" s="84">
        <f t="shared" ca="1" si="22"/>
        <v>-73890.394885510599</v>
      </c>
      <c r="AK21" s="84">
        <f t="shared" ca="1" si="22"/>
        <v>-92041.31834922712</v>
      </c>
      <c r="AL21" s="84">
        <f t="shared" ca="1" si="22"/>
        <v>-81845.382129584439</v>
      </c>
      <c r="AM21" s="65">
        <f t="shared" ca="1" si="22"/>
        <v>-72932.710025829787</v>
      </c>
      <c r="AN21" s="65">
        <f t="shared" ca="1" si="22"/>
        <v>-68211.779908266617</v>
      </c>
      <c r="AO21" s="65">
        <f t="shared" ca="1" si="22"/>
        <v>-61535.716423833008</v>
      </c>
      <c r="AP21" s="65">
        <f t="shared" ca="1" si="22"/>
        <v>-115388.27563854371</v>
      </c>
      <c r="AQ21" s="65">
        <f t="shared" ca="1" si="22"/>
        <v>-96888.84771633755</v>
      </c>
      <c r="AR21" s="65">
        <f t="shared" ca="1" si="22"/>
        <v>-77524.765518869346</v>
      </c>
      <c r="AS21" s="65">
        <f t="shared" ca="1" si="22"/>
        <v>-66432.596593247959</v>
      </c>
      <c r="AT21" s="61"/>
      <c r="AU21" s="65">
        <f ca="1">SUM(AH21:AS21)</f>
        <v>-907225.16324922361</v>
      </c>
    </row>
    <row r="22" spans="1:47">
      <c r="D22" s="97">
        <f t="shared" ref="D22:I22" si="23">D21/D12</f>
        <v>-0.27200672816001198</v>
      </c>
      <c r="E22" s="97">
        <f t="shared" si="23"/>
        <v>-0.25582829911824917</v>
      </c>
      <c r="F22" s="97">
        <f t="shared" si="23"/>
        <v>-0.2324085293704819</v>
      </c>
      <c r="G22" s="97">
        <f t="shared" si="23"/>
        <v>-0.24131378793721178</v>
      </c>
      <c r="H22" s="97">
        <f t="shared" si="23"/>
        <v>-0.27940478136408026</v>
      </c>
      <c r="I22" s="97">
        <f t="shared" si="23"/>
        <v>-0.2504138357248798</v>
      </c>
      <c r="J22" s="97">
        <f t="shared" ref="J22" si="24">J21/J12</f>
        <v>-0.2601245812946425</v>
      </c>
      <c r="K22" s="97">
        <f t="shared" ref="K22" si="25">K21/K12</f>
        <v>-0.17738302863153613</v>
      </c>
      <c r="L22" s="97">
        <f t="shared" ref="L22:O22" si="26">L21/L12</f>
        <v>-0.27596965930253031</v>
      </c>
      <c r="M22" s="91">
        <f t="shared" si="26"/>
        <v>-0.3025080969290202</v>
      </c>
      <c r="N22" s="91">
        <f t="shared" si="26"/>
        <v>-0.27530588235294118</v>
      </c>
      <c r="O22" s="91">
        <f t="shared" si="26"/>
        <v>-0.28652013226998641</v>
      </c>
      <c r="P22" s="60"/>
      <c r="Q22" s="91">
        <f>Q21/Q12</f>
        <v>-0.26974155393714927</v>
      </c>
      <c r="S22" s="91">
        <f t="shared" ref="S22:AD22" ca="1" si="27">S21/S12</f>
        <v>-0.23493308086238168</v>
      </c>
      <c r="T22" s="91">
        <f t="shared" ca="1" si="27"/>
        <v>-0.23294392044140935</v>
      </c>
      <c r="U22" s="91">
        <f t="shared" ca="1" si="27"/>
        <v>-0.2342652779232961</v>
      </c>
      <c r="V22" s="91">
        <f t="shared" ca="1" si="27"/>
        <v>-0.25015100287794934</v>
      </c>
      <c r="W22" s="91">
        <f t="shared" ca="1" si="27"/>
        <v>-0.24971062180019021</v>
      </c>
      <c r="X22" s="91">
        <f t="shared" ca="1" si="27"/>
        <v>-0.22804301182626596</v>
      </c>
      <c r="Y22" s="91">
        <f t="shared" ca="1" si="27"/>
        <v>-0.23864096444826052</v>
      </c>
      <c r="Z22" s="91">
        <f t="shared" ca="1" si="27"/>
        <v>-0.23868098681405511</v>
      </c>
      <c r="AA22" s="91">
        <f t="shared" ca="1" si="27"/>
        <v>-0.23580377718629922</v>
      </c>
      <c r="AB22" s="91">
        <f t="shared" ca="1" si="27"/>
        <v>-0.23657818888530768</v>
      </c>
      <c r="AC22" s="91">
        <f t="shared" ca="1" si="27"/>
        <v>-0.23313407534176145</v>
      </c>
      <c r="AD22" s="91">
        <f t="shared" ca="1" si="27"/>
        <v>-0.23527994770480123</v>
      </c>
      <c r="AE22" s="60"/>
      <c r="AF22" s="91">
        <f ca="1">AF21/AF12</f>
        <v>-0.23778970014921855</v>
      </c>
      <c r="AH22" s="91">
        <f t="shared" ref="AH22:AS22" ca="1" si="28">AH21/AH12</f>
        <v>-0.22370371577906967</v>
      </c>
      <c r="AI22" s="91">
        <f t="shared" ca="1" si="28"/>
        <v>-0.23259911155207619</v>
      </c>
      <c r="AJ22" s="91">
        <f t="shared" ca="1" si="28"/>
        <v>-0.23767424065162657</v>
      </c>
      <c r="AK22" s="91">
        <f t="shared" ca="1" si="28"/>
        <v>-0.24423410436265997</v>
      </c>
      <c r="AL22" s="91">
        <f t="shared" ca="1" si="28"/>
        <v>-0.23871946905921659</v>
      </c>
      <c r="AM22" s="91">
        <f t="shared" ca="1" si="28"/>
        <v>-0.22551692969037726</v>
      </c>
      <c r="AN22" s="91">
        <f t="shared" ca="1" si="28"/>
        <v>-0.23472978410100495</v>
      </c>
      <c r="AO22" s="91">
        <f t="shared" ca="1" si="28"/>
        <v>-0.23401523253246631</v>
      </c>
      <c r="AP22" s="91">
        <f t="shared" ca="1" si="28"/>
        <v>-0.23991390906318363</v>
      </c>
      <c r="AQ22" s="91">
        <f t="shared" ca="1" si="28"/>
        <v>-0.23695011178108918</v>
      </c>
      <c r="AR22" s="91">
        <f t="shared" ca="1" si="28"/>
        <v>-0.23944612437559068</v>
      </c>
      <c r="AS22" s="91">
        <f t="shared" ca="1" si="28"/>
        <v>-0.23143486370977154</v>
      </c>
      <c r="AT22" s="60"/>
      <c r="AU22" s="91">
        <f ca="1">AU21/AU12</f>
        <v>-0.23590747051359101</v>
      </c>
    </row>
    <row r="23" spans="1:47" outlineLevel="1">
      <c r="B23" s="67" t="s">
        <v>94</v>
      </c>
      <c r="C23" s="52"/>
      <c r="D23" s="68">
        <f t="shared" ref="D23:I26" si="29">D7+D16</f>
        <v>9583.7799999999988</v>
      </c>
      <c r="E23" s="68">
        <f t="shared" si="29"/>
        <v>11196.24</v>
      </c>
      <c r="F23" s="68">
        <f t="shared" si="29"/>
        <v>12770.84</v>
      </c>
      <c r="G23" s="68">
        <f t="shared" si="29"/>
        <v>37653.590000000004</v>
      </c>
      <c r="H23" s="68">
        <f t="shared" si="29"/>
        <v>9331.4900000000016</v>
      </c>
      <c r="I23" s="68">
        <f t="shared" si="29"/>
        <v>28015.07</v>
      </c>
      <c r="J23" s="68">
        <f t="shared" ref="J23" si="30">J7+J16</f>
        <v>25602.429999999997</v>
      </c>
      <c r="K23" s="68">
        <f t="shared" ref="K23" si="31">K7+K16</f>
        <v>7809.27</v>
      </c>
      <c r="L23" s="68">
        <f t="shared" ref="L23:O26" si="32">L7+L16</f>
        <v>32645</v>
      </c>
      <c r="M23" s="69">
        <f t="shared" si="32"/>
        <v>51100</v>
      </c>
      <c r="N23" s="69">
        <f t="shared" si="32"/>
        <v>27132</v>
      </c>
      <c r="O23" s="69">
        <f t="shared" si="32"/>
        <v>18980</v>
      </c>
      <c r="P23" s="69"/>
      <c r="Q23" s="69">
        <f>Q7+Q16</f>
        <v>271819.70999999996</v>
      </c>
      <c r="S23" s="85">
        <f t="shared" ref="S23:AD26" si="33">S7+S16</f>
        <v>17595.601062848433</v>
      </c>
      <c r="T23" s="85">
        <f t="shared" si="33"/>
        <v>47428.916025302555</v>
      </c>
      <c r="U23" s="85">
        <f t="shared" si="33"/>
        <v>44001.679705312039</v>
      </c>
      <c r="V23" s="85">
        <f t="shared" si="33"/>
        <v>27950.159006783324</v>
      </c>
      <c r="W23" s="85">
        <f t="shared" si="33"/>
        <v>25207.671204036487</v>
      </c>
      <c r="X23" s="69">
        <f t="shared" si="33"/>
        <v>61760.447282544941</v>
      </c>
      <c r="Y23" s="69">
        <f t="shared" si="33"/>
        <v>31702.436310299876</v>
      </c>
      <c r="Z23" s="69">
        <f t="shared" si="33"/>
        <v>25587.679820334837</v>
      </c>
      <c r="AA23" s="69">
        <f t="shared" si="33"/>
        <v>55799.943890688664</v>
      </c>
      <c r="AB23" s="69">
        <f t="shared" si="33"/>
        <v>40777.420099426497</v>
      </c>
      <c r="AC23" s="69">
        <f t="shared" si="33"/>
        <v>24053.530013995321</v>
      </c>
      <c r="AD23" s="69">
        <f t="shared" si="33"/>
        <v>27883.884095840574</v>
      </c>
      <c r="AE23" s="69"/>
      <c r="AF23" s="69">
        <f>AF7+AF16</f>
        <v>429749.36851741362</v>
      </c>
      <c r="AH23" s="85">
        <f t="shared" ref="AH23:AS26" si="34">AH7+AH16</f>
        <v>68944.443069411514</v>
      </c>
      <c r="AI23" s="85">
        <f t="shared" si="34"/>
        <v>136987.57344302058</v>
      </c>
      <c r="AJ23" s="85">
        <f t="shared" si="34"/>
        <v>117508.36000524482</v>
      </c>
      <c r="AK23" s="85">
        <f t="shared" si="34"/>
        <v>112629.10565333359</v>
      </c>
      <c r="AL23" s="85">
        <f t="shared" si="34"/>
        <v>124517.17626844475</v>
      </c>
      <c r="AM23" s="69">
        <f t="shared" si="34"/>
        <v>174156.56575914525</v>
      </c>
      <c r="AN23" s="69">
        <f t="shared" si="34"/>
        <v>120376.70796585066</v>
      </c>
      <c r="AO23" s="69">
        <f t="shared" si="34"/>
        <v>106386.89987334737</v>
      </c>
      <c r="AP23" s="69">
        <f t="shared" si="34"/>
        <v>175365.8392006426</v>
      </c>
      <c r="AQ23" s="69">
        <f t="shared" si="34"/>
        <v>158384.39348353952</v>
      </c>
      <c r="AR23" s="69">
        <f t="shared" si="34"/>
        <v>106360.28607347634</v>
      </c>
      <c r="AS23" s="69">
        <f t="shared" si="34"/>
        <v>119702.84683471933</v>
      </c>
      <c r="AT23" s="69"/>
      <c r="AU23" s="69">
        <f>AU7+AU16</f>
        <v>1521320.1976301766</v>
      </c>
    </row>
    <row r="24" spans="1:47" outlineLevel="1">
      <c r="B24" s="67" t="s">
        <v>95</v>
      </c>
      <c r="C24" s="52"/>
      <c r="D24" s="68">
        <f t="shared" si="29"/>
        <v>49483.19</v>
      </c>
      <c r="E24" s="68">
        <f t="shared" si="29"/>
        <v>34633.130000000005</v>
      </c>
      <c r="F24" s="68">
        <f t="shared" si="29"/>
        <v>4323.4799999999996</v>
      </c>
      <c r="G24" s="68">
        <f t="shared" si="29"/>
        <v>52941.57</v>
      </c>
      <c r="H24" s="68">
        <f t="shared" si="29"/>
        <v>52862.119999999995</v>
      </c>
      <c r="I24" s="68">
        <f t="shared" si="29"/>
        <v>25197.06</v>
      </c>
      <c r="J24" s="68">
        <f t="shared" ref="J24" si="35">J8+J17</f>
        <v>32768.769999999997</v>
      </c>
      <c r="K24" s="68">
        <f t="shared" ref="K24" si="36">K8+K17</f>
        <v>-682.71</v>
      </c>
      <c r="L24" s="68">
        <f t="shared" si="32"/>
        <v>98.4399999999996</v>
      </c>
      <c r="M24" s="69">
        <f t="shared" si="32"/>
        <v>84230</v>
      </c>
      <c r="N24" s="69">
        <f t="shared" si="32"/>
        <v>26800</v>
      </c>
      <c r="O24" s="69">
        <f t="shared" si="32"/>
        <v>33772</v>
      </c>
      <c r="P24" s="69"/>
      <c r="Q24" s="69">
        <f>Q8+Q17</f>
        <v>396427.05</v>
      </c>
      <c r="S24" s="85">
        <f t="shared" si="33"/>
        <v>20240.386855376852</v>
      </c>
      <c r="T24" s="85">
        <f t="shared" si="33"/>
        <v>34279.656965666662</v>
      </c>
      <c r="U24" s="85">
        <f t="shared" si="33"/>
        <v>35198.349264616816</v>
      </c>
      <c r="V24" s="85">
        <f t="shared" si="33"/>
        <v>77127.505856431992</v>
      </c>
      <c r="W24" s="85">
        <f t="shared" si="33"/>
        <v>63835.450252377334</v>
      </c>
      <c r="X24" s="69">
        <f t="shared" si="33"/>
        <v>27346.942682441117</v>
      </c>
      <c r="Y24" s="69">
        <f t="shared" si="33"/>
        <v>38585.995596324225</v>
      </c>
      <c r="Z24" s="69">
        <f t="shared" si="33"/>
        <v>39515.485429908738</v>
      </c>
      <c r="AA24" s="69">
        <f t="shared" si="33"/>
        <v>49532.370400022643</v>
      </c>
      <c r="AB24" s="69">
        <f t="shared" si="33"/>
        <v>52199.736340472969</v>
      </c>
      <c r="AC24" s="69">
        <f t="shared" si="33"/>
        <v>34705.433460760978</v>
      </c>
      <c r="AD24" s="69">
        <f t="shared" si="33"/>
        <v>34820.892401276476</v>
      </c>
      <c r="AE24" s="69"/>
      <c r="AF24" s="69">
        <f>AF8+AF17</f>
        <v>507388.20550567686</v>
      </c>
      <c r="AH24" s="85">
        <f t="shared" si="34"/>
        <v>23365.002740826061</v>
      </c>
      <c r="AI24" s="85">
        <f t="shared" si="34"/>
        <v>78071.228668389522</v>
      </c>
      <c r="AJ24" s="85">
        <f t="shared" si="34"/>
        <v>102460.35516604039</v>
      </c>
      <c r="AK24" s="85">
        <f t="shared" si="34"/>
        <v>155156.26093856245</v>
      </c>
      <c r="AL24" s="85">
        <f t="shared" si="34"/>
        <v>117755.88247959144</v>
      </c>
      <c r="AM24" s="69">
        <f t="shared" si="34"/>
        <v>55706.482135980121</v>
      </c>
      <c r="AN24" s="69">
        <f t="shared" si="34"/>
        <v>84978.290069120383</v>
      </c>
      <c r="AO24" s="69">
        <f t="shared" si="34"/>
        <v>76300.12767177257</v>
      </c>
      <c r="AP24" s="69">
        <f t="shared" si="34"/>
        <v>169596.2779051502</v>
      </c>
      <c r="AQ24" s="69">
        <f t="shared" si="34"/>
        <v>130959.25949119395</v>
      </c>
      <c r="AR24" s="69">
        <f t="shared" si="34"/>
        <v>117214.72355424089</v>
      </c>
      <c r="AS24" s="69">
        <f t="shared" si="34"/>
        <v>75977.178584260022</v>
      </c>
      <c r="AT24" s="69"/>
      <c r="AU24" s="69">
        <f>AU8+AU17</f>
        <v>1187541.069405128</v>
      </c>
    </row>
    <row r="25" spans="1:47" outlineLevel="1">
      <c r="B25" s="67" t="s">
        <v>96</v>
      </c>
      <c r="C25" s="52"/>
      <c r="D25" s="68">
        <f t="shared" si="29"/>
        <v>4589.8099999999995</v>
      </c>
      <c r="E25" s="68">
        <f t="shared" si="29"/>
        <v>6382.8700000000008</v>
      </c>
      <c r="F25" s="68">
        <f t="shared" si="29"/>
        <v>5545.99</v>
      </c>
      <c r="G25" s="68">
        <f t="shared" si="29"/>
        <v>6425.17</v>
      </c>
      <c r="H25" s="68">
        <f t="shared" si="29"/>
        <v>6577.9800000000005</v>
      </c>
      <c r="I25" s="68">
        <f t="shared" si="29"/>
        <v>8961.2000000000007</v>
      </c>
      <c r="J25" s="68">
        <f t="shared" ref="J25" si="37">J9+J18</f>
        <v>8107.62</v>
      </c>
      <c r="K25" s="68">
        <f t="shared" ref="K25" si="38">K9+K18</f>
        <v>9773.39</v>
      </c>
      <c r="L25" s="68">
        <f t="shared" si="32"/>
        <v>12154</v>
      </c>
      <c r="M25" s="69">
        <f t="shared" si="32"/>
        <v>7667</v>
      </c>
      <c r="N25" s="69">
        <f t="shared" si="32"/>
        <v>7667</v>
      </c>
      <c r="O25" s="69">
        <f t="shared" si="32"/>
        <v>5936</v>
      </c>
      <c r="P25" s="69"/>
      <c r="Q25" s="69">
        <f>Q9+Q18</f>
        <v>89788.03</v>
      </c>
      <c r="S25" s="85">
        <f t="shared" ca="1" si="33"/>
        <v>7967.12</v>
      </c>
      <c r="T25" s="85">
        <f t="shared" ca="1" si="33"/>
        <v>10504.2</v>
      </c>
      <c r="U25" s="85">
        <f t="shared" ca="1" si="33"/>
        <v>10030.117</v>
      </c>
      <c r="V25" s="85">
        <f t="shared" ca="1" si="33"/>
        <v>10033.848000000002</v>
      </c>
      <c r="W25" s="85">
        <f t="shared" ca="1" si="33"/>
        <v>7895.0584000000008</v>
      </c>
      <c r="X25" s="69">
        <f t="shared" ca="1" si="33"/>
        <v>9810.5455999999995</v>
      </c>
      <c r="Y25" s="69">
        <f t="shared" ca="1" si="33"/>
        <v>10034.34</v>
      </c>
      <c r="Z25" s="69">
        <f t="shared" ca="1" si="33"/>
        <v>13070.4228</v>
      </c>
      <c r="AA25" s="69">
        <f t="shared" ca="1" si="33"/>
        <v>12749.032000000001</v>
      </c>
      <c r="AB25" s="69">
        <f t="shared" ca="1" si="33"/>
        <v>18667.800200000001</v>
      </c>
      <c r="AC25" s="69">
        <f t="shared" ca="1" si="33"/>
        <v>18647.365800000003</v>
      </c>
      <c r="AD25" s="69">
        <f t="shared" ca="1" si="33"/>
        <v>14074.594800000003</v>
      </c>
      <c r="AE25" s="69"/>
      <c r="AF25" s="69">
        <f ca="1">AF9+AF18</f>
        <v>143484.44460000002</v>
      </c>
      <c r="AH25" s="85">
        <f t="shared" ca="1" si="34"/>
        <v>14074.594800000003</v>
      </c>
      <c r="AI25" s="85">
        <f t="shared" ca="1" si="34"/>
        <v>15482.054280000004</v>
      </c>
      <c r="AJ25" s="85">
        <f t="shared" ca="1" si="34"/>
        <v>17030.259708000005</v>
      </c>
      <c r="AK25" s="85">
        <f t="shared" ca="1" si="34"/>
        <v>17030.259708000005</v>
      </c>
      <c r="AL25" s="85">
        <f t="shared" ca="1" si="34"/>
        <v>18733.285678800006</v>
      </c>
      <c r="AM25" s="69">
        <f t="shared" ca="1" si="34"/>
        <v>20606.614246680008</v>
      </c>
      <c r="AN25" s="69">
        <f t="shared" ca="1" si="34"/>
        <v>17030.259708000005</v>
      </c>
      <c r="AO25" s="69">
        <f t="shared" ca="1" si="34"/>
        <v>18733.285678800006</v>
      </c>
      <c r="AP25" s="69">
        <f t="shared" ca="1" si="34"/>
        <v>20606.614246680008</v>
      </c>
      <c r="AQ25" s="69">
        <f t="shared" ca="1" si="34"/>
        <v>22667.275671348008</v>
      </c>
      <c r="AR25" s="69">
        <f t="shared" ca="1" si="34"/>
        <v>22667.275671348008</v>
      </c>
      <c r="AS25" s="69">
        <f t="shared" ca="1" si="34"/>
        <v>24934.003238482812</v>
      </c>
      <c r="AT25" s="69"/>
      <c r="AU25" s="69">
        <f ca="1">AU9+AU18</f>
        <v>229595.78263613887</v>
      </c>
    </row>
    <row r="26" spans="1:47" outlineLevel="1">
      <c r="B26" s="67" t="s">
        <v>97</v>
      </c>
      <c r="C26" s="52"/>
      <c r="D26" s="68">
        <f t="shared" si="29"/>
        <v>0</v>
      </c>
      <c r="E26" s="68">
        <f t="shared" si="29"/>
        <v>0</v>
      </c>
      <c r="F26" s="68">
        <f t="shared" si="29"/>
        <v>0</v>
      </c>
      <c r="G26" s="68">
        <f t="shared" si="29"/>
        <v>0</v>
      </c>
      <c r="H26" s="68">
        <f t="shared" si="29"/>
        <v>0</v>
      </c>
      <c r="I26" s="68">
        <f t="shared" si="29"/>
        <v>0</v>
      </c>
      <c r="J26" s="68">
        <f t="shared" ref="J26" si="39">J10+J19</f>
        <v>0</v>
      </c>
      <c r="K26" s="68">
        <f t="shared" ref="K26" si="40">K10+K19</f>
        <v>0</v>
      </c>
      <c r="L26" s="68">
        <f t="shared" si="32"/>
        <v>0</v>
      </c>
      <c r="M26" s="69">
        <f t="shared" si="32"/>
        <v>0</v>
      </c>
      <c r="N26" s="69">
        <f t="shared" si="32"/>
        <v>0</v>
      </c>
      <c r="O26" s="69">
        <f t="shared" si="32"/>
        <v>0</v>
      </c>
      <c r="P26" s="69"/>
      <c r="Q26" s="69">
        <f>Q10+Q19</f>
        <v>0</v>
      </c>
      <c r="S26" s="85">
        <f t="shared" si="33"/>
        <v>0</v>
      </c>
      <c r="T26" s="85">
        <f t="shared" si="33"/>
        <v>0</v>
      </c>
      <c r="U26" s="85">
        <f t="shared" si="33"/>
        <v>0</v>
      </c>
      <c r="V26" s="85">
        <f t="shared" si="33"/>
        <v>0</v>
      </c>
      <c r="W26" s="85">
        <f t="shared" si="33"/>
        <v>0</v>
      </c>
      <c r="X26" s="69">
        <f t="shared" si="33"/>
        <v>0</v>
      </c>
      <c r="Y26" s="69">
        <f t="shared" si="33"/>
        <v>0</v>
      </c>
      <c r="Z26" s="69">
        <f t="shared" si="33"/>
        <v>0</v>
      </c>
      <c r="AA26" s="69">
        <f t="shared" si="33"/>
        <v>0</v>
      </c>
      <c r="AB26" s="69">
        <f t="shared" si="33"/>
        <v>0</v>
      </c>
      <c r="AC26" s="69">
        <f t="shared" si="33"/>
        <v>0</v>
      </c>
      <c r="AD26" s="69">
        <f t="shared" si="33"/>
        <v>0</v>
      </c>
      <c r="AE26" s="69"/>
      <c r="AF26" s="69">
        <f>AF10+AF19</f>
        <v>0</v>
      </c>
      <c r="AH26" s="85">
        <f t="shared" si="34"/>
        <v>0</v>
      </c>
      <c r="AI26" s="85">
        <f t="shared" si="34"/>
        <v>0</v>
      </c>
      <c r="AJ26" s="85">
        <f t="shared" si="34"/>
        <v>0</v>
      </c>
      <c r="AK26" s="85">
        <f t="shared" si="34"/>
        <v>0</v>
      </c>
      <c r="AL26" s="85">
        <f t="shared" si="34"/>
        <v>0</v>
      </c>
      <c r="AM26" s="69">
        <f t="shared" si="34"/>
        <v>0</v>
      </c>
      <c r="AN26" s="69">
        <f t="shared" si="34"/>
        <v>0</v>
      </c>
      <c r="AO26" s="69">
        <f t="shared" si="34"/>
        <v>0</v>
      </c>
      <c r="AP26" s="69">
        <f t="shared" si="34"/>
        <v>0</v>
      </c>
      <c r="AQ26" s="69">
        <f t="shared" si="34"/>
        <v>0</v>
      </c>
      <c r="AR26" s="69">
        <f t="shared" si="34"/>
        <v>0</v>
      </c>
      <c r="AS26" s="69">
        <f t="shared" si="34"/>
        <v>0</v>
      </c>
      <c r="AT26" s="69"/>
      <c r="AU26" s="69">
        <f>AU10+AU19</f>
        <v>0</v>
      </c>
    </row>
    <row r="27" spans="1:47">
      <c r="B27" s="67" t="s">
        <v>98</v>
      </c>
      <c r="C27" s="52"/>
      <c r="D27" s="68">
        <f t="shared" ref="D27:I27" si="41">D12+D21</f>
        <v>63656.78</v>
      </c>
      <c r="E27" s="68">
        <f t="shared" si="41"/>
        <v>52212.240000000005</v>
      </c>
      <c r="F27" s="68">
        <f t="shared" si="41"/>
        <v>22640.31</v>
      </c>
      <c r="G27" s="68">
        <f t="shared" si="41"/>
        <v>97020.33</v>
      </c>
      <c r="H27" s="68">
        <f t="shared" si="41"/>
        <v>68771.59</v>
      </c>
      <c r="I27" s="68">
        <f t="shared" si="41"/>
        <v>62173.330000000009</v>
      </c>
      <c r="J27" s="68">
        <f t="shared" ref="J27" si="42">J12+J21</f>
        <v>66478.819999999992</v>
      </c>
      <c r="K27" s="68">
        <f t="shared" ref="K27" si="43">K12+K21</f>
        <v>16899.95</v>
      </c>
      <c r="L27" s="68">
        <f t="shared" ref="L27:O27" si="44">L12+L21</f>
        <v>44897.440000000002</v>
      </c>
      <c r="M27" s="69">
        <f t="shared" si="44"/>
        <v>142997</v>
      </c>
      <c r="N27" s="69">
        <f t="shared" si="44"/>
        <v>61599</v>
      </c>
      <c r="O27" s="69">
        <f t="shared" si="44"/>
        <v>58688</v>
      </c>
      <c r="P27" s="69"/>
      <c r="Q27" s="69">
        <f>Q12+Q21</f>
        <v>758034.79</v>
      </c>
      <c r="S27" s="85">
        <f t="shared" ref="S27:AD27" ca="1" si="45">S12+S21</f>
        <v>45803.107918225287</v>
      </c>
      <c r="T27" s="85">
        <f t="shared" ca="1" si="45"/>
        <v>92212.772990969213</v>
      </c>
      <c r="U27" s="85">
        <f t="shared" ca="1" si="45"/>
        <v>89230.145969928853</v>
      </c>
      <c r="V27" s="85">
        <f t="shared" ca="1" si="45"/>
        <v>115111.51286321529</v>
      </c>
      <c r="W27" s="85">
        <f t="shared" ca="1" si="45"/>
        <v>96938.17985641383</v>
      </c>
      <c r="X27" s="69">
        <f t="shared" ca="1" si="45"/>
        <v>98917.935564986052</v>
      </c>
      <c r="Y27" s="69">
        <f t="shared" ca="1" si="45"/>
        <v>80322.771906624097</v>
      </c>
      <c r="Z27" s="69">
        <f t="shared" ca="1" si="45"/>
        <v>78173.588050243576</v>
      </c>
      <c r="AA27" s="69">
        <f t="shared" ca="1" si="45"/>
        <v>118081.34629071131</v>
      </c>
      <c r="AB27" s="69">
        <f t="shared" ca="1" si="45"/>
        <v>111644.95663989949</v>
      </c>
      <c r="AC27" s="69">
        <f t="shared" ca="1" si="45"/>
        <v>77406.32927475631</v>
      </c>
      <c r="AD27" s="69">
        <f t="shared" ca="1" si="45"/>
        <v>76779.371297117061</v>
      </c>
      <c r="AE27" s="69"/>
      <c r="AF27" s="69">
        <f ca="1">AF12+AF21</f>
        <v>1080622.0186230906</v>
      </c>
      <c r="AH27" s="85">
        <f t="shared" ref="AH27:AS27" ca="1" si="46">AH12+AH21</f>
        <v>106384.04061023759</v>
      </c>
      <c r="AI27" s="85">
        <f t="shared" ca="1" si="46"/>
        <v>230540.85639141011</v>
      </c>
      <c r="AJ27" s="85">
        <f t="shared" ca="1" si="46"/>
        <v>236998.9748792852</v>
      </c>
      <c r="AK27" s="85">
        <f t="shared" ca="1" si="46"/>
        <v>284815.62629989604</v>
      </c>
      <c r="AL27" s="85">
        <f t="shared" ca="1" si="46"/>
        <v>261006.34442683618</v>
      </c>
      <c r="AM27" s="69">
        <f t="shared" ca="1" si="46"/>
        <v>250469.66214180534</v>
      </c>
      <c r="AN27" s="69">
        <f t="shared" ca="1" si="46"/>
        <v>222385.25774297101</v>
      </c>
      <c r="AO27" s="69">
        <f t="shared" ca="1" si="46"/>
        <v>201420.31322391992</v>
      </c>
      <c r="AP27" s="69">
        <f t="shared" ca="1" si="46"/>
        <v>365568.73135247279</v>
      </c>
      <c r="AQ27" s="69">
        <f t="shared" ca="1" si="46"/>
        <v>312010.92864608148</v>
      </c>
      <c r="AR27" s="69">
        <f t="shared" ca="1" si="46"/>
        <v>246242.28529906523</v>
      </c>
      <c r="AS27" s="69">
        <f t="shared" ca="1" si="46"/>
        <v>220614.02865746216</v>
      </c>
      <c r="AT27" s="69"/>
      <c r="AU27" s="69">
        <f ca="1">AU12+AU21</f>
        <v>2938457.0496714432</v>
      </c>
    </row>
    <row r="28" spans="1:47">
      <c r="B28" s="52"/>
      <c r="C28" s="52"/>
      <c r="D28" s="70"/>
      <c r="E28" s="70"/>
      <c r="F28" s="70"/>
      <c r="G28" s="70"/>
      <c r="H28" s="70"/>
      <c r="I28" s="70"/>
      <c r="J28" s="70"/>
      <c r="K28" s="70"/>
      <c r="L28" s="70"/>
      <c r="M28" s="52"/>
      <c r="N28" s="52"/>
      <c r="O28" s="52"/>
      <c r="P28" s="52"/>
      <c r="S28" s="10"/>
      <c r="T28" s="10"/>
      <c r="U28" s="10"/>
      <c r="V28" s="10"/>
      <c r="W28" s="10"/>
      <c r="X28" s="52"/>
      <c r="Y28" s="52"/>
      <c r="Z28" s="52"/>
      <c r="AA28" s="52"/>
      <c r="AB28" s="52"/>
      <c r="AC28" s="52"/>
      <c r="AD28" s="52"/>
      <c r="AE28" s="52"/>
      <c r="AH28" s="10"/>
      <c r="AI28" s="10"/>
      <c r="AJ28" s="10"/>
      <c r="AK28" s="10"/>
      <c r="AL28" s="10"/>
      <c r="AM28" s="52"/>
      <c r="AN28" s="52"/>
      <c r="AO28" s="52"/>
      <c r="AP28" s="52"/>
      <c r="AQ28" s="52"/>
      <c r="AR28" s="52"/>
      <c r="AS28" s="52"/>
      <c r="AT28" s="52"/>
    </row>
    <row r="29" spans="1:47" outlineLevel="1">
      <c r="B29" s="67" t="s">
        <v>99</v>
      </c>
      <c r="C29" s="52"/>
      <c r="D29" s="97">
        <f t="shared" ref="D29:I32" si="47">IFERROR(D23/D7,0)</f>
        <v>0.789603426087501</v>
      </c>
      <c r="E29" s="97">
        <f t="shared" si="47"/>
        <v>0.82759844152273077</v>
      </c>
      <c r="F29" s="97">
        <f t="shared" si="47"/>
        <v>0.78560777559055117</v>
      </c>
      <c r="G29" s="97">
        <f t="shared" si="47"/>
        <v>0.7224767865300955</v>
      </c>
      <c r="H29" s="97">
        <f t="shared" si="47"/>
        <v>0.77985846115788404</v>
      </c>
      <c r="I29" s="97">
        <f t="shared" si="47"/>
        <v>0.75211330827816547</v>
      </c>
      <c r="J29" s="97">
        <f t="shared" ref="J29" si="48">IFERROR(J23/J7,0)</f>
        <v>0.73460158676098131</v>
      </c>
      <c r="K29" s="97">
        <f t="shared" ref="K29" si="49">IFERROR(K23/K7,0)</f>
        <v>0.8453786697843596</v>
      </c>
      <c r="L29" s="97">
        <f t="shared" ref="L29:O32" si="50">IFERROR(L23/L7,0)</f>
        <v>0.7399977331973252</v>
      </c>
      <c r="M29" s="91">
        <f t="shared" si="50"/>
        <v>0.73</v>
      </c>
      <c r="N29" s="91">
        <f t="shared" si="50"/>
        <v>0.76</v>
      </c>
      <c r="O29" s="91">
        <f t="shared" si="50"/>
        <v>0.76997971602434079</v>
      </c>
      <c r="P29" s="91"/>
      <c r="Q29" s="91">
        <f>IFERROR(Q23/Q7,0)</f>
        <v>0.75128114826793324</v>
      </c>
      <c r="S29" s="91">
        <f t="shared" ref="S29:AD32" si="51">IFERROR(S23/S7,0)</f>
        <v>0.76</v>
      </c>
      <c r="T29" s="91">
        <f t="shared" si="51"/>
        <v>0.76</v>
      </c>
      <c r="U29" s="91">
        <f t="shared" si="51"/>
        <v>0.7599999999999999</v>
      </c>
      <c r="V29" s="91">
        <f t="shared" si="51"/>
        <v>0.76</v>
      </c>
      <c r="W29" s="91">
        <f t="shared" si="51"/>
        <v>0.7599999999999999</v>
      </c>
      <c r="X29" s="91">
        <f t="shared" si="51"/>
        <v>0.76</v>
      </c>
      <c r="Y29" s="91">
        <f t="shared" si="51"/>
        <v>0.76</v>
      </c>
      <c r="Z29" s="91">
        <f t="shared" si="51"/>
        <v>0.76</v>
      </c>
      <c r="AA29" s="91">
        <f t="shared" si="51"/>
        <v>0.76</v>
      </c>
      <c r="AB29" s="91">
        <f t="shared" si="51"/>
        <v>0.76</v>
      </c>
      <c r="AC29" s="91">
        <f t="shared" si="51"/>
        <v>0.76</v>
      </c>
      <c r="AD29" s="91">
        <f t="shared" si="51"/>
        <v>0.76</v>
      </c>
      <c r="AE29" s="91"/>
      <c r="AF29" s="91">
        <f>IFERROR(AF23/AF7,0)</f>
        <v>0.76</v>
      </c>
      <c r="AH29" s="91">
        <f t="shared" ref="AH29:AS32" si="52">IFERROR(AH23/AH7,0)</f>
        <v>0.76</v>
      </c>
      <c r="AI29" s="91">
        <f t="shared" si="52"/>
        <v>0.76</v>
      </c>
      <c r="AJ29" s="91">
        <f t="shared" si="52"/>
        <v>0.76</v>
      </c>
      <c r="AK29" s="91">
        <f t="shared" si="52"/>
        <v>0.76</v>
      </c>
      <c r="AL29" s="91">
        <f t="shared" si="52"/>
        <v>0.76000000000000012</v>
      </c>
      <c r="AM29" s="91">
        <f t="shared" si="52"/>
        <v>0.76</v>
      </c>
      <c r="AN29" s="91">
        <f t="shared" si="52"/>
        <v>0.76</v>
      </c>
      <c r="AO29" s="91">
        <f t="shared" si="52"/>
        <v>0.76</v>
      </c>
      <c r="AP29" s="91">
        <f t="shared" si="52"/>
        <v>0.76</v>
      </c>
      <c r="AQ29" s="91">
        <f t="shared" si="52"/>
        <v>0.7599999999999999</v>
      </c>
      <c r="AR29" s="91">
        <f t="shared" si="52"/>
        <v>0.76</v>
      </c>
      <c r="AS29" s="91">
        <f t="shared" si="52"/>
        <v>0.76000000000000012</v>
      </c>
      <c r="AT29" s="91"/>
      <c r="AU29" s="91">
        <f>IFERROR(AU23/AU7,0)</f>
        <v>0.76</v>
      </c>
    </row>
    <row r="30" spans="1:47" outlineLevel="1">
      <c r="B30" s="67" t="s">
        <v>100</v>
      </c>
      <c r="C30" s="52"/>
      <c r="D30" s="97">
        <f t="shared" si="47"/>
        <v>0.70850362884248597</v>
      </c>
      <c r="E30" s="97">
        <f t="shared" si="47"/>
        <v>0.70778586048089531</v>
      </c>
      <c r="F30" s="97">
        <f t="shared" si="47"/>
        <v>0.6606704074522316</v>
      </c>
      <c r="G30" s="97">
        <f t="shared" si="47"/>
        <v>0.77864192931570519</v>
      </c>
      <c r="H30" s="97">
        <f t="shared" si="47"/>
        <v>0.70105862768834459</v>
      </c>
      <c r="I30" s="97">
        <f t="shared" si="47"/>
        <v>0.73119648148986482</v>
      </c>
      <c r="J30" s="97">
        <f t="shared" ref="J30" si="53">IFERROR(J24/J8,0)</f>
        <v>0.72608939100816317</v>
      </c>
      <c r="K30" s="97">
        <f t="shared" ref="K30" si="54">IFERROR(K24/K8,0)</f>
        <v>0.81237282690179569</v>
      </c>
      <c r="L30" s="97">
        <f t="shared" si="50"/>
        <v>3.5557931542673712E-2</v>
      </c>
      <c r="M30" s="91">
        <f t="shared" si="50"/>
        <v>0.67000222724235581</v>
      </c>
      <c r="N30" s="91">
        <f t="shared" si="50"/>
        <v>0.67</v>
      </c>
      <c r="O30" s="91">
        <f t="shared" si="50"/>
        <v>0.66999960322183871</v>
      </c>
      <c r="P30" s="91"/>
      <c r="Q30" s="91">
        <f>IFERROR(Q24/Q8,0)</f>
        <v>0.69996384414323765</v>
      </c>
      <c r="S30" s="91">
        <f t="shared" si="51"/>
        <v>0.74964395760655</v>
      </c>
      <c r="T30" s="91">
        <f t="shared" si="51"/>
        <v>0.76177015479259247</v>
      </c>
      <c r="U30" s="91">
        <f t="shared" si="51"/>
        <v>0.75858511346156932</v>
      </c>
      <c r="V30" s="91">
        <f t="shared" si="51"/>
        <v>0.73806225699934924</v>
      </c>
      <c r="W30" s="91">
        <f t="shared" si="51"/>
        <v>0.73879392506818409</v>
      </c>
      <c r="X30" s="91">
        <f t="shared" si="51"/>
        <v>0.7833251872214112</v>
      </c>
      <c r="Y30" s="91">
        <f t="shared" si="51"/>
        <v>0.74853811154619787</v>
      </c>
      <c r="Z30" s="91">
        <f t="shared" si="51"/>
        <v>0.74453234848190819</v>
      </c>
      <c r="AA30" s="91">
        <f t="shared" si="51"/>
        <v>0.75566018824065562</v>
      </c>
      <c r="AB30" s="91">
        <f t="shared" si="51"/>
        <v>0.7476040140323158</v>
      </c>
      <c r="AC30" s="91">
        <f t="shared" si="51"/>
        <v>0.74557621885570413</v>
      </c>
      <c r="AD30" s="91">
        <f t="shared" si="51"/>
        <v>0.74805662125148342</v>
      </c>
      <c r="AE30" s="91"/>
      <c r="AF30" s="91">
        <f>IFERROR(AF24/AF8,0)</f>
        <v>0.74912573987539666</v>
      </c>
      <c r="AH30" s="91">
        <f t="shared" si="52"/>
        <v>0.80126895544670984</v>
      </c>
      <c r="AI30" s="91">
        <f t="shared" si="52"/>
        <v>0.77076632237624354</v>
      </c>
      <c r="AJ30" s="91">
        <f t="shared" si="52"/>
        <v>0.75613988674348143</v>
      </c>
      <c r="AK30" s="91">
        <f t="shared" si="52"/>
        <v>0.74633056474271908</v>
      </c>
      <c r="AL30" s="91">
        <f t="shared" si="52"/>
        <v>0.75403400969749035</v>
      </c>
      <c r="AM30" s="91">
        <f t="shared" si="52"/>
        <v>0.80595059573136296</v>
      </c>
      <c r="AN30" s="91">
        <f t="shared" si="52"/>
        <v>0.76256099808900846</v>
      </c>
      <c r="AO30" s="91">
        <f t="shared" si="52"/>
        <v>0.76202743372665471</v>
      </c>
      <c r="AP30" s="91">
        <f t="shared" si="52"/>
        <v>0.75348507664799735</v>
      </c>
      <c r="AQ30" s="91">
        <f t="shared" si="52"/>
        <v>0.75761951007838324</v>
      </c>
      <c r="AR30" s="91">
        <f t="shared" si="52"/>
        <v>0.75052830299101791</v>
      </c>
      <c r="AS30" s="91">
        <f t="shared" si="52"/>
        <v>0.76639683899349231</v>
      </c>
      <c r="AT30" s="91"/>
      <c r="AU30" s="91">
        <f>IFERROR(AU24/AU8,0)</f>
        <v>0.75932151066952647</v>
      </c>
    </row>
    <row r="31" spans="1:47" outlineLevel="1">
      <c r="B31" s="67" t="s">
        <v>101</v>
      </c>
      <c r="C31" s="52"/>
      <c r="D31" s="97">
        <f t="shared" si="47"/>
        <v>0.840293657259504</v>
      </c>
      <c r="E31" s="97">
        <f t="shared" si="47"/>
        <v>0.82880315167159879</v>
      </c>
      <c r="F31" s="97">
        <f t="shared" si="47"/>
        <v>0.82835562300042709</v>
      </c>
      <c r="G31" s="97">
        <f t="shared" si="47"/>
        <v>0.82693829852133194</v>
      </c>
      <c r="H31" s="97">
        <f t="shared" si="47"/>
        <v>0.81528698734553751</v>
      </c>
      <c r="I31" s="97">
        <f t="shared" si="47"/>
        <v>0.79761246743444392</v>
      </c>
      <c r="J31" s="97">
        <f t="shared" ref="J31" si="55">IFERROR(J25/J9,0)</f>
        <v>0.8215447751741608</v>
      </c>
      <c r="K31" s="97">
        <f t="shared" ref="K31" si="56">IFERROR(K25/K9,0)</f>
        <v>0.80459820267195303</v>
      </c>
      <c r="L31" s="97">
        <f t="shared" si="50"/>
        <v>0.80346400475970114</v>
      </c>
      <c r="M31" s="91">
        <f t="shared" si="50"/>
        <v>0.82440860215053768</v>
      </c>
      <c r="N31" s="91">
        <f t="shared" si="50"/>
        <v>0.82440860215053768</v>
      </c>
      <c r="O31" s="91">
        <f t="shared" si="50"/>
        <v>0.82444444444444442</v>
      </c>
      <c r="P31" s="91"/>
      <c r="Q31" s="91">
        <f>IFERROR(Q25/Q9,0)</f>
        <v>0.81718737755913629</v>
      </c>
      <c r="S31" s="91">
        <f t="shared" ca="1" si="51"/>
        <v>0.82</v>
      </c>
      <c r="T31" s="91">
        <f t="shared" ca="1" si="51"/>
        <v>0.82000000000000006</v>
      </c>
      <c r="U31" s="91">
        <f t="shared" ca="1" si="51"/>
        <v>0.82</v>
      </c>
      <c r="V31" s="91">
        <f t="shared" ca="1" si="51"/>
        <v>0.82000000000000006</v>
      </c>
      <c r="W31" s="91">
        <f t="shared" ca="1" si="51"/>
        <v>0.82000000000000006</v>
      </c>
      <c r="X31" s="91">
        <f t="shared" ca="1" si="51"/>
        <v>0.82</v>
      </c>
      <c r="Y31" s="91">
        <f t="shared" ca="1" si="51"/>
        <v>0.82000000000000006</v>
      </c>
      <c r="Z31" s="91">
        <f t="shared" ca="1" si="51"/>
        <v>0.82000000000000006</v>
      </c>
      <c r="AA31" s="91">
        <f t="shared" ca="1" si="51"/>
        <v>0.82000000000000006</v>
      </c>
      <c r="AB31" s="91">
        <f t="shared" ca="1" si="51"/>
        <v>0.82000000000000006</v>
      </c>
      <c r="AC31" s="91">
        <f t="shared" ca="1" si="51"/>
        <v>0.82000000000000006</v>
      </c>
      <c r="AD31" s="91">
        <f t="shared" ca="1" si="51"/>
        <v>0.82</v>
      </c>
      <c r="AE31" s="91"/>
      <c r="AF31" s="91">
        <f ca="1">IFERROR(AF25/AF9,0)</f>
        <v>0.82</v>
      </c>
      <c r="AH31" s="91">
        <f t="shared" ca="1" si="52"/>
        <v>0.82</v>
      </c>
      <c r="AI31" s="91">
        <f t="shared" ca="1" si="52"/>
        <v>0.82000000000000006</v>
      </c>
      <c r="AJ31" s="91">
        <f t="shared" ca="1" si="52"/>
        <v>0.82000000000000006</v>
      </c>
      <c r="AK31" s="91">
        <f t="shared" ca="1" si="52"/>
        <v>0.82000000000000006</v>
      </c>
      <c r="AL31" s="91">
        <f t="shared" ca="1" si="52"/>
        <v>0.82000000000000006</v>
      </c>
      <c r="AM31" s="91">
        <f t="shared" ca="1" si="52"/>
        <v>0.82</v>
      </c>
      <c r="AN31" s="91">
        <f t="shared" ca="1" si="52"/>
        <v>0.82000000000000006</v>
      </c>
      <c r="AO31" s="91">
        <f t="shared" ca="1" si="52"/>
        <v>0.82000000000000006</v>
      </c>
      <c r="AP31" s="91">
        <f t="shared" ca="1" si="52"/>
        <v>0.82</v>
      </c>
      <c r="AQ31" s="91">
        <f t="shared" ca="1" si="52"/>
        <v>0.82</v>
      </c>
      <c r="AR31" s="91">
        <f t="shared" ca="1" si="52"/>
        <v>0.82</v>
      </c>
      <c r="AS31" s="91">
        <f t="shared" ca="1" si="52"/>
        <v>0.82</v>
      </c>
      <c r="AT31" s="91"/>
      <c r="AU31" s="91">
        <f ca="1">IFERROR(AU25/AU9,0)</f>
        <v>0.82</v>
      </c>
    </row>
    <row r="32" spans="1:47" outlineLevel="1">
      <c r="B32" s="67" t="s">
        <v>102</v>
      </c>
      <c r="C32" s="52"/>
      <c r="D32" s="97">
        <f t="shared" si="47"/>
        <v>0</v>
      </c>
      <c r="E32" s="97">
        <f t="shared" si="47"/>
        <v>0</v>
      </c>
      <c r="F32" s="97">
        <f t="shared" si="47"/>
        <v>0</v>
      </c>
      <c r="G32" s="97">
        <f t="shared" si="47"/>
        <v>0</v>
      </c>
      <c r="H32" s="97">
        <f t="shared" si="47"/>
        <v>0</v>
      </c>
      <c r="I32" s="97">
        <f t="shared" si="47"/>
        <v>0</v>
      </c>
      <c r="J32" s="97">
        <f t="shared" ref="J32" si="57">IFERROR(J26/J10,0)</f>
        <v>0</v>
      </c>
      <c r="K32" s="97">
        <f t="shared" ref="K32" si="58">IFERROR(K26/K10,0)</f>
        <v>0</v>
      </c>
      <c r="L32" s="97">
        <f t="shared" si="50"/>
        <v>0</v>
      </c>
      <c r="M32" s="91">
        <f t="shared" si="50"/>
        <v>0</v>
      </c>
      <c r="N32" s="91">
        <f t="shared" si="50"/>
        <v>0</v>
      </c>
      <c r="O32" s="91">
        <f t="shared" si="50"/>
        <v>0</v>
      </c>
      <c r="P32" s="91"/>
      <c r="Q32" s="91">
        <f>IFERROR(Q26/Q10,0)</f>
        <v>0</v>
      </c>
      <c r="S32" s="91">
        <f t="shared" si="51"/>
        <v>0</v>
      </c>
      <c r="T32" s="91">
        <f t="shared" si="51"/>
        <v>0</v>
      </c>
      <c r="U32" s="91">
        <f t="shared" si="51"/>
        <v>0</v>
      </c>
      <c r="V32" s="91">
        <f t="shared" si="51"/>
        <v>0</v>
      </c>
      <c r="W32" s="91">
        <f t="shared" si="51"/>
        <v>0</v>
      </c>
      <c r="X32" s="91">
        <f t="shared" si="51"/>
        <v>0</v>
      </c>
      <c r="Y32" s="91">
        <f t="shared" si="51"/>
        <v>0</v>
      </c>
      <c r="Z32" s="91">
        <f t="shared" si="51"/>
        <v>0</v>
      </c>
      <c r="AA32" s="91">
        <f t="shared" si="51"/>
        <v>0</v>
      </c>
      <c r="AB32" s="91">
        <f t="shared" si="51"/>
        <v>0</v>
      </c>
      <c r="AC32" s="91">
        <f t="shared" si="51"/>
        <v>0</v>
      </c>
      <c r="AD32" s="91">
        <f t="shared" si="51"/>
        <v>0</v>
      </c>
      <c r="AE32" s="91"/>
      <c r="AF32" s="91">
        <f>IFERROR(AF26/AF10,0)</f>
        <v>0</v>
      </c>
      <c r="AH32" s="91">
        <f t="shared" si="52"/>
        <v>0</v>
      </c>
      <c r="AI32" s="91">
        <f t="shared" si="52"/>
        <v>0</v>
      </c>
      <c r="AJ32" s="91">
        <f t="shared" si="52"/>
        <v>0</v>
      </c>
      <c r="AK32" s="91">
        <f t="shared" si="52"/>
        <v>0</v>
      </c>
      <c r="AL32" s="91">
        <f t="shared" si="52"/>
        <v>0</v>
      </c>
      <c r="AM32" s="91">
        <f t="shared" si="52"/>
        <v>0</v>
      </c>
      <c r="AN32" s="91">
        <f t="shared" si="52"/>
        <v>0</v>
      </c>
      <c r="AO32" s="91">
        <f t="shared" si="52"/>
        <v>0</v>
      </c>
      <c r="AP32" s="91">
        <f t="shared" si="52"/>
        <v>0</v>
      </c>
      <c r="AQ32" s="91">
        <f t="shared" si="52"/>
        <v>0</v>
      </c>
      <c r="AR32" s="91">
        <f t="shared" si="52"/>
        <v>0</v>
      </c>
      <c r="AS32" s="91">
        <f t="shared" si="52"/>
        <v>0</v>
      </c>
      <c r="AT32" s="91"/>
      <c r="AU32" s="91">
        <f>IFERROR(AU26/AU10,0)</f>
        <v>0</v>
      </c>
    </row>
    <row r="33" spans="1:47">
      <c r="B33" s="72" t="s">
        <v>103</v>
      </c>
      <c r="C33" s="73"/>
      <c r="D33" s="97">
        <f t="shared" ref="D33:I33" si="59">IFERROR(D27/D12,0)</f>
        <v>0.72799327183998797</v>
      </c>
      <c r="E33" s="97">
        <f t="shared" si="59"/>
        <v>0.74417170088175078</v>
      </c>
      <c r="F33" s="97">
        <f t="shared" si="59"/>
        <v>0.76759147062951805</v>
      </c>
      <c r="G33" s="97">
        <f t="shared" si="59"/>
        <v>0.75868621206278819</v>
      </c>
      <c r="H33" s="97">
        <f t="shared" si="59"/>
        <v>0.72059521863591969</v>
      </c>
      <c r="I33" s="97">
        <f t="shared" si="59"/>
        <v>0.74958616427512015</v>
      </c>
      <c r="J33" s="97">
        <f t="shared" ref="J33" si="60">IFERROR(J27/J12,0)</f>
        <v>0.73987541870535745</v>
      </c>
      <c r="K33" s="97">
        <f t="shared" ref="K33" si="61">IFERROR(K27/K12,0)</f>
        <v>0.8226169713684639</v>
      </c>
      <c r="L33" s="97">
        <f t="shared" ref="L33:O33" si="62">IFERROR(L27/L12,0)</f>
        <v>0.72403034069746963</v>
      </c>
      <c r="M33" s="91">
        <f t="shared" si="62"/>
        <v>0.69749190307097986</v>
      </c>
      <c r="N33" s="91">
        <f t="shared" si="62"/>
        <v>0.72469411764705882</v>
      </c>
      <c r="O33" s="91">
        <f t="shared" si="62"/>
        <v>0.71347986773001359</v>
      </c>
      <c r="P33" s="91"/>
      <c r="Q33" s="91">
        <f>IFERROR(Q27/Q12,0)</f>
        <v>0.73025844606285062</v>
      </c>
      <c r="S33" s="91">
        <f t="shared" ref="S33:AD33" ca="1" si="63">IFERROR(S27/S12,0)</f>
        <v>0.76506691913761837</v>
      </c>
      <c r="T33" s="91">
        <f t="shared" ca="1" si="63"/>
        <v>0.76705607955859056</v>
      </c>
      <c r="U33" s="91">
        <f t="shared" ca="1" si="63"/>
        <v>0.7657347220767039</v>
      </c>
      <c r="V33" s="91">
        <f t="shared" ca="1" si="63"/>
        <v>0.74984899712205066</v>
      </c>
      <c r="W33" s="91">
        <f t="shared" ca="1" si="63"/>
        <v>0.75028937819980979</v>
      </c>
      <c r="X33" s="91">
        <f t="shared" ca="1" si="63"/>
        <v>0.77195698817373404</v>
      </c>
      <c r="Y33" s="91">
        <f t="shared" ca="1" si="63"/>
        <v>0.76135903555173945</v>
      </c>
      <c r="Z33" s="91">
        <f t="shared" ca="1" si="63"/>
        <v>0.76131901318594486</v>
      </c>
      <c r="AA33" s="91">
        <f t="shared" ca="1" si="63"/>
        <v>0.76419622281370081</v>
      </c>
      <c r="AB33" s="91">
        <f t="shared" ca="1" si="63"/>
        <v>0.76342181111469232</v>
      </c>
      <c r="AC33" s="91">
        <f t="shared" ca="1" si="63"/>
        <v>0.76686592465823855</v>
      </c>
      <c r="AD33" s="91">
        <f t="shared" ca="1" si="63"/>
        <v>0.76472005229519879</v>
      </c>
      <c r="AE33" s="91"/>
      <c r="AF33" s="91">
        <f ca="1">IFERROR(AF27/AF12,0)</f>
        <v>0.76221029985078148</v>
      </c>
      <c r="AH33" s="91">
        <f t="shared" ref="AH33:AS33" ca="1" si="64">IFERROR(AH27/AH12,0)</f>
        <v>0.77629628422093033</v>
      </c>
      <c r="AI33" s="91">
        <f t="shared" ca="1" si="64"/>
        <v>0.76740088844792387</v>
      </c>
      <c r="AJ33" s="91">
        <f t="shared" ca="1" si="64"/>
        <v>0.76232575934837343</v>
      </c>
      <c r="AK33" s="91">
        <f t="shared" ca="1" si="64"/>
        <v>0.75576589563733998</v>
      </c>
      <c r="AL33" s="91">
        <f t="shared" ca="1" si="64"/>
        <v>0.76128053094078341</v>
      </c>
      <c r="AM33" s="91">
        <f t="shared" ca="1" si="64"/>
        <v>0.77448307030962271</v>
      </c>
      <c r="AN33" s="91">
        <f t="shared" ca="1" si="64"/>
        <v>0.76527021589899502</v>
      </c>
      <c r="AO33" s="91">
        <f t="shared" ca="1" si="64"/>
        <v>0.76598476746753363</v>
      </c>
      <c r="AP33" s="91">
        <f t="shared" ca="1" si="64"/>
        <v>0.76008609093681634</v>
      </c>
      <c r="AQ33" s="91">
        <f t="shared" ca="1" si="64"/>
        <v>0.76304988821891084</v>
      </c>
      <c r="AR33" s="91">
        <f t="shared" ca="1" si="64"/>
        <v>0.76055387562440935</v>
      </c>
      <c r="AS33" s="91">
        <f t="shared" ca="1" si="64"/>
        <v>0.76856513629022849</v>
      </c>
      <c r="AT33" s="91"/>
      <c r="AU33" s="91">
        <f ca="1">IFERROR(AU27/AU12,0)</f>
        <v>0.76409252948640904</v>
      </c>
    </row>
    <row r="34" spans="1:47">
      <c r="D34" s="71"/>
      <c r="E34" s="71"/>
      <c r="F34" s="71"/>
      <c r="G34" s="71"/>
      <c r="H34" s="71"/>
      <c r="I34" s="71"/>
      <c r="J34" s="71"/>
      <c r="K34" s="71"/>
      <c r="L34" s="7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H34" s="86"/>
      <c r="AI34" s="86"/>
      <c r="AJ34" s="86"/>
      <c r="AK34" s="86"/>
      <c r="AL34" s="86"/>
    </row>
    <row r="35" spans="1:47" outlineLevel="1">
      <c r="B35" s="58" t="s">
        <v>104</v>
      </c>
      <c r="D35" s="74"/>
      <c r="E35" s="74"/>
      <c r="F35" s="74"/>
      <c r="G35" s="74"/>
      <c r="H35" s="74"/>
      <c r="I35" s="74"/>
      <c r="J35" s="74"/>
      <c r="K35" s="74"/>
      <c r="L35" s="74"/>
      <c r="S35" s="87"/>
      <c r="T35" s="87"/>
      <c r="U35" s="87"/>
      <c r="V35" s="87"/>
      <c r="W35" s="87"/>
      <c r="AH35" s="87"/>
      <c r="AI35" s="87"/>
      <c r="AJ35" s="87"/>
      <c r="AK35" s="87"/>
      <c r="AL35" s="87"/>
    </row>
    <row r="36" spans="1:47" outlineLevel="1">
      <c r="D36" s="53"/>
      <c r="E36" s="53"/>
      <c r="F36" s="53"/>
      <c r="G36" s="53"/>
      <c r="H36" s="53"/>
      <c r="I36" s="53"/>
      <c r="J36" s="53"/>
      <c r="K36" s="53"/>
      <c r="L36" s="53"/>
    </row>
    <row r="37" spans="1:47" outlineLevel="1">
      <c r="B37" s="51" t="s">
        <v>104</v>
      </c>
      <c r="D37" s="59"/>
      <c r="E37" s="59"/>
      <c r="F37" s="59"/>
      <c r="G37" s="59"/>
      <c r="H37" s="59"/>
      <c r="I37" s="59"/>
      <c r="J37" s="59"/>
      <c r="K37" s="59"/>
      <c r="L37" s="59">
        <v>33646</v>
      </c>
      <c r="M37" s="60"/>
      <c r="N37" s="60"/>
      <c r="O37" s="60"/>
      <c r="P37" s="60"/>
      <c r="Q37" s="61">
        <f>SUM(D37:O37)</f>
        <v>33646</v>
      </c>
      <c r="R37" s="62"/>
      <c r="S37" s="83"/>
      <c r="T37" s="83"/>
      <c r="U37" s="83"/>
      <c r="V37" s="83"/>
      <c r="W37" s="83"/>
      <c r="X37" s="83"/>
      <c r="Y37" s="83"/>
      <c r="Z37" s="83"/>
      <c r="AA37" s="83"/>
      <c r="AB37" s="83"/>
      <c r="AC37" s="83"/>
      <c r="AD37" s="83"/>
      <c r="AE37" s="60"/>
      <c r="AF37" s="61">
        <f>SUM(S37:AD37)</f>
        <v>0</v>
      </c>
      <c r="AH37" s="83"/>
      <c r="AI37" s="83"/>
      <c r="AJ37" s="83"/>
      <c r="AK37" s="83"/>
      <c r="AL37" s="83"/>
      <c r="AM37" s="83"/>
      <c r="AN37" s="83"/>
      <c r="AO37" s="83"/>
      <c r="AP37" s="83"/>
      <c r="AQ37" s="83"/>
      <c r="AR37" s="83"/>
      <c r="AS37" s="83"/>
      <c r="AT37" s="60"/>
      <c r="AU37" s="61">
        <f>SUM(AH37:AS37)</f>
        <v>0</v>
      </c>
    </row>
    <row r="38" spans="1:47" outlineLevel="1">
      <c r="B38" s="51" t="s">
        <v>106</v>
      </c>
      <c r="C38" s="75">
        <f>SUMIFS(Fulfilment!E:E,Fulfilment!A:A,"ES",Fulfilment!B:B,"DTC")</f>
        <v>-0.18770889563410345</v>
      </c>
      <c r="D38" s="59">
        <v>-3891.94</v>
      </c>
      <c r="E38" s="59">
        <v>-4246.3900000000003</v>
      </c>
      <c r="F38" s="59">
        <v>-5733.89</v>
      </c>
      <c r="G38" s="59">
        <v>-16645.88</v>
      </c>
      <c r="H38" s="59">
        <v>-2236</v>
      </c>
      <c r="I38" s="59">
        <v>-4446.95</v>
      </c>
      <c r="J38" s="59">
        <v>-6608.29</v>
      </c>
      <c r="K38" s="59">
        <v>-2779.11</v>
      </c>
      <c r="L38" s="59">
        <v>-43897</v>
      </c>
      <c r="M38" s="60">
        <v>-18178</v>
      </c>
      <c r="N38" s="60">
        <v>-9271</v>
      </c>
      <c r="O38" s="60">
        <v>-6401</v>
      </c>
      <c r="P38" s="60"/>
      <c r="Q38" s="61">
        <f>SUM(D38:O38)</f>
        <v>-124335.45000000001</v>
      </c>
      <c r="R38" s="62"/>
      <c r="S38" s="60">
        <f>$C$38*S7</f>
        <v>-4345.8563730599162</v>
      </c>
      <c r="T38" s="60">
        <f t="shared" ref="T38:AD38" si="65">$C$38*T7</f>
        <v>-11714.249273989702</v>
      </c>
      <c r="U38" s="60">
        <f t="shared" si="65"/>
        <v>-10867.771978328508</v>
      </c>
      <c r="V38" s="60">
        <f t="shared" si="65"/>
        <v>-6903.2808946853784</v>
      </c>
      <c r="W38" s="60">
        <f t="shared" si="65"/>
        <v>-6225.9264779174737</v>
      </c>
      <c r="X38" s="60">
        <f t="shared" si="65"/>
        <v>-15253.92809641418</v>
      </c>
      <c r="Y38" s="60">
        <f t="shared" si="65"/>
        <v>-7830.0385641011726</v>
      </c>
      <c r="Z38" s="60">
        <f t="shared" si="65"/>
        <v>-6319.7830538343251</v>
      </c>
      <c r="AA38" s="60">
        <f t="shared" si="65"/>
        <v>-13781.770847586982</v>
      </c>
      <c r="AB38" s="60">
        <f t="shared" si="65"/>
        <v>-10071.426965356895</v>
      </c>
      <c r="AC38" s="60">
        <f t="shared" si="65"/>
        <v>-5940.8704671431879</v>
      </c>
      <c r="AD38" s="60">
        <f t="shared" si="65"/>
        <v>-6886.9119600257573</v>
      </c>
      <c r="AE38" s="60"/>
      <c r="AF38" s="61">
        <f>SUM(S38:AD38)</f>
        <v>-106141.81495244347</v>
      </c>
      <c r="AH38" s="60">
        <f t="shared" ref="AH38:AS38" si="66">$C$38*AH7</f>
        <v>-17028.270090352042</v>
      </c>
      <c r="AI38" s="60">
        <f t="shared" si="66"/>
        <v>-33833.929113927676</v>
      </c>
      <c r="AJ38" s="60">
        <f t="shared" si="66"/>
        <v>-29022.848005735734</v>
      </c>
      <c r="AK38" s="60">
        <f t="shared" si="66"/>
        <v>-27817.743471636852</v>
      </c>
      <c r="AL38" s="60">
        <f t="shared" si="66"/>
        <v>-30753.923216877309</v>
      </c>
      <c r="AM38" s="60">
        <f t="shared" si="66"/>
        <v>-43014.127139575357</v>
      </c>
      <c r="AN38" s="60">
        <f t="shared" si="66"/>
        <v>-29731.288042551063</v>
      </c>
      <c r="AO38" s="60">
        <f t="shared" si="66"/>
        <v>-26276.009848897334</v>
      </c>
      <c r="AP38" s="60">
        <f t="shared" si="66"/>
        <v>-43312.800010921565</v>
      </c>
      <c r="AQ38" s="60">
        <f t="shared" si="66"/>
        <v>-39118.631034832229</v>
      </c>
      <c r="AR38" s="60">
        <f t="shared" si="66"/>
        <v>-26269.436629183627</v>
      </c>
      <c r="AS38" s="60">
        <f t="shared" si="66"/>
        <v>-29564.854188951842</v>
      </c>
      <c r="AT38" s="60"/>
      <c r="AU38" s="61">
        <f>SUM(AH38:AS38)</f>
        <v>-375743.86079344264</v>
      </c>
    </row>
    <row r="39" spans="1:47" outlineLevel="1">
      <c r="B39" s="51" t="s">
        <v>107</v>
      </c>
      <c r="C39" s="75">
        <v>-0.08</v>
      </c>
      <c r="D39" s="59">
        <v>-4471.95</v>
      </c>
      <c r="E39" s="59">
        <v>-1874.12</v>
      </c>
      <c r="F39" s="59">
        <v>-534.78</v>
      </c>
      <c r="G39" s="59">
        <v>-6219.82</v>
      </c>
      <c r="H39" s="59">
        <v>-4982.2299999999996</v>
      </c>
      <c r="I39" s="59">
        <v>-5043.91</v>
      </c>
      <c r="J39" s="59">
        <v>-6725.21</v>
      </c>
      <c r="K39" s="59">
        <v>-316.75</v>
      </c>
      <c r="L39" s="59">
        <v>-18</v>
      </c>
      <c r="M39" s="60">
        <v>-10057</v>
      </c>
      <c r="N39" s="60">
        <v>-3200</v>
      </c>
      <c r="O39" s="60">
        <v>-4032</v>
      </c>
      <c r="P39" s="60"/>
      <c r="Q39" s="61">
        <f>SUM(D39:O39)</f>
        <v>-47475.77</v>
      </c>
      <c r="R39" s="62"/>
      <c r="S39" s="60">
        <f t="shared" ref="S39:AD39" si="67">$C$39*S8</f>
        <v>-2160</v>
      </c>
      <c r="T39" s="60">
        <f t="shared" si="67"/>
        <v>-3600</v>
      </c>
      <c r="U39" s="60">
        <f t="shared" si="67"/>
        <v>-3712</v>
      </c>
      <c r="V39" s="60">
        <f t="shared" si="67"/>
        <v>-8360</v>
      </c>
      <c r="W39" s="60">
        <f t="shared" si="67"/>
        <v>-6912.3957938864633</v>
      </c>
      <c r="X39" s="60">
        <f t="shared" si="67"/>
        <v>-2792.9082969432311</v>
      </c>
      <c r="Y39" s="60">
        <f t="shared" si="67"/>
        <v>-4123.8777292576424</v>
      </c>
      <c r="Z39" s="60">
        <f t="shared" si="67"/>
        <v>-4245.9388646288162</v>
      </c>
      <c r="AA39" s="60">
        <f t="shared" si="67"/>
        <v>-5243.8777292576424</v>
      </c>
      <c r="AB39" s="60">
        <f t="shared" si="67"/>
        <v>-5585.8165938864622</v>
      </c>
      <c r="AC39" s="60">
        <f t="shared" si="67"/>
        <v>-3723.8777292576419</v>
      </c>
      <c r="AD39" s="60">
        <f t="shared" si="67"/>
        <v>-3723.8777292576419</v>
      </c>
      <c r="AE39" s="60"/>
      <c r="AF39" s="61">
        <f>SUM(S39:AD39)</f>
        <v>-54184.570466375539</v>
      </c>
      <c r="AH39" s="60">
        <f t="shared" ref="AH39:AS39" si="68">$C$39*AH8</f>
        <v>-2332.8000000000002</v>
      </c>
      <c r="AI39" s="60">
        <f t="shared" si="68"/>
        <v>-8103.2319552000008</v>
      </c>
      <c r="AJ39" s="60">
        <f t="shared" si="68"/>
        <v>-10840.359775999999</v>
      </c>
      <c r="AK39" s="60">
        <f t="shared" si="68"/>
        <v>-16631.371488000001</v>
      </c>
      <c r="AL39" s="60">
        <f t="shared" si="68"/>
        <v>-12493.429311161572</v>
      </c>
      <c r="AM39" s="60">
        <f t="shared" si="68"/>
        <v>-5529.5183035807859</v>
      </c>
      <c r="AN39" s="60">
        <f t="shared" si="68"/>
        <v>-8915.0418426410488</v>
      </c>
      <c r="AO39" s="60">
        <f t="shared" si="68"/>
        <v>-8010.2237053205135</v>
      </c>
      <c r="AP39" s="60">
        <f t="shared" si="68"/>
        <v>-18006.597148241046</v>
      </c>
      <c r="AQ39" s="60">
        <f t="shared" si="68"/>
        <v>-13828.499160761572</v>
      </c>
      <c r="AR39" s="60">
        <f t="shared" si="68"/>
        <v>-12494.102949841046</v>
      </c>
      <c r="AS39" s="60">
        <f t="shared" si="68"/>
        <v>-7930.8446714410493</v>
      </c>
      <c r="AT39" s="60"/>
      <c r="AU39" s="61">
        <f>SUM(AH39:AS39)</f>
        <v>-125116.02031218863</v>
      </c>
    </row>
    <row r="40" spans="1:47" outlineLevel="1">
      <c r="B40" s="51" t="s">
        <v>108</v>
      </c>
      <c r="C40" s="75">
        <f>SUMIFS(Fulfilment!E:E,Fulfilment!A:A,"ES",Fulfilment!B:B,"Marketplace")</f>
        <v>-0.43657870525431858</v>
      </c>
      <c r="D40" s="59">
        <v>-2385.81</v>
      </c>
      <c r="E40" s="59">
        <v>-3220.52</v>
      </c>
      <c r="F40" s="59">
        <v>-3076.79</v>
      </c>
      <c r="G40" s="59">
        <v>-3295.82</v>
      </c>
      <c r="H40" s="59">
        <v>-3166.82</v>
      </c>
      <c r="I40" s="59">
        <v>-5162.49</v>
      </c>
      <c r="J40" s="59">
        <v>-4548.71</v>
      </c>
      <c r="K40" s="59">
        <v>-5356.86</v>
      </c>
      <c r="L40" s="59">
        <v>-6934</v>
      </c>
      <c r="M40" s="60">
        <v>-3720</v>
      </c>
      <c r="N40" s="60">
        <v>-3720</v>
      </c>
      <c r="O40" s="60">
        <v>-2880</v>
      </c>
      <c r="P40" s="60"/>
      <c r="Q40" s="61">
        <f>SUM(D40:O40)</f>
        <v>-47467.82</v>
      </c>
      <c r="R40" s="62"/>
      <c r="S40" s="60">
        <f t="shared" ref="S40:AD40" ca="1" si="69">$C$40*S9</f>
        <v>-4241.798700250959</v>
      </c>
      <c r="T40" s="60">
        <f t="shared" ca="1" si="69"/>
        <v>-5592.5732143078212</v>
      </c>
      <c r="U40" s="60">
        <f t="shared" ca="1" si="69"/>
        <v>-5340.1652358650372</v>
      </c>
      <c r="V40" s="60">
        <f t="shared" ca="1" si="69"/>
        <v>-5342.1516689739447</v>
      </c>
      <c r="W40" s="60">
        <f t="shared" ca="1" si="69"/>
        <v>-4203.4321636332097</v>
      </c>
      <c r="X40" s="60">
        <f t="shared" ca="1" si="69"/>
        <v>-5223.2625559590879</v>
      </c>
      <c r="Y40" s="60">
        <f t="shared" ca="1" si="69"/>
        <v>-5342.4136161970964</v>
      </c>
      <c r="Z40" s="60">
        <f t="shared" ca="1" si="69"/>
        <v>-6958.8637355494211</v>
      </c>
      <c r="AA40" s="60">
        <f t="shared" ca="1" si="69"/>
        <v>-6787.7510778120441</v>
      </c>
      <c r="AB40" s="60">
        <f t="shared" ca="1" si="69"/>
        <v>-9938.9805381247679</v>
      </c>
      <c r="AC40" s="60">
        <f t="shared" ca="1" si="69"/>
        <v>-9928.1009967898317</v>
      </c>
      <c r="AD40" s="60">
        <f t="shared" ca="1" si="69"/>
        <v>-7493.498018003861</v>
      </c>
      <c r="AE40" s="60"/>
      <c r="AF40" s="61">
        <f ca="1">SUM(S40:AD40)</f>
        <v>-76392.991521467076</v>
      </c>
      <c r="AH40" s="60">
        <f t="shared" ref="AH40:AS40" ca="1" si="70">$C$40*AH9</f>
        <v>-7493.498018003861</v>
      </c>
      <c r="AI40" s="60">
        <f t="shared" ca="1" si="70"/>
        <v>-8242.8478198042467</v>
      </c>
      <c r="AJ40" s="60">
        <f t="shared" ca="1" si="70"/>
        <v>-9067.1326017846732</v>
      </c>
      <c r="AK40" s="60">
        <f t="shared" ca="1" si="70"/>
        <v>-9067.1326017846732</v>
      </c>
      <c r="AL40" s="60">
        <f t="shared" ca="1" si="70"/>
        <v>-9973.8458619631401</v>
      </c>
      <c r="AM40" s="60">
        <f t="shared" ca="1" si="70"/>
        <v>-10971.230448159455</v>
      </c>
      <c r="AN40" s="60">
        <f t="shared" ca="1" si="70"/>
        <v>-9067.1326017846732</v>
      </c>
      <c r="AO40" s="60">
        <f t="shared" ca="1" si="70"/>
        <v>-9973.8458619631401</v>
      </c>
      <c r="AP40" s="60">
        <f t="shared" ca="1" si="70"/>
        <v>-10971.230448159455</v>
      </c>
      <c r="AQ40" s="60">
        <f t="shared" ca="1" si="70"/>
        <v>-12068.353492975401</v>
      </c>
      <c r="AR40" s="60">
        <f t="shared" ca="1" si="70"/>
        <v>-12068.353492975401</v>
      </c>
      <c r="AS40" s="60">
        <f t="shared" ca="1" si="70"/>
        <v>-13275.188842272943</v>
      </c>
      <c r="AT40" s="60"/>
      <c r="AU40" s="61">
        <f ca="1">SUM(AH40:AS40)</f>
        <v>-122239.79209163104</v>
      </c>
    </row>
    <row r="41" spans="1:47" outlineLevel="1">
      <c r="B41" s="51" t="s">
        <v>109</v>
      </c>
      <c r="C41" s="75">
        <f>SUMIFS(Fulfilment!E:E,Fulfilment!A:A,"ES",Fulfilment!B:B,"TikTok")</f>
        <v>0</v>
      </c>
      <c r="D41" s="59"/>
      <c r="E41" s="59"/>
      <c r="F41" s="59"/>
      <c r="G41" s="59"/>
      <c r="H41" s="59"/>
      <c r="I41" s="59"/>
      <c r="J41" s="59"/>
      <c r="K41" s="59"/>
      <c r="L41" s="59">
        <f>$C$41*L10</f>
        <v>0</v>
      </c>
      <c r="M41" s="60">
        <f t="shared" ref="M41:O41" si="71">$C$41*M10</f>
        <v>0</v>
      </c>
      <c r="N41" s="60">
        <f t="shared" si="71"/>
        <v>0</v>
      </c>
      <c r="O41" s="60">
        <f t="shared" si="71"/>
        <v>0</v>
      </c>
      <c r="P41" s="60"/>
      <c r="Q41" s="61">
        <f>SUM(D41:O41)</f>
        <v>0</v>
      </c>
      <c r="R41" s="66"/>
      <c r="S41" s="60">
        <f t="shared" ref="S41:AD41" si="72">$C$41*S10</f>
        <v>0</v>
      </c>
      <c r="T41" s="60">
        <f t="shared" si="72"/>
        <v>0</v>
      </c>
      <c r="U41" s="60">
        <f t="shared" si="72"/>
        <v>0</v>
      </c>
      <c r="V41" s="60">
        <f t="shared" si="72"/>
        <v>0</v>
      </c>
      <c r="W41" s="60">
        <f t="shared" si="72"/>
        <v>0</v>
      </c>
      <c r="X41" s="60">
        <f t="shared" si="72"/>
        <v>0</v>
      </c>
      <c r="Y41" s="60">
        <f t="shared" si="72"/>
        <v>0</v>
      </c>
      <c r="Z41" s="60">
        <f t="shared" si="72"/>
        <v>0</v>
      </c>
      <c r="AA41" s="60">
        <f t="shared" si="72"/>
        <v>0</v>
      </c>
      <c r="AB41" s="60">
        <f t="shared" si="72"/>
        <v>0</v>
      </c>
      <c r="AC41" s="60">
        <f t="shared" si="72"/>
        <v>0</v>
      </c>
      <c r="AD41" s="60">
        <f t="shared" si="72"/>
        <v>0</v>
      </c>
      <c r="AE41" s="60"/>
      <c r="AF41" s="61">
        <f>SUM(S41:AD41)</f>
        <v>0</v>
      </c>
      <c r="AH41" s="60">
        <f t="shared" ref="AH41:AS41" si="73">$C$41*AH10</f>
        <v>0</v>
      </c>
      <c r="AI41" s="60">
        <f t="shared" si="73"/>
        <v>0</v>
      </c>
      <c r="AJ41" s="60">
        <f t="shared" si="73"/>
        <v>0</v>
      </c>
      <c r="AK41" s="60">
        <f t="shared" si="73"/>
        <v>0</v>
      </c>
      <c r="AL41" s="60">
        <f t="shared" si="73"/>
        <v>0</v>
      </c>
      <c r="AM41" s="60">
        <f t="shared" si="73"/>
        <v>0</v>
      </c>
      <c r="AN41" s="60">
        <f t="shared" si="73"/>
        <v>0</v>
      </c>
      <c r="AO41" s="60">
        <f t="shared" si="73"/>
        <v>0</v>
      </c>
      <c r="AP41" s="60">
        <f t="shared" si="73"/>
        <v>0</v>
      </c>
      <c r="AQ41" s="60">
        <f t="shared" si="73"/>
        <v>0</v>
      </c>
      <c r="AR41" s="60">
        <f t="shared" si="73"/>
        <v>0</v>
      </c>
      <c r="AS41" s="60">
        <f t="shared" si="73"/>
        <v>0</v>
      </c>
      <c r="AT41" s="60"/>
      <c r="AU41" s="61">
        <f>SUM(AH41:AS41)</f>
        <v>0</v>
      </c>
    </row>
    <row r="42" spans="1:47" outlineLevel="1">
      <c r="D42" s="53"/>
      <c r="E42" s="53"/>
      <c r="F42" s="53"/>
      <c r="G42" s="53"/>
      <c r="H42" s="53"/>
      <c r="I42" s="53"/>
      <c r="J42" s="53"/>
      <c r="K42" s="53"/>
      <c r="L42" s="53"/>
    </row>
    <row r="43" spans="1:47" s="10" customFormat="1">
      <c r="A43" s="52"/>
      <c r="B43" s="63" t="s">
        <v>110</v>
      </c>
      <c r="C43" s="52"/>
      <c r="D43" s="64">
        <f t="shared" ref="D43:J43" si="74">SUM(D37:D42)</f>
        <v>-10749.699999999999</v>
      </c>
      <c r="E43" s="64">
        <f t="shared" si="74"/>
        <v>-9341.0300000000007</v>
      </c>
      <c r="F43" s="64">
        <f t="shared" si="74"/>
        <v>-9345.4599999999991</v>
      </c>
      <c r="G43" s="64">
        <f t="shared" si="74"/>
        <v>-26161.52</v>
      </c>
      <c r="H43" s="64">
        <f t="shared" si="74"/>
        <v>-10385.049999999999</v>
      </c>
      <c r="I43" s="64">
        <f t="shared" si="74"/>
        <v>-14653.35</v>
      </c>
      <c r="J43" s="64">
        <f t="shared" si="74"/>
        <v>-17882.21</v>
      </c>
      <c r="K43" s="64">
        <f>SUM(K37:K42)</f>
        <v>-8452.7199999999993</v>
      </c>
      <c r="L43" s="64">
        <f>SUM(L37:L42)</f>
        <v>-17203</v>
      </c>
      <c r="M43" s="65">
        <f>SUM(M37:M42)</f>
        <v>-31955</v>
      </c>
      <c r="N43" s="65">
        <f>SUM(N37:N42)</f>
        <v>-16191</v>
      </c>
      <c r="O43" s="65">
        <f>SUM(O37:O42)</f>
        <v>-13313</v>
      </c>
      <c r="P43" s="61"/>
      <c r="Q43" s="65">
        <f>SUM(D43:O43)</f>
        <v>-185633.04</v>
      </c>
      <c r="R43" s="52"/>
      <c r="S43" s="84">
        <f ca="1">SUM(S37:S42)</f>
        <v>-10747.655073310874</v>
      </c>
      <c r="T43" s="84">
        <f t="shared" ref="T43:Z43" ca="1" si="75">SUM(T37:T42)</f>
        <v>-20906.822488297523</v>
      </c>
      <c r="U43" s="84">
        <f t="shared" ca="1" si="75"/>
        <v>-19919.937214193546</v>
      </c>
      <c r="V43" s="84">
        <f t="shared" ca="1" si="75"/>
        <v>-20605.432563659324</v>
      </c>
      <c r="W43" s="84">
        <f t="shared" ca="1" si="75"/>
        <v>-17341.754435437146</v>
      </c>
      <c r="X43" s="65">
        <f t="shared" ca="1" si="75"/>
        <v>-23270.0989493165</v>
      </c>
      <c r="Y43" s="65">
        <f t="shared" ca="1" si="75"/>
        <v>-17296.329909555912</v>
      </c>
      <c r="Z43" s="65">
        <f t="shared" ca="1" si="75"/>
        <v>-17524.585654012561</v>
      </c>
      <c r="AA43" s="65">
        <f ca="1">SUM(AA37:AA42)</f>
        <v>-25813.39965465667</v>
      </c>
      <c r="AB43" s="65">
        <f ca="1">SUM(AB37:AB42)</f>
        <v>-25596.224097368126</v>
      </c>
      <c r="AC43" s="65">
        <f ca="1">SUM(AC37:AC42)</f>
        <v>-19592.849193190661</v>
      </c>
      <c r="AD43" s="65">
        <f ca="1">SUM(AD37:AD42)</f>
        <v>-18104.287707287262</v>
      </c>
      <c r="AE43" s="61"/>
      <c r="AF43" s="65">
        <f ca="1">SUM(S43:AD43)</f>
        <v>-236719.37694028614</v>
      </c>
      <c r="AG43" s="7"/>
      <c r="AH43" s="84">
        <f ca="1">SUM(AH37:AH42)</f>
        <v>-26854.568108355903</v>
      </c>
      <c r="AI43" s="84">
        <f t="shared" ref="AI43:AO43" ca="1" si="76">SUM(AI37:AI42)</f>
        <v>-50180.008888931916</v>
      </c>
      <c r="AJ43" s="84">
        <f t="shared" ca="1" si="76"/>
        <v>-48930.340383520408</v>
      </c>
      <c r="AK43" s="84">
        <f t="shared" ca="1" si="76"/>
        <v>-53516.247561421522</v>
      </c>
      <c r="AL43" s="84">
        <f t="shared" ca="1" si="76"/>
        <v>-53221.19839000202</v>
      </c>
      <c r="AM43" s="65">
        <f t="shared" ca="1" si="76"/>
        <v>-59514.875891315598</v>
      </c>
      <c r="AN43" s="65">
        <f t="shared" ca="1" si="76"/>
        <v>-47713.462486976787</v>
      </c>
      <c r="AO43" s="65">
        <f t="shared" ca="1" si="76"/>
        <v>-44260.07941618099</v>
      </c>
      <c r="AP43" s="65">
        <f ca="1">SUM(AP37:AP42)</f>
        <v>-72290.627607322065</v>
      </c>
      <c r="AQ43" s="65">
        <f ca="1">SUM(AQ37:AQ42)</f>
        <v>-65015.483688569206</v>
      </c>
      <c r="AR43" s="65">
        <f ca="1">SUM(AR37:AR42)</f>
        <v>-50831.893072000072</v>
      </c>
      <c r="AS43" s="65">
        <f ca="1">SUM(AS37:AS42)</f>
        <v>-50770.88770266583</v>
      </c>
      <c r="AT43" s="61"/>
      <c r="AU43" s="65">
        <f ca="1">SUM(AH43:AS43)</f>
        <v>-623099.67319726234</v>
      </c>
    </row>
    <row r="44" spans="1:47">
      <c r="D44" s="53"/>
      <c r="E44" s="53"/>
      <c r="F44" s="53"/>
      <c r="G44" s="53"/>
      <c r="H44" s="53"/>
      <c r="I44" s="53"/>
      <c r="J44" s="53"/>
      <c r="K44" s="53"/>
      <c r="L44" s="53"/>
      <c r="Q44" s="91"/>
      <c r="AF44" s="91">
        <f ca="1">-AF43/AF12</f>
        <v>0.16696860157268154</v>
      </c>
      <c r="AU44" s="91">
        <f ca="1">-AU43/AU12</f>
        <v>0.16202578338474802</v>
      </c>
    </row>
    <row r="45" spans="1:47" hidden="1" outlineLevel="1">
      <c r="B45" s="67" t="s">
        <v>111</v>
      </c>
      <c r="C45" s="52"/>
      <c r="D45" s="68">
        <f t="shared" ref="D45:I48" si="77">D23+D38</f>
        <v>5691.8399999999983</v>
      </c>
      <c r="E45" s="68">
        <f t="shared" si="77"/>
        <v>6949.8499999999995</v>
      </c>
      <c r="F45" s="68">
        <f t="shared" si="77"/>
        <v>7036.95</v>
      </c>
      <c r="G45" s="68">
        <f t="shared" si="77"/>
        <v>21007.710000000003</v>
      </c>
      <c r="H45" s="68">
        <f t="shared" si="77"/>
        <v>7095.4900000000016</v>
      </c>
      <c r="I45" s="68">
        <f t="shared" si="77"/>
        <v>23568.12</v>
      </c>
      <c r="J45" s="68">
        <f t="shared" ref="J45" si="78">J23+J38</f>
        <v>18994.139999999996</v>
      </c>
      <c r="K45" s="68">
        <f t="shared" ref="K45" si="79">K23+K38</f>
        <v>5030.16</v>
      </c>
      <c r="L45" s="68">
        <f t="shared" ref="L45:O48" si="80">L23+L38</f>
        <v>-11252</v>
      </c>
      <c r="M45" s="69">
        <f t="shared" si="80"/>
        <v>32922</v>
      </c>
      <c r="N45" s="69">
        <f t="shared" si="80"/>
        <v>17861</v>
      </c>
      <c r="O45" s="69">
        <f t="shared" si="80"/>
        <v>12579</v>
      </c>
      <c r="P45" s="69"/>
      <c r="Q45" s="69">
        <f>Q23+Q38</f>
        <v>147484.25999999995</v>
      </c>
      <c r="S45" s="85">
        <f t="shared" ref="S45:AD48" si="81">S23+S38</f>
        <v>13249.744689788517</v>
      </c>
      <c r="T45" s="85">
        <f t="shared" si="81"/>
        <v>35714.666751312849</v>
      </c>
      <c r="U45" s="85">
        <f t="shared" si="81"/>
        <v>33133.907726983532</v>
      </c>
      <c r="V45" s="85">
        <f t="shared" si="81"/>
        <v>21046.878112097947</v>
      </c>
      <c r="W45" s="85">
        <f t="shared" si="81"/>
        <v>18981.744726119014</v>
      </c>
      <c r="X45" s="69">
        <f t="shared" si="81"/>
        <v>46506.519186130761</v>
      </c>
      <c r="Y45" s="69">
        <f t="shared" si="81"/>
        <v>23872.397746198701</v>
      </c>
      <c r="Z45" s="69">
        <f t="shared" si="81"/>
        <v>19267.896766500511</v>
      </c>
      <c r="AA45" s="69">
        <f t="shared" si="81"/>
        <v>42018.173043101684</v>
      </c>
      <c r="AB45" s="69">
        <f t="shared" si="81"/>
        <v>30705.993134069602</v>
      </c>
      <c r="AC45" s="69">
        <f t="shared" si="81"/>
        <v>18112.659546852134</v>
      </c>
      <c r="AD45" s="69">
        <f t="shared" si="81"/>
        <v>20996.972135814816</v>
      </c>
      <c r="AE45" s="69"/>
      <c r="AF45" s="69">
        <f>AF23+AF38</f>
        <v>323607.55356497015</v>
      </c>
      <c r="AH45" s="85">
        <f t="shared" ref="AH45:AS48" si="82">AH23+AH38</f>
        <v>51916.172979059469</v>
      </c>
      <c r="AI45" s="85">
        <f t="shared" si="82"/>
        <v>103153.6443290929</v>
      </c>
      <c r="AJ45" s="85">
        <f t="shared" si="82"/>
        <v>88485.511999509079</v>
      </c>
      <c r="AK45" s="85">
        <f t="shared" si="82"/>
        <v>84811.36218169675</v>
      </c>
      <c r="AL45" s="85">
        <f t="shared" si="82"/>
        <v>93763.253051567444</v>
      </c>
      <c r="AM45" s="69">
        <f t="shared" si="82"/>
        <v>131142.43861956988</v>
      </c>
      <c r="AN45" s="69">
        <f t="shared" si="82"/>
        <v>90645.419923299589</v>
      </c>
      <c r="AO45" s="69">
        <f t="shared" si="82"/>
        <v>80110.89002445004</v>
      </c>
      <c r="AP45" s="69">
        <f t="shared" si="82"/>
        <v>132053.03918972105</v>
      </c>
      <c r="AQ45" s="69">
        <f t="shared" si="82"/>
        <v>119265.76244870729</v>
      </c>
      <c r="AR45" s="69">
        <f t="shared" si="82"/>
        <v>80090.849444292719</v>
      </c>
      <c r="AS45" s="69">
        <f t="shared" si="82"/>
        <v>90137.992645767488</v>
      </c>
      <c r="AT45" s="69"/>
      <c r="AU45" s="69">
        <f>AU23+AU38</f>
        <v>1145576.3368367339</v>
      </c>
    </row>
    <row r="46" spans="1:47" hidden="1" outlineLevel="1">
      <c r="B46" s="67" t="s">
        <v>112</v>
      </c>
      <c r="C46" s="52"/>
      <c r="D46" s="68">
        <f t="shared" si="77"/>
        <v>45011.240000000005</v>
      </c>
      <c r="E46" s="68">
        <f t="shared" si="77"/>
        <v>32759.010000000006</v>
      </c>
      <c r="F46" s="68">
        <f t="shared" si="77"/>
        <v>3788.7</v>
      </c>
      <c r="G46" s="68">
        <f t="shared" si="77"/>
        <v>46721.75</v>
      </c>
      <c r="H46" s="68">
        <f t="shared" si="77"/>
        <v>47879.89</v>
      </c>
      <c r="I46" s="68">
        <f t="shared" si="77"/>
        <v>20153.150000000001</v>
      </c>
      <c r="J46" s="68">
        <f t="shared" ref="J46" si="83">J24+J39</f>
        <v>26043.559999999998</v>
      </c>
      <c r="K46" s="68">
        <f t="shared" ref="K46" si="84">K24+K39</f>
        <v>-999.46</v>
      </c>
      <c r="L46" s="68">
        <f t="shared" si="80"/>
        <v>80.4399999999996</v>
      </c>
      <c r="M46" s="69">
        <f t="shared" si="80"/>
        <v>74173</v>
      </c>
      <c r="N46" s="69">
        <f t="shared" si="80"/>
        <v>23600</v>
      </c>
      <c r="O46" s="69">
        <f t="shared" si="80"/>
        <v>29740</v>
      </c>
      <c r="P46" s="69"/>
      <c r="Q46" s="69">
        <f>Q24+Q39</f>
        <v>348951.27999999997</v>
      </c>
      <c r="S46" s="85">
        <f t="shared" si="81"/>
        <v>18080.386855376852</v>
      </c>
      <c r="T46" s="85">
        <f t="shared" si="81"/>
        <v>30679.656965666662</v>
      </c>
      <c r="U46" s="85">
        <f t="shared" si="81"/>
        <v>31486.349264616816</v>
      </c>
      <c r="V46" s="85">
        <f t="shared" si="81"/>
        <v>68767.505856431992</v>
      </c>
      <c r="W46" s="85">
        <f t="shared" si="81"/>
        <v>56923.054458490871</v>
      </c>
      <c r="X46" s="69">
        <f t="shared" si="81"/>
        <v>24554.034385497886</v>
      </c>
      <c r="Y46" s="69">
        <f t="shared" si="81"/>
        <v>34462.117867066583</v>
      </c>
      <c r="Z46" s="69">
        <f t="shared" si="81"/>
        <v>35269.546565279925</v>
      </c>
      <c r="AA46" s="69">
        <f t="shared" si="81"/>
        <v>44288.492670765001</v>
      </c>
      <c r="AB46" s="69">
        <f t="shared" si="81"/>
        <v>46613.919746586507</v>
      </c>
      <c r="AC46" s="69">
        <f t="shared" si="81"/>
        <v>30981.555731503337</v>
      </c>
      <c r="AD46" s="69">
        <f t="shared" si="81"/>
        <v>31097.014672018835</v>
      </c>
      <c r="AE46" s="69"/>
      <c r="AF46" s="69">
        <f>AF24+AF39</f>
        <v>453203.6350393013</v>
      </c>
      <c r="AH46" s="85">
        <f t="shared" si="82"/>
        <v>21032.202740826062</v>
      </c>
      <c r="AI46" s="85">
        <f t="shared" si="82"/>
        <v>69967.996713189525</v>
      </c>
      <c r="AJ46" s="85">
        <f t="shared" si="82"/>
        <v>91619.995390040393</v>
      </c>
      <c r="AK46" s="85">
        <f t="shared" si="82"/>
        <v>138524.88945056245</v>
      </c>
      <c r="AL46" s="85">
        <f t="shared" si="82"/>
        <v>105262.45316842987</v>
      </c>
      <c r="AM46" s="69">
        <f t="shared" si="82"/>
        <v>50176.963832399335</v>
      </c>
      <c r="AN46" s="69">
        <f t="shared" si="82"/>
        <v>76063.248226479336</v>
      </c>
      <c r="AO46" s="69">
        <f t="shared" si="82"/>
        <v>68289.903966452053</v>
      </c>
      <c r="AP46" s="69">
        <f t="shared" si="82"/>
        <v>151589.68075690916</v>
      </c>
      <c r="AQ46" s="69">
        <f t="shared" si="82"/>
        <v>117130.76033043239</v>
      </c>
      <c r="AR46" s="69">
        <f t="shared" si="82"/>
        <v>104720.62060439984</v>
      </c>
      <c r="AS46" s="69">
        <f t="shared" si="82"/>
        <v>68046.333912818969</v>
      </c>
      <c r="AT46" s="69"/>
      <c r="AU46" s="69">
        <f>AU24+AU39</f>
        <v>1062425.0490929394</v>
      </c>
    </row>
    <row r="47" spans="1:47" hidden="1" outlineLevel="1">
      <c r="B47" s="67" t="s">
        <v>113</v>
      </c>
      <c r="C47" s="52"/>
      <c r="D47" s="68">
        <f t="shared" si="77"/>
        <v>2203.9999999999995</v>
      </c>
      <c r="E47" s="68">
        <f t="shared" si="77"/>
        <v>3162.3500000000008</v>
      </c>
      <c r="F47" s="68">
        <f t="shared" si="77"/>
        <v>2469.1999999999998</v>
      </c>
      <c r="G47" s="68">
        <f t="shared" si="77"/>
        <v>3129.35</v>
      </c>
      <c r="H47" s="68">
        <f t="shared" si="77"/>
        <v>3411.1600000000003</v>
      </c>
      <c r="I47" s="68">
        <f t="shared" si="77"/>
        <v>3798.7100000000009</v>
      </c>
      <c r="J47" s="68">
        <f t="shared" ref="J47" si="85">J25+J40</f>
        <v>3558.91</v>
      </c>
      <c r="K47" s="68">
        <f t="shared" ref="K47" si="86">K25+K40</f>
        <v>4416.53</v>
      </c>
      <c r="L47" s="68">
        <f t="shared" si="80"/>
        <v>5220</v>
      </c>
      <c r="M47" s="69">
        <f t="shared" si="80"/>
        <v>3947</v>
      </c>
      <c r="N47" s="69">
        <f t="shared" si="80"/>
        <v>3947</v>
      </c>
      <c r="O47" s="69">
        <f t="shared" si="80"/>
        <v>3056</v>
      </c>
      <c r="P47" s="69"/>
      <c r="Q47" s="69">
        <f>Q25+Q40</f>
        <v>42320.21</v>
      </c>
      <c r="S47" s="85">
        <f t="shared" ca="1" si="81"/>
        <v>3725.3212997490409</v>
      </c>
      <c r="T47" s="85">
        <f t="shared" ca="1" si="81"/>
        <v>4911.6267856921795</v>
      </c>
      <c r="U47" s="85">
        <f t="shared" ca="1" si="81"/>
        <v>4689.951764134963</v>
      </c>
      <c r="V47" s="85">
        <f t="shared" ca="1" si="81"/>
        <v>4691.6963310260571</v>
      </c>
      <c r="W47" s="85">
        <f t="shared" ca="1" si="81"/>
        <v>3691.6262363667911</v>
      </c>
      <c r="X47" s="69">
        <f t="shared" ca="1" si="81"/>
        <v>4587.2830440409116</v>
      </c>
      <c r="Y47" s="69">
        <f t="shared" ca="1" si="81"/>
        <v>4691.9263838029037</v>
      </c>
      <c r="Z47" s="69">
        <f t="shared" ca="1" si="81"/>
        <v>6111.5590644505792</v>
      </c>
      <c r="AA47" s="69">
        <f t="shared" ca="1" si="81"/>
        <v>5961.280922187957</v>
      </c>
      <c r="AB47" s="69">
        <f t="shared" ca="1" si="81"/>
        <v>8728.8196618752336</v>
      </c>
      <c r="AC47" s="69">
        <f t="shared" ca="1" si="81"/>
        <v>8719.2648032101715</v>
      </c>
      <c r="AD47" s="69">
        <f t="shared" ca="1" si="81"/>
        <v>6581.0967819961415</v>
      </c>
      <c r="AE47" s="69"/>
      <c r="AF47" s="69">
        <f ca="1">AF25+AF40</f>
        <v>67091.453078532941</v>
      </c>
      <c r="AH47" s="85">
        <f t="shared" ca="1" si="82"/>
        <v>6581.0967819961415</v>
      </c>
      <c r="AI47" s="85">
        <f t="shared" ca="1" si="82"/>
        <v>7239.2064601957572</v>
      </c>
      <c r="AJ47" s="85">
        <f t="shared" ca="1" si="82"/>
        <v>7963.1271062153319</v>
      </c>
      <c r="AK47" s="85">
        <f t="shared" ca="1" si="82"/>
        <v>7963.1271062153319</v>
      </c>
      <c r="AL47" s="85">
        <f t="shared" ca="1" si="82"/>
        <v>8759.4398168368662</v>
      </c>
      <c r="AM47" s="69">
        <f t="shared" ca="1" si="82"/>
        <v>9635.3837985205537</v>
      </c>
      <c r="AN47" s="69">
        <f t="shared" ca="1" si="82"/>
        <v>7963.1271062153319</v>
      </c>
      <c r="AO47" s="69">
        <f t="shared" ca="1" si="82"/>
        <v>8759.4398168368662</v>
      </c>
      <c r="AP47" s="69">
        <f t="shared" ca="1" si="82"/>
        <v>9635.3837985205537</v>
      </c>
      <c r="AQ47" s="69">
        <f t="shared" ca="1" si="82"/>
        <v>10598.922178372608</v>
      </c>
      <c r="AR47" s="69">
        <f t="shared" ca="1" si="82"/>
        <v>10598.922178372608</v>
      </c>
      <c r="AS47" s="69">
        <f t="shared" ca="1" si="82"/>
        <v>11658.814396209869</v>
      </c>
      <c r="AT47" s="69"/>
      <c r="AU47" s="69">
        <f ca="1">AU25+AU40</f>
        <v>107355.99054450783</v>
      </c>
    </row>
    <row r="48" spans="1:47" hidden="1" outlineLevel="1">
      <c r="B48" s="67" t="s">
        <v>114</v>
      </c>
      <c r="C48" s="52"/>
      <c r="D48" s="68">
        <f t="shared" si="77"/>
        <v>0</v>
      </c>
      <c r="E48" s="68">
        <f t="shared" si="77"/>
        <v>0</v>
      </c>
      <c r="F48" s="68">
        <f t="shared" si="77"/>
        <v>0</v>
      </c>
      <c r="G48" s="68">
        <f t="shared" si="77"/>
        <v>0</v>
      </c>
      <c r="H48" s="68">
        <f t="shared" si="77"/>
        <v>0</v>
      </c>
      <c r="I48" s="68">
        <f t="shared" si="77"/>
        <v>0</v>
      </c>
      <c r="J48" s="68">
        <f t="shared" ref="J48" si="87">J26+J41</f>
        <v>0</v>
      </c>
      <c r="K48" s="68">
        <f t="shared" ref="K48" si="88">K26+K41</f>
        <v>0</v>
      </c>
      <c r="L48" s="68">
        <f t="shared" si="80"/>
        <v>0</v>
      </c>
      <c r="M48" s="69">
        <f t="shared" si="80"/>
        <v>0</v>
      </c>
      <c r="N48" s="69">
        <f t="shared" si="80"/>
        <v>0</v>
      </c>
      <c r="O48" s="69">
        <f t="shared" si="80"/>
        <v>0</v>
      </c>
      <c r="P48" s="69"/>
      <c r="Q48" s="69">
        <f>Q26+Q41</f>
        <v>0</v>
      </c>
      <c r="S48" s="85">
        <f t="shared" si="81"/>
        <v>0</v>
      </c>
      <c r="T48" s="85">
        <f t="shared" si="81"/>
        <v>0</v>
      </c>
      <c r="U48" s="85">
        <f t="shared" si="81"/>
        <v>0</v>
      </c>
      <c r="V48" s="85">
        <f t="shared" si="81"/>
        <v>0</v>
      </c>
      <c r="W48" s="85">
        <f t="shared" si="81"/>
        <v>0</v>
      </c>
      <c r="X48" s="69">
        <f t="shared" si="81"/>
        <v>0</v>
      </c>
      <c r="Y48" s="69">
        <f t="shared" si="81"/>
        <v>0</v>
      </c>
      <c r="Z48" s="69">
        <f t="shared" si="81"/>
        <v>0</v>
      </c>
      <c r="AA48" s="69">
        <f t="shared" si="81"/>
        <v>0</v>
      </c>
      <c r="AB48" s="69">
        <f t="shared" si="81"/>
        <v>0</v>
      </c>
      <c r="AC48" s="69">
        <f t="shared" si="81"/>
        <v>0</v>
      </c>
      <c r="AD48" s="69">
        <f t="shared" si="81"/>
        <v>0</v>
      </c>
      <c r="AE48" s="69"/>
      <c r="AF48" s="69">
        <f>AF26+AF41</f>
        <v>0</v>
      </c>
      <c r="AH48" s="85">
        <f t="shared" si="82"/>
        <v>0</v>
      </c>
      <c r="AI48" s="85">
        <f t="shared" si="82"/>
        <v>0</v>
      </c>
      <c r="AJ48" s="85">
        <f t="shared" si="82"/>
        <v>0</v>
      </c>
      <c r="AK48" s="85">
        <f t="shared" si="82"/>
        <v>0</v>
      </c>
      <c r="AL48" s="85">
        <f t="shared" si="82"/>
        <v>0</v>
      </c>
      <c r="AM48" s="69">
        <f t="shared" si="82"/>
        <v>0</v>
      </c>
      <c r="AN48" s="69">
        <f t="shared" si="82"/>
        <v>0</v>
      </c>
      <c r="AO48" s="69">
        <f t="shared" si="82"/>
        <v>0</v>
      </c>
      <c r="AP48" s="69">
        <f t="shared" si="82"/>
        <v>0</v>
      </c>
      <c r="AQ48" s="69">
        <f t="shared" si="82"/>
        <v>0</v>
      </c>
      <c r="AR48" s="69">
        <f t="shared" si="82"/>
        <v>0</v>
      </c>
      <c r="AS48" s="69">
        <f t="shared" si="82"/>
        <v>0</v>
      </c>
      <c r="AT48" s="69"/>
      <c r="AU48" s="69">
        <f>AU26+AU41</f>
        <v>0</v>
      </c>
    </row>
    <row r="49" spans="2:47" collapsed="1">
      <c r="B49" s="67" t="s">
        <v>115</v>
      </c>
      <c r="C49" s="52"/>
      <c r="D49" s="68">
        <f t="shared" ref="D49:I49" si="89">D27+D43</f>
        <v>52907.08</v>
      </c>
      <c r="E49" s="68">
        <f t="shared" si="89"/>
        <v>42871.210000000006</v>
      </c>
      <c r="F49" s="68">
        <f t="shared" si="89"/>
        <v>13294.850000000002</v>
      </c>
      <c r="G49" s="68">
        <f t="shared" si="89"/>
        <v>70858.81</v>
      </c>
      <c r="H49" s="68">
        <f t="shared" si="89"/>
        <v>58386.539999999994</v>
      </c>
      <c r="I49" s="68">
        <f t="shared" si="89"/>
        <v>47519.98000000001</v>
      </c>
      <c r="J49" s="68">
        <f t="shared" ref="J49" si="90">J27+J43</f>
        <v>48596.609999999993</v>
      </c>
      <c r="K49" s="68">
        <f t="shared" ref="K49" si="91">K27+K43</f>
        <v>8447.2300000000014</v>
      </c>
      <c r="L49" s="68">
        <f t="shared" ref="L49:Q49" si="92">L27+L43</f>
        <v>27694.440000000002</v>
      </c>
      <c r="M49" s="69">
        <f t="shared" si="92"/>
        <v>111042</v>
      </c>
      <c r="N49" s="69">
        <f t="shared" si="92"/>
        <v>45408</v>
      </c>
      <c r="O49" s="69">
        <f t="shared" si="92"/>
        <v>45375</v>
      </c>
      <c r="P49" s="69"/>
      <c r="Q49" s="69">
        <f t="shared" si="92"/>
        <v>572401.75</v>
      </c>
      <c r="S49" s="85">
        <f ca="1">S27+S43</f>
        <v>35055.452844914413</v>
      </c>
      <c r="T49" s="85">
        <f t="shared" ref="T49:AD49" ca="1" si="93">T27+T43</f>
        <v>71305.950502671694</v>
      </c>
      <c r="U49" s="85">
        <f t="shared" ca="1" si="93"/>
        <v>69310.208755735308</v>
      </c>
      <c r="V49" s="85">
        <f t="shared" ca="1" si="93"/>
        <v>94506.080299555964</v>
      </c>
      <c r="W49" s="85">
        <f t="shared" ca="1" si="93"/>
        <v>79596.42542097668</v>
      </c>
      <c r="X49" s="69">
        <f t="shared" ca="1" si="93"/>
        <v>75647.836615669556</v>
      </c>
      <c r="Y49" s="69">
        <f t="shared" ca="1" si="93"/>
        <v>63026.441997068185</v>
      </c>
      <c r="Z49" s="69">
        <f t="shared" ca="1" si="93"/>
        <v>60649.002396231015</v>
      </c>
      <c r="AA49" s="69">
        <f t="shared" ca="1" si="93"/>
        <v>92267.946636054636</v>
      </c>
      <c r="AB49" s="69">
        <f t="shared" ca="1" si="93"/>
        <v>86048.732542531361</v>
      </c>
      <c r="AC49" s="69">
        <f t="shared" ca="1" si="93"/>
        <v>57813.480081565649</v>
      </c>
      <c r="AD49" s="69">
        <f t="shared" ca="1" si="93"/>
        <v>58675.083589829796</v>
      </c>
      <c r="AE49" s="69"/>
      <c r="AF49" s="69">
        <f t="shared" ref="AF49" ca="1" si="94">AF27+AF43</f>
        <v>843902.64168280445</v>
      </c>
      <c r="AH49" s="85">
        <f ca="1">AH27+AH43</f>
        <v>79529.472501881683</v>
      </c>
      <c r="AI49" s="85">
        <f t="shared" ref="AI49:AS49" ca="1" si="95">AI27+AI43</f>
        <v>180360.84750247819</v>
      </c>
      <c r="AJ49" s="85">
        <f t="shared" ca="1" si="95"/>
        <v>188068.6344957648</v>
      </c>
      <c r="AK49" s="85">
        <f t="shared" ca="1" si="95"/>
        <v>231299.37873847451</v>
      </c>
      <c r="AL49" s="85">
        <f t="shared" ca="1" si="95"/>
        <v>207785.14603683416</v>
      </c>
      <c r="AM49" s="69">
        <f t="shared" ca="1" si="95"/>
        <v>190954.78625048973</v>
      </c>
      <c r="AN49" s="69">
        <f t="shared" ca="1" si="95"/>
        <v>174671.79525599422</v>
      </c>
      <c r="AO49" s="69">
        <f t="shared" ca="1" si="95"/>
        <v>157160.23380773893</v>
      </c>
      <c r="AP49" s="69">
        <f t="shared" ca="1" si="95"/>
        <v>293278.10374515073</v>
      </c>
      <c r="AQ49" s="69">
        <f t="shared" ca="1" si="95"/>
        <v>246995.44495751226</v>
      </c>
      <c r="AR49" s="69">
        <f t="shared" ca="1" si="95"/>
        <v>195410.39222706517</v>
      </c>
      <c r="AS49" s="69">
        <f t="shared" ca="1" si="95"/>
        <v>169843.14095479634</v>
      </c>
      <c r="AT49" s="69"/>
      <c r="AU49" s="69">
        <f t="shared" ref="AU49" ca="1" si="96">AU27+AU43</f>
        <v>2315357.3764741807</v>
      </c>
    </row>
    <row r="50" spans="2:47">
      <c r="B50" s="52"/>
      <c r="C50" s="52"/>
      <c r="D50" s="70"/>
      <c r="E50" s="70"/>
      <c r="F50" s="70"/>
      <c r="G50" s="70"/>
      <c r="H50" s="70"/>
      <c r="I50" s="70"/>
      <c r="J50" s="70"/>
      <c r="K50" s="70"/>
      <c r="L50" s="70"/>
      <c r="M50" s="52"/>
      <c r="N50" s="52"/>
      <c r="O50" s="52"/>
      <c r="P50" s="52"/>
      <c r="S50" s="10"/>
      <c r="T50" s="10"/>
      <c r="U50" s="10"/>
      <c r="V50" s="10"/>
      <c r="W50" s="10"/>
      <c r="X50" s="52"/>
      <c r="Y50" s="52"/>
      <c r="Z50" s="52"/>
      <c r="AA50" s="52"/>
      <c r="AB50" s="52"/>
      <c r="AC50" s="52"/>
      <c r="AD50" s="52"/>
      <c r="AE50" s="52"/>
      <c r="AH50" s="10"/>
      <c r="AI50" s="10"/>
      <c r="AJ50" s="10"/>
      <c r="AK50" s="10"/>
      <c r="AL50" s="10"/>
      <c r="AM50" s="52"/>
      <c r="AN50" s="52"/>
      <c r="AO50" s="52"/>
      <c r="AP50" s="52"/>
      <c r="AQ50" s="52"/>
      <c r="AR50" s="52"/>
      <c r="AS50" s="52"/>
      <c r="AT50" s="52"/>
    </row>
    <row r="51" spans="2:47" outlineLevel="1">
      <c r="B51" s="67" t="s">
        <v>116</v>
      </c>
      <c r="C51" s="52"/>
      <c r="D51" s="97">
        <f t="shared" ref="D51:I54" si="97">IFERROR(D45/D7,0)</f>
        <v>0.46894819838747143</v>
      </c>
      <c r="E51" s="97">
        <f t="shared" si="97"/>
        <v>0.51371576786642215</v>
      </c>
      <c r="F51" s="97">
        <f t="shared" si="97"/>
        <v>0.43288324311023618</v>
      </c>
      <c r="G51" s="97">
        <f t="shared" si="97"/>
        <v>0.40308461459202566</v>
      </c>
      <c r="H51" s="97">
        <f t="shared" si="97"/>
        <v>0.5929897489641156</v>
      </c>
      <c r="I51" s="97">
        <f t="shared" si="97"/>
        <v>0.63272719658015475</v>
      </c>
      <c r="J51" s="97">
        <f t="shared" ref="J51" si="98">IFERROR(J45/J7,0)</f>
        <v>0.54499222859549756</v>
      </c>
      <c r="K51" s="97">
        <f t="shared" ref="K51" si="99">IFERROR(K45/K7,0)</f>
        <v>0.54453104702520128</v>
      </c>
      <c r="L51" s="97">
        <f t="shared" ref="L51:O54" si="100">IFERROR(L45/L7,0)</f>
        <v>-0.25506063697155162</v>
      </c>
      <c r="M51" s="91">
        <f t="shared" si="100"/>
        <v>0.47031428571428574</v>
      </c>
      <c r="N51" s="91">
        <f t="shared" si="100"/>
        <v>0.50030812324929974</v>
      </c>
      <c r="O51" s="91">
        <f t="shared" si="100"/>
        <v>0.51030425963488846</v>
      </c>
      <c r="P51" s="91"/>
      <c r="Q51" s="91">
        <f>IFERROR(Q45/Q7,0)</f>
        <v>0.40763101470546925</v>
      </c>
      <c r="S51" s="91">
        <f t="shared" ref="S51:AD54" si="101">IFERROR(S45/S7,0)</f>
        <v>0.57229110436589647</v>
      </c>
      <c r="T51" s="91">
        <f t="shared" si="101"/>
        <v>0.57229110436589647</v>
      </c>
      <c r="U51" s="91">
        <f t="shared" si="101"/>
        <v>0.57229110436589647</v>
      </c>
      <c r="V51" s="91">
        <f t="shared" si="101"/>
        <v>0.57229110436589659</v>
      </c>
      <c r="W51" s="91">
        <f t="shared" si="101"/>
        <v>0.57229110436589647</v>
      </c>
      <c r="X51" s="91">
        <f t="shared" si="101"/>
        <v>0.57229110436589659</v>
      </c>
      <c r="Y51" s="91">
        <f t="shared" si="101"/>
        <v>0.57229110436589647</v>
      </c>
      <c r="Z51" s="91">
        <f t="shared" si="101"/>
        <v>0.57229110436589647</v>
      </c>
      <c r="AA51" s="91">
        <f t="shared" si="101"/>
        <v>0.57229110436589659</v>
      </c>
      <c r="AB51" s="91">
        <f t="shared" si="101"/>
        <v>0.57229110436589659</v>
      </c>
      <c r="AC51" s="91">
        <f t="shared" si="101"/>
        <v>0.57229110436589659</v>
      </c>
      <c r="AD51" s="91">
        <f t="shared" si="101"/>
        <v>0.57229110436589647</v>
      </c>
      <c r="AE51" s="91"/>
      <c r="AF51" s="91">
        <f>IFERROR(AF45/AF7,0)</f>
        <v>0.57229110436589659</v>
      </c>
      <c r="AH51" s="91">
        <f t="shared" ref="AH51:AS54" si="102">IFERROR(AH45/AH7,0)</f>
        <v>0.57229110436589659</v>
      </c>
      <c r="AI51" s="91">
        <f t="shared" si="102"/>
        <v>0.57229110436589647</v>
      </c>
      <c r="AJ51" s="91">
        <f t="shared" si="102"/>
        <v>0.57229110436589647</v>
      </c>
      <c r="AK51" s="91">
        <f t="shared" si="102"/>
        <v>0.57229110436589659</v>
      </c>
      <c r="AL51" s="91">
        <f t="shared" si="102"/>
        <v>0.5722911043658967</v>
      </c>
      <c r="AM51" s="91">
        <f t="shared" si="102"/>
        <v>0.57229110436589647</v>
      </c>
      <c r="AN51" s="91">
        <f t="shared" si="102"/>
        <v>0.57229110436589659</v>
      </c>
      <c r="AO51" s="91">
        <f t="shared" si="102"/>
        <v>0.57229110436589659</v>
      </c>
      <c r="AP51" s="91">
        <f t="shared" si="102"/>
        <v>0.57229110436589659</v>
      </c>
      <c r="AQ51" s="91">
        <f t="shared" si="102"/>
        <v>0.57229110436589647</v>
      </c>
      <c r="AR51" s="91">
        <f t="shared" si="102"/>
        <v>0.5722911043658967</v>
      </c>
      <c r="AS51" s="91">
        <f t="shared" si="102"/>
        <v>0.57229110436589659</v>
      </c>
      <c r="AT51" s="91"/>
      <c r="AU51" s="91">
        <f>IFERROR(AU45/AU7,0)</f>
        <v>0.57229110436589659</v>
      </c>
    </row>
    <row r="52" spans="2:47" outlineLevel="1">
      <c r="B52" s="67" t="s">
        <v>117</v>
      </c>
      <c r="C52" s="52"/>
      <c r="D52" s="97">
        <f t="shared" si="97"/>
        <v>0.64447394920780288</v>
      </c>
      <c r="E52" s="97">
        <f t="shared" si="97"/>
        <v>0.66948508787257333</v>
      </c>
      <c r="F52" s="97">
        <f t="shared" si="97"/>
        <v>0.5789507463233946</v>
      </c>
      <c r="G52" s="97">
        <f t="shared" si="97"/>
        <v>0.68716348157045681</v>
      </c>
      <c r="H52" s="97">
        <f t="shared" si="97"/>
        <v>0.63498418105949772</v>
      </c>
      <c r="I52" s="97">
        <f t="shared" si="97"/>
        <v>0.58482665719482629</v>
      </c>
      <c r="J52" s="97">
        <f t="shared" ref="J52" si="103">IFERROR(J46/J8,0)</f>
        <v>0.57707239606749228</v>
      </c>
      <c r="K52" s="97">
        <f t="shared" ref="K52" si="104">IFERROR(K46/K8,0)</f>
        <v>1.1892811670771903</v>
      </c>
      <c r="L52" s="97">
        <f t="shared" si="100"/>
        <v>2.9056074901388368E-2</v>
      </c>
      <c r="M52" s="91">
        <f t="shared" si="100"/>
        <v>0.59000445448471162</v>
      </c>
      <c r="N52" s="91">
        <f t="shared" si="100"/>
        <v>0.59</v>
      </c>
      <c r="O52" s="91">
        <f t="shared" si="100"/>
        <v>0.5900091258977106</v>
      </c>
      <c r="P52" s="91"/>
      <c r="Q52" s="91">
        <f>IFERROR(Q46/Q8,0)</f>
        <v>0.61613676303749521</v>
      </c>
      <c r="S52" s="91">
        <f t="shared" si="101"/>
        <v>0.66964395760655004</v>
      </c>
      <c r="T52" s="91">
        <f t="shared" si="101"/>
        <v>0.68177015479259251</v>
      </c>
      <c r="U52" s="91">
        <f t="shared" si="101"/>
        <v>0.67858511346156936</v>
      </c>
      <c r="V52" s="91">
        <f t="shared" si="101"/>
        <v>0.65806225699934917</v>
      </c>
      <c r="W52" s="91">
        <f t="shared" si="101"/>
        <v>0.65879392506818413</v>
      </c>
      <c r="X52" s="91">
        <f t="shared" si="101"/>
        <v>0.70332518722141124</v>
      </c>
      <c r="Y52" s="91">
        <f t="shared" si="101"/>
        <v>0.66853811154619791</v>
      </c>
      <c r="Z52" s="91">
        <f t="shared" si="101"/>
        <v>0.66453234848190823</v>
      </c>
      <c r="AA52" s="91">
        <f t="shared" si="101"/>
        <v>0.67566018824065566</v>
      </c>
      <c r="AB52" s="91">
        <f t="shared" si="101"/>
        <v>0.66760401403231584</v>
      </c>
      <c r="AC52" s="91">
        <f t="shared" si="101"/>
        <v>0.66557621885570417</v>
      </c>
      <c r="AD52" s="91">
        <f t="shared" si="101"/>
        <v>0.66805662125148346</v>
      </c>
      <c r="AE52" s="91"/>
      <c r="AF52" s="91">
        <f>IFERROR(AF46/AF8,0)</f>
        <v>0.6691257398753967</v>
      </c>
      <c r="AH52" s="91">
        <f t="shared" si="102"/>
        <v>0.72126895544670988</v>
      </c>
      <c r="AI52" s="91">
        <f t="shared" si="102"/>
        <v>0.69076632237624358</v>
      </c>
      <c r="AJ52" s="91">
        <f t="shared" si="102"/>
        <v>0.67613988674348147</v>
      </c>
      <c r="AK52" s="91">
        <f t="shared" si="102"/>
        <v>0.66633056474271901</v>
      </c>
      <c r="AL52" s="91">
        <f t="shared" si="102"/>
        <v>0.67403400969749039</v>
      </c>
      <c r="AM52" s="91">
        <f t="shared" si="102"/>
        <v>0.72595059573136289</v>
      </c>
      <c r="AN52" s="91">
        <f t="shared" si="102"/>
        <v>0.6825609980890085</v>
      </c>
      <c r="AO52" s="91">
        <f t="shared" si="102"/>
        <v>0.68202743372665464</v>
      </c>
      <c r="AP52" s="91">
        <f t="shared" si="102"/>
        <v>0.67348507664799739</v>
      </c>
      <c r="AQ52" s="91">
        <f t="shared" si="102"/>
        <v>0.67761951007838328</v>
      </c>
      <c r="AR52" s="91">
        <f t="shared" si="102"/>
        <v>0.67052830299101784</v>
      </c>
      <c r="AS52" s="91">
        <f t="shared" si="102"/>
        <v>0.68639683899349224</v>
      </c>
      <c r="AT52" s="91"/>
      <c r="AU52" s="91">
        <f>IFERROR(AU46/AU8,0)</f>
        <v>0.67932151066952651</v>
      </c>
    </row>
    <row r="53" spans="2:47" outlineLevel="1">
      <c r="B53" s="67" t="s">
        <v>118</v>
      </c>
      <c r="C53" s="52"/>
      <c r="D53" s="97">
        <f t="shared" si="97"/>
        <v>0.40350411468011677</v>
      </c>
      <c r="E53" s="97">
        <f t="shared" si="97"/>
        <v>0.41062494562613383</v>
      </c>
      <c r="F53" s="97">
        <f t="shared" si="97"/>
        <v>0.36880263114658601</v>
      </c>
      <c r="G53" s="97">
        <f t="shared" si="97"/>
        <v>0.4027565596673286</v>
      </c>
      <c r="H53" s="97">
        <f t="shared" si="97"/>
        <v>0.42278546905791803</v>
      </c>
      <c r="I53" s="97">
        <f t="shared" si="97"/>
        <v>0.33811302684550026</v>
      </c>
      <c r="J53" s="97">
        <f t="shared" ref="J53" si="105">IFERROR(J47/J9,0)</f>
        <v>0.36062419252691574</v>
      </c>
      <c r="K53" s="97">
        <f t="shared" ref="K53" si="106">IFERROR(K47/K9,0)</f>
        <v>0.36359258149390955</v>
      </c>
      <c r="L53" s="97">
        <f t="shared" si="100"/>
        <v>0.34507833674885968</v>
      </c>
      <c r="M53" s="91">
        <f t="shared" si="100"/>
        <v>0.42440860215053766</v>
      </c>
      <c r="N53" s="91">
        <f t="shared" si="100"/>
        <v>0.42440860215053766</v>
      </c>
      <c r="O53" s="91">
        <f t="shared" si="100"/>
        <v>0.42444444444444446</v>
      </c>
      <c r="P53" s="91"/>
      <c r="Q53" s="91">
        <f>IFERROR(Q47/Q9,0)</f>
        <v>0.38516872936906998</v>
      </c>
      <c r="S53" s="91">
        <f t="shared" ca="1" si="101"/>
        <v>0.38342129474568143</v>
      </c>
      <c r="T53" s="91">
        <f t="shared" ca="1" si="101"/>
        <v>0.38342129474568148</v>
      </c>
      <c r="U53" s="91">
        <f t="shared" ca="1" si="101"/>
        <v>0.38342129474568137</v>
      </c>
      <c r="V53" s="91">
        <f t="shared" ca="1" si="101"/>
        <v>0.38342129474568143</v>
      </c>
      <c r="W53" s="91">
        <f t="shared" ca="1" si="101"/>
        <v>0.38342129474568148</v>
      </c>
      <c r="X53" s="91">
        <f t="shared" ca="1" si="101"/>
        <v>0.38342129474568137</v>
      </c>
      <c r="Y53" s="91">
        <f t="shared" ca="1" si="101"/>
        <v>0.38342129474568143</v>
      </c>
      <c r="Z53" s="91">
        <f t="shared" ca="1" si="101"/>
        <v>0.38342129474568148</v>
      </c>
      <c r="AA53" s="91">
        <f t="shared" ca="1" si="101"/>
        <v>0.38342129474568143</v>
      </c>
      <c r="AB53" s="91">
        <f t="shared" ca="1" si="101"/>
        <v>0.38342129474568148</v>
      </c>
      <c r="AC53" s="91">
        <f t="shared" ca="1" si="101"/>
        <v>0.38342129474568143</v>
      </c>
      <c r="AD53" s="91">
        <f t="shared" ca="1" si="101"/>
        <v>0.38342129474568143</v>
      </c>
      <c r="AE53" s="91"/>
      <c r="AF53" s="91">
        <f ca="1">IFERROR(AF47/AF9,0)</f>
        <v>0.38342129474568148</v>
      </c>
      <c r="AH53" s="91">
        <f t="shared" ca="1" si="102"/>
        <v>0.38342129474568143</v>
      </c>
      <c r="AI53" s="91">
        <f t="shared" ca="1" si="102"/>
        <v>0.38342129474568148</v>
      </c>
      <c r="AJ53" s="91">
        <f t="shared" ca="1" si="102"/>
        <v>0.38342129474568143</v>
      </c>
      <c r="AK53" s="91">
        <f t="shared" ca="1" si="102"/>
        <v>0.38342129474568143</v>
      </c>
      <c r="AL53" s="91">
        <f t="shared" ca="1" si="102"/>
        <v>0.38342129474568143</v>
      </c>
      <c r="AM53" s="91">
        <f t="shared" ca="1" si="102"/>
        <v>0.38342129474568143</v>
      </c>
      <c r="AN53" s="91">
        <f t="shared" ca="1" si="102"/>
        <v>0.38342129474568143</v>
      </c>
      <c r="AO53" s="91">
        <f t="shared" ca="1" si="102"/>
        <v>0.38342129474568143</v>
      </c>
      <c r="AP53" s="91">
        <f t="shared" ca="1" si="102"/>
        <v>0.38342129474568143</v>
      </c>
      <c r="AQ53" s="91">
        <f t="shared" ca="1" si="102"/>
        <v>0.38342129474568143</v>
      </c>
      <c r="AR53" s="91">
        <f t="shared" ca="1" si="102"/>
        <v>0.38342129474568143</v>
      </c>
      <c r="AS53" s="91">
        <f t="shared" ca="1" si="102"/>
        <v>0.38342129474568143</v>
      </c>
      <c r="AT53" s="91"/>
      <c r="AU53" s="91">
        <f ca="1">IFERROR(AU47/AU9,0)</f>
        <v>0.38342129474568148</v>
      </c>
    </row>
    <row r="54" spans="2:47" outlineLevel="1">
      <c r="B54" s="67" t="s">
        <v>119</v>
      </c>
      <c r="C54" s="52"/>
      <c r="D54" s="97">
        <f t="shared" si="97"/>
        <v>0</v>
      </c>
      <c r="E54" s="97">
        <f t="shared" si="97"/>
        <v>0</v>
      </c>
      <c r="F54" s="97">
        <f t="shared" si="97"/>
        <v>0</v>
      </c>
      <c r="G54" s="97">
        <f t="shared" si="97"/>
        <v>0</v>
      </c>
      <c r="H54" s="97">
        <f t="shared" si="97"/>
        <v>0</v>
      </c>
      <c r="I54" s="97">
        <f t="shared" si="97"/>
        <v>0</v>
      </c>
      <c r="J54" s="97">
        <f t="shared" ref="J54" si="107">IFERROR(J48/J10,0)</f>
        <v>0</v>
      </c>
      <c r="K54" s="97">
        <f t="shared" ref="K54" si="108">IFERROR(K48/K10,0)</f>
        <v>0</v>
      </c>
      <c r="L54" s="97">
        <f t="shared" si="100"/>
        <v>0</v>
      </c>
      <c r="M54" s="91">
        <f t="shared" si="100"/>
        <v>0</v>
      </c>
      <c r="N54" s="91">
        <f t="shared" si="100"/>
        <v>0</v>
      </c>
      <c r="O54" s="91">
        <f t="shared" si="100"/>
        <v>0</v>
      </c>
      <c r="P54" s="91"/>
      <c r="Q54" s="91">
        <f>IFERROR(Q48/Q10,0)</f>
        <v>0</v>
      </c>
      <c r="S54" s="91">
        <f t="shared" si="101"/>
        <v>0</v>
      </c>
      <c r="T54" s="91">
        <f t="shared" si="101"/>
        <v>0</v>
      </c>
      <c r="U54" s="91">
        <f t="shared" si="101"/>
        <v>0</v>
      </c>
      <c r="V54" s="91">
        <f t="shared" si="101"/>
        <v>0</v>
      </c>
      <c r="W54" s="91">
        <f t="shared" si="101"/>
        <v>0</v>
      </c>
      <c r="X54" s="91">
        <f t="shared" si="101"/>
        <v>0</v>
      </c>
      <c r="Y54" s="91">
        <f t="shared" si="101"/>
        <v>0</v>
      </c>
      <c r="Z54" s="91">
        <f t="shared" si="101"/>
        <v>0</v>
      </c>
      <c r="AA54" s="91">
        <f t="shared" si="101"/>
        <v>0</v>
      </c>
      <c r="AB54" s="91">
        <f t="shared" si="101"/>
        <v>0</v>
      </c>
      <c r="AC54" s="91">
        <f t="shared" si="101"/>
        <v>0</v>
      </c>
      <c r="AD54" s="91">
        <f t="shared" si="101"/>
        <v>0</v>
      </c>
      <c r="AE54" s="91"/>
      <c r="AF54" s="91">
        <f>IFERROR(AF48/AF10,0)</f>
        <v>0</v>
      </c>
      <c r="AH54" s="91">
        <f t="shared" si="102"/>
        <v>0</v>
      </c>
      <c r="AI54" s="91">
        <f t="shared" si="102"/>
        <v>0</v>
      </c>
      <c r="AJ54" s="91">
        <f t="shared" si="102"/>
        <v>0</v>
      </c>
      <c r="AK54" s="91">
        <f t="shared" si="102"/>
        <v>0</v>
      </c>
      <c r="AL54" s="91">
        <f t="shared" si="102"/>
        <v>0</v>
      </c>
      <c r="AM54" s="91">
        <f t="shared" si="102"/>
        <v>0</v>
      </c>
      <c r="AN54" s="91">
        <f t="shared" si="102"/>
        <v>0</v>
      </c>
      <c r="AO54" s="91">
        <f t="shared" si="102"/>
        <v>0</v>
      </c>
      <c r="AP54" s="91">
        <f t="shared" si="102"/>
        <v>0</v>
      </c>
      <c r="AQ54" s="91">
        <f t="shared" si="102"/>
        <v>0</v>
      </c>
      <c r="AR54" s="91">
        <f t="shared" si="102"/>
        <v>0</v>
      </c>
      <c r="AS54" s="91">
        <f t="shared" si="102"/>
        <v>0</v>
      </c>
      <c r="AT54" s="91"/>
      <c r="AU54" s="91">
        <f>IFERROR(AU48/AU10,0)</f>
        <v>0</v>
      </c>
    </row>
    <row r="55" spans="2:47">
      <c r="B55" s="72" t="s">
        <v>120</v>
      </c>
      <c r="C55" s="73"/>
      <c r="D55" s="97">
        <f t="shared" ref="D55:I55" si="109">IFERROR(D49/D12,0)</f>
        <v>0.60505728176480167</v>
      </c>
      <c r="E55" s="97">
        <f t="shared" si="109"/>
        <v>0.61103567409784998</v>
      </c>
      <c r="F55" s="97">
        <f t="shared" si="109"/>
        <v>0.45074530619496156</v>
      </c>
      <c r="G55" s="97">
        <f t="shared" si="109"/>
        <v>0.55410656869727015</v>
      </c>
      <c r="H55" s="97">
        <f t="shared" si="109"/>
        <v>0.61177968339389666</v>
      </c>
      <c r="I55" s="97">
        <f t="shared" si="109"/>
        <v>0.57291960290096133</v>
      </c>
      <c r="J55" s="97">
        <f t="shared" ref="J55" si="110">IFERROR(J49/J12,0)</f>
        <v>0.54085552618730237</v>
      </c>
      <c r="K55" s="97">
        <f t="shared" ref="K55" si="111">IFERROR(K49/K12,0)</f>
        <v>0.41117487087552507</v>
      </c>
      <c r="L55" s="97">
        <f t="shared" ref="L55:O55" si="112">IFERROR(L49/L12,0)</f>
        <v>0.44660931288344352</v>
      </c>
      <c r="M55" s="91">
        <f t="shared" si="112"/>
        <v>0.54162601943262967</v>
      </c>
      <c r="N55" s="91">
        <f t="shared" si="112"/>
        <v>0.53421176470588239</v>
      </c>
      <c r="O55" s="91">
        <f t="shared" si="112"/>
        <v>0.55163149192764049</v>
      </c>
      <c r="P55" s="91"/>
      <c r="Q55" s="91">
        <f>IFERROR(Q49/Q12,0)</f>
        <v>0.55142747799036551</v>
      </c>
      <c r="S55" s="91">
        <f t="shared" ref="S55:AD55" ca="1" si="113">IFERROR(S49/S12,0)</f>
        <v>0.58554470484656795</v>
      </c>
      <c r="T55" s="91">
        <f t="shared" ca="1" si="113"/>
        <v>0.5931462753770006</v>
      </c>
      <c r="U55" s="91">
        <f t="shared" ca="1" si="113"/>
        <v>0.59479039131615152</v>
      </c>
      <c r="V55" s="91">
        <f t="shared" ca="1" si="113"/>
        <v>0.61562295353346486</v>
      </c>
      <c r="W55" s="91">
        <f t="shared" ca="1" si="113"/>
        <v>0.6160663695614127</v>
      </c>
      <c r="X55" s="91">
        <f t="shared" ca="1" si="113"/>
        <v>0.59035680215268971</v>
      </c>
      <c r="Y55" s="91">
        <f t="shared" ca="1" si="113"/>
        <v>0.5974115428801352</v>
      </c>
      <c r="Z55" s="91">
        <f t="shared" ca="1" si="113"/>
        <v>0.5906501135055261</v>
      </c>
      <c r="AA55" s="91">
        <f t="shared" ca="1" si="113"/>
        <v>0.59713763876348769</v>
      </c>
      <c r="AB55" s="91">
        <f t="shared" ca="1" si="113"/>
        <v>0.58839629857732723</v>
      </c>
      <c r="AC55" s="91">
        <f t="shared" ca="1" si="113"/>
        <v>0.57275920814034853</v>
      </c>
      <c r="AD55" s="91">
        <f t="shared" ca="1" si="113"/>
        <v>0.58440193287861164</v>
      </c>
      <c r="AE55" s="91"/>
      <c r="AF55" s="91">
        <f ca="1">IFERROR(AF49/AF12,0)</f>
        <v>0.59524169827809992</v>
      </c>
      <c r="AH55" s="91">
        <f t="shared" ref="AH55:AS55" ca="1" si="114">IFERROR(AH49/AH12,0)</f>
        <v>0.58033548674330171</v>
      </c>
      <c r="AI55" s="91">
        <f t="shared" ca="1" si="114"/>
        <v>0.60036679303226248</v>
      </c>
      <c r="AJ55" s="91">
        <f t="shared" ca="1" si="114"/>
        <v>0.60493748833563732</v>
      </c>
      <c r="AK55" s="91">
        <f t="shared" ca="1" si="114"/>
        <v>0.61375909883743374</v>
      </c>
      <c r="AL55" s="91">
        <f t="shared" ca="1" si="114"/>
        <v>0.60604958336892167</v>
      </c>
      <c r="AM55" s="91">
        <f t="shared" ca="1" si="114"/>
        <v>0.59045573775664395</v>
      </c>
      <c r="AN55" s="91">
        <f t="shared" ca="1" si="114"/>
        <v>0.60107906352998675</v>
      </c>
      <c r="AO55" s="91">
        <f t="shared" ca="1" si="114"/>
        <v>0.59766735152742267</v>
      </c>
      <c r="AP55" s="91">
        <f t="shared" ca="1" si="114"/>
        <v>0.60978029113240195</v>
      </c>
      <c r="AQ55" s="91">
        <f t="shared" ca="1" si="114"/>
        <v>0.60404886291401017</v>
      </c>
      <c r="AR55" s="91">
        <f t="shared" ca="1" si="114"/>
        <v>0.60355243602892505</v>
      </c>
      <c r="AS55" s="91">
        <f t="shared" ca="1" si="114"/>
        <v>0.59169182291013944</v>
      </c>
      <c r="AT55" s="91"/>
      <c r="AU55" s="91">
        <f ca="1">IFERROR(AU49/AU12,0)</f>
        <v>0.602066746101661</v>
      </c>
    </row>
    <row r="56" spans="2:47">
      <c r="D56" s="53"/>
      <c r="E56" s="53"/>
      <c r="F56" s="53"/>
      <c r="G56" s="53"/>
      <c r="H56" s="53"/>
      <c r="I56" s="53"/>
      <c r="J56" s="53"/>
      <c r="K56" s="53"/>
      <c r="L56" s="53"/>
      <c r="Q56" s="51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1"/>
      <c r="AE56" s="91"/>
      <c r="AF56" s="91"/>
      <c r="AU56" s="51"/>
    </row>
    <row r="57" spans="2:47" outlineLevel="1">
      <c r="B57" s="58" t="s">
        <v>121</v>
      </c>
      <c r="D57" s="53"/>
      <c r="E57" s="53"/>
      <c r="F57" s="53"/>
      <c r="G57" s="53"/>
      <c r="H57" s="53"/>
      <c r="I57" s="53"/>
      <c r="J57" s="53"/>
      <c r="K57" s="53"/>
      <c r="L57" s="53"/>
      <c r="Q57" s="51"/>
      <c r="AF57" s="51"/>
      <c r="AU57" s="51"/>
    </row>
    <row r="58" spans="2:47" outlineLevel="1">
      <c r="D58" s="53"/>
      <c r="E58" s="53"/>
      <c r="F58" s="53"/>
      <c r="G58" s="53"/>
      <c r="H58" s="53"/>
      <c r="I58" s="53"/>
      <c r="J58" s="53"/>
      <c r="K58" s="53"/>
      <c r="L58" s="53"/>
      <c r="Q58" s="51"/>
      <c r="AF58" s="51"/>
      <c r="AU58" s="51"/>
    </row>
    <row r="59" spans="2:47" outlineLevel="1">
      <c r="B59" s="51" t="s">
        <v>122</v>
      </c>
      <c r="D59" s="59"/>
      <c r="E59" s="59"/>
      <c r="F59" s="59"/>
      <c r="G59" s="59"/>
      <c r="H59" s="59"/>
      <c r="I59" s="59"/>
      <c r="J59" s="59"/>
      <c r="K59" s="59"/>
      <c r="L59" s="59">
        <v>-604</v>
      </c>
      <c r="M59" s="60">
        <v>-1645</v>
      </c>
      <c r="N59" s="60">
        <v>-1410</v>
      </c>
      <c r="O59" s="60">
        <v>-924</v>
      </c>
      <c r="P59" s="60"/>
      <c r="Q59" s="61">
        <f t="shared" ref="Q59:Q69" si="115">SUM(D59:O59)</f>
        <v>-4583</v>
      </c>
      <c r="R59" s="60"/>
      <c r="S59" s="60">
        <f>-SUMIF(ES!$C$4:$C$42,"Marketing Budget",ES!Q$4:Q$42)</f>
        <v>-9422.6</v>
      </c>
      <c r="T59" s="60">
        <f>-SUMIF(ES!$C$4:$C$42,"Marketing Budget",ES!R$4:R$42)</f>
        <v>-44094</v>
      </c>
      <c r="U59" s="60">
        <f>-SUMIF(ES!$C$4:$C$42,"Marketing Budget",ES!S$4:S$42)</f>
        <v>-36761.4</v>
      </c>
      <c r="V59" s="60">
        <f>-SUMIF(ES!$C$4:$C$42,"Marketing Budget",ES!T$4:T$42)</f>
        <v>-13458.500000000002</v>
      </c>
      <c r="W59" s="60">
        <f>-SUMIF(ES!$C$4:$C$42,"Marketing Budget",ES!U$4:U$42)</f>
        <v>-23946.2</v>
      </c>
      <c r="X59" s="60">
        <f>-SUMIF(ES!$C$4:$C$42,"Marketing Budget",ES!V$4:V$42)</f>
        <v>-31708</v>
      </c>
      <c r="Y59" s="60">
        <f>-SUMIF(ES!$C$4:$C$42,"Marketing Budget",ES!W$4:W$42)</f>
        <v>-16884</v>
      </c>
      <c r="Z59" s="60">
        <f>-SUMIF(ES!$C$4:$C$42,"Marketing Budget",ES!X$4:X$42)</f>
        <v>-11718</v>
      </c>
      <c r="AA59" s="60">
        <f>-SUMIF(ES!$C$4:$C$42,"Marketing Budget",ES!Y$4:Y$42)</f>
        <v>-30000</v>
      </c>
      <c r="AB59" s="60">
        <f>-SUMIF(ES!$C$4:$C$42,"Marketing Budget",ES!Z$4:Z$42)</f>
        <v>-30000</v>
      </c>
      <c r="AC59" s="60">
        <f>-SUMIF(ES!$C$4:$C$42,"Marketing Budget",ES!AA$4:AA$42)</f>
        <v>-16000</v>
      </c>
      <c r="AD59" s="60">
        <f>-SUMIF(ES!$C$4:$C$42,"Marketing Budget",ES!AB$4:AB$42)</f>
        <v>-16000</v>
      </c>
      <c r="AE59" s="60"/>
      <c r="AF59" s="61">
        <f>SUM(S59:AD59)</f>
        <v>-279992.7</v>
      </c>
      <c r="AH59" s="60">
        <f>-SUMIF(ES!$C$4:$C$42,"Marketing Budget",ES!AC$4:AC$42)</f>
        <v>-18845.2</v>
      </c>
      <c r="AI59" s="60">
        <f>-SUMIF(ES!$C$4:$C$42,"Marketing Budget",ES!AD$4:AD$42)</f>
        <v>-88188</v>
      </c>
      <c r="AJ59" s="60">
        <f>-SUMIF(ES!$C$4:$C$42,"Marketing Budget",ES!AE$4:AE$42)</f>
        <v>-73522.8</v>
      </c>
      <c r="AK59" s="60">
        <f>-SUMIF(ES!$C$4:$C$42,"Marketing Budget",ES!AF$4:AF$42)</f>
        <v>-26917.000000000004</v>
      </c>
      <c r="AL59" s="60">
        <f>-SUMIF(ES!$C$4:$C$42,"Marketing Budget",ES!AG$4:AG$42)</f>
        <v>-47892.4</v>
      </c>
      <c r="AM59" s="60">
        <f>-SUMIF(ES!$C$4:$C$42,"Marketing Budget",ES!AH$4:AH$42)</f>
        <v>-63416</v>
      </c>
      <c r="AN59" s="60">
        <f>-SUMIF(ES!$C$4:$C$42,"Marketing Budget",ES!AI$4:AI$42)</f>
        <v>-33768</v>
      </c>
      <c r="AO59" s="60">
        <f>-SUMIF(ES!$C$4:$C$42,"Marketing Budget",ES!AJ$4:AJ$42)</f>
        <v>-23436</v>
      </c>
      <c r="AP59" s="60">
        <f>-SUMIF(ES!$C$4:$C$42,"Marketing Budget",ES!AK$4:AK$42)</f>
        <v>-60000</v>
      </c>
      <c r="AQ59" s="60">
        <f>-SUMIF(ES!$C$4:$C$42,"Marketing Budget",ES!AL$4:AL$42)</f>
        <v>-60000</v>
      </c>
      <c r="AR59" s="60">
        <f>-SUMIF(ES!$C$4:$C$42,"Marketing Budget",ES!AM$4:AM$42)</f>
        <v>-32000</v>
      </c>
      <c r="AS59" s="60">
        <f>-SUMIF(ES!$C$4:$C$42,"Marketing Budget",ES!AN$4:AN$42)</f>
        <v>-32000</v>
      </c>
      <c r="AT59" s="60"/>
      <c r="AU59" s="61">
        <f t="shared" ref="AU59" si="116">SUM(AH59:AS59)</f>
        <v>-559985.4</v>
      </c>
    </row>
    <row r="60" spans="2:47" outlineLevel="1">
      <c r="B60" s="51" t="s">
        <v>123</v>
      </c>
      <c r="D60" s="59">
        <v>0</v>
      </c>
      <c r="E60" s="59">
        <v>0</v>
      </c>
      <c r="F60" s="59">
        <v>-283.62</v>
      </c>
      <c r="G60" s="59">
        <v>-375.16</v>
      </c>
      <c r="H60" s="59">
        <v>-285.56</v>
      </c>
      <c r="I60" s="59">
        <v>-422.92</v>
      </c>
      <c r="J60" s="59">
        <v>-526.64</v>
      </c>
      <c r="K60" s="59">
        <v>-367.39</v>
      </c>
      <c r="L60" s="59">
        <v>-314</v>
      </c>
      <c r="M60" s="60">
        <v>-1000</v>
      </c>
      <c r="N60" s="60" t="s">
        <v>184</v>
      </c>
      <c r="O60" s="60">
        <v>-2000</v>
      </c>
      <c r="P60" s="60"/>
      <c r="Q60" s="61">
        <f>SUM(D60:O60)</f>
        <v>-5575.29</v>
      </c>
      <c r="S60" s="60">
        <f>-SUMIF(ES!$C$4:$C$42,"Brand Spend",ES!Q$4:Q$42)</f>
        <v>-10000</v>
      </c>
      <c r="T60" s="60">
        <f>-SUMIF(ES!$C$4:$C$42,"Brand Spend",ES!R$4:R$42)</f>
        <v>-5000</v>
      </c>
      <c r="U60" s="60">
        <f>-SUMIF(ES!$C$4:$C$42,"Brand Spend",ES!S$4:S$42)</f>
        <v>-5000</v>
      </c>
      <c r="V60" s="60">
        <f>-SUMIF(ES!$C$4:$C$42,"Brand Spend",ES!T$4:T$42)</f>
        <v>-2500</v>
      </c>
      <c r="W60" s="60">
        <f>-SUMIF(ES!$C$4:$C$42,"Brand Spend",ES!U$4:U$42)</f>
        <v>-2500</v>
      </c>
      <c r="X60" s="60">
        <f>-SUMIF(ES!$C$4:$C$42,"Brand Spend",ES!V$4:V$42)</f>
        <v>-5000</v>
      </c>
      <c r="Y60" s="60">
        <f>-SUMIF(ES!$C$4:$C$42,"Brand Spend",ES!W$4:W$42)</f>
        <v>-2500</v>
      </c>
      <c r="Z60" s="60">
        <f>-SUMIF(ES!$C$4:$C$42,"Brand Spend",ES!X$4:X$42)</f>
        <v>-5000</v>
      </c>
      <c r="AA60" s="60">
        <f>-SUMIF(ES!$C$4:$C$42,"Brand Spend",ES!Y$4:Y$42)</f>
        <v>-5000</v>
      </c>
      <c r="AB60" s="60">
        <f>-SUMIF(ES!$C$4:$C$42,"Brand Spend",ES!Z$4:Z$42)</f>
        <v>-2500</v>
      </c>
      <c r="AC60" s="60">
        <f>-SUMIF(ES!$C$4:$C$42,"Brand Spend",ES!AA$4:AA$42)</f>
        <v>-2500</v>
      </c>
      <c r="AD60" s="60">
        <f>-SUMIF(ES!$C$4:$C$42,"Brand Spend",ES!AB$4:AB$42)</f>
        <v>-2500</v>
      </c>
      <c r="AE60" s="60"/>
      <c r="AF60" s="61">
        <f t="shared" ref="AF60:AF68" si="117">SUM(S60:AD60)</f>
        <v>-50000</v>
      </c>
      <c r="AH60" s="60">
        <f>-SUMIF(ES!$C$4:$C$42,"Brand Spend",ES!AC$4:AC$42)</f>
        <v>-10000</v>
      </c>
      <c r="AI60" s="60">
        <f>-SUMIF(ES!$C$4:$C$42,"Brand Spend",ES!AD$4:AD$42)</f>
        <v>-5000</v>
      </c>
      <c r="AJ60" s="60">
        <f>-SUMIF(ES!$C$4:$C$42,"Brand Spend",ES!AE$4:AE$42)</f>
        <v>-5000</v>
      </c>
      <c r="AK60" s="60">
        <f>-SUMIF(ES!$C$4:$C$42,"Brand Spend",ES!AF$4:AF$42)</f>
        <v>-2500</v>
      </c>
      <c r="AL60" s="60">
        <f>-SUMIF(ES!$C$4:$C$42,"Brand Spend",ES!AG$4:AG$42)</f>
        <v>-2500</v>
      </c>
      <c r="AM60" s="60">
        <f>-SUMIF(ES!$C$4:$C$42,"Brand Spend",ES!AH$4:AH$42)</f>
        <v>-5000</v>
      </c>
      <c r="AN60" s="60">
        <f>-SUMIF(ES!$C$4:$C$42,"Brand Spend",ES!AI$4:AI$42)</f>
        <v>-2500</v>
      </c>
      <c r="AO60" s="60">
        <f>-SUMIF(ES!$C$4:$C$42,"Brand Spend",ES!AJ$4:AJ$42)</f>
        <v>-5000</v>
      </c>
      <c r="AP60" s="60">
        <f>-SUMIF(ES!$C$4:$C$42,"Brand Spend",ES!AK$4:AK$42)</f>
        <v>-5000</v>
      </c>
      <c r="AQ60" s="60">
        <f>-SUMIF(ES!$C$4:$C$42,"Brand Spend",ES!AL$4:AL$42)</f>
        <v>-2500</v>
      </c>
      <c r="AR60" s="60">
        <f>-SUMIF(ES!$C$4:$C$42,"Brand Spend",ES!AM$4:AM$42)</f>
        <v>-2500</v>
      </c>
      <c r="AS60" s="60">
        <f>-SUMIF(ES!$C$4:$C$42,"Brand Spend",ES!AN$4:AN$42)</f>
        <v>-2500</v>
      </c>
      <c r="AT60" s="60"/>
      <c r="AU60" s="61">
        <f>SUM(AH60:AS60)</f>
        <v>-50000</v>
      </c>
    </row>
    <row r="61" spans="2:47" outlineLevel="2">
      <c r="B61" s="51" t="s">
        <v>124</v>
      </c>
      <c r="D61" s="59">
        <v>0</v>
      </c>
      <c r="E61" s="59">
        <v>0</v>
      </c>
      <c r="F61" s="59">
        <v>0</v>
      </c>
      <c r="G61" s="59">
        <v>0</v>
      </c>
      <c r="H61" s="59">
        <v>0</v>
      </c>
      <c r="I61" s="59">
        <v>0</v>
      </c>
      <c r="J61" s="59">
        <v>-56.52</v>
      </c>
      <c r="K61" s="59">
        <v>0</v>
      </c>
      <c r="L61" s="59">
        <v>-13966</v>
      </c>
      <c r="M61" s="60">
        <v>-15400</v>
      </c>
      <c r="N61" s="60">
        <v>-8400</v>
      </c>
      <c r="O61" s="60">
        <v>-8500</v>
      </c>
      <c r="P61" s="60"/>
      <c r="Q61" s="61">
        <f t="shared" si="115"/>
        <v>-46322.520000000004</v>
      </c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1">
        <f t="shared" si="117"/>
        <v>0</v>
      </c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1">
        <f t="shared" ref="AU61:AU69" si="118">SUM(AH61:AS61)</f>
        <v>0</v>
      </c>
    </row>
    <row r="62" spans="2:47" outlineLevel="2">
      <c r="B62" s="51" t="s">
        <v>125</v>
      </c>
      <c r="D62" s="59">
        <v>-5434.09</v>
      </c>
      <c r="E62" s="59">
        <v>-15176.25</v>
      </c>
      <c r="F62" s="59">
        <v>-5181.41</v>
      </c>
      <c r="G62" s="59">
        <v>-12180.64</v>
      </c>
      <c r="H62" s="59">
        <v>-10371.1</v>
      </c>
      <c r="I62" s="59">
        <v>-16643.98</v>
      </c>
      <c r="J62" s="59">
        <v>-7830.34</v>
      </c>
      <c r="K62" s="59">
        <v>-8191.06</v>
      </c>
      <c r="L62" s="59">
        <v>-2540</v>
      </c>
      <c r="M62" s="60">
        <v>-1400</v>
      </c>
      <c r="N62" s="60">
        <v>-1157</v>
      </c>
      <c r="O62" s="60">
        <v>-757</v>
      </c>
      <c r="P62" s="60"/>
      <c r="Q62" s="61">
        <f t="shared" si="115"/>
        <v>-86862.87</v>
      </c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1">
        <f t="shared" si="117"/>
        <v>0</v>
      </c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1">
        <f t="shared" si="118"/>
        <v>0</v>
      </c>
    </row>
    <row r="63" spans="2:47" outlineLevel="2">
      <c r="B63" s="51" t="s">
        <v>126</v>
      </c>
      <c r="D63" s="59">
        <v>-1176.93</v>
      </c>
      <c r="E63" s="59">
        <v>-862.13</v>
      </c>
      <c r="F63" s="59">
        <v>-777.02</v>
      </c>
      <c r="G63" s="59">
        <v>-2144.92</v>
      </c>
      <c r="H63" s="59">
        <v>-1176.57</v>
      </c>
      <c r="I63" s="59">
        <v>-1397.83</v>
      </c>
      <c r="J63" s="59">
        <v>-2379</v>
      </c>
      <c r="K63" s="59">
        <v>-1667.95</v>
      </c>
      <c r="L63" s="59">
        <v>-3186</v>
      </c>
      <c r="M63" s="60">
        <v>-700</v>
      </c>
      <c r="N63" s="60">
        <v>-350</v>
      </c>
      <c r="O63" s="60">
        <v>-850</v>
      </c>
      <c r="P63" s="60"/>
      <c r="Q63" s="61">
        <f t="shared" si="115"/>
        <v>-16668.349999999999</v>
      </c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1">
        <f t="shared" si="117"/>
        <v>0</v>
      </c>
      <c r="AH63" s="60"/>
      <c r="AI63" s="60"/>
      <c r="AJ63" s="60"/>
      <c r="AK63" s="60"/>
      <c r="AL63" s="60"/>
      <c r="AM63" s="60"/>
      <c r="AN63" s="60"/>
      <c r="AO63" s="60"/>
      <c r="AP63" s="60"/>
      <c r="AQ63" s="60"/>
      <c r="AR63" s="60"/>
      <c r="AS63" s="60"/>
      <c r="AT63" s="60"/>
      <c r="AU63" s="61">
        <f t="shared" si="118"/>
        <v>0</v>
      </c>
    </row>
    <row r="64" spans="2:47" outlineLevel="2">
      <c r="B64" s="51" t="s">
        <v>127</v>
      </c>
      <c r="D64" s="59">
        <v>0</v>
      </c>
      <c r="E64" s="59">
        <v>0</v>
      </c>
      <c r="F64" s="59">
        <v>0</v>
      </c>
      <c r="G64" s="59">
        <v>0</v>
      </c>
      <c r="H64" s="59">
        <v>0</v>
      </c>
      <c r="I64" s="59">
        <v>-1558.22</v>
      </c>
      <c r="J64" s="59">
        <v>-1850.96</v>
      </c>
      <c r="K64" s="59">
        <v>-1456.02</v>
      </c>
      <c r="L64" s="59">
        <f>-4000-5</f>
        <v>-4005</v>
      </c>
      <c r="M64" s="60"/>
      <c r="N64" s="60"/>
      <c r="O64" s="60"/>
      <c r="P64" s="60"/>
      <c r="Q64" s="61">
        <f t="shared" si="115"/>
        <v>-8870.2000000000007</v>
      </c>
      <c r="S64" s="60">
        <f>-SUMIFS(B2B!V:V,B2B!$B:$B,"ES",B2B!$D:$D,$B64)</f>
        <v>-2700</v>
      </c>
      <c r="T64" s="60">
        <f>-SUMIFS(B2B!W:W,B2B!$B:$B,"ES",B2B!$D:$D,$B64)</f>
        <v>-4500</v>
      </c>
      <c r="U64" s="60">
        <f>-SUMIFS(B2B!X:X,B2B!$B:$B,"ES",B2B!$D:$D,$B64)</f>
        <v>-4140</v>
      </c>
      <c r="V64" s="60">
        <f>-SUMIFS(B2B!Y:Y,B2B!$B:$B,"ES",B2B!$D:$D,$B64)</f>
        <v>-7250</v>
      </c>
      <c r="W64" s="60">
        <f>-SUMIFS(B2B!Z:Z,B2B!$B:$B,"ES",B2B!$D:$D,$B64)</f>
        <v>-5921.1353711790398</v>
      </c>
      <c r="X64" s="60">
        <f>-SUMIFS(B2B!AA:AA,B2B!$B:$B,"ES",B2B!$D:$D,$B64)</f>
        <v>-2960.5676855895199</v>
      </c>
      <c r="Y64" s="60">
        <f>-SUMIFS(B2B!AB:AB,B2B!$B:$B,"ES",B2B!$D:$D,$B64)</f>
        <v>-3947.4235807860264</v>
      </c>
      <c r="Z64" s="60">
        <f>-SUMIFS(B2B!AC:AC,B2B!$B:$B,"ES",B2B!$D:$D,$B64)</f>
        <v>-4553.7117903930102</v>
      </c>
      <c r="AA64" s="60">
        <f>-SUMIFS(B2B!AD:AD,B2B!$B:$B,"ES",B2B!$D:$D,$B64)</f>
        <v>-4847.4235807860259</v>
      </c>
      <c r="AB64" s="60">
        <f>-SUMIFS(B2B!AE:AE,B2B!$B:$B,"ES",B2B!$D:$D,$B64)</f>
        <v>-5921.1353711790398</v>
      </c>
      <c r="AC64" s="60">
        <f>-SUMIFS(B2B!AF:AF,B2B!$B:$B,"ES",B2B!$D:$D,$B64)</f>
        <v>-3947.4235807860264</v>
      </c>
      <c r="AD64" s="60">
        <f>-SUMIFS(B2B!AG:AG,B2B!$B:$B,"ES",B2B!$D:$D,$B64)</f>
        <v>-3947.4235807860264</v>
      </c>
      <c r="AE64" s="60"/>
      <c r="AF64" s="61">
        <f t="shared" si="117"/>
        <v>-54636.244541484702</v>
      </c>
      <c r="AH64" s="60">
        <f>-SUMIFS(B2B!AK:AK,B2B!$B:$B,"ES",B2B!$D:$D,$B64)</f>
        <v>-2916.0000000000005</v>
      </c>
      <c r="AI64" s="60">
        <f>-SUMIFS(B2B!AL:AL,B2B!$B:$B,"ES",B2B!$D:$D,$B64)</f>
        <v>-10129.039944</v>
      </c>
      <c r="AJ64" s="60">
        <f>-SUMIFS(B2B!AM:AM,B2B!$B:$B,"ES",B2B!$D:$D,$B64)</f>
        <v>-13025.449720000001</v>
      </c>
      <c r="AK64" s="60">
        <f>-SUMIFS(B2B!AN:AN,B2B!$B:$B,"ES",B2B!$D:$D,$B64)</f>
        <v>-10709.21436</v>
      </c>
      <c r="AL64" s="60">
        <f>-SUMIFS(B2B!AO:AO,B2B!$B:$B,"ES",B2B!$D:$D,$B64)</f>
        <v>-10533.075019737991</v>
      </c>
      <c r="AM64" s="60">
        <f>-SUMIFS(B2B!AP:AP,B2B!$B:$B,"ES",B2B!$D:$D,$B64)</f>
        <v>-5240.6096698689962</v>
      </c>
      <c r="AN64" s="60">
        <f>-SUMIFS(B2B!AQ:AQ,B2B!$B:$B,"ES",B2B!$D:$D,$B64)</f>
        <v>-8390.4180238253284</v>
      </c>
      <c r="AO64" s="60">
        <f>-SUMIFS(B2B!AR:AR,B2B!$B:$B,"ES",B2B!$D:$D,$B64)</f>
        <v>-7638.5874919126609</v>
      </c>
      <c r="AP64" s="60">
        <f>-SUMIFS(B2B!AS:AS,B2B!$B:$B,"ES",B2B!$D:$D,$B64)</f>
        <v>-19229.862155825329</v>
      </c>
      <c r="AQ64" s="60">
        <f>-SUMIFS(B2B!AT:AT,B2B!$B:$B,"ES",B2B!$D:$D,$B64)</f>
        <v>-13943.047531737993</v>
      </c>
      <c r="AR64" s="60">
        <f>-SUMIFS(B2B!AU:AU,B2B!$B:$B,"ES",B2B!$D:$D,$B64)</f>
        <v>-13389.244407825327</v>
      </c>
      <c r="AS64" s="60">
        <f>-SUMIFS(B2B!AV:AV,B2B!$B:$B,"ES",B2B!$D:$D,$B64)</f>
        <v>-7685.1715598253286</v>
      </c>
      <c r="AT64" s="60"/>
      <c r="AU64" s="61">
        <f t="shared" si="118"/>
        <v>-122829.71988455896</v>
      </c>
    </row>
    <row r="65" spans="2:47" outlineLevel="2">
      <c r="B65" s="51" t="s">
        <v>128</v>
      </c>
      <c r="D65" s="59">
        <v>-2773.38</v>
      </c>
      <c r="E65" s="59">
        <v>-4690.3500000000004</v>
      </c>
      <c r="F65" s="59">
        <v>-5440</v>
      </c>
      <c r="G65" s="59">
        <v>-7400</v>
      </c>
      <c r="H65" s="59">
        <v>-4000</v>
      </c>
      <c r="I65" s="59">
        <v>-4000</v>
      </c>
      <c r="J65" s="59">
        <v>-4000</v>
      </c>
      <c r="K65" s="59">
        <v>-4000</v>
      </c>
      <c r="L65" s="59">
        <v>0</v>
      </c>
      <c r="M65" s="60"/>
      <c r="N65" s="60"/>
      <c r="O65" s="60"/>
      <c r="P65" s="60"/>
      <c r="Q65" s="61">
        <f t="shared" si="115"/>
        <v>-36303.729999999996</v>
      </c>
      <c r="S65" s="60">
        <f>-SUMIFS(B2B!V:V,B2B!$B:$B,"ES",B2B!$D:$D,$B65)</f>
        <v>-1350</v>
      </c>
      <c r="T65" s="60">
        <f>-SUMIFS(B2B!W:W,B2B!$B:$B,"ES",B2B!$D:$D,$B65)</f>
        <v>-2250</v>
      </c>
      <c r="U65" s="60">
        <f>-SUMIFS(B2B!X:X,B2B!$B:$B,"ES",B2B!$D:$D,$B65)</f>
        <v>-2070</v>
      </c>
      <c r="V65" s="60">
        <f>-SUMIFS(B2B!Y:Y,B2B!$B:$B,"ES",B2B!$D:$D,$B65)</f>
        <v>-5225</v>
      </c>
      <c r="W65" s="60">
        <f>-SUMIFS(B2B!Z:Z,B2B!$B:$B,"ES",B2B!$D:$D,$B65)</f>
        <v>-3491.1353711790393</v>
      </c>
      <c r="X65" s="60">
        <f>-SUMIFS(B2B!AA:AA,B2B!$B:$B,"ES",B2B!$D:$D,$B65)</f>
        <v>-1745.5676855895197</v>
      </c>
      <c r="Y65" s="60">
        <f>-SUMIFS(B2B!AB:AB,B2B!$B:$B,"ES",B2B!$D:$D,$B65)</f>
        <v>-2327.4235807860264</v>
      </c>
      <c r="Z65" s="60">
        <f>-SUMIFS(B2B!AC:AC,B2B!$B:$B,"ES",B2B!$D:$D,$B65)</f>
        <v>-2653.7117903930102</v>
      </c>
      <c r="AA65" s="60">
        <f>-SUMIFS(B2B!AD:AD,B2B!$B:$B,"ES",B2B!$D:$D,$B65)</f>
        <v>-2777.4235807860264</v>
      </c>
      <c r="AB65" s="60">
        <f>-SUMIFS(B2B!AE:AE,B2B!$B:$B,"ES",B2B!$D:$D,$B65)</f>
        <v>-3491.1353711790393</v>
      </c>
      <c r="AC65" s="60">
        <f>-SUMIFS(B2B!AF:AF,B2B!$B:$B,"ES",B2B!$D:$D,$B65)</f>
        <v>-2327.4235807860264</v>
      </c>
      <c r="AD65" s="60">
        <f>-SUMIFS(B2B!AG:AG,B2B!$B:$B,"ES",B2B!$D:$D,$B65)</f>
        <v>-2327.4235807860264</v>
      </c>
      <c r="AE65" s="60"/>
      <c r="AF65" s="61">
        <f t="shared" si="117"/>
        <v>-32036.244541484717</v>
      </c>
      <c r="AH65" s="60">
        <f>-SUMIFS(B2B!AK:AK,B2B!$B:$B,"ES",B2B!$D:$D,$B65)</f>
        <v>-1458.0000000000002</v>
      </c>
      <c r="AI65" s="60">
        <f>-SUMIFS(B2B!AL:AL,B2B!$B:$B,"ES",B2B!$D:$D,$B65)</f>
        <v>-5064.5199720000001</v>
      </c>
      <c r="AJ65" s="60">
        <f>-SUMIFS(B2B!AM:AM,B2B!$B:$B,"ES",B2B!$D:$D,$B65)</f>
        <v>-6512.7248600000003</v>
      </c>
      <c r="AK65" s="60">
        <f>-SUMIFS(B2B!AN:AN,B2B!$B:$B,"ES",B2B!$D:$D,$B65)</f>
        <v>-7034.60718</v>
      </c>
      <c r="AL65" s="60">
        <f>-SUMIFS(B2B!AO:AO,B2B!$B:$B,"ES",B2B!$D:$D,$B65)</f>
        <v>-5823.6335797379916</v>
      </c>
      <c r="AM65" s="60">
        <f>-SUMIFS(B2B!AP:AP,B2B!$B:$B,"ES",B2B!$D:$D,$B65)</f>
        <v>-2898.8528698689961</v>
      </c>
      <c r="AN65" s="60">
        <f>-SUMIFS(B2B!AQ:AQ,B2B!$B:$B,"ES",B2B!$D:$D,$B65)</f>
        <v>-4566.6063918253276</v>
      </c>
      <c r="AO65" s="60">
        <f>-SUMIFS(B2B!AR:AR,B2B!$B:$B,"ES",B2B!$D:$D,$B65)</f>
        <v>-4214.9924359126608</v>
      </c>
      <c r="AP65" s="60">
        <f>-SUMIFS(B2B!AS:AS,B2B!$B:$B,"ES",B2B!$D:$D,$B65)</f>
        <v>-9986.3284578253279</v>
      </c>
      <c r="AQ65" s="60">
        <f>-SUMIFS(B2B!AT:AT,B2B!$B:$B,"ES",B2B!$D:$D,$B65)</f>
        <v>-7528.6198357379926</v>
      </c>
      <c r="AR65" s="60">
        <f>-SUMIFS(B2B!AU:AU,B2B!$B:$B,"ES",B2B!$D:$D,$B65)</f>
        <v>-7066.0195838253276</v>
      </c>
      <c r="AS65" s="60">
        <f>-SUMIFS(B2B!AV:AV,B2B!$B:$B,"ES",B2B!$D:$D,$B65)</f>
        <v>-4213.9831598253277</v>
      </c>
      <c r="AT65" s="60"/>
      <c r="AU65" s="61">
        <f t="shared" si="118"/>
        <v>-66368.888326558954</v>
      </c>
    </row>
    <row r="66" spans="2:47" outlineLevel="2">
      <c r="B66" s="51" t="s">
        <v>166</v>
      </c>
      <c r="D66" s="59"/>
      <c r="E66" s="59"/>
      <c r="F66" s="59"/>
      <c r="G66" s="59"/>
      <c r="H66" s="59"/>
      <c r="I66" s="59"/>
      <c r="J66" s="59"/>
      <c r="K66" s="59"/>
      <c r="L66" s="59"/>
      <c r="M66" s="60"/>
      <c r="N66" s="60"/>
      <c r="O66" s="60"/>
      <c r="P66" s="60"/>
      <c r="Q66" s="61"/>
      <c r="S66" s="60">
        <f>-SUMIFS(B2B!V:V,B2B!$B:$B,"ES",B2B!$D:$D,$B66)</f>
        <v>-1350</v>
      </c>
      <c r="T66" s="60">
        <f>-SUMIFS(B2B!W:W,B2B!$B:$B,"ES",B2B!$D:$D,$B66)</f>
        <v>-2250</v>
      </c>
      <c r="U66" s="60">
        <f>-SUMIFS(B2B!X:X,B2B!$B:$B,"ES",B2B!$D:$D,$B66)</f>
        <v>-2070</v>
      </c>
      <c r="V66" s="60">
        <f>-SUMIFS(B2B!Y:Y,B2B!$B:$B,"ES",B2B!$D:$D,$B66)</f>
        <v>-5225</v>
      </c>
      <c r="W66" s="60">
        <f>-SUMIFS(B2B!Z:Z,B2B!$B:$B,"ES",B2B!$D:$D,$B66)</f>
        <v>-3491.1353711790393</v>
      </c>
      <c r="X66" s="60">
        <f>-SUMIFS(B2B!AA:AA,B2B!$B:$B,"ES",B2B!$D:$D,$B66)</f>
        <v>-1745.5676855895197</v>
      </c>
      <c r="Y66" s="60">
        <f>-SUMIFS(B2B!AB:AB,B2B!$B:$B,"ES",B2B!$D:$D,$B66)</f>
        <v>-2327.4235807860264</v>
      </c>
      <c r="Z66" s="60">
        <f>-SUMIFS(B2B!AC:AC,B2B!$B:$B,"ES",B2B!$D:$D,$B66)</f>
        <v>-2653.7117903930102</v>
      </c>
      <c r="AA66" s="60">
        <f>-SUMIFS(B2B!AD:AD,B2B!$B:$B,"ES",B2B!$D:$D,$B66)</f>
        <v>-2777.4235807860264</v>
      </c>
      <c r="AB66" s="60">
        <f>-SUMIFS(B2B!AE:AE,B2B!$B:$B,"ES",B2B!$D:$D,$B66)</f>
        <v>-3491.1353711790393</v>
      </c>
      <c r="AC66" s="60">
        <f>-SUMIFS(B2B!AF:AF,B2B!$B:$B,"ES",B2B!$D:$D,$B66)</f>
        <v>-2327.4235807860264</v>
      </c>
      <c r="AD66" s="60">
        <f>-SUMIFS(B2B!AG:AG,B2B!$B:$B,"ES",B2B!$D:$D,$B66)</f>
        <v>-2327.4235807860264</v>
      </c>
      <c r="AE66" s="60"/>
      <c r="AF66" s="61">
        <f t="shared" si="117"/>
        <v>-32036.244541484717</v>
      </c>
      <c r="AH66" s="60">
        <f>-SUMIFS(B2B!AK:AK,B2B!$B:$B,"ES",B2B!$D:$D,$B66)</f>
        <v>-1458.0000000000002</v>
      </c>
      <c r="AI66" s="60">
        <f>-SUMIFS(B2B!AL:AL,B2B!$B:$B,"ES",B2B!$D:$D,$B66)</f>
        <v>-5064.5199720000001</v>
      </c>
      <c r="AJ66" s="60">
        <f>-SUMIFS(B2B!AM:AM,B2B!$B:$B,"ES",B2B!$D:$D,$B66)</f>
        <v>-6512.7248600000003</v>
      </c>
      <c r="AK66" s="60">
        <f>-SUMIFS(B2B!AN:AN,B2B!$B:$B,"ES",B2B!$D:$D,$B66)</f>
        <v>-7034.60718</v>
      </c>
      <c r="AL66" s="60">
        <f>-SUMIFS(B2B!AO:AO,B2B!$B:$B,"ES",B2B!$D:$D,$B66)</f>
        <v>-5823.6335797379916</v>
      </c>
      <c r="AM66" s="60">
        <f>-SUMIFS(B2B!AP:AP,B2B!$B:$B,"ES",B2B!$D:$D,$B66)</f>
        <v>-2898.8528698689961</v>
      </c>
      <c r="AN66" s="60">
        <f>-SUMIFS(B2B!AQ:AQ,B2B!$B:$B,"ES",B2B!$D:$D,$B66)</f>
        <v>-4566.6063918253276</v>
      </c>
      <c r="AO66" s="60">
        <f>-SUMIFS(B2B!AR:AR,B2B!$B:$B,"ES",B2B!$D:$D,$B66)</f>
        <v>-4214.9924359126608</v>
      </c>
      <c r="AP66" s="60">
        <f>-SUMIFS(B2B!AS:AS,B2B!$B:$B,"ES",B2B!$D:$D,$B66)</f>
        <v>-9986.3284578253279</v>
      </c>
      <c r="AQ66" s="60">
        <f>-SUMIFS(B2B!AT:AT,B2B!$B:$B,"ES",B2B!$D:$D,$B66)</f>
        <v>-7528.6198357379926</v>
      </c>
      <c r="AR66" s="60">
        <f>-SUMIFS(B2B!AU:AU,B2B!$B:$B,"ES",B2B!$D:$D,$B66)</f>
        <v>-7066.0195838253276</v>
      </c>
      <c r="AS66" s="60">
        <f>-SUMIFS(B2B!AV:AV,B2B!$B:$B,"ES",B2B!$D:$D,$B66)</f>
        <v>-4213.9831598253277</v>
      </c>
      <c r="AT66" s="60"/>
      <c r="AU66" s="61">
        <f t="shared" ref="AU66" si="119">SUM(AH66:AS66)</f>
        <v>-66368.888326558954</v>
      </c>
    </row>
    <row r="67" spans="2:47" outlineLevel="2">
      <c r="B67" s="51" t="s">
        <v>185</v>
      </c>
      <c r="D67" s="59">
        <v>-15191.65</v>
      </c>
      <c r="E67" s="59">
        <v>0</v>
      </c>
      <c r="F67" s="59">
        <v>-14261.79</v>
      </c>
      <c r="G67" s="59">
        <v>0</v>
      </c>
      <c r="H67" s="59">
        <v>0</v>
      </c>
      <c r="I67" s="59">
        <v>0</v>
      </c>
      <c r="J67" s="59">
        <v>0</v>
      </c>
      <c r="K67" s="59">
        <v>0</v>
      </c>
      <c r="L67" s="59">
        <v>0</v>
      </c>
      <c r="M67" s="60">
        <f>-SUMIFS(B2B!O:O,B2B!$A:$A,"Trade Shows",B2B!$B:$B,"ES")</f>
        <v>0</v>
      </c>
      <c r="N67" s="60">
        <f>-SUMIFS(B2B!P:P,B2B!$A:$A,"Trade Shows",B2B!$B:$B,"ES")</f>
        <v>0</v>
      </c>
      <c r="O67" s="60">
        <f>-SUMIFS(B2B!Q:Q,B2B!$A:$A,"Trade Shows",B2B!$B:$B,"ES")</f>
        <v>0</v>
      </c>
      <c r="P67" s="60"/>
      <c r="Q67" s="61">
        <f t="shared" si="115"/>
        <v>-29453.440000000002</v>
      </c>
      <c r="S67" s="60">
        <f>-SUMIFS(B2B!V:V,B2B!$A:$A,"Trade Shows",B2B!$B:$B,"ES")</f>
        <v>0</v>
      </c>
      <c r="T67" s="60">
        <f>-SUMIFS(B2B!W:W,B2B!$A:$A,"Trade Shows",B2B!$B:$B,"ES")</f>
        <v>0</v>
      </c>
      <c r="U67" s="60">
        <f>-SUMIFS(B2B!X:X,B2B!$A:$A,"Trade Shows",B2B!$B:$B,"ES")</f>
        <v>0</v>
      </c>
      <c r="V67" s="60">
        <f>-SUMIFS(B2B!Y:Y,B2B!$A:$A,"Trade Shows",B2B!$B:$B,"ES")</f>
        <v>0</v>
      </c>
      <c r="W67" s="60">
        <f>-SUMIFS(B2B!Z:Z,B2B!$A:$A,"Trade Shows",B2B!$B:$B,"ES")</f>
        <v>0</v>
      </c>
      <c r="X67" s="60">
        <f>-SUMIFS(B2B!AA:AA,B2B!$A:$A,"Trade Shows",B2B!$B:$B,"ES")</f>
        <v>0</v>
      </c>
      <c r="Y67" s="60">
        <f>-SUMIFS(B2B!AB:AB,B2B!$A:$A,"Trade Shows",B2B!$B:$B,"ES")</f>
        <v>0</v>
      </c>
      <c r="Z67" s="60">
        <f>-SUMIFS(B2B!AC:AC,B2B!$A:$A,"Trade Shows",B2B!$B:$B,"ES")</f>
        <v>0</v>
      </c>
      <c r="AA67" s="60">
        <f>-SUMIFS(B2B!AD:AD,B2B!$A:$A,"Trade Shows",B2B!$B:$B,"ES")</f>
        <v>0</v>
      </c>
      <c r="AB67" s="60">
        <f>-SUMIFS(B2B!AE:AE,B2B!$A:$A,"Trade Shows",B2B!$B:$B,"ES")</f>
        <v>0</v>
      </c>
      <c r="AC67" s="60">
        <f>-SUMIFS(B2B!AF:AF,B2B!$A:$A,"Trade Shows",B2B!$B:$B,"ES")</f>
        <v>0</v>
      </c>
      <c r="AD67" s="60">
        <f>-SUMIFS(B2B!AG:AG,B2B!$A:$A,"Trade Shows",B2B!$B:$B,"ES")</f>
        <v>0</v>
      </c>
      <c r="AE67" s="60"/>
      <c r="AF67" s="61">
        <f t="shared" si="117"/>
        <v>0</v>
      </c>
      <c r="AH67" s="60">
        <f>-SUMIFS(B2B!AK:AK,B2B!$A:$A,"Trade Shows",B2B!$B:$B,"ES")</f>
        <v>0</v>
      </c>
      <c r="AI67" s="60">
        <f>-SUMIFS(B2B!AL:AL,B2B!$A:$A,"Trade Shows",B2B!$B:$B,"ES")</f>
        <v>0</v>
      </c>
      <c r="AJ67" s="60">
        <f>-SUMIFS(B2B!AM:AM,B2B!$A:$A,"Trade Shows",B2B!$B:$B,"ES")</f>
        <v>0</v>
      </c>
      <c r="AK67" s="60">
        <f>-SUMIFS(B2B!AN:AN,B2B!$A:$A,"Trade Shows",B2B!$B:$B,"ES")</f>
        <v>0</v>
      </c>
      <c r="AL67" s="60">
        <f>-SUMIFS(B2B!AO:AO,B2B!$A:$A,"Trade Shows",B2B!$B:$B,"ES")</f>
        <v>0</v>
      </c>
      <c r="AM67" s="60">
        <f>-SUMIFS(B2B!AP:AP,B2B!$A:$A,"Trade Shows",B2B!$B:$B,"ES")</f>
        <v>0</v>
      </c>
      <c r="AN67" s="60">
        <f>-SUMIFS(B2B!AQ:AQ,B2B!$A:$A,"Trade Shows",B2B!$B:$B,"ES")</f>
        <v>0</v>
      </c>
      <c r="AO67" s="60">
        <f>-SUMIFS(B2B!AR:AR,B2B!$A:$A,"Trade Shows",B2B!$B:$B,"ES")</f>
        <v>0</v>
      </c>
      <c r="AP67" s="60">
        <f>-SUMIFS(B2B!AS:AS,B2B!$A:$A,"Trade Shows",B2B!$B:$B,"ES")</f>
        <v>0</v>
      </c>
      <c r="AQ67" s="60">
        <f>-SUMIFS(B2B!AT:AT,B2B!$A:$A,"Trade Shows",B2B!$B:$B,"ES")</f>
        <v>0</v>
      </c>
      <c r="AR67" s="60">
        <f>-SUMIFS(B2B!AU:AU,B2B!$A:$A,"Trade Shows",B2B!$B:$B,"ES")</f>
        <v>0</v>
      </c>
      <c r="AS67" s="60">
        <f>-SUMIFS(B2B!AV:AV,B2B!$A:$A,"Trade Shows",B2B!$B:$B,"ES")</f>
        <v>0</v>
      </c>
      <c r="AT67" s="60"/>
      <c r="AU67" s="61">
        <f t="shared" si="118"/>
        <v>0</v>
      </c>
    </row>
    <row r="68" spans="2:47" outlineLevel="2">
      <c r="B68" s="51" t="s">
        <v>130</v>
      </c>
      <c r="D68" s="59">
        <v>0</v>
      </c>
      <c r="E68" s="59">
        <v>0</v>
      </c>
      <c r="F68" s="59">
        <v>0</v>
      </c>
      <c r="G68" s="59">
        <v>0</v>
      </c>
      <c r="H68" s="59">
        <v>0</v>
      </c>
      <c r="I68" s="59">
        <v>0</v>
      </c>
      <c r="J68" s="59">
        <v>0</v>
      </c>
      <c r="K68" s="59">
        <v>-3891.88</v>
      </c>
      <c r="L68" s="59">
        <v>-5117</v>
      </c>
      <c r="M68" s="60">
        <v>-1860</v>
      </c>
      <c r="N68" s="60">
        <v>-1860</v>
      </c>
      <c r="O68" s="60">
        <v>-1440</v>
      </c>
      <c r="P68" s="60"/>
      <c r="Q68" s="61">
        <f t="shared" si="115"/>
        <v>-14168.880000000001</v>
      </c>
      <c r="S68" s="60">
        <f>-SUMIF(Amazon!$A$53:$A$58,"ES",Amazon!Q53:Q58)</f>
        <v>-3692.08</v>
      </c>
      <c r="T68" s="60">
        <f>-SUMIF(Amazon!$A$53:$A$58,"ES",Amazon!R53:R58)</f>
        <v>-4867.8</v>
      </c>
      <c r="U68" s="60">
        <f>-SUMIF(Amazon!$A$53:$A$58,"ES",Amazon!S53:S58)</f>
        <v>-4648.1030000000001</v>
      </c>
      <c r="V68" s="60">
        <f>-SUMIF(Amazon!$A$53:$A$58,"ES",Amazon!T53:T58)</f>
        <v>-4649.8320000000003</v>
      </c>
      <c r="W68" s="60">
        <f>-SUMIF(Amazon!$A$53:$A$58,"ES",Amazon!U53:U58)</f>
        <v>-3658.6856000000002</v>
      </c>
      <c r="X68" s="60">
        <f>-SUMIF(Amazon!$A$53:$A$58,"ES",Amazon!V53:V58)</f>
        <v>-4546.3504000000003</v>
      </c>
      <c r="Y68" s="60">
        <f>-SUMIF(Amazon!$A$53:$A$58,"ES",Amazon!W53:W58)</f>
        <v>-4650.0600000000004</v>
      </c>
      <c r="Z68" s="60">
        <f>-SUMIF(Amazon!$A$53:$A$58,"ES",Amazon!X53:X58)</f>
        <v>-6057.0252</v>
      </c>
      <c r="AA68" s="60">
        <f>-SUMIF(Amazon!$A$53:$A$58,"ES",Amazon!Y53:Y58)</f>
        <v>-5908.0880000000006</v>
      </c>
      <c r="AB68" s="60">
        <f>-SUMIF(Amazon!$A$53:$A$58,"ES",Amazon!Z53:Z58)</f>
        <v>-8650.9318000000003</v>
      </c>
      <c r="AC68" s="60">
        <f>-SUMIF(Amazon!$A$53:$A$58,"ES",Amazon!AA53:AA58)</f>
        <v>-8641.4622000000018</v>
      </c>
      <c r="AD68" s="60">
        <f>-SUMIF(Amazon!$A$53:$A$58,"ES",Amazon!AB53:AB58)</f>
        <v>-6522.3732000000009</v>
      </c>
      <c r="AE68" s="60"/>
      <c r="AF68" s="61">
        <f t="shared" si="117"/>
        <v>-66492.791400000002</v>
      </c>
      <c r="AH68" s="60">
        <f>-SUMIF(Amazon!$A$53:$A$58,"ES",Amazon!AE53:AE58)</f>
        <v>-6500</v>
      </c>
      <c r="AI68" s="60">
        <f>-SUMIF(Amazon!$A$53:$A$58,"ES",Amazon!AF53:AF58)</f>
        <v>-7000</v>
      </c>
      <c r="AJ68" s="60">
        <f>-SUMIF(Amazon!$A$53:$A$58,"ES",Amazon!AG53:AG58)</f>
        <v>-6500</v>
      </c>
      <c r="AK68" s="60">
        <f>-SUMIF(Amazon!$A$53:$A$58,"ES",Amazon!AH53:AH58)</f>
        <v>-6500</v>
      </c>
      <c r="AL68" s="60">
        <f>-SUMIF(Amazon!$A$53:$A$58,"ES",Amazon!AI53:AI58)</f>
        <v>-6500</v>
      </c>
      <c r="AM68" s="60">
        <f>-SUMIF(Amazon!$A$53:$A$58,"ES",Amazon!AJ53:AJ58)</f>
        <v>-7500</v>
      </c>
      <c r="AN68" s="60">
        <f>-SUMIF(Amazon!$A$53:$A$58,"ES",Amazon!AK53:AK58)</f>
        <v>-6500</v>
      </c>
      <c r="AO68" s="60">
        <f>-SUMIF(Amazon!$A$53:$A$58,"ES",Amazon!AL53:AL58)</f>
        <v>-6500</v>
      </c>
      <c r="AP68" s="60">
        <f>-SUMIF(Amazon!$A$53:$A$58,"ES",Amazon!AM53:AM58)</f>
        <v>-6500</v>
      </c>
      <c r="AQ68" s="60">
        <f>-SUMIF(Amazon!$A$53:$A$58,"ES",Amazon!AN53:AN58)</f>
        <v>-7000</v>
      </c>
      <c r="AR68" s="60">
        <f>-SUMIF(Amazon!$A$53:$A$58,"ES",Amazon!AO53:AO58)</f>
        <v>-7000</v>
      </c>
      <c r="AS68" s="60">
        <f>-SUMIF(Amazon!$A$53:$A$58,"ES",Amazon!AP53:AP58)</f>
        <v>-6500</v>
      </c>
      <c r="AT68" s="60"/>
      <c r="AU68" s="61">
        <f t="shared" si="118"/>
        <v>-80500</v>
      </c>
    </row>
    <row r="69" spans="2:47" outlineLevel="2">
      <c r="B69" s="51" t="s">
        <v>131</v>
      </c>
      <c r="D69" s="59">
        <v>-1138.24</v>
      </c>
      <c r="E69" s="59">
        <v>-967.46</v>
      </c>
      <c r="F69" s="59">
        <v>-1179.77</v>
      </c>
      <c r="G69" s="59">
        <v>-1455.52</v>
      </c>
      <c r="H69" s="59">
        <v>-2085.6999999999998</v>
      </c>
      <c r="I69" s="59">
        <v>-4361.8599999999997</v>
      </c>
      <c r="J69" s="59">
        <v>-4345.63</v>
      </c>
      <c r="K69" s="59">
        <v>0</v>
      </c>
      <c r="L69" s="59">
        <v>0</v>
      </c>
      <c r="M69" s="60"/>
      <c r="N69" s="60"/>
      <c r="O69" s="60"/>
      <c r="P69" s="60"/>
      <c r="Q69" s="61">
        <f t="shared" si="115"/>
        <v>-15534.18</v>
      </c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1">
        <f t="shared" ref="AF69" si="120">SUM(S69:AD69)</f>
        <v>0</v>
      </c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1">
        <f t="shared" si="118"/>
        <v>0</v>
      </c>
    </row>
    <row r="70" spans="2:47" outlineLevel="1">
      <c r="D70" s="59"/>
      <c r="E70" s="59"/>
      <c r="F70" s="59"/>
      <c r="G70" s="59"/>
      <c r="H70" s="59"/>
      <c r="I70" s="59"/>
      <c r="J70" s="59"/>
      <c r="K70" s="59"/>
      <c r="L70" s="59"/>
      <c r="M70" s="60"/>
      <c r="N70" s="60"/>
      <c r="O70" s="60"/>
      <c r="Q70" s="61"/>
      <c r="S70" s="83"/>
      <c r="T70" s="83"/>
      <c r="U70" s="83"/>
      <c r="V70" s="83"/>
      <c r="W70" s="83"/>
      <c r="AH70" s="83"/>
      <c r="AI70" s="83"/>
      <c r="AJ70" s="83"/>
      <c r="AK70" s="83"/>
      <c r="AL70" s="83"/>
    </row>
    <row r="71" spans="2:47">
      <c r="B71" s="63" t="s">
        <v>132</v>
      </c>
      <c r="C71" s="52"/>
      <c r="D71" s="64">
        <f t="shared" ref="D71:I71" si="121">SUM(D59:D70)</f>
        <v>-25714.290000000005</v>
      </c>
      <c r="E71" s="64">
        <f t="shared" si="121"/>
        <v>-21696.19</v>
      </c>
      <c r="F71" s="64">
        <f t="shared" si="121"/>
        <v>-27123.61</v>
      </c>
      <c r="G71" s="64">
        <f t="shared" si="121"/>
        <v>-23556.240000000002</v>
      </c>
      <c r="H71" s="64">
        <f t="shared" si="121"/>
        <v>-17918.93</v>
      </c>
      <c r="I71" s="64">
        <f t="shared" si="121"/>
        <v>-28384.809999999998</v>
      </c>
      <c r="J71" s="64">
        <f t="shared" ref="J71" si="122">SUM(J59:J70)</f>
        <v>-20989.09</v>
      </c>
      <c r="K71" s="64">
        <f t="shared" ref="K71" si="123">SUM(K59:K70)</f>
        <v>-19574.300000000003</v>
      </c>
      <c r="L71" s="64">
        <f>SUM(L59:L70)</f>
        <v>-29732</v>
      </c>
      <c r="M71" s="65">
        <f t="shared" ref="M71:O71" si="124">SUM(M59:M70)</f>
        <v>-22005</v>
      </c>
      <c r="N71" s="65">
        <f t="shared" si="124"/>
        <v>-13177</v>
      </c>
      <c r="O71" s="65">
        <f t="shared" si="124"/>
        <v>-14471</v>
      </c>
      <c r="P71" s="61"/>
      <c r="Q71" s="65">
        <f>SUM(D71:O71)</f>
        <v>-264342.46000000002</v>
      </c>
      <c r="R71" s="75"/>
      <c r="S71" s="84">
        <f t="shared" ref="S71" si="125">SUM(S59:S70)</f>
        <v>-28514.68</v>
      </c>
      <c r="T71" s="84">
        <f>SUM(T59:T70)</f>
        <v>-62961.8</v>
      </c>
      <c r="U71" s="84">
        <f>SUM(U59:U70)</f>
        <v>-54689.503000000004</v>
      </c>
      <c r="V71" s="84">
        <f>SUM(V59:V70)</f>
        <v>-38308.332000000002</v>
      </c>
      <c r="W71" s="84">
        <f>SUM(W59:W70)</f>
        <v>-43008.29171353711</v>
      </c>
      <c r="X71" s="65">
        <f t="shared" ref="X71:AD71" si="126">SUM(X59:X70)</f>
        <v>-47706.053456768568</v>
      </c>
      <c r="Y71" s="65">
        <f t="shared" si="126"/>
        <v>-32636.330742358085</v>
      </c>
      <c r="Z71" s="65">
        <f t="shared" si="126"/>
        <v>-32636.160571179036</v>
      </c>
      <c r="AA71" s="65">
        <f t="shared" si="126"/>
        <v>-51310.358742358076</v>
      </c>
      <c r="AB71" s="65">
        <f t="shared" si="126"/>
        <v>-54054.337913537114</v>
      </c>
      <c r="AC71" s="65">
        <f t="shared" si="126"/>
        <v>-35743.732942358081</v>
      </c>
      <c r="AD71" s="65">
        <f t="shared" si="126"/>
        <v>-33624.643942358081</v>
      </c>
      <c r="AE71" s="61"/>
      <c r="AF71" s="65">
        <f>SUM(S71:AD71)</f>
        <v>-515194.22502445418</v>
      </c>
      <c r="AH71" s="84">
        <f t="shared" ref="AH71" si="127">SUM(AH59:AH70)</f>
        <v>-41177.200000000004</v>
      </c>
      <c r="AI71" s="84">
        <f>SUM(AI59:AI70)</f>
        <v>-120446.07988799999</v>
      </c>
      <c r="AJ71" s="84">
        <f>SUM(AJ59:AJ70)</f>
        <v>-111073.69944000001</v>
      </c>
      <c r="AK71" s="84">
        <f>SUM(AK59:AK70)</f>
        <v>-60695.428720000004</v>
      </c>
      <c r="AL71" s="84">
        <f>SUM(AL59:AL70)</f>
        <v>-79072.742179213965</v>
      </c>
      <c r="AM71" s="65">
        <f t="shared" ref="AM71:AS71" si="128">SUM(AM59:AM70)</f>
        <v>-86954.315409606977</v>
      </c>
      <c r="AN71" s="65">
        <f t="shared" si="128"/>
        <v>-60291.630807475987</v>
      </c>
      <c r="AO71" s="65">
        <f t="shared" si="128"/>
        <v>-51004.572363737978</v>
      </c>
      <c r="AP71" s="65">
        <f t="shared" si="128"/>
        <v>-110702.51907147598</v>
      </c>
      <c r="AQ71" s="65">
        <f t="shared" si="128"/>
        <v>-98500.287203213971</v>
      </c>
      <c r="AR71" s="65">
        <f t="shared" si="128"/>
        <v>-69021.283575475973</v>
      </c>
      <c r="AS71" s="65">
        <f t="shared" si="128"/>
        <v>-57113.137879475988</v>
      </c>
      <c r="AT71" s="61"/>
      <c r="AU71" s="65">
        <f>SUM(AH71:AS71)</f>
        <v>-946052.89653767669</v>
      </c>
    </row>
    <row r="72" spans="2:47">
      <c r="D72" s="97"/>
      <c r="E72" s="97"/>
      <c r="F72" s="97"/>
      <c r="G72" s="97"/>
      <c r="H72" s="97"/>
      <c r="I72" s="97"/>
      <c r="J72" s="97"/>
      <c r="K72" s="53"/>
      <c r="L72" s="53"/>
      <c r="S72" s="88"/>
      <c r="T72" s="88"/>
      <c r="U72" s="88"/>
      <c r="V72" s="88"/>
      <c r="W72" s="88"/>
      <c r="AF72" s="141">
        <f ca="1">AF71/AF12</f>
        <v>-0.36338917583563046</v>
      </c>
      <c r="AH72" s="88"/>
      <c r="AI72" s="88"/>
      <c r="AJ72" s="88"/>
      <c r="AK72" s="88"/>
      <c r="AL72" s="88"/>
    </row>
    <row r="73" spans="2:47" hidden="1" outlineLevel="1">
      <c r="B73" s="67" t="s">
        <v>133</v>
      </c>
      <c r="C73" s="52"/>
      <c r="D73" s="68"/>
      <c r="E73" s="68"/>
      <c r="F73" s="68"/>
      <c r="G73" s="68"/>
      <c r="H73" s="68"/>
      <c r="I73" s="68"/>
      <c r="J73" s="68"/>
      <c r="K73" s="68">
        <f t="shared" ref="K73" si="129">K45+SUM(K59:K63)</f>
        <v>-5196.2400000000016</v>
      </c>
      <c r="L73" s="68">
        <f t="shared" ref="L73:O73" si="130">L45+SUM(L59:L63)</f>
        <v>-31862</v>
      </c>
      <c r="M73" s="69">
        <f>M45+SUM(M59:M63)</f>
        <v>12777</v>
      </c>
      <c r="N73" s="69">
        <f>N45+SUM(N59:N63)</f>
        <v>6544</v>
      </c>
      <c r="O73" s="69">
        <f t="shared" si="130"/>
        <v>-452</v>
      </c>
      <c r="P73" s="69"/>
      <c r="Q73" s="69">
        <f>Q45+SUM(Q59:Q63)</f>
        <v>-12527.770000000048</v>
      </c>
      <c r="S73" s="85">
        <f>S45+SUM(S59:S63)</f>
        <v>-6172.855310211482</v>
      </c>
      <c r="T73" s="85">
        <f t="shared" ref="T73:AD73" si="131">T45+SUM(T59:T63)</f>
        <v>-13379.333248687151</v>
      </c>
      <c r="U73" s="85">
        <f t="shared" si="131"/>
        <v>-8627.492273016469</v>
      </c>
      <c r="V73" s="85">
        <f t="shared" si="131"/>
        <v>5088.3781120979456</v>
      </c>
      <c r="W73" s="85">
        <f t="shared" si="131"/>
        <v>-7464.4552738809871</v>
      </c>
      <c r="X73" s="69">
        <f t="shared" si="131"/>
        <v>9798.5191861307612</v>
      </c>
      <c r="Y73" s="69">
        <f t="shared" si="131"/>
        <v>4488.3977461987015</v>
      </c>
      <c r="Z73" s="69">
        <f t="shared" si="131"/>
        <v>2549.8967665005111</v>
      </c>
      <c r="AA73" s="69">
        <f t="shared" si="131"/>
        <v>7018.173043101684</v>
      </c>
      <c r="AB73" s="69">
        <f t="shared" si="131"/>
        <v>-1794.0068659303979</v>
      </c>
      <c r="AC73" s="69">
        <f t="shared" si="131"/>
        <v>-387.34045314786636</v>
      </c>
      <c r="AD73" s="69">
        <f t="shared" si="131"/>
        <v>2496.9721358148163</v>
      </c>
      <c r="AE73" s="69"/>
      <c r="AF73" s="69">
        <f>AF45+SUM(AF59:AF63)</f>
        <v>-6385.1464350298629</v>
      </c>
      <c r="AH73" s="85">
        <f>AH45+SUM(AH59:AH63)</f>
        <v>23070.972979059468</v>
      </c>
      <c r="AI73" s="85">
        <f t="shared" ref="AI73:AS73" si="132">AI45+SUM(AI59:AI63)</f>
        <v>9965.6443290929019</v>
      </c>
      <c r="AJ73" s="85">
        <f t="shared" si="132"/>
        <v>9962.7119995090761</v>
      </c>
      <c r="AK73" s="85">
        <f t="shared" si="132"/>
        <v>55394.36218169675</v>
      </c>
      <c r="AL73" s="85">
        <f t="shared" si="132"/>
        <v>43370.853051567443</v>
      </c>
      <c r="AM73" s="69">
        <f t="shared" si="132"/>
        <v>62726.438619569875</v>
      </c>
      <c r="AN73" s="69">
        <f t="shared" si="132"/>
        <v>54377.419923299589</v>
      </c>
      <c r="AO73" s="69">
        <f t="shared" si="132"/>
        <v>51674.89002445004</v>
      </c>
      <c r="AP73" s="69">
        <f t="shared" si="132"/>
        <v>67053.03918972105</v>
      </c>
      <c r="AQ73" s="69">
        <f t="shared" si="132"/>
        <v>56765.76244870729</v>
      </c>
      <c r="AR73" s="69">
        <f t="shared" si="132"/>
        <v>45590.849444292719</v>
      </c>
      <c r="AS73" s="69">
        <f t="shared" si="132"/>
        <v>55637.992645767488</v>
      </c>
      <c r="AT73" s="69"/>
      <c r="AU73" s="69">
        <f>AU45+SUM(AU59:AU63)</f>
        <v>535590.93683673383</v>
      </c>
    </row>
    <row r="74" spans="2:47" hidden="1" outlineLevel="1">
      <c r="B74" s="67" t="s">
        <v>134</v>
      </c>
      <c r="C74" s="52"/>
      <c r="D74" s="68"/>
      <c r="E74" s="68"/>
      <c r="F74" s="68"/>
      <c r="G74" s="68"/>
      <c r="H74" s="68"/>
      <c r="I74" s="68"/>
      <c r="J74" s="68"/>
      <c r="K74" s="68">
        <f t="shared" ref="K74" si="133">K46+SUM(K64:K67)</f>
        <v>-6455.4800000000005</v>
      </c>
      <c r="L74" s="68">
        <f t="shared" ref="L74:O74" si="134">L46+SUM(L64:L67)</f>
        <v>-3924.5600000000004</v>
      </c>
      <c r="M74" s="69">
        <f t="shared" si="134"/>
        <v>74173</v>
      </c>
      <c r="N74" s="69">
        <f t="shared" si="134"/>
        <v>23600</v>
      </c>
      <c r="O74" s="69">
        <f t="shared" si="134"/>
        <v>29740</v>
      </c>
      <c r="P74" s="69"/>
      <c r="Q74" s="69">
        <f>Q46+SUM(Q64:Q67)</f>
        <v>274323.90999999997</v>
      </c>
      <c r="S74" s="85">
        <f>S46+SUM(S64:S67)</f>
        <v>12680.386855376852</v>
      </c>
      <c r="T74" s="85">
        <f t="shared" ref="T74:AD74" si="135">T46+SUM(T64:T67)</f>
        <v>21679.656965666662</v>
      </c>
      <c r="U74" s="85">
        <f t="shared" si="135"/>
        <v>23206.349264616816</v>
      </c>
      <c r="V74" s="85">
        <f t="shared" si="135"/>
        <v>51067.505856431992</v>
      </c>
      <c r="W74" s="85">
        <f t="shared" si="135"/>
        <v>44019.648344953748</v>
      </c>
      <c r="X74" s="69">
        <f t="shared" si="135"/>
        <v>18102.331328729328</v>
      </c>
      <c r="Y74" s="69">
        <f t="shared" si="135"/>
        <v>25859.847124708504</v>
      </c>
      <c r="Z74" s="69">
        <f t="shared" si="135"/>
        <v>25408.411194100896</v>
      </c>
      <c r="AA74" s="69">
        <f t="shared" si="135"/>
        <v>33886.221928406922</v>
      </c>
      <c r="AB74" s="69">
        <f t="shared" si="135"/>
        <v>33710.513633049384</v>
      </c>
      <c r="AC74" s="69">
        <f t="shared" si="135"/>
        <v>22379.284989145257</v>
      </c>
      <c r="AD74" s="69">
        <f t="shared" si="135"/>
        <v>22494.743929660755</v>
      </c>
      <c r="AE74" s="69"/>
      <c r="AF74" s="69">
        <f>AF46+SUM(AF64:AF67)</f>
        <v>334494.90141484718</v>
      </c>
      <c r="AH74" s="85">
        <f>AH46+SUM(AH64:AH67)</f>
        <v>15200.202740826062</v>
      </c>
      <c r="AI74" s="85">
        <f t="shared" ref="AI74:AS74" si="136">AI46+SUM(AI64:AI67)</f>
        <v>49709.916825189524</v>
      </c>
      <c r="AJ74" s="85">
        <f t="shared" si="136"/>
        <v>65569.095950040384</v>
      </c>
      <c r="AK74" s="85">
        <f t="shared" si="136"/>
        <v>113746.46073056245</v>
      </c>
      <c r="AL74" s="85">
        <f t="shared" si="136"/>
        <v>83082.1109892159</v>
      </c>
      <c r="AM74" s="69">
        <f t="shared" si="136"/>
        <v>39138.64842279235</v>
      </c>
      <c r="AN74" s="69">
        <f t="shared" si="136"/>
        <v>58539.617419003349</v>
      </c>
      <c r="AO74" s="69">
        <f t="shared" si="136"/>
        <v>52221.331602714068</v>
      </c>
      <c r="AP74" s="69">
        <f t="shared" si="136"/>
        <v>112387.16168543318</v>
      </c>
      <c r="AQ74" s="69">
        <f t="shared" si="136"/>
        <v>88130.4731272184</v>
      </c>
      <c r="AR74" s="69">
        <f t="shared" si="136"/>
        <v>77199.337028923852</v>
      </c>
      <c r="AS74" s="69">
        <f t="shared" si="136"/>
        <v>51933.196033342989</v>
      </c>
      <c r="AT74" s="69"/>
      <c r="AU74" s="69">
        <f>AU46+SUM(AU64:AU67)</f>
        <v>806857.55255526246</v>
      </c>
    </row>
    <row r="75" spans="2:47" hidden="1" outlineLevel="1">
      <c r="B75" s="67" t="s">
        <v>135</v>
      </c>
      <c r="C75" s="52"/>
      <c r="D75" s="68"/>
      <c r="E75" s="68"/>
      <c r="F75" s="68"/>
      <c r="G75" s="68"/>
      <c r="H75" s="68"/>
      <c r="I75" s="68"/>
      <c r="J75" s="68"/>
      <c r="K75" s="68">
        <f t="shared" ref="K75" si="137">K47+K68</f>
        <v>524.64999999999964</v>
      </c>
      <c r="L75" s="68">
        <f t="shared" ref="L75:O76" si="138">L47+L68</f>
        <v>103</v>
      </c>
      <c r="M75" s="69">
        <f t="shared" si="138"/>
        <v>2087</v>
      </c>
      <c r="N75" s="69">
        <f t="shared" si="138"/>
        <v>2087</v>
      </c>
      <c r="O75" s="69">
        <f t="shared" si="138"/>
        <v>1616</v>
      </c>
      <c r="P75" s="69"/>
      <c r="Q75" s="69">
        <f>Q47+Q68</f>
        <v>28151.329999999998</v>
      </c>
      <c r="S75" s="85">
        <f t="shared" ref="S75:AD75" ca="1" si="139">S47+S68</f>
        <v>33.241299749040991</v>
      </c>
      <c r="T75" s="85">
        <f t="shared" ca="1" si="139"/>
        <v>43.826785692179328</v>
      </c>
      <c r="U75" s="85">
        <f t="shared" ca="1" si="139"/>
        <v>41.848764134962948</v>
      </c>
      <c r="V75" s="85">
        <f t="shared" ca="1" si="139"/>
        <v>41.864331026056789</v>
      </c>
      <c r="W75" s="85">
        <f t="shared" ca="1" si="139"/>
        <v>32.940636366790841</v>
      </c>
      <c r="X75" s="69">
        <f t="shared" ca="1" si="139"/>
        <v>40.932644040911327</v>
      </c>
      <c r="Y75" s="69">
        <f t="shared" ca="1" si="139"/>
        <v>41.866383802903329</v>
      </c>
      <c r="Z75" s="69">
        <f t="shared" ca="1" si="139"/>
        <v>54.533864450579131</v>
      </c>
      <c r="AA75" s="69">
        <f t="shared" ca="1" si="139"/>
        <v>53.192922187956356</v>
      </c>
      <c r="AB75" s="69">
        <f t="shared" ca="1" si="139"/>
        <v>77.887861875233284</v>
      </c>
      <c r="AC75" s="69">
        <f t="shared" ca="1" si="139"/>
        <v>77.802603210169764</v>
      </c>
      <c r="AD75" s="69">
        <f t="shared" ca="1" si="139"/>
        <v>58.723581996140638</v>
      </c>
      <c r="AE75" s="69"/>
      <c r="AF75" s="69">
        <f ca="1">AF47+AF68</f>
        <v>598.66167853293882</v>
      </c>
      <c r="AH75" s="85">
        <f t="shared" ref="AH75:AS75" ca="1" si="140">AH47+AH68</f>
        <v>81.096781996141544</v>
      </c>
      <c r="AI75" s="85">
        <f t="shared" ca="1" si="140"/>
        <v>239.20646019575724</v>
      </c>
      <c r="AJ75" s="85">
        <f t="shared" ca="1" si="140"/>
        <v>1463.1271062153319</v>
      </c>
      <c r="AK75" s="85">
        <f t="shared" ca="1" si="140"/>
        <v>1463.1271062153319</v>
      </c>
      <c r="AL75" s="85">
        <f t="shared" ca="1" si="140"/>
        <v>2259.4398168368662</v>
      </c>
      <c r="AM75" s="69">
        <f t="shared" ca="1" si="140"/>
        <v>2135.3837985205537</v>
      </c>
      <c r="AN75" s="69">
        <f t="shared" ca="1" si="140"/>
        <v>1463.1271062153319</v>
      </c>
      <c r="AO75" s="69">
        <f t="shared" ca="1" si="140"/>
        <v>2259.4398168368662</v>
      </c>
      <c r="AP75" s="69">
        <f t="shared" ca="1" si="140"/>
        <v>3135.3837985205537</v>
      </c>
      <c r="AQ75" s="69">
        <f t="shared" ca="1" si="140"/>
        <v>3598.922178372608</v>
      </c>
      <c r="AR75" s="69">
        <f t="shared" ca="1" si="140"/>
        <v>3598.922178372608</v>
      </c>
      <c r="AS75" s="69">
        <f t="shared" ca="1" si="140"/>
        <v>5158.8143962098693</v>
      </c>
      <c r="AT75" s="69"/>
      <c r="AU75" s="69">
        <f ca="1">AU47+AU68</f>
        <v>26855.990544507833</v>
      </c>
    </row>
    <row r="76" spans="2:47" hidden="1" outlineLevel="1">
      <c r="B76" s="67" t="s">
        <v>136</v>
      </c>
      <c r="C76" s="52"/>
      <c r="D76" s="68"/>
      <c r="E76" s="68"/>
      <c r="F76" s="68"/>
      <c r="G76" s="68"/>
      <c r="H76" s="68"/>
      <c r="I76" s="68"/>
      <c r="J76" s="68"/>
      <c r="K76" s="68">
        <f t="shared" ref="K76" si="141">K48+K69</f>
        <v>0</v>
      </c>
      <c r="L76" s="68">
        <f t="shared" si="138"/>
        <v>0</v>
      </c>
      <c r="M76" s="69">
        <f t="shared" si="138"/>
        <v>0</v>
      </c>
      <c r="N76" s="69">
        <f t="shared" si="138"/>
        <v>0</v>
      </c>
      <c r="O76" s="69">
        <f t="shared" si="138"/>
        <v>0</v>
      </c>
      <c r="P76" s="69"/>
      <c r="Q76" s="69">
        <f>Q48+Q69</f>
        <v>-15534.18</v>
      </c>
      <c r="S76" s="85">
        <f t="shared" ref="S76:AD76" si="142">S48+S69</f>
        <v>0</v>
      </c>
      <c r="T76" s="85">
        <f t="shared" si="142"/>
        <v>0</v>
      </c>
      <c r="U76" s="85">
        <f t="shared" si="142"/>
        <v>0</v>
      </c>
      <c r="V76" s="85">
        <f t="shared" si="142"/>
        <v>0</v>
      </c>
      <c r="W76" s="85">
        <f t="shared" si="142"/>
        <v>0</v>
      </c>
      <c r="X76" s="69">
        <f t="shared" si="142"/>
        <v>0</v>
      </c>
      <c r="Y76" s="69">
        <f t="shared" si="142"/>
        <v>0</v>
      </c>
      <c r="Z76" s="69">
        <f t="shared" si="142"/>
        <v>0</v>
      </c>
      <c r="AA76" s="69">
        <f t="shared" si="142"/>
        <v>0</v>
      </c>
      <c r="AB76" s="69">
        <f t="shared" si="142"/>
        <v>0</v>
      </c>
      <c r="AC76" s="69">
        <f t="shared" si="142"/>
        <v>0</v>
      </c>
      <c r="AD76" s="69">
        <f t="shared" si="142"/>
        <v>0</v>
      </c>
      <c r="AE76" s="69"/>
      <c r="AF76" s="69">
        <f>AF48+AF69</f>
        <v>0</v>
      </c>
      <c r="AH76" s="85">
        <f t="shared" ref="AH76:AS76" si="143">AH48+AH69</f>
        <v>0</v>
      </c>
      <c r="AI76" s="85">
        <f t="shared" si="143"/>
        <v>0</v>
      </c>
      <c r="AJ76" s="85">
        <f t="shared" si="143"/>
        <v>0</v>
      </c>
      <c r="AK76" s="85">
        <f t="shared" si="143"/>
        <v>0</v>
      </c>
      <c r="AL76" s="85">
        <f t="shared" si="143"/>
        <v>0</v>
      </c>
      <c r="AM76" s="69">
        <f t="shared" si="143"/>
        <v>0</v>
      </c>
      <c r="AN76" s="69">
        <f t="shared" si="143"/>
        <v>0</v>
      </c>
      <c r="AO76" s="69">
        <f t="shared" si="143"/>
        <v>0</v>
      </c>
      <c r="AP76" s="69">
        <f t="shared" si="143"/>
        <v>0</v>
      </c>
      <c r="AQ76" s="69">
        <f t="shared" si="143"/>
        <v>0</v>
      </c>
      <c r="AR76" s="69">
        <f t="shared" si="143"/>
        <v>0</v>
      </c>
      <c r="AS76" s="69">
        <f t="shared" si="143"/>
        <v>0</v>
      </c>
      <c r="AT76" s="69"/>
      <c r="AU76" s="69">
        <f>AU48+AU69</f>
        <v>0</v>
      </c>
    </row>
    <row r="77" spans="2:47" collapsed="1">
      <c r="B77" s="67" t="s">
        <v>137</v>
      </c>
      <c r="C77" s="52"/>
      <c r="D77" s="68">
        <f t="shared" ref="D77:I77" si="144">D49+D71</f>
        <v>27192.789999999997</v>
      </c>
      <c r="E77" s="68">
        <f t="shared" si="144"/>
        <v>21175.020000000008</v>
      </c>
      <c r="F77" s="68">
        <f t="shared" si="144"/>
        <v>-13828.759999999998</v>
      </c>
      <c r="G77" s="68">
        <f t="shared" si="144"/>
        <v>47302.569999999992</v>
      </c>
      <c r="H77" s="68">
        <f t="shared" si="144"/>
        <v>40467.609999999993</v>
      </c>
      <c r="I77" s="68">
        <f t="shared" si="144"/>
        <v>19135.170000000013</v>
      </c>
      <c r="J77" s="68">
        <f t="shared" ref="J77" si="145">J49+J71</f>
        <v>27607.519999999993</v>
      </c>
      <c r="K77" s="68">
        <f t="shared" ref="K77" si="146">K49+K71</f>
        <v>-11127.070000000002</v>
      </c>
      <c r="L77" s="68">
        <f t="shared" ref="L77:O77" si="147">L49+L71</f>
        <v>-2037.5599999999977</v>
      </c>
      <c r="M77" s="69">
        <f t="shared" si="147"/>
        <v>89037</v>
      </c>
      <c r="N77" s="69">
        <f t="shared" si="147"/>
        <v>32231</v>
      </c>
      <c r="O77" s="69">
        <f t="shared" si="147"/>
        <v>30904</v>
      </c>
      <c r="P77" s="69"/>
      <c r="Q77" s="69">
        <f>Q49+Q71</f>
        <v>308059.28999999998</v>
      </c>
      <c r="S77" s="85">
        <f t="shared" ref="S77:AD77" ca="1" si="148">S49+S71</f>
        <v>6540.7728449144124</v>
      </c>
      <c r="T77" s="85">
        <f t="shared" ca="1" si="148"/>
        <v>8344.1505026716914</v>
      </c>
      <c r="U77" s="85">
        <f t="shared" ca="1" si="148"/>
        <v>14620.705755735304</v>
      </c>
      <c r="V77" s="85">
        <f t="shared" ca="1" si="148"/>
        <v>56197.748299555962</v>
      </c>
      <c r="W77" s="85">
        <f t="shared" ca="1" si="148"/>
        <v>36588.133707439571</v>
      </c>
      <c r="X77" s="69">
        <f t="shared" ca="1" si="148"/>
        <v>27941.783158900987</v>
      </c>
      <c r="Y77" s="69">
        <f t="shared" ca="1" si="148"/>
        <v>30390.1112547101</v>
      </c>
      <c r="Z77" s="69">
        <f t="shared" ca="1" si="148"/>
        <v>28012.841825051979</v>
      </c>
      <c r="AA77" s="69">
        <f t="shared" ca="1" si="148"/>
        <v>40957.58789369656</v>
      </c>
      <c r="AB77" s="69">
        <f t="shared" ca="1" si="148"/>
        <v>31994.394628994247</v>
      </c>
      <c r="AC77" s="69">
        <f t="shared" ca="1" si="148"/>
        <v>22069.747139207568</v>
      </c>
      <c r="AD77" s="69">
        <f t="shared" ca="1" si="148"/>
        <v>25050.439647471714</v>
      </c>
      <c r="AE77" s="69"/>
      <c r="AF77" s="69">
        <f ca="1">AF49+AF71</f>
        <v>328708.41665835027</v>
      </c>
      <c r="AH77" s="85">
        <f t="shared" ref="AH77:AS77" ca="1" si="149">AH49+AH71</f>
        <v>38352.272501881678</v>
      </c>
      <c r="AI77" s="85">
        <f t="shared" ca="1" si="149"/>
        <v>59914.767614478202</v>
      </c>
      <c r="AJ77" s="85">
        <f t="shared" ca="1" si="149"/>
        <v>76994.935055764785</v>
      </c>
      <c r="AK77" s="85">
        <f t="shared" ca="1" si="149"/>
        <v>170603.95001847451</v>
      </c>
      <c r="AL77" s="85">
        <f t="shared" ca="1" si="149"/>
        <v>128712.4038576202</v>
      </c>
      <c r="AM77" s="69">
        <f t="shared" ca="1" si="149"/>
        <v>104000.47084088276</v>
      </c>
      <c r="AN77" s="69">
        <f t="shared" ca="1" si="149"/>
        <v>114380.16444851823</v>
      </c>
      <c r="AO77" s="69">
        <f t="shared" ca="1" si="149"/>
        <v>106155.66144400096</v>
      </c>
      <c r="AP77" s="69">
        <f t="shared" ca="1" si="149"/>
        <v>182575.58467367475</v>
      </c>
      <c r="AQ77" s="69">
        <f t="shared" ca="1" si="149"/>
        <v>148495.1577542983</v>
      </c>
      <c r="AR77" s="69">
        <f t="shared" ca="1" si="149"/>
        <v>126389.10865158919</v>
      </c>
      <c r="AS77" s="69">
        <f t="shared" ca="1" si="149"/>
        <v>112730.00307532036</v>
      </c>
      <c r="AT77" s="69"/>
      <c r="AU77" s="69">
        <f ca="1">AU49+AU71</f>
        <v>1369304.479936504</v>
      </c>
    </row>
    <row r="78" spans="2:47">
      <c r="B78" s="52"/>
      <c r="C78" s="52"/>
      <c r="D78" s="70"/>
      <c r="E78" s="70"/>
      <c r="F78" s="70"/>
      <c r="G78" s="70"/>
      <c r="H78" s="70"/>
      <c r="I78" s="70"/>
      <c r="J78" s="70"/>
      <c r="K78" s="70"/>
      <c r="L78" s="70"/>
      <c r="M78" s="52"/>
      <c r="N78" s="52"/>
      <c r="O78" s="52"/>
      <c r="P78" s="52"/>
      <c r="S78" s="10"/>
      <c r="T78" s="10"/>
      <c r="U78" s="10"/>
      <c r="V78" s="10"/>
      <c r="W78" s="10"/>
      <c r="X78" s="52"/>
      <c r="Y78" s="52"/>
      <c r="Z78" s="52"/>
      <c r="AA78" s="52"/>
      <c r="AB78" s="52"/>
      <c r="AC78" s="52"/>
      <c r="AD78" s="52"/>
      <c r="AE78" s="52"/>
      <c r="AH78" s="10"/>
      <c r="AI78" s="10"/>
      <c r="AJ78" s="10"/>
      <c r="AK78" s="10"/>
      <c r="AL78" s="10"/>
      <c r="AM78" s="52"/>
      <c r="AN78" s="52"/>
      <c r="AO78" s="52"/>
      <c r="AP78" s="52"/>
      <c r="AQ78" s="52"/>
      <c r="AR78" s="52"/>
      <c r="AS78" s="52"/>
      <c r="AT78" s="52"/>
    </row>
    <row r="79" spans="2:47" outlineLevel="1">
      <c r="B79" s="67" t="s">
        <v>138</v>
      </c>
      <c r="C79" s="52"/>
      <c r="D79" s="97">
        <f t="shared" ref="D79:I82" si="150">IFERROR(D73/D7,0)</f>
        <v>0</v>
      </c>
      <c r="E79" s="97">
        <f t="shared" si="150"/>
        <v>0</v>
      </c>
      <c r="F79" s="97">
        <f t="shared" si="150"/>
        <v>0</v>
      </c>
      <c r="G79" s="97">
        <f t="shared" si="150"/>
        <v>0</v>
      </c>
      <c r="H79" s="97">
        <f t="shared" si="150"/>
        <v>0</v>
      </c>
      <c r="I79" s="97">
        <f t="shared" si="150"/>
        <v>0</v>
      </c>
      <c r="J79" s="97">
        <f t="shared" ref="J79" si="151">IFERROR(J73/J7,0)</f>
        <v>0</v>
      </c>
      <c r="K79" s="97">
        <f t="shared" ref="K79" si="152">IFERROR(K73/K7,0)</f>
        <v>-0.56250974279033528</v>
      </c>
      <c r="L79" s="97">
        <f t="shared" ref="L79:O82" si="153">IFERROR(L73/L7,0)</f>
        <v>-0.72224866825342859</v>
      </c>
      <c r="M79" s="91">
        <f t="shared" si="153"/>
        <v>0.18252857142857143</v>
      </c>
      <c r="N79" s="91">
        <f t="shared" si="153"/>
        <v>0.18330532212885153</v>
      </c>
      <c r="O79" s="91">
        <f t="shared" si="153"/>
        <v>-1.8336713995943204E-2</v>
      </c>
      <c r="P79" s="91"/>
      <c r="Q79" s="91">
        <f>IFERROR(Q73/Q7,0)</f>
        <v>-3.4625441366399085E-2</v>
      </c>
      <c r="S79" s="91">
        <f t="shared" ref="S79:AD79" si="154">IFERROR(S73/S7,0)</f>
        <v>-0.26662175500592261</v>
      </c>
      <c r="T79" s="91">
        <f t="shared" si="154"/>
        <v>-0.21439016787939275</v>
      </c>
      <c r="U79" s="91">
        <f t="shared" si="154"/>
        <v>-0.14901463242779217</v>
      </c>
      <c r="V79" s="91">
        <f t="shared" si="154"/>
        <v>0.13835940483400835</v>
      </c>
      <c r="W79" s="91">
        <f t="shared" si="154"/>
        <v>-0.22504998427784706</v>
      </c>
      <c r="X79" s="91">
        <f t="shared" si="154"/>
        <v>0.12057675922246847</v>
      </c>
      <c r="Y79" s="91">
        <f t="shared" si="154"/>
        <v>0.10760000441993622</v>
      </c>
      <c r="Z79" s="91">
        <f t="shared" si="154"/>
        <v>7.5736508981963227E-2</v>
      </c>
      <c r="AA79" s="91">
        <f t="shared" si="154"/>
        <v>9.5588116059868167E-2</v>
      </c>
      <c r="AB79" s="91">
        <f t="shared" si="154"/>
        <v>-3.3436279558212614E-2</v>
      </c>
      <c r="AC79" s="91">
        <f t="shared" si="154"/>
        <v>-1.223848409032258E-2</v>
      </c>
      <c r="AD79" s="91">
        <f t="shared" si="154"/>
        <v>6.8057190909868226E-2</v>
      </c>
      <c r="AE79" s="91"/>
      <c r="AF79" s="91">
        <f>IFERROR(AF73/AF7,0)</f>
        <v>-1.1291956768578852E-2</v>
      </c>
      <c r="AH79" s="91">
        <f t="shared" ref="AH79:AS79" si="155">IFERROR(AH73/AH7,0)</f>
        <v>0.25431983613867865</v>
      </c>
      <c r="AI79" s="91">
        <f t="shared" si="155"/>
        <v>5.5288881317844013E-2</v>
      </c>
      <c r="AJ79" s="91">
        <f t="shared" si="155"/>
        <v>6.4435084612609245E-2</v>
      </c>
      <c r="AK79" s="91">
        <f t="shared" si="155"/>
        <v>0.37379072677421604</v>
      </c>
      <c r="AL79" s="91">
        <f t="shared" si="155"/>
        <v>0.26471728083625423</v>
      </c>
      <c r="AM79" s="91">
        <f t="shared" si="155"/>
        <v>0.27373124374077618</v>
      </c>
      <c r="AN79" s="91">
        <f t="shared" si="155"/>
        <v>0.3433125879587236</v>
      </c>
      <c r="AO79" s="91">
        <f t="shared" si="155"/>
        <v>0.36915180783852219</v>
      </c>
      <c r="AP79" s="91">
        <f t="shared" si="155"/>
        <v>0.29059428002897647</v>
      </c>
      <c r="AQ79" s="91">
        <f t="shared" si="155"/>
        <v>0.27238781872471024</v>
      </c>
      <c r="AR79" s="91">
        <f t="shared" si="155"/>
        <v>0.32577051883563046</v>
      </c>
      <c r="AS79" s="91">
        <f t="shared" si="155"/>
        <v>0.35324869482150645</v>
      </c>
      <c r="AT79" s="91"/>
      <c r="AU79" s="91">
        <f>IFERROR(AU73/AU7,0)</f>
        <v>0.26756307622155739</v>
      </c>
    </row>
    <row r="80" spans="2:47" outlineLevel="1">
      <c r="B80" s="67" t="s">
        <v>139</v>
      </c>
      <c r="C80" s="52"/>
      <c r="D80" s="97">
        <f t="shared" si="150"/>
        <v>0</v>
      </c>
      <c r="E80" s="97">
        <f t="shared" si="150"/>
        <v>0</v>
      </c>
      <c r="F80" s="97">
        <f t="shared" si="150"/>
        <v>0</v>
      </c>
      <c r="G80" s="97">
        <f t="shared" si="150"/>
        <v>0</v>
      </c>
      <c r="H80" s="97">
        <f t="shared" si="150"/>
        <v>0</v>
      </c>
      <c r="I80" s="97">
        <f t="shared" si="150"/>
        <v>0</v>
      </c>
      <c r="J80" s="97">
        <f t="shared" ref="J80" si="156">IFERROR(J74/J8,0)</f>
        <v>0</v>
      </c>
      <c r="K80" s="97">
        <f t="shared" ref="K80" si="157">IFERROR(K74/K8,0)</f>
        <v>7.6815288140030233</v>
      </c>
      <c r="L80" s="97">
        <f t="shared" si="153"/>
        <v>-1.4176070277846011</v>
      </c>
      <c r="M80" s="91">
        <f t="shared" si="153"/>
        <v>0.59000445448471162</v>
      </c>
      <c r="N80" s="91">
        <f t="shared" si="153"/>
        <v>0.59</v>
      </c>
      <c r="O80" s="91">
        <f t="shared" si="153"/>
        <v>0.5900091258977106</v>
      </c>
      <c r="P80" s="91"/>
      <c r="Q80" s="91">
        <f>IFERROR(Q74/Q8,0)</f>
        <v>0.48436860850944341</v>
      </c>
      <c r="S80" s="91">
        <f t="shared" ref="S80:AD80" si="158">IFERROR(S74/S8,0)</f>
        <v>0.46964395760655003</v>
      </c>
      <c r="T80" s="91">
        <f t="shared" si="158"/>
        <v>0.4817701547925925</v>
      </c>
      <c r="U80" s="91">
        <f t="shared" si="158"/>
        <v>0.50013683759950034</v>
      </c>
      <c r="V80" s="91">
        <f t="shared" si="158"/>
        <v>0.48868426656872721</v>
      </c>
      <c r="W80" s="91">
        <f t="shared" si="158"/>
        <v>0.50945749818187314</v>
      </c>
      <c r="X80" s="91">
        <f t="shared" si="158"/>
        <v>0.51852275561046901</v>
      </c>
      <c r="Y80" s="91">
        <f t="shared" si="158"/>
        <v>0.50166079253496498</v>
      </c>
      <c r="Z80" s="91">
        <f t="shared" si="158"/>
        <v>0.47873343454410994</v>
      </c>
      <c r="AA80" s="91">
        <f t="shared" si="158"/>
        <v>0.51696433331147218</v>
      </c>
      <c r="AB80" s="91">
        <f t="shared" si="158"/>
        <v>0.4828015824213735</v>
      </c>
      <c r="AC80" s="91">
        <f t="shared" si="158"/>
        <v>0.48077378724476189</v>
      </c>
      <c r="AD80" s="91">
        <f t="shared" si="158"/>
        <v>0.48325418964054118</v>
      </c>
      <c r="AE80" s="91"/>
      <c r="AF80" s="91">
        <f>IFERROR(AF74/AF8,0)</f>
        <v>0.49386000263291829</v>
      </c>
      <c r="AH80" s="91">
        <f t="shared" ref="AH80:AS80" si="159">IFERROR(AH74/AH8,0)</f>
        <v>0.52126895544670993</v>
      </c>
      <c r="AI80" s="91">
        <f t="shared" si="159"/>
        <v>0.49076632237624357</v>
      </c>
      <c r="AJ80" s="91">
        <f t="shared" si="159"/>
        <v>0.48388870705348364</v>
      </c>
      <c r="AK80" s="91">
        <f t="shared" si="159"/>
        <v>0.54714169934876966</v>
      </c>
      <c r="AL80" s="91">
        <f t="shared" si="159"/>
        <v>0.53200516156114619</v>
      </c>
      <c r="AM80" s="91">
        <f t="shared" si="159"/>
        <v>0.56625038600482913</v>
      </c>
      <c r="AN80" s="91">
        <f t="shared" si="159"/>
        <v>0.52531098296369816</v>
      </c>
      <c r="AO80" s="91">
        <f t="shared" si="159"/>
        <v>0.52154679842989016</v>
      </c>
      <c r="AP80" s="91">
        <f t="shared" si="159"/>
        <v>0.49931549313929796</v>
      </c>
      <c r="AQ80" s="91">
        <f t="shared" si="159"/>
        <v>0.50984837676261507</v>
      </c>
      <c r="AR80" s="91">
        <f t="shared" si="159"/>
        <v>0.49430895416084919</v>
      </c>
      <c r="AS80" s="91">
        <f t="shared" si="159"/>
        <v>0.52386042783416797</v>
      </c>
      <c r="AT80" s="91"/>
      <c r="AU80" s="91">
        <f>IFERROR(AU74/AU8,0)</f>
        <v>0.51590998533488963</v>
      </c>
    </row>
    <row r="81" spans="2:47" outlineLevel="1">
      <c r="B81" s="67" t="s">
        <v>140</v>
      </c>
      <c r="C81" s="52"/>
      <c r="D81" s="97">
        <f t="shared" si="150"/>
        <v>0</v>
      </c>
      <c r="E81" s="97">
        <f t="shared" si="150"/>
        <v>0</v>
      </c>
      <c r="F81" s="97">
        <f t="shared" si="150"/>
        <v>0</v>
      </c>
      <c r="G81" s="97">
        <f t="shared" si="150"/>
        <v>0</v>
      </c>
      <c r="H81" s="97">
        <f t="shared" si="150"/>
        <v>0</v>
      </c>
      <c r="I81" s="97">
        <f t="shared" si="150"/>
        <v>0</v>
      </c>
      <c r="J81" s="97">
        <f t="shared" ref="J81" si="160">IFERROR(J75/J9,0)</f>
        <v>0</v>
      </c>
      <c r="K81" s="97">
        <f t="shared" ref="K81" si="161">IFERROR(K75/K9,0)</f>
        <v>4.3192019046803601E-2</v>
      </c>
      <c r="L81" s="97">
        <f t="shared" si="153"/>
        <v>6.8090169894889935E-3</v>
      </c>
      <c r="M81" s="91">
        <f t="shared" si="153"/>
        <v>0.22440860215053762</v>
      </c>
      <c r="N81" s="91">
        <f t="shared" si="153"/>
        <v>0.22440860215053762</v>
      </c>
      <c r="O81" s="91">
        <f t="shared" si="153"/>
        <v>0.22444444444444445</v>
      </c>
      <c r="P81" s="91"/>
      <c r="Q81" s="91">
        <f>IFERROR(Q75/Q9,0)</f>
        <v>0.25621356808365037</v>
      </c>
      <c r="S81" s="91">
        <f t="shared" ref="S81:AD81" ca="1" si="162">IFERROR(S75/S9,0)</f>
        <v>3.4212947456814524E-3</v>
      </c>
      <c r="T81" s="91">
        <f t="shared" ca="1" si="162"/>
        <v>3.4212947456814463E-3</v>
      </c>
      <c r="U81" s="91">
        <f t="shared" ca="1" si="162"/>
        <v>3.421294745681393E-3</v>
      </c>
      <c r="V81" s="91">
        <f t="shared" ca="1" si="162"/>
        <v>3.4212947456814737E-3</v>
      </c>
      <c r="W81" s="91">
        <f t="shared" ca="1" si="162"/>
        <v>3.4212947456814871E-3</v>
      </c>
      <c r="X81" s="91">
        <f t="shared" ca="1" si="162"/>
        <v>3.4212947456813501E-3</v>
      </c>
      <c r="Y81" s="91">
        <f t="shared" ca="1" si="162"/>
        <v>3.421294745681403E-3</v>
      </c>
      <c r="Z81" s="91">
        <f t="shared" ca="1" si="162"/>
        <v>3.4212947456814394E-3</v>
      </c>
      <c r="AA81" s="91">
        <f t="shared" ca="1" si="162"/>
        <v>3.4212947456814143E-3</v>
      </c>
      <c r="AB81" s="91">
        <f t="shared" ca="1" si="162"/>
        <v>3.4212947456814589E-3</v>
      </c>
      <c r="AC81" s="91">
        <f t="shared" ca="1" si="162"/>
        <v>3.4212947456814086E-3</v>
      </c>
      <c r="AD81" s="91">
        <f t="shared" ca="1" si="162"/>
        <v>3.4212947456814398E-3</v>
      </c>
      <c r="AE81" s="91"/>
      <c r="AF81" s="91">
        <f ca="1">IFERROR(AF75/AF9,0)</f>
        <v>3.4212947456815101E-3</v>
      </c>
      <c r="AH81" s="91">
        <f t="shared" ref="AH81:AS81" ca="1" si="163">IFERROR(AH75/AH9,0)</f>
        <v>4.7247798023170124E-3</v>
      </c>
      <c r="AI81" s="91">
        <f t="shared" ca="1" si="163"/>
        <v>1.2669461933996068E-2</v>
      </c>
      <c r="AJ81" s="91">
        <f t="shared" ca="1" si="163"/>
        <v>7.0448968346206731E-2</v>
      </c>
      <c r="AK81" s="91">
        <f t="shared" ca="1" si="163"/>
        <v>7.0448968346206731E-2</v>
      </c>
      <c r="AL81" s="91">
        <f t="shared" ca="1" si="163"/>
        <v>9.8900998018886285E-2</v>
      </c>
      <c r="AM81" s="91">
        <f t="shared" ca="1" si="163"/>
        <v>8.4973431046245995E-2</v>
      </c>
      <c r="AN81" s="91">
        <f t="shared" ca="1" si="163"/>
        <v>7.0448968346206731E-2</v>
      </c>
      <c r="AO81" s="91">
        <f t="shared" ca="1" si="163"/>
        <v>9.8900998018886285E-2</v>
      </c>
      <c r="AP81" s="91">
        <f t="shared" ca="1" si="163"/>
        <v>0.12476647953950405</v>
      </c>
      <c r="AQ81" s="91">
        <f t="shared" ca="1" si="163"/>
        <v>0.13019280433403921</v>
      </c>
      <c r="AR81" s="91">
        <f t="shared" ca="1" si="163"/>
        <v>0.13019280433403921</v>
      </c>
      <c r="AS81" s="91">
        <f t="shared" ca="1" si="163"/>
        <v>0.1696569846579315</v>
      </c>
      <c r="AT81" s="91"/>
      <c r="AU81" s="91">
        <f ca="1">IFERROR(AU75/AU9,0)</f>
        <v>9.5916013759697549E-2</v>
      </c>
    </row>
    <row r="82" spans="2:47" outlineLevel="1">
      <c r="B82" s="67" t="s">
        <v>141</v>
      </c>
      <c r="C82" s="52"/>
      <c r="D82" s="97">
        <f t="shared" si="150"/>
        <v>0</v>
      </c>
      <c r="E82" s="97">
        <f t="shared" si="150"/>
        <v>0</v>
      </c>
      <c r="F82" s="97">
        <f t="shared" si="150"/>
        <v>0</v>
      </c>
      <c r="G82" s="97">
        <f t="shared" si="150"/>
        <v>0</v>
      </c>
      <c r="H82" s="97">
        <f t="shared" si="150"/>
        <v>0</v>
      </c>
      <c r="I82" s="97">
        <f t="shared" si="150"/>
        <v>0</v>
      </c>
      <c r="J82" s="97">
        <f t="shared" ref="J82" si="164">IFERROR(J76/J10,0)</f>
        <v>0</v>
      </c>
      <c r="K82" s="97">
        <f t="shared" ref="K82" si="165">IFERROR(K76/K10,0)</f>
        <v>0</v>
      </c>
      <c r="L82" s="97">
        <f t="shared" si="153"/>
        <v>0</v>
      </c>
      <c r="M82" s="91">
        <f t="shared" si="153"/>
        <v>0</v>
      </c>
      <c r="N82" s="91">
        <f t="shared" si="153"/>
        <v>0</v>
      </c>
      <c r="O82" s="91">
        <f t="shared" si="153"/>
        <v>0</v>
      </c>
      <c r="P82" s="91"/>
      <c r="Q82" s="91">
        <f>IFERROR(Q76/Q10,0)</f>
        <v>0</v>
      </c>
      <c r="S82" s="91">
        <f t="shared" ref="S82:AD82" si="166">IFERROR(S76/S10,0)</f>
        <v>0</v>
      </c>
      <c r="T82" s="91">
        <f t="shared" si="166"/>
        <v>0</v>
      </c>
      <c r="U82" s="91">
        <f t="shared" si="166"/>
        <v>0</v>
      </c>
      <c r="V82" s="91">
        <f t="shared" si="166"/>
        <v>0</v>
      </c>
      <c r="W82" s="91">
        <f t="shared" si="166"/>
        <v>0</v>
      </c>
      <c r="X82" s="91">
        <f t="shared" si="166"/>
        <v>0</v>
      </c>
      <c r="Y82" s="91">
        <f t="shared" si="166"/>
        <v>0</v>
      </c>
      <c r="Z82" s="91">
        <f t="shared" si="166"/>
        <v>0</v>
      </c>
      <c r="AA82" s="91">
        <f t="shared" si="166"/>
        <v>0</v>
      </c>
      <c r="AB82" s="91">
        <f t="shared" si="166"/>
        <v>0</v>
      </c>
      <c r="AC82" s="91">
        <f t="shared" si="166"/>
        <v>0</v>
      </c>
      <c r="AD82" s="91">
        <f t="shared" si="166"/>
        <v>0</v>
      </c>
      <c r="AE82" s="91"/>
      <c r="AF82" s="91">
        <f>IFERROR(AF76/AF10,0)</f>
        <v>0</v>
      </c>
      <c r="AH82" s="91">
        <f t="shared" ref="AH82:AS82" si="167">IFERROR(AH76/AH10,0)</f>
        <v>0</v>
      </c>
      <c r="AI82" s="91">
        <f t="shared" si="167"/>
        <v>0</v>
      </c>
      <c r="AJ82" s="91">
        <f t="shared" si="167"/>
        <v>0</v>
      </c>
      <c r="AK82" s="91">
        <f t="shared" si="167"/>
        <v>0</v>
      </c>
      <c r="AL82" s="91">
        <f t="shared" si="167"/>
        <v>0</v>
      </c>
      <c r="AM82" s="91">
        <f t="shared" si="167"/>
        <v>0</v>
      </c>
      <c r="AN82" s="91">
        <f t="shared" si="167"/>
        <v>0</v>
      </c>
      <c r="AO82" s="91">
        <f t="shared" si="167"/>
        <v>0</v>
      </c>
      <c r="AP82" s="91">
        <f t="shared" si="167"/>
        <v>0</v>
      </c>
      <c r="AQ82" s="91">
        <f t="shared" si="167"/>
        <v>0</v>
      </c>
      <c r="AR82" s="91">
        <f t="shared" si="167"/>
        <v>0</v>
      </c>
      <c r="AS82" s="91">
        <f t="shared" si="167"/>
        <v>0</v>
      </c>
      <c r="AT82" s="91"/>
      <c r="AU82" s="91">
        <f>IFERROR(AU76/AU10,0)</f>
        <v>0</v>
      </c>
    </row>
    <row r="83" spans="2:47">
      <c r="B83" s="72" t="s">
        <v>142</v>
      </c>
      <c r="C83" s="73"/>
      <c r="D83" s="97">
        <f t="shared" ref="D83:I83" si="168">IFERROR(D77/D12,0)</f>
        <v>0.31098287036444044</v>
      </c>
      <c r="E83" s="97">
        <f t="shared" si="168"/>
        <v>0.30180376573778667</v>
      </c>
      <c r="F83" s="97">
        <f t="shared" si="168"/>
        <v>-0.4688468587834112</v>
      </c>
      <c r="G83" s="97">
        <f t="shared" si="168"/>
        <v>0.36989987205913316</v>
      </c>
      <c r="H83" s="97">
        <f t="shared" si="168"/>
        <v>0.42402344159300559</v>
      </c>
      <c r="I83" s="97">
        <f t="shared" si="168"/>
        <v>0.23070114923959131</v>
      </c>
      <c r="J83" s="97">
        <f t="shared" ref="J83" si="169">IFERROR(J77/J12,0)</f>
        <v>0.30725764114670701</v>
      </c>
      <c r="K83" s="97">
        <f t="shared" ref="K83" si="170">IFERROR(K77/K12,0)</f>
        <v>-0.54161797068067619</v>
      </c>
      <c r="L83" s="97">
        <f t="shared" ref="L83:O83" si="171">IFERROR(L77/L12,0)</f>
        <v>-3.2858338047593236E-2</v>
      </c>
      <c r="M83" s="91">
        <f t="shared" si="171"/>
        <v>0.43429293323447926</v>
      </c>
      <c r="N83" s="91">
        <f t="shared" si="171"/>
        <v>0.37918823529411766</v>
      </c>
      <c r="O83" s="91">
        <f t="shared" si="171"/>
        <v>0.3757051157362381</v>
      </c>
      <c r="P83" s="91"/>
      <c r="Q83" s="91">
        <f>IFERROR(Q77/Q12,0)</f>
        <v>0.296771205462252</v>
      </c>
      <c r="S83" s="91">
        <f t="shared" ref="S83:AD83" ca="1" si="172">IFERROR(S77/S12,0)</f>
        <v>0.10925304322518466</v>
      </c>
      <c r="T83" s="91">
        <f t="shared" ca="1" si="172"/>
        <v>6.9409379679461675E-2</v>
      </c>
      <c r="U83" s="91">
        <f t="shared" ca="1" si="172"/>
        <v>0.12546860634080126</v>
      </c>
      <c r="V83" s="91">
        <f t="shared" ca="1" si="172"/>
        <v>0.36607828491502303</v>
      </c>
      <c r="W83" s="91">
        <f t="shared" ca="1" si="172"/>
        <v>0.28318757510722975</v>
      </c>
      <c r="X83" s="91">
        <f t="shared" ca="1" si="172"/>
        <v>0.21805807661016172</v>
      </c>
      <c r="Y83" s="91">
        <f t="shared" ca="1" si="172"/>
        <v>0.28806010108931523</v>
      </c>
      <c r="Z83" s="91">
        <f t="shared" ca="1" si="172"/>
        <v>0.27281220712391346</v>
      </c>
      <c r="AA83" s="91">
        <f t="shared" ca="1" si="172"/>
        <v>0.26506840366525536</v>
      </c>
      <c r="AB83" s="91">
        <f t="shared" ca="1" si="172"/>
        <v>0.21877583572329437</v>
      </c>
      <c r="AC83" s="91">
        <f t="shared" ca="1" si="172"/>
        <v>0.21864538992422347</v>
      </c>
      <c r="AD83" s="91">
        <f t="shared" ca="1" si="172"/>
        <v>0.24950156785083741</v>
      </c>
      <c r="AE83" s="91"/>
      <c r="AF83" s="91">
        <f ca="1">IFERROR(AF77/AF12,0)</f>
        <v>0.23185252244246948</v>
      </c>
      <c r="AH83" s="91">
        <f t="shared" ref="AH83:AS83" ca="1" si="173">IFERROR(AH77/AH12,0)</f>
        <v>0.27986083686855384</v>
      </c>
      <c r="AI83" s="91">
        <f t="shared" ca="1" si="173"/>
        <v>0.19943816735216491</v>
      </c>
      <c r="AJ83" s="91">
        <f t="shared" ca="1" si="173"/>
        <v>0.24766023718989011</v>
      </c>
      <c r="AK83" s="91">
        <f t="shared" ca="1" si="173"/>
        <v>0.45270215247676332</v>
      </c>
      <c r="AL83" s="91">
        <f t="shared" ca="1" si="173"/>
        <v>0.37541710858626504</v>
      </c>
      <c r="AM83" s="91">
        <f t="shared" ca="1" si="173"/>
        <v>0.32158227580029708</v>
      </c>
      <c r="AN83" s="91">
        <f t="shared" ca="1" si="173"/>
        <v>0.39360402767007041</v>
      </c>
      <c r="AO83" s="91">
        <f t="shared" ca="1" si="173"/>
        <v>0.40370118755673151</v>
      </c>
      <c r="AP83" s="91">
        <f t="shared" ca="1" si="173"/>
        <v>0.3796089505295116</v>
      </c>
      <c r="AQ83" s="91">
        <f t="shared" ca="1" si="173"/>
        <v>0.36315783558336551</v>
      </c>
      <c r="AR83" s="91">
        <f t="shared" ca="1" si="173"/>
        <v>0.39037050969915454</v>
      </c>
      <c r="AS83" s="91">
        <f t="shared" ca="1" si="173"/>
        <v>0.39272366632724059</v>
      </c>
      <c r="AT83" s="91"/>
      <c r="AU83" s="91">
        <f ca="1">IFERROR(AU77/AU12,0)</f>
        <v>0.35606282685967522</v>
      </c>
    </row>
    <row r="84" spans="2:47">
      <c r="D84" s="53"/>
      <c r="E84" s="53"/>
      <c r="F84" s="53"/>
      <c r="G84" s="53"/>
      <c r="H84" s="53"/>
      <c r="I84" s="53"/>
      <c r="J84" s="53"/>
      <c r="K84" s="53"/>
      <c r="L84" s="53"/>
      <c r="M84" s="91"/>
      <c r="N84" s="91"/>
      <c r="O84" s="91"/>
      <c r="P84" s="91"/>
      <c r="Q84" s="91"/>
    </row>
    <row r="85" spans="2:47" outlineLevel="1">
      <c r="B85" s="58" t="s">
        <v>143</v>
      </c>
      <c r="D85" s="53"/>
      <c r="E85" s="53"/>
      <c r="F85" s="53"/>
      <c r="G85" s="53"/>
      <c r="H85" s="53"/>
      <c r="I85" s="53"/>
      <c r="J85" s="53"/>
      <c r="K85" s="53"/>
      <c r="L85" s="53"/>
      <c r="M85" s="60"/>
      <c r="N85" s="60"/>
      <c r="O85" s="60"/>
      <c r="X85" s="60"/>
      <c r="Y85" s="60"/>
      <c r="Z85" s="60"/>
      <c r="AA85" s="60"/>
      <c r="AB85" s="60"/>
      <c r="AC85" s="60"/>
      <c r="AD85" s="60"/>
      <c r="AM85" s="60"/>
      <c r="AN85" s="60"/>
      <c r="AO85" s="60"/>
      <c r="AP85" s="60"/>
      <c r="AQ85" s="60"/>
      <c r="AR85" s="60"/>
      <c r="AS85" s="60"/>
    </row>
    <row r="86" spans="2:47" outlineLevel="1">
      <c r="B86" s="58"/>
      <c r="D86" s="53"/>
      <c r="E86" s="53"/>
      <c r="F86" s="53"/>
      <c r="G86" s="53"/>
      <c r="H86" s="53"/>
      <c r="I86" s="53"/>
      <c r="J86" s="53"/>
      <c r="K86" s="53"/>
      <c r="L86" s="53"/>
    </row>
    <row r="87" spans="2:47" outlineLevel="1">
      <c r="B87" s="51" t="s">
        <v>144</v>
      </c>
      <c r="D87" s="59">
        <v>-2726.69</v>
      </c>
      <c r="E87" s="59">
        <v>0</v>
      </c>
      <c r="F87" s="59">
        <v>-5969.46</v>
      </c>
      <c r="G87" s="59">
        <v>-2756.35</v>
      </c>
      <c r="H87" s="59">
        <v>-2977.91</v>
      </c>
      <c r="I87" s="59">
        <v>-2860.52</v>
      </c>
      <c r="J87" s="59">
        <v>-2838.85</v>
      </c>
      <c r="K87" s="59">
        <v>-3342.67</v>
      </c>
      <c r="L87" s="59">
        <v>-2894</v>
      </c>
      <c r="M87" s="60">
        <f>SUMIFS(Payroll!F:F,Payroll!$C:$C,"Permanent",Payroll!$D:$D,"Spain")</f>
        <v>-2429.2372881355932</v>
      </c>
      <c r="N87" s="60">
        <f>SUMIFS(Payroll!G:G,Payroll!$C:$C,"Permanent",Payroll!$D:$D,"Spain")</f>
        <v>-2429.2372881355932</v>
      </c>
      <c r="O87" s="60">
        <f>SUMIFS(Payroll!H:H,Payroll!$C:$C,"Permanent",Payroll!$D:$D,"Spain")</f>
        <v>-2429.2372881355932</v>
      </c>
      <c r="P87" s="60"/>
      <c r="Q87" s="61">
        <f>SUM(D87:O87)</f>
        <v>-33654.161864406771</v>
      </c>
      <c r="R87" s="61"/>
      <c r="S87" s="60">
        <f>SUMIFS(Payroll!I:I,Payroll!$C:$C,"Permanent",Payroll!$D:$D,"Spain")</f>
        <v>-3108.845339</v>
      </c>
      <c r="T87" s="60">
        <f>SUMIFS(Payroll!J:J,Payroll!$C:$C,"Permanent",Payroll!$D:$D,"Spain")</f>
        <v>-3108.845339</v>
      </c>
      <c r="U87" s="60">
        <f>SUMIFS(Payroll!K:K,Payroll!$C:$C,"Permanent",Payroll!$D:$D,"Spain")</f>
        <v>-3108.845339</v>
      </c>
      <c r="V87" s="60">
        <f>SUMIFS(Payroll!L:L,Payroll!$C:$C,"Permanent",Payroll!$D:$D,"Spain")</f>
        <v>-3108.845339</v>
      </c>
      <c r="W87" s="60">
        <f>SUMIFS(Payroll!M:M,Payroll!$C:$C,"Permanent",Payroll!$D:$D,"Spain")</f>
        <v>-3108.845339</v>
      </c>
      <c r="X87" s="60">
        <f>SUMIFS(Payroll!N:N,Payroll!$C:$C,"Permanent",Payroll!$D:$D,"Spain")</f>
        <v>-3108.845339</v>
      </c>
      <c r="Y87" s="60">
        <f>SUMIFS(Payroll!O:O,Payroll!$C:$C,"Permanent",Payroll!$D:$D,"Spain")</f>
        <v>-3108.845339</v>
      </c>
      <c r="Z87" s="60">
        <f>SUMIFS(Payroll!P:P,Payroll!$C:$C,"Permanent",Payroll!$D:$D,"Spain")</f>
        <v>-3108.845339</v>
      </c>
      <c r="AA87" s="60">
        <f>SUMIFS(Payroll!Q:Q,Payroll!$C:$C,"Permanent",Payroll!$D:$D,"Spain")</f>
        <v>-3108.845339</v>
      </c>
      <c r="AB87" s="60">
        <f>SUMIFS(Payroll!R:R,Payroll!$C:$C,"Permanent",Payroll!$D:$D,"Spain")</f>
        <v>-3108.845339</v>
      </c>
      <c r="AC87" s="60">
        <f>SUMIFS(Payroll!S:S,Payroll!$C:$C,"Permanent",Payroll!$D:$D,"Spain")</f>
        <v>-3108.845339</v>
      </c>
      <c r="AD87" s="60">
        <f>SUMIFS(Payroll!T:T,Payroll!$C:$C,"Permanent",Payroll!$D:$D,"Spain")</f>
        <v>-3108.845339</v>
      </c>
      <c r="AE87" s="60"/>
      <c r="AF87" s="61">
        <f>SUM(S87:AD87)</f>
        <v>-37306.144068000001</v>
      </c>
      <c r="AH87" s="60">
        <f>SUMIFS(Payroll!U:U,Payroll!$C:$C,"Permanent",Payroll!$D:$D,"Spain")</f>
        <v>-3108.845339</v>
      </c>
      <c r="AI87" s="60">
        <f>SUMIFS(Payroll!V:V,Payroll!$C:$C,"Permanent",Payroll!$D:$D,"Spain")</f>
        <v>-3108.845339</v>
      </c>
      <c r="AJ87" s="60">
        <f>SUMIFS(Payroll!W:W,Payroll!$C:$C,"Permanent",Payroll!$D:$D,"Spain")</f>
        <v>-3108.845339</v>
      </c>
      <c r="AK87" s="60">
        <f>SUMIFS(Payroll!X:X,Payroll!$C:$C,"Permanent",Payroll!$D:$D,"Spain")</f>
        <v>-3108.845339</v>
      </c>
      <c r="AL87" s="60">
        <f>SUMIFS(Payroll!Y:Y,Payroll!$C:$C,"Permanent",Payroll!$D:$D,"Spain")</f>
        <v>-3108.845339</v>
      </c>
      <c r="AM87" s="60">
        <f>SUMIFS(Payroll!Z:Z,Payroll!$C:$C,"Permanent",Payroll!$D:$D,"Spain")</f>
        <v>-3108.845339</v>
      </c>
      <c r="AN87" s="60">
        <f>SUMIFS(Payroll!AA:AA,Payroll!$C:$C,"Permanent",Payroll!$D:$D,"Spain")</f>
        <v>-3108.845339</v>
      </c>
      <c r="AO87" s="60">
        <f>SUMIFS(Payroll!AB:AB,Payroll!$C:$C,"Permanent",Payroll!$D:$D,"Spain")</f>
        <v>-3108.845339</v>
      </c>
      <c r="AP87" s="60">
        <f>SUMIFS(Payroll!AC:AC,Payroll!$C:$C,"Permanent",Payroll!$D:$D,"Spain")</f>
        <v>-3108.845339</v>
      </c>
      <c r="AQ87" s="60">
        <f>SUMIFS(Payroll!AD:AD,Payroll!$C:$C,"Permanent",Payroll!$D:$D,"Spain")</f>
        <v>-3108.845339</v>
      </c>
      <c r="AR87" s="60">
        <f>SUMIFS(Payroll!AE:AE,Payroll!$C:$C,"Permanent",Payroll!$D:$D,"Spain")</f>
        <v>-3108.845339</v>
      </c>
      <c r="AS87" s="60">
        <f>SUMIFS(Payroll!AF:AF,Payroll!$C:$C,"Permanent",Payroll!$D:$D,"Spain")</f>
        <v>-3108.845339</v>
      </c>
      <c r="AT87" s="60"/>
      <c r="AU87" s="61">
        <f>SUM(AH87:AS87)</f>
        <v>-37306.144068000001</v>
      </c>
    </row>
    <row r="88" spans="2:47" outlineLevel="1">
      <c r="B88" s="51" t="s">
        <v>145</v>
      </c>
      <c r="D88" s="59">
        <v>0</v>
      </c>
      <c r="E88" s="59">
        <v>0</v>
      </c>
      <c r="F88" s="59">
        <v>0</v>
      </c>
      <c r="G88" s="59">
        <v>0</v>
      </c>
      <c r="H88" s="59">
        <v>0</v>
      </c>
      <c r="I88" s="59">
        <v>0</v>
      </c>
      <c r="J88" s="59">
        <v>0</v>
      </c>
      <c r="K88" s="59">
        <v>0</v>
      </c>
      <c r="L88" s="59">
        <f>SUMIFS(Payroll!E:E,Payroll!$C:$C,"Freelancer",Payroll!$D:$D,"Spain")</f>
        <v>0</v>
      </c>
      <c r="M88" s="60">
        <f>SUMIFS(Payroll!F:F,Payroll!$C:$C,"Freelancer",Payroll!$D:$D,"Spain")</f>
        <v>0</v>
      </c>
      <c r="N88" s="60">
        <f>SUMIFS(Payroll!G:G,Payroll!$C:$C,"Freelancer",Payroll!$D:$D,"Spain")</f>
        <v>0</v>
      </c>
      <c r="O88" s="60">
        <f>SUMIFS(Payroll!H:H,Payroll!$C:$C,"Freelancer",Payroll!$D:$D,"Spain")</f>
        <v>0</v>
      </c>
      <c r="P88" s="60"/>
      <c r="Q88" s="61">
        <f t="shared" ref="Q88:Q95" si="174">SUM(D88:O88)</f>
        <v>0</v>
      </c>
      <c r="R88" s="61"/>
      <c r="S88" s="60">
        <f>SUMIFS(Payroll!I:I,Payroll!$C:$C,"Freelancer",Payroll!$D:$D,"Spain")</f>
        <v>0</v>
      </c>
      <c r="T88" s="60">
        <f>SUMIFS(Payroll!J:J,Payroll!$C:$C,"Freelancer",Payroll!$D:$D,"Spain")</f>
        <v>0</v>
      </c>
      <c r="U88" s="60">
        <f>SUMIFS(Payroll!K:K,Payroll!$C:$C,"Freelancer",Payroll!$D:$D,"Spain")</f>
        <v>0</v>
      </c>
      <c r="V88" s="60">
        <f>SUMIFS(Payroll!L:L,Payroll!$C:$C,"Freelancer",Payroll!$D:$D,"Spain")</f>
        <v>0</v>
      </c>
      <c r="W88" s="60">
        <f>SUMIFS(Payroll!M:M,Payroll!$C:$C,"Freelancer",Payroll!$D:$D,"Spain")</f>
        <v>0</v>
      </c>
      <c r="X88" s="60">
        <f>SUMIFS(Payroll!N:N,Payroll!$C:$C,"Freelancer",Payroll!$D:$D,"Spain")</f>
        <v>0</v>
      </c>
      <c r="Y88" s="60">
        <f>SUMIFS(Payroll!O:O,Payroll!$C:$C,"Freelancer",Payroll!$D:$D,"Spain")</f>
        <v>0</v>
      </c>
      <c r="Z88" s="60">
        <f>SUMIFS(Payroll!P:P,Payroll!$C:$C,"Freelancer",Payroll!$D:$D,"Spain")</f>
        <v>0</v>
      </c>
      <c r="AA88" s="60">
        <f>SUMIFS(Payroll!Q:Q,Payroll!$C:$C,"Freelancer",Payroll!$D:$D,"Spain")</f>
        <v>0</v>
      </c>
      <c r="AB88" s="60">
        <f>SUMIFS(Payroll!R:R,Payroll!$C:$C,"Freelancer",Payroll!$D:$D,"Spain")</f>
        <v>0</v>
      </c>
      <c r="AC88" s="60">
        <f>SUMIFS(Payroll!S:S,Payroll!$C:$C,"Freelancer",Payroll!$D:$D,"Spain")</f>
        <v>0</v>
      </c>
      <c r="AD88" s="60">
        <f>SUMIFS(Payroll!T:T,Payroll!$C:$C,"Freelancer",Payroll!$D:$D,"Spain")</f>
        <v>0</v>
      </c>
      <c r="AE88" s="60"/>
      <c r="AF88" s="61">
        <f t="shared" ref="AF88:AF95" si="175">SUM(S88:AD88)</f>
        <v>0</v>
      </c>
      <c r="AH88" s="60">
        <f>SUMIFS(Payroll!U:U,Payroll!$C:$C,"Freelancer",Payroll!$D:$D,"Spain")</f>
        <v>0</v>
      </c>
      <c r="AI88" s="60">
        <f>SUMIFS(Payroll!V:V,Payroll!$C:$C,"Freelancer",Payroll!$D:$D,"Spain")</f>
        <v>0</v>
      </c>
      <c r="AJ88" s="60">
        <f>SUMIFS(Payroll!W:W,Payroll!$C:$C,"Freelancer",Payroll!$D:$D,"Spain")</f>
        <v>0</v>
      </c>
      <c r="AK88" s="60">
        <f>SUMIFS(Payroll!X:X,Payroll!$C:$C,"Freelancer",Payroll!$D:$D,"Spain")</f>
        <v>0</v>
      </c>
      <c r="AL88" s="60">
        <f>SUMIFS(Payroll!Y:Y,Payroll!$C:$C,"Freelancer",Payroll!$D:$D,"Spain")</f>
        <v>0</v>
      </c>
      <c r="AM88" s="60">
        <f>SUMIFS(Payroll!Z:Z,Payroll!$C:$C,"Freelancer",Payroll!$D:$D,"Spain")</f>
        <v>0</v>
      </c>
      <c r="AN88" s="60">
        <f>SUMIFS(Payroll!AA:AA,Payroll!$C:$C,"Freelancer",Payroll!$D:$D,"Spain")</f>
        <v>0</v>
      </c>
      <c r="AO88" s="60">
        <f>SUMIFS(Payroll!AB:AB,Payroll!$C:$C,"Freelancer",Payroll!$D:$D,"Spain")</f>
        <v>0</v>
      </c>
      <c r="AP88" s="60">
        <f>SUMIFS(Payroll!AC:AC,Payroll!$C:$C,"Freelancer",Payroll!$D:$D,"Spain")</f>
        <v>0</v>
      </c>
      <c r="AQ88" s="60">
        <f>SUMIFS(Payroll!AD:AD,Payroll!$C:$C,"Freelancer",Payroll!$D:$D,"Spain")</f>
        <v>0</v>
      </c>
      <c r="AR88" s="60">
        <f>SUMIFS(Payroll!AE:AE,Payroll!$C:$C,"Freelancer",Payroll!$D:$D,"Spain")</f>
        <v>0</v>
      </c>
      <c r="AS88" s="60">
        <f>SUMIFS(Payroll!AF:AF,Payroll!$C:$C,"Freelancer",Payroll!$D:$D,"Spain")</f>
        <v>0</v>
      </c>
      <c r="AT88" s="60"/>
      <c r="AU88" s="61">
        <f t="shared" ref="AU88:AU95" si="176">SUM(AH88:AS88)</f>
        <v>0</v>
      </c>
    </row>
    <row r="89" spans="2:47" outlineLevel="1">
      <c r="B89" s="51" t="s">
        <v>146</v>
      </c>
      <c r="D89" s="59">
        <v>-1085.3</v>
      </c>
      <c r="E89" s="59">
        <v>0</v>
      </c>
      <c r="F89" s="59">
        <v>-612.38</v>
      </c>
      <c r="G89" s="59">
        <v>-418.43</v>
      </c>
      <c r="H89" s="59">
        <v>-415.94</v>
      </c>
      <c r="I89" s="59">
        <v>-1600.14</v>
      </c>
      <c r="J89" s="59">
        <v>-420.76</v>
      </c>
      <c r="K89" s="59">
        <v>-422.15</v>
      </c>
      <c r="L89" s="59">
        <v>-962</v>
      </c>
      <c r="M89" s="60">
        <v>-500</v>
      </c>
      <c r="N89" s="60">
        <v>-500</v>
      </c>
      <c r="O89" s="60">
        <v>-500</v>
      </c>
      <c r="P89" s="60"/>
      <c r="Q89" s="61">
        <f t="shared" si="174"/>
        <v>-7437.0999999999995</v>
      </c>
      <c r="R89" s="61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1">
        <f t="shared" si="175"/>
        <v>0</v>
      </c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1">
        <f t="shared" si="176"/>
        <v>0</v>
      </c>
    </row>
    <row r="90" spans="2:47" outlineLevel="1">
      <c r="B90" s="51" t="s">
        <v>147</v>
      </c>
      <c r="D90" s="59">
        <v>-82.7</v>
      </c>
      <c r="E90" s="59">
        <v>-57.9</v>
      </c>
      <c r="F90" s="59">
        <v>-129.31</v>
      </c>
      <c r="G90" s="59">
        <v>-130.27000000000001</v>
      </c>
      <c r="H90" s="59">
        <v>-135.94999999999999</v>
      </c>
      <c r="I90" s="59">
        <v>-236.37</v>
      </c>
      <c r="J90" s="59">
        <v>-232.79</v>
      </c>
      <c r="K90" s="59">
        <v>-350.42</v>
      </c>
      <c r="L90" s="59">
        <v>-96</v>
      </c>
      <c r="M90" s="60">
        <v>-300</v>
      </c>
      <c r="N90" s="60">
        <v>-300</v>
      </c>
      <c r="O90" s="60">
        <v>-300</v>
      </c>
      <c r="P90" s="60"/>
      <c r="Q90" s="61">
        <f t="shared" si="174"/>
        <v>-2351.71</v>
      </c>
      <c r="R90" s="61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1">
        <f t="shared" si="175"/>
        <v>0</v>
      </c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1">
        <f t="shared" si="176"/>
        <v>0</v>
      </c>
    </row>
    <row r="91" spans="2:47" outlineLevel="1">
      <c r="B91" s="51" t="s">
        <v>148</v>
      </c>
      <c r="D91" s="59">
        <v>0</v>
      </c>
      <c r="E91" s="59">
        <v>0</v>
      </c>
      <c r="F91" s="59">
        <v>0</v>
      </c>
      <c r="G91" s="59">
        <v>0</v>
      </c>
      <c r="H91" s="59">
        <v>0</v>
      </c>
      <c r="I91" s="59">
        <v>0</v>
      </c>
      <c r="J91" s="59">
        <v>0</v>
      </c>
      <c r="K91" s="59">
        <v>0</v>
      </c>
      <c r="L91" s="59"/>
      <c r="M91" s="60"/>
      <c r="N91" s="60"/>
      <c r="O91" s="60"/>
      <c r="P91" s="60"/>
      <c r="Q91" s="61">
        <f t="shared" si="174"/>
        <v>0</v>
      </c>
      <c r="R91" s="61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1">
        <f t="shared" si="175"/>
        <v>0</v>
      </c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1">
        <f t="shared" si="176"/>
        <v>0</v>
      </c>
    </row>
    <row r="92" spans="2:47" outlineLevel="1">
      <c r="B92" s="51" t="s">
        <v>149</v>
      </c>
      <c r="D92" s="59">
        <v>0</v>
      </c>
      <c r="E92" s="59">
        <v>0</v>
      </c>
      <c r="F92" s="59">
        <v>0</v>
      </c>
      <c r="G92" s="59">
        <v>0</v>
      </c>
      <c r="H92" s="59">
        <v>0</v>
      </c>
      <c r="I92" s="59">
        <v>0</v>
      </c>
      <c r="J92" s="59">
        <v>0</v>
      </c>
      <c r="K92" s="59">
        <v>0</v>
      </c>
      <c r="L92" s="59"/>
      <c r="M92" s="60"/>
      <c r="N92" s="60"/>
      <c r="O92" s="60"/>
      <c r="P92" s="60"/>
      <c r="Q92" s="61">
        <f t="shared" si="174"/>
        <v>0</v>
      </c>
      <c r="R92" s="61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1">
        <f t="shared" si="175"/>
        <v>0</v>
      </c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1">
        <f t="shared" si="176"/>
        <v>0</v>
      </c>
    </row>
    <row r="93" spans="2:47" outlineLevel="1">
      <c r="B93" s="51" t="s">
        <v>150</v>
      </c>
      <c r="D93" s="59">
        <v>0</v>
      </c>
      <c r="E93" s="59">
        <v>0</v>
      </c>
      <c r="F93" s="59">
        <v>0</v>
      </c>
      <c r="G93" s="59">
        <v>0</v>
      </c>
      <c r="H93" s="59">
        <v>0</v>
      </c>
      <c r="I93" s="59">
        <v>0</v>
      </c>
      <c r="J93" s="59">
        <v>0</v>
      </c>
      <c r="K93" s="59">
        <v>0</v>
      </c>
      <c r="L93" s="59"/>
      <c r="M93" s="60"/>
      <c r="N93" s="60"/>
      <c r="O93" s="60"/>
      <c r="P93" s="60"/>
      <c r="Q93" s="61">
        <f t="shared" si="174"/>
        <v>0</v>
      </c>
      <c r="R93" s="61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1">
        <f t="shared" si="175"/>
        <v>0</v>
      </c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1">
        <f t="shared" si="176"/>
        <v>0</v>
      </c>
    </row>
    <row r="94" spans="2:47" outlineLevel="1">
      <c r="B94" s="51" t="s">
        <v>151</v>
      </c>
      <c r="D94" s="59">
        <v>0</v>
      </c>
      <c r="E94" s="59">
        <v>0</v>
      </c>
      <c r="F94" s="59">
        <v>0</v>
      </c>
      <c r="G94" s="59">
        <v>0</v>
      </c>
      <c r="H94" s="59">
        <v>0</v>
      </c>
      <c r="I94" s="59">
        <v>0</v>
      </c>
      <c r="J94" s="59">
        <v>0</v>
      </c>
      <c r="K94" s="59">
        <v>0</v>
      </c>
      <c r="L94" s="59"/>
      <c r="M94" s="60"/>
      <c r="N94" s="60"/>
      <c r="O94" s="60"/>
      <c r="P94" s="60"/>
      <c r="Q94" s="61">
        <f t="shared" si="174"/>
        <v>0</v>
      </c>
      <c r="R94" s="61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1">
        <f t="shared" si="175"/>
        <v>0</v>
      </c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1">
        <f t="shared" si="176"/>
        <v>0</v>
      </c>
    </row>
    <row r="95" spans="2:47" outlineLevel="1">
      <c r="B95" s="51" t="s">
        <v>143</v>
      </c>
      <c r="D95" s="59">
        <v>0</v>
      </c>
      <c r="E95" s="59">
        <v>0</v>
      </c>
      <c r="F95" s="59">
        <v>0</v>
      </c>
      <c r="G95" s="59">
        <v>0</v>
      </c>
      <c r="H95" s="59">
        <v>0</v>
      </c>
      <c r="I95" s="59">
        <v>0</v>
      </c>
      <c r="J95" s="59">
        <v>0</v>
      </c>
      <c r="K95" s="59">
        <v>0</v>
      </c>
      <c r="L95" s="59"/>
      <c r="M95" s="60"/>
      <c r="N95" s="60"/>
      <c r="O95" s="60"/>
      <c r="P95" s="60"/>
      <c r="Q95" s="61">
        <f t="shared" si="174"/>
        <v>0</v>
      </c>
      <c r="R95" s="61"/>
      <c r="S95" s="60">
        <f>SUMIF('OH Matrix'!$A$58:$A$70,"ES",'OH Matrix'!P58:P70)</f>
        <v>-6969.9149577233657</v>
      </c>
      <c r="T95" s="60">
        <f>SUMIF('OH Matrix'!$A$58:$A$70,"ES",'OH Matrix'!Q58:Q70)</f>
        <v>-5298.4947879445854</v>
      </c>
      <c r="U95" s="60">
        <f>SUMIF('OH Matrix'!$A$58:$A$70,"ES",'OH Matrix'!R58:R70)</f>
        <v>-3547.3686998241842</v>
      </c>
      <c r="V95" s="60">
        <f>SUMIF('OH Matrix'!$A$58:$A$70,"ES",'OH Matrix'!S58:S70)</f>
        <v>-7611.4725404104584</v>
      </c>
      <c r="W95" s="60">
        <f>SUMIF('OH Matrix'!$A$58:$A$70,"ES",'OH Matrix'!T58:T70)</f>
        <v>-8995.3610932332504</v>
      </c>
      <c r="X95" s="60">
        <f>SUMIF('OH Matrix'!$A$58:$A$70,"ES",'OH Matrix'!U58:U70)</f>
        <v>-5921.299728474818</v>
      </c>
      <c r="Y95" s="60">
        <f>SUMIF('OH Matrix'!$A$58:$A$70,"ES",'OH Matrix'!V58:V70)</f>
        <v>-5190.19392163666</v>
      </c>
      <c r="Z95" s="60">
        <f>SUMIF('OH Matrix'!$A$58:$A$70,"ES",'OH Matrix'!W58:W70)</f>
        <v>-2942.9163612733396</v>
      </c>
      <c r="AA95" s="60">
        <f>SUMIF('OH Matrix'!$A$58:$A$70,"ES",'OH Matrix'!X58:X70)</f>
        <v>-6523.6412292155965</v>
      </c>
      <c r="AB95" s="60">
        <f>SUMIF('OH Matrix'!$A$58:$A$70,"ES",'OH Matrix'!Y58:Y70)</f>
        <v>-6269.3597199821152</v>
      </c>
      <c r="AC95" s="60">
        <f>SUMIF('OH Matrix'!$A$58:$A$70,"ES",'OH Matrix'!Z58:Z70)</f>
        <v>-5610.1946712626377</v>
      </c>
      <c r="AD95" s="60">
        <f>SUMIF('OH Matrix'!$A$58:$A$70,"ES",'OH Matrix'!AA58:AA70)</f>
        <v>-5161.4097756059218</v>
      </c>
      <c r="AE95" s="60"/>
      <c r="AF95" s="61">
        <f t="shared" si="175"/>
        <v>-70041.627486586935</v>
      </c>
      <c r="AH95" s="60">
        <f>SUMIF('OH Matrix'!$A$58:$A$70,"ES",'OH Matrix'!AD58:AD70)</f>
        <v>-7633.6188926212171</v>
      </c>
      <c r="AI95" s="60">
        <f>SUMIF('OH Matrix'!$A$58:$A$70,"ES",'OH Matrix'!AE58:AE70)</f>
        <v>-4217.474834112194</v>
      </c>
      <c r="AJ95" s="60">
        <f>SUMIF('OH Matrix'!$A$58:$A$70,"ES",'OH Matrix'!AF58:AF70)</f>
        <v>-2382.2241044138332</v>
      </c>
      <c r="AK95" s="60">
        <f>SUMIF('OH Matrix'!$A$58:$A$70,"ES",'OH Matrix'!AG58:AG70)</f>
        <v>-5793.5587099158811</v>
      </c>
      <c r="AL95" s="60">
        <f>SUMIF('OH Matrix'!$A$58:$A$70,"ES",'OH Matrix'!AH58:AH70)</f>
        <v>-8093.4009072478402</v>
      </c>
      <c r="AM95" s="60">
        <f>SUMIF('OH Matrix'!$A$58:$A$70,"ES",'OH Matrix'!AI58:AI70)</f>
        <v>-4301.632963836566</v>
      </c>
      <c r="AN95" s="60">
        <f>SUMIF('OH Matrix'!$A$58:$A$70,"ES",'OH Matrix'!AJ58:AJ70)</f>
        <v>-5060.198345332964</v>
      </c>
      <c r="AO95" s="60">
        <f>SUMIF('OH Matrix'!$A$58:$A$70,"ES",'OH Matrix'!AK58:AK70)</f>
        <v>-3114.5711752385841</v>
      </c>
      <c r="AP95" s="60">
        <f>SUMIF('OH Matrix'!$A$58:$A$70,"ES",'OH Matrix'!AL58:AL70)</f>
        <v>-3675.5434419938633</v>
      </c>
      <c r="AQ95" s="60">
        <f>SUMIF('OH Matrix'!$A$58:$A$70,"ES",'OH Matrix'!AM58:AM70)</f>
        <v>-4480.0411667883918</v>
      </c>
      <c r="AR95" s="60">
        <f>SUMIF('OH Matrix'!$A$58:$A$70,"ES",'OH Matrix'!AN58:AN70)</f>
        <v>-3851.3672430399488</v>
      </c>
      <c r="AS95" s="60">
        <f>SUMIF('OH Matrix'!$A$58:$A$70,"ES",'OH Matrix'!AO58:AO70)</f>
        <v>-3891.9538769937994</v>
      </c>
      <c r="AT95" s="60"/>
      <c r="AU95" s="61">
        <f t="shared" si="176"/>
        <v>-56495.585661535079</v>
      </c>
    </row>
    <row r="96" spans="2:47" outlineLevel="1">
      <c r="D96" s="53"/>
      <c r="E96" s="53"/>
      <c r="F96" s="53"/>
      <c r="G96" s="53"/>
      <c r="H96" s="53"/>
      <c r="I96" s="53"/>
      <c r="J96" s="53"/>
      <c r="K96" s="53"/>
      <c r="L96" s="53"/>
    </row>
    <row r="97" spans="2:47">
      <c r="B97" s="65" t="s">
        <v>152</v>
      </c>
      <c r="C97" s="61"/>
      <c r="D97" s="64">
        <f t="shared" ref="D97:J97" si="177">SUM(D87:D96)</f>
        <v>-3894.6899999999996</v>
      </c>
      <c r="E97" s="64">
        <f t="shared" si="177"/>
        <v>-57.9</v>
      </c>
      <c r="F97" s="64">
        <f t="shared" si="177"/>
        <v>-6711.1500000000005</v>
      </c>
      <c r="G97" s="64">
        <f t="shared" si="177"/>
        <v>-3305.0499999999997</v>
      </c>
      <c r="H97" s="64">
        <f t="shared" si="177"/>
        <v>-3529.7999999999997</v>
      </c>
      <c r="I97" s="64">
        <f t="shared" si="177"/>
        <v>-4697.03</v>
      </c>
      <c r="J97" s="64">
        <f t="shared" si="177"/>
        <v>-3492.3999999999996</v>
      </c>
      <c r="K97" s="64">
        <f>SUM(K87:K96)</f>
        <v>-4115.24</v>
      </c>
      <c r="L97" s="64">
        <f>SUM(L87:L96)</f>
        <v>-3952</v>
      </c>
      <c r="M97" s="65">
        <f>SUM(M87:M96)</f>
        <v>-3229.2372881355932</v>
      </c>
      <c r="N97" s="65">
        <f>SUM(N87:N96)</f>
        <v>-3229.2372881355932</v>
      </c>
      <c r="O97" s="65">
        <f>SUM(O87:O96)</f>
        <v>-3229.2372881355932</v>
      </c>
      <c r="P97" s="61"/>
      <c r="Q97" s="65">
        <f>SUM(D97:O97)</f>
        <v>-43442.971864406769</v>
      </c>
      <c r="S97" s="84">
        <f>SUM(S87:S96)</f>
        <v>-10078.760296723365</v>
      </c>
      <c r="T97" s="84">
        <f t="shared" ref="T97:Z97" si="178">SUM(T87:T96)</f>
        <v>-8407.3401269445858</v>
      </c>
      <c r="U97" s="84">
        <f t="shared" si="178"/>
        <v>-6656.2140388241842</v>
      </c>
      <c r="V97" s="84">
        <f t="shared" si="178"/>
        <v>-10720.317879410459</v>
      </c>
      <c r="W97" s="84">
        <f t="shared" si="178"/>
        <v>-12104.20643223325</v>
      </c>
      <c r="X97" s="84">
        <f t="shared" si="178"/>
        <v>-9030.1450674748176</v>
      </c>
      <c r="Y97" s="84">
        <f t="shared" si="178"/>
        <v>-8299.0392606366604</v>
      </c>
      <c r="Z97" s="84">
        <f t="shared" si="178"/>
        <v>-6051.7617002733396</v>
      </c>
      <c r="AA97" s="65">
        <f>SUM(AA87:AA96)</f>
        <v>-9632.486568215596</v>
      </c>
      <c r="AB97" s="65">
        <f>SUM(AB87:AB96)</f>
        <v>-9378.2050589821156</v>
      </c>
      <c r="AC97" s="65">
        <f>SUM(AC87:AC96)</f>
        <v>-8719.0400102626372</v>
      </c>
      <c r="AD97" s="65">
        <f>SUM(AD87:AD96)</f>
        <v>-8270.2551146059213</v>
      </c>
      <c r="AE97" s="61"/>
      <c r="AF97" s="65">
        <f>SUM(S97:AD97)</f>
        <v>-107347.77155458693</v>
      </c>
      <c r="AH97" s="84">
        <f>SUM(AH87:AH96)</f>
        <v>-10742.464231621218</v>
      </c>
      <c r="AI97" s="84">
        <f t="shared" ref="AI97:AO97" si="179">SUM(AI87:AI96)</f>
        <v>-7326.3201731121935</v>
      </c>
      <c r="AJ97" s="84">
        <f t="shared" si="179"/>
        <v>-5491.0694434138331</v>
      </c>
      <c r="AK97" s="84">
        <f t="shared" si="179"/>
        <v>-8902.4040489158815</v>
      </c>
      <c r="AL97" s="84">
        <f t="shared" si="179"/>
        <v>-11202.24624624784</v>
      </c>
      <c r="AM97" s="84">
        <f t="shared" si="179"/>
        <v>-7410.4783028365655</v>
      </c>
      <c r="AN97" s="84">
        <f t="shared" si="179"/>
        <v>-8169.0436843329644</v>
      </c>
      <c r="AO97" s="84">
        <f t="shared" si="179"/>
        <v>-6223.4165142385846</v>
      </c>
      <c r="AP97" s="65">
        <f>SUM(AP87:AP96)</f>
        <v>-6784.3887809938633</v>
      </c>
      <c r="AQ97" s="65">
        <f>SUM(AQ87:AQ96)</f>
        <v>-7588.8865057883922</v>
      </c>
      <c r="AR97" s="65">
        <f>SUM(AR87:AR96)</f>
        <v>-6960.2125820399488</v>
      </c>
      <c r="AS97" s="65">
        <f>SUM(AS87:AS96)</f>
        <v>-7000.7992159937994</v>
      </c>
      <c r="AT97" s="61"/>
      <c r="AU97" s="65">
        <f>SUM(AH97:AS97)</f>
        <v>-93801.729729535087</v>
      </c>
    </row>
    <row r="98" spans="2:47">
      <c r="D98" s="76"/>
      <c r="E98" s="76"/>
      <c r="F98" s="76"/>
      <c r="G98" s="76"/>
      <c r="H98" s="76"/>
      <c r="I98" s="76"/>
      <c r="J98" s="76"/>
      <c r="K98" s="76"/>
      <c r="L98" s="76"/>
      <c r="M98" s="77"/>
      <c r="N98" s="77"/>
      <c r="O98" s="77"/>
      <c r="Q98" s="91">
        <f>-Q97/Q12</f>
        <v>4.1851109664839826E-2</v>
      </c>
      <c r="S98" s="89"/>
      <c r="T98" s="89"/>
      <c r="U98" s="89"/>
      <c r="V98" s="89"/>
      <c r="W98" s="89"/>
      <c r="X98" s="77"/>
      <c r="Y98" s="77"/>
      <c r="Z98" s="77"/>
      <c r="AA98" s="77"/>
      <c r="AB98" s="77"/>
      <c r="AC98" s="77"/>
      <c r="AD98" s="77"/>
      <c r="AF98" s="91">
        <f ca="1">-AF97/AF12</f>
        <v>7.5717110825846853E-2</v>
      </c>
      <c r="AH98" s="89"/>
      <c r="AI98" s="89"/>
      <c r="AJ98" s="89"/>
      <c r="AK98" s="89"/>
      <c r="AL98" s="89"/>
      <c r="AM98" s="77"/>
      <c r="AN98" s="77"/>
      <c r="AO98" s="77"/>
      <c r="AP98" s="77"/>
      <c r="AQ98" s="77"/>
      <c r="AR98" s="77"/>
      <c r="AS98" s="77"/>
      <c r="AU98" s="91">
        <f ca="1">-AU97/AU12</f>
        <v>2.4391440721331942E-2</v>
      </c>
    </row>
    <row r="99" spans="2:47">
      <c r="B99" s="52" t="s">
        <v>153</v>
      </c>
      <c r="C99" s="52"/>
      <c r="D99" s="78">
        <f>D77+D83+D97</f>
        <v>23298.410982870362</v>
      </c>
      <c r="E99" s="78">
        <f t="shared" ref="E99:K99" si="180">E77+E83+E97</f>
        <v>21117.421803765745</v>
      </c>
      <c r="F99" s="78">
        <f t="shared" si="180"/>
        <v>-20540.378846858781</v>
      </c>
      <c r="G99" s="78">
        <f t="shared" si="180"/>
        <v>43997.889899872047</v>
      </c>
      <c r="H99" s="78">
        <f t="shared" si="180"/>
        <v>36938.234023441582</v>
      </c>
      <c r="I99" s="78">
        <f t="shared" si="180"/>
        <v>14438.370701149255</v>
      </c>
      <c r="J99" s="78">
        <f t="shared" ref="J99" si="181">J77+J83+J97</f>
        <v>24115.427257641139</v>
      </c>
      <c r="K99" s="78">
        <f t="shared" si="180"/>
        <v>-15242.851617970682</v>
      </c>
      <c r="L99" s="78">
        <f t="shared" ref="L99:O99" si="182">L77+L83+L97</f>
        <v>-5989.5928583380455</v>
      </c>
      <c r="M99" s="61">
        <f t="shared" si="182"/>
        <v>85808.197004797636</v>
      </c>
      <c r="N99" s="61">
        <f t="shared" si="182"/>
        <v>29002.141900099698</v>
      </c>
      <c r="O99" s="61">
        <f t="shared" si="182"/>
        <v>27675.138416980146</v>
      </c>
      <c r="P99" s="61"/>
      <c r="Q99" s="79">
        <f>Q77+Q97</f>
        <v>264616.3181355932</v>
      </c>
      <c r="S99" s="61">
        <f t="shared" ref="S99:AD99" ca="1" si="183">S77+S83+S97</f>
        <v>-3537.8781987657276</v>
      </c>
      <c r="T99" s="61">
        <f t="shared" ca="1" si="183"/>
        <v>-63.120214893215234</v>
      </c>
      <c r="U99" s="61">
        <f t="shared" ca="1" si="183"/>
        <v>7964.6171855174598</v>
      </c>
      <c r="V99" s="61">
        <f t="shared" ca="1" si="183"/>
        <v>45477.79649843042</v>
      </c>
      <c r="W99" s="61">
        <f t="shared" ca="1" si="183"/>
        <v>24484.210462781426</v>
      </c>
      <c r="X99" s="61">
        <f t="shared" ca="1" si="183"/>
        <v>18911.856149502783</v>
      </c>
      <c r="Y99" s="61">
        <f t="shared" ca="1" si="183"/>
        <v>22091.360054174533</v>
      </c>
      <c r="Z99" s="61">
        <f t="shared" ca="1" si="183"/>
        <v>21961.352936985764</v>
      </c>
      <c r="AA99" s="61">
        <f t="shared" ca="1" si="183"/>
        <v>31325.366393884629</v>
      </c>
      <c r="AB99" s="61">
        <f t="shared" ca="1" si="183"/>
        <v>22616.408345847856</v>
      </c>
      <c r="AC99" s="61">
        <f t="shared" ca="1" si="183"/>
        <v>13350.925774334853</v>
      </c>
      <c r="AD99" s="61">
        <f t="shared" ca="1" si="183"/>
        <v>16780.434034433645</v>
      </c>
      <c r="AE99" s="61"/>
      <c r="AF99" s="79">
        <f ca="1">AF77+AF97</f>
        <v>221360.64510376332</v>
      </c>
      <c r="AH99" s="61">
        <f t="shared" ref="AH99:AS99" ca="1" si="184">AH77+AH83+AH97</f>
        <v>27610.088131097327</v>
      </c>
      <c r="AI99" s="61">
        <f t="shared" ca="1" si="184"/>
        <v>52588.646879533357</v>
      </c>
      <c r="AJ99" s="61">
        <f t="shared" ca="1" si="184"/>
        <v>71504.113272588147</v>
      </c>
      <c r="AK99" s="61">
        <f t="shared" ca="1" si="184"/>
        <v>161701.9986717111</v>
      </c>
      <c r="AL99" s="61">
        <f t="shared" ca="1" si="184"/>
        <v>117510.53302848095</v>
      </c>
      <c r="AM99" s="61">
        <f t="shared" ca="1" si="184"/>
        <v>96590.314120322</v>
      </c>
      <c r="AN99" s="61">
        <f t="shared" ca="1" si="184"/>
        <v>106211.51436821294</v>
      </c>
      <c r="AO99" s="61">
        <f t="shared" ca="1" si="184"/>
        <v>99932.648630949931</v>
      </c>
      <c r="AP99" s="61">
        <f t="shared" ca="1" si="184"/>
        <v>175791.57550163139</v>
      </c>
      <c r="AQ99" s="61">
        <f t="shared" ca="1" si="184"/>
        <v>140906.63440634549</v>
      </c>
      <c r="AR99" s="61">
        <f t="shared" ca="1" si="184"/>
        <v>119429.28644005895</v>
      </c>
      <c r="AS99" s="61">
        <f t="shared" ca="1" si="184"/>
        <v>105729.59658299289</v>
      </c>
      <c r="AT99" s="61"/>
      <c r="AU99" s="79">
        <f ca="1">AU77+AU97</f>
        <v>1275502.750206969</v>
      </c>
    </row>
    <row r="100" spans="2:47">
      <c r="B100" s="72" t="s">
        <v>186</v>
      </c>
      <c r="C100" s="73"/>
      <c r="D100" s="97">
        <f>IFERROR(D99/D12,0)</f>
        <v>0.26644587489490523</v>
      </c>
      <c r="E100" s="97">
        <f t="shared" ref="E100:J100" si="185">IFERROR(E99/E12,0)</f>
        <v>0.30098282896779993</v>
      </c>
      <c r="F100" s="97">
        <f t="shared" si="185"/>
        <v>-0.69639592418777729</v>
      </c>
      <c r="G100" s="97">
        <f t="shared" si="185"/>
        <v>0.3440577085945753</v>
      </c>
      <c r="H100" s="97">
        <f t="shared" si="185"/>
        <v>0.38704230659995875</v>
      </c>
      <c r="I100" s="97">
        <f t="shared" si="185"/>
        <v>0.17407468624017319</v>
      </c>
      <c r="J100" s="97">
        <f t="shared" si="185"/>
        <v>0.26839242693395926</v>
      </c>
      <c r="K100" s="97">
        <f t="shared" ref="K100" si="186">IFERROR(K99/K12,0)</f>
        <v>-0.74195654028526303</v>
      </c>
      <c r="L100" s="97">
        <f t="shared" ref="L100" si="187">IFERROR(L99/L12,0)</f>
        <v>-9.6590071903022226E-2</v>
      </c>
      <c r="M100" s="91">
        <f t="shared" ref="M100" si="188">IFERROR(M99/M12,0)</f>
        <v>0.41854390391382934</v>
      </c>
      <c r="N100" s="91">
        <f t="shared" ref="N100" si="189">IFERROR(N99/N12,0)</f>
        <v>0.34120166941293761</v>
      </c>
      <c r="O100" s="91">
        <f t="shared" ref="O100:Q100" si="190">IFERROR(O99/O12,0)</f>
        <v>0.33645130345482571</v>
      </c>
      <c r="P100" s="91"/>
      <c r="Q100" s="91">
        <f t="shared" si="190"/>
        <v>0.25492009579741215</v>
      </c>
      <c r="S100" s="91">
        <f t="shared" ref="S100" ca="1" si="191">IFERROR(S99/S12,0)</f>
        <v>-5.9094539581162939E-2</v>
      </c>
      <c r="T100" s="91">
        <f t="shared" ref="T100" ca="1" si="192">IFERROR(T99/T12,0)</f>
        <v>-5.2505464271882483E-4</v>
      </c>
      <c r="U100" s="91">
        <f t="shared" ref="U100" ca="1" si="193">IFERROR(U99/U12,0)</f>
        <v>6.8348917966074854E-2</v>
      </c>
      <c r="V100" s="91">
        <f t="shared" ref="V100" ca="1" si="194">IFERROR(V99/V12,0)</f>
        <v>0.29624734526937252</v>
      </c>
      <c r="W100" s="91">
        <f t="shared" ref="W100" ca="1" si="195">IFERROR(W99/W12,0)</f>
        <v>0.18950472425873699</v>
      </c>
      <c r="X100" s="91">
        <f t="shared" ref="X100" ca="1" si="196">IFERROR(X99/X12,0)</f>
        <v>0.14758839669024321</v>
      </c>
      <c r="Y100" s="91">
        <f t="shared" ref="Y100" ca="1" si="197">IFERROR(Y99/Y12,0)</f>
        <v>0.20939835846832211</v>
      </c>
      <c r="Z100" s="91">
        <f t="shared" ref="Z100" ca="1" si="198">IFERROR(Z99/Z12,0)</f>
        <v>0.21387780659969541</v>
      </c>
      <c r="AA100" s="91">
        <f t="shared" ref="AA100" ca="1" si="199">IFERROR(AA99/AA12,0)</f>
        <v>0.20273080743444213</v>
      </c>
      <c r="AB100" s="91">
        <f t="shared" ref="AB100" ca="1" si="200">IFERROR(AB99/AB12,0)</f>
        <v>0.15464970330891031</v>
      </c>
      <c r="AC100" s="91">
        <f t="shared" ref="AC100" ca="1" si="201">IFERROR(AC99/AC12,0)</f>
        <v>0.13226786665774287</v>
      </c>
      <c r="AD100" s="91">
        <f t="shared" ref="AD100" ca="1" si="202">IFERROR(AD99/AD12,0)</f>
        <v>0.16713257969631309</v>
      </c>
      <c r="AE100" s="91"/>
      <c r="AF100" s="91">
        <f t="shared" ref="AF100" ca="1" si="203">IFERROR(AF99/AF12,0)</f>
        <v>0.15613541161662262</v>
      </c>
      <c r="AH100" s="91">
        <f t="shared" ref="AH100" ca="1" si="204">IFERROR(AH99/AH12,0)</f>
        <v>0.20147391187847644</v>
      </c>
      <c r="AI100" s="91">
        <f t="shared" ref="AI100" ca="1" si="205">IFERROR(AI99/AI12,0)</f>
        <v>0.17505172388668072</v>
      </c>
      <c r="AJ100" s="91">
        <f t="shared" ref="AJ100" ca="1" si="206">IFERROR(AJ99/AJ12,0)</f>
        <v>0.2299985790015425</v>
      </c>
      <c r="AK100" s="91">
        <f t="shared" ref="AK100" ca="1" si="207">IFERROR(AK99/AK12,0)</f>
        <v>0.42908058606234661</v>
      </c>
      <c r="AL100" s="91">
        <f t="shared" ref="AL100" ca="1" si="208">IFERROR(AL99/AL12,0)</f>
        <v>0.34274446918715779</v>
      </c>
      <c r="AM100" s="91">
        <f t="shared" ref="AM100" ca="1" si="209">IFERROR(AM99/AM12,0)</f>
        <v>0.29866915778296937</v>
      </c>
      <c r="AN100" s="91">
        <f t="shared" ref="AN100" ca="1" si="210">IFERROR(AN99/AN12,0)</f>
        <v>0.36549414001832858</v>
      </c>
      <c r="AO100" s="91">
        <f t="shared" ref="AO100" ca="1" si="211">IFERROR(AO99/AO12,0)</f>
        <v>0.38003558528327475</v>
      </c>
      <c r="AP100" s="91">
        <f t="shared" ref="AP100" ca="1" si="212">IFERROR(AP99/AP12,0)</f>
        <v>0.36550372059537306</v>
      </c>
      <c r="AQ100" s="91">
        <f t="shared" ref="AQ100" ca="1" si="213">IFERROR(AQ99/AQ12,0)</f>
        <v>0.344599441114529</v>
      </c>
      <c r="AR100" s="91">
        <f t="shared" ref="AR100" ca="1" si="214">IFERROR(AR99/AR12,0)</f>
        <v>0.36887412149674914</v>
      </c>
      <c r="AS100" s="91">
        <f t="shared" ref="AS100" ca="1" si="215">IFERROR(AS99/AS12,0)</f>
        <v>0.36833596803532298</v>
      </c>
      <c r="AT100" s="91"/>
      <c r="AU100" s="91">
        <f t="shared" ref="AU100" ca="1" si="216">IFERROR(AU99/AU12,0)</f>
        <v>0.33167138613834329</v>
      </c>
    </row>
  </sheetData>
  <sheetProtection sheet="1" objects="1" scenarios="1"/>
  <mergeCells count="3">
    <mergeCell ref="D2:Q2"/>
    <mergeCell ref="S2:AF2"/>
    <mergeCell ref="AH2:AU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90DD5-3079-4B38-A782-1D86617F0CE7}">
  <sheetPr>
    <tabColor theme="4" tint="0.39997558519241921"/>
  </sheetPr>
  <dimension ref="A1:AW98"/>
  <sheetViews>
    <sheetView showGridLines="0" zoomScaleNormal="100" workbookViewId="0">
      <pane xSplit="2" ySplit="4" topLeftCell="C69" activePane="bottomRight" state="frozen"/>
      <selection pane="topRight"/>
      <selection pane="bottomLeft"/>
      <selection pane="bottomRight" activeCell="AV76" sqref="AV76"/>
    </sheetView>
  </sheetViews>
  <sheetFormatPr baseColWidth="10" defaultColWidth="8.5" defaultRowHeight="11" outlineLevelRow="2" outlineLevelCol="1"/>
  <cols>
    <col min="1" max="1" width="9.5" style="51" customWidth="1"/>
    <col min="2" max="2" width="22.5" style="51" bestFit="1" customWidth="1"/>
    <col min="3" max="3" width="5" style="51" customWidth="1"/>
    <col min="4" max="4" width="8.5" style="7" customWidth="1" outlineLevel="1"/>
    <col min="5" max="5" width="9.1640625" style="7" customWidth="1" outlineLevel="1"/>
    <col min="6" max="6" width="8.5" style="7" customWidth="1" outlineLevel="1"/>
    <col min="7" max="7" width="9.1640625" style="7" customWidth="1" outlineLevel="1"/>
    <col min="8" max="8" width="8.5" style="7" customWidth="1" outlineLevel="1"/>
    <col min="9" max="11" width="8.83203125" style="51" customWidth="1" outlineLevel="1"/>
    <col min="12" max="12" width="9.5" style="51" bestFit="1" customWidth="1"/>
    <col min="13" max="15" width="8.83203125" style="51" bestFit="1" customWidth="1"/>
    <col min="16" max="16" width="3.1640625" style="51" customWidth="1"/>
    <col min="17" max="17" width="9.5" style="52" bestFit="1" customWidth="1"/>
    <col min="18" max="18" width="11.1640625" style="51" bestFit="1" customWidth="1"/>
    <col min="19" max="19" width="9.1640625" style="7"/>
    <col min="20" max="22" width="8.83203125" style="7" bestFit="1" customWidth="1"/>
    <col min="23" max="23" width="9.1640625" style="7" bestFit="1" customWidth="1"/>
    <col min="24" max="30" width="8.83203125" style="51" bestFit="1" customWidth="1"/>
    <col min="31" max="31" width="3.1640625" style="51" customWidth="1"/>
    <col min="32" max="32" width="9.5" style="52" bestFit="1" customWidth="1"/>
    <col min="33" max="33" width="11" style="7" bestFit="1" customWidth="1"/>
    <col min="34" max="35" width="8.83203125" style="7" bestFit="1" customWidth="1"/>
    <col min="36" max="36" width="9.1640625" style="7"/>
    <col min="37" max="37" width="8.83203125" style="7" bestFit="1" customWidth="1"/>
    <col min="38" max="38" width="9.1640625" style="7" bestFit="1" customWidth="1"/>
    <col min="39" max="45" width="8.83203125" style="51" bestFit="1" customWidth="1"/>
    <col min="46" max="46" width="3.1640625" style="51" customWidth="1"/>
    <col min="47" max="47" width="9.5" style="52" bestFit="1" customWidth="1"/>
    <col min="48" max="48" width="9.1640625" style="7"/>
    <col min="49" max="49" width="12.5" style="7" bestFit="1" customWidth="1"/>
    <col min="50" max="16384" width="8.5" style="7"/>
  </cols>
  <sheetData>
    <row r="1" spans="1:49" ht="16" customHeight="1">
      <c r="B1" s="143" t="s">
        <v>200</v>
      </c>
      <c r="D1" s="546" t="s">
        <v>174</v>
      </c>
      <c r="E1" s="546"/>
      <c r="F1" s="546"/>
      <c r="G1" s="546"/>
      <c r="H1" s="546"/>
      <c r="I1" s="546"/>
      <c r="J1" s="546"/>
      <c r="K1" s="546"/>
      <c r="L1" s="546"/>
      <c r="M1" s="546"/>
      <c r="N1" s="546"/>
      <c r="O1" s="546"/>
      <c r="P1" s="546"/>
      <c r="Q1" s="546"/>
      <c r="S1" s="546" t="s">
        <v>75</v>
      </c>
      <c r="T1" s="546"/>
      <c r="U1" s="546"/>
      <c r="V1" s="546"/>
      <c r="W1" s="546"/>
      <c r="X1" s="546"/>
      <c r="Y1" s="546"/>
      <c r="Z1" s="546"/>
      <c r="AA1" s="546"/>
      <c r="AB1" s="546"/>
      <c r="AC1" s="546"/>
      <c r="AD1" s="546"/>
      <c r="AE1" s="546"/>
      <c r="AF1" s="546"/>
      <c r="AH1" s="546" t="s">
        <v>81</v>
      </c>
      <c r="AI1" s="546"/>
      <c r="AJ1" s="546"/>
      <c r="AK1" s="546"/>
      <c r="AL1" s="546"/>
      <c r="AM1" s="546"/>
      <c r="AN1" s="546"/>
      <c r="AO1" s="546"/>
      <c r="AP1" s="546"/>
      <c r="AQ1" s="546"/>
      <c r="AR1" s="546"/>
      <c r="AS1" s="546"/>
      <c r="AT1" s="546"/>
      <c r="AU1" s="546"/>
    </row>
    <row r="2" spans="1:49">
      <c r="B2" s="52"/>
      <c r="D2" s="54" t="s">
        <v>175</v>
      </c>
      <c r="E2" s="54" t="s">
        <v>175</v>
      </c>
      <c r="F2" s="54" t="s">
        <v>175</v>
      </c>
      <c r="G2" s="54" t="s">
        <v>176</v>
      </c>
      <c r="H2" s="54" t="s">
        <v>176</v>
      </c>
      <c r="I2" s="54" t="s">
        <v>176</v>
      </c>
      <c r="J2" s="54" t="s">
        <v>177</v>
      </c>
      <c r="K2" s="54" t="s">
        <v>177</v>
      </c>
      <c r="L2" s="54" t="s">
        <v>177</v>
      </c>
      <c r="M2" s="55" t="s">
        <v>178</v>
      </c>
      <c r="N2" s="55" t="s">
        <v>178</v>
      </c>
      <c r="O2" s="55" t="s">
        <v>178</v>
      </c>
      <c r="S2" s="80" t="s">
        <v>175</v>
      </c>
      <c r="T2" s="80" t="s">
        <v>175</v>
      </c>
      <c r="U2" s="80" t="s">
        <v>175</v>
      </c>
      <c r="V2" s="80" t="s">
        <v>176</v>
      </c>
      <c r="W2" s="80" t="s">
        <v>176</v>
      </c>
      <c r="X2" s="55" t="s">
        <v>176</v>
      </c>
      <c r="Y2" s="55" t="s">
        <v>177</v>
      </c>
      <c r="Z2" s="55" t="s">
        <v>177</v>
      </c>
      <c r="AA2" s="55" t="s">
        <v>177</v>
      </c>
      <c r="AB2" s="55" t="s">
        <v>178</v>
      </c>
      <c r="AC2" s="55" t="s">
        <v>178</v>
      </c>
      <c r="AD2" s="55" t="s">
        <v>178</v>
      </c>
      <c r="AH2" s="80" t="s">
        <v>175</v>
      </c>
      <c r="AI2" s="80" t="s">
        <v>175</v>
      </c>
      <c r="AJ2" s="80" t="s">
        <v>175</v>
      </c>
      <c r="AK2" s="80" t="s">
        <v>176</v>
      </c>
      <c r="AL2" s="80" t="s">
        <v>176</v>
      </c>
      <c r="AM2" s="55" t="s">
        <v>176</v>
      </c>
      <c r="AN2" s="55" t="s">
        <v>177</v>
      </c>
      <c r="AO2" s="55" t="s">
        <v>177</v>
      </c>
      <c r="AP2" s="55" t="s">
        <v>177</v>
      </c>
      <c r="AQ2" s="55" t="s">
        <v>178</v>
      </c>
      <c r="AR2" s="55" t="s">
        <v>178</v>
      </c>
      <c r="AS2" s="55" t="s">
        <v>178</v>
      </c>
    </row>
    <row r="3" spans="1:49">
      <c r="D3" s="56">
        <v>45716</v>
      </c>
      <c r="E3" s="56">
        <v>45747</v>
      </c>
      <c r="F3" s="56">
        <v>45777</v>
      </c>
      <c r="G3" s="56">
        <v>45808</v>
      </c>
      <c r="H3" s="56">
        <v>45838</v>
      </c>
      <c r="I3" s="56">
        <f t="shared" ref="I3:O3" si="0">EOMONTH(H3,1)</f>
        <v>45869</v>
      </c>
      <c r="J3" s="56">
        <f t="shared" si="0"/>
        <v>45900</v>
      </c>
      <c r="K3" s="56">
        <f t="shared" si="0"/>
        <v>45930</v>
      </c>
      <c r="L3" s="56">
        <f t="shared" si="0"/>
        <v>45961</v>
      </c>
      <c r="M3" s="57">
        <f t="shared" si="0"/>
        <v>45991</v>
      </c>
      <c r="N3" s="57">
        <f t="shared" si="0"/>
        <v>46022</v>
      </c>
      <c r="O3" s="57">
        <f t="shared" si="0"/>
        <v>46053</v>
      </c>
      <c r="P3" s="57"/>
      <c r="Q3" s="55" t="s">
        <v>174</v>
      </c>
      <c r="S3" s="81">
        <v>46081</v>
      </c>
      <c r="T3" s="81">
        <f>EOMONTH(S3,1)</f>
        <v>46112</v>
      </c>
      <c r="U3" s="81">
        <f>EOMONTH(T3,1)</f>
        <v>46142</v>
      </c>
      <c r="V3" s="81">
        <f>EOMONTH(U3,1)</f>
        <v>46173</v>
      </c>
      <c r="W3" s="81">
        <f>EOMONTH(V3,1)</f>
        <v>46203</v>
      </c>
      <c r="X3" s="57">
        <f t="shared" ref="X3:AD3" si="1">EOMONTH(W3,1)</f>
        <v>46234</v>
      </c>
      <c r="Y3" s="57">
        <f t="shared" si="1"/>
        <v>46265</v>
      </c>
      <c r="Z3" s="57">
        <f t="shared" si="1"/>
        <v>46295</v>
      </c>
      <c r="AA3" s="57">
        <f t="shared" si="1"/>
        <v>46326</v>
      </c>
      <c r="AB3" s="57">
        <f t="shared" si="1"/>
        <v>46356</v>
      </c>
      <c r="AC3" s="57">
        <f t="shared" si="1"/>
        <v>46387</v>
      </c>
      <c r="AD3" s="57">
        <f t="shared" si="1"/>
        <v>46418</v>
      </c>
      <c r="AE3" s="57"/>
      <c r="AF3" s="55" t="s">
        <v>75</v>
      </c>
      <c r="AH3" s="81">
        <v>46446</v>
      </c>
      <c r="AI3" s="81">
        <f>EOMONTH(AH3,1)</f>
        <v>46477</v>
      </c>
      <c r="AJ3" s="81">
        <f>EOMONTH(AI3,1)</f>
        <v>46507</v>
      </c>
      <c r="AK3" s="81">
        <f>EOMONTH(AJ3,1)</f>
        <v>46538</v>
      </c>
      <c r="AL3" s="81">
        <f>EOMONTH(AK3,1)</f>
        <v>46568</v>
      </c>
      <c r="AM3" s="57">
        <f t="shared" ref="AM3:AS3" si="2">EOMONTH(AL3,1)</f>
        <v>46599</v>
      </c>
      <c r="AN3" s="57">
        <f t="shared" si="2"/>
        <v>46630</v>
      </c>
      <c r="AO3" s="57">
        <f t="shared" si="2"/>
        <v>46660</v>
      </c>
      <c r="AP3" s="57">
        <f t="shared" si="2"/>
        <v>46691</v>
      </c>
      <c r="AQ3" s="57">
        <f t="shared" si="2"/>
        <v>46721</v>
      </c>
      <c r="AR3" s="57">
        <f t="shared" si="2"/>
        <v>46752</v>
      </c>
      <c r="AS3" s="57">
        <f t="shared" si="2"/>
        <v>46783</v>
      </c>
      <c r="AT3" s="57"/>
      <c r="AU3" s="55" t="s">
        <v>81</v>
      </c>
    </row>
    <row r="4" spans="1:49">
      <c r="B4" s="58" t="s">
        <v>82</v>
      </c>
      <c r="D4" s="46" t="s">
        <v>180</v>
      </c>
      <c r="E4" s="46" t="s">
        <v>180</v>
      </c>
      <c r="F4" s="46" t="s">
        <v>180</v>
      </c>
      <c r="G4" s="46" t="s">
        <v>180</v>
      </c>
      <c r="H4" s="46" t="s">
        <v>180</v>
      </c>
      <c r="I4" s="46" t="s">
        <v>180</v>
      </c>
      <c r="J4" s="46" t="s">
        <v>180</v>
      </c>
      <c r="K4" s="46" t="s">
        <v>180</v>
      </c>
      <c r="L4" s="46" t="s">
        <v>180</v>
      </c>
      <c r="M4" s="48" t="s">
        <v>42</v>
      </c>
      <c r="N4" s="48" t="s">
        <v>42</v>
      </c>
      <c r="O4" s="48" t="s">
        <v>42</v>
      </c>
      <c r="S4" s="82" t="s">
        <v>42</v>
      </c>
      <c r="T4" s="82" t="s">
        <v>42</v>
      </c>
      <c r="U4" s="82" t="s">
        <v>42</v>
      </c>
      <c r="V4" s="82" t="s">
        <v>42</v>
      </c>
      <c r="W4" s="82" t="s">
        <v>42</v>
      </c>
      <c r="X4" s="48" t="s">
        <v>42</v>
      </c>
      <c r="Y4" s="48" t="s">
        <v>42</v>
      </c>
      <c r="Z4" s="48" t="s">
        <v>42</v>
      </c>
      <c r="AA4" s="48" t="s">
        <v>42</v>
      </c>
      <c r="AB4" s="48" t="s">
        <v>42</v>
      </c>
      <c r="AC4" s="48" t="s">
        <v>42</v>
      </c>
      <c r="AD4" s="48" t="s">
        <v>42</v>
      </c>
      <c r="AH4" s="82" t="s">
        <v>42</v>
      </c>
      <c r="AI4" s="82" t="s">
        <v>42</v>
      </c>
      <c r="AJ4" s="82" t="s">
        <v>42</v>
      </c>
      <c r="AK4" s="82" t="s">
        <v>42</v>
      </c>
      <c r="AL4" s="82" t="s">
        <v>42</v>
      </c>
      <c r="AM4" s="48" t="s">
        <v>42</v>
      </c>
      <c r="AN4" s="48" t="s">
        <v>42</v>
      </c>
      <c r="AO4" s="48" t="s">
        <v>42</v>
      </c>
      <c r="AP4" s="48" t="s">
        <v>42</v>
      </c>
      <c r="AQ4" s="48" t="s">
        <v>42</v>
      </c>
      <c r="AR4" s="48" t="s">
        <v>42</v>
      </c>
      <c r="AS4" s="48" t="s">
        <v>42</v>
      </c>
    </row>
    <row r="5" spans="1:49">
      <c r="D5" s="53"/>
      <c r="E5" s="53"/>
      <c r="F5" s="53"/>
      <c r="G5" s="53"/>
      <c r="H5" s="53"/>
      <c r="I5" s="53"/>
      <c r="J5" s="53"/>
      <c r="K5" s="53"/>
      <c r="L5" s="53"/>
    </row>
    <row r="6" spans="1:49">
      <c r="B6" s="51" t="s">
        <v>83</v>
      </c>
      <c r="D6" s="59"/>
      <c r="E6" s="59"/>
      <c r="F6" s="59"/>
      <c r="G6" s="59"/>
      <c r="H6" s="59"/>
      <c r="I6" s="59"/>
      <c r="J6" s="59"/>
      <c r="K6" s="59"/>
      <c r="L6" s="59"/>
      <c r="M6" s="60"/>
      <c r="N6" s="60"/>
      <c r="O6" s="60"/>
      <c r="P6" s="60"/>
      <c r="Q6" s="61">
        <f>SUM(D6:O6)</f>
        <v>0</v>
      </c>
      <c r="R6" s="62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1">
        <f>SUM(S6:AD6)</f>
        <v>0</v>
      </c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1">
        <f>SUM(AH6:AS6)</f>
        <v>0</v>
      </c>
    </row>
    <row r="7" spans="1:49">
      <c r="B7" s="51" t="s">
        <v>84</v>
      </c>
      <c r="D7" s="59"/>
      <c r="E7" s="59"/>
      <c r="F7" s="59"/>
      <c r="G7" s="59"/>
      <c r="H7" s="59"/>
      <c r="I7" s="59"/>
      <c r="J7" s="59"/>
      <c r="K7" s="59"/>
      <c r="L7" s="59"/>
      <c r="M7" s="60"/>
      <c r="N7" s="60"/>
      <c r="O7" s="60"/>
      <c r="P7" s="60"/>
      <c r="Q7" s="61">
        <f>SUM(D7:O7)</f>
        <v>0</v>
      </c>
      <c r="R7" s="62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60"/>
      <c r="AF7" s="61">
        <f>SUM(S7:AD7)</f>
        <v>0</v>
      </c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60"/>
      <c r="AU7" s="61">
        <f>SUM(AH7:AS7)</f>
        <v>0</v>
      </c>
    </row>
    <row r="8" spans="1:49">
      <c r="B8" s="51" t="s">
        <v>85</v>
      </c>
      <c r="D8" s="59"/>
      <c r="E8" s="59"/>
      <c r="F8" s="59"/>
      <c r="G8" s="59"/>
      <c r="H8" s="59"/>
      <c r="I8" s="59"/>
      <c r="J8" s="59"/>
      <c r="K8" s="59"/>
      <c r="L8" s="59"/>
      <c r="M8" s="60"/>
      <c r="N8" s="60"/>
      <c r="O8" s="60"/>
      <c r="P8" s="60"/>
      <c r="Q8" s="61">
        <f>SUM(D8:O8)</f>
        <v>0</v>
      </c>
      <c r="R8" s="62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1">
        <f>SUM(S8:AD8)</f>
        <v>0</v>
      </c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1">
        <f>SUM(AH8:AS8)</f>
        <v>0</v>
      </c>
    </row>
    <row r="9" spans="1:49">
      <c r="B9" s="51" t="s">
        <v>86</v>
      </c>
      <c r="D9" s="59"/>
      <c r="E9" s="59"/>
      <c r="F9" s="59"/>
      <c r="G9" s="59"/>
      <c r="H9" s="59"/>
      <c r="I9" s="59"/>
      <c r="J9" s="59">
        <v>0</v>
      </c>
      <c r="K9" s="59">
        <v>0</v>
      </c>
      <c r="L9" s="59"/>
      <c r="M9" s="60"/>
      <c r="N9" s="60"/>
      <c r="O9" s="60"/>
      <c r="P9" s="60"/>
      <c r="Q9" s="61">
        <f>SUM(D9:O9)</f>
        <v>0</v>
      </c>
      <c r="R9" s="62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60"/>
      <c r="AF9" s="61">
        <f>SUM(S9:AD9)</f>
        <v>0</v>
      </c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60"/>
      <c r="AU9" s="61">
        <f>SUM(AH9:AS9)</f>
        <v>0</v>
      </c>
    </row>
    <row r="10" spans="1:49">
      <c r="D10" s="59"/>
      <c r="E10" s="59"/>
      <c r="F10" s="59"/>
      <c r="G10" s="59"/>
      <c r="H10" s="59"/>
      <c r="I10" s="59"/>
      <c r="J10" s="59"/>
      <c r="K10" s="59"/>
      <c r="L10" s="59"/>
      <c r="M10" s="60"/>
      <c r="N10" s="60"/>
      <c r="O10" s="60"/>
      <c r="P10" s="60"/>
      <c r="Q10" s="61"/>
      <c r="S10" s="83"/>
      <c r="T10" s="83"/>
      <c r="U10" s="83"/>
      <c r="V10" s="83"/>
      <c r="W10" s="83"/>
      <c r="X10" s="60"/>
      <c r="Y10" s="60"/>
      <c r="Z10" s="60"/>
      <c r="AA10" s="60"/>
      <c r="AB10" s="60"/>
      <c r="AC10" s="60"/>
      <c r="AD10" s="60"/>
      <c r="AE10" s="60"/>
      <c r="AF10" s="61"/>
      <c r="AH10" s="83"/>
      <c r="AI10" s="83"/>
      <c r="AJ10" s="83"/>
      <c r="AK10" s="83"/>
      <c r="AL10" s="83"/>
      <c r="AM10" s="60"/>
      <c r="AN10" s="60"/>
      <c r="AO10" s="60"/>
      <c r="AP10" s="60"/>
      <c r="AQ10" s="60"/>
      <c r="AR10" s="60"/>
      <c r="AS10" s="60"/>
      <c r="AT10" s="60"/>
      <c r="AU10" s="61"/>
    </row>
    <row r="11" spans="1:49" s="10" customFormat="1">
      <c r="A11" s="52"/>
      <c r="B11" s="63" t="s">
        <v>87</v>
      </c>
      <c r="C11" s="52"/>
      <c r="D11" s="64">
        <f t="shared" ref="D11:O11" si="3">SUM(D6:D10)</f>
        <v>0</v>
      </c>
      <c r="E11" s="64">
        <f t="shared" si="3"/>
        <v>0</v>
      </c>
      <c r="F11" s="64">
        <f t="shared" si="3"/>
        <v>0</v>
      </c>
      <c r="G11" s="64">
        <f t="shared" si="3"/>
        <v>0</v>
      </c>
      <c r="H11" s="64">
        <f t="shared" si="3"/>
        <v>0</v>
      </c>
      <c r="I11" s="64">
        <f t="shared" si="3"/>
        <v>0</v>
      </c>
      <c r="J11" s="64">
        <f t="shared" si="3"/>
        <v>0</v>
      </c>
      <c r="K11" s="64">
        <f t="shared" si="3"/>
        <v>0</v>
      </c>
      <c r="L11" s="64">
        <f t="shared" si="3"/>
        <v>0</v>
      </c>
      <c r="M11" s="65">
        <f t="shared" si="3"/>
        <v>0</v>
      </c>
      <c r="N11" s="65">
        <f t="shared" si="3"/>
        <v>0</v>
      </c>
      <c r="O11" s="65">
        <f t="shared" si="3"/>
        <v>0</v>
      </c>
      <c r="P11" s="61"/>
      <c r="Q11" s="65">
        <f>SUM(D11:O11)</f>
        <v>0</v>
      </c>
      <c r="R11" s="52"/>
      <c r="S11" s="84">
        <f>SUM(S6:S10)</f>
        <v>0</v>
      </c>
      <c r="T11" s="84">
        <f t="shared" ref="T11:AD11" si="4">SUM(T6:T10)</f>
        <v>0</v>
      </c>
      <c r="U11" s="84">
        <f t="shared" si="4"/>
        <v>0</v>
      </c>
      <c r="V11" s="84">
        <f t="shared" si="4"/>
        <v>0</v>
      </c>
      <c r="W11" s="84">
        <f t="shared" si="4"/>
        <v>0</v>
      </c>
      <c r="X11" s="65">
        <f t="shared" si="4"/>
        <v>0</v>
      </c>
      <c r="Y11" s="65">
        <f t="shared" si="4"/>
        <v>0</v>
      </c>
      <c r="Z11" s="65">
        <f t="shared" si="4"/>
        <v>0</v>
      </c>
      <c r="AA11" s="65">
        <f t="shared" si="4"/>
        <v>0</v>
      </c>
      <c r="AB11" s="65">
        <f t="shared" si="4"/>
        <v>0</v>
      </c>
      <c r="AC11" s="65">
        <f t="shared" si="4"/>
        <v>0</v>
      </c>
      <c r="AD11" s="65">
        <f t="shared" si="4"/>
        <v>0</v>
      </c>
      <c r="AE11" s="61"/>
      <c r="AF11" s="65">
        <f>SUM(S11:AD11)</f>
        <v>0</v>
      </c>
      <c r="AH11" s="84">
        <f>SUM(AH6:AH10)</f>
        <v>0</v>
      </c>
      <c r="AI11" s="84">
        <f t="shared" ref="AI11:AS11" si="5">SUM(AI6:AI10)</f>
        <v>0</v>
      </c>
      <c r="AJ11" s="84">
        <f t="shared" si="5"/>
        <v>0</v>
      </c>
      <c r="AK11" s="84">
        <f t="shared" si="5"/>
        <v>0</v>
      </c>
      <c r="AL11" s="84">
        <f t="shared" si="5"/>
        <v>0</v>
      </c>
      <c r="AM11" s="65">
        <f t="shared" si="5"/>
        <v>0</v>
      </c>
      <c r="AN11" s="65">
        <f t="shared" si="5"/>
        <v>0</v>
      </c>
      <c r="AO11" s="65">
        <f t="shared" si="5"/>
        <v>0</v>
      </c>
      <c r="AP11" s="65">
        <f t="shared" si="5"/>
        <v>0</v>
      </c>
      <c r="AQ11" s="65">
        <f t="shared" si="5"/>
        <v>0</v>
      </c>
      <c r="AR11" s="65">
        <f t="shared" si="5"/>
        <v>0</v>
      </c>
      <c r="AS11" s="65">
        <f t="shared" si="5"/>
        <v>0</v>
      </c>
      <c r="AT11" s="61"/>
      <c r="AU11" s="65">
        <f>SUM(AH11:AS11)</f>
        <v>0</v>
      </c>
      <c r="AW11" s="140"/>
    </row>
    <row r="12" spans="1:49" outlineLevel="1">
      <c r="D12" s="59"/>
      <c r="E12" s="59"/>
      <c r="F12" s="59"/>
      <c r="G12" s="59"/>
      <c r="H12" s="59"/>
      <c r="I12" s="59"/>
      <c r="J12" s="59"/>
      <c r="K12" s="59"/>
      <c r="L12" s="59"/>
      <c r="M12" s="60"/>
      <c r="N12" s="60"/>
      <c r="O12" s="60"/>
      <c r="P12" s="60"/>
      <c r="Q12" s="61"/>
      <c r="R12" s="66"/>
      <c r="S12" s="83"/>
      <c r="T12" s="83"/>
      <c r="U12" s="83"/>
      <c r="V12" s="83"/>
      <c r="W12" s="83"/>
      <c r="X12" s="60"/>
      <c r="Y12" s="60"/>
      <c r="Z12" s="60"/>
      <c r="AA12" s="60"/>
      <c r="AB12" s="60"/>
      <c r="AC12" s="60"/>
      <c r="AD12" s="60"/>
      <c r="AE12" s="60"/>
      <c r="AF12" s="61"/>
      <c r="AH12" s="83"/>
      <c r="AI12" s="83"/>
      <c r="AJ12" s="83"/>
      <c r="AK12" s="83"/>
      <c r="AL12" s="83"/>
      <c r="AM12" s="60"/>
      <c r="AN12" s="60"/>
      <c r="AO12" s="60"/>
      <c r="AP12" s="60"/>
      <c r="AQ12" s="60"/>
      <c r="AR12" s="60"/>
      <c r="AS12" s="60"/>
      <c r="AT12" s="60"/>
      <c r="AU12" s="61"/>
    </row>
    <row r="13" spans="1:49" outlineLevel="1">
      <c r="B13" s="58" t="s">
        <v>88</v>
      </c>
      <c r="D13" s="59"/>
      <c r="E13" s="59"/>
      <c r="F13" s="59"/>
      <c r="G13" s="59"/>
      <c r="H13" s="59"/>
      <c r="I13" s="59"/>
      <c r="J13" s="59"/>
      <c r="K13" s="59"/>
      <c r="L13" s="59"/>
      <c r="M13" s="60"/>
      <c r="N13" s="60"/>
      <c r="O13" s="60"/>
      <c r="P13" s="60"/>
      <c r="Q13" s="61"/>
      <c r="S13" s="83"/>
      <c r="T13" s="83"/>
      <c r="U13" s="83"/>
      <c r="V13" s="83"/>
      <c r="W13" s="83"/>
      <c r="X13" s="60"/>
      <c r="Y13" s="60"/>
      <c r="Z13" s="60"/>
      <c r="AA13" s="60"/>
      <c r="AB13" s="60"/>
      <c r="AC13" s="60"/>
      <c r="AD13" s="60"/>
      <c r="AE13" s="60"/>
      <c r="AF13" s="61"/>
      <c r="AH13" s="83"/>
      <c r="AI13" s="83"/>
      <c r="AJ13" s="83"/>
      <c r="AK13" s="83"/>
      <c r="AL13" s="83"/>
      <c r="AM13" s="60"/>
      <c r="AN13" s="60"/>
      <c r="AO13" s="60"/>
      <c r="AP13" s="60"/>
      <c r="AQ13" s="60"/>
      <c r="AR13" s="60"/>
      <c r="AS13" s="60"/>
      <c r="AT13" s="60"/>
      <c r="AU13" s="61"/>
    </row>
    <row r="14" spans="1:49">
      <c r="D14" s="59"/>
      <c r="E14" s="59"/>
      <c r="F14" s="59"/>
      <c r="G14" s="59"/>
      <c r="H14" s="59"/>
      <c r="I14" s="59"/>
      <c r="J14" s="59"/>
      <c r="K14" s="59"/>
      <c r="L14" s="59"/>
      <c r="M14" s="60"/>
      <c r="N14" s="60"/>
      <c r="O14" s="60"/>
      <c r="P14" s="60"/>
      <c r="Q14" s="61"/>
      <c r="S14" s="83"/>
      <c r="T14" s="83"/>
      <c r="U14" s="83"/>
      <c r="V14" s="83"/>
      <c r="W14" s="83"/>
      <c r="X14" s="60"/>
      <c r="Y14" s="60"/>
      <c r="Z14" s="60"/>
      <c r="AA14" s="60"/>
      <c r="AB14" s="60"/>
      <c r="AC14" s="60"/>
      <c r="AD14" s="60"/>
      <c r="AE14" s="60"/>
      <c r="AF14" s="61"/>
      <c r="AH14" s="83"/>
      <c r="AI14" s="83"/>
      <c r="AJ14" s="83"/>
      <c r="AK14" s="83"/>
      <c r="AL14" s="83"/>
      <c r="AM14" s="60"/>
      <c r="AN14" s="60"/>
      <c r="AO14" s="60"/>
      <c r="AP14" s="60"/>
      <c r="AQ14" s="60"/>
      <c r="AR14" s="60"/>
      <c r="AS14" s="60"/>
      <c r="AT14" s="60"/>
      <c r="AU14" s="61"/>
    </row>
    <row r="15" spans="1:49" outlineLevel="1">
      <c r="B15" s="51" t="s">
        <v>89</v>
      </c>
      <c r="C15" s="75">
        <v>-0.24</v>
      </c>
      <c r="D15" s="59"/>
      <c r="E15" s="59"/>
      <c r="F15" s="59"/>
      <c r="G15" s="59"/>
      <c r="H15" s="59"/>
      <c r="I15" s="59"/>
      <c r="J15" s="59"/>
      <c r="K15" s="59"/>
      <c r="L15" s="59"/>
      <c r="M15" s="60">
        <f t="shared" ref="M15:O15" si="6">M6*$C$15</f>
        <v>0</v>
      </c>
      <c r="N15" s="60">
        <f t="shared" si="6"/>
        <v>0</v>
      </c>
      <c r="O15" s="60">
        <f t="shared" si="6"/>
        <v>0</v>
      </c>
      <c r="P15" s="60"/>
      <c r="Q15" s="61">
        <f>SUM(D15:O15)</f>
        <v>0</v>
      </c>
      <c r="S15" s="60">
        <f t="shared" ref="S15:AD15" si="7">S6*$C$15</f>
        <v>0</v>
      </c>
      <c r="T15" s="60">
        <f t="shared" si="7"/>
        <v>0</v>
      </c>
      <c r="U15" s="60">
        <f t="shared" si="7"/>
        <v>0</v>
      </c>
      <c r="V15" s="60">
        <f t="shared" si="7"/>
        <v>0</v>
      </c>
      <c r="W15" s="60">
        <f t="shared" si="7"/>
        <v>0</v>
      </c>
      <c r="X15" s="60">
        <f t="shared" si="7"/>
        <v>0</v>
      </c>
      <c r="Y15" s="60">
        <f t="shared" si="7"/>
        <v>0</v>
      </c>
      <c r="Z15" s="60">
        <f t="shared" si="7"/>
        <v>0</v>
      </c>
      <c r="AA15" s="60">
        <f t="shared" si="7"/>
        <v>0</v>
      </c>
      <c r="AB15" s="60">
        <f t="shared" si="7"/>
        <v>0</v>
      </c>
      <c r="AC15" s="60">
        <f t="shared" si="7"/>
        <v>0</v>
      </c>
      <c r="AD15" s="60">
        <f t="shared" si="7"/>
        <v>0</v>
      </c>
      <c r="AE15" s="60"/>
      <c r="AF15" s="61">
        <f>SUM(S15:AD15)</f>
        <v>0</v>
      </c>
      <c r="AH15" s="60">
        <f t="shared" ref="AH15:AS15" si="8">AH6*$C$15</f>
        <v>0</v>
      </c>
      <c r="AI15" s="60">
        <f t="shared" si="8"/>
        <v>0</v>
      </c>
      <c r="AJ15" s="60">
        <f t="shared" si="8"/>
        <v>0</v>
      </c>
      <c r="AK15" s="60">
        <f t="shared" si="8"/>
        <v>0</v>
      </c>
      <c r="AL15" s="60">
        <f t="shared" si="8"/>
        <v>0</v>
      </c>
      <c r="AM15" s="60">
        <f t="shared" si="8"/>
        <v>0</v>
      </c>
      <c r="AN15" s="60">
        <f t="shared" si="8"/>
        <v>0</v>
      </c>
      <c r="AO15" s="60">
        <f t="shared" si="8"/>
        <v>0</v>
      </c>
      <c r="AP15" s="60">
        <f t="shared" si="8"/>
        <v>0</v>
      </c>
      <c r="AQ15" s="60">
        <f t="shared" si="8"/>
        <v>0</v>
      </c>
      <c r="AR15" s="60">
        <f t="shared" si="8"/>
        <v>0</v>
      </c>
      <c r="AS15" s="60">
        <f t="shared" si="8"/>
        <v>0</v>
      </c>
      <c r="AT15" s="60"/>
      <c r="AU15" s="61">
        <f>SUM(AH15:AS15)</f>
        <v>0</v>
      </c>
    </row>
    <row r="16" spans="1:49" outlineLevel="1">
      <c r="B16" s="51" t="s">
        <v>90</v>
      </c>
      <c r="C16" s="75">
        <v>-0.27</v>
      </c>
      <c r="D16" s="59"/>
      <c r="E16" s="59"/>
      <c r="F16" s="59"/>
      <c r="G16" s="59"/>
      <c r="H16" s="59"/>
      <c r="I16" s="59"/>
      <c r="J16" s="59"/>
      <c r="K16" s="59"/>
      <c r="L16" s="59"/>
      <c r="M16" s="60">
        <f t="shared" ref="M16:O16" si="9">M7*$C$16</f>
        <v>0</v>
      </c>
      <c r="N16" s="60">
        <f t="shared" si="9"/>
        <v>0</v>
      </c>
      <c r="O16" s="60">
        <f t="shared" si="9"/>
        <v>0</v>
      </c>
      <c r="P16" s="60"/>
      <c r="Q16" s="61">
        <f>SUM(D16:O16)</f>
        <v>0</v>
      </c>
      <c r="S16" s="60">
        <f t="shared" ref="S16:AD16" si="10">S7*$C$16</f>
        <v>0</v>
      </c>
      <c r="T16" s="60">
        <f t="shared" si="10"/>
        <v>0</v>
      </c>
      <c r="U16" s="60">
        <f t="shared" si="10"/>
        <v>0</v>
      </c>
      <c r="V16" s="60">
        <f t="shared" si="10"/>
        <v>0</v>
      </c>
      <c r="W16" s="60">
        <f t="shared" si="10"/>
        <v>0</v>
      </c>
      <c r="X16" s="60">
        <f t="shared" si="10"/>
        <v>0</v>
      </c>
      <c r="Y16" s="60">
        <f t="shared" si="10"/>
        <v>0</v>
      </c>
      <c r="Z16" s="60">
        <f t="shared" si="10"/>
        <v>0</v>
      </c>
      <c r="AA16" s="60">
        <f t="shared" si="10"/>
        <v>0</v>
      </c>
      <c r="AB16" s="60">
        <f t="shared" si="10"/>
        <v>0</v>
      </c>
      <c r="AC16" s="60">
        <f t="shared" si="10"/>
        <v>0</v>
      </c>
      <c r="AD16" s="60">
        <f t="shared" si="10"/>
        <v>0</v>
      </c>
      <c r="AE16" s="60"/>
      <c r="AF16" s="61">
        <f>SUM(S16:AD16)</f>
        <v>0</v>
      </c>
      <c r="AH16" s="60">
        <f t="shared" ref="AH16:AS16" si="11">AH7*$C$16</f>
        <v>0</v>
      </c>
      <c r="AI16" s="60">
        <f t="shared" si="11"/>
        <v>0</v>
      </c>
      <c r="AJ16" s="60">
        <f t="shared" si="11"/>
        <v>0</v>
      </c>
      <c r="AK16" s="60">
        <f t="shared" si="11"/>
        <v>0</v>
      </c>
      <c r="AL16" s="60">
        <f t="shared" si="11"/>
        <v>0</v>
      </c>
      <c r="AM16" s="60">
        <f t="shared" si="11"/>
        <v>0</v>
      </c>
      <c r="AN16" s="60">
        <f t="shared" si="11"/>
        <v>0</v>
      </c>
      <c r="AO16" s="60">
        <f t="shared" si="11"/>
        <v>0</v>
      </c>
      <c r="AP16" s="60">
        <f t="shared" si="11"/>
        <v>0</v>
      </c>
      <c r="AQ16" s="60">
        <f t="shared" si="11"/>
        <v>0</v>
      </c>
      <c r="AR16" s="60">
        <f t="shared" si="11"/>
        <v>0</v>
      </c>
      <c r="AS16" s="60">
        <f t="shared" si="11"/>
        <v>0</v>
      </c>
      <c r="AT16" s="60"/>
      <c r="AU16" s="61">
        <f>SUM(AH16:AS16)</f>
        <v>0</v>
      </c>
    </row>
    <row r="17" spans="1:47" outlineLevel="1">
      <c r="B17" s="51" t="s">
        <v>91</v>
      </c>
      <c r="C17" s="75">
        <v>-0.18</v>
      </c>
      <c r="D17" s="59"/>
      <c r="E17" s="59"/>
      <c r="F17" s="59"/>
      <c r="G17" s="59"/>
      <c r="H17" s="59"/>
      <c r="I17" s="59"/>
      <c r="J17" s="59"/>
      <c r="K17" s="59"/>
      <c r="L17" s="59"/>
      <c r="M17" s="60">
        <f t="shared" ref="M17:O17" si="12">M8*$C$17</f>
        <v>0</v>
      </c>
      <c r="N17" s="60">
        <f t="shared" si="12"/>
        <v>0</v>
      </c>
      <c r="O17" s="60">
        <f t="shared" si="12"/>
        <v>0</v>
      </c>
      <c r="P17" s="60"/>
      <c r="Q17" s="61">
        <f>SUM(D17:O17)</f>
        <v>0</v>
      </c>
      <c r="S17" s="60">
        <f t="shared" ref="S17:AD17" si="13">S8*$C$17</f>
        <v>0</v>
      </c>
      <c r="T17" s="60">
        <f t="shared" si="13"/>
        <v>0</v>
      </c>
      <c r="U17" s="60">
        <f t="shared" si="13"/>
        <v>0</v>
      </c>
      <c r="V17" s="60">
        <f t="shared" si="13"/>
        <v>0</v>
      </c>
      <c r="W17" s="60">
        <f t="shared" si="13"/>
        <v>0</v>
      </c>
      <c r="X17" s="60">
        <f t="shared" si="13"/>
        <v>0</v>
      </c>
      <c r="Y17" s="60">
        <f t="shared" si="13"/>
        <v>0</v>
      </c>
      <c r="Z17" s="60">
        <f t="shared" si="13"/>
        <v>0</v>
      </c>
      <c r="AA17" s="60">
        <f t="shared" si="13"/>
        <v>0</v>
      </c>
      <c r="AB17" s="60">
        <f t="shared" si="13"/>
        <v>0</v>
      </c>
      <c r="AC17" s="60">
        <f t="shared" si="13"/>
        <v>0</v>
      </c>
      <c r="AD17" s="60">
        <f t="shared" si="13"/>
        <v>0</v>
      </c>
      <c r="AE17" s="60"/>
      <c r="AF17" s="61">
        <f>SUM(S17:AD17)</f>
        <v>0</v>
      </c>
      <c r="AH17" s="60">
        <f t="shared" ref="AH17:AS17" si="14">AH8*$C$17</f>
        <v>0</v>
      </c>
      <c r="AI17" s="60">
        <f t="shared" si="14"/>
        <v>0</v>
      </c>
      <c r="AJ17" s="60">
        <f t="shared" si="14"/>
        <v>0</v>
      </c>
      <c r="AK17" s="60">
        <f t="shared" si="14"/>
        <v>0</v>
      </c>
      <c r="AL17" s="60">
        <f t="shared" si="14"/>
        <v>0</v>
      </c>
      <c r="AM17" s="60">
        <f t="shared" si="14"/>
        <v>0</v>
      </c>
      <c r="AN17" s="60">
        <f t="shared" si="14"/>
        <v>0</v>
      </c>
      <c r="AO17" s="60">
        <f t="shared" si="14"/>
        <v>0</v>
      </c>
      <c r="AP17" s="60">
        <f t="shared" si="14"/>
        <v>0</v>
      </c>
      <c r="AQ17" s="60">
        <f t="shared" si="14"/>
        <v>0</v>
      </c>
      <c r="AR17" s="60">
        <f t="shared" si="14"/>
        <v>0</v>
      </c>
      <c r="AS17" s="60">
        <f t="shared" si="14"/>
        <v>0</v>
      </c>
      <c r="AT17" s="60"/>
      <c r="AU17" s="61">
        <f>SUM(AH17:AS17)</f>
        <v>0</v>
      </c>
    </row>
    <row r="18" spans="1:47" outlineLevel="1">
      <c r="B18" s="51" t="s">
        <v>92</v>
      </c>
      <c r="D18" s="59"/>
      <c r="E18" s="59"/>
      <c r="F18" s="59"/>
      <c r="G18" s="59"/>
      <c r="H18" s="59"/>
      <c r="I18" s="59"/>
      <c r="J18" s="59"/>
      <c r="K18" s="59"/>
      <c r="L18" s="59">
        <f>L9*$C$18</f>
        <v>0</v>
      </c>
      <c r="M18" s="60">
        <f t="shared" ref="M18:O18" si="15">M9*$C$18</f>
        <v>0</v>
      </c>
      <c r="N18" s="60">
        <f t="shared" si="15"/>
        <v>0</v>
      </c>
      <c r="O18" s="60">
        <f t="shared" si="15"/>
        <v>0</v>
      </c>
      <c r="P18" s="60"/>
      <c r="Q18" s="61">
        <f>SUM(D18:O18)</f>
        <v>0</v>
      </c>
      <c r="S18" s="60">
        <f t="shared" ref="S18:AD18" si="16">S9*$C$18</f>
        <v>0</v>
      </c>
      <c r="T18" s="60">
        <f t="shared" si="16"/>
        <v>0</v>
      </c>
      <c r="U18" s="60">
        <f t="shared" si="16"/>
        <v>0</v>
      </c>
      <c r="V18" s="60">
        <f t="shared" si="16"/>
        <v>0</v>
      </c>
      <c r="W18" s="60">
        <f t="shared" si="16"/>
        <v>0</v>
      </c>
      <c r="X18" s="60">
        <f t="shared" si="16"/>
        <v>0</v>
      </c>
      <c r="Y18" s="60">
        <f t="shared" si="16"/>
        <v>0</v>
      </c>
      <c r="Z18" s="60">
        <f t="shared" si="16"/>
        <v>0</v>
      </c>
      <c r="AA18" s="60">
        <f t="shared" si="16"/>
        <v>0</v>
      </c>
      <c r="AB18" s="60">
        <f t="shared" si="16"/>
        <v>0</v>
      </c>
      <c r="AC18" s="60">
        <f t="shared" si="16"/>
        <v>0</v>
      </c>
      <c r="AD18" s="60">
        <f t="shared" si="16"/>
        <v>0</v>
      </c>
      <c r="AE18" s="60"/>
      <c r="AF18" s="61">
        <f>SUM(S18:AD18)</f>
        <v>0</v>
      </c>
      <c r="AH18" s="60">
        <f t="shared" ref="AH18:AS18" si="17">AH9*$C$18</f>
        <v>0</v>
      </c>
      <c r="AI18" s="60">
        <f t="shared" si="17"/>
        <v>0</v>
      </c>
      <c r="AJ18" s="60">
        <f t="shared" si="17"/>
        <v>0</v>
      </c>
      <c r="AK18" s="60">
        <f t="shared" si="17"/>
        <v>0</v>
      </c>
      <c r="AL18" s="60">
        <f t="shared" si="17"/>
        <v>0</v>
      </c>
      <c r="AM18" s="60">
        <f t="shared" si="17"/>
        <v>0</v>
      </c>
      <c r="AN18" s="60">
        <f t="shared" si="17"/>
        <v>0</v>
      </c>
      <c r="AO18" s="60">
        <f t="shared" si="17"/>
        <v>0</v>
      </c>
      <c r="AP18" s="60">
        <f t="shared" si="17"/>
        <v>0</v>
      </c>
      <c r="AQ18" s="60">
        <f t="shared" si="17"/>
        <v>0</v>
      </c>
      <c r="AR18" s="60">
        <f t="shared" si="17"/>
        <v>0</v>
      </c>
      <c r="AS18" s="60">
        <f t="shared" si="17"/>
        <v>0</v>
      </c>
      <c r="AT18" s="60"/>
      <c r="AU18" s="61">
        <f>SUM(AH18:AS18)</f>
        <v>0</v>
      </c>
    </row>
    <row r="19" spans="1:47" outlineLevel="1">
      <c r="D19" s="59"/>
      <c r="E19" s="59"/>
      <c r="F19" s="59"/>
      <c r="G19" s="59"/>
      <c r="H19" s="59"/>
      <c r="I19" s="59"/>
      <c r="J19" s="59"/>
      <c r="K19" s="59"/>
      <c r="L19" s="59"/>
      <c r="M19" s="60"/>
      <c r="N19" s="60"/>
      <c r="O19" s="60"/>
      <c r="P19" s="60"/>
      <c r="Q19" s="61"/>
      <c r="S19" s="83"/>
      <c r="T19" s="83"/>
      <c r="U19" s="83"/>
      <c r="V19" s="83"/>
      <c r="W19" s="83"/>
      <c r="X19" s="60"/>
      <c r="Y19" s="60"/>
      <c r="Z19" s="60"/>
      <c r="AA19" s="60"/>
      <c r="AB19" s="60"/>
      <c r="AC19" s="60"/>
      <c r="AD19" s="60"/>
      <c r="AE19" s="60"/>
      <c r="AF19" s="61"/>
      <c r="AH19" s="83"/>
      <c r="AI19" s="83"/>
      <c r="AJ19" s="83"/>
      <c r="AK19" s="83"/>
      <c r="AL19" s="83"/>
      <c r="AM19" s="60"/>
      <c r="AN19" s="60"/>
      <c r="AO19" s="60"/>
      <c r="AP19" s="60"/>
      <c r="AQ19" s="60"/>
      <c r="AR19" s="60"/>
      <c r="AS19" s="60"/>
      <c r="AT19" s="60"/>
      <c r="AU19" s="61"/>
    </row>
    <row r="20" spans="1:47" s="10" customFormat="1">
      <c r="A20" s="52"/>
      <c r="B20" s="63" t="s">
        <v>93</v>
      </c>
      <c r="C20" s="52"/>
      <c r="D20" s="64">
        <f t="shared" ref="D20:O20" si="18">SUM(D15:D19)</f>
        <v>0</v>
      </c>
      <c r="E20" s="64">
        <f t="shared" si="18"/>
        <v>0</v>
      </c>
      <c r="F20" s="64">
        <f t="shared" si="18"/>
        <v>0</v>
      </c>
      <c r="G20" s="64">
        <f t="shared" si="18"/>
        <v>0</v>
      </c>
      <c r="H20" s="64">
        <f t="shared" si="18"/>
        <v>0</v>
      </c>
      <c r="I20" s="64">
        <f t="shared" si="18"/>
        <v>0</v>
      </c>
      <c r="J20" s="64">
        <f t="shared" si="18"/>
        <v>0</v>
      </c>
      <c r="K20" s="64">
        <f t="shared" si="18"/>
        <v>0</v>
      </c>
      <c r="L20" s="64">
        <f t="shared" si="18"/>
        <v>0</v>
      </c>
      <c r="M20" s="65">
        <f t="shared" si="18"/>
        <v>0</v>
      </c>
      <c r="N20" s="65">
        <f t="shared" si="18"/>
        <v>0</v>
      </c>
      <c r="O20" s="65">
        <f t="shared" si="18"/>
        <v>0</v>
      </c>
      <c r="P20" s="61"/>
      <c r="Q20" s="65">
        <f>SUM(D20:O20)</f>
        <v>0</v>
      </c>
      <c r="R20" s="52"/>
      <c r="S20" s="84">
        <f t="shared" ref="S20:AD20" si="19">SUM(S15:S19)</f>
        <v>0</v>
      </c>
      <c r="T20" s="84">
        <f t="shared" si="19"/>
        <v>0</v>
      </c>
      <c r="U20" s="84">
        <f t="shared" si="19"/>
        <v>0</v>
      </c>
      <c r="V20" s="84">
        <f t="shared" si="19"/>
        <v>0</v>
      </c>
      <c r="W20" s="84">
        <f t="shared" si="19"/>
        <v>0</v>
      </c>
      <c r="X20" s="65">
        <f t="shared" si="19"/>
        <v>0</v>
      </c>
      <c r="Y20" s="65">
        <f t="shared" si="19"/>
        <v>0</v>
      </c>
      <c r="Z20" s="65">
        <f t="shared" si="19"/>
        <v>0</v>
      </c>
      <c r="AA20" s="65">
        <f t="shared" si="19"/>
        <v>0</v>
      </c>
      <c r="AB20" s="65">
        <f t="shared" si="19"/>
        <v>0</v>
      </c>
      <c r="AC20" s="65">
        <f t="shared" si="19"/>
        <v>0</v>
      </c>
      <c r="AD20" s="65">
        <f t="shared" si="19"/>
        <v>0</v>
      </c>
      <c r="AE20" s="61"/>
      <c r="AF20" s="65">
        <f>SUM(S20:AD20)</f>
        <v>0</v>
      </c>
      <c r="AG20" s="7"/>
      <c r="AH20" s="84">
        <f t="shared" ref="AH20:AS20" si="20">SUM(AH15:AH19)</f>
        <v>0</v>
      </c>
      <c r="AI20" s="84">
        <f t="shared" si="20"/>
        <v>0</v>
      </c>
      <c r="AJ20" s="84">
        <f t="shared" si="20"/>
        <v>0</v>
      </c>
      <c r="AK20" s="84">
        <f t="shared" si="20"/>
        <v>0</v>
      </c>
      <c r="AL20" s="84">
        <f t="shared" si="20"/>
        <v>0</v>
      </c>
      <c r="AM20" s="65">
        <f t="shared" si="20"/>
        <v>0</v>
      </c>
      <c r="AN20" s="65">
        <f t="shared" si="20"/>
        <v>0</v>
      </c>
      <c r="AO20" s="65">
        <f t="shared" si="20"/>
        <v>0</v>
      </c>
      <c r="AP20" s="65">
        <f t="shared" si="20"/>
        <v>0</v>
      </c>
      <c r="AQ20" s="65">
        <f t="shared" si="20"/>
        <v>0</v>
      </c>
      <c r="AR20" s="65">
        <f t="shared" si="20"/>
        <v>0</v>
      </c>
      <c r="AS20" s="65">
        <f t="shared" si="20"/>
        <v>0</v>
      </c>
      <c r="AT20" s="61"/>
      <c r="AU20" s="65">
        <f>SUM(AH20:AS20)</f>
        <v>0</v>
      </c>
    </row>
    <row r="21" spans="1:47">
      <c r="D21" s="97" t="e">
        <f t="shared" ref="D21:O21" si="21">D20/D11</f>
        <v>#DIV/0!</v>
      </c>
      <c r="E21" s="97" t="e">
        <f t="shared" si="21"/>
        <v>#DIV/0!</v>
      </c>
      <c r="F21" s="97" t="e">
        <f t="shared" si="21"/>
        <v>#DIV/0!</v>
      </c>
      <c r="G21" s="97" t="e">
        <f t="shared" si="21"/>
        <v>#DIV/0!</v>
      </c>
      <c r="H21" s="97" t="e">
        <f t="shared" si="21"/>
        <v>#DIV/0!</v>
      </c>
      <c r="I21" s="97" t="e">
        <f t="shared" si="21"/>
        <v>#DIV/0!</v>
      </c>
      <c r="J21" s="97" t="e">
        <f t="shared" si="21"/>
        <v>#DIV/0!</v>
      </c>
      <c r="K21" s="97" t="e">
        <f t="shared" si="21"/>
        <v>#DIV/0!</v>
      </c>
      <c r="L21" s="97" t="e">
        <f t="shared" si="21"/>
        <v>#DIV/0!</v>
      </c>
      <c r="M21" s="91" t="e">
        <f t="shared" si="21"/>
        <v>#DIV/0!</v>
      </c>
      <c r="N21" s="91" t="e">
        <f t="shared" si="21"/>
        <v>#DIV/0!</v>
      </c>
      <c r="O21" s="91" t="e">
        <f t="shared" si="21"/>
        <v>#DIV/0!</v>
      </c>
      <c r="P21" s="60"/>
      <c r="Q21" s="91" t="e">
        <f>Q20/Q11</f>
        <v>#DIV/0!</v>
      </c>
      <c r="S21" s="91" t="e">
        <f t="shared" ref="S21:AD21" si="22">S20/S11</f>
        <v>#DIV/0!</v>
      </c>
      <c r="T21" s="91" t="e">
        <f t="shared" si="22"/>
        <v>#DIV/0!</v>
      </c>
      <c r="U21" s="91" t="e">
        <f t="shared" si="22"/>
        <v>#DIV/0!</v>
      </c>
      <c r="V21" s="91" t="e">
        <f t="shared" si="22"/>
        <v>#DIV/0!</v>
      </c>
      <c r="W21" s="91" t="e">
        <f t="shared" si="22"/>
        <v>#DIV/0!</v>
      </c>
      <c r="X21" s="91" t="e">
        <f t="shared" si="22"/>
        <v>#DIV/0!</v>
      </c>
      <c r="Y21" s="91" t="e">
        <f t="shared" si="22"/>
        <v>#DIV/0!</v>
      </c>
      <c r="Z21" s="91" t="e">
        <f t="shared" si="22"/>
        <v>#DIV/0!</v>
      </c>
      <c r="AA21" s="91" t="e">
        <f t="shared" si="22"/>
        <v>#DIV/0!</v>
      </c>
      <c r="AB21" s="91" t="e">
        <f t="shared" si="22"/>
        <v>#DIV/0!</v>
      </c>
      <c r="AC21" s="91" t="e">
        <f t="shared" si="22"/>
        <v>#DIV/0!</v>
      </c>
      <c r="AD21" s="91" t="e">
        <f t="shared" si="22"/>
        <v>#DIV/0!</v>
      </c>
      <c r="AE21" s="60"/>
      <c r="AF21" s="91" t="e">
        <f>AF20/AF11</f>
        <v>#DIV/0!</v>
      </c>
      <c r="AH21" s="91" t="e">
        <f t="shared" ref="AH21:AS21" si="23">AH20/AH11</f>
        <v>#DIV/0!</v>
      </c>
      <c r="AI21" s="91" t="e">
        <f t="shared" si="23"/>
        <v>#DIV/0!</v>
      </c>
      <c r="AJ21" s="91" t="e">
        <f t="shared" si="23"/>
        <v>#DIV/0!</v>
      </c>
      <c r="AK21" s="91" t="e">
        <f t="shared" si="23"/>
        <v>#DIV/0!</v>
      </c>
      <c r="AL21" s="91" t="e">
        <f t="shared" si="23"/>
        <v>#DIV/0!</v>
      </c>
      <c r="AM21" s="91" t="e">
        <f t="shared" si="23"/>
        <v>#DIV/0!</v>
      </c>
      <c r="AN21" s="91" t="e">
        <f t="shared" si="23"/>
        <v>#DIV/0!</v>
      </c>
      <c r="AO21" s="91" t="e">
        <f t="shared" si="23"/>
        <v>#DIV/0!</v>
      </c>
      <c r="AP21" s="91" t="e">
        <f t="shared" si="23"/>
        <v>#DIV/0!</v>
      </c>
      <c r="AQ21" s="91" t="e">
        <f t="shared" si="23"/>
        <v>#DIV/0!</v>
      </c>
      <c r="AR21" s="91" t="e">
        <f t="shared" si="23"/>
        <v>#DIV/0!</v>
      </c>
      <c r="AS21" s="91" t="e">
        <f t="shared" si="23"/>
        <v>#DIV/0!</v>
      </c>
      <c r="AT21" s="60"/>
      <c r="AU21" s="91" t="e">
        <f>AU20/AU11</f>
        <v>#DIV/0!</v>
      </c>
    </row>
    <row r="22" spans="1:47" hidden="1" outlineLevel="1">
      <c r="B22" s="67" t="s">
        <v>94</v>
      </c>
      <c r="C22" s="52"/>
      <c r="D22" s="68">
        <f t="shared" ref="D22:O25" si="24">D6+D15</f>
        <v>0</v>
      </c>
      <c r="E22" s="68">
        <f t="shared" si="24"/>
        <v>0</v>
      </c>
      <c r="F22" s="68">
        <f t="shared" si="24"/>
        <v>0</v>
      </c>
      <c r="G22" s="68">
        <f t="shared" si="24"/>
        <v>0</v>
      </c>
      <c r="H22" s="68">
        <f t="shared" si="24"/>
        <v>0</v>
      </c>
      <c r="I22" s="68">
        <f t="shared" si="24"/>
        <v>0</v>
      </c>
      <c r="J22" s="68">
        <f t="shared" si="24"/>
        <v>0</v>
      </c>
      <c r="K22" s="68">
        <f t="shared" si="24"/>
        <v>0</v>
      </c>
      <c r="L22" s="68">
        <f t="shared" si="24"/>
        <v>0</v>
      </c>
      <c r="M22" s="69">
        <f t="shared" si="24"/>
        <v>0</v>
      </c>
      <c r="N22" s="69">
        <f t="shared" si="24"/>
        <v>0</v>
      </c>
      <c r="O22" s="69">
        <f t="shared" si="24"/>
        <v>0</v>
      </c>
      <c r="P22" s="69"/>
      <c r="Q22" s="69">
        <f>Q6+Q15</f>
        <v>0</v>
      </c>
      <c r="S22" s="85">
        <f t="shared" ref="S22:AD25" si="25">S6+S15</f>
        <v>0</v>
      </c>
      <c r="T22" s="85">
        <f t="shared" si="25"/>
        <v>0</v>
      </c>
      <c r="U22" s="85">
        <f t="shared" si="25"/>
        <v>0</v>
      </c>
      <c r="V22" s="85">
        <f t="shared" si="25"/>
        <v>0</v>
      </c>
      <c r="W22" s="85">
        <f t="shared" si="25"/>
        <v>0</v>
      </c>
      <c r="X22" s="69">
        <f t="shared" si="25"/>
        <v>0</v>
      </c>
      <c r="Y22" s="69">
        <f t="shared" si="25"/>
        <v>0</v>
      </c>
      <c r="Z22" s="69">
        <f t="shared" si="25"/>
        <v>0</v>
      </c>
      <c r="AA22" s="69">
        <f t="shared" si="25"/>
        <v>0</v>
      </c>
      <c r="AB22" s="69">
        <f t="shared" si="25"/>
        <v>0</v>
      </c>
      <c r="AC22" s="69">
        <f t="shared" si="25"/>
        <v>0</v>
      </c>
      <c r="AD22" s="69">
        <f t="shared" si="25"/>
        <v>0</v>
      </c>
      <c r="AE22" s="69"/>
      <c r="AF22" s="69">
        <f>AF6+AF15</f>
        <v>0</v>
      </c>
      <c r="AH22" s="85">
        <f t="shared" ref="AH22:AS25" si="26">AH6+AH15</f>
        <v>0</v>
      </c>
      <c r="AI22" s="85">
        <f t="shared" si="26"/>
        <v>0</v>
      </c>
      <c r="AJ22" s="85">
        <f t="shared" si="26"/>
        <v>0</v>
      </c>
      <c r="AK22" s="85">
        <f t="shared" si="26"/>
        <v>0</v>
      </c>
      <c r="AL22" s="85">
        <f t="shared" si="26"/>
        <v>0</v>
      </c>
      <c r="AM22" s="69">
        <f t="shared" si="26"/>
        <v>0</v>
      </c>
      <c r="AN22" s="69">
        <f t="shared" si="26"/>
        <v>0</v>
      </c>
      <c r="AO22" s="69">
        <f t="shared" si="26"/>
        <v>0</v>
      </c>
      <c r="AP22" s="69">
        <f t="shared" si="26"/>
        <v>0</v>
      </c>
      <c r="AQ22" s="69">
        <f t="shared" si="26"/>
        <v>0</v>
      </c>
      <c r="AR22" s="69">
        <f t="shared" si="26"/>
        <v>0</v>
      </c>
      <c r="AS22" s="69">
        <f t="shared" si="26"/>
        <v>0</v>
      </c>
      <c r="AT22" s="69"/>
      <c r="AU22" s="69">
        <f>AU6+AU15</f>
        <v>0</v>
      </c>
    </row>
    <row r="23" spans="1:47" hidden="1" outlineLevel="1">
      <c r="B23" s="67" t="s">
        <v>95</v>
      </c>
      <c r="C23" s="52"/>
      <c r="D23" s="68">
        <f t="shared" si="24"/>
        <v>0</v>
      </c>
      <c r="E23" s="68">
        <f t="shared" si="24"/>
        <v>0</v>
      </c>
      <c r="F23" s="68">
        <f t="shared" si="24"/>
        <v>0</v>
      </c>
      <c r="G23" s="68">
        <f t="shared" si="24"/>
        <v>0</v>
      </c>
      <c r="H23" s="68">
        <f t="shared" si="24"/>
        <v>0</v>
      </c>
      <c r="I23" s="68">
        <f t="shared" si="24"/>
        <v>0</v>
      </c>
      <c r="J23" s="68">
        <f t="shared" si="24"/>
        <v>0</v>
      </c>
      <c r="K23" s="68">
        <f t="shared" si="24"/>
        <v>0</v>
      </c>
      <c r="L23" s="68">
        <f t="shared" si="24"/>
        <v>0</v>
      </c>
      <c r="M23" s="69">
        <f t="shared" si="24"/>
        <v>0</v>
      </c>
      <c r="N23" s="69">
        <f t="shared" si="24"/>
        <v>0</v>
      </c>
      <c r="O23" s="69">
        <f t="shared" si="24"/>
        <v>0</v>
      </c>
      <c r="P23" s="69"/>
      <c r="Q23" s="69">
        <f>Q7+Q16</f>
        <v>0</v>
      </c>
      <c r="S23" s="85">
        <f t="shared" si="25"/>
        <v>0</v>
      </c>
      <c r="T23" s="85">
        <f t="shared" si="25"/>
        <v>0</v>
      </c>
      <c r="U23" s="85">
        <f t="shared" si="25"/>
        <v>0</v>
      </c>
      <c r="V23" s="85">
        <f t="shared" si="25"/>
        <v>0</v>
      </c>
      <c r="W23" s="85">
        <f t="shared" si="25"/>
        <v>0</v>
      </c>
      <c r="X23" s="69">
        <f t="shared" si="25"/>
        <v>0</v>
      </c>
      <c r="Y23" s="69">
        <f t="shared" si="25"/>
        <v>0</v>
      </c>
      <c r="Z23" s="69">
        <f t="shared" si="25"/>
        <v>0</v>
      </c>
      <c r="AA23" s="69">
        <f t="shared" si="25"/>
        <v>0</v>
      </c>
      <c r="AB23" s="69">
        <f t="shared" si="25"/>
        <v>0</v>
      </c>
      <c r="AC23" s="69">
        <f t="shared" si="25"/>
        <v>0</v>
      </c>
      <c r="AD23" s="69">
        <f t="shared" si="25"/>
        <v>0</v>
      </c>
      <c r="AE23" s="69"/>
      <c r="AF23" s="69">
        <f>AF7+AF16</f>
        <v>0</v>
      </c>
      <c r="AH23" s="85">
        <f t="shared" si="26"/>
        <v>0</v>
      </c>
      <c r="AI23" s="85">
        <f t="shared" si="26"/>
        <v>0</v>
      </c>
      <c r="AJ23" s="85">
        <f t="shared" si="26"/>
        <v>0</v>
      </c>
      <c r="AK23" s="85">
        <f t="shared" si="26"/>
        <v>0</v>
      </c>
      <c r="AL23" s="85">
        <f t="shared" si="26"/>
        <v>0</v>
      </c>
      <c r="AM23" s="69">
        <f t="shared" si="26"/>
        <v>0</v>
      </c>
      <c r="AN23" s="69">
        <f t="shared" si="26"/>
        <v>0</v>
      </c>
      <c r="AO23" s="69">
        <f t="shared" si="26"/>
        <v>0</v>
      </c>
      <c r="AP23" s="69">
        <f t="shared" si="26"/>
        <v>0</v>
      </c>
      <c r="AQ23" s="69">
        <f t="shared" si="26"/>
        <v>0</v>
      </c>
      <c r="AR23" s="69">
        <f t="shared" si="26"/>
        <v>0</v>
      </c>
      <c r="AS23" s="69">
        <f t="shared" si="26"/>
        <v>0</v>
      </c>
      <c r="AT23" s="69"/>
      <c r="AU23" s="69">
        <f>AU7+AU16</f>
        <v>0</v>
      </c>
    </row>
    <row r="24" spans="1:47" hidden="1" outlineLevel="1">
      <c r="B24" s="67" t="s">
        <v>96</v>
      </c>
      <c r="C24" s="52"/>
      <c r="D24" s="68">
        <f t="shared" si="24"/>
        <v>0</v>
      </c>
      <c r="E24" s="68">
        <f t="shared" si="24"/>
        <v>0</v>
      </c>
      <c r="F24" s="68">
        <f t="shared" si="24"/>
        <v>0</v>
      </c>
      <c r="G24" s="68">
        <f t="shared" si="24"/>
        <v>0</v>
      </c>
      <c r="H24" s="68">
        <f t="shared" si="24"/>
        <v>0</v>
      </c>
      <c r="I24" s="68">
        <f t="shared" si="24"/>
        <v>0</v>
      </c>
      <c r="J24" s="68">
        <f t="shared" si="24"/>
        <v>0</v>
      </c>
      <c r="K24" s="68">
        <f t="shared" si="24"/>
        <v>0</v>
      </c>
      <c r="L24" s="68">
        <f t="shared" si="24"/>
        <v>0</v>
      </c>
      <c r="M24" s="69">
        <f t="shared" si="24"/>
        <v>0</v>
      </c>
      <c r="N24" s="69">
        <f t="shared" si="24"/>
        <v>0</v>
      </c>
      <c r="O24" s="69">
        <f t="shared" si="24"/>
        <v>0</v>
      </c>
      <c r="P24" s="69"/>
      <c r="Q24" s="69">
        <f>Q8+Q17</f>
        <v>0</v>
      </c>
      <c r="S24" s="85">
        <f t="shared" si="25"/>
        <v>0</v>
      </c>
      <c r="T24" s="85">
        <f t="shared" si="25"/>
        <v>0</v>
      </c>
      <c r="U24" s="85">
        <f t="shared" si="25"/>
        <v>0</v>
      </c>
      <c r="V24" s="85">
        <f t="shared" si="25"/>
        <v>0</v>
      </c>
      <c r="W24" s="85">
        <f t="shared" si="25"/>
        <v>0</v>
      </c>
      <c r="X24" s="69">
        <f t="shared" si="25"/>
        <v>0</v>
      </c>
      <c r="Y24" s="69">
        <f t="shared" si="25"/>
        <v>0</v>
      </c>
      <c r="Z24" s="69">
        <f t="shared" si="25"/>
        <v>0</v>
      </c>
      <c r="AA24" s="69">
        <f t="shared" si="25"/>
        <v>0</v>
      </c>
      <c r="AB24" s="69">
        <f t="shared" si="25"/>
        <v>0</v>
      </c>
      <c r="AC24" s="69">
        <f t="shared" si="25"/>
        <v>0</v>
      </c>
      <c r="AD24" s="69">
        <f t="shared" si="25"/>
        <v>0</v>
      </c>
      <c r="AE24" s="69"/>
      <c r="AF24" s="69">
        <f>AF8+AF17</f>
        <v>0</v>
      </c>
      <c r="AH24" s="85">
        <f t="shared" si="26"/>
        <v>0</v>
      </c>
      <c r="AI24" s="85">
        <f t="shared" si="26"/>
        <v>0</v>
      </c>
      <c r="AJ24" s="85">
        <f t="shared" si="26"/>
        <v>0</v>
      </c>
      <c r="AK24" s="85">
        <f t="shared" si="26"/>
        <v>0</v>
      </c>
      <c r="AL24" s="85">
        <f t="shared" si="26"/>
        <v>0</v>
      </c>
      <c r="AM24" s="69">
        <f t="shared" si="26"/>
        <v>0</v>
      </c>
      <c r="AN24" s="69">
        <f t="shared" si="26"/>
        <v>0</v>
      </c>
      <c r="AO24" s="69">
        <f t="shared" si="26"/>
        <v>0</v>
      </c>
      <c r="AP24" s="69">
        <f t="shared" si="26"/>
        <v>0</v>
      </c>
      <c r="AQ24" s="69">
        <f t="shared" si="26"/>
        <v>0</v>
      </c>
      <c r="AR24" s="69">
        <f t="shared" si="26"/>
        <v>0</v>
      </c>
      <c r="AS24" s="69">
        <f t="shared" si="26"/>
        <v>0</v>
      </c>
      <c r="AT24" s="69"/>
      <c r="AU24" s="69">
        <f>AU8+AU17</f>
        <v>0</v>
      </c>
    </row>
    <row r="25" spans="1:47" hidden="1" outlineLevel="1">
      <c r="B25" s="67" t="s">
        <v>97</v>
      </c>
      <c r="C25" s="52"/>
      <c r="D25" s="68">
        <f t="shared" si="24"/>
        <v>0</v>
      </c>
      <c r="E25" s="68">
        <f t="shared" si="24"/>
        <v>0</v>
      </c>
      <c r="F25" s="68">
        <f t="shared" si="24"/>
        <v>0</v>
      </c>
      <c r="G25" s="68">
        <f t="shared" si="24"/>
        <v>0</v>
      </c>
      <c r="H25" s="68">
        <f t="shared" si="24"/>
        <v>0</v>
      </c>
      <c r="I25" s="68">
        <f t="shared" si="24"/>
        <v>0</v>
      </c>
      <c r="J25" s="68">
        <f t="shared" si="24"/>
        <v>0</v>
      </c>
      <c r="K25" s="68">
        <f t="shared" si="24"/>
        <v>0</v>
      </c>
      <c r="L25" s="68">
        <f t="shared" si="24"/>
        <v>0</v>
      </c>
      <c r="M25" s="69">
        <f t="shared" si="24"/>
        <v>0</v>
      </c>
      <c r="N25" s="69">
        <f t="shared" si="24"/>
        <v>0</v>
      </c>
      <c r="O25" s="69">
        <f t="shared" si="24"/>
        <v>0</v>
      </c>
      <c r="P25" s="69"/>
      <c r="Q25" s="69">
        <f>Q9+Q18</f>
        <v>0</v>
      </c>
      <c r="S25" s="85">
        <f t="shared" si="25"/>
        <v>0</v>
      </c>
      <c r="T25" s="85">
        <f t="shared" si="25"/>
        <v>0</v>
      </c>
      <c r="U25" s="85">
        <f t="shared" si="25"/>
        <v>0</v>
      </c>
      <c r="V25" s="85">
        <f t="shared" si="25"/>
        <v>0</v>
      </c>
      <c r="W25" s="85">
        <f t="shared" si="25"/>
        <v>0</v>
      </c>
      <c r="X25" s="69">
        <f t="shared" si="25"/>
        <v>0</v>
      </c>
      <c r="Y25" s="69">
        <f t="shared" si="25"/>
        <v>0</v>
      </c>
      <c r="Z25" s="69">
        <f t="shared" si="25"/>
        <v>0</v>
      </c>
      <c r="AA25" s="69">
        <f t="shared" si="25"/>
        <v>0</v>
      </c>
      <c r="AB25" s="69">
        <f t="shared" si="25"/>
        <v>0</v>
      </c>
      <c r="AC25" s="69">
        <f t="shared" si="25"/>
        <v>0</v>
      </c>
      <c r="AD25" s="69">
        <f t="shared" si="25"/>
        <v>0</v>
      </c>
      <c r="AE25" s="69"/>
      <c r="AF25" s="69">
        <f>AF9+AF18</f>
        <v>0</v>
      </c>
      <c r="AH25" s="85">
        <f t="shared" si="26"/>
        <v>0</v>
      </c>
      <c r="AI25" s="85">
        <f t="shared" si="26"/>
        <v>0</v>
      </c>
      <c r="AJ25" s="85">
        <f t="shared" si="26"/>
        <v>0</v>
      </c>
      <c r="AK25" s="85">
        <f t="shared" si="26"/>
        <v>0</v>
      </c>
      <c r="AL25" s="85">
        <f t="shared" si="26"/>
        <v>0</v>
      </c>
      <c r="AM25" s="69">
        <f t="shared" si="26"/>
        <v>0</v>
      </c>
      <c r="AN25" s="69">
        <f t="shared" si="26"/>
        <v>0</v>
      </c>
      <c r="AO25" s="69">
        <f t="shared" si="26"/>
        <v>0</v>
      </c>
      <c r="AP25" s="69">
        <f t="shared" si="26"/>
        <v>0</v>
      </c>
      <c r="AQ25" s="69">
        <f t="shared" si="26"/>
        <v>0</v>
      </c>
      <c r="AR25" s="69">
        <f t="shared" si="26"/>
        <v>0</v>
      </c>
      <c r="AS25" s="69">
        <f t="shared" si="26"/>
        <v>0</v>
      </c>
      <c r="AT25" s="69"/>
      <c r="AU25" s="69">
        <f>AU9+AU18</f>
        <v>0</v>
      </c>
    </row>
    <row r="26" spans="1:47" collapsed="1">
      <c r="B26" s="67" t="s">
        <v>98</v>
      </c>
      <c r="C26" s="52"/>
      <c r="D26" s="68">
        <f t="shared" ref="D26:O26" si="27">D11+D20</f>
        <v>0</v>
      </c>
      <c r="E26" s="68">
        <f t="shared" si="27"/>
        <v>0</v>
      </c>
      <c r="F26" s="68">
        <f t="shared" si="27"/>
        <v>0</v>
      </c>
      <c r="G26" s="68">
        <f t="shared" si="27"/>
        <v>0</v>
      </c>
      <c r="H26" s="68">
        <f t="shared" si="27"/>
        <v>0</v>
      </c>
      <c r="I26" s="68">
        <f t="shared" si="27"/>
        <v>0</v>
      </c>
      <c r="J26" s="68">
        <f t="shared" si="27"/>
        <v>0</v>
      </c>
      <c r="K26" s="68">
        <f t="shared" si="27"/>
        <v>0</v>
      </c>
      <c r="L26" s="68">
        <f t="shared" si="27"/>
        <v>0</v>
      </c>
      <c r="M26" s="69">
        <f t="shared" si="27"/>
        <v>0</v>
      </c>
      <c r="N26" s="69">
        <f t="shared" si="27"/>
        <v>0</v>
      </c>
      <c r="O26" s="69">
        <f t="shared" si="27"/>
        <v>0</v>
      </c>
      <c r="P26" s="69"/>
      <c r="Q26" s="69">
        <f>Q11+Q20</f>
        <v>0</v>
      </c>
      <c r="S26" s="85">
        <f t="shared" ref="S26:AD26" si="28">S11+S20</f>
        <v>0</v>
      </c>
      <c r="T26" s="85">
        <f t="shared" si="28"/>
        <v>0</v>
      </c>
      <c r="U26" s="85">
        <f t="shared" si="28"/>
        <v>0</v>
      </c>
      <c r="V26" s="85">
        <f t="shared" si="28"/>
        <v>0</v>
      </c>
      <c r="W26" s="85">
        <f t="shared" si="28"/>
        <v>0</v>
      </c>
      <c r="X26" s="69">
        <f t="shared" si="28"/>
        <v>0</v>
      </c>
      <c r="Y26" s="69">
        <f t="shared" si="28"/>
        <v>0</v>
      </c>
      <c r="Z26" s="69">
        <f t="shared" si="28"/>
        <v>0</v>
      </c>
      <c r="AA26" s="69">
        <f t="shared" si="28"/>
        <v>0</v>
      </c>
      <c r="AB26" s="69">
        <f t="shared" si="28"/>
        <v>0</v>
      </c>
      <c r="AC26" s="69">
        <f t="shared" si="28"/>
        <v>0</v>
      </c>
      <c r="AD26" s="69">
        <f t="shared" si="28"/>
        <v>0</v>
      </c>
      <c r="AE26" s="69"/>
      <c r="AF26" s="69">
        <f>AF11+AF20</f>
        <v>0</v>
      </c>
      <c r="AH26" s="85">
        <f t="shared" ref="AH26:AS26" si="29">AH11+AH20</f>
        <v>0</v>
      </c>
      <c r="AI26" s="85">
        <f t="shared" si="29"/>
        <v>0</v>
      </c>
      <c r="AJ26" s="85">
        <f t="shared" si="29"/>
        <v>0</v>
      </c>
      <c r="AK26" s="85">
        <f t="shared" si="29"/>
        <v>0</v>
      </c>
      <c r="AL26" s="85">
        <f t="shared" si="29"/>
        <v>0</v>
      </c>
      <c r="AM26" s="69">
        <f t="shared" si="29"/>
        <v>0</v>
      </c>
      <c r="AN26" s="69">
        <f t="shared" si="29"/>
        <v>0</v>
      </c>
      <c r="AO26" s="69">
        <f t="shared" si="29"/>
        <v>0</v>
      </c>
      <c r="AP26" s="69">
        <f t="shared" si="29"/>
        <v>0</v>
      </c>
      <c r="AQ26" s="69">
        <f t="shared" si="29"/>
        <v>0</v>
      </c>
      <c r="AR26" s="69">
        <f t="shared" si="29"/>
        <v>0</v>
      </c>
      <c r="AS26" s="69">
        <f t="shared" si="29"/>
        <v>0</v>
      </c>
      <c r="AT26" s="69"/>
      <c r="AU26" s="69">
        <f>AU11+AU20</f>
        <v>0</v>
      </c>
    </row>
    <row r="27" spans="1:47">
      <c r="B27" s="52"/>
      <c r="C27" s="52"/>
      <c r="D27" s="70"/>
      <c r="E27" s="70"/>
      <c r="F27" s="70"/>
      <c r="G27" s="70"/>
      <c r="H27" s="70"/>
      <c r="I27" s="70"/>
      <c r="J27" s="70"/>
      <c r="K27" s="70"/>
      <c r="L27" s="70"/>
      <c r="M27" s="52"/>
      <c r="N27" s="52"/>
      <c r="O27" s="52"/>
      <c r="P27" s="52"/>
      <c r="S27" s="10"/>
      <c r="T27" s="10"/>
      <c r="U27" s="10"/>
      <c r="V27" s="10"/>
      <c r="W27" s="10"/>
      <c r="X27" s="52"/>
      <c r="Y27" s="52"/>
      <c r="Z27" s="52"/>
      <c r="AA27" s="52"/>
      <c r="AB27" s="52"/>
      <c r="AC27" s="52"/>
      <c r="AD27" s="52"/>
      <c r="AE27" s="52"/>
      <c r="AH27" s="10"/>
      <c r="AI27" s="10"/>
      <c r="AJ27" s="10"/>
      <c r="AK27" s="10"/>
      <c r="AL27" s="10"/>
      <c r="AM27" s="52"/>
      <c r="AN27" s="52"/>
      <c r="AO27" s="52"/>
      <c r="AP27" s="52"/>
      <c r="AQ27" s="52"/>
      <c r="AR27" s="52"/>
      <c r="AS27" s="52"/>
      <c r="AT27" s="52"/>
    </row>
    <row r="28" spans="1:47" hidden="1" outlineLevel="1">
      <c r="B28" s="67" t="s">
        <v>99</v>
      </c>
      <c r="C28" s="52"/>
      <c r="D28" s="97">
        <f t="shared" ref="D28:O31" si="30">IFERROR(D22/D6,0)</f>
        <v>0</v>
      </c>
      <c r="E28" s="97">
        <f t="shared" si="30"/>
        <v>0</v>
      </c>
      <c r="F28" s="97">
        <f t="shared" si="30"/>
        <v>0</v>
      </c>
      <c r="G28" s="97">
        <f t="shared" si="30"/>
        <v>0</v>
      </c>
      <c r="H28" s="97">
        <f t="shared" si="30"/>
        <v>0</v>
      </c>
      <c r="I28" s="97">
        <f t="shared" si="30"/>
        <v>0</v>
      </c>
      <c r="J28" s="97">
        <f t="shared" si="30"/>
        <v>0</v>
      </c>
      <c r="K28" s="97">
        <f t="shared" si="30"/>
        <v>0</v>
      </c>
      <c r="L28" s="97">
        <f t="shared" si="30"/>
        <v>0</v>
      </c>
      <c r="M28" s="91">
        <f t="shared" si="30"/>
        <v>0</v>
      </c>
      <c r="N28" s="91">
        <f t="shared" si="30"/>
        <v>0</v>
      </c>
      <c r="O28" s="91">
        <f t="shared" si="30"/>
        <v>0</v>
      </c>
      <c r="P28" s="91"/>
      <c r="Q28" s="91">
        <f>IFERROR(Q22/Q6,0)</f>
        <v>0</v>
      </c>
      <c r="S28" s="91">
        <f t="shared" ref="S28:AD31" si="31">IFERROR(S22/S6,0)</f>
        <v>0</v>
      </c>
      <c r="T28" s="91">
        <f t="shared" si="31"/>
        <v>0</v>
      </c>
      <c r="U28" s="91">
        <f t="shared" si="31"/>
        <v>0</v>
      </c>
      <c r="V28" s="91">
        <f t="shared" si="31"/>
        <v>0</v>
      </c>
      <c r="W28" s="91">
        <f t="shared" si="31"/>
        <v>0</v>
      </c>
      <c r="X28" s="91">
        <f t="shared" si="31"/>
        <v>0</v>
      </c>
      <c r="Y28" s="91">
        <f t="shared" si="31"/>
        <v>0</v>
      </c>
      <c r="Z28" s="91">
        <f t="shared" si="31"/>
        <v>0</v>
      </c>
      <c r="AA28" s="91">
        <f t="shared" si="31"/>
        <v>0</v>
      </c>
      <c r="AB28" s="91">
        <f t="shared" si="31"/>
        <v>0</v>
      </c>
      <c r="AC28" s="91">
        <f t="shared" si="31"/>
        <v>0</v>
      </c>
      <c r="AD28" s="91">
        <f t="shared" si="31"/>
        <v>0</v>
      </c>
      <c r="AE28" s="91"/>
      <c r="AF28" s="91">
        <f>IFERROR(AF22/AF6,0)</f>
        <v>0</v>
      </c>
      <c r="AH28" s="91">
        <f t="shared" ref="AH28:AS31" si="32">IFERROR(AH22/AH6,0)</f>
        <v>0</v>
      </c>
      <c r="AI28" s="91">
        <f t="shared" si="32"/>
        <v>0</v>
      </c>
      <c r="AJ28" s="91">
        <f t="shared" si="32"/>
        <v>0</v>
      </c>
      <c r="AK28" s="91">
        <f t="shared" si="32"/>
        <v>0</v>
      </c>
      <c r="AL28" s="91">
        <f t="shared" si="32"/>
        <v>0</v>
      </c>
      <c r="AM28" s="91">
        <f t="shared" si="32"/>
        <v>0</v>
      </c>
      <c r="AN28" s="91">
        <f t="shared" si="32"/>
        <v>0</v>
      </c>
      <c r="AO28" s="91">
        <f t="shared" si="32"/>
        <v>0</v>
      </c>
      <c r="AP28" s="91">
        <f t="shared" si="32"/>
        <v>0</v>
      </c>
      <c r="AQ28" s="91">
        <f t="shared" si="32"/>
        <v>0</v>
      </c>
      <c r="AR28" s="91">
        <f t="shared" si="32"/>
        <v>0</v>
      </c>
      <c r="AS28" s="91">
        <f t="shared" si="32"/>
        <v>0</v>
      </c>
      <c r="AT28" s="91"/>
      <c r="AU28" s="91">
        <f>IFERROR(AU22/AU6,0)</f>
        <v>0</v>
      </c>
    </row>
    <row r="29" spans="1:47" hidden="1" outlineLevel="1">
      <c r="B29" s="67" t="s">
        <v>100</v>
      </c>
      <c r="C29" s="52"/>
      <c r="D29" s="97">
        <f t="shared" si="30"/>
        <v>0</v>
      </c>
      <c r="E29" s="97">
        <f t="shared" si="30"/>
        <v>0</v>
      </c>
      <c r="F29" s="97">
        <f t="shared" si="30"/>
        <v>0</v>
      </c>
      <c r="G29" s="97">
        <f t="shared" si="30"/>
        <v>0</v>
      </c>
      <c r="H29" s="97">
        <f t="shared" si="30"/>
        <v>0</v>
      </c>
      <c r="I29" s="97">
        <f t="shared" si="30"/>
        <v>0</v>
      </c>
      <c r="J29" s="97">
        <f t="shared" si="30"/>
        <v>0</v>
      </c>
      <c r="K29" s="97">
        <f t="shared" si="30"/>
        <v>0</v>
      </c>
      <c r="L29" s="97">
        <f t="shared" si="30"/>
        <v>0</v>
      </c>
      <c r="M29" s="91">
        <f t="shared" si="30"/>
        <v>0</v>
      </c>
      <c r="N29" s="91">
        <f t="shared" si="30"/>
        <v>0</v>
      </c>
      <c r="O29" s="91">
        <f t="shared" si="30"/>
        <v>0</v>
      </c>
      <c r="P29" s="91"/>
      <c r="Q29" s="91">
        <f>IFERROR(Q23/Q7,0)</f>
        <v>0</v>
      </c>
      <c r="S29" s="91">
        <f t="shared" si="31"/>
        <v>0</v>
      </c>
      <c r="T29" s="91">
        <f t="shared" si="31"/>
        <v>0</v>
      </c>
      <c r="U29" s="91">
        <f t="shared" si="31"/>
        <v>0</v>
      </c>
      <c r="V29" s="91">
        <f t="shared" si="31"/>
        <v>0</v>
      </c>
      <c r="W29" s="91">
        <f t="shared" si="31"/>
        <v>0</v>
      </c>
      <c r="X29" s="91">
        <f t="shared" si="31"/>
        <v>0</v>
      </c>
      <c r="Y29" s="91">
        <f t="shared" si="31"/>
        <v>0</v>
      </c>
      <c r="Z29" s="91">
        <f t="shared" si="31"/>
        <v>0</v>
      </c>
      <c r="AA29" s="91">
        <f t="shared" si="31"/>
        <v>0</v>
      </c>
      <c r="AB29" s="91">
        <f t="shared" si="31"/>
        <v>0</v>
      </c>
      <c r="AC29" s="91">
        <f t="shared" si="31"/>
        <v>0</v>
      </c>
      <c r="AD29" s="91">
        <f t="shared" si="31"/>
        <v>0</v>
      </c>
      <c r="AE29" s="91"/>
      <c r="AF29" s="91">
        <f>IFERROR(AF23/AF7,0)</f>
        <v>0</v>
      </c>
      <c r="AH29" s="91">
        <f t="shared" si="32"/>
        <v>0</v>
      </c>
      <c r="AI29" s="91">
        <f t="shared" si="32"/>
        <v>0</v>
      </c>
      <c r="AJ29" s="91">
        <f t="shared" si="32"/>
        <v>0</v>
      </c>
      <c r="AK29" s="91">
        <f t="shared" si="32"/>
        <v>0</v>
      </c>
      <c r="AL29" s="91">
        <f t="shared" si="32"/>
        <v>0</v>
      </c>
      <c r="AM29" s="91">
        <f t="shared" si="32"/>
        <v>0</v>
      </c>
      <c r="AN29" s="91">
        <f t="shared" si="32"/>
        <v>0</v>
      </c>
      <c r="AO29" s="91">
        <f t="shared" si="32"/>
        <v>0</v>
      </c>
      <c r="AP29" s="91">
        <f t="shared" si="32"/>
        <v>0</v>
      </c>
      <c r="AQ29" s="91">
        <f t="shared" si="32"/>
        <v>0</v>
      </c>
      <c r="AR29" s="91">
        <f t="shared" si="32"/>
        <v>0</v>
      </c>
      <c r="AS29" s="91">
        <f t="shared" si="32"/>
        <v>0</v>
      </c>
      <c r="AT29" s="91"/>
      <c r="AU29" s="91">
        <f>IFERROR(AU23/AU7,0)</f>
        <v>0</v>
      </c>
    </row>
    <row r="30" spans="1:47" hidden="1" outlineLevel="1">
      <c r="B30" s="67" t="s">
        <v>101</v>
      </c>
      <c r="C30" s="52"/>
      <c r="D30" s="97">
        <f t="shared" si="30"/>
        <v>0</v>
      </c>
      <c r="E30" s="97">
        <f t="shared" si="30"/>
        <v>0</v>
      </c>
      <c r="F30" s="97">
        <f t="shared" si="30"/>
        <v>0</v>
      </c>
      <c r="G30" s="97">
        <f t="shared" si="30"/>
        <v>0</v>
      </c>
      <c r="H30" s="97">
        <f t="shared" si="30"/>
        <v>0</v>
      </c>
      <c r="I30" s="97">
        <f t="shared" si="30"/>
        <v>0</v>
      </c>
      <c r="J30" s="97">
        <f t="shared" si="30"/>
        <v>0</v>
      </c>
      <c r="K30" s="97">
        <f t="shared" si="30"/>
        <v>0</v>
      </c>
      <c r="L30" s="97">
        <f t="shared" si="30"/>
        <v>0</v>
      </c>
      <c r="M30" s="91">
        <f t="shared" si="30"/>
        <v>0</v>
      </c>
      <c r="N30" s="91">
        <f t="shared" si="30"/>
        <v>0</v>
      </c>
      <c r="O30" s="91">
        <f t="shared" si="30"/>
        <v>0</v>
      </c>
      <c r="P30" s="91"/>
      <c r="Q30" s="91">
        <f>IFERROR(Q24/Q8,0)</f>
        <v>0</v>
      </c>
      <c r="S30" s="91">
        <f t="shared" si="31"/>
        <v>0</v>
      </c>
      <c r="T30" s="91">
        <f t="shared" si="31"/>
        <v>0</v>
      </c>
      <c r="U30" s="91">
        <f t="shared" si="31"/>
        <v>0</v>
      </c>
      <c r="V30" s="91">
        <f t="shared" si="31"/>
        <v>0</v>
      </c>
      <c r="W30" s="91">
        <f t="shared" si="31"/>
        <v>0</v>
      </c>
      <c r="X30" s="91">
        <f t="shared" si="31"/>
        <v>0</v>
      </c>
      <c r="Y30" s="91">
        <f t="shared" si="31"/>
        <v>0</v>
      </c>
      <c r="Z30" s="91">
        <f t="shared" si="31"/>
        <v>0</v>
      </c>
      <c r="AA30" s="91">
        <f t="shared" si="31"/>
        <v>0</v>
      </c>
      <c r="AB30" s="91">
        <f t="shared" si="31"/>
        <v>0</v>
      </c>
      <c r="AC30" s="91">
        <f t="shared" si="31"/>
        <v>0</v>
      </c>
      <c r="AD30" s="91">
        <f t="shared" si="31"/>
        <v>0</v>
      </c>
      <c r="AE30" s="91"/>
      <c r="AF30" s="91">
        <f>IFERROR(AF24/AF8,0)</f>
        <v>0</v>
      </c>
      <c r="AH30" s="91">
        <f t="shared" si="32"/>
        <v>0</v>
      </c>
      <c r="AI30" s="91">
        <f t="shared" si="32"/>
        <v>0</v>
      </c>
      <c r="AJ30" s="91">
        <f t="shared" si="32"/>
        <v>0</v>
      </c>
      <c r="AK30" s="91">
        <f t="shared" si="32"/>
        <v>0</v>
      </c>
      <c r="AL30" s="91">
        <f t="shared" si="32"/>
        <v>0</v>
      </c>
      <c r="AM30" s="91">
        <f t="shared" si="32"/>
        <v>0</v>
      </c>
      <c r="AN30" s="91">
        <f t="shared" si="32"/>
        <v>0</v>
      </c>
      <c r="AO30" s="91">
        <f t="shared" si="32"/>
        <v>0</v>
      </c>
      <c r="AP30" s="91">
        <f t="shared" si="32"/>
        <v>0</v>
      </c>
      <c r="AQ30" s="91">
        <f t="shared" si="32"/>
        <v>0</v>
      </c>
      <c r="AR30" s="91">
        <f t="shared" si="32"/>
        <v>0</v>
      </c>
      <c r="AS30" s="91">
        <f t="shared" si="32"/>
        <v>0</v>
      </c>
      <c r="AT30" s="91"/>
      <c r="AU30" s="91">
        <f>IFERROR(AU24/AU8,0)</f>
        <v>0</v>
      </c>
    </row>
    <row r="31" spans="1:47" hidden="1" outlineLevel="1">
      <c r="B31" s="67" t="s">
        <v>102</v>
      </c>
      <c r="C31" s="52"/>
      <c r="D31" s="97">
        <f t="shared" si="30"/>
        <v>0</v>
      </c>
      <c r="E31" s="97">
        <f t="shared" si="30"/>
        <v>0</v>
      </c>
      <c r="F31" s="97">
        <f t="shared" si="30"/>
        <v>0</v>
      </c>
      <c r="G31" s="97">
        <f t="shared" si="30"/>
        <v>0</v>
      </c>
      <c r="H31" s="97">
        <f t="shared" si="30"/>
        <v>0</v>
      </c>
      <c r="I31" s="97">
        <f t="shared" si="30"/>
        <v>0</v>
      </c>
      <c r="J31" s="97">
        <f t="shared" si="30"/>
        <v>0</v>
      </c>
      <c r="K31" s="97">
        <f t="shared" si="30"/>
        <v>0</v>
      </c>
      <c r="L31" s="97">
        <f t="shared" si="30"/>
        <v>0</v>
      </c>
      <c r="M31" s="91">
        <f t="shared" si="30"/>
        <v>0</v>
      </c>
      <c r="N31" s="91">
        <f t="shared" si="30"/>
        <v>0</v>
      </c>
      <c r="O31" s="91">
        <f t="shared" si="30"/>
        <v>0</v>
      </c>
      <c r="P31" s="91"/>
      <c r="Q31" s="91">
        <f>IFERROR(Q25/Q9,0)</f>
        <v>0</v>
      </c>
      <c r="S31" s="91">
        <f t="shared" si="31"/>
        <v>0</v>
      </c>
      <c r="T31" s="91">
        <f t="shared" si="31"/>
        <v>0</v>
      </c>
      <c r="U31" s="91">
        <f t="shared" si="31"/>
        <v>0</v>
      </c>
      <c r="V31" s="91">
        <f t="shared" si="31"/>
        <v>0</v>
      </c>
      <c r="W31" s="91">
        <f t="shared" si="31"/>
        <v>0</v>
      </c>
      <c r="X31" s="91">
        <f t="shared" si="31"/>
        <v>0</v>
      </c>
      <c r="Y31" s="91">
        <f t="shared" si="31"/>
        <v>0</v>
      </c>
      <c r="Z31" s="91">
        <f t="shared" si="31"/>
        <v>0</v>
      </c>
      <c r="AA31" s="91">
        <f t="shared" si="31"/>
        <v>0</v>
      </c>
      <c r="AB31" s="91">
        <f t="shared" si="31"/>
        <v>0</v>
      </c>
      <c r="AC31" s="91">
        <f t="shared" si="31"/>
        <v>0</v>
      </c>
      <c r="AD31" s="91">
        <f t="shared" si="31"/>
        <v>0</v>
      </c>
      <c r="AE31" s="91"/>
      <c r="AF31" s="91">
        <f>IFERROR(AF25/AF9,0)</f>
        <v>0</v>
      </c>
      <c r="AH31" s="91">
        <f t="shared" si="32"/>
        <v>0</v>
      </c>
      <c r="AI31" s="91">
        <f t="shared" si="32"/>
        <v>0</v>
      </c>
      <c r="AJ31" s="91">
        <f t="shared" si="32"/>
        <v>0</v>
      </c>
      <c r="AK31" s="91">
        <f t="shared" si="32"/>
        <v>0</v>
      </c>
      <c r="AL31" s="91">
        <f t="shared" si="32"/>
        <v>0</v>
      </c>
      <c r="AM31" s="91">
        <f t="shared" si="32"/>
        <v>0</v>
      </c>
      <c r="AN31" s="91">
        <f t="shared" si="32"/>
        <v>0</v>
      </c>
      <c r="AO31" s="91">
        <f t="shared" si="32"/>
        <v>0</v>
      </c>
      <c r="AP31" s="91">
        <f t="shared" si="32"/>
        <v>0</v>
      </c>
      <c r="AQ31" s="91">
        <f t="shared" si="32"/>
        <v>0</v>
      </c>
      <c r="AR31" s="91">
        <f t="shared" si="32"/>
        <v>0</v>
      </c>
      <c r="AS31" s="91">
        <f t="shared" si="32"/>
        <v>0</v>
      </c>
      <c r="AT31" s="91"/>
      <c r="AU31" s="91">
        <f>IFERROR(AU25/AU9,0)</f>
        <v>0</v>
      </c>
    </row>
    <row r="32" spans="1:47" collapsed="1">
      <c r="B32" s="72" t="s">
        <v>103</v>
      </c>
      <c r="C32" s="73"/>
      <c r="D32" s="97">
        <f t="shared" ref="D32:O32" si="33">IFERROR(D26/D11,0)</f>
        <v>0</v>
      </c>
      <c r="E32" s="97">
        <f t="shared" si="33"/>
        <v>0</v>
      </c>
      <c r="F32" s="97">
        <f t="shared" si="33"/>
        <v>0</v>
      </c>
      <c r="G32" s="97">
        <f t="shared" si="33"/>
        <v>0</v>
      </c>
      <c r="H32" s="97">
        <f t="shared" si="33"/>
        <v>0</v>
      </c>
      <c r="I32" s="97">
        <f t="shared" si="33"/>
        <v>0</v>
      </c>
      <c r="J32" s="97">
        <f t="shared" si="33"/>
        <v>0</v>
      </c>
      <c r="K32" s="97">
        <f t="shared" si="33"/>
        <v>0</v>
      </c>
      <c r="L32" s="97">
        <f t="shared" si="33"/>
        <v>0</v>
      </c>
      <c r="M32" s="91">
        <f t="shared" si="33"/>
        <v>0</v>
      </c>
      <c r="N32" s="91">
        <f t="shared" si="33"/>
        <v>0</v>
      </c>
      <c r="O32" s="91">
        <f t="shared" si="33"/>
        <v>0</v>
      </c>
      <c r="P32" s="91"/>
      <c r="Q32" s="91">
        <f>IFERROR(Q26/Q11,0)</f>
        <v>0</v>
      </c>
      <c r="S32" s="91">
        <f t="shared" ref="S32:AD32" si="34">IFERROR(S26/S11,0)</f>
        <v>0</v>
      </c>
      <c r="T32" s="91">
        <f t="shared" si="34"/>
        <v>0</v>
      </c>
      <c r="U32" s="91">
        <f t="shared" si="34"/>
        <v>0</v>
      </c>
      <c r="V32" s="91">
        <f t="shared" si="34"/>
        <v>0</v>
      </c>
      <c r="W32" s="91">
        <f t="shared" si="34"/>
        <v>0</v>
      </c>
      <c r="X32" s="91">
        <f t="shared" si="34"/>
        <v>0</v>
      </c>
      <c r="Y32" s="91">
        <f t="shared" si="34"/>
        <v>0</v>
      </c>
      <c r="Z32" s="91">
        <f t="shared" si="34"/>
        <v>0</v>
      </c>
      <c r="AA32" s="91">
        <f t="shared" si="34"/>
        <v>0</v>
      </c>
      <c r="AB32" s="91">
        <f t="shared" si="34"/>
        <v>0</v>
      </c>
      <c r="AC32" s="91">
        <f t="shared" si="34"/>
        <v>0</v>
      </c>
      <c r="AD32" s="91">
        <f t="shared" si="34"/>
        <v>0</v>
      </c>
      <c r="AE32" s="91"/>
      <c r="AF32" s="91">
        <f>IFERROR(AF26/AF11,0)</f>
        <v>0</v>
      </c>
      <c r="AH32" s="91">
        <f t="shared" ref="AH32:AS32" si="35">IFERROR(AH26/AH11,0)</f>
        <v>0</v>
      </c>
      <c r="AI32" s="91">
        <f t="shared" si="35"/>
        <v>0</v>
      </c>
      <c r="AJ32" s="91">
        <f t="shared" si="35"/>
        <v>0</v>
      </c>
      <c r="AK32" s="91">
        <f t="shared" si="35"/>
        <v>0</v>
      </c>
      <c r="AL32" s="91">
        <f t="shared" si="35"/>
        <v>0</v>
      </c>
      <c r="AM32" s="91">
        <f t="shared" si="35"/>
        <v>0</v>
      </c>
      <c r="AN32" s="91">
        <f t="shared" si="35"/>
        <v>0</v>
      </c>
      <c r="AO32" s="91">
        <f t="shared" si="35"/>
        <v>0</v>
      </c>
      <c r="AP32" s="91">
        <f t="shared" si="35"/>
        <v>0</v>
      </c>
      <c r="AQ32" s="91">
        <f t="shared" si="35"/>
        <v>0</v>
      </c>
      <c r="AR32" s="91">
        <f t="shared" si="35"/>
        <v>0</v>
      </c>
      <c r="AS32" s="91">
        <f t="shared" si="35"/>
        <v>0</v>
      </c>
      <c r="AT32" s="91"/>
      <c r="AU32" s="91">
        <f>IFERROR(AU26/AU11,0)</f>
        <v>0</v>
      </c>
    </row>
    <row r="33" spans="1:47">
      <c r="D33" s="71"/>
      <c r="E33" s="71"/>
      <c r="F33" s="71"/>
      <c r="G33" s="71"/>
      <c r="H33" s="71"/>
      <c r="I33" s="71"/>
      <c r="J33" s="71"/>
      <c r="K33" s="71"/>
      <c r="L33" s="7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H33" s="86"/>
      <c r="AI33" s="86"/>
      <c r="AJ33" s="86"/>
      <c r="AK33" s="86"/>
      <c r="AL33" s="86"/>
    </row>
    <row r="34" spans="1:47" outlineLevel="1">
      <c r="B34" s="58" t="s">
        <v>104</v>
      </c>
      <c r="D34" s="74"/>
      <c r="E34" s="74"/>
      <c r="F34" s="74"/>
      <c r="G34" s="74"/>
      <c r="H34" s="74"/>
      <c r="I34" s="74"/>
      <c r="J34" s="74"/>
      <c r="K34" s="74"/>
      <c r="L34" s="74"/>
      <c r="S34" s="87"/>
      <c r="T34" s="87"/>
      <c r="U34" s="87"/>
      <c r="V34" s="87"/>
      <c r="W34" s="87"/>
      <c r="AH34" s="87"/>
      <c r="AI34" s="87"/>
      <c r="AJ34" s="87"/>
      <c r="AK34" s="87"/>
      <c r="AL34" s="87"/>
    </row>
    <row r="35" spans="1:47" outlineLevel="1">
      <c r="D35" s="53"/>
      <c r="E35" s="53"/>
      <c r="F35" s="53"/>
      <c r="G35" s="53"/>
      <c r="H35" s="53"/>
      <c r="I35" s="53"/>
      <c r="J35" s="53"/>
      <c r="K35" s="53"/>
      <c r="L35" s="53"/>
    </row>
    <row r="36" spans="1:47" outlineLevel="1">
      <c r="D36" s="59"/>
      <c r="E36" s="59"/>
      <c r="F36" s="59"/>
      <c r="G36" s="59"/>
      <c r="H36" s="59"/>
      <c r="I36" s="59"/>
      <c r="J36" s="59"/>
      <c r="K36" s="59"/>
      <c r="L36" s="59"/>
      <c r="M36" s="60"/>
      <c r="N36" s="60"/>
      <c r="O36" s="60"/>
      <c r="P36" s="60"/>
      <c r="Q36" s="61">
        <f>SUM(D36:O36)</f>
        <v>0</v>
      </c>
      <c r="R36" s="62"/>
      <c r="S36" s="83"/>
      <c r="T36" s="83"/>
      <c r="U36" s="83"/>
      <c r="V36" s="83"/>
      <c r="W36" s="83"/>
      <c r="X36" s="83"/>
      <c r="Y36" s="83"/>
      <c r="Z36" s="83"/>
      <c r="AA36" s="83"/>
      <c r="AB36" s="83"/>
      <c r="AC36" s="83"/>
      <c r="AD36" s="83"/>
      <c r="AE36" s="60"/>
      <c r="AF36" s="61">
        <f>SUM(S36:AD36)</f>
        <v>0</v>
      </c>
      <c r="AH36" s="83"/>
      <c r="AI36" s="83"/>
      <c r="AJ36" s="83"/>
      <c r="AK36" s="83"/>
      <c r="AL36" s="83"/>
      <c r="AM36" s="83"/>
      <c r="AN36" s="83"/>
      <c r="AO36" s="83"/>
      <c r="AP36" s="83"/>
      <c r="AQ36" s="83"/>
      <c r="AR36" s="83"/>
      <c r="AS36" s="83"/>
      <c r="AT36" s="60"/>
      <c r="AU36" s="61">
        <f>SUM(AH36:AS36)</f>
        <v>0</v>
      </c>
    </row>
    <row r="37" spans="1:47" outlineLevel="1">
      <c r="B37" s="51" t="s">
        <v>106</v>
      </c>
      <c r="C37" s="75">
        <f>SUMIFS(Fulfilment!E:E,Fulfilment!A:A,"IT",Fulfilment!B:B,"DTC")</f>
        <v>-0.19331097168536487</v>
      </c>
      <c r="D37" s="59"/>
      <c r="E37" s="59"/>
      <c r="F37" s="59"/>
      <c r="G37" s="59"/>
      <c r="H37" s="59"/>
      <c r="I37" s="59"/>
      <c r="J37" s="59"/>
      <c r="K37" s="59"/>
      <c r="L37" s="59"/>
      <c r="M37" s="60">
        <f t="shared" ref="M37:O37" si="36">$C$37*M6</f>
        <v>0</v>
      </c>
      <c r="N37" s="60">
        <f t="shared" si="36"/>
        <v>0</v>
      </c>
      <c r="O37" s="60">
        <f t="shared" si="36"/>
        <v>0</v>
      </c>
      <c r="P37" s="60"/>
      <c r="Q37" s="61">
        <f>SUM(D37:O37)</f>
        <v>0</v>
      </c>
      <c r="R37" s="62"/>
      <c r="S37" s="60">
        <f>$C$37*S6</f>
        <v>0</v>
      </c>
      <c r="T37" s="60">
        <f t="shared" ref="T37:AD37" si="37">$C$37*T6</f>
        <v>0</v>
      </c>
      <c r="U37" s="60">
        <f t="shared" si="37"/>
        <v>0</v>
      </c>
      <c r="V37" s="60">
        <f t="shared" si="37"/>
        <v>0</v>
      </c>
      <c r="W37" s="60">
        <f t="shared" si="37"/>
        <v>0</v>
      </c>
      <c r="X37" s="60">
        <f t="shared" si="37"/>
        <v>0</v>
      </c>
      <c r="Y37" s="60">
        <f t="shared" si="37"/>
        <v>0</v>
      </c>
      <c r="Z37" s="60">
        <f t="shared" si="37"/>
        <v>0</v>
      </c>
      <c r="AA37" s="60">
        <f t="shared" si="37"/>
        <v>0</v>
      </c>
      <c r="AB37" s="60">
        <f t="shared" si="37"/>
        <v>0</v>
      </c>
      <c r="AC37" s="60">
        <f t="shared" si="37"/>
        <v>0</v>
      </c>
      <c r="AD37" s="60">
        <f t="shared" si="37"/>
        <v>0</v>
      </c>
      <c r="AE37" s="60"/>
      <c r="AF37" s="61">
        <f>SUM(S37:AD37)</f>
        <v>0</v>
      </c>
      <c r="AH37" s="60">
        <f t="shared" ref="AH37:AS37" si="38">$C$37*AH6</f>
        <v>0</v>
      </c>
      <c r="AI37" s="60">
        <f t="shared" si="38"/>
        <v>0</v>
      </c>
      <c r="AJ37" s="60">
        <f t="shared" si="38"/>
        <v>0</v>
      </c>
      <c r="AK37" s="60">
        <f t="shared" si="38"/>
        <v>0</v>
      </c>
      <c r="AL37" s="60">
        <f t="shared" si="38"/>
        <v>0</v>
      </c>
      <c r="AM37" s="60">
        <f t="shared" si="38"/>
        <v>0</v>
      </c>
      <c r="AN37" s="60">
        <f t="shared" si="38"/>
        <v>0</v>
      </c>
      <c r="AO37" s="60">
        <f t="shared" si="38"/>
        <v>0</v>
      </c>
      <c r="AP37" s="60">
        <f t="shared" si="38"/>
        <v>0</v>
      </c>
      <c r="AQ37" s="60">
        <f t="shared" si="38"/>
        <v>0</v>
      </c>
      <c r="AR37" s="60">
        <f t="shared" si="38"/>
        <v>0</v>
      </c>
      <c r="AS37" s="60">
        <f t="shared" si="38"/>
        <v>0</v>
      </c>
      <c r="AT37" s="60"/>
      <c r="AU37" s="61">
        <f>SUM(AH37:AS37)</f>
        <v>0</v>
      </c>
    </row>
    <row r="38" spans="1:47" outlineLevel="1">
      <c r="B38" s="51" t="s">
        <v>107</v>
      </c>
      <c r="C38" s="75">
        <f>SUMIFS(Fulfilment!E:E,Fulfilment!A:A,"IT",Fulfilment!B:B,"B2B")</f>
        <v>-6.9695862933924754E-2</v>
      </c>
      <c r="D38" s="59"/>
      <c r="E38" s="59"/>
      <c r="F38" s="59"/>
      <c r="G38" s="59"/>
      <c r="H38" s="59"/>
      <c r="I38" s="59"/>
      <c r="J38" s="59"/>
      <c r="K38" s="59"/>
      <c r="L38" s="59"/>
      <c r="M38" s="60">
        <f t="shared" ref="M38:O38" si="39">$C$38*M7</f>
        <v>0</v>
      </c>
      <c r="N38" s="60">
        <f t="shared" si="39"/>
        <v>0</v>
      </c>
      <c r="O38" s="60">
        <f t="shared" si="39"/>
        <v>0</v>
      </c>
      <c r="P38" s="60"/>
      <c r="Q38" s="61">
        <f>SUM(D38:O38)</f>
        <v>0</v>
      </c>
      <c r="R38" s="62"/>
      <c r="S38" s="60">
        <f t="shared" ref="S38:AD38" si="40">$C$38*S7</f>
        <v>0</v>
      </c>
      <c r="T38" s="60">
        <f t="shared" si="40"/>
        <v>0</v>
      </c>
      <c r="U38" s="60">
        <f t="shared" si="40"/>
        <v>0</v>
      </c>
      <c r="V38" s="60">
        <f t="shared" si="40"/>
        <v>0</v>
      </c>
      <c r="W38" s="60">
        <f t="shared" si="40"/>
        <v>0</v>
      </c>
      <c r="X38" s="60">
        <f t="shared" si="40"/>
        <v>0</v>
      </c>
      <c r="Y38" s="60">
        <f t="shared" si="40"/>
        <v>0</v>
      </c>
      <c r="Z38" s="60">
        <f t="shared" si="40"/>
        <v>0</v>
      </c>
      <c r="AA38" s="60">
        <f t="shared" si="40"/>
        <v>0</v>
      </c>
      <c r="AB38" s="60">
        <f t="shared" si="40"/>
        <v>0</v>
      </c>
      <c r="AC38" s="60">
        <f t="shared" si="40"/>
        <v>0</v>
      </c>
      <c r="AD38" s="60">
        <f t="shared" si="40"/>
        <v>0</v>
      </c>
      <c r="AE38" s="60"/>
      <c r="AF38" s="61">
        <f>SUM(S38:AD38)</f>
        <v>0</v>
      </c>
      <c r="AH38" s="60">
        <f t="shared" ref="AH38:AS38" si="41">$C$38*AH7</f>
        <v>0</v>
      </c>
      <c r="AI38" s="60">
        <f t="shared" si="41"/>
        <v>0</v>
      </c>
      <c r="AJ38" s="60">
        <f t="shared" si="41"/>
        <v>0</v>
      </c>
      <c r="AK38" s="60">
        <f t="shared" si="41"/>
        <v>0</v>
      </c>
      <c r="AL38" s="60">
        <f t="shared" si="41"/>
        <v>0</v>
      </c>
      <c r="AM38" s="60">
        <f t="shared" si="41"/>
        <v>0</v>
      </c>
      <c r="AN38" s="60">
        <f t="shared" si="41"/>
        <v>0</v>
      </c>
      <c r="AO38" s="60">
        <f t="shared" si="41"/>
        <v>0</v>
      </c>
      <c r="AP38" s="60">
        <f t="shared" si="41"/>
        <v>0</v>
      </c>
      <c r="AQ38" s="60">
        <f t="shared" si="41"/>
        <v>0</v>
      </c>
      <c r="AR38" s="60">
        <f t="shared" si="41"/>
        <v>0</v>
      </c>
      <c r="AS38" s="60">
        <f t="shared" si="41"/>
        <v>0</v>
      </c>
      <c r="AT38" s="60"/>
      <c r="AU38" s="61">
        <f>SUM(AH38:AS38)</f>
        <v>0</v>
      </c>
    </row>
    <row r="39" spans="1:47" outlineLevel="1">
      <c r="B39" s="51" t="s">
        <v>108</v>
      </c>
      <c r="C39" s="75">
        <f>SUMIFS(Fulfilment!E:E,Fulfilment!A:A,"IT",Fulfilment!B:B,"Marketplace")</f>
        <v>-0.43369654447462291</v>
      </c>
      <c r="D39" s="59"/>
      <c r="E39" s="59"/>
      <c r="F39" s="59"/>
      <c r="G39" s="59"/>
      <c r="H39" s="59"/>
      <c r="I39" s="59"/>
      <c r="J39" s="59"/>
      <c r="K39" s="59"/>
      <c r="L39" s="59"/>
      <c r="M39" s="60">
        <f t="shared" ref="M39:O39" si="42">$C$39*M8</f>
        <v>0</v>
      </c>
      <c r="N39" s="60">
        <f t="shared" si="42"/>
        <v>0</v>
      </c>
      <c r="O39" s="60">
        <f t="shared" si="42"/>
        <v>0</v>
      </c>
      <c r="P39" s="60"/>
      <c r="Q39" s="61">
        <f>SUM(D39:O39)</f>
        <v>0</v>
      </c>
      <c r="R39" s="62"/>
      <c r="S39" s="60">
        <f t="shared" ref="S39:AD39" si="43">$C$39*S8</f>
        <v>0</v>
      </c>
      <c r="T39" s="60">
        <f t="shared" si="43"/>
        <v>0</v>
      </c>
      <c r="U39" s="60">
        <f t="shared" si="43"/>
        <v>0</v>
      </c>
      <c r="V39" s="60">
        <f t="shared" si="43"/>
        <v>0</v>
      </c>
      <c r="W39" s="60">
        <f t="shared" si="43"/>
        <v>0</v>
      </c>
      <c r="X39" s="60">
        <f t="shared" si="43"/>
        <v>0</v>
      </c>
      <c r="Y39" s="60">
        <f t="shared" si="43"/>
        <v>0</v>
      </c>
      <c r="Z39" s="60">
        <f t="shared" si="43"/>
        <v>0</v>
      </c>
      <c r="AA39" s="60">
        <f t="shared" si="43"/>
        <v>0</v>
      </c>
      <c r="AB39" s="60">
        <f t="shared" si="43"/>
        <v>0</v>
      </c>
      <c r="AC39" s="60">
        <f t="shared" si="43"/>
        <v>0</v>
      </c>
      <c r="AD39" s="60">
        <f t="shared" si="43"/>
        <v>0</v>
      </c>
      <c r="AE39" s="60"/>
      <c r="AF39" s="61">
        <f>SUM(S39:AD39)</f>
        <v>0</v>
      </c>
      <c r="AH39" s="60">
        <f t="shared" ref="AH39:AS39" si="44">$C$39*AH8</f>
        <v>0</v>
      </c>
      <c r="AI39" s="60">
        <f t="shared" si="44"/>
        <v>0</v>
      </c>
      <c r="AJ39" s="60">
        <f t="shared" si="44"/>
        <v>0</v>
      </c>
      <c r="AK39" s="60">
        <f t="shared" si="44"/>
        <v>0</v>
      </c>
      <c r="AL39" s="60">
        <f t="shared" si="44"/>
        <v>0</v>
      </c>
      <c r="AM39" s="60">
        <f t="shared" si="44"/>
        <v>0</v>
      </c>
      <c r="AN39" s="60">
        <f t="shared" si="44"/>
        <v>0</v>
      </c>
      <c r="AO39" s="60">
        <f t="shared" si="44"/>
        <v>0</v>
      </c>
      <c r="AP39" s="60">
        <f t="shared" si="44"/>
        <v>0</v>
      </c>
      <c r="AQ39" s="60">
        <f t="shared" si="44"/>
        <v>0</v>
      </c>
      <c r="AR39" s="60">
        <f t="shared" si="44"/>
        <v>0</v>
      </c>
      <c r="AS39" s="60">
        <f t="shared" si="44"/>
        <v>0</v>
      </c>
      <c r="AT39" s="60"/>
      <c r="AU39" s="61">
        <f>SUM(AH39:AS39)</f>
        <v>0</v>
      </c>
    </row>
    <row r="40" spans="1:47" outlineLevel="1">
      <c r="B40" s="51" t="s">
        <v>109</v>
      </c>
      <c r="C40" s="75">
        <f>SUMIFS(Fulfilment!E:E,Fulfilment!A:A,"IT",Fulfilment!B:B,"TikTok")</f>
        <v>0</v>
      </c>
      <c r="D40" s="59"/>
      <c r="E40" s="59"/>
      <c r="F40" s="59"/>
      <c r="G40" s="59"/>
      <c r="H40" s="59"/>
      <c r="I40" s="59"/>
      <c r="J40" s="59"/>
      <c r="K40" s="59"/>
      <c r="L40" s="59"/>
      <c r="M40" s="60">
        <f t="shared" ref="M40:O40" si="45">$C$40*M9</f>
        <v>0</v>
      </c>
      <c r="N40" s="60">
        <f t="shared" si="45"/>
        <v>0</v>
      </c>
      <c r="O40" s="60">
        <f t="shared" si="45"/>
        <v>0</v>
      </c>
      <c r="P40" s="60"/>
      <c r="Q40" s="61">
        <f>SUM(D40:O40)</f>
        <v>0</v>
      </c>
      <c r="R40" s="66"/>
      <c r="S40" s="60">
        <f t="shared" ref="S40:AD40" si="46">$C$40*S9</f>
        <v>0</v>
      </c>
      <c r="T40" s="60">
        <f t="shared" si="46"/>
        <v>0</v>
      </c>
      <c r="U40" s="60">
        <f t="shared" si="46"/>
        <v>0</v>
      </c>
      <c r="V40" s="60">
        <f t="shared" si="46"/>
        <v>0</v>
      </c>
      <c r="W40" s="60">
        <f t="shared" si="46"/>
        <v>0</v>
      </c>
      <c r="X40" s="60">
        <f t="shared" si="46"/>
        <v>0</v>
      </c>
      <c r="Y40" s="60">
        <f t="shared" si="46"/>
        <v>0</v>
      </c>
      <c r="Z40" s="60">
        <f t="shared" si="46"/>
        <v>0</v>
      </c>
      <c r="AA40" s="60">
        <f t="shared" si="46"/>
        <v>0</v>
      </c>
      <c r="AB40" s="60">
        <f t="shared" si="46"/>
        <v>0</v>
      </c>
      <c r="AC40" s="60">
        <f t="shared" si="46"/>
        <v>0</v>
      </c>
      <c r="AD40" s="60">
        <f t="shared" si="46"/>
        <v>0</v>
      </c>
      <c r="AE40" s="60"/>
      <c r="AF40" s="61">
        <f>SUM(S40:AD40)</f>
        <v>0</v>
      </c>
      <c r="AH40" s="60">
        <f t="shared" ref="AH40:AS40" si="47">$C$40*AH9</f>
        <v>0</v>
      </c>
      <c r="AI40" s="60">
        <f t="shared" si="47"/>
        <v>0</v>
      </c>
      <c r="AJ40" s="60">
        <f t="shared" si="47"/>
        <v>0</v>
      </c>
      <c r="AK40" s="60">
        <f t="shared" si="47"/>
        <v>0</v>
      </c>
      <c r="AL40" s="60">
        <f t="shared" si="47"/>
        <v>0</v>
      </c>
      <c r="AM40" s="60">
        <f t="shared" si="47"/>
        <v>0</v>
      </c>
      <c r="AN40" s="60">
        <f t="shared" si="47"/>
        <v>0</v>
      </c>
      <c r="AO40" s="60">
        <f t="shared" si="47"/>
        <v>0</v>
      </c>
      <c r="AP40" s="60">
        <f t="shared" si="47"/>
        <v>0</v>
      </c>
      <c r="AQ40" s="60">
        <f t="shared" si="47"/>
        <v>0</v>
      </c>
      <c r="AR40" s="60">
        <f t="shared" si="47"/>
        <v>0</v>
      </c>
      <c r="AS40" s="60">
        <f t="shared" si="47"/>
        <v>0</v>
      </c>
      <c r="AT40" s="60"/>
      <c r="AU40" s="61">
        <f>SUM(AH40:AS40)</f>
        <v>0</v>
      </c>
    </row>
    <row r="41" spans="1:47" outlineLevel="1">
      <c r="D41" s="53"/>
      <c r="E41" s="53"/>
      <c r="F41" s="53"/>
      <c r="G41" s="53"/>
      <c r="H41" s="53"/>
      <c r="I41" s="53"/>
      <c r="J41" s="53"/>
      <c r="K41" s="53"/>
      <c r="L41" s="53"/>
    </row>
    <row r="42" spans="1:47" s="10" customFormat="1">
      <c r="A42" s="52"/>
      <c r="B42" s="63" t="s">
        <v>110</v>
      </c>
      <c r="C42" s="52"/>
      <c r="D42" s="64">
        <f t="shared" ref="D42:J42" si="48">SUM(D36:D41)</f>
        <v>0</v>
      </c>
      <c r="E42" s="64">
        <f t="shared" si="48"/>
        <v>0</v>
      </c>
      <c r="F42" s="64">
        <f t="shared" si="48"/>
        <v>0</v>
      </c>
      <c r="G42" s="64">
        <f t="shared" si="48"/>
        <v>0</v>
      </c>
      <c r="H42" s="64">
        <f t="shared" si="48"/>
        <v>0</v>
      </c>
      <c r="I42" s="64">
        <f t="shared" si="48"/>
        <v>0</v>
      </c>
      <c r="J42" s="64">
        <f t="shared" si="48"/>
        <v>0</v>
      </c>
      <c r="K42" s="64">
        <f>SUM(K36:K41)</f>
        <v>0</v>
      </c>
      <c r="L42" s="64">
        <f>SUM(L36:L41)</f>
        <v>0</v>
      </c>
      <c r="M42" s="65">
        <f>SUM(M36:M41)</f>
        <v>0</v>
      </c>
      <c r="N42" s="65">
        <f>SUM(N36:N41)</f>
        <v>0</v>
      </c>
      <c r="O42" s="65">
        <f>SUM(O36:O41)</f>
        <v>0</v>
      </c>
      <c r="P42" s="61"/>
      <c r="Q42" s="65">
        <f>SUM(D42:O42)</f>
        <v>0</v>
      </c>
      <c r="R42" s="52"/>
      <c r="S42" s="84">
        <f>SUM(S36:S41)</f>
        <v>0</v>
      </c>
      <c r="T42" s="84">
        <f t="shared" ref="T42:Z42" si="49">SUM(T36:T41)</f>
        <v>0</v>
      </c>
      <c r="U42" s="84">
        <f t="shared" si="49"/>
        <v>0</v>
      </c>
      <c r="V42" s="84">
        <f t="shared" si="49"/>
        <v>0</v>
      </c>
      <c r="W42" s="84">
        <f t="shared" si="49"/>
        <v>0</v>
      </c>
      <c r="X42" s="65">
        <f t="shared" si="49"/>
        <v>0</v>
      </c>
      <c r="Y42" s="65">
        <f t="shared" si="49"/>
        <v>0</v>
      </c>
      <c r="Z42" s="65">
        <f t="shared" si="49"/>
        <v>0</v>
      </c>
      <c r="AA42" s="65">
        <f>SUM(AA36:AA41)</f>
        <v>0</v>
      </c>
      <c r="AB42" s="65">
        <f>SUM(AB36:AB41)</f>
        <v>0</v>
      </c>
      <c r="AC42" s="65">
        <f>SUM(AC36:AC41)</f>
        <v>0</v>
      </c>
      <c r="AD42" s="65">
        <f>SUM(AD36:AD41)</f>
        <v>0</v>
      </c>
      <c r="AE42" s="61"/>
      <c r="AF42" s="65">
        <f>SUM(S42:AD42)</f>
        <v>0</v>
      </c>
      <c r="AG42" s="7"/>
      <c r="AH42" s="84">
        <f>SUM(AH36:AH41)</f>
        <v>0</v>
      </c>
      <c r="AI42" s="84">
        <f t="shared" ref="AI42:AO42" si="50">SUM(AI36:AI41)</f>
        <v>0</v>
      </c>
      <c r="AJ42" s="84">
        <f t="shared" si="50"/>
        <v>0</v>
      </c>
      <c r="AK42" s="84">
        <f t="shared" si="50"/>
        <v>0</v>
      </c>
      <c r="AL42" s="84">
        <f t="shared" si="50"/>
        <v>0</v>
      </c>
      <c r="AM42" s="65">
        <f t="shared" si="50"/>
        <v>0</v>
      </c>
      <c r="AN42" s="65">
        <f t="shared" si="50"/>
        <v>0</v>
      </c>
      <c r="AO42" s="65">
        <f t="shared" si="50"/>
        <v>0</v>
      </c>
      <c r="AP42" s="65">
        <f>SUM(AP36:AP41)</f>
        <v>0</v>
      </c>
      <c r="AQ42" s="65">
        <f>SUM(AQ36:AQ41)</f>
        <v>0</v>
      </c>
      <c r="AR42" s="65">
        <f>SUM(AR36:AR41)</f>
        <v>0</v>
      </c>
      <c r="AS42" s="65">
        <f>SUM(AS36:AS41)</f>
        <v>0</v>
      </c>
      <c r="AT42" s="61"/>
      <c r="AU42" s="65">
        <f>SUM(AH42:AS42)</f>
        <v>0</v>
      </c>
    </row>
    <row r="43" spans="1:47">
      <c r="D43" s="53"/>
      <c r="E43" s="53"/>
      <c r="F43" s="53"/>
      <c r="G43" s="53"/>
      <c r="H43" s="53"/>
      <c r="I43" s="53"/>
      <c r="J43" s="53"/>
      <c r="K43" s="53"/>
      <c r="L43" s="53"/>
      <c r="Q43" s="91" t="e">
        <f>-Q42/Q11</f>
        <v>#DIV/0!</v>
      </c>
      <c r="AF43" s="91" t="e">
        <f>-AF42/AF11</f>
        <v>#DIV/0!</v>
      </c>
      <c r="AU43" s="91" t="e">
        <f>-AU42/AU11</f>
        <v>#DIV/0!</v>
      </c>
    </row>
    <row r="44" spans="1:47" hidden="1" outlineLevel="1">
      <c r="B44" s="67" t="s">
        <v>111</v>
      </c>
      <c r="C44" s="52"/>
      <c r="D44" s="68">
        <f t="shared" ref="D44:O47" si="51">D22+D37</f>
        <v>0</v>
      </c>
      <c r="E44" s="68">
        <f t="shared" si="51"/>
        <v>0</v>
      </c>
      <c r="F44" s="68">
        <f t="shared" si="51"/>
        <v>0</v>
      </c>
      <c r="G44" s="68">
        <f t="shared" si="51"/>
        <v>0</v>
      </c>
      <c r="H44" s="68">
        <f t="shared" si="51"/>
        <v>0</v>
      </c>
      <c r="I44" s="68">
        <f t="shared" si="51"/>
        <v>0</v>
      </c>
      <c r="J44" s="68">
        <f t="shared" si="51"/>
        <v>0</v>
      </c>
      <c r="K44" s="68">
        <f t="shared" si="51"/>
        <v>0</v>
      </c>
      <c r="L44" s="68">
        <f t="shared" si="51"/>
        <v>0</v>
      </c>
      <c r="M44" s="69">
        <f t="shared" si="51"/>
        <v>0</v>
      </c>
      <c r="N44" s="69">
        <f t="shared" si="51"/>
        <v>0</v>
      </c>
      <c r="O44" s="69">
        <f t="shared" si="51"/>
        <v>0</v>
      </c>
      <c r="P44" s="69"/>
      <c r="Q44" s="69">
        <f>Q22+Q37</f>
        <v>0</v>
      </c>
      <c r="S44" s="85">
        <f t="shared" ref="S44:AD47" si="52">S22+S37</f>
        <v>0</v>
      </c>
      <c r="T44" s="85">
        <f t="shared" si="52"/>
        <v>0</v>
      </c>
      <c r="U44" s="85">
        <f t="shared" si="52"/>
        <v>0</v>
      </c>
      <c r="V44" s="85">
        <f t="shared" si="52"/>
        <v>0</v>
      </c>
      <c r="W44" s="85">
        <f t="shared" si="52"/>
        <v>0</v>
      </c>
      <c r="X44" s="69">
        <f t="shared" si="52"/>
        <v>0</v>
      </c>
      <c r="Y44" s="69">
        <f t="shared" si="52"/>
        <v>0</v>
      </c>
      <c r="Z44" s="69">
        <f t="shared" si="52"/>
        <v>0</v>
      </c>
      <c r="AA44" s="69">
        <f t="shared" si="52"/>
        <v>0</v>
      </c>
      <c r="AB44" s="69">
        <f t="shared" si="52"/>
        <v>0</v>
      </c>
      <c r="AC44" s="69">
        <f t="shared" si="52"/>
        <v>0</v>
      </c>
      <c r="AD44" s="69">
        <f t="shared" si="52"/>
        <v>0</v>
      </c>
      <c r="AE44" s="69"/>
      <c r="AF44" s="69">
        <f>AF22+AF37</f>
        <v>0</v>
      </c>
      <c r="AH44" s="85">
        <f t="shared" ref="AH44:AS47" si="53">AH22+AH37</f>
        <v>0</v>
      </c>
      <c r="AI44" s="85">
        <f t="shared" si="53"/>
        <v>0</v>
      </c>
      <c r="AJ44" s="85">
        <f t="shared" si="53"/>
        <v>0</v>
      </c>
      <c r="AK44" s="85">
        <f t="shared" si="53"/>
        <v>0</v>
      </c>
      <c r="AL44" s="85">
        <f t="shared" si="53"/>
        <v>0</v>
      </c>
      <c r="AM44" s="69">
        <f t="shared" si="53"/>
        <v>0</v>
      </c>
      <c r="AN44" s="69">
        <f t="shared" si="53"/>
        <v>0</v>
      </c>
      <c r="AO44" s="69">
        <f t="shared" si="53"/>
        <v>0</v>
      </c>
      <c r="AP44" s="69">
        <f t="shared" si="53"/>
        <v>0</v>
      </c>
      <c r="AQ44" s="69">
        <f t="shared" si="53"/>
        <v>0</v>
      </c>
      <c r="AR44" s="69">
        <f t="shared" si="53"/>
        <v>0</v>
      </c>
      <c r="AS44" s="69">
        <f t="shared" si="53"/>
        <v>0</v>
      </c>
      <c r="AT44" s="69"/>
      <c r="AU44" s="69">
        <f>AU22+AU37</f>
        <v>0</v>
      </c>
    </row>
    <row r="45" spans="1:47" hidden="1" outlineLevel="1">
      <c r="B45" s="67" t="s">
        <v>112</v>
      </c>
      <c r="C45" s="52"/>
      <c r="D45" s="68">
        <f t="shared" si="51"/>
        <v>0</v>
      </c>
      <c r="E45" s="68">
        <f t="shared" si="51"/>
        <v>0</v>
      </c>
      <c r="F45" s="68">
        <f t="shared" si="51"/>
        <v>0</v>
      </c>
      <c r="G45" s="68">
        <f t="shared" si="51"/>
        <v>0</v>
      </c>
      <c r="H45" s="68">
        <f t="shared" si="51"/>
        <v>0</v>
      </c>
      <c r="I45" s="68">
        <f t="shared" si="51"/>
        <v>0</v>
      </c>
      <c r="J45" s="68">
        <f t="shared" si="51"/>
        <v>0</v>
      </c>
      <c r="K45" s="68">
        <f t="shared" si="51"/>
        <v>0</v>
      </c>
      <c r="L45" s="68">
        <f t="shared" si="51"/>
        <v>0</v>
      </c>
      <c r="M45" s="69">
        <f t="shared" si="51"/>
        <v>0</v>
      </c>
      <c r="N45" s="69">
        <f t="shared" si="51"/>
        <v>0</v>
      </c>
      <c r="O45" s="69">
        <f t="shared" si="51"/>
        <v>0</v>
      </c>
      <c r="P45" s="69"/>
      <c r="Q45" s="69">
        <f>Q23+Q38</f>
        <v>0</v>
      </c>
      <c r="S45" s="85">
        <f t="shared" si="52"/>
        <v>0</v>
      </c>
      <c r="T45" s="85">
        <f t="shared" si="52"/>
        <v>0</v>
      </c>
      <c r="U45" s="85">
        <f t="shared" si="52"/>
        <v>0</v>
      </c>
      <c r="V45" s="85">
        <f t="shared" si="52"/>
        <v>0</v>
      </c>
      <c r="W45" s="85">
        <f t="shared" si="52"/>
        <v>0</v>
      </c>
      <c r="X45" s="69">
        <f t="shared" si="52"/>
        <v>0</v>
      </c>
      <c r="Y45" s="69">
        <f t="shared" si="52"/>
        <v>0</v>
      </c>
      <c r="Z45" s="69">
        <f t="shared" si="52"/>
        <v>0</v>
      </c>
      <c r="AA45" s="69">
        <f t="shared" si="52"/>
        <v>0</v>
      </c>
      <c r="AB45" s="69">
        <f t="shared" si="52"/>
        <v>0</v>
      </c>
      <c r="AC45" s="69">
        <f t="shared" si="52"/>
        <v>0</v>
      </c>
      <c r="AD45" s="69">
        <f t="shared" si="52"/>
        <v>0</v>
      </c>
      <c r="AE45" s="69"/>
      <c r="AF45" s="69">
        <f>AF23+AF38</f>
        <v>0</v>
      </c>
      <c r="AH45" s="85">
        <f t="shared" si="53"/>
        <v>0</v>
      </c>
      <c r="AI45" s="85">
        <f t="shared" si="53"/>
        <v>0</v>
      </c>
      <c r="AJ45" s="85">
        <f t="shared" si="53"/>
        <v>0</v>
      </c>
      <c r="AK45" s="85">
        <f t="shared" si="53"/>
        <v>0</v>
      </c>
      <c r="AL45" s="85">
        <f t="shared" si="53"/>
        <v>0</v>
      </c>
      <c r="AM45" s="69">
        <f t="shared" si="53"/>
        <v>0</v>
      </c>
      <c r="AN45" s="69">
        <f t="shared" si="53"/>
        <v>0</v>
      </c>
      <c r="AO45" s="69">
        <f t="shared" si="53"/>
        <v>0</v>
      </c>
      <c r="AP45" s="69">
        <f t="shared" si="53"/>
        <v>0</v>
      </c>
      <c r="AQ45" s="69">
        <f t="shared" si="53"/>
        <v>0</v>
      </c>
      <c r="AR45" s="69">
        <f t="shared" si="53"/>
        <v>0</v>
      </c>
      <c r="AS45" s="69">
        <f t="shared" si="53"/>
        <v>0</v>
      </c>
      <c r="AT45" s="69"/>
      <c r="AU45" s="69">
        <f>AU23+AU38</f>
        <v>0</v>
      </c>
    </row>
    <row r="46" spans="1:47" hidden="1" outlineLevel="1">
      <c r="B46" s="67" t="s">
        <v>113</v>
      </c>
      <c r="C46" s="52"/>
      <c r="D46" s="68">
        <f t="shared" si="51"/>
        <v>0</v>
      </c>
      <c r="E46" s="68">
        <f t="shared" si="51"/>
        <v>0</v>
      </c>
      <c r="F46" s="68">
        <f t="shared" si="51"/>
        <v>0</v>
      </c>
      <c r="G46" s="68">
        <f t="shared" si="51"/>
        <v>0</v>
      </c>
      <c r="H46" s="68">
        <f t="shared" si="51"/>
        <v>0</v>
      </c>
      <c r="I46" s="68">
        <f t="shared" si="51"/>
        <v>0</v>
      </c>
      <c r="J46" s="68">
        <f t="shared" si="51"/>
        <v>0</v>
      </c>
      <c r="K46" s="68">
        <f t="shared" si="51"/>
        <v>0</v>
      </c>
      <c r="L46" s="68">
        <f t="shared" si="51"/>
        <v>0</v>
      </c>
      <c r="M46" s="69">
        <f t="shared" si="51"/>
        <v>0</v>
      </c>
      <c r="N46" s="69">
        <f t="shared" si="51"/>
        <v>0</v>
      </c>
      <c r="O46" s="69">
        <f t="shared" si="51"/>
        <v>0</v>
      </c>
      <c r="P46" s="69"/>
      <c r="Q46" s="69">
        <f>Q24+Q39</f>
        <v>0</v>
      </c>
      <c r="S46" s="85">
        <f t="shared" si="52"/>
        <v>0</v>
      </c>
      <c r="T46" s="85">
        <f t="shared" si="52"/>
        <v>0</v>
      </c>
      <c r="U46" s="85">
        <f t="shared" si="52"/>
        <v>0</v>
      </c>
      <c r="V46" s="85">
        <f t="shared" si="52"/>
        <v>0</v>
      </c>
      <c r="W46" s="85">
        <f t="shared" si="52"/>
        <v>0</v>
      </c>
      <c r="X46" s="69">
        <f t="shared" si="52"/>
        <v>0</v>
      </c>
      <c r="Y46" s="69">
        <f t="shared" si="52"/>
        <v>0</v>
      </c>
      <c r="Z46" s="69">
        <f t="shared" si="52"/>
        <v>0</v>
      </c>
      <c r="AA46" s="69">
        <f t="shared" si="52"/>
        <v>0</v>
      </c>
      <c r="AB46" s="69">
        <f t="shared" si="52"/>
        <v>0</v>
      </c>
      <c r="AC46" s="69">
        <f t="shared" si="52"/>
        <v>0</v>
      </c>
      <c r="AD46" s="69">
        <f t="shared" si="52"/>
        <v>0</v>
      </c>
      <c r="AE46" s="69"/>
      <c r="AF46" s="69">
        <f>AF24+AF39</f>
        <v>0</v>
      </c>
      <c r="AH46" s="85">
        <f t="shared" si="53"/>
        <v>0</v>
      </c>
      <c r="AI46" s="85">
        <f t="shared" si="53"/>
        <v>0</v>
      </c>
      <c r="AJ46" s="85">
        <f t="shared" si="53"/>
        <v>0</v>
      </c>
      <c r="AK46" s="85">
        <f t="shared" si="53"/>
        <v>0</v>
      </c>
      <c r="AL46" s="85">
        <f t="shared" si="53"/>
        <v>0</v>
      </c>
      <c r="AM46" s="69">
        <f t="shared" si="53"/>
        <v>0</v>
      </c>
      <c r="AN46" s="69">
        <f t="shared" si="53"/>
        <v>0</v>
      </c>
      <c r="AO46" s="69">
        <f t="shared" si="53"/>
        <v>0</v>
      </c>
      <c r="AP46" s="69">
        <f t="shared" si="53"/>
        <v>0</v>
      </c>
      <c r="AQ46" s="69">
        <f t="shared" si="53"/>
        <v>0</v>
      </c>
      <c r="AR46" s="69">
        <f t="shared" si="53"/>
        <v>0</v>
      </c>
      <c r="AS46" s="69">
        <f t="shared" si="53"/>
        <v>0</v>
      </c>
      <c r="AT46" s="69"/>
      <c r="AU46" s="69">
        <f>AU24+AU39</f>
        <v>0</v>
      </c>
    </row>
    <row r="47" spans="1:47" hidden="1" outlineLevel="1">
      <c r="B47" s="67" t="s">
        <v>114</v>
      </c>
      <c r="C47" s="52"/>
      <c r="D47" s="68">
        <f t="shared" si="51"/>
        <v>0</v>
      </c>
      <c r="E47" s="68">
        <f t="shared" si="51"/>
        <v>0</v>
      </c>
      <c r="F47" s="68">
        <f t="shared" si="51"/>
        <v>0</v>
      </c>
      <c r="G47" s="68">
        <f t="shared" si="51"/>
        <v>0</v>
      </c>
      <c r="H47" s="68">
        <f t="shared" si="51"/>
        <v>0</v>
      </c>
      <c r="I47" s="68">
        <f t="shared" si="51"/>
        <v>0</v>
      </c>
      <c r="J47" s="68">
        <f t="shared" si="51"/>
        <v>0</v>
      </c>
      <c r="K47" s="68">
        <f t="shared" si="51"/>
        <v>0</v>
      </c>
      <c r="L47" s="68">
        <f t="shared" si="51"/>
        <v>0</v>
      </c>
      <c r="M47" s="69">
        <f t="shared" si="51"/>
        <v>0</v>
      </c>
      <c r="N47" s="69">
        <f t="shared" si="51"/>
        <v>0</v>
      </c>
      <c r="O47" s="69">
        <f t="shared" si="51"/>
        <v>0</v>
      </c>
      <c r="P47" s="69"/>
      <c r="Q47" s="69">
        <f>Q25+Q40</f>
        <v>0</v>
      </c>
      <c r="S47" s="85">
        <f t="shared" si="52"/>
        <v>0</v>
      </c>
      <c r="T47" s="85">
        <f t="shared" si="52"/>
        <v>0</v>
      </c>
      <c r="U47" s="85">
        <f t="shared" si="52"/>
        <v>0</v>
      </c>
      <c r="V47" s="85">
        <f t="shared" si="52"/>
        <v>0</v>
      </c>
      <c r="W47" s="85">
        <f t="shared" si="52"/>
        <v>0</v>
      </c>
      <c r="X47" s="69">
        <f t="shared" si="52"/>
        <v>0</v>
      </c>
      <c r="Y47" s="69">
        <f t="shared" si="52"/>
        <v>0</v>
      </c>
      <c r="Z47" s="69">
        <f t="shared" si="52"/>
        <v>0</v>
      </c>
      <c r="AA47" s="69">
        <f t="shared" si="52"/>
        <v>0</v>
      </c>
      <c r="AB47" s="69">
        <f t="shared" si="52"/>
        <v>0</v>
      </c>
      <c r="AC47" s="69">
        <f t="shared" si="52"/>
        <v>0</v>
      </c>
      <c r="AD47" s="69">
        <f t="shared" si="52"/>
        <v>0</v>
      </c>
      <c r="AE47" s="69"/>
      <c r="AF47" s="69">
        <f>AF25+AF40</f>
        <v>0</v>
      </c>
      <c r="AH47" s="85">
        <f t="shared" si="53"/>
        <v>0</v>
      </c>
      <c r="AI47" s="85">
        <f t="shared" si="53"/>
        <v>0</v>
      </c>
      <c r="AJ47" s="85">
        <f t="shared" si="53"/>
        <v>0</v>
      </c>
      <c r="AK47" s="85">
        <f t="shared" si="53"/>
        <v>0</v>
      </c>
      <c r="AL47" s="85">
        <f t="shared" si="53"/>
        <v>0</v>
      </c>
      <c r="AM47" s="69">
        <f t="shared" si="53"/>
        <v>0</v>
      </c>
      <c r="AN47" s="69">
        <f t="shared" si="53"/>
        <v>0</v>
      </c>
      <c r="AO47" s="69">
        <f t="shared" si="53"/>
        <v>0</v>
      </c>
      <c r="AP47" s="69">
        <f t="shared" si="53"/>
        <v>0</v>
      </c>
      <c r="AQ47" s="69">
        <f t="shared" si="53"/>
        <v>0</v>
      </c>
      <c r="AR47" s="69">
        <f t="shared" si="53"/>
        <v>0</v>
      </c>
      <c r="AS47" s="69">
        <f t="shared" si="53"/>
        <v>0</v>
      </c>
      <c r="AT47" s="69"/>
      <c r="AU47" s="69">
        <f>AU25+AU40</f>
        <v>0</v>
      </c>
    </row>
    <row r="48" spans="1:47" collapsed="1">
      <c r="B48" s="67" t="s">
        <v>115</v>
      </c>
      <c r="C48" s="52"/>
      <c r="D48" s="68">
        <f t="shared" ref="D48:Q48" si="54">D26+D42</f>
        <v>0</v>
      </c>
      <c r="E48" s="68">
        <f t="shared" si="54"/>
        <v>0</v>
      </c>
      <c r="F48" s="68">
        <f t="shared" si="54"/>
        <v>0</v>
      </c>
      <c r="G48" s="68">
        <f t="shared" si="54"/>
        <v>0</v>
      </c>
      <c r="H48" s="68">
        <f t="shared" si="54"/>
        <v>0</v>
      </c>
      <c r="I48" s="68">
        <f t="shared" si="54"/>
        <v>0</v>
      </c>
      <c r="J48" s="68">
        <f t="shared" si="54"/>
        <v>0</v>
      </c>
      <c r="K48" s="68">
        <f t="shared" si="54"/>
        <v>0</v>
      </c>
      <c r="L48" s="68">
        <f t="shared" si="54"/>
        <v>0</v>
      </c>
      <c r="M48" s="69">
        <f t="shared" si="54"/>
        <v>0</v>
      </c>
      <c r="N48" s="69">
        <f t="shared" si="54"/>
        <v>0</v>
      </c>
      <c r="O48" s="69">
        <f t="shared" si="54"/>
        <v>0</v>
      </c>
      <c r="P48" s="69"/>
      <c r="Q48" s="69">
        <f t="shared" si="54"/>
        <v>0</v>
      </c>
      <c r="S48" s="85">
        <f>S26+S42</f>
        <v>0</v>
      </c>
      <c r="T48" s="85">
        <f t="shared" ref="T48:AD48" si="55">T26+T42</f>
        <v>0</v>
      </c>
      <c r="U48" s="85">
        <f t="shared" si="55"/>
        <v>0</v>
      </c>
      <c r="V48" s="85">
        <f t="shared" si="55"/>
        <v>0</v>
      </c>
      <c r="W48" s="85">
        <f t="shared" si="55"/>
        <v>0</v>
      </c>
      <c r="X48" s="69">
        <f t="shared" si="55"/>
        <v>0</v>
      </c>
      <c r="Y48" s="69">
        <f t="shared" si="55"/>
        <v>0</v>
      </c>
      <c r="Z48" s="69">
        <f t="shared" si="55"/>
        <v>0</v>
      </c>
      <c r="AA48" s="69">
        <f t="shared" si="55"/>
        <v>0</v>
      </c>
      <c r="AB48" s="69">
        <f t="shared" si="55"/>
        <v>0</v>
      </c>
      <c r="AC48" s="69">
        <f t="shared" si="55"/>
        <v>0</v>
      </c>
      <c r="AD48" s="69">
        <f t="shared" si="55"/>
        <v>0</v>
      </c>
      <c r="AE48" s="69"/>
      <c r="AF48" s="69">
        <f t="shared" ref="AF48" si="56">AF26+AF42</f>
        <v>0</v>
      </c>
      <c r="AH48" s="85">
        <f>AH26+AH42</f>
        <v>0</v>
      </c>
      <c r="AI48" s="85">
        <f t="shared" ref="AI48:AS48" si="57">AI26+AI42</f>
        <v>0</v>
      </c>
      <c r="AJ48" s="85">
        <f t="shared" si="57"/>
        <v>0</v>
      </c>
      <c r="AK48" s="85">
        <f t="shared" si="57"/>
        <v>0</v>
      </c>
      <c r="AL48" s="85">
        <f t="shared" si="57"/>
        <v>0</v>
      </c>
      <c r="AM48" s="69">
        <f t="shared" si="57"/>
        <v>0</v>
      </c>
      <c r="AN48" s="69">
        <f t="shared" si="57"/>
        <v>0</v>
      </c>
      <c r="AO48" s="69">
        <f t="shared" si="57"/>
        <v>0</v>
      </c>
      <c r="AP48" s="69">
        <f t="shared" si="57"/>
        <v>0</v>
      </c>
      <c r="AQ48" s="69">
        <f t="shared" si="57"/>
        <v>0</v>
      </c>
      <c r="AR48" s="69">
        <f t="shared" si="57"/>
        <v>0</v>
      </c>
      <c r="AS48" s="69">
        <f t="shared" si="57"/>
        <v>0</v>
      </c>
      <c r="AT48" s="69"/>
      <c r="AU48" s="69">
        <f t="shared" ref="AU48" si="58">AU26+AU42</f>
        <v>0</v>
      </c>
    </row>
    <row r="49" spans="2:47">
      <c r="B49" s="52"/>
      <c r="C49" s="52"/>
      <c r="D49" s="70"/>
      <c r="E49" s="70"/>
      <c r="F49" s="70"/>
      <c r="G49" s="70"/>
      <c r="H49" s="70"/>
      <c r="I49" s="70"/>
      <c r="J49" s="70"/>
      <c r="K49" s="70"/>
      <c r="L49" s="70"/>
      <c r="M49" s="52"/>
      <c r="N49" s="52"/>
      <c r="O49" s="52"/>
      <c r="P49" s="52"/>
      <c r="S49" s="10"/>
      <c r="T49" s="10"/>
      <c r="U49" s="10"/>
      <c r="V49" s="10"/>
      <c r="W49" s="10"/>
      <c r="X49" s="52"/>
      <c r="Y49" s="52"/>
      <c r="Z49" s="52"/>
      <c r="AA49" s="52"/>
      <c r="AB49" s="52"/>
      <c r="AC49" s="52"/>
      <c r="AD49" s="52"/>
      <c r="AE49" s="52"/>
      <c r="AH49" s="10"/>
      <c r="AI49" s="10"/>
      <c r="AJ49" s="10"/>
      <c r="AK49" s="10"/>
      <c r="AL49" s="10"/>
      <c r="AM49" s="52"/>
      <c r="AN49" s="52"/>
      <c r="AO49" s="52"/>
      <c r="AP49" s="52"/>
      <c r="AQ49" s="52"/>
      <c r="AR49" s="52"/>
      <c r="AS49" s="52"/>
      <c r="AT49" s="52"/>
    </row>
    <row r="50" spans="2:47" hidden="1" outlineLevel="1">
      <c r="B50" s="67" t="s">
        <v>116</v>
      </c>
      <c r="C50" s="52"/>
      <c r="D50" s="97">
        <f t="shared" ref="D50:O53" si="59">IFERROR(D44/D6,0)</f>
        <v>0</v>
      </c>
      <c r="E50" s="97">
        <f t="shared" si="59"/>
        <v>0</v>
      </c>
      <c r="F50" s="97">
        <f t="shared" si="59"/>
        <v>0</v>
      </c>
      <c r="G50" s="97">
        <f t="shared" si="59"/>
        <v>0</v>
      </c>
      <c r="H50" s="97">
        <f t="shared" si="59"/>
        <v>0</v>
      </c>
      <c r="I50" s="97">
        <f t="shared" si="59"/>
        <v>0</v>
      </c>
      <c r="J50" s="97">
        <f t="shared" si="59"/>
        <v>0</v>
      </c>
      <c r="K50" s="97">
        <f t="shared" si="59"/>
        <v>0</v>
      </c>
      <c r="L50" s="97">
        <f t="shared" si="59"/>
        <v>0</v>
      </c>
      <c r="M50" s="91">
        <f t="shared" si="59"/>
        <v>0</v>
      </c>
      <c r="N50" s="91">
        <f t="shared" si="59"/>
        <v>0</v>
      </c>
      <c r="O50" s="91">
        <f t="shared" si="59"/>
        <v>0</v>
      </c>
      <c r="P50" s="91"/>
      <c r="Q50" s="91">
        <f>IFERROR(Q44/Q6,0)</f>
        <v>0</v>
      </c>
      <c r="S50" s="91">
        <f t="shared" ref="S50:AD53" si="60">IFERROR(S44/S6,0)</f>
        <v>0</v>
      </c>
      <c r="T50" s="91">
        <f t="shared" si="60"/>
        <v>0</v>
      </c>
      <c r="U50" s="91">
        <f t="shared" si="60"/>
        <v>0</v>
      </c>
      <c r="V50" s="91">
        <f t="shared" si="60"/>
        <v>0</v>
      </c>
      <c r="W50" s="91">
        <f t="shared" si="60"/>
        <v>0</v>
      </c>
      <c r="X50" s="91">
        <f t="shared" si="60"/>
        <v>0</v>
      </c>
      <c r="Y50" s="91">
        <f t="shared" si="60"/>
        <v>0</v>
      </c>
      <c r="Z50" s="91">
        <f t="shared" si="60"/>
        <v>0</v>
      </c>
      <c r="AA50" s="91">
        <f t="shared" si="60"/>
        <v>0</v>
      </c>
      <c r="AB50" s="91">
        <f t="shared" si="60"/>
        <v>0</v>
      </c>
      <c r="AC50" s="91">
        <f t="shared" si="60"/>
        <v>0</v>
      </c>
      <c r="AD50" s="91">
        <f t="shared" si="60"/>
        <v>0</v>
      </c>
      <c r="AE50" s="91"/>
      <c r="AF50" s="91">
        <f>IFERROR(AF44/AF6,0)</f>
        <v>0</v>
      </c>
      <c r="AH50" s="91">
        <f t="shared" ref="AH50:AS53" si="61">IFERROR(AH44/AH6,0)</f>
        <v>0</v>
      </c>
      <c r="AI50" s="91">
        <f t="shared" si="61"/>
        <v>0</v>
      </c>
      <c r="AJ50" s="91">
        <f t="shared" si="61"/>
        <v>0</v>
      </c>
      <c r="AK50" s="91">
        <f t="shared" si="61"/>
        <v>0</v>
      </c>
      <c r="AL50" s="91">
        <f t="shared" si="61"/>
        <v>0</v>
      </c>
      <c r="AM50" s="91">
        <f t="shared" si="61"/>
        <v>0</v>
      </c>
      <c r="AN50" s="91">
        <f t="shared" si="61"/>
        <v>0</v>
      </c>
      <c r="AO50" s="91">
        <f t="shared" si="61"/>
        <v>0</v>
      </c>
      <c r="AP50" s="91">
        <f t="shared" si="61"/>
        <v>0</v>
      </c>
      <c r="AQ50" s="91">
        <f t="shared" si="61"/>
        <v>0</v>
      </c>
      <c r="AR50" s="91">
        <f t="shared" si="61"/>
        <v>0</v>
      </c>
      <c r="AS50" s="91">
        <f t="shared" si="61"/>
        <v>0</v>
      </c>
      <c r="AT50" s="91"/>
      <c r="AU50" s="91">
        <f>IFERROR(AU44/AU6,0)</f>
        <v>0</v>
      </c>
    </row>
    <row r="51" spans="2:47" hidden="1" outlineLevel="1">
      <c r="B51" s="67" t="s">
        <v>117</v>
      </c>
      <c r="C51" s="52"/>
      <c r="D51" s="97">
        <f t="shared" si="59"/>
        <v>0</v>
      </c>
      <c r="E51" s="97">
        <f t="shared" si="59"/>
        <v>0</v>
      </c>
      <c r="F51" s="97">
        <f t="shared" si="59"/>
        <v>0</v>
      </c>
      <c r="G51" s="97">
        <f t="shared" si="59"/>
        <v>0</v>
      </c>
      <c r="H51" s="97">
        <f t="shared" si="59"/>
        <v>0</v>
      </c>
      <c r="I51" s="97">
        <f t="shared" si="59"/>
        <v>0</v>
      </c>
      <c r="J51" s="97">
        <f t="shared" si="59"/>
        <v>0</v>
      </c>
      <c r="K51" s="97">
        <f t="shared" si="59"/>
        <v>0</v>
      </c>
      <c r="L51" s="97">
        <f t="shared" si="59"/>
        <v>0</v>
      </c>
      <c r="M51" s="91">
        <f t="shared" si="59"/>
        <v>0</v>
      </c>
      <c r="N51" s="91">
        <f t="shared" si="59"/>
        <v>0</v>
      </c>
      <c r="O51" s="91">
        <f t="shared" si="59"/>
        <v>0</v>
      </c>
      <c r="P51" s="91"/>
      <c r="Q51" s="91">
        <f>IFERROR(Q45/Q7,0)</f>
        <v>0</v>
      </c>
      <c r="S51" s="91">
        <f t="shared" si="60"/>
        <v>0</v>
      </c>
      <c r="T51" s="91">
        <f t="shared" si="60"/>
        <v>0</v>
      </c>
      <c r="U51" s="91">
        <f t="shared" si="60"/>
        <v>0</v>
      </c>
      <c r="V51" s="91">
        <f t="shared" si="60"/>
        <v>0</v>
      </c>
      <c r="W51" s="91">
        <f t="shared" si="60"/>
        <v>0</v>
      </c>
      <c r="X51" s="91">
        <f t="shared" si="60"/>
        <v>0</v>
      </c>
      <c r="Y51" s="91">
        <f t="shared" si="60"/>
        <v>0</v>
      </c>
      <c r="Z51" s="91">
        <f t="shared" si="60"/>
        <v>0</v>
      </c>
      <c r="AA51" s="91">
        <f t="shared" si="60"/>
        <v>0</v>
      </c>
      <c r="AB51" s="91">
        <f t="shared" si="60"/>
        <v>0</v>
      </c>
      <c r="AC51" s="91">
        <f t="shared" si="60"/>
        <v>0</v>
      </c>
      <c r="AD51" s="91">
        <f t="shared" si="60"/>
        <v>0</v>
      </c>
      <c r="AE51" s="91"/>
      <c r="AF51" s="91">
        <f>IFERROR(AF45/AF7,0)</f>
        <v>0</v>
      </c>
      <c r="AH51" s="91">
        <f t="shared" si="61"/>
        <v>0</v>
      </c>
      <c r="AI51" s="91">
        <f t="shared" si="61"/>
        <v>0</v>
      </c>
      <c r="AJ51" s="91">
        <f t="shared" si="61"/>
        <v>0</v>
      </c>
      <c r="AK51" s="91">
        <f t="shared" si="61"/>
        <v>0</v>
      </c>
      <c r="AL51" s="91">
        <f t="shared" si="61"/>
        <v>0</v>
      </c>
      <c r="AM51" s="91">
        <f t="shared" si="61"/>
        <v>0</v>
      </c>
      <c r="AN51" s="91">
        <f t="shared" si="61"/>
        <v>0</v>
      </c>
      <c r="AO51" s="91">
        <f t="shared" si="61"/>
        <v>0</v>
      </c>
      <c r="AP51" s="91">
        <f t="shared" si="61"/>
        <v>0</v>
      </c>
      <c r="AQ51" s="91">
        <f t="shared" si="61"/>
        <v>0</v>
      </c>
      <c r="AR51" s="91">
        <f t="shared" si="61"/>
        <v>0</v>
      </c>
      <c r="AS51" s="91">
        <f t="shared" si="61"/>
        <v>0</v>
      </c>
      <c r="AT51" s="91"/>
      <c r="AU51" s="91">
        <f>IFERROR(AU45/AU7,0)</f>
        <v>0</v>
      </c>
    </row>
    <row r="52" spans="2:47" hidden="1" outlineLevel="1">
      <c r="B52" s="67" t="s">
        <v>118</v>
      </c>
      <c r="C52" s="52"/>
      <c r="D52" s="97">
        <f t="shared" si="59"/>
        <v>0</v>
      </c>
      <c r="E52" s="97">
        <f t="shared" si="59"/>
        <v>0</v>
      </c>
      <c r="F52" s="97">
        <f t="shared" si="59"/>
        <v>0</v>
      </c>
      <c r="G52" s="97">
        <f t="shared" si="59"/>
        <v>0</v>
      </c>
      <c r="H52" s="97">
        <f t="shared" si="59"/>
        <v>0</v>
      </c>
      <c r="I52" s="97">
        <f t="shared" si="59"/>
        <v>0</v>
      </c>
      <c r="J52" s="97">
        <f t="shared" si="59"/>
        <v>0</v>
      </c>
      <c r="K52" s="97">
        <f t="shared" si="59"/>
        <v>0</v>
      </c>
      <c r="L52" s="97">
        <f t="shared" si="59"/>
        <v>0</v>
      </c>
      <c r="M52" s="91">
        <f t="shared" si="59"/>
        <v>0</v>
      </c>
      <c r="N52" s="91">
        <f t="shared" si="59"/>
        <v>0</v>
      </c>
      <c r="O52" s="91">
        <f t="shared" si="59"/>
        <v>0</v>
      </c>
      <c r="P52" s="91"/>
      <c r="Q52" s="91">
        <f>IFERROR(Q46/Q8,0)</f>
        <v>0</v>
      </c>
      <c r="S52" s="91">
        <f t="shared" si="60"/>
        <v>0</v>
      </c>
      <c r="T52" s="91">
        <f t="shared" si="60"/>
        <v>0</v>
      </c>
      <c r="U52" s="91">
        <f t="shared" si="60"/>
        <v>0</v>
      </c>
      <c r="V52" s="91">
        <f t="shared" si="60"/>
        <v>0</v>
      </c>
      <c r="W52" s="91">
        <f t="shared" si="60"/>
        <v>0</v>
      </c>
      <c r="X52" s="91">
        <f t="shared" si="60"/>
        <v>0</v>
      </c>
      <c r="Y52" s="91">
        <f t="shared" si="60"/>
        <v>0</v>
      </c>
      <c r="Z52" s="91">
        <f t="shared" si="60"/>
        <v>0</v>
      </c>
      <c r="AA52" s="91">
        <f t="shared" si="60"/>
        <v>0</v>
      </c>
      <c r="AB52" s="91">
        <f t="shared" si="60"/>
        <v>0</v>
      </c>
      <c r="AC52" s="91">
        <f t="shared" si="60"/>
        <v>0</v>
      </c>
      <c r="AD52" s="91">
        <f t="shared" si="60"/>
        <v>0</v>
      </c>
      <c r="AE52" s="91"/>
      <c r="AF52" s="91">
        <f>IFERROR(AF46/AF8,0)</f>
        <v>0</v>
      </c>
      <c r="AH52" s="91">
        <f t="shared" si="61"/>
        <v>0</v>
      </c>
      <c r="AI52" s="91">
        <f t="shared" si="61"/>
        <v>0</v>
      </c>
      <c r="AJ52" s="91">
        <f t="shared" si="61"/>
        <v>0</v>
      </c>
      <c r="AK52" s="91">
        <f t="shared" si="61"/>
        <v>0</v>
      </c>
      <c r="AL52" s="91">
        <f t="shared" si="61"/>
        <v>0</v>
      </c>
      <c r="AM52" s="91">
        <f t="shared" si="61"/>
        <v>0</v>
      </c>
      <c r="AN52" s="91">
        <f t="shared" si="61"/>
        <v>0</v>
      </c>
      <c r="AO52" s="91">
        <f t="shared" si="61"/>
        <v>0</v>
      </c>
      <c r="AP52" s="91">
        <f t="shared" si="61"/>
        <v>0</v>
      </c>
      <c r="AQ52" s="91">
        <f t="shared" si="61"/>
        <v>0</v>
      </c>
      <c r="AR52" s="91">
        <f t="shared" si="61"/>
        <v>0</v>
      </c>
      <c r="AS52" s="91">
        <f t="shared" si="61"/>
        <v>0</v>
      </c>
      <c r="AT52" s="91"/>
      <c r="AU52" s="91">
        <f>IFERROR(AU46/AU8,0)</f>
        <v>0</v>
      </c>
    </row>
    <row r="53" spans="2:47" hidden="1" outlineLevel="1">
      <c r="B53" s="67" t="s">
        <v>119</v>
      </c>
      <c r="C53" s="52"/>
      <c r="D53" s="97">
        <f t="shared" si="59"/>
        <v>0</v>
      </c>
      <c r="E53" s="97">
        <f t="shared" si="59"/>
        <v>0</v>
      </c>
      <c r="F53" s="97">
        <f t="shared" si="59"/>
        <v>0</v>
      </c>
      <c r="G53" s="97">
        <f t="shared" si="59"/>
        <v>0</v>
      </c>
      <c r="H53" s="97">
        <f t="shared" si="59"/>
        <v>0</v>
      </c>
      <c r="I53" s="97">
        <f t="shared" si="59"/>
        <v>0</v>
      </c>
      <c r="J53" s="97">
        <f t="shared" si="59"/>
        <v>0</v>
      </c>
      <c r="K53" s="97">
        <f t="shared" si="59"/>
        <v>0</v>
      </c>
      <c r="L53" s="97">
        <f t="shared" si="59"/>
        <v>0</v>
      </c>
      <c r="M53" s="91">
        <f t="shared" si="59"/>
        <v>0</v>
      </c>
      <c r="N53" s="91">
        <f t="shared" si="59"/>
        <v>0</v>
      </c>
      <c r="O53" s="91">
        <f t="shared" si="59"/>
        <v>0</v>
      </c>
      <c r="P53" s="91"/>
      <c r="Q53" s="91">
        <f>IFERROR(Q47/Q9,0)</f>
        <v>0</v>
      </c>
      <c r="S53" s="91">
        <f t="shared" si="60"/>
        <v>0</v>
      </c>
      <c r="T53" s="91">
        <f t="shared" si="60"/>
        <v>0</v>
      </c>
      <c r="U53" s="91">
        <f t="shared" si="60"/>
        <v>0</v>
      </c>
      <c r="V53" s="91">
        <f t="shared" si="60"/>
        <v>0</v>
      </c>
      <c r="W53" s="91">
        <f t="shared" si="60"/>
        <v>0</v>
      </c>
      <c r="X53" s="91">
        <f t="shared" si="60"/>
        <v>0</v>
      </c>
      <c r="Y53" s="91">
        <f t="shared" si="60"/>
        <v>0</v>
      </c>
      <c r="Z53" s="91">
        <f t="shared" si="60"/>
        <v>0</v>
      </c>
      <c r="AA53" s="91">
        <f t="shared" si="60"/>
        <v>0</v>
      </c>
      <c r="AB53" s="91">
        <f t="shared" si="60"/>
        <v>0</v>
      </c>
      <c r="AC53" s="91">
        <f t="shared" si="60"/>
        <v>0</v>
      </c>
      <c r="AD53" s="91">
        <f t="shared" si="60"/>
        <v>0</v>
      </c>
      <c r="AE53" s="91"/>
      <c r="AF53" s="91">
        <f>IFERROR(AF47/AF9,0)</f>
        <v>0</v>
      </c>
      <c r="AH53" s="91">
        <f t="shared" si="61"/>
        <v>0</v>
      </c>
      <c r="AI53" s="91">
        <f t="shared" si="61"/>
        <v>0</v>
      </c>
      <c r="AJ53" s="91">
        <f t="shared" si="61"/>
        <v>0</v>
      </c>
      <c r="AK53" s="91">
        <f t="shared" si="61"/>
        <v>0</v>
      </c>
      <c r="AL53" s="91">
        <f t="shared" si="61"/>
        <v>0</v>
      </c>
      <c r="AM53" s="91">
        <f t="shared" si="61"/>
        <v>0</v>
      </c>
      <c r="AN53" s="91">
        <f t="shared" si="61"/>
        <v>0</v>
      </c>
      <c r="AO53" s="91">
        <f t="shared" si="61"/>
        <v>0</v>
      </c>
      <c r="AP53" s="91">
        <f t="shared" si="61"/>
        <v>0</v>
      </c>
      <c r="AQ53" s="91">
        <f t="shared" si="61"/>
        <v>0</v>
      </c>
      <c r="AR53" s="91">
        <f t="shared" si="61"/>
        <v>0</v>
      </c>
      <c r="AS53" s="91">
        <f t="shared" si="61"/>
        <v>0</v>
      </c>
      <c r="AT53" s="91"/>
      <c r="AU53" s="91">
        <f>IFERROR(AU47/AU9,0)</f>
        <v>0</v>
      </c>
    </row>
    <row r="54" spans="2:47" collapsed="1">
      <c r="B54" s="72" t="s">
        <v>120</v>
      </c>
      <c r="C54" s="73"/>
      <c r="D54" s="97">
        <f t="shared" ref="D54:O54" si="62">IFERROR(D48/D11,0)</f>
        <v>0</v>
      </c>
      <c r="E54" s="97">
        <f t="shared" si="62"/>
        <v>0</v>
      </c>
      <c r="F54" s="97">
        <f t="shared" si="62"/>
        <v>0</v>
      </c>
      <c r="G54" s="97">
        <f t="shared" si="62"/>
        <v>0</v>
      </c>
      <c r="H54" s="97">
        <f t="shared" si="62"/>
        <v>0</v>
      </c>
      <c r="I54" s="97">
        <f t="shared" si="62"/>
        <v>0</v>
      </c>
      <c r="J54" s="97">
        <f t="shared" si="62"/>
        <v>0</v>
      </c>
      <c r="K54" s="97">
        <f t="shared" si="62"/>
        <v>0</v>
      </c>
      <c r="L54" s="97">
        <f t="shared" si="62"/>
        <v>0</v>
      </c>
      <c r="M54" s="91">
        <f t="shared" si="62"/>
        <v>0</v>
      </c>
      <c r="N54" s="91">
        <f t="shared" si="62"/>
        <v>0</v>
      </c>
      <c r="O54" s="91">
        <f t="shared" si="62"/>
        <v>0</v>
      </c>
      <c r="P54" s="91"/>
      <c r="Q54" s="91">
        <f>IFERROR(Q48/Q11,0)</f>
        <v>0</v>
      </c>
      <c r="S54" s="91">
        <f t="shared" ref="S54:AD54" si="63">IFERROR(S48/S11,0)</f>
        <v>0</v>
      </c>
      <c r="T54" s="91">
        <f t="shared" si="63"/>
        <v>0</v>
      </c>
      <c r="U54" s="91">
        <f t="shared" si="63"/>
        <v>0</v>
      </c>
      <c r="V54" s="91">
        <f t="shared" si="63"/>
        <v>0</v>
      </c>
      <c r="W54" s="91">
        <f t="shared" si="63"/>
        <v>0</v>
      </c>
      <c r="X54" s="91">
        <f t="shared" si="63"/>
        <v>0</v>
      </c>
      <c r="Y54" s="91">
        <f t="shared" si="63"/>
        <v>0</v>
      </c>
      <c r="Z54" s="91">
        <f t="shared" si="63"/>
        <v>0</v>
      </c>
      <c r="AA54" s="91">
        <f t="shared" si="63"/>
        <v>0</v>
      </c>
      <c r="AB54" s="91">
        <f t="shared" si="63"/>
        <v>0</v>
      </c>
      <c r="AC54" s="91">
        <f t="shared" si="63"/>
        <v>0</v>
      </c>
      <c r="AD54" s="91">
        <f t="shared" si="63"/>
        <v>0</v>
      </c>
      <c r="AE54" s="91"/>
      <c r="AF54" s="91">
        <f>IFERROR(AF48/AF11,0)</f>
        <v>0</v>
      </c>
      <c r="AH54" s="91">
        <f t="shared" ref="AH54:AS54" si="64">IFERROR(AH48/AH11,0)</f>
        <v>0</v>
      </c>
      <c r="AI54" s="91">
        <f t="shared" si="64"/>
        <v>0</v>
      </c>
      <c r="AJ54" s="91">
        <f t="shared" si="64"/>
        <v>0</v>
      </c>
      <c r="AK54" s="91">
        <f t="shared" si="64"/>
        <v>0</v>
      </c>
      <c r="AL54" s="91">
        <f t="shared" si="64"/>
        <v>0</v>
      </c>
      <c r="AM54" s="91">
        <f t="shared" si="64"/>
        <v>0</v>
      </c>
      <c r="AN54" s="91">
        <f t="shared" si="64"/>
        <v>0</v>
      </c>
      <c r="AO54" s="91">
        <f t="shared" si="64"/>
        <v>0</v>
      </c>
      <c r="AP54" s="91">
        <f t="shared" si="64"/>
        <v>0</v>
      </c>
      <c r="AQ54" s="91">
        <f t="shared" si="64"/>
        <v>0</v>
      </c>
      <c r="AR54" s="91">
        <f t="shared" si="64"/>
        <v>0</v>
      </c>
      <c r="AS54" s="91">
        <f t="shared" si="64"/>
        <v>0</v>
      </c>
      <c r="AT54" s="91"/>
      <c r="AU54" s="91">
        <f>IFERROR(AU48/AU11,0)</f>
        <v>0</v>
      </c>
    </row>
    <row r="55" spans="2:47">
      <c r="D55" s="53"/>
      <c r="E55" s="53"/>
      <c r="F55" s="53"/>
      <c r="G55" s="53"/>
      <c r="H55" s="53"/>
      <c r="I55" s="53"/>
      <c r="J55" s="53"/>
      <c r="K55" s="53"/>
      <c r="L55" s="53"/>
      <c r="Q55" s="51"/>
      <c r="S55" s="91"/>
      <c r="T55" s="91"/>
      <c r="U55" s="91"/>
      <c r="V55" s="91"/>
      <c r="W55" s="91"/>
      <c r="X55" s="91"/>
      <c r="Y55" s="91"/>
      <c r="Z55" s="91"/>
      <c r="AA55" s="91"/>
      <c r="AB55" s="91"/>
      <c r="AC55" s="91"/>
      <c r="AD55" s="91"/>
      <c r="AE55" s="91"/>
      <c r="AF55" s="91"/>
      <c r="AU55" s="51"/>
    </row>
    <row r="56" spans="2:47" outlineLevel="1">
      <c r="B56" s="58" t="s">
        <v>121</v>
      </c>
      <c r="D56" s="53"/>
      <c r="E56" s="53"/>
      <c r="F56" s="53"/>
      <c r="G56" s="53"/>
      <c r="H56" s="53"/>
      <c r="I56" s="53"/>
      <c r="J56" s="53"/>
      <c r="K56" s="53"/>
      <c r="L56" s="53"/>
      <c r="Q56" s="51"/>
      <c r="AF56" s="51"/>
      <c r="AU56" s="51"/>
    </row>
    <row r="57" spans="2:47" outlineLevel="1">
      <c r="D57" s="53"/>
      <c r="E57" s="53"/>
      <c r="F57" s="53"/>
      <c r="G57" s="53"/>
      <c r="H57" s="53"/>
      <c r="I57" s="53"/>
      <c r="J57" s="53"/>
      <c r="K57" s="53"/>
      <c r="L57" s="53"/>
      <c r="Q57" s="51"/>
      <c r="AF57" s="51"/>
      <c r="AU57" s="51"/>
    </row>
    <row r="58" spans="2:47" outlineLevel="1">
      <c r="B58" s="51" t="s">
        <v>122</v>
      </c>
      <c r="D58" s="59"/>
      <c r="E58" s="59"/>
      <c r="F58" s="59"/>
      <c r="G58" s="59"/>
      <c r="H58" s="59"/>
      <c r="I58" s="59"/>
      <c r="J58" s="59"/>
      <c r="K58" s="59"/>
      <c r="L58" s="59"/>
      <c r="M58" s="60"/>
      <c r="N58" s="60"/>
      <c r="O58" s="60"/>
      <c r="P58" s="60"/>
      <c r="Q58" s="61">
        <f t="shared" ref="Q58:Q67" si="65">SUM(D58:O58)</f>
        <v>0</v>
      </c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1">
        <f t="shared" ref="AF58" si="66">SUM(S58:AD58)</f>
        <v>0</v>
      </c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61">
        <f t="shared" ref="AU58" si="67">SUM(AH58:AS58)</f>
        <v>0</v>
      </c>
    </row>
    <row r="59" spans="2:47" outlineLevel="1">
      <c r="B59" s="51" t="s">
        <v>123</v>
      </c>
      <c r="D59" s="59"/>
      <c r="E59" s="59"/>
      <c r="F59" s="59"/>
      <c r="G59" s="59"/>
      <c r="H59" s="59"/>
      <c r="I59" s="59"/>
      <c r="J59" s="59"/>
      <c r="K59" s="59"/>
      <c r="L59" s="59"/>
      <c r="M59" s="60"/>
      <c r="N59" s="60"/>
      <c r="O59" s="60"/>
      <c r="P59" s="60"/>
      <c r="Q59" s="61">
        <f>SUM(D59:O59)</f>
        <v>0</v>
      </c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1">
        <f>SUM(S59:AD59)</f>
        <v>0</v>
      </c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60"/>
      <c r="AU59" s="61">
        <f>SUM(AH59:AS59)</f>
        <v>0</v>
      </c>
    </row>
    <row r="60" spans="2:47" outlineLevel="2">
      <c r="B60" s="51" t="s">
        <v>124</v>
      </c>
      <c r="D60" s="59"/>
      <c r="E60" s="59"/>
      <c r="F60" s="59"/>
      <c r="G60" s="59"/>
      <c r="H60" s="59"/>
      <c r="I60" s="59"/>
      <c r="J60" s="59"/>
      <c r="K60" s="59"/>
      <c r="L60" s="59"/>
      <c r="M60" s="60"/>
      <c r="N60" s="60"/>
      <c r="O60" s="60"/>
      <c r="P60" s="60"/>
      <c r="Q60" s="61">
        <f t="shared" si="65"/>
        <v>0</v>
      </c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1">
        <f t="shared" ref="AF60:AF67" si="68">SUM(S60:AD60)</f>
        <v>0</v>
      </c>
      <c r="AH60" s="60"/>
      <c r="AI60" s="60"/>
      <c r="AJ60" s="60"/>
      <c r="AK60" s="60"/>
      <c r="AL60" s="60"/>
      <c r="AM60" s="60"/>
      <c r="AN60" s="60"/>
      <c r="AO60" s="60"/>
      <c r="AP60" s="60"/>
      <c r="AQ60" s="60"/>
      <c r="AR60" s="60"/>
      <c r="AS60" s="60"/>
      <c r="AT60" s="60"/>
      <c r="AU60" s="61">
        <f t="shared" ref="AU60:AU67" si="69">SUM(AH60:AS60)</f>
        <v>0</v>
      </c>
    </row>
    <row r="61" spans="2:47" outlineLevel="2">
      <c r="B61" s="51" t="s">
        <v>125</v>
      </c>
      <c r="D61" s="59"/>
      <c r="E61" s="59"/>
      <c r="F61" s="59"/>
      <c r="G61" s="59"/>
      <c r="H61" s="59"/>
      <c r="I61" s="59"/>
      <c r="J61" s="59"/>
      <c r="K61" s="59"/>
      <c r="L61" s="59"/>
      <c r="M61" s="60"/>
      <c r="N61" s="60"/>
      <c r="O61" s="60"/>
      <c r="P61" s="60"/>
      <c r="Q61" s="61">
        <f t="shared" si="65"/>
        <v>0</v>
      </c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1">
        <f t="shared" si="68"/>
        <v>0</v>
      </c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1">
        <f t="shared" si="69"/>
        <v>0</v>
      </c>
    </row>
    <row r="62" spans="2:47" outlineLevel="2">
      <c r="B62" s="51" t="s">
        <v>126</v>
      </c>
      <c r="D62" s="59"/>
      <c r="E62" s="59"/>
      <c r="F62" s="59"/>
      <c r="G62" s="59"/>
      <c r="H62" s="59"/>
      <c r="I62" s="59"/>
      <c r="J62" s="59"/>
      <c r="K62" s="59"/>
      <c r="L62" s="59"/>
      <c r="M62" s="60"/>
      <c r="N62" s="60"/>
      <c r="O62" s="60"/>
      <c r="P62" s="60"/>
      <c r="Q62" s="61">
        <f t="shared" si="65"/>
        <v>0</v>
      </c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1">
        <f t="shared" si="68"/>
        <v>0</v>
      </c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1">
        <f t="shared" si="69"/>
        <v>0</v>
      </c>
    </row>
    <row r="63" spans="2:47" outlineLevel="2">
      <c r="B63" s="51" t="s">
        <v>127</v>
      </c>
      <c r="D63" s="59"/>
      <c r="E63" s="59"/>
      <c r="F63" s="59"/>
      <c r="G63" s="59"/>
      <c r="H63" s="59"/>
      <c r="I63" s="59"/>
      <c r="J63" s="59"/>
      <c r="K63" s="59"/>
      <c r="L63" s="59"/>
      <c r="M63" s="60"/>
      <c r="N63" s="60"/>
      <c r="O63" s="60"/>
      <c r="P63" s="60"/>
      <c r="Q63" s="61">
        <f t="shared" si="65"/>
        <v>0</v>
      </c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1">
        <f t="shared" si="68"/>
        <v>0</v>
      </c>
      <c r="AH63" s="60"/>
      <c r="AI63" s="60"/>
      <c r="AJ63" s="60"/>
      <c r="AK63" s="60"/>
      <c r="AL63" s="60"/>
      <c r="AM63" s="60"/>
      <c r="AN63" s="60"/>
      <c r="AO63" s="60"/>
      <c r="AP63" s="60"/>
      <c r="AQ63" s="60"/>
      <c r="AR63" s="60"/>
      <c r="AS63" s="60"/>
      <c r="AT63" s="60"/>
      <c r="AU63" s="61">
        <f t="shared" si="69"/>
        <v>0</v>
      </c>
    </row>
    <row r="64" spans="2:47" outlineLevel="2">
      <c r="B64" s="51" t="s">
        <v>128</v>
      </c>
      <c r="D64" s="59"/>
      <c r="E64" s="59"/>
      <c r="F64" s="59"/>
      <c r="G64" s="59"/>
      <c r="H64" s="59"/>
      <c r="I64" s="59"/>
      <c r="J64" s="59"/>
      <c r="K64" s="59"/>
      <c r="L64" s="59"/>
      <c r="M64" s="60"/>
      <c r="N64" s="60"/>
      <c r="O64" s="60"/>
      <c r="P64" s="60"/>
      <c r="Q64" s="61">
        <f t="shared" si="65"/>
        <v>0</v>
      </c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1">
        <f t="shared" si="68"/>
        <v>0</v>
      </c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1">
        <f t="shared" si="69"/>
        <v>0</v>
      </c>
    </row>
    <row r="65" spans="2:47" outlineLevel="2">
      <c r="B65" s="51" t="s">
        <v>185</v>
      </c>
      <c r="D65" s="59"/>
      <c r="E65" s="59"/>
      <c r="F65" s="59"/>
      <c r="G65" s="59"/>
      <c r="H65" s="59"/>
      <c r="I65" s="59"/>
      <c r="J65" s="59"/>
      <c r="K65" s="59"/>
      <c r="L65" s="59"/>
      <c r="M65" s="60"/>
      <c r="N65" s="60"/>
      <c r="O65" s="60"/>
      <c r="P65" s="60"/>
      <c r="Q65" s="61">
        <f t="shared" si="65"/>
        <v>0</v>
      </c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1">
        <f t="shared" si="68"/>
        <v>0</v>
      </c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1">
        <f t="shared" si="69"/>
        <v>0</v>
      </c>
    </row>
    <row r="66" spans="2:47" outlineLevel="2">
      <c r="B66" s="51" t="s">
        <v>130</v>
      </c>
      <c r="D66" s="59"/>
      <c r="E66" s="59"/>
      <c r="F66" s="59"/>
      <c r="G66" s="59"/>
      <c r="H66" s="59"/>
      <c r="I66" s="59"/>
      <c r="J66" s="59"/>
      <c r="K66" s="59"/>
      <c r="L66" s="59"/>
      <c r="M66" s="60"/>
      <c r="N66" s="60"/>
      <c r="O66" s="60"/>
      <c r="P66" s="60"/>
      <c r="Q66" s="61">
        <f>SUM(D66:O66)</f>
        <v>0</v>
      </c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1">
        <f>SUM(S66:AD66)</f>
        <v>0</v>
      </c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1">
        <f t="shared" si="69"/>
        <v>0</v>
      </c>
    </row>
    <row r="67" spans="2:47" outlineLevel="2">
      <c r="B67" s="51" t="s">
        <v>131</v>
      </c>
      <c r="D67" s="59"/>
      <c r="E67" s="59"/>
      <c r="F67" s="59"/>
      <c r="G67" s="59"/>
      <c r="H67" s="59"/>
      <c r="I67" s="59"/>
      <c r="J67" s="59"/>
      <c r="K67" s="59"/>
      <c r="L67" s="59"/>
      <c r="M67" s="60"/>
      <c r="N67" s="60"/>
      <c r="O67" s="60"/>
      <c r="P67" s="60"/>
      <c r="Q67" s="61">
        <f t="shared" si="65"/>
        <v>0</v>
      </c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1">
        <f t="shared" si="68"/>
        <v>0</v>
      </c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1">
        <f t="shared" si="69"/>
        <v>0</v>
      </c>
    </row>
    <row r="68" spans="2:47" outlineLevel="1">
      <c r="D68" s="59"/>
      <c r="E68" s="59"/>
      <c r="F68" s="59"/>
      <c r="G68" s="59"/>
      <c r="H68" s="59"/>
      <c r="I68" s="59"/>
      <c r="J68" s="59"/>
      <c r="K68" s="59"/>
      <c r="L68" s="59"/>
      <c r="M68" s="60"/>
      <c r="N68" s="60"/>
      <c r="O68" s="60"/>
      <c r="Q68" s="61"/>
      <c r="S68" s="83"/>
      <c r="T68" s="83"/>
      <c r="U68" s="83"/>
      <c r="V68" s="83"/>
      <c r="W68" s="83"/>
      <c r="AH68" s="83"/>
      <c r="AI68" s="83"/>
      <c r="AJ68" s="83"/>
      <c r="AK68" s="83"/>
      <c r="AL68" s="83"/>
    </row>
    <row r="69" spans="2:47">
      <c r="B69" s="63" t="s">
        <v>132</v>
      </c>
      <c r="C69" s="52"/>
      <c r="D69" s="64">
        <f t="shared" ref="D69:O69" si="70">SUM(D58:D68)</f>
        <v>0</v>
      </c>
      <c r="E69" s="64">
        <f t="shared" si="70"/>
        <v>0</v>
      </c>
      <c r="F69" s="64">
        <f t="shared" si="70"/>
        <v>0</v>
      </c>
      <c r="G69" s="64">
        <f t="shared" si="70"/>
        <v>0</v>
      </c>
      <c r="H69" s="64">
        <f t="shared" si="70"/>
        <v>0</v>
      </c>
      <c r="I69" s="64">
        <f t="shared" si="70"/>
        <v>0</v>
      </c>
      <c r="J69" s="64">
        <f t="shared" si="70"/>
        <v>0</v>
      </c>
      <c r="K69" s="64">
        <f t="shared" si="70"/>
        <v>0</v>
      </c>
      <c r="L69" s="64">
        <f t="shared" si="70"/>
        <v>0</v>
      </c>
      <c r="M69" s="65">
        <f t="shared" si="70"/>
        <v>0</v>
      </c>
      <c r="N69" s="65">
        <f t="shared" si="70"/>
        <v>0</v>
      </c>
      <c r="O69" s="65">
        <f t="shared" si="70"/>
        <v>0</v>
      </c>
      <c r="P69" s="61"/>
      <c r="Q69" s="65">
        <f>SUM(D69:O69)</f>
        <v>0</v>
      </c>
      <c r="R69" s="75"/>
      <c r="S69" s="84">
        <f t="shared" ref="S69" si="71">SUM(S58:S68)</f>
        <v>0</v>
      </c>
      <c r="T69" s="84">
        <f>SUM(T58:T68)</f>
        <v>0</v>
      </c>
      <c r="U69" s="84">
        <f>SUM(U58:U68)</f>
        <v>0</v>
      </c>
      <c r="V69" s="84">
        <f>SUM(V58:V68)</f>
        <v>0</v>
      </c>
      <c r="W69" s="84">
        <f>SUM(W58:W68)</f>
        <v>0</v>
      </c>
      <c r="X69" s="65">
        <f t="shared" ref="X69:AD69" si="72">SUM(X58:X68)</f>
        <v>0</v>
      </c>
      <c r="Y69" s="65">
        <f t="shared" si="72"/>
        <v>0</v>
      </c>
      <c r="Z69" s="65">
        <f t="shared" si="72"/>
        <v>0</v>
      </c>
      <c r="AA69" s="65">
        <f t="shared" si="72"/>
        <v>0</v>
      </c>
      <c r="AB69" s="65">
        <f t="shared" si="72"/>
        <v>0</v>
      </c>
      <c r="AC69" s="65">
        <f t="shared" si="72"/>
        <v>0</v>
      </c>
      <c r="AD69" s="65">
        <f t="shared" si="72"/>
        <v>0</v>
      </c>
      <c r="AE69" s="61"/>
      <c r="AF69" s="65">
        <f>SUM(S69:AD69)</f>
        <v>0</v>
      </c>
      <c r="AH69" s="84">
        <f>SUM(AH58:AH68)</f>
        <v>0</v>
      </c>
      <c r="AI69" s="84">
        <f>SUM(AI58:AI68)</f>
        <v>0</v>
      </c>
      <c r="AJ69" s="84">
        <f>SUM(AJ58:AJ68)</f>
        <v>0</v>
      </c>
      <c r="AK69" s="84">
        <f>SUM(AK58:AK68)</f>
        <v>0</v>
      </c>
      <c r="AL69" s="84">
        <f>SUM(AL58:AL68)</f>
        <v>0</v>
      </c>
      <c r="AM69" s="65">
        <f t="shared" ref="AM69:AS69" si="73">SUM(AM58:AM68)</f>
        <v>0</v>
      </c>
      <c r="AN69" s="65">
        <f t="shared" si="73"/>
        <v>0</v>
      </c>
      <c r="AO69" s="65">
        <f t="shared" si="73"/>
        <v>0</v>
      </c>
      <c r="AP69" s="65">
        <f t="shared" si="73"/>
        <v>0</v>
      </c>
      <c r="AQ69" s="65">
        <f t="shared" si="73"/>
        <v>0</v>
      </c>
      <c r="AR69" s="65">
        <f t="shared" si="73"/>
        <v>0</v>
      </c>
      <c r="AS69" s="65">
        <f t="shared" si="73"/>
        <v>0</v>
      </c>
      <c r="AT69" s="61"/>
      <c r="AU69" s="65">
        <f>SUM(AH69:AS69)</f>
        <v>0</v>
      </c>
    </row>
    <row r="70" spans="2:47">
      <c r="D70" s="53"/>
      <c r="E70" s="53"/>
      <c r="F70" s="53"/>
      <c r="G70" s="53"/>
      <c r="H70" s="53"/>
      <c r="I70" s="53"/>
      <c r="J70" s="53"/>
      <c r="K70" s="53"/>
      <c r="L70" s="53"/>
      <c r="S70" s="88"/>
      <c r="T70" s="88"/>
      <c r="U70" s="88"/>
      <c r="V70" s="88"/>
      <c r="W70" s="88"/>
      <c r="AF70" s="141" t="e">
        <f>AF69/AF11</f>
        <v>#DIV/0!</v>
      </c>
      <c r="AH70" s="88"/>
      <c r="AI70" s="88"/>
      <c r="AJ70" s="88"/>
      <c r="AK70" s="88"/>
      <c r="AL70" s="88"/>
    </row>
    <row r="71" spans="2:47" hidden="1" outlineLevel="1">
      <c r="B71" s="67" t="s">
        <v>133</v>
      </c>
      <c r="C71" s="52"/>
      <c r="D71" s="68">
        <f t="shared" ref="D71:O71" si="74">D44+SUM(D58:D62)</f>
        <v>0</v>
      </c>
      <c r="E71" s="68">
        <f t="shared" si="74"/>
        <v>0</v>
      </c>
      <c r="F71" s="68">
        <f t="shared" si="74"/>
        <v>0</v>
      </c>
      <c r="G71" s="68">
        <f t="shared" si="74"/>
        <v>0</v>
      </c>
      <c r="H71" s="68">
        <f t="shared" si="74"/>
        <v>0</v>
      </c>
      <c r="I71" s="68">
        <f t="shared" si="74"/>
        <v>0</v>
      </c>
      <c r="J71" s="68">
        <f t="shared" si="74"/>
        <v>0</v>
      </c>
      <c r="K71" s="68">
        <f t="shared" si="74"/>
        <v>0</v>
      </c>
      <c r="L71" s="68">
        <f t="shared" si="74"/>
        <v>0</v>
      </c>
      <c r="M71" s="69">
        <f>M44+SUM(M58:M62)</f>
        <v>0</v>
      </c>
      <c r="N71" s="69">
        <f>N44+SUM(N58:N62)</f>
        <v>0</v>
      </c>
      <c r="O71" s="69">
        <f t="shared" si="74"/>
        <v>0</v>
      </c>
      <c r="P71" s="69"/>
      <c r="Q71" s="69">
        <f>Q44+SUM(Q58:Q62)</f>
        <v>0</v>
      </c>
      <c r="S71" s="85">
        <f>S44+SUM(S58:S62)</f>
        <v>0</v>
      </c>
      <c r="T71" s="85">
        <f t="shared" ref="T71:AD71" si="75">T44+SUM(T58:T62)</f>
        <v>0</v>
      </c>
      <c r="U71" s="85">
        <f t="shared" si="75"/>
        <v>0</v>
      </c>
      <c r="V71" s="85">
        <f t="shared" si="75"/>
        <v>0</v>
      </c>
      <c r="W71" s="85">
        <f t="shared" si="75"/>
        <v>0</v>
      </c>
      <c r="X71" s="69">
        <f t="shared" si="75"/>
        <v>0</v>
      </c>
      <c r="Y71" s="69">
        <f t="shared" si="75"/>
        <v>0</v>
      </c>
      <c r="Z71" s="69">
        <f t="shared" si="75"/>
        <v>0</v>
      </c>
      <c r="AA71" s="69">
        <f t="shared" si="75"/>
        <v>0</v>
      </c>
      <c r="AB71" s="69">
        <f t="shared" si="75"/>
        <v>0</v>
      </c>
      <c r="AC71" s="69">
        <f t="shared" si="75"/>
        <v>0</v>
      </c>
      <c r="AD71" s="69">
        <f t="shared" si="75"/>
        <v>0</v>
      </c>
      <c r="AE71" s="69"/>
      <c r="AF71" s="69">
        <f>AF44+SUM(AF58:AF62)</f>
        <v>0</v>
      </c>
      <c r="AH71" s="85">
        <f>AH44+SUM(AH58:AH62)</f>
        <v>0</v>
      </c>
      <c r="AI71" s="85">
        <f t="shared" ref="AI71:AS71" si="76">AI44+SUM(AI58:AI62)</f>
        <v>0</v>
      </c>
      <c r="AJ71" s="85">
        <f t="shared" si="76"/>
        <v>0</v>
      </c>
      <c r="AK71" s="85">
        <f t="shared" si="76"/>
        <v>0</v>
      </c>
      <c r="AL71" s="85">
        <f t="shared" si="76"/>
        <v>0</v>
      </c>
      <c r="AM71" s="69">
        <f t="shared" si="76"/>
        <v>0</v>
      </c>
      <c r="AN71" s="69">
        <f t="shared" si="76"/>
        <v>0</v>
      </c>
      <c r="AO71" s="69">
        <f t="shared" si="76"/>
        <v>0</v>
      </c>
      <c r="AP71" s="69">
        <f t="shared" si="76"/>
        <v>0</v>
      </c>
      <c r="AQ71" s="69">
        <f t="shared" si="76"/>
        <v>0</v>
      </c>
      <c r="AR71" s="69">
        <f t="shared" si="76"/>
        <v>0</v>
      </c>
      <c r="AS71" s="69">
        <f t="shared" si="76"/>
        <v>0</v>
      </c>
      <c r="AT71" s="69"/>
      <c r="AU71" s="69">
        <f>AU44+SUM(AU58:AU62)</f>
        <v>0</v>
      </c>
    </row>
    <row r="72" spans="2:47" hidden="1" outlineLevel="1">
      <c r="B72" s="67" t="s">
        <v>134</v>
      </c>
      <c r="C72" s="52"/>
      <c r="D72" s="68">
        <f t="shared" ref="D72:I72" si="77">D45+SUM(D63:D65)</f>
        <v>0</v>
      </c>
      <c r="E72" s="68">
        <f t="shared" si="77"/>
        <v>0</v>
      </c>
      <c r="F72" s="68">
        <f t="shared" si="77"/>
        <v>0</v>
      </c>
      <c r="G72" s="68">
        <f t="shared" si="77"/>
        <v>0</v>
      </c>
      <c r="H72" s="68">
        <f t="shared" si="77"/>
        <v>0</v>
      </c>
      <c r="I72" s="68">
        <f t="shared" si="77"/>
        <v>0</v>
      </c>
      <c r="J72" s="68">
        <f>J45+SUM(J63:J66)</f>
        <v>0</v>
      </c>
      <c r="K72" s="68">
        <f t="shared" ref="K72:O72" si="78">K45+SUM(K63:K65)</f>
        <v>0</v>
      </c>
      <c r="L72" s="68">
        <f t="shared" si="78"/>
        <v>0</v>
      </c>
      <c r="M72" s="69">
        <f t="shared" si="78"/>
        <v>0</v>
      </c>
      <c r="N72" s="69">
        <f t="shared" si="78"/>
        <v>0</v>
      </c>
      <c r="O72" s="69">
        <f t="shared" si="78"/>
        <v>0</v>
      </c>
      <c r="P72" s="69"/>
      <c r="Q72" s="69">
        <f>Q45+SUM(Q63:Q65)</f>
        <v>0</v>
      </c>
      <c r="S72" s="85">
        <f>S45+SUM(S63:S65)</f>
        <v>0</v>
      </c>
      <c r="T72" s="85">
        <f t="shared" ref="T72:AD72" si="79">T45+SUM(T63:T65)</f>
        <v>0</v>
      </c>
      <c r="U72" s="85">
        <f t="shared" si="79"/>
        <v>0</v>
      </c>
      <c r="V72" s="85">
        <f t="shared" si="79"/>
        <v>0</v>
      </c>
      <c r="W72" s="85">
        <f t="shared" si="79"/>
        <v>0</v>
      </c>
      <c r="X72" s="69">
        <f t="shared" si="79"/>
        <v>0</v>
      </c>
      <c r="Y72" s="69">
        <f t="shared" si="79"/>
        <v>0</v>
      </c>
      <c r="Z72" s="69">
        <f t="shared" si="79"/>
        <v>0</v>
      </c>
      <c r="AA72" s="69">
        <f t="shared" si="79"/>
        <v>0</v>
      </c>
      <c r="AB72" s="69">
        <f t="shared" si="79"/>
        <v>0</v>
      </c>
      <c r="AC72" s="69">
        <f t="shared" si="79"/>
        <v>0</v>
      </c>
      <c r="AD72" s="69">
        <f t="shared" si="79"/>
        <v>0</v>
      </c>
      <c r="AE72" s="69"/>
      <c r="AF72" s="69">
        <f>AF45+SUM(AF63:AF65)</f>
        <v>0</v>
      </c>
      <c r="AH72" s="85">
        <f>AH45+SUM(AH63:AH65)</f>
        <v>0</v>
      </c>
      <c r="AI72" s="85">
        <f t="shared" ref="AI72:AS72" si="80">AI45+SUM(AI63:AI65)</f>
        <v>0</v>
      </c>
      <c r="AJ72" s="85">
        <f t="shared" si="80"/>
        <v>0</v>
      </c>
      <c r="AK72" s="85">
        <f t="shared" si="80"/>
        <v>0</v>
      </c>
      <c r="AL72" s="85">
        <f t="shared" si="80"/>
        <v>0</v>
      </c>
      <c r="AM72" s="69">
        <f t="shared" si="80"/>
        <v>0</v>
      </c>
      <c r="AN72" s="69">
        <f t="shared" si="80"/>
        <v>0</v>
      </c>
      <c r="AO72" s="69">
        <f t="shared" si="80"/>
        <v>0</v>
      </c>
      <c r="AP72" s="69">
        <f t="shared" si="80"/>
        <v>0</v>
      </c>
      <c r="AQ72" s="69">
        <f t="shared" si="80"/>
        <v>0</v>
      </c>
      <c r="AR72" s="69">
        <f t="shared" si="80"/>
        <v>0</v>
      </c>
      <c r="AS72" s="69">
        <f t="shared" si="80"/>
        <v>0</v>
      </c>
      <c r="AT72" s="69"/>
      <c r="AU72" s="69">
        <f>AU45+SUM(AU63:AU65)</f>
        <v>0</v>
      </c>
    </row>
    <row r="73" spans="2:47" hidden="1" outlineLevel="1">
      <c r="B73" s="67" t="s">
        <v>135</v>
      </c>
      <c r="C73" s="52"/>
      <c r="D73" s="68">
        <f t="shared" ref="D73:I74" si="81">D46+D66</f>
        <v>0</v>
      </c>
      <c r="E73" s="68">
        <f t="shared" si="81"/>
        <v>0</v>
      </c>
      <c r="F73" s="68">
        <f t="shared" si="81"/>
        <v>0</v>
      </c>
      <c r="G73" s="68">
        <f t="shared" si="81"/>
        <v>0</v>
      </c>
      <c r="H73" s="68">
        <f t="shared" si="81"/>
        <v>0</v>
      </c>
      <c r="I73" s="68">
        <f t="shared" si="81"/>
        <v>0</v>
      </c>
      <c r="J73" s="68">
        <f>J46+J67</f>
        <v>0</v>
      </c>
      <c r="K73" s="68">
        <f t="shared" ref="K73:O74" si="82">K46+K66</f>
        <v>0</v>
      </c>
      <c r="L73" s="68">
        <f t="shared" si="82"/>
        <v>0</v>
      </c>
      <c r="M73" s="69">
        <f t="shared" si="82"/>
        <v>0</v>
      </c>
      <c r="N73" s="69">
        <f t="shared" si="82"/>
        <v>0</v>
      </c>
      <c r="O73" s="69">
        <f t="shared" si="82"/>
        <v>0</v>
      </c>
      <c r="P73" s="69"/>
      <c r="Q73" s="69">
        <f>Q46+Q66</f>
        <v>0</v>
      </c>
      <c r="S73" s="85">
        <f t="shared" ref="S73:AD74" si="83">S46+S66</f>
        <v>0</v>
      </c>
      <c r="T73" s="85">
        <f t="shared" si="83"/>
        <v>0</v>
      </c>
      <c r="U73" s="85">
        <f t="shared" si="83"/>
        <v>0</v>
      </c>
      <c r="V73" s="85">
        <f t="shared" si="83"/>
        <v>0</v>
      </c>
      <c r="W73" s="85">
        <f t="shared" si="83"/>
        <v>0</v>
      </c>
      <c r="X73" s="69">
        <f t="shared" si="83"/>
        <v>0</v>
      </c>
      <c r="Y73" s="69">
        <f t="shared" si="83"/>
        <v>0</v>
      </c>
      <c r="Z73" s="69">
        <f t="shared" si="83"/>
        <v>0</v>
      </c>
      <c r="AA73" s="69">
        <f t="shared" si="83"/>
        <v>0</v>
      </c>
      <c r="AB73" s="69">
        <f t="shared" si="83"/>
        <v>0</v>
      </c>
      <c r="AC73" s="69">
        <f t="shared" si="83"/>
        <v>0</v>
      </c>
      <c r="AD73" s="69">
        <f t="shared" si="83"/>
        <v>0</v>
      </c>
      <c r="AE73" s="69"/>
      <c r="AF73" s="69">
        <f>AF46+AF66</f>
        <v>0</v>
      </c>
      <c r="AH73" s="85">
        <f t="shared" ref="AH73:AS74" si="84">AH46+AH66</f>
        <v>0</v>
      </c>
      <c r="AI73" s="85">
        <f t="shared" si="84"/>
        <v>0</v>
      </c>
      <c r="AJ73" s="85">
        <f t="shared" si="84"/>
        <v>0</v>
      </c>
      <c r="AK73" s="85">
        <f t="shared" si="84"/>
        <v>0</v>
      </c>
      <c r="AL73" s="85">
        <f t="shared" si="84"/>
        <v>0</v>
      </c>
      <c r="AM73" s="69">
        <f t="shared" si="84"/>
        <v>0</v>
      </c>
      <c r="AN73" s="69">
        <f t="shared" si="84"/>
        <v>0</v>
      </c>
      <c r="AO73" s="69">
        <f t="shared" si="84"/>
        <v>0</v>
      </c>
      <c r="AP73" s="69">
        <f t="shared" si="84"/>
        <v>0</v>
      </c>
      <c r="AQ73" s="69">
        <f t="shared" si="84"/>
        <v>0</v>
      </c>
      <c r="AR73" s="69">
        <f t="shared" si="84"/>
        <v>0</v>
      </c>
      <c r="AS73" s="69">
        <f t="shared" si="84"/>
        <v>0</v>
      </c>
      <c r="AT73" s="69"/>
      <c r="AU73" s="69">
        <f>AU46+AU66</f>
        <v>0</v>
      </c>
    </row>
    <row r="74" spans="2:47" hidden="1" outlineLevel="1">
      <c r="B74" s="67" t="s">
        <v>136</v>
      </c>
      <c r="C74" s="52"/>
      <c r="D74" s="68">
        <f t="shared" si="81"/>
        <v>0</v>
      </c>
      <c r="E74" s="68">
        <f t="shared" si="81"/>
        <v>0</v>
      </c>
      <c r="F74" s="68">
        <f t="shared" si="81"/>
        <v>0</v>
      </c>
      <c r="G74" s="68">
        <f t="shared" si="81"/>
        <v>0</v>
      </c>
      <c r="H74" s="68">
        <f t="shared" si="81"/>
        <v>0</v>
      </c>
      <c r="I74" s="68">
        <f t="shared" si="81"/>
        <v>0</v>
      </c>
      <c r="J74" s="68" t="e">
        <f>J47+#REF!</f>
        <v>#REF!</v>
      </c>
      <c r="K74" s="68">
        <f t="shared" si="82"/>
        <v>0</v>
      </c>
      <c r="L74" s="68">
        <f t="shared" si="82"/>
        <v>0</v>
      </c>
      <c r="M74" s="69">
        <f t="shared" si="82"/>
        <v>0</v>
      </c>
      <c r="N74" s="69">
        <f t="shared" si="82"/>
        <v>0</v>
      </c>
      <c r="O74" s="69">
        <f t="shared" si="82"/>
        <v>0</v>
      </c>
      <c r="P74" s="69"/>
      <c r="Q74" s="69">
        <f>Q47+Q67</f>
        <v>0</v>
      </c>
      <c r="S74" s="85">
        <f t="shared" si="83"/>
        <v>0</v>
      </c>
      <c r="T74" s="85">
        <f t="shared" si="83"/>
        <v>0</v>
      </c>
      <c r="U74" s="85">
        <f t="shared" si="83"/>
        <v>0</v>
      </c>
      <c r="V74" s="85">
        <f t="shared" si="83"/>
        <v>0</v>
      </c>
      <c r="W74" s="85">
        <f t="shared" si="83"/>
        <v>0</v>
      </c>
      <c r="X74" s="69">
        <f t="shared" si="83"/>
        <v>0</v>
      </c>
      <c r="Y74" s="69">
        <f t="shared" si="83"/>
        <v>0</v>
      </c>
      <c r="Z74" s="69">
        <f t="shared" si="83"/>
        <v>0</v>
      </c>
      <c r="AA74" s="69">
        <f t="shared" si="83"/>
        <v>0</v>
      </c>
      <c r="AB74" s="69">
        <f t="shared" si="83"/>
        <v>0</v>
      </c>
      <c r="AC74" s="69">
        <f t="shared" si="83"/>
        <v>0</v>
      </c>
      <c r="AD74" s="69">
        <f t="shared" si="83"/>
        <v>0</v>
      </c>
      <c r="AE74" s="69"/>
      <c r="AF74" s="69">
        <f>AF47+AF67</f>
        <v>0</v>
      </c>
      <c r="AH74" s="85">
        <f t="shared" si="84"/>
        <v>0</v>
      </c>
      <c r="AI74" s="85">
        <f t="shared" si="84"/>
        <v>0</v>
      </c>
      <c r="AJ74" s="85">
        <f t="shared" si="84"/>
        <v>0</v>
      </c>
      <c r="AK74" s="85">
        <f t="shared" si="84"/>
        <v>0</v>
      </c>
      <c r="AL74" s="85">
        <f t="shared" si="84"/>
        <v>0</v>
      </c>
      <c r="AM74" s="69">
        <f t="shared" si="84"/>
        <v>0</v>
      </c>
      <c r="AN74" s="69">
        <f t="shared" si="84"/>
        <v>0</v>
      </c>
      <c r="AO74" s="69">
        <f t="shared" si="84"/>
        <v>0</v>
      </c>
      <c r="AP74" s="69">
        <f t="shared" si="84"/>
        <v>0</v>
      </c>
      <c r="AQ74" s="69">
        <f t="shared" si="84"/>
        <v>0</v>
      </c>
      <c r="AR74" s="69">
        <f t="shared" si="84"/>
        <v>0</v>
      </c>
      <c r="AS74" s="69">
        <f t="shared" si="84"/>
        <v>0</v>
      </c>
      <c r="AT74" s="69"/>
      <c r="AU74" s="69">
        <f>AU47+AU67</f>
        <v>0</v>
      </c>
    </row>
    <row r="75" spans="2:47" collapsed="1">
      <c r="B75" s="67" t="s">
        <v>137</v>
      </c>
      <c r="C75" s="52"/>
      <c r="D75" s="68">
        <f t="shared" ref="D75:O75" si="85">D48+D69</f>
        <v>0</v>
      </c>
      <c r="E75" s="68">
        <f t="shared" si="85"/>
        <v>0</v>
      </c>
      <c r="F75" s="68">
        <f t="shared" si="85"/>
        <v>0</v>
      </c>
      <c r="G75" s="68">
        <f t="shared" si="85"/>
        <v>0</v>
      </c>
      <c r="H75" s="68">
        <f t="shared" si="85"/>
        <v>0</v>
      </c>
      <c r="I75" s="68">
        <f t="shared" si="85"/>
        <v>0</v>
      </c>
      <c r="J75" s="68">
        <f t="shared" si="85"/>
        <v>0</v>
      </c>
      <c r="K75" s="68">
        <f t="shared" si="85"/>
        <v>0</v>
      </c>
      <c r="L75" s="68">
        <f t="shared" si="85"/>
        <v>0</v>
      </c>
      <c r="M75" s="69">
        <f t="shared" si="85"/>
        <v>0</v>
      </c>
      <c r="N75" s="69">
        <f t="shared" si="85"/>
        <v>0</v>
      </c>
      <c r="O75" s="69">
        <f t="shared" si="85"/>
        <v>0</v>
      </c>
      <c r="P75" s="69"/>
      <c r="Q75" s="69">
        <f>Q48+Q69</f>
        <v>0</v>
      </c>
      <c r="S75" s="85">
        <f t="shared" ref="S75:AD75" si="86">S48+S69</f>
        <v>0</v>
      </c>
      <c r="T75" s="85">
        <f t="shared" si="86"/>
        <v>0</v>
      </c>
      <c r="U75" s="85">
        <f t="shared" si="86"/>
        <v>0</v>
      </c>
      <c r="V75" s="85">
        <f t="shared" si="86"/>
        <v>0</v>
      </c>
      <c r="W75" s="85">
        <f t="shared" si="86"/>
        <v>0</v>
      </c>
      <c r="X75" s="69">
        <f t="shared" si="86"/>
        <v>0</v>
      </c>
      <c r="Y75" s="69">
        <f t="shared" si="86"/>
        <v>0</v>
      </c>
      <c r="Z75" s="69">
        <f t="shared" si="86"/>
        <v>0</v>
      </c>
      <c r="AA75" s="69">
        <f t="shared" si="86"/>
        <v>0</v>
      </c>
      <c r="AB75" s="69">
        <f t="shared" si="86"/>
        <v>0</v>
      </c>
      <c r="AC75" s="69">
        <f t="shared" si="86"/>
        <v>0</v>
      </c>
      <c r="AD75" s="69">
        <f t="shared" si="86"/>
        <v>0</v>
      </c>
      <c r="AE75" s="69"/>
      <c r="AF75" s="69">
        <f>AF48+AF69</f>
        <v>0</v>
      </c>
      <c r="AH75" s="85">
        <f t="shared" ref="AH75:AS75" si="87">AH48+AH69</f>
        <v>0</v>
      </c>
      <c r="AI75" s="85">
        <f t="shared" si="87"/>
        <v>0</v>
      </c>
      <c r="AJ75" s="85">
        <f t="shared" si="87"/>
        <v>0</v>
      </c>
      <c r="AK75" s="85">
        <f t="shared" si="87"/>
        <v>0</v>
      </c>
      <c r="AL75" s="85">
        <f t="shared" si="87"/>
        <v>0</v>
      </c>
      <c r="AM75" s="69">
        <f t="shared" si="87"/>
        <v>0</v>
      </c>
      <c r="AN75" s="69">
        <f t="shared" si="87"/>
        <v>0</v>
      </c>
      <c r="AO75" s="69">
        <f t="shared" si="87"/>
        <v>0</v>
      </c>
      <c r="AP75" s="69">
        <f t="shared" si="87"/>
        <v>0</v>
      </c>
      <c r="AQ75" s="69">
        <f t="shared" si="87"/>
        <v>0</v>
      </c>
      <c r="AR75" s="69">
        <f t="shared" si="87"/>
        <v>0</v>
      </c>
      <c r="AS75" s="69">
        <f t="shared" si="87"/>
        <v>0</v>
      </c>
      <c r="AT75" s="69"/>
      <c r="AU75" s="69">
        <f>AU48+AU69</f>
        <v>0</v>
      </c>
    </row>
    <row r="76" spans="2:47">
      <c r="B76" s="52"/>
      <c r="C76" s="52"/>
      <c r="D76" s="70"/>
      <c r="E76" s="70"/>
      <c r="F76" s="70"/>
      <c r="G76" s="70"/>
      <c r="H76" s="70"/>
      <c r="I76" s="70"/>
      <c r="J76" s="70"/>
      <c r="K76" s="70"/>
      <c r="L76" s="70"/>
      <c r="M76" s="52"/>
      <c r="N76" s="52"/>
      <c r="O76" s="52"/>
      <c r="P76" s="52"/>
      <c r="S76" s="10"/>
      <c r="T76" s="10"/>
      <c r="U76" s="10"/>
      <c r="V76" s="10"/>
      <c r="W76" s="10"/>
      <c r="X76" s="52"/>
      <c r="Y76" s="52"/>
      <c r="Z76" s="52"/>
      <c r="AA76" s="52"/>
      <c r="AB76" s="52"/>
      <c r="AC76" s="52"/>
      <c r="AD76" s="52"/>
      <c r="AE76" s="52"/>
      <c r="AH76" s="10"/>
      <c r="AI76" s="10"/>
      <c r="AJ76" s="10"/>
      <c r="AK76" s="10"/>
      <c r="AL76" s="10"/>
      <c r="AM76" s="52"/>
      <c r="AN76" s="52"/>
      <c r="AO76" s="52"/>
      <c r="AP76" s="52"/>
      <c r="AQ76" s="52"/>
      <c r="AR76" s="52"/>
      <c r="AS76" s="52"/>
      <c r="AT76" s="52"/>
    </row>
    <row r="77" spans="2:47" hidden="1" outlineLevel="1">
      <c r="B77" s="67" t="s">
        <v>138</v>
      </c>
      <c r="C77" s="52"/>
      <c r="D77" s="97">
        <f t="shared" ref="D77:O80" si="88">IFERROR(D71/D6,0)</f>
        <v>0</v>
      </c>
      <c r="E77" s="97">
        <f t="shared" si="88"/>
        <v>0</v>
      </c>
      <c r="F77" s="97">
        <f t="shared" si="88"/>
        <v>0</v>
      </c>
      <c r="G77" s="97">
        <f t="shared" si="88"/>
        <v>0</v>
      </c>
      <c r="H77" s="97">
        <f t="shared" si="88"/>
        <v>0</v>
      </c>
      <c r="I77" s="97">
        <f t="shared" si="88"/>
        <v>0</v>
      </c>
      <c r="J77" s="97">
        <f t="shared" si="88"/>
        <v>0</v>
      </c>
      <c r="K77" s="97">
        <f t="shared" si="88"/>
        <v>0</v>
      </c>
      <c r="L77" s="97">
        <f t="shared" si="88"/>
        <v>0</v>
      </c>
      <c r="M77" s="91">
        <f t="shared" si="88"/>
        <v>0</v>
      </c>
      <c r="N77" s="91">
        <f t="shared" si="88"/>
        <v>0</v>
      </c>
      <c r="O77" s="91">
        <f t="shared" si="88"/>
        <v>0</v>
      </c>
      <c r="P77" s="91"/>
      <c r="Q77" s="91">
        <f>IFERROR(Q71/Q6,0)</f>
        <v>0</v>
      </c>
      <c r="S77" s="91">
        <f t="shared" ref="S77:AD80" si="89">IFERROR(S71/S6,0)</f>
        <v>0</v>
      </c>
      <c r="T77" s="91">
        <f t="shared" si="89"/>
        <v>0</v>
      </c>
      <c r="U77" s="91">
        <f t="shared" si="89"/>
        <v>0</v>
      </c>
      <c r="V77" s="91">
        <f t="shared" si="89"/>
        <v>0</v>
      </c>
      <c r="W77" s="91">
        <f t="shared" si="89"/>
        <v>0</v>
      </c>
      <c r="X77" s="91">
        <f t="shared" si="89"/>
        <v>0</v>
      </c>
      <c r="Y77" s="91">
        <f t="shared" si="89"/>
        <v>0</v>
      </c>
      <c r="Z77" s="91">
        <f t="shared" si="89"/>
        <v>0</v>
      </c>
      <c r="AA77" s="91">
        <f t="shared" si="89"/>
        <v>0</v>
      </c>
      <c r="AB77" s="91">
        <f t="shared" si="89"/>
        <v>0</v>
      </c>
      <c r="AC77" s="91">
        <f t="shared" si="89"/>
        <v>0</v>
      </c>
      <c r="AD77" s="91">
        <f t="shared" si="89"/>
        <v>0</v>
      </c>
      <c r="AE77" s="91"/>
      <c r="AF77" s="91">
        <f>IFERROR(AF71/AF6,0)</f>
        <v>0</v>
      </c>
      <c r="AH77" s="91">
        <f t="shared" ref="AH77:AS80" si="90">IFERROR(AH71/AH6,0)</f>
        <v>0</v>
      </c>
      <c r="AI77" s="91">
        <f t="shared" si="90"/>
        <v>0</v>
      </c>
      <c r="AJ77" s="91">
        <f t="shared" si="90"/>
        <v>0</v>
      </c>
      <c r="AK77" s="91">
        <f t="shared" si="90"/>
        <v>0</v>
      </c>
      <c r="AL77" s="91">
        <f t="shared" si="90"/>
        <v>0</v>
      </c>
      <c r="AM77" s="91">
        <f t="shared" si="90"/>
        <v>0</v>
      </c>
      <c r="AN77" s="91">
        <f t="shared" si="90"/>
        <v>0</v>
      </c>
      <c r="AO77" s="91">
        <f t="shared" si="90"/>
        <v>0</v>
      </c>
      <c r="AP77" s="91">
        <f t="shared" si="90"/>
        <v>0</v>
      </c>
      <c r="AQ77" s="91">
        <f t="shared" si="90"/>
        <v>0</v>
      </c>
      <c r="AR77" s="91">
        <f t="shared" si="90"/>
        <v>0</v>
      </c>
      <c r="AS77" s="91">
        <f t="shared" si="90"/>
        <v>0</v>
      </c>
      <c r="AT77" s="91"/>
      <c r="AU77" s="91">
        <f>IFERROR(AU71/AU6,0)</f>
        <v>0</v>
      </c>
    </row>
    <row r="78" spans="2:47" hidden="1" outlineLevel="1">
      <c r="B78" s="67" t="s">
        <v>139</v>
      </c>
      <c r="C78" s="52"/>
      <c r="D78" s="97">
        <f t="shared" si="88"/>
        <v>0</v>
      </c>
      <c r="E78" s="97">
        <f t="shared" si="88"/>
        <v>0</v>
      </c>
      <c r="F78" s="97">
        <f t="shared" si="88"/>
        <v>0</v>
      </c>
      <c r="G78" s="97">
        <f t="shared" si="88"/>
        <v>0</v>
      </c>
      <c r="H78" s="97">
        <f t="shared" si="88"/>
        <v>0</v>
      </c>
      <c r="I78" s="97">
        <f t="shared" si="88"/>
        <v>0</v>
      </c>
      <c r="J78" s="97">
        <f t="shared" si="88"/>
        <v>0</v>
      </c>
      <c r="K78" s="97">
        <f t="shared" si="88"/>
        <v>0</v>
      </c>
      <c r="L78" s="97">
        <f t="shared" si="88"/>
        <v>0</v>
      </c>
      <c r="M78" s="91">
        <f t="shared" si="88"/>
        <v>0</v>
      </c>
      <c r="N78" s="91">
        <f t="shared" si="88"/>
        <v>0</v>
      </c>
      <c r="O78" s="91">
        <f t="shared" si="88"/>
        <v>0</v>
      </c>
      <c r="P78" s="91"/>
      <c r="Q78" s="91">
        <f>IFERROR(Q72/Q7,0)</f>
        <v>0</v>
      </c>
      <c r="S78" s="91">
        <f t="shared" si="89"/>
        <v>0</v>
      </c>
      <c r="T78" s="91">
        <f t="shared" si="89"/>
        <v>0</v>
      </c>
      <c r="U78" s="91">
        <f t="shared" si="89"/>
        <v>0</v>
      </c>
      <c r="V78" s="91">
        <f t="shared" si="89"/>
        <v>0</v>
      </c>
      <c r="W78" s="91">
        <f t="shared" si="89"/>
        <v>0</v>
      </c>
      <c r="X78" s="91">
        <f t="shared" si="89"/>
        <v>0</v>
      </c>
      <c r="Y78" s="91">
        <f t="shared" si="89"/>
        <v>0</v>
      </c>
      <c r="Z78" s="91">
        <f t="shared" si="89"/>
        <v>0</v>
      </c>
      <c r="AA78" s="91">
        <f t="shared" si="89"/>
        <v>0</v>
      </c>
      <c r="AB78" s="91">
        <f t="shared" si="89"/>
        <v>0</v>
      </c>
      <c r="AC78" s="91">
        <f t="shared" si="89"/>
        <v>0</v>
      </c>
      <c r="AD78" s="91">
        <f t="shared" si="89"/>
        <v>0</v>
      </c>
      <c r="AE78" s="91"/>
      <c r="AF78" s="91">
        <f>IFERROR(AF72/AF7,0)</f>
        <v>0</v>
      </c>
      <c r="AH78" s="91">
        <f t="shared" si="90"/>
        <v>0</v>
      </c>
      <c r="AI78" s="91">
        <f t="shared" si="90"/>
        <v>0</v>
      </c>
      <c r="AJ78" s="91">
        <f t="shared" si="90"/>
        <v>0</v>
      </c>
      <c r="AK78" s="91">
        <f t="shared" si="90"/>
        <v>0</v>
      </c>
      <c r="AL78" s="91">
        <f t="shared" si="90"/>
        <v>0</v>
      </c>
      <c r="AM78" s="91">
        <f t="shared" si="90"/>
        <v>0</v>
      </c>
      <c r="AN78" s="91">
        <f t="shared" si="90"/>
        <v>0</v>
      </c>
      <c r="AO78" s="91">
        <f t="shared" si="90"/>
        <v>0</v>
      </c>
      <c r="AP78" s="91">
        <f t="shared" si="90"/>
        <v>0</v>
      </c>
      <c r="AQ78" s="91">
        <f t="shared" si="90"/>
        <v>0</v>
      </c>
      <c r="AR78" s="91">
        <f t="shared" si="90"/>
        <v>0</v>
      </c>
      <c r="AS78" s="91">
        <f t="shared" si="90"/>
        <v>0</v>
      </c>
      <c r="AT78" s="91"/>
      <c r="AU78" s="91">
        <f>IFERROR(AU72/AU7,0)</f>
        <v>0</v>
      </c>
    </row>
    <row r="79" spans="2:47" hidden="1" outlineLevel="1">
      <c r="B79" s="67" t="s">
        <v>140</v>
      </c>
      <c r="C79" s="52"/>
      <c r="D79" s="97">
        <f t="shared" si="88"/>
        <v>0</v>
      </c>
      <c r="E79" s="97">
        <f t="shared" si="88"/>
        <v>0</v>
      </c>
      <c r="F79" s="97">
        <f t="shared" si="88"/>
        <v>0</v>
      </c>
      <c r="G79" s="97">
        <f t="shared" si="88"/>
        <v>0</v>
      </c>
      <c r="H79" s="97">
        <f t="shared" si="88"/>
        <v>0</v>
      </c>
      <c r="I79" s="97">
        <f t="shared" si="88"/>
        <v>0</v>
      </c>
      <c r="J79" s="97">
        <f t="shared" si="88"/>
        <v>0</v>
      </c>
      <c r="K79" s="97">
        <f t="shared" si="88"/>
        <v>0</v>
      </c>
      <c r="L79" s="97">
        <f t="shared" si="88"/>
        <v>0</v>
      </c>
      <c r="M79" s="91">
        <f t="shared" si="88"/>
        <v>0</v>
      </c>
      <c r="N79" s="91">
        <f t="shared" si="88"/>
        <v>0</v>
      </c>
      <c r="O79" s="91">
        <f t="shared" si="88"/>
        <v>0</v>
      </c>
      <c r="P79" s="91"/>
      <c r="Q79" s="91">
        <f>IFERROR(Q73/Q8,0)</f>
        <v>0</v>
      </c>
      <c r="S79" s="91">
        <f t="shared" si="89"/>
        <v>0</v>
      </c>
      <c r="T79" s="91">
        <f t="shared" si="89"/>
        <v>0</v>
      </c>
      <c r="U79" s="91">
        <f t="shared" si="89"/>
        <v>0</v>
      </c>
      <c r="V79" s="91">
        <f t="shared" si="89"/>
        <v>0</v>
      </c>
      <c r="W79" s="91">
        <f t="shared" si="89"/>
        <v>0</v>
      </c>
      <c r="X79" s="91">
        <f t="shared" si="89"/>
        <v>0</v>
      </c>
      <c r="Y79" s="91">
        <f t="shared" si="89"/>
        <v>0</v>
      </c>
      <c r="Z79" s="91">
        <f t="shared" si="89"/>
        <v>0</v>
      </c>
      <c r="AA79" s="91">
        <f t="shared" si="89"/>
        <v>0</v>
      </c>
      <c r="AB79" s="91">
        <f t="shared" si="89"/>
        <v>0</v>
      </c>
      <c r="AC79" s="91">
        <f t="shared" si="89"/>
        <v>0</v>
      </c>
      <c r="AD79" s="91">
        <f t="shared" si="89"/>
        <v>0</v>
      </c>
      <c r="AE79" s="91"/>
      <c r="AF79" s="91">
        <f>IFERROR(AF73/AF8,0)</f>
        <v>0</v>
      </c>
      <c r="AH79" s="91">
        <f t="shared" si="90"/>
        <v>0</v>
      </c>
      <c r="AI79" s="91">
        <f t="shared" si="90"/>
        <v>0</v>
      </c>
      <c r="AJ79" s="91">
        <f t="shared" si="90"/>
        <v>0</v>
      </c>
      <c r="AK79" s="91">
        <f t="shared" si="90"/>
        <v>0</v>
      </c>
      <c r="AL79" s="91">
        <f t="shared" si="90"/>
        <v>0</v>
      </c>
      <c r="AM79" s="91">
        <f t="shared" si="90"/>
        <v>0</v>
      </c>
      <c r="AN79" s="91">
        <f t="shared" si="90"/>
        <v>0</v>
      </c>
      <c r="AO79" s="91">
        <f t="shared" si="90"/>
        <v>0</v>
      </c>
      <c r="AP79" s="91">
        <f t="shared" si="90"/>
        <v>0</v>
      </c>
      <c r="AQ79" s="91">
        <f t="shared" si="90"/>
        <v>0</v>
      </c>
      <c r="AR79" s="91">
        <f t="shared" si="90"/>
        <v>0</v>
      </c>
      <c r="AS79" s="91">
        <f t="shared" si="90"/>
        <v>0</v>
      </c>
      <c r="AT79" s="91"/>
      <c r="AU79" s="91">
        <f>IFERROR(AU73/AU8,0)</f>
        <v>0</v>
      </c>
    </row>
    <row r="80" spans="2:47" hidden="1" outlineLevel="1">
      <c r="B80" s="67" t="s">
        <v>141</v>
      </c>
      <c r="C80" s="52"/>
      <c r="D80" s="97">
        <f t="shared" si="88"/>
        <v>0</v>
      </c>
      <c r="E80" s="97">
        <f t="shared" si="88"/>
        <v>0</v>
      </c>
      <c r="F80" s="97">
        <f t="shared" si="88"/>
        <v>0</v>
      </c>
      <c r="G80" s="97">
        <f t="shared" si="88"/>
        <v>0</v>
      </c>
      <c r="H80" s="97">
        <f t="shared" si="88"/>
        <v>0</v>
      </c>
      <c r="I80" s="97">
        <f t="shared" si="88"/>
        <v>0</v>
      </c>
      <c r="J80" s="97">
        <f t="shared" si="88"/>
        <v>0</v>
      </c>
      <c r="K80" s="97">
        <f t="shared" si="88"/>
        <v>0</v>
      </c>
      <c r="L80" s="97">
        <f t="shared" si="88"/>
        <v>0</v>
      </c>
      <c r="M80" s="91">
        <f t="shared" si="88"/>
        <v>0</v>
      </c>
      <c r="N80" s="91">
        <f t="shared" si="88"/>
        <v>0</v>
      </c>
      <c r="O80" s="91">
        <f t="shared" si="88"/>
        <v>0</v>
      </c>
      <c r="P80" s="91"/>
      <c r="Q80" s="91">
        <f>IFERROR(Q74/Q9,0)</f>
        <v>0</v>
      </c>
      <c r="S80" s="91">
        <f t="shared" si="89"/>
        <v>0</v>
      </c>
      <c r="T80" s="91">
        <f t="shared" si="89"/>
        <v>0</v>
      </c>
      <c r="U80" s="91">
        <f t="shared" si="89"/>
        <v>0</v>
      </c>
      <c r="V80" s="91">
        <f t="shared" si="89"/>
        <v>0</v>
      </c>
      <c r="W80" s="91">
        <f t="shared" si="89"/>
        <v>0</v>
      </c>
      <c r="X80" s="91">
        <f t="shared" si="89"/>
        <v>0</v>
      </c>
      <c r="Y80" s="91">
        <f t="shared" si="89"/>
        <v>0</v>
      </c>
      <c r="Z80" s="91">
        <f t="shared" si="89"/>
        <v>0</v>
      </c>
      <c r="AA80" s="91">
        <f t="shared" si="89"/>
        <v>0</v>
      </c>
      <c r="AB80" s="91">
        <f t="shared" si="89"/>
        <v>0</v>
      </c>
      <c r="AC80" s="91">
        <f t="shared" si="89"/>
        <v>0</v>
      </c>
      <c r="AD80" s="91">
        <f t="shared" si="89"/>
        <v>0</v>
      </c>
      <c r="AE80" s="91"/>
      <c r="AF80" s="91">
        <f>IFERROR(AF74/AF9,0)</f>
        <v>0</v>
      </c>
      <c r="AH80" s="91">
        <f t="shared" si="90"/>
        <v>0</v>
      </c>
      <c r="AI80" s="91">
        <f t="shared" si="90"/>
        <v>0</v>
      </c>
      <c r="AJ80" s="91">
        <f t="shared" si="90"/>
        <v>0</v>
      </c>
      <c r="AK80" s="91">
        <f t="shared" si="90"/>
        <v>0</v>
      </c>
      <c r="AL80" s="91">
        <f t="shared" si="90"/>
        <v>0</v>
      </c>
      <c r="AM80" s="91">
        <f t="shared" si="90"/>
        <v>0</v>
      </c>
      <c r="AN80" s="91">
        <f t="shared" si="90"/>
        <v>0</v>
      </c>
      <c r="AO80" s="91">
        <f t="shared" si="90"/>
        <v>0</v>
      </c>
      <c r="AP80" s="91">
        <f t="shared" si="90"/>
        <v>0</v>
      </c>
      <c r="AQ80" s="91">
        <f t="shared" si="90"/>
        <v>0</v>
      </c>
      <c r="AR80" s="91">
        <f t="shared" si="90"/>
        <v>0</v>
      </c>
      <c r="AS80" s="91">
        <f t="shared" si="90"/>
        <v>0</v>
      </c>
      <c r="AT80" s="91"/>
      <c r="AU80" s="91">
        <f>IFERROR(AU74/AU9,0)</f>
        <v>0</v>
      </c>
    </row>
    <row r="81" spans="2:47" collapsed="1">
      <c r="B81" s="72" t="s">
        <v>142</v>
      </c>
      <c r="C81" s="73"/>
      <c r="D81" s="97">
        <f t="shared" ref="D81:O81" si="91">IFERROR(D75/D11,0)</f>
        <v>0</v>
      </c>
      <c r="E81" s="97">
        <f t="shared" si="91"/>
        <v>0</v>
      </c>
      <c r="F81" s="97">
        <f t="shared" si="91"/>
        <v>0</v>
      </c>
      <c r="G81" s="97">
        <f t="shared" si="91"/>
        <v>0</v>
      </c>
      <c r="H81" s="97">
        <f t="shared" si="91"/>
        <v>0</v>
      </c>
      <c r="I81" s="97">
        <f t="shared" si="91"/>
        <v>0</v>
      </c>
      <c r="J81" s="97">
        <f t="shared" si="91"/>
        <v>0</v>
      </c>
      <c r="K81" s="97">
        <f t="shared" si="91"/>
        <v>0</v>
      </c>
      <c r="L81" s="97">
        <f t="shared" si="91"/>
        <v>0</v>
      </c>
      <c r="M81" s="91">
        <f t="shared" si="91"/>
        <v>0</v>
      </c>
      <c r="N81" s="91">
        <f t="shared" si="91"/>
        <v>0</v>
      </c>
      <c r="O81" s="91">
        <f t="shared" si="91"/>
        <v>0</v>
      </c>
      <c r="P81" s="91"/>
      <c r="Q81" s="91">
        <f>IFERROR(Q75/Q11,0)</f>
        <v>0</v>
      </c>
      <c r="S81" s="91">
        <f t="shared" ref="S81:AD81" si="92">IFERROR(S75/S11,0)</f>
        <v>0</v>
      </c>
      <c r="T81" s="91">
        <f t="shared" si="92"/>
        <v>0</v>
      </c>
      <c r="U81" s="91">
        <f t="shared" si="92"/>
        <v>0</v>
      </c>
      <c r="V81" s="91">
        <f t="shared" si="92"/>
        <v>0</v>
      </c>
      <c r="W81" s="91">
        <f t="shared" si="92"/>
        <v>0</v>
      </c>
      <c r="X81" s="91">
        <f t="shared" si="92"/>
        <v>0</v>
      </c>
      <c r="Y81" s="91">
        <f t="shared" si="92"/>
        <v>0</v>
      </c>
      <c r="Z81" s="91">
        <f t="shared" si="92"/>
        <v>0</v>
      </c>
      <c r="AA81" s="91">
        <f t="shared" si="92"/>
        <v>0</v>
      </c>
      <c r="AB81" s="91">
        <f t="shared" si="92"/>
        <v>0</v>
      </c>
      <c r="AC81" s="91">
        <f t="shared" si="92"/>
        <v>0</v>
      </c>
      <c r="AD81" s="91">
        <f t="shared" si="92"/>
        <v>0</v>
      </c>
      <c r="AE81" s="91"/>
      <c r="AF81" s="91">
        <f>IFERROR(AF75/AF11,0)</f>
        <v>0</v>
      </c>
      <c r="AH81" s="91">
        <f t="shared" ref="AH81:AS81" si="93">IFERROR(AH75/AH11,0)</f>
        <v>0</v>
      </c>
      <c r="AI81" s="91">
        <f t="shared" si="93"/>
        <v>0</v>
      </c>
      <c r="AJ81" s="91">
        <f t="shared" si="93"/>
        <v>0</v>
      </c>
      <c r="AK81" s="91">
        <f t="shared" si="93"/>
        <v>0</v>
      </c>
      <c r="AL81" s="91">
        <f t="shared" si="93"/>
        <v>0</v>
      </c>
      <c r="AM81" s="91">
        <f t="shared" si="93"/>
        <v>0</v>
      </c>
      <c r="AN81" s="91">
        <f t="shared" si="93"/>
        <v>0</v>
      </c>
      <c r="AO81" s="91">
        <f t="shared" si="93"/>
        <v>0</v>
      </c>
      <c r="AP81" s="91">
        <f t="shared" si="93"/>
        <v>0</v>
      </c>
      <c r="AQ81" s="91">
        <f t="shared" si="93"/>
        <v>0</v>
      </c>
      <c r="AR81" s="91">
        <f t="shared" si="93"/>
        <v>0</v>
      </c>
      <c r="AS81" s="91">
        <f t="shared" si="93"/>
        <v>0</v>
      </c>
      <c r="AT81" s="91"/>
      <c r="AU81" s="91">
        <f>IFERROR(AU75/AU11,0)</f>
        <v>0</v>
      </c>
    </row>
    <row r="82" spans="2:47">
      <c r="D82" s="53"/>
      <c r="E82" s="53"/>
      <c r="F82" s="53"/>
      <c r="G82" s="53"/>
      <c r="H82" s="53"/>
      <c r="I82" s="53"/>
      <c r="J82" s="53"/>
      <c r="K82" s="53"/>
      <c r="L82" s="53"/>
      <c r="M82" s="91"/>
      <c r="N82" s="91"/>
      <c r="O82" s="91"/>
      <c r="P82" s="91"/>
      <c r="Q82" s="91"/>
    </row>
    <row r="83" spans="2:47" outlineLevel="1">
      <c r="B83" s="58" t="s">
        <v>143</v>
      </c>
      <c r="D83" s="53"/>
      <c r="E83" s="53"/>
      <c r="F83" s="53"/>
      <c r="G83" s="53"/>
      <c r="H83" s="53"/>
      <c r="I83" s="53"/>
      <c r="J83" s="53"/>
      <c r="K83" s="53"/>
      <c r="L83" s="53"/>
      <c r="M83" s="60"/>
      <c r="N83" s="60"/>
      <c r="O83" s="60"/>
      <c r="X83" s="60"/>
      <c r="Y83" s="60"/>
      <c r="Z83" s="60"/>
      <c r="AA83" s="60"/>
      <c r="AB83" s="60"/>
      <c r="AC83" s="60"/>
      <c r="AD83" s="60"/>
      <c r="AM83" s="60"/>
      <c r="AN83" s="60"/>
      <c r="AO83" s="60"/>
      <c r="AP83" s="60"/>
      <c r="AQ83" s="60"/>
      <c r="AR83" s="60"/>
      <c r="AS83" s="60"/>
    </row>
    <row r="84" spans="2:47" outlineLevel="1">
      <c r="B84" s="58"/>
      <c r="D84" s="53"/>
      <c r="E84" s="53"/>
      <c r="F84" s="53"/>
      <c r="G84" s="53"/>
      <c r="H84" s="53"/>
      <c r="I84" s="53"/>
      <c r="J84" s="53"/>
      <c r="K84" s="53"/>
      <c r="L84" s="53"/>
    </row>
    <row r="85" spans="2:47" outlineLevel="1">
      <c r="B85" s="51" t="s">
        <v>144</v>
      </c>
      <c r="D85" s="59"/>
      <c r="E85" s="59"/>
      <c r="F85" s="59"/>
      <c r="G85" s="59"/>
      <c r="H85" s="59"/>
      <c r="I85" s="59"/>
      <c r="J85" s="59"/>
      <c r="K85" s="59"/>
      <c r="L85" s="59"/>
      <c r="M85" s="60"/>
      <c r="N85" s="60"/>
      <c r="O85" s="60"/>
      <c r="P85" s="60"/>
      <c r="Q85" s="61">
        <f>SUM(D85:O85)</f>
        <v>0</v>
      </c>
      <c r="R85" s="61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1">
        <f>SUM(S85:AD85)</f>
        <v>0</v>
      </c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1">
        <f>SUM(AH85:AS85)</f>
        <v>0</v>
      </c>
    </row>
    <row r="86" spans="2:47" outlineLevel="1">
      <c r="B86" s="51" t="s">
        <v>145</v>
      </c>
      <c r="D86" s="59"/>
      <c r="E86" s="59"/>
      <c r="F86" s="59"/>
      <c r="G86" s="59"/>
      <c r="H86" s="59"/>
      <c r="I86" s="59"/>
      <c r="J86" s="59"/>
      <c r="K86" s="59"/>
      <c r="L86" s="59"/>
      <c r="M86" s="60"/>
      <c r="N86" s="60"/>
      <c r="O86" s="60"/>
      <c r="P86" s="60"/>
      <c r="Q86" s="61">
        <f t="shared" ref="Q86:Q93" si="94">SUM(D86:O86)</f>
        <v>0</v>
      </c>
      <c r="R86" s="61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1">
        <f t="shared" ref="AF86:AF93" si="95">SUM(S86:AD86)</f>
        <v>0</v>
      </c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1">
        <f t="shared" ref="AU86:AU93" si="96">SUM(AH86:AS86)</f>
        <v>0</v>
      </c>
    </row>
    <row r="87" spans="2:47" outlineLevel="1">
      <c r="B87" s="51" t="s">
        <v>146</v>
      </c>
      <c r="D87" s="59"/>
      <c r="E87" s="59"/>
      <c r="F87" s="59"/>
      <c r="G87" s="59"/>
      <c r="H87" s="59"/>
      <c r="I87" s="59"/>
      <c r="J87" s="59"/>
      <c r="K87" s="59"/>
      <c r="L87" s="59"/>
      <c r="M87" s="60"/>
      <c r="N87" s="60"/>
      <c r="O87" s="60"/>
      <c r="P87" s="60"/>
      <c r="Q87" s="61">
        <f t="shared" si="94"/>
        <v>0</v>
      </c>
      <c r="R87" s="61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1">
        <f t="shared" si="95"/>
        <v>0</v>
      </c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1">
        <f t="shared" si="96"/>
        <v>0</v>
      </c>
    </row>
    <row r="88" spans="2:47" outlineLevel="1">
      <c r="B88" s="51" t="s">
        <v>147</v>
      </c>
      <c r="D88" s="59"/>
      <c r="E88" s="59"/>
      <c r="F88" s="59"/>
      <c r="G88" s="59"/>
      <c r="H88" s="59"/>
      <c r="I88" s="59"/>
      <c r="J88" s="59"/>
      <c r="K88" s="59"/>
      <c r="L88" s="59"/>
      <c r="M88" s="60"/>
      <c r="N88" s="60"/>
      <c r="O88" s="60"/>
      <c r="P88" s="60"/>
      <c r="Q88" s="61">
        <f t="shared" si="94"/>
        <v>0</v>
      </c>
      <c r="R88" s="61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1">
        <f t="shared" si="95"/>
        <v>0</v>
      </c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1">
        <f t="shared" si="96"/>
        <v>0</v>
      </c>
    </row>
    <row r="89" spans="2:47" outlineLevel="1">
      <c r="B89" s="51" t="s">
        <v>148</v>
      </c>
      <c r="D89" s="59"/>
      <c r="E89" s="59"/>
      <c r="F89" s="59"/>
      <c r="G89" s="59"/>
      <c r="H89" s="59"/>
      <c r="I89" s="59"/>
      <c r="J89" s="59"/>
      <c r="K89" s="59"/>
      <c r="L89" s="59"/>
      <c r="M89" s="60"/>
      <c r="N89" s="60"/>
      <c r="O89" s="60"/>
      <c r="P89" s="60"/>
      <c r="Q89" s="61">
        <f t="shared" si="94"/>
        <v>0</v>
      </c>
      <c r="R89" s="61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1">
        <f t="shared" si="95"/>
        <v>0</v>
      </c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1">
        <f t="shared" si="96"/>
        <v>0</v>
      </c>
    </row>
    <row r="90" spans="2:47" outlineLevel="1">
      <c r="B90" s="51" t="s">
        <v>149</v>
      </c>
      <c r="D90" s="59"/>
      <c r="E90" s="59"/>
      <c r="F90" s="59"/>
      <c r="G90" s="59"/>
      <c r="H90" s="59"/>
      <c r="I90" s="59"/>
      <c r="J90" s="59"/>
      <c r="K90" s="59"/>
      <c r="L90" s="59"/>
      <c r="M90" s="60"/>
      <c r="N90" s="60"/>
      <c r="O90" s="60"/>
      <c r="P90" s="60"/>
      <c r="Q90" s="61">
        <f t="shared" si="94"/>
        <v>0</v>
      </c>
      <c r="R90" s="61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1">
        <f t="shared" si="95"/>
        <v>0</v>
      </c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1">
        <f t="shared" si="96"/>
        <v>0</v>
      </c>
    </row>
    <row r="91" spans="2:47" outlineLevel="1">
      <c r="B91" s="51" t="s">
        <v>150</v>
      </c>
      <c r="D91" s="59"/>
      <c r="E91" s="59"/>
      <c r="F91" s="59"/>
      <c r="G91" s="59"/>
      <c r="H91" s="59"/>
      <c r="I91" s="59"/>
      <c r="J91" s="59"/>
      <c r="K91" s="59"/>
      <c r="L91" s="59"/>
      <c r="M91" s="60"/>
      <c r="N91" s="60"/>
      <c r="O91" s="60"/>
      <c r="P91" s="60"/>
      <c r="Q91" s="61">
        <f t="shared" si="94"/>
        <v>0</v>
      </c>
      <c r="R91" s="61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1">
        <f t="shared" si="95"/>
        <v>0</v>
      </c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1">
        <f t="shared" si="96"/>
        <v>0</v>
      </c>
    </row>
    <row r="92" spans="2:47" outlineLevel="1">
      <c r="B92" s="51" t="s">
        <v>151</v>
      </c>
      <c r="D92" s="59"/>
      <c r="E92" s="59"/>
      <c r="F92" s="59"/>
      <c r="G92" s="59"/>
      <c r="H92" s="59"/>
      <c r="I92" s="59"/>
      <c r="J92" s="59"/>
      <c r="K92" s="59"/>
      <c r="L92" s="59"/>
      <c r="M92" s="60"/>
      <c r="N92" s="60"/>
      <c r="O92" s="60"/>
      <c r="P92" s="60"/>
      <c r="Q92" s="61">
        <f t="shared" si="94"/>
        <v>0</v>
      </c>
      <c r="R92" s="61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1">
        <f t="shared" si="95"/>
        <v>0</v>
      </c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1">
        <f t="shared" si="96"/>
        <v>0</v>
      </c>
    </row>
    <row r="93" spans="2:47" outlineLevel="1">
      <c r="B93" s="51" t="s">
        <v>143</v>
      </c>
      <c r="D93" s="59"/>
      <c r="E93" s="59"/>
      <c r="F93" s="59"/>
      <c r="G93" s="59"/>
      <c r="H93" s="59"/>
      <c r="I93" s="59"/>
      <c r="J93" s="59"/>
      <c r="K93" s="59"/>
      <c r="L93" s="59"/>
      <c r="M93" s="60"/>
      <c r="N93" s="60"/>
      <c r="O93" s="60"/>
      <c r="P93" s="60"/>
      <c r="Q93" s="61">
        <f t="shared" si="94"/>
        <v>0</v>
      </c>
      <c r="R93" s="61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1">
        <f t="shared" si="95"/>
        <v>0</v>
      </c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1">
        <f t="shared" si="96"/>
        <v>0</v>
      </c>
    </row>
    <row r="94" spans="2:47" outlineLevel="1">
      <c r="D94" s="53"/>
      <c r="E94" s="53"/>
      <c r="F94" s="53"/>
      <c r="G94" s="53"/>
      <c r="H94" s="53"/>
      <c r="I94" s="53"/>
      <c r="J94" s="53"/>
      <c r="K94" s="53"/>
      <c r="L94" s="53"/>
    </row>
    <row r="95" spans="2:47">
      <c r="B95" s="65" t="s">
        <v>152</v>
      </c>
      <c r="C95" s="61"/>
      <c r="D95" s="64">
        <f t="shared" ref="D95:J95" si="97">SUM(D85:D94)</f>
        <v>0</v>
      </c>
      <c r="E95" s="64">
        <f t="shared" si="97"/>
        <v>0</v>
      </c>
      <c r="F95" s="64">
        <f t="shared" si="97"/>
        <v>0</v>
      </c>
      <c r="G95" s="64">
        <f t="shared" si="97"/>
        <v>0</v>
      </c>
      <c r="H95" s="64">
        <f t="shared" si="97"/>
        <v>0</v>
      </c>
      <c r="I95" s="64">
        <f t="shared" si="97"/>
        <v>0</v>
      </c>
      <c r="J95" s="64">
        <f t="shared" si="97"/>
        <v>0</v>
      </c>
      <c r="K95" s="64">
        <f>SUM(K85:K94)</f>
        <v>0</v>
      </c>
      <c r="L95" s="64">
        <f>SUM(L85:L94)</f>
        <v>0</v>
      </c>
      <c r="M95" s="65">
        <f>SUM(M85:M94)</f>
        <v>0</v>
      </c>
      <c r="N95" s="65">
        <f>SUM(N85:N94)</f>
        <v>0</v>
      </c>
      <c r="O95" s="65">
        <f>SUM(O85:O94)</f>
        <v>0</v>
      </c>
      <c r="P95" s="61"/>
      <c r="Q95" s="65">
        <f>SUM(D95:O95)</f>
        <v>0</v>
      </c>
      <c r="S95" s="84">
        <f>SUM(S85:S94)</f>
        <v>0</v>
      </c>
      <c r="T95" s="84">
        <f t="shared" ref="T95:Z95" si="98">SUM(T85:T94)</f>
        <v>0</v>
      </c>
      <c r="U95" s="84">
        <f t="shared" si="98"/>
        <v>0</v>
      </c>
      <c r="V95" s="84">
        <f t="shared" si="98"/>
        <v>0</v>
      </c>
      <c r="W95" s="84">
        <f t="shared" si="98"/>
        <v>0</v>
      </c>
      <c r="X95" s="84">
        <f t="shared" si="98"/>
        <v>0</v>
      </c>
      <c r="Y95" s="84">
        <f t="shared" si="98"/>
        <v>0</v>
      </c>
      <c r="Z95" s="84">
        <f t="shared" si="98"/>
        <v>0</v>
      </c>
      <c r="AA95" s="65">
        <f>SUM(AA85:AA94)</f>
        <v>0</v>
      </c>
      <c r="AB95" s="65">
        <f>SUM(AB85:AB94)</f>
        <v>0</v>
      </c>
      <c r="AC95" s="65">
        <f>SUM(AC85:AC94)</f>
        <v>0</v>
      </c>
      <c r="AD95" s="65">
        <f>SUM(AD85:AD94)</f>
        <v>0</v>
      </c>
      <c r="AE95" s="61"/>
      <c r="AF95" s="65">
        <f>SUM(S95:AD95)</f>
        <v>0</v>
      </c>
      <c r="AH95" s="84">
        <f>SUM(AH85:AH94)</f>
        <v>0</v>
      </c>
      <c r="AI95" s="84">
        <f t="shared" ref="AI95:AO95" si="99">SUM(AI85:AI94)</f>
        <v>0</v>
      </c>
      <c r="AJ95" s="84">
        <f t="shared" si="99"/>
        <v>0</v>
      </c>
      <c r="AK95" s="84">
        <f t="shared" si="99"/>
        <v>0</v>
      </c>
      <c r="AL95" s="84">
        <f t="shared" si="99"/>
        <v>0</v>
      </c>
      <c r="AM95" s="84">
        <f t="shared" si="99"/>
        <v>0</v>
      </c>
      <c r="AN95" s="84">
        <f t="shared" si="99"/>
        <v>0</v>
      </c>
      <c r="AO95" s="84">
        <f t="shared" si="99"/>
        <v>0</v>
      </c>
      <c r="AP95" s="65">
        <f>SUM(AP85:AP94)</f>
        <v>0</v>
      </c>
      <c r="AQ95" s="65">
        <f>SUM(AQ85:AQ94)</f>
        <v>0</v>
      </c>
      <c r="AR95" s="65">
        <f>SUM(AR85:AR94)</f>
        <v>0</v>
      </c>
      <c r="AS95" s="65">
        <f>SUM(AS85:AS94)</f>
        <v>0</v>
      </c>
      <c r="AT95" s="61"/>
      <c r="AU95" s="65">
        <f>SUM(AH95:AS95)</f>
        <v>0</v>
      </c>
    </row>
    <row r="96" spans="2:47">
      <c r="D96" s="76"/>
      <c r="E96" s="76"/>
      <c r="F96" s="76"/>
      <c r="G96" s="76"/>
      <c r="H96" s="76"/>
      <c r="I96" s="76"/>
      <c r="J96" s="76"/>
      <c r="K96" s="76"/>
      <c r="L96" s="76"/>
      <c r="M96" s="77"/>
      <c r="N96" s="77"/>
      <c r="O96" s="77"/>
      <c r="Q96" s="91" t="e">
        <f>-Q95/Q11</f>
        <v>#DIV/0!</v>
      </c>
      <c r="S96" s="89"/>
      <c r="T96" s="89"/>
      <c r="U96" s="89"/>
      <c r="V96" s="89"/>
      <c r="W96" s="89"/>
      <c r="X96" s="77"/>
      <c r="Y96" s="77"/>
      <c r="Z96" s="77"/>
      <c r="AA96" s="77"/>
      <c r="AB96" s="77"/>
      <c r="AC96" s="77"/>
      <c r="AD96" s="77"/>
      <c r="AF96" s="91" t="e">
        <f>-AF95/AF11</f>
        <v>#DIV/0!</v>
      </c>
      <c r="AH96" s="89"/>
      <c r="AI96" s="89"/>
      <c r="AJ96" s="89"/>
      <c r="AK96" s="89"/>
      <c r="AL96" s="89"/>
      <c r="AM96" s="77"/>
      <c r="AN96" s="77"/>
      <c r="AO96" s="77"/>
      <c r="AP96" s="77"/>
      <c r="AQ96" s="77"/>
      <c r="AR96" s="77"/>
      <c r="AS96" s="77"/>
      <c r="AU96" s="91" t="e">
        <f>-AU95/AU11</f>
        <v>#DIV/0!</v>
      </c>
    </row>
    <row r="97" spans="2:47">
      <c r="B97" s="52" t="s">
        <v>153</v>
      </c>
      <c r="C97" s="52"/>
      <c r="D97" s="78">
        <f>D75+D95</f>
        <v>0</v>
      </c>
      <c r="E97" s="78">
        <f t="shared" ref="E97:J97" si="100">E75+E95</f>
        <v>0</v>
      </c>
      <c r="F97" s="78">
        <f t="shared" si="100"/>
        <v>0</v>
      </c>
      <c r="G97" s="78">
        <f t="shared" si="100"/>
        <v>0</v>
      </c>
      <c r="H97" s="78">
        <f t="shared" si="100"/>
        <v>0</v>
      </c>
      <c r="I97" s="78">
        <f t="shared" si="100"/>
        <v>0</v>
      </c>
      <c r="J97" s="78">
        <f t="shared" si="100"/>
        <v>0</v>
      </c>
      <c r="K97" s="78">
        <f>K75+K95</f>
        <v>0</v>
      </c>
      <c r="L97" s="78">
        <f>L75+L95</f>
        <v>0</v>
      </c>
      <c r="M97" s="61">
        <f t="shared" ref="M97:N97" si="101">M75+M95</f>
        <v>0</v>
      </c>
      <c r="N97" s="61">
        <f t="shared" si="101"/>
        <v>0</v>
      </c>
      <c r="O97" s="61">
        <f>O75+O95</f>
        <v>0</v>
      </c>
      <c r="P97" s="61"/>
      <c r="Q97" s="79">
        <f>Q75+Q95</f>
        <v>0</v>
      </c>
      <c r="S97" s="61">
        <f t="shared" ref="S97:AD97" si="102">S75+S95</f>
        <v>0</v>
      </c>
      <c r="T97" s="61">
        <f t="shared" si="102"/>
        <v>0</v>
      </c>
      <c r="U97" s="61">
        <f t="shared" si="102"/>
        <v>0</v>
      </c>
      <c r="V97" s="61">
        <f t="shared" si="102"/>
        <v>0</v>
      </c>
      <c r="W97" s="61">
        <f t="shared" si="102"/>
        <v>0</v>
      </c>
      <c r="X97" s="61">
        <f t="shared" si="102"/>
        <v>0</v>
      </c>
      <c r="Y97" s="61">
        <f t="shared" si="102"/>
        <v>0</v>
      </c>
      <c r="Z97" s="61">
        <f t="shared" si="102"/>
        <v>0</v>
      </c>
      <c r="AA97" s="61">
        <f t="shared" si="102"/>
        <v>0</v>
      </c>
      <c r="AB97" s="61">
        <f t="shared" si="102"/>
        <v>0</v>
      </c>
      <c r="AC97" s="61">
        <f t="shared" si="102"/>
        <v>0</v>
      </c>
      <c r="AD97" s="61">
        <f t="shared" si="102"/>
        <v>0</v>
      </c>
      <c r="AE97" s="61"/>
      <c r="AF97" s="79">
        <f>AF75+AF95</f>
        <v>0</v>
      </c>
      <c r="AH97" s="61">
        <f t="shared" ref="AH97:AS97" si="103">AH75+AH95</f>
        <v>0</v>
      </c>
      <c r="AI97" s="61">
        <f t="shared" si="103"/>
        <v>0</v>
      </c>
      <c r="AJ97" s="61">
        <f t="shared" si="103"/>
        <v>0</v>
      </c>
      <c r="AK97" s="61">
        <f t="shared" si="103"/>
        <v>0</v>
      </c>
      <c r="AL97" s="61">
        <f t="shared" si="103"/>
        <v>0</v>
      </c>
      <c r="AM97" s="61">
        <f t="shared" si="103"/>
        <v>0</v>
      </c>
      <c r="AN97" s="61">
        <f t="shared" si="103"/>
        <v>0</v>
      </c>
      <c r="AO97" s="61">
        <f t="shared" si="103"/>
        <v>0</v>
      </c>
      <c r="AP97" s="61">
        <f t="shared" si="103"/>
        <v>0</v>
      </c>
      <c r="AQ97" s="61">
        <f t="shared" si="103"/>
        <v>0</v>
      </c>
      <c r="AR97" s="61">
        <f t="shared" si="103"/>
        <v>0</v>
      </c>
      <c r="AS97" s="61">
        <f t="shared" si="103"/>
        <v>0</v>
      </c>
      <c r="AT97" s="61"/>
      <c r="AU97" s="79">
        <f>AU75+AU95</f>
        <v>0</v>
      </c>
    </row>
    <row r="98" spans="2:47">
      <c r="B98" s="72" t="s">
        <v>186</v>
      </c>
      <c r="C98" s="73"/>
      <c r="D98" s="97">
        <f>IFERROR(D97/D11,0)</f>
        <v>0</v>
      </c>
      <c r="E98" s="97">
        <f t="shared" ref="E98:K98" si="104">IFERROR(E97/E11,0)</f>
        <v>0</v>
      </c>
      <c r="F98" s="97">
        <f t="shared" si="104"/>
        <v>0</v>
      </c>
      <c r="G98" s="97">
        <f t="shared" si="104"/>
        <v>0</v>
      </c>
      <c r="H98" s="97">
        <f t="shared" si="104"/>
        <v>0</v>
      </c>
      <c r="I98" s="97">
        <f t="shared" si="104"/>
        <v>0</v>
      </c>
      <c r="J98" s="97">
        <f t="shared" si="104"/>
        <v>0</v>
      </c>
      <c r="K98" s="97">
        <f t="shared" si="104"/>
        <v>0</v>
      </c>
      <c r="L98" s="97">
        <f>IFERROR(L97/L11,0)</f>
        <v>0</v>
      </c>
      <c r="M98" s="194">
        <f t="shared" ref="M98:Q98" si="105">IFERROR(M97/M11,0)</f>
        <v>0</v>
      </c>
      <c r="N98" s="194">
        <f t="shared" si="105"/>
        <v>0</v>
      </c>
      <c r="O98" s="194">
        <f t="shared" si="105"/>
        <v>0</v>
      </c>
      <c r="P98" s="91"/>
      <c r="Q98" s="194">
        <f t="shared" si="105"/>
        <v>0</v>
      </c>
      <c r="S98" s="194">
        <f t="shared" ref="S98:AD98" si="106">IFERROR(S97/S11,0)</f>
        <v>0</v>
      </c>
      <c r="T98" s="194">
        <f t="shared" si="106"/>
        <v>0</v>
      </c>
      <c r="U98" s="194">
        <f t="shared" si="106"/>
        <v>0</v>
      </c>
      <c r="V98" s="194">
        <f t="shared" si="106"/>
        <v>0</v>
      </c>
      <c r="W98" s="194">
        <f t="shared" si="106"/>
        <v>0</v>
      </c>
      <c r="X98" s="194">
        <f t="shared" si="106"/>
        <v>0</v>
      </c>
      <c r="Y98" s="194">
        <f t="shared" si="106"/>
        <v>0</v>
      </c>
      <c r="Z98" s="194">
        <f t="shared" si="106"/>
        <v>0</v>
      </c>
      <c r="AA98" s="194">
        <f t="shared" si="106"/>
        <v>0</v>
      </c>
      <c r="AB98" s="194">
        <f t="shared" si="106"/>
        <v>0</v>
      </c>
      <c r="AC98" s="194">
        <f t="shared" si="106"/>
        <v>0</v>
      </c>
      <c r="AD98" s="194">
        <f t="shared" si="106"/>
        <v>0</v>
      </c>
      <c r="AE98" s="91"/>
      <c r="AF98" s="194">
        <f t="shared" ref="AF98" si="107">IFERROR(AF97/AF11,0)</f>
        <v>0</v>
      </c>
      <c r="AH98" s="194">
        <f t="shared" ref="AH98:AS98" si="108">IFERROR(AH97/AH11,0)</f>
        <v>0</v>
      </c>
      <c r="AI98" s="194">
        <f t="shared" si="108"/>
        <v>0</v>
      </c>
      <c r="AJ98" s="194">
        <f t="shared" si="108"/>
        <v>0</v>
      </c>
      <c r="AK98" s="194">
        <f t="shared" si="108"/>
        <v>0</v>
      </c>
      <c r="AL98" s="194">
        <f t="shared" si="108"/>
        <v>0</v>
      </c>
      <c r="AM98" s="194">
        <f t="shared" si="108"/>
        <v>0</v>
      </c>
      <c r="AN98" s="194">
        <f t="shared" si="108"/>
        <v>0</v>
      </c>
      <c r="AO98" s="194">
        <f t="shared" si="108"/>
        <v>0</v>
      </c>
      <c r="AP98" s="194">
        <f t="shared" si="108"/>
        <v>0</v>
      </c>
      <c r="AQ98" s="194">
        <f t="shared" si="108"/>
        <v>0</v>
      </c>
      <c r="AR98" s="194">
        <f t="shared" si="108"/>
        <v>0</v>
      </c>
      <c r="AS98" s="194">
        <f t="shared" si="108"/>
        <v>0</v>
      </c>
      <c r="AT98" s="91"/>
      <c r="AU98" s="194">
        <f t="shared" ref="AU98" si="109">IFERROR(AU97/AU11,0)</f>
        <v>0</v>
      </c>
    </row>
  </sheetData>
  <sheetProtection sheet="1" objects="1" scenarios="1"/>
  <mergeCells count="3">
    <mergeCell ref="S1:AF1"/>
    <mergeCell ref="AH1:AU1"/>
    <mergeCell ref="D1:Q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12CBC-8D72-47E1-A484-CC56AA096DE0}">
  <sheetPr codeName="Sheet13">
    <tabColor theme="4" tint="0.39997558519241921"/>
  </sheetPr>
  <dimension ref="A1:AW99"/>
  <sheetViews>
    <sheetView showGridLines="0" zoomScale="250" zoomScaleNormal="100" workbookViewId="0">
      <pane xSplit="2" ySplit="4" topLeftCell="W55" activePane="bottomRight" state="frozen"/>
      <selection pane="topRight"/>
      <selection pane="bottomLeft"/>
      <selection pane="bottomRight" activeCell="AF76" sqref="AF76"/>
    </sheetView>
  </sheetViews>
  <sheetFormatPr baseColWidth="10" defaultColWidth="8.5" defaultRowHeight="11" outlineLevelRow="2" outlineLevelCol="1"/>
  <cols>
    <col min="1" max="1" width="9.5" style="51" customWidth="1"/>
    <col min="2" max="2" width="22.5" style="51" bestFit="1" customWidth="1"/>
    <col min="3" max="3" width="5" style="51" customWidth="1"/>
    <col min="4" max="4" width="8.5" style="7" customWidth="1" outlineLevel="1"/>
    <col min="5" max="5" width="9.1640625" style="7" customWidth="1" outlineLevel="1"/>
    <col min="6" max="6" width="8.5" style="7" customWidth="1" outlineLevel="1"/>
    <col min="7" max="7" width="9.1640625" style="7" customWidth="1" outlineLevel="1"/>
    <col min="8" max="8" width="8.5" style="7" customWidth="1" outlineLevel="1"/>
    <col min="9" max="11" width="8.83203125" style="51" customWidth="1" outlineLevel="1"/>
    <col min="12" max="12" width="9.5" style="51" bestFit="1" customWidth="1"/>
    <col min="13" max="15" width="8.83203125" style="51" bestFit="1" customWidth="1"/>
    <col min="16" max="16" width="3.1640625" style="51" customWidth="1"/>
    <col min="17" max="17" width="9.5" style="52" bestFit="1" customWidth="1"/>
    <col min="18" max="18" width="11.1640625" style="51" bestFit="1" customWidth="1"/>
    <col min="19" max="19" width="8.5" style="7"/>
    <col min="20" max="22" width="8.83203125" style="7" bestFit="1" customWidth="1"/>
    <col min="23" max="23" width="9.1640625" style="7" bestFit="1" customWidth="1"/>
    <col min="24" max="30" width="8.83203125" style="51" bestFit="1" customWidth="1"/>
    <col min="31" max="31" width="3.1640625" style="51" customWidth="1"/>
    <col min="32" max="32" width="9.5" style="52" bestFit="1" customWidth="1"/>
    <col min="33" max="33" width="11" style="7" bestFit="1" customWidth="1"/>
    <col min="34" max="35" width="8.83203125" style="7" bestFit="1" customWidth="1"/>
    <col min="36" max="36" width="8.5" style="7"/>
    <col min="37" max="37" width="8.83203125" style="7" bestFit="1" customWidth="1"/>
    <col min="38" max="38" width="9.1640625" style="7" bestFit="1" customWidth="1"/>
    <col min="39" max="45" width="8.83203125" style="51" bestFit="1" customWidth="1"/>
    <col min="46" max="46" width="3.1640625" style="51" customWidth="1"/>
    <col min="47" max="47" width="9.5" style="52" bestFit="1" customWidth="1"/>
    <col min="48" max="48" width="8.5" style="7"/>
    <col min="49" max="49" width="12.5" style="7" bestFit="1" customWidth="1"/>
    <col min="50" max="16384" width="8.5" style="7"/>
  </cols>
  <sheetData>
    <row r="1" spans="1:49" ht="16">
      <c r="B1" s="143" t="s">
        <v>201</v>
      </c>
      <c r="D1" s="399" t="s">
        <v>174</v>
      </c>
      <c r="E1" s="399"/>
      <c r="F1" s="399"/>
      <c r="G1" s="399"/>
      <c r="H1" s="399"/>
      <c r="I1" s="399"/>
      <c r="J1" s="399"/>
      <c r="K1" s="399"/>
      <c r="L1" s="399"/>
      <c r="M1" s="399"/>
      <c r="N1" s="399"/>
      <c r="O1" s="399"/>
      <c r="P1" s="399"/>
      <c r="Q1" s="399"/>
      <c r="S1" s="546" t="s">
        <v>75</v>
      </c>
      <c r="T1" s="546"/>
      <c r="U1" s="546"/>
      <c r="V1" s="546"/>
      <c r="W1" s="546"/>
      <c r="X1" s="546"/>
      <c r="Y1" s="546"/>
      <c r="Z1" s="546"/>
      <c r="AA1" s="546"/>
      <c r="AB1" s="546"/>
      <c r="AC1" s="546"/>
      <c r="AD1" s="546"/>
      <c r="AE1" s="546"/>
      <c r="AF1" s="546"/>
      <c r="AH1" s="546" t="s">
        <v>81</v>
      </c>
      <c r="AI1" s="546"/>
      <c r="AJ1" s="546"/>
      <c r="AK1" s="546"/>
      <c r="AL1" s="546"/>
      <c r="AM1" s="546"/>
      <c r="AN1" s="546"/>
      <c r="AO1" s="546"/>
      <c r="AP1" s="546"/>
      <c r="AQ1" s="546"/>
      <c r="AR1" s="546"/>
      <c r="AS1" s="546"/>
      <c r="AT1" s="546"/>
      <c r="AU1" s="546"/>
    </row>
    <row r="2" spans="1:49">
      <c r="B2" s="52"/>
      <c r="D2" s="54" t="s">
        <v>175</v>
      </c>
      <c r="E2" s="54" t="s">
        <v>175</v>
      </c>
      <c r="F2" s="54" t="s">
        <v>175</v>
      </c>
      <c r="G2" s="54" t="s">
        <v>176</v>
      </c>
      <c r="H2" s="54" t="s">
        <v>176</v>
      </c>
      <c r="I2" s="54" t="s">
        <v>176</v>
      </c>
      <c r="J2" s="54" t="s">
        <v>177</v>
      </c>
      <c r="K2" s="54" t="s">
        <v>177</v>
      </c>
      <c r="L2" s="54" t="s">
        <v>177</v>
      </c>
      <c r="M2" s="55" t="s">
        <v>178</v>
      </c>
      <c r="N2" s="55" t="s">
        <v>178</v>
      </c>
      <c r="O2" s="55" t="s">
        <v>178</v>
      </c>
      <c r="S2" s="80" t="s">
        <v>175</v>
      </c>
      <c r="T2" s="80" t="s">
        <v>175</v>
      </c>
      <c r="U2" s="80" t="s">
        <v>175</v>
      </c>
      <c r="V2" s="80" t="s">
        <v>176</v>
      </c>
      <c r="W2" s="80" t="s">
        <v>176</v>
      </c>
      <c r="X2" s="55" t="s">
        <v>176</v>
      </c>
      <c r="Y2" s="55" t="s">
        <v>177</v>
      </c>
      <c r="Z2" s="55" t="s">
        <v>177</v>
      </c>
      <c r="AA2" s="55" t="s">
        <v>177</v>
      </c>
      <c r="AB2" s="55" t="s">
        <v>178</v>
      </c>
      <c r="AC2" s="55" t="s">
        <v>178</v>
      </c>
      <c r="AD2" s="55" t="s">
        <v>178</v>
      </c>
      <c r="AH2" s="80" t="s">
        <v>175</v>
      </c>
      <c r="AI2" s="80" t="s">
        <v>175</v>
      </c>
      <c r="AJ2" s="80" t="s">
        <v>175</v>
      </c>
      <c r="AK2" s="80" t="s">
        <v>176</v>
      </c>
      <c r="AL2" s="80" t="s">
        <v>176</v>
      </c>
      <c r="AM2" s="55" t="s">
        <v>176</v>
      </c>
      <c r="AN2" s="55" t="s">
        <v>177</v>
      </c>
      <c r="AO2" s="55" t="s">
        <v>177</v>
      </c>
      <c r="AP2" s="55" t="s">
        <v>177</v>
      </c>
      <c r="AQ2" s="55" t="s">
        <v>178</v>
      </c>
      <c r="AR2" s="55" t="s">
        <v>178</v>
      </c>
      <c r="AS2" s="55" t="s">
        <v>178</v>
      </c>
    </row>
    <row r="3" spans="1:49">
      <c r="D3" s="56">
        <v>45716</v>
      </c>
      <c r="E3" s="56">
        <v>45747</v>
      </c>
      <c r="F3" s="56">
        <v>45777</v>
      </c>
      <c r="G3" s="56">
        <v>45808</v>
      </c>
      <c r="H3" s="56">
        <v>45838</v>
      </c>
      <c r="I3" s="56">
        <f t="shared" ref="I3:O3" si="0">EOMONTH(H3,1)</f>
        <v>45869</v>
      </c>
      <c r="J3" s="56">
        <f t="shared" si="0"/>
        <v>45900</v>
      </c>
      <c r="K3" s="56">
        <f t="shared" si="0"/>
        <v>45930</v>
      </c>
      <c r="L3" s="56">
        <f t="shared" si="0"/>
        <v>45961</v>
      </c>
      <c r="M3" s="57">
        <f t="shared" si="0"/>
        <v>45991</v>
      </c>
      <c r="N3" s="57">
        <f t="shared" si="0"/>
        <v>46022</v>
      </c>
      <c r="O3" s="57">
        <f t="shared" si="0"/>
        <v>46053</v>
      </c>
      <c r="P3" s="57"/>
      <c r="Q3" s="55" t="s">
        <v>174</v>
      </c>
      <c r="S3" s="81">
        <v>46081</v>
      </c>
      <c r="T3" s="81">
        <f>EOMONTH(S3,1)</f>
        <v>46112</v>
      </c>
      <c r="U3" s="81">
        <f>EOMONTH(T3,1)</f>
        <v>46142</v>
      </c>
      <c r="V3" s="81">
        <f>EOMONTH(U3,1)</f>
        <v>46173</v>
      </c>
      <c r="W3" s="81">
        <f>EOMONTH(V3,1)</f>
        <v>46203</v>
      </c>
      <c r="X3" s="57">
        <f t="shared" ref="X3:AD3" si="1">EOMONTH(W3,1)</f>
        <v>46234</v>
      </c>
      <c r="Y3" s="57">
        <f t="shared" si="1"/>
        <v>46265</v>
      </c>
      <c r="Z3" s="57">
        <f t="shared" si="1"/>
        <v>46295</v>
      </c>
      <c r="AA3" s="57">
        <f t="shared" si="1"/>
        <v>46326</v>
      </c>
      <c r="AB3" s="57">
        <f t="shared" si="1"/>
        <v>46356</v>
      </c>
      <c r="AC3" s="57">
        <f t="shared" si="1"/>
        <v>46387</v>
      </c>
      <c r="AD3" s="57">
        <f t="shared" si="1"/>
        <v>46418</v>
      </c>
      <c r="AE3" s="57"/>
      <c r="AF3" s="55" t="s">
        <v>75</v>
      </c>
      <c r="AH3" s="81">
        <v>46446</v>
      </c>
      <c r="AI3" s="81">
        <f>EOMONTH(AH3,1)</f>
        <v>46477</v>
      </c>
      <c r="AJ3" s="81">
        <f>EOMONTH(AI3,1)</f>
        <v>46507</v>
      </c>
      <c r="AK3" s="81">
        <f>EOMONTH(AJ3,1)</f>
        <v>46538</v>
      </c>
      <c r="AL3" s="81">
        <f>EOMONTH(AK3,1)</f>
        <v>46568</v>
      </c>
      <c r="AM3" s="57">
        <f t="shared" ref="AM3:AS3" si="2">EOMONTH(AL3,1)</f>
        <v>46599</v>
      </c>
      <c r="AN3" s="57">
        <f t="shared" si="2"/>
        <v>46630</v>
      </c>
      <c r="AO3" s="57">
        <f t="shared" si="2"/>
        <v>46660</v>
      </c>
      <c r="AP3" s="57">
        <f t="shared" si="2"/>
        <v>46691</v>
      </c>
      <c r="AQ3" s="57">
        <f t="shared" si="2"/>
        <v>46721</v>
      </c>
      <c r="AR3" s="57">
        <f t="shared" si="2"/>
        <v>46752</v>
      </c>
      <c r="AS3" s="57">
        <f t="shared" si="2"/>
        <v>46783</v>
      </c>
      <c r="AT3" s="57"/>
      <c r="AU3" s="55" t="s">
        <v>81</v>
      </c>
    </row>
    <row r="4" spans="1:49">
      <c r="B4" s="58" t="s">
        <v>82</v>
      </c>
      <c r="D4" s="46" t="s">
        <v>180</v>
      </c>
      <c r="E4" s="46" t="s">
        <v>180</v>
      </c>
      <c r="F4" s="46" t="s">
        <v>180</v>
      </c>
      <c r="G4" s="46" t="s">
        <v>180</v>
      </c>
      <c r="H4" s="46" t="s">
        <v>180</v>
      </c>
      <c r="I4" s="46" t="s">
        <v>180</v>
      </c>
      <c r="J4" s="46" t="s">
        <v>180</v>
      </c>
      <c r="K4" s="46" t="s">
        <v>180</v>
      </c>
      <c r="L4" s="46" t="s">
        <v>180</v>
      </c>
      <c r="M4" s="48" t="s">
        <v>42</v>
      </c>
      <c r="N4" s="48" t="s">
        <v>42</v>
      </c>
      <c r="O4" s="48" t="s">
        <v>42</v>
      </c>
      <c r="S4" s="82" t="s">
        <v>42</v>
      </c>
      <c r="T4" s="82" t="s">
        <v>42</v>
      </c>
      <c r="U4" s="82" t="s">
        <v>42</v>
      </c>
      <c r="V4" s="82" t="s">
        <v>42</v>
      </c>
      <c r="W4" s="82" t="s">
        <v>42</v>
      </c>
      <c r="X4" s="48" t="s">
        <v>42</v>
      </c>
      <c r="Y4" s="48" t="s">
        <v>42</v>
      </c>
      <c r="Z4" s="48" t="s">
        <v>42</v>
      </c>
      <c r="AA4" s="48" t="s">
        <v>42</v>
      </c>
      <c r="AB4" s="48" t="s">
        <v>42</v>
      </c>
      <c r="AC4" s="48" t="s">
        <v>42</v>
      </c>
      <c r="AD4" s="48" t="s">
        <v>42</v>
      </c>
      <c r="AH4" s="82" t="s">
        <v>42</v>
      </c>
      <c r="AI4" s="82" t="s">
        <v>42</v>
      </c>
      <c r="AJ4" s="82" t="s">
        <v>42</v>
      </c>
      <c r="AK4" s="82" t="s">
        <v>42</v>
      </c>
      <c r="AL4" s="82" t="s">
        <v>42</v>
      </c>
      <c r="AM4" s="48" t="s">
        <v>42</v>
      </c>
      <c r="AN4" s="48" t="s">
        <v>42</v>
      </c>
      <c r="AO4" s="48" t="s">
        <v>42</v>
      </c>
      <c r="AP4" s="48" t="s">
        <v>42</v>
      </c>
      <c r="AQ4" s="48" t="s">
        <v>42</v>
      </c>
      <c r="AR4" s="48" t="s">
        <v>42</v>
      </c>
      <c r="AS4" s="48" t="s">
        <v>42</v>
      </c>
    </row>
    <row r="5" spans="1:49">
      <c r="D5" s="53"/>
      <c r="E5" s="53"/>
      <c r="F5" s="53"/>
      <c r="G5" s="53"/>
      <c r="H5" s="53"/>
      <c r="I5" s="53"/>
      <c r="J5" s="53"/>
      <c r="K5" s="53"/>
      <c r="L5" s="53"/>
    </row>
    <row r="6" spans="1:49">
      <c r="B6" s="51" t="s">
        <v>83</v>
      </c>
      <c r="D6" s="59">
        <v>15090.82</v>
      </c>
      <c r="E6" s="59">
        <v>14360.9</v>
      </c>
      <c r="F6" s="59">
        <v>16901.91</v>
      </c>
      <c r="G6" s="59">
        <v>45879.27</v>
      </c>
      <c r="H6" s="59">
        <v>13145.9</v>
      </c>
      <c r="I6" s="59">
        <v>41636.31</v>
      </c>
      <c r="J6" s="59">
        <v>36374.949999999997</v>
      </c>
      <c r="K6" s="59">
        <v>16311.86</v>
      </c>
      <c r="L6" s="59">
        <v>46503</v>
      </c>
      <c r="M6" s="60">
        <v>68600</v>
      </c>
      <c r="N6" s="60">
        <v>18900</v>
      </c>
      <c r="O6" s="60">
        <v>43350</v>
      </c>
      <c r="P6" s="60"/>
      <c r="Q6" s="61">
        <f>SUM(D6:O6)</f>
        <v>377054.92</v>
      </c>
      <c r="R6" s="62"/>
      <c r="S6" s="60">
        <f>IT!Q$25</f>
        <v>40210.860585063827</v>
      </c>
      <c r="T6" s="60">
        <f>IT!R$25</f>
        <v>68013.05946951489</v>
      </c>
      <c r="U6" s="60">
        <f>IT!S$25</f>
        <v>63178.362595314895</v>
      </c>
      <c r="V6" s="60">
        <f>IT!T$25</f>
        <v>46474.044960739477</v>
      </c>
      <c r="W6" s="60">
        <f>IT!U$25</f>
        <v>39612.927245787228</v>
      </c>
      <c r="X6" s="60">
        <f>IT!V$25</f>
        <v>87943.998087489381</v>
      </c>
      <c r="Y6" s="60">
        <f>IT!W$25</f>
        <v>49584.097408085108</v>
      </c>
      <c r="Z6" s="60">
        <f>IT!X$25</f>
        <v>42509.794918439715</v>
      </c>
      <c r="AA6" s="60">
        <f>IT!Y$25</f>
        <v>84295.310978723399</v>
      </c>
      <c r="AB6" s="60">
        <f>IT!Z$25</f>
        <v>76738.592482269494</v>
      </c>
      <c r="AC6" s="60">
        <f>IT!AA$25</f>
        <v>45938.482202411345</v>
      </c>
      <c r="AD6" s="60">
        <f>IT!AB$25</f>
        <v>60443.007519411352</v>
      </c>
      <c r="AE6" s="60"/>
      <c r="AF6" s="61">
        <f>SUM(S6:AD6)</f>
        <v>704942.53845325019</v>
      </c>
      <c r="AH6" s="60">
        <f>IT!AC$25</f>
        <v>78354.714000212771</v>
      </c>
      <c r="AI6" s="60">
        <f>IT!AD$25</f>
        <v>106418.83912198582</v>
      </c>
      <c r="AJ6" s="60">
        <f>IT!AE$25</f>
        <v>103003.32417056737</v>
      </c>
      <c r="AK6" s="60">
        <f>IT!AF$25</f>
        <v>89832.087855697391</v>
      </c>
      <c r="AL6" s="60">
        <f>IT!AG$25</f>
        <v>83380.04259659574</v>
      </c>
      <c r="AM6" s="60">
        <f>IT!AH$25</f>
        <v>186425.40958382981</v>
      </c>
      <c r="AN6" s="60">
        <f>IT!AI$25</f>
        <v>85275.298349148958</v>
      </c>
      <c r="AO6" s="60">
        <f>IT!AJ$25</f>
        <v>96980.982226004722</v>
      </c>
      <c r="AP6" s="60">
        <f>IT!AK$25</f>
        <v>161949.4004255319</v>
      </c>
      <c r="AQ6" s="60">
        <f>IT!AL$25</f>
        <v>143031.50035460992</v>
      </c>
      <c r="AR6" s="60">
        <f>IT!AM$25</f>
        <v>84170.745551773056</v>
      </c>
      <c r="AS6" s="60">
        <f>IT!AN$25</f>
        <v>101948.66699177306</v>
      </c>
      <c r="AT6" s="60"/>
      <c r="AU6" s="61">
        <f>SUM(AH6:AS6)</f>
        <v>1320771.0112277304</v>
      </c>
    </row>
    <row r="7" spans="1:49">
      <c r="B7" s="51" t="s">
        <v>84</v>
      </c>
      <c r="D7" s="59">
        <v>36972.21</v>
      </c>
      <c r="E7" s="59">
        <v>23074.21</v>
      </c>
      <c r="F7" s="59">
        <v>2838.85</v>
      </c>
      <c r="G7" s="59">
        <v>44591.61</v>
      </c>
      <c r="H7" s="59">
        <v>66490.710000000006</v>
      </c>
      <c r="I7" s="59">
        <v>34560.25</v>
      </c>
      <c r="J7" s="59">
        <v>11612.78</v>
      </c>
      <c r="K7" s="59">
        <v>29192.09</v>
      </c>
      <c r="L7" s="59">
        <v>37817</v>
      </c>
      <c r="M7" s="60">
        <v>51424</v>
      </c>
      <c r="N7" s="60">
        <v>13424</v>
      </c>
      <c r="O7" s="60">
        <v>46860</v>
      </c>
      <c r="P7" s="60"/>
      <c r="Q7" s="61">
        <f>SUM(D7:O7)</f>
        <v>398857.71</v>
      </c>
      <c r="R7" s="62"/>
      <c r="S7" s="83">
        <f>SUMIF(B2B!$B$7:$B$111,"Italy",B2B!V7:V111)</f>
        <v>43072.289999999994</v>
      </c>
      <c r="T7" s="83">
        <f>SUMIF(B2B!$B$7:$B$111,"Italy",B2B!W7:W111)</f>
        <v>38961.359999999993</v>
      </c>
      <c r="U7" s="83">
        <f>SUMIF(B2B!$B$7:$B$111,"Italy",B2B!X7:X111)</f>
        <v>20429.25</v>
      </c>
      <c r="V7" s="83">
        <f>SUMIF(B2B!$B$7:$B$111,"Italy",B2B!Y7:Y111)</f>
        <v>25209.850285191529</v>
      </c>
      <c r="W7" s="83">
        <f>SUMIF(B2B!$B$7:$B$111,"Italy",B2B!Z7:Z111)</f>
        <v>56291.728714244906</v>
      </c>
      <c r="X7" s="83">
        <f>SUMIF(B2B!$B$7:$B$111,"Italy",B2B!AA7:AA111)</f>
        <v>22024.582238988842</v>
      </c>
      <c r="Y7" s="83">
        <f>SUMIF(B2B!$B$7:$B$111,"Italy",B2B!AB7:AB111)</f>
        <v>15418.057890501668</v>
      </c>
      <c r="Z7" s="83">
        <f>SUMIF(B2B!$B$7:$B$111,"Italy",B2B!AC7:AC111)</f>
        <v>80009.834580448602</v>
      </c>
      <c r="AA7" s="83">
        <f>SUMIF(B2B!$B$7:$B$111,"Italy",B2B!AD7:AD111)</f>
        <v>33025.88140783782</v>
      </c>
      <c r="AB7" s="83">
        <f>SUMIF(B2B!$B$7:$B$111,"Italy",B2B!AE7:AE111)</f>
        <v>59692.334692152726</v>
      </c>
      <c r="AC7" s="83">
        <f>SUMIF(B2B!$B$7:$B$111,"Italy",B2B!AF7:AF111)</f>
        <v>15146.797161411017</v>
      </c>
      <c r="AD7" s="83">
        <f>SUMIF(B2B!$B$7:$B$111,"Italy",B2B!AG7:AG111)</f>
        <v>35280.272556530734</v>
      </c>
      <c r="AE7" s="60"/>
      <c r="AF7" s="61">
        <f>SUM(S7:AD7)</f>
        <v>444562.2395273078</v>
      </c>
      <c r="AH7" s="83">
        <f>SUMIF(B2B!$B$7:$B$111,"Italy",B2B!AK7:AK111)</f>
        <v>45963.279299999995</v>
      </c>
      <c r="AI7" s="83">
        <f>SUMIF(B2B!$B$7:$B$111,"Italy",B2B!AL7:AL111)</f>
        <v>41686.042499999996</v>
      </c>
      <c r="AJ7" s="83">
        <f>SUMIF(B2B!$B$7:$B$111,"Italy",B2B!AM7:AM111)</f>
        <v>21450.712500000001</v>
      </c>
      <c r="AK7" s="83">
        <f>SUMIF(B2B!$B$7:$B$111,"Italy",B2B!AN7:AN111)</f>
        <v>27218.600108006853</v>
      </c>
      <c r="AL7" s="83">
        <f>SUMIF(B2B!$B$7:$B$111,"Italy",B2B!AO7:AO111)</f>
        <v>59828.700313884503</v>
      </c>
      <c r="AM7" s="83">
        <f>SUMIF(B2B!$B$7:$B$111,"Italy",B2B!AP7:AP111)</f>
        <v>23699.348118107951</v>
      </c>
      <c r="AN7" s="83">
        <f>SUMIF(B2B!$B$7:$B$111,"Italy",B2B!AQ7:AQ111)</f>
        <v>16401.768549241802</v>
      </c>
      <c r="AO7" s="83">
        <f>SUMIF(B2B!$B$7:$B$111,"Italy",B2B!AR7:AR111)</f>
        <v>85166.850184384486</v>
      </c>
      <c r="AP7" s="83">
        <f>SUMIF(B2B!$B$7:$B$111,"Italy",B2B!AS7:AS111)</f>
        <v>35435.422572964846</v>
      </c>
      <c r="AQ7" s="83">
        <f>SUMIF(B2B!$B$7:$B$111,"Italy",B2B!AT7:AT111)</f>
        <v>63813.881052843979</v>
      </c>
      <c r="AR7" s="83">
        <f>SUMIF(B2B!$B$7:$B$111,"Italy",B2B!AU7:AU111)</f>
        <v>15904.137019481568</v>
      </c>
      <c r="AS7" s="83">
        <f>SUMIF(B2B!$B$7:$B$111,"Italy",B2B!AV7:AV111)</f>
        <v>37738.857198704784</v>
      </c>
      <c r="AT7" s="60"/>
      <c r="AU7" s="61">
        <f>SUM(AH7:AS7)</f>
        <v>474307.5994176208</v>
      </c>
    </row>
    <row r="8" spans="1:49">
      <c r="B8" s="51" t="s">
        <v>85</v>
      </c>
      <c r="D8" s="59">
        <v>11386.3</v>
      </c>
      <c r="E8" s="59">
        <v>13582.88</v>
      </c>
      <c r="F8" s="59">
        <v>13859.01</v>
      </c>
      <c r="G8" s="59">
        <v>13247.76</v>
      </c>
      <c r="H8" s="59">
        <v>11504.69</v>
      </c>
      <c r="I8" s="59">
        <v>15807.87</v>
      </c>
      <c r="J8" s="59">
        <v>12835.98</v>
      </c>
      <c r="K8" s="59">
        <v>15720.87</v>
      </c>
      <c r="L8" s="59">
        <v>17677</v>
      </c>
      <c r="M8" s="60">
        <v>18600</v>
      </c>
      <c r="N8" s="60">
        <v>18600</v>
      </c>
      <c r="O8" s="60">
        <v>14400</v>
      </c>
      <c r="P8" s="60"/>
      <c r="Q8" s="61">
        <f>SUM(D8:O8)</f>
        <v>177222.36</v>
      </c>
      <c r="R8" s="62"/>
      <c r="S8" s="60">
        <f ca="1">SUMIF(Amazon!$A$25:$A$39,"Italy",Amazon!Q25:Q37)</f>
        <v>13602.400000000001</v>
      </c>
      <c r="T8" s="60">
        <f ca="1">SUMIF(Amazon!$A$25:$A$39,"Italy",Amazon!R25:R37)</f>
        <v>17934</v>
      </c>
      <c r="U8" s="60">
        <f ca="1">SUMIF(Amazon!$A$25:$A$39,"Italy",Amazon!S25:S37)</f>
        <v>17124.59</v>
      </c>
      <c r="V8" s="60">
        <f ca="1">SUMIF(Amazon!$A$25:$A$39,"Italy",Amazon!T25:T37)</f>
        <v>17130.960000000003</v>
      </c>
      <c r="W8" s="60">
        <f ca="1">SUMIF(Amazon!$A$25:$A$39,"Italy",Amazon!U25:U37)</f>
        <v>16849.210000000003</v>
      </c>
      <c r="X8" s="60">
        <f ca="1">SUMIF(Amazon!$A$25:$A$39,"Italy",Amazon!V25:V37)</f>
        <v>17946.12</v>
      </c>
      <c r="Y8" s="60">
        <f ca="1">SUMIF(Amazon!$A$25:$A$39,"Italy",Amazon!W25:W37)</f>
        <v>14684.4</v>
      </c>
      <c r="Z8" s="60">
        <f ca="1">SUMIF(Amazon!$A$25:$A$39,"Italy",Amazon!X25:X37)</f>
        <v>18596.13</v>
      </c>
      <c r="AA8" s="60">
        <f ca="1">SUMIF(Amazon!$A$25:$A$39,"Italy",Amazon!Y25:Y37)</f>
        <v>21766.640000000003</v>
      </c>
      <c r="AB8" s="60">
        <f ca="1">SUMIF(Amazon!$A$25:$A$39,"Italy",Amazon!Z25:Z37)</f>
        <v>22765.61</v>
      </c>
      <c r="AC8" s="60">
        <f ca="1">SUMIF(Amazon!$A$25:$A$39,"Italy",Amazon!AA25:AA37)</f>
        <v>22740.690000000002</v>
      </c>
      <c r="AD8" s="60">
        <f ca="1">SUMIF(Amazon!$A$25:$A$39,"Italy",Amazon!AB25:AB37)</f>
        <v>17164.140000000003</v>
      </c>
      <c r="AE8" s="60"/>
      <c r="AF8" s="61">
        <f ca="1">SUM(S8:AD8)</f>
        <v>218304.89</v>
      </c>
      <c r="AH8" s="60">
        <f ca="1">SUMIF(Amazon!$A$25:$A$39,"Italy",Amazon!AE25:AE37)</f>
        <v>18000</v>
      </c>
      <c r="AI8" s="60">
        <f ca="1">SUMIF(Amazon!$A$25:$A$39,"Italy",Amazon!AF25:AF37)</f>
        <v>18000</v>
      </c>
      <c r="AJ8" s="60">
        <f ca="1">SUMIF(Amazon!$A$25:$A$39,"Italy",Amazon!AG25:AG37)</f>
        <v>18000</v>
      </c>
      <c r="AK8" s="60">
        <f ca="1">SUMIF(Amazon!$A$25:$A$39,"Italy",Amazon!AH25:AH37)</f>
        <v>18000</v>
      </c>
      <c r="AL8" s="60">
        <f ca="1">SUMIF(Amazon!$A$25:$A$39,"Italy",Amazon!AI25:AI37)</f>
        <v>12600</v>
      </c>
      <c r="AM8" s="60">
        <f ca="1">SUMIF(Amazon!$A$25:$A$39,"Italy",Amazon!AJ25:AJ37)</f>
        <v>18600</v>
      </c>
      <c r="AN8" s="60">
        <f ca="1">SUMIF(Amazon!$A$25:$A$39,"Italy",Amazon!AK25:AK37)</f>
        <v>18000</v>
      </c>
      <c r="AO8" s="60">
        <f ca="1">SUMIF(Amazon!$A$25:$A$39,"Italy",Amazon!AL25:AL37)</f>
        <v>18000</v>
      </c>
      <c r="AP8" s="60">
        <f ca="1">SUMIF(Amazon!$A$25:$A$39,"Italy",Amazon!AM25:AM37)</f>
        <v>18000</v>
      </c>
      <c r="AQ8" s="60">
        <f ca="1">SUMIF(Amazon!$A$25:$A$39,"Italy",Amazon!AN25:AN37)</f>
        <v>18000</v>
      </c>
      <c r="AR8" s="60">
        <f ca="1">SUMIF(Amazon!$A$25:$A$39,"Italy",Amazon!AO25:AO37)</f>
        <v>18000</v>
      </c>
      <c r="AS8" s="60">
        <f ca="1">SUMIF(Amazon!$A$25:$A$39,"Italy",Amazon!AP25:AP37)</f>
        <v>18000</v>
      </c>
      <c r="AT8" s="60"/>
      <c r="AU8" s="61">
        <f ca="1">SUM(AH8:AS8)</f>
        <v>211200</v>
      </c>
    </row>
    <row r="9" spans="1:49">
      <c r="B9" s="51" t="s">
        <v>86</v>
      </c>
      <c r="D9" s="59"/>
      <c r="E9" s="59"/>
      <c r="F9" s="59"/>
      <c r="G9" s="59"/>
      <c r="H9" s="59"/>
      <c r="I9" s="59"/>
      <c r="J9" s="59">
        <v>0</v>
      </c>
      <c r="K9" s="59">
        <v>0</v>
      </c>
      <c r="L9" s="59"/>
      <c r="M9" s="60"/>
      <c r="N9" s="60"/>
      <c r="O9" s="60"/>
      <c r="P9" s="60"/>
      <c r="Q9" s="61">
        <f>SUM(D9:O9)</f>
        <v>0</v>
      </c>
      <c r="R9" s="62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60"/>
      <c r="AF9" s="61">
        <f>SUM(S9:AD9)</f>
        <v>0</v>
      </c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60"/>
      <c r="AU9" s="61">
        <f>SUM(AH9:AS9)</f>
        <v>0</v>
      </c>
    </row>
    <row r="10" spans="1:49">
      <c r="D10" s="59"/>
      <c r="E10" s="59"/>
      <c r="F10" s="59"/>
      <c r="G10" s="59"/>
      <c r="H10" s="59"/>
      <c r="I10" s="59"/>
      <c r="J10" s="59"/>
      <c r="K10" s="59"/>
      <c r="L10" s="59"/>
      <c r="M10" s="60"/>
      <c r="N10" s="60"/>
      <c r="O10" s="60"/>
      <c r="P10" s="60"/>
      <c r="Q10" s="61"/>
      <c r="S10" s="83"/>
      <c r="T10" s="83"/>
      <c r="U10" s="83"/>
      <c r="V10" s="83"/>
      <c r="W10" s="83"/>
      <c r="X10" s="60"/>
      <c r="Y10" s="60"/>
      <c r="Z10" s="60"/>
      <c r="AA10" s="60"/>
      <c r="AB10" s="60"/>
      <c r="AC10" s="60"/>
      <c r="AD10" s="60"/>
      <c r="AE10" s="60"/>
      <c r="AF10" s="61"/>
      <c r="AH10" s="83"/>
      <c r="AI10" s="83"/>
      <c r="AJ10" s="83"/>
      <c r="AK10" s="83"/>
      <c r="AL10" s="83"/>
      <c r="AM10" s="60"/>
      <c r="AN10" s="60"/>
      <c r="AO10" s="60"/>
      <c r="AP10" s="60"/>
      <c r="AQ10" s="60"/>
      <c r="AR10" s="60"/>
      <c r="AS10" s="60"/>
      <c r="AT10" s="60"/>
      <c r="AU10" s="61"/>
    </row>
    <row r="11" spans="1:49" s="10" customFormat="1">
      <c r="A11" s="52"/>
      <c r="B11" s="63" t="s">
        <v>87</v>
      </c>
      <c r="C11" s="52"/>
      <c r="D11" s="64">
        <f t="shared" ref="D11:J11" si="3">SUM(D6:D10)</f>
        <v>63449.33</v>
      </c>
      <c r="E11" s="64">
        <f t="shared" si="3"/>
        <v>51017.99</v>
      </c>
      <c r="F11" s="64">
        <f t="shared" si="3"/>
        <v>33599.769999999997</v>
      </c>
      <c r="G11" s="64">
        <f t="shared" si="3"/>
        <v>103718.64</v>
      </c>
      <c r="H11" s="64">
        <f t="shared" si="3"/>
        <v>91141.3</v>
      </c>
      <c r="I11" s="64">
        <f t="shared" si="3"/>
        <v>92004.43</v>
      </c>
      <c r="J11" s="64">
        <f t="shared" si="3"/>
        <v>60823.709999999992</v>
      </c>
      <c r="K11" s="64">
        <f t="shared" ref="K11:O11" si="4">SUM(K6:K10)</f>
        <v>61224.82</v>
      </c>
      <c r="L11" s="64">
        <f t="shared" si="4"/>
        <v>101997</v>
      </c>
      <c r="M11" s="65">
        <f t="shared" si="4"/>
        <v>138624</v>
      </c>
      <c r="N11" s="65">
        <f t="shared" si="4"/>
        <v>50924</v>
      </c>
      <c r="O11" s="65">
        <f t="shared" si="4"/>
        <v>104610</v>
      </c>
      <c r="P11" s="61"/>
      <c r="Q11" s="65">
        <f>SUM(D11:O11)</f>
        <v>953134.98999999987</v>
      </c>
      <c r="R11" s="52"/>
      <c r="S11" s="84">
        <f ca="1">SUM(S6:S10)</f>
        <v>96885.550585063815</v>
      </c>
      <c r="T11" s="84">
        <f t="shared" ref="T11:AD11" ca="1" si="5">SUM(T6:T10)</f>
        <v>124908.41946951489</v>
      </c>
      <c r="U11" s="84">
        <f t="shared" ca="1" si="5"/>
        <v>100732.20259531488</v>
      </c>
      <c r="V11" s="84">
        <f t="shared" ca="1" si="5"/>
        <v>88814.855245931016</v>
      </c>
      <c r="W11" s="84">
        <f t="shared" ca="1" si="5"/>
        <v>112753.86596003214</v>
      </c>
      <c r="X11" s="65">
        <f t="shared" ca="1" si="5"/>
        <v>127914.70032647823</v>
      </c>
      <c r="Y11" s="65">
        <f t="shared" ca="1" si="5"/>
        <v>79686.555298586769</v>
      </c>
      <c r="Z11" s="65">
        <f t="shared" ca="1" si="5"/>
        <v>141115.75949888831</v>
      </c>
      <c r="AA11" s="65">
        <f t="shared" ca="1" si="5"/>
        <v>139087.83238656123</v>
      </c>
      <c r="AB11" s="65">
        <f t="shared" ca="1" si="5"/>
        <v>159196.53717442224</v>
      </c>
      <c r="AC11" s="65">
        <f t="shared" ca="1" si="5"/>
        <v>83825.969363822369</v>
      </c>
      <c r="AD11" s="65">
        <f t="shared" ca="1" si="5"/>
        <v>112887.42007594208</v>
      </c>
      <c r="AE11" s="61"/>
      <c r="AF11" s="65">
        <f ca="1">SUM(S11:AD11)</f>
        <v>1367809.6679805578</v>
      </c>
      <c r="AH11" s="84">
        <f ca="1">SUM(AH6:AH10)</f>
        <v>142317.99330021278</v>
      </c>
      <c r="AI11" s="84">
        <f t="shared" ref="AI11:AS11" ca="1" si="6">SUM(AI6:AI10)</f>
        <v>166104.88162198581</v>
      </c>
      <c r="AJ11" s="84">
        <f t="shared" ca="1" si="6"/>
        <v>142454.03667056738</v>
      </c>
      <c r="AK11" s="84">
        <f t="shared" ca="1" si="6"/>
        <v>135050.68796370423</v>
      </c>
      <c r="AL11" s="84">
        <f t="shared" ca="1" si="6"/>
        <v>155808.74291048024</v>
      </c>
      <c r="AM11" s="65">
        <f t="shared" ca="1" si="6"/>
        <v>228724.75770193775</v>
      </c>
      <c r="AN11" s="65">
        <f t="shared" ca="1" si="6"/>
        <v>119677.06689839077</v>
      </c>
      <c r="AO11" s="65">
        <f t="shared" ca="1" si="6"/>
        <v>200147.83241038921</v>
      </c>
      <c r="AP11" s="65">
        <f t="shared" ca="1" si="6"/>
        <v>215384.82299849676</v>
      </c>
      <c r="AQ11" s="65">
        <f t="shared" ca="1" si="6"/>
        <v>224845.38140745391</v>
      </c>
      <c r="AR11" s="65">
        <f t="shared" ca="1" si="6"/>
        <v>118074.88257125462</v>
      </c>
      <c r="AS11" s="65">
        <f t="shared" ca="1" si="6"/>
        <v>157687.52419047785</v>
      </c>
      <c r="AT11" s="61"/>
      <c r="AU11" s="65">
        <f ca="1">SUM(AH11:AS11)</f>
        <v>2006278.6106453512</v>
      </c>
      <c r="AW11" s="140"/>
    </row>
    <row r="12" spans="1:49" outlineLevel="1">
      <c r="D12" s="59"/>
      <c r="E12" s="59"/>
      <c r="F12" s="59"/>
      <c r="G12" s="59"/>
      <c r="H12" s="59"/>
      <c r="I12" s="59"/>
      <c r="J12" s="59"/>
      <c r="K12" s="59"/>
      <c r="L12" s="59"/>
      <c r="M12" s="60"/>
      <c r="N12" s="60"/>
      <c r="O12" s="60"/>
      <c r="P12" s="60"/>
      <c r="Q12" s="61"/>
      <c r="R12" s="66"/>
      <c r="S12" s="83"/>
      <c r="T12" s="83"/>
      <c r="U12" s="83"/>
      <c r="V12" s="83"/>
      <c r="W12" s="83"/>
      <c r="X12" s="60"/>
      <c r="Y12" s="60"/>
      <c r="Z12" s="60"/>
      <c r="AA12" s="60"/>
      <c r="AB12" s="60"/>
      <c r="AC12" s="60"/>
      <c r="AD12" s="60"/>
      <c r="AE12" s="60"/>
      <c r="AF12" s="61"/>
      <c r="AH12" s="83"/>
      <c r="AI12" s="83"/>
      <c r="AJ12" s="83"/>
      <c r="AK12" s="83"/>
      <c r="AL12" s="83"/>
      <c r="AM12" s="60"/>
      <c r="AN12" s="60"/>
      <c r="AO12" s="60"/>
      <c r="AP12" s="60"/>
      <c r="AQ12" s="60"/>
      <c r="AR12" s="60"/>
      <c r="AS12" s="60"/>
      <c r="AT12" s="60"/>
      <c r="AU12" s="61"/>
    </row>
    <row r="13" spans="1:49" outlineLevel="1">
      <c r="B13" s="58" t="s">
        <v>88</v>
      </c>
      <c r="D13" s="59"/>
      <c r="E13" s="59"/>
      <c r="F13" s="59"/>
      <c r="G13" s="59"/>
      <c r="H13" s="59"/>
      <c r="I13" s="59"/>
      <c r="J13" s="59"/>
      <c r="K13" s="59"/>
      <c r="L13" s="59"/>
      <c r="M13" s="60"/>
      <c r="N13" s="60"/>
      <c r="O13" s="60"/>
      <c r="P13" s="60"/>
      <c r="Q13" s="61"/>
      <c r="S13" s="83"/>
      <c r="T13" s="83"/>
      <c r="U13" s="83"/>
      <c r="V13" s="83"/>
      <c r="W13" s="83"/>
      <c r="X13" s="60"/>
      <c r="Y13" s="60"/>
      <c r="Z13" s="60"/>
      <c r="AA13" s="60"/>
      <c r="AB13" s="60"/>
      <c r="AC13" s="60"/>
      <c r="AD13" s="60"/>
      <c r="AE13" s="60"/>
      <c r="AF13" s="61"/>
      <c r="AH13" s="83"/>
      <c r="AI13" s="83"/>
      <c r="AJ13" s="83"/>
      <c r="AK13" s="83"/>
      <c r="AL13" s="83"/>
      <c r="AM13" s="60"/>
      <c r="AN13" s="60"/>
      <c r="AO13" s="60"/>
      <c r="AP13" s="60"/>
      <c r="AQ13" s="60"/>
      <c r="AR13" s="60"/>
      <c r="AS13" s="60"/>
      <c r="AT13" s="60"/>
      <c r="AU13" s="61"/>
    </row>
    <row r="14" spans="1:49">
      <c r="D14" s="59"/>
      <c r="E14" s="59"/>
      <c r="F14" s="59"/>
      <c r="G14" s="59"/>
      <c r="H14" s="59"/>
      <c r="I14" s="59"/>
      <c r="J14" s="59"/>
      <c r="K14" s="59"/>
      <c r="L14" s="59"/>
      <c r="M14" s="60"/>
      <c r="N14" s="60"/>
      <c r="O14" s="60"/>
      <c r="P14" s="60"/>
      <c r="Q14" s="61"/>
      <c r="S14" s="83"/>
      <c r="T14" s="83"/>
      <c r="U14" s="83"/>
      <c r="V14" s="83"/>
      <c r="W14" s="83"/>
      <c r="X14" s="60"/>
      <c r="Y14" s="60"/>
      <c r="Z14" s="60"/>
      <c r="AA14" s="60"/>
      <c r="AB14" s="60"/>
      <c r="AC14" s="60"/>
      <c r="AD14" s="60"/>
      <c r="AE14" s="60"/>
      <c r="AF14" s="61"/>
      <c r="AH14" s="83"/>
      <c r="AI14" s="83"/>
      <c r="AJ14" s="83"/>
      <c r="AK14" s="83"/>
      <c r="AL14" s="83"/>
      <c r="AM14" s="60"/>
      <c r="AN14" s="60"/>
      <c r="AO14" s="60"/>
      <c r="AP14" s="60"/>
      <c r="AQ14" s="60"/>
      <c r="AR14" s="60"/>
      <c r="AS14" s="60"/>
      <c r="AT14" s="60"/>
      <c r="AU14" s="61"/>
    </row>
    <row r="15" spans="1:49" outlineLevel="1">
      <c r="B15" s="51" t="s">
        <v>89</v>
      </c>
      <c r="C15" s="75">
        <v>-0.24</v>
      </c>
      <c r="D15" s="59">
        <v>-3047.06</v>
      </c>
      <c r="E15" s="59">
        <v>-2386.2399999999998</v>
      </c>
      <c r="F15" s="59">
        <v>-3746.06</v>
      </c>
      <c r="G15" s="59">
        <v>-11071.54</v>
      </c>
      <c r="H15" s="59">
        <v>-2426.4</v>
      </c>
      <c r="I15" s="59">
        <v>-9884.9500000000007</v>
      </c>
      <c r="J15" s="59">
        <v>-9427.06</v>
      </c>
      <c r="K15" s="59">
        <v>-2604.65</v>
      </c>
      <c r="L15" s="59">
        <v>-11642</v>
      </c>
      <c r="M15" s="60">
        <v>-18522</v>
      </c>
      <c r="N15" s="60">
        <v>-4536</v>
      </c>
      <c r="O15" s="60">
        <v>-9971</v>
      </c>
      <c r="P15" s="60"/>
      <c r="Q15" s="61">
        <f>SUM(D15:O15)</f>
        <v>-89264.960000000006</v>
      </c>
      <c r="S15" s="60">
        <f t="shared" ref="S15:AD15" si="7">S6*$C$15</f>
        <v>-9650.6065404153178</v>
      </c>
      <c r="T15" s="60">
        <f t="shared" si="7"/>
        <v>-16323.134272683574</v>
      </c>
      <c r="U15" s="60">
        <f t="shared" si="7"/>
        <v>-15162.807022875575</v>
      </c>
      <c r="V15" s="60">
        <f t="shared" si="7"/>
        <v>-11153.770790577473</v>
      </c>
      <c r="W15" s="60">
        <f t="shared" si="7"/>
        <v>-9507.1025389889346</v>
      </c>
      <c r="X15" s="60">
        <f t="shared" si="7"/>
        <v>-21106.559540997452</v>
      </c>
      <c r="Y15" s="60">
        <f t="shared" si="7"/>
        <v>-11900.183377940426</v>
      </c>
      <c r="Z15" s="60">
        <f t="shared" si="7"/>
        <v>-10202.350780425531</v>
      </c>
      <c r="AA15" s="60">
        <f t="shared" si="7"/>
        <v>-20230.874634893615</v>
      </c>
      <c r="AB15" s="60">
        <f t="shared" si="7"/>
        <v>-18417.262195744679</v>
      </c>
      <c r="AC15" s="60">
        <f t="shared" si="7"/>
        <v>-11025.235728578722</v>
      </c>
      <c r="AD15" s="60">
        <f t="shared" si="7"/>
        <v>-14506.321804658724</v>
      </c>
      <c r="AE15" s="60"/>
      <c r="AF15" s="61">
        <f>SUM(S15:AD15)</f>
        <v>-169186.20922878</v>
      </c>
      <c r="AH15" s="60">
        <f t="shared" ref="AH15:AS15" si="8">AH6*$C$15</f>
        <v>-18805.131360051066</v>
      </c>
      <c r="AI15" s="60">
        <f t="shared" si="8"/>
        <v>-25540.521389276597</v>
      </c>
      <c r="AJ15" s="60">
        <f t="shared" si="8"/>
        <v>-24720.797800936169</v>
      </c>
      <c r="AK15" s="60">
        <f t="shared" si="8"/>
        <v>-21559.701085367375</v>
      </c>
      <c r="AL15" s="60">
        <f t="shared" si="8"/>
        <v>-20011.210223182978</v>
      </c>
      <c r="AM15" s="60">
        <f t="shared" si="8"/>
        <v>-44742.098300119149</v>
      </c>
      <c r="AN15" s="60">
        <f t="shared" si="8"/>
        <v>-20466.07160379575</v>
      </c>
      <c r="AO15" s="60">
        <f t="shared" si="8"/>
        <v>-23275.435734241131</v>
      </c>
      <c r="AP15" s="60">
        <f t="shared" si="8"/>
        <v>-38867.856102127655</v>
      </c>
      <c r="AQ15" s="60">
        <f t="shared" si="8"/>
        <v>-34327.560085106379</v>
      </c>
      <c r="AR15" s="60">
        <f t="shared" si="8"/>
        <v>-20200.978932425533</v>
      </c>
      <c r="AS15" s="60">
        <f t="shared" si="8"/>
        <v>-24467.680078025533</v>
      </c>
      <c r="AT15" s="60"/>
      <c r="AU15" s="61">
        <f>SUM(AH15:AS15)</f>
        <v>-316985.04269465531</v>
      </c>
    </row>
    <row r="16" spans="1:49" outlineLevel="1">
      <c r="B16" s="51" t="s">
        <v>90</v>
      </c>
      <c r="C16" s="75">
        <v>-0.27</v>
      </c>
      <c r="D16" s="59">
        <v>-11552.01</v>
      </c>
      <c r="E16" s="59">
        <v>-11294.34</v>
      </c>
      <c r="F16" s="59">
        <v>-758.7</v>
      </c>
      <c r="G16" s="59">
        <v>-11522.74</v>
      </c>
      <c r="H16" s="59">
        <v>-37701.279999999999</v>
      </c>
      <c r="I16" s="59">
        <v>-10445.84</v>
      </c>
      <c r="J16" s="59">
        <v>-2988.14</v>
      </c>
      <c r="K16" s="59">
        <v>-7499.37</v>
      </c>
      <c r="L16" s="59">
        <v>-9648</v>
      </c>
      <c r="M16" s="60">
        <v>-16970</v>
      </c>
      <c r="N16" s="60">
        <v>-4430</v>
      </c>
      <c r="O16" s="60">
        <v>-15464</v>
      </c>
      <c r="P16" s="60"/>
      <c r="Q16" s="61">
        <f>SUM(D16:O16)</f>
        <v>-140274.41999999998</v>
      </c>
      <c r="S16" s="60">
        <f t="shared" ref="S16:AD16" si="9">S7*$C$16</f>
        <v>-11629.5183</v>
      </c>
      <c r="T16" s="60">
        <f t="shared" si="9"/>
        <v>-10519.5672</v>
      </c>
      <c r="U16" s="60">
        <f t="shared" si="9"/>
        <v>-5515.8975</v>
      </c>
      <c r="V16" s="60">
        <f t="shared" si="9"/>
        <v>-6806.6595770017129</v>
      </c>
      <c r="W16" s="60">
        <f t="shared" si="9"/>
        <v>-15198.766752846126</v>
      </c>
      <c r="X16" s="60">
        <f t="shared" si="9"/>
        <v>-5946.6372045269873</v>
      </c>
      <c r="Y16" s="60">
        <f t="shared" si="9"/>
        <v>-4162.8756304354511</v>
      </c>
      <c r="Z16" s="60">
        <f t="shared" si="9"/>
        <v>-21602.655336721124</v>
      </c>
      <c r="AA16" s="60">
        <f t="shared" si="9"/>
        <v>-8916.9879801162115</v>
      </c>
      <c r="AB16" s="60">
        <f t="shared" si="9"/>
        <v>-16116.930366881237</v>
      </c>
      <c r="AC16" s="60">
        <f t="shared" si="9"/>
        <v>-4089.6352335809752</v>
      </c>
      <c r="AD16" s="60">
        <f t="shared" si="9"/>
        <v>-9525.673590263299</v>
      </c>
      <c r="AE16" s="60"/>
      <c r="AF16" s="61">
        <f>SUM(S16:AD16)</f>
        <v>-120031.80467237312</v>
      </c>
      <c r="AH16" s="60">
        <f t="shared" ref="AH16:AS16" si="10">AH7*$C$16</f>
        <v>-12410.085411</v>
      </c>
      <c r="AI16" s="60">
        <f t="shared" si="10"/>
        <v>-11255.231475000001</v>
      </c>
      <c r="AJ16" s="60">
        <f t="shared" si="10"/>
        <v>-5791.6923750000005</v>
      </c>
      <c r="AK16" s="60">
        <f t="shared" si="10"/>
        <v>-7349.0220291618507</v>
      </c>
      <c r="AL16" s="60">
        <f t="shared" si="10"/>
        <v>-16153.749084748817</v>
      </c>
      <c r="AM16" s="60">
        <f t="shared" si="10"/>
        <v>-6398.8239918891477</v>
      </c>
      <c r="AN16" s="60">
        <f t="shared" si="10"/>
        <v>-4428.4775082952865</v>
      </c>
      <c r="AO16" s="60">
        <f t="shared" si="10"/>
        <v>-22995.049549783813</v>
      </c>
      <c r="AP16" s="60">
        <f t="shared" si="10"/>
        <v>-9567.5640947005086</v>
      </c>
      <c r="AQ16" s="60">
        <f t="shared" si="10"/>
        <v>-17229.747884267876</v>
      </c>
      <c r="AR16" s="60">
        <f t="shared" si="10"/>
        <v>-4294.1169952600239</v>
      </c>
      <c r="AS16" s="60">
        <f t="shared" si="10"/>
        <v>-10189.491443650291</v>
      </c>
      <c r="AT16" s="60"/>
      <c r="AU16" s="61">
        <f>SUM(AH16:AS16)</f>
        <v>-128063.05184275762</v>
      </c>
    </row>
    <row r="17" spans="1:47" outlineLevel="1">
      <c r="B17" s="51" t="s">
        <v>91</v>
      </c>
      <c r="C17" s="75">
        <v>-0.18</v>
      </c>
      <c r="D17" s="59">
        <v>-1574.32</v>
      </c>
      <c r="E17" s="59">
        <v>-2035.89</v>
      </c>
      <c r="F17" s="59">
        <v>-2090.46</v>
      </c>
      <c r="G17" s="59">
        <v>-2162.7800000000002</v>
      </c>
      <c r="H17" s="59">
        <v>-1772.83</v>
      </c>
      <c r="I17" s="59">
        <v>-2945.14</v>
      </c>
      <c r="J17" s="59">
        <v>-2014.13</v>
      </c>
      <c r="K17" s="59">
        <v>-2297.14</v>
      </c>
      <c r="L17" s="59">
        <v>-2954</v>
      </c>
      <c r="M17" s="60">
        <v>-3266</v>
      </c>
      <c r="N17" s="60">
        <v>-3266</v>
      </c>
      <c r="O17" s="60">
        <v>-2529</v>
      </c>
      <c r="P17" s="60"/>
      <c r="Q17" s="61">
        <f>SUM(D17:O17)</f>
        <v>-28907.69</v>
      </c>
      <c r="S17" s="60">
        <f t="shared" ref="S17:AD17" ca="1" si="11">S8*$C$17</f>
        <v>-2448.4320000000002</v>
      </c>
      <c r="T17" s="60">
        <f t="shared" ca="1" si="11"/>
        <v>-3228.12</v>
      </c>
      <c r="U17" s="60">
        <f t="shared" ca="1" si="11"/>
        <v>-3082.4261999999999</v>
      </c>
      <c r="V17" s="60">
        <f t="shared" ca="1" si="11"/>
        <v>-3083.5728000000004</v>
      </c>
      <c r="W17" s="60">
        <f t="shared" ca="1" si="11"/>
        <v>-3032.8578000000002</v>
      </c>
      <c r="X17" s="60">
        <f t="shared" ca="1" si="11"/>
        <v>-3230.3015999999998</v>
      </c>
      <c r="Y17" s="60">
        <f t="shared" ca="1" si="11"/>
        <v>-2643.192</v>
      </c>
      <c r="Z17" s="60">
        <f t="shared" ca="1" si="11"/>
        <v>-3347.3034000000002</v>
      </c>
      <c r="AA17" s="60">
        <f t="shared" ca="1" si="11"/>
        <v>-3917.9952000000003</v>
      </c>
      <c r="AB17" s="60">
        <f t="shared" ca="1" si="11"/>
        <v>-4097.8098</v>
      </c>
      <c r="AC17" s="60">
        <f t="shared" ca="1" si="11"/>
        <v>-4093.3242000000005</v>
      </c>
      <c r="AD17" s="60">
        <f t="shared" ca="1" si="11"/>
        <v>-3089.5452000000005</v>
      </c>
      <c r="AE17" s="60"/>
      <c r="AF17" s="61">
        <f ca="1">SUM(S17:AD17)</f>
        <v>-39294.8802</v>
      </c>
      <c r="AH17" s="60">
        <f t="shared" ref="AH17:AS17" ca="1" si="12">AH8*$C$17</f>
        <v>-3240</v>
      </c>
      <c r="AI17" s="60">
        <f t="shared" ca="1" si="12"/>
        <v>-3240</v>
      </c>
      <c r="AJ17" s="60">
        <f t="shared" ca="1" si="12"/>
        <v>-3240</v>
      </c>
      <c r="AK17" s="60">
        <f t="shared" ca="1" si="12"/>
        <v>-3240</v>
      </c>
      <c r="AL17" s="60">
        <f t="shared" ca="1" si="12"/>
        <v>-2268</v>
      </c>
      <c r="AM17" s="60">
        <f t="shared" ca="1" si="12"/>
        <v>-3348</v>
      </c>
      <c r="AN17" s="60">
        <f t="shared" ca="1" si="12"/>
        <v>-3240</v>
      </c>
      <c r="AO17" s="60">
        <f t="shared" ca="1" si="12"/>
        <v>-3240</v>
      </c>
      <c r="AP17" s="60">
        <f t="shared" ca="1" si="12"/>
        <v>-3240</v>
      </c>
      <c r="AQ17" s="60">
        <f t="shared" ca="1" si="12"/>
        <v>-3240</v>
      </c>
      <c r="AR17" s="60">
        <f t="shared" ca="1" si="12"/>
        <v>-3240</v>
      </c>
      <c r="AS17" s="60">
        <f t="shared" ca="1" si="12"/>
        <v>-3240</v>
      </c>
      <c r="AT17" s="60"/>
      <c r="AU17" s="61">
        <f ca="1">SUM(AH17:AS17)</f>
        <v>-38016</v>
      </c>
    </row>
    <row r="18" spans="1:47" outlineLevel="1">
      <c r="B18" s="51" t="s">
        <v>92</v>
      </c>
      <c r="D18" s="59"/>
      <c r="E18" s="59"/>
      <c r="F18" s="59"/>
      <c r="G18" s="59"/>
      <c r="H18" s="59"/>
      <c r="I18" s="59"/>
      <c r="J18" s="59"/>
      <c r="K18" s="59"/>
      <c r="L18" s="59">
        <f>L9*$C$18</f>
        <v>0</v>
      </c>
      <c r="M18" s="60">
        <f t="shared" ref="M18:O18" si="13">M9*$C$18</f>
        <v>0</v>
      </c>
      <c r="N18" s="60">
        <f t="shared" si="13"/>
        <v>0</v>
      </c>
      <c r="O18" s="60">
        <f t="shared" si="13"/>
        <v>0</v>
      </c>
      <c r="P18" s="60"/>
      <c r="Q18" s="61">
        <f>SUM(D18:O18)</f>
        <v>0</v>
      </c>
      <c r="S18" s="60">
        <f t="shared" ref="S18:AD18" si="14">S9*$C$18</f>
        <v>0</v>
      </c>
      <c r="T18" s="60">
        <f t="shared" si="14"/>
        <v>0</v>
      </c>
      <c r="U18" s="60">
        <f t="shared" si="14"/>
        <v>0</v>
      </c>
      <c r="V18" s="60">
        <f t="shared" si="14"/>
        <v>0</v>
      </c>
      <c r="W18" s="60">
        <f t="shared" si="14"/>
        <v>0</v>
      </c>
      <c r="X18" s="60">
        <f t="shared" si="14"/>
        <v>0</v>
      </c>
      <c r="Y18" s="60">
        <f t="shared" si="14"/>
        <v>0</v>
      </c>
      <c r="Z18" s="60">
        <f t="shared" si="14"/>
        <v>0</v>
      </c>
      <c r="AA18" s="60">
        <f t="shared" si="14"/>
        <v>0</v>
      </c>
      <c r="AB18" s="60">
        <f t="shared" si="14"/>
        <v>0</v>
      </c>
      <c r="AC18" s="60">
        <f t="shared" si="14"/>
        <v>0</v>
      </c>
      <c r="AD18" s="60">
        <f t="shared" si="14"/>
        <v>0</v>
      </c>
      <c r="AE18" s="60"/>
      <c r="AF18" s="61">
        <f>SUM(S18:AD18)</f>
        <v>0</v>
      </c>
      <c r="AH18" s="60">
        <f t="shared" ref="AH18:AS18" si="15">AH9*$C$18</f>
        <v>0</v>
      </c>
      <c r="AI18" s="60">
        <f t="shared" si="15"/>
        <v>0</v>
      </c>
      <c r="AJ18" s="60">
        <f t="shared" si="15"/>
        <v>0</v>
      </c>
      <c r="AK18" s="60">
        <f t="shared" si="15"/>
        <v>0</v>
      </c>
      <c r="AL18" s="60">
        <f t="shared" si="15"/>
        <v>0</v>
      </c>
      <c r="AM18" s="60">
        <f t="shared" si="15"/>
        <v>0</v>
      </c>
      <c r="AN18" s="60">
        <f t="shared" si="15"/>
        <v>0</v>
      </c>
      <c r="AO18" s="60">
        <f t="shared" si="15"/>
        <v>0</v>
      </c>
      <c r="AP18" s="60">
        <f t="shared" si="15"/>
        <v>0</v>
      </c>
      <c r="AQ18" s="60">
        <f t="shared" si="15"/>
        <v>0</v>
      </c>
      <c r="AR18" s="60">
        <f t="shared" si="15"/>
        <v>0</v>
      </c>
      <c r="AS18" s="60">
        <f t="shared" si="15"/>
        <v>0</v>
      </c>
      <c r="AT18" s="60"/>
      <c r="AU18" s="61">
        <f>SUM(AH18:AS18)</f>
        <v>0</v>
      </c>
    </row>
    <row r="19" spans="1:47" outlineLevel="1">
      <c r="D19" s="59"/>
      <c r="E19" s="59"/>
      <c r="F19" s="59"/>
      <c r="G19" s="59"/>
      <c r="H19" s="59"/>
      <c r="I19" s="59"/>
      <c r="J19" s="59"/>
      <c r="K19" s="59"/>
      <c r="L19" s="59"/>
      <c r="M19" s="60"/>
      <c r="N19" s="60"/>
      <c r="O19" s="60"/>
      <c r="P19" s="60"/>
      <c r="Q19" s="61"/>
      <c r="S19" s="83"/>
      <c r="T19" s="83"/>
      <c r="U19" s="83"/>
      <c r="V19" s="83"/>
      <c r="W19" s="83"/>
      <c r="X19" s="60"/>
      <c r="Y19" s="60"/>
      <c r="Z19" s="60"/>
      <c r="AA19" s="60"/>
      <c r="AB19" s="60"/>
      <c r="AC19" s="60"/>
      <c r="AD19" s="60"/>
      <c r="AE19" s="60"/>
      <c r="AF19" s="61"/>
      <c r="AH19" s="83"/>
      <c r="AI19" s="83"/>
      <c r="AJ19" s="83"/>
      <c r="AK19" s="83"/>
      <c r="AL19" s="83"/>
      <c r="AM19" s="60"/>
      <c r="AN19" s="60"/>
      <c r="AO19" s="60"/>
      <c r="AP19" s="60"/>
      <c r="AQ19" s="60"/>
      <c r="AR19" s="60"/>
      <c r="AS19" s="60"/>
      <c r="AT19" s="60"/>
      <c r="AU19" s="61"/>
    </row>
    <row r="20" spans="1:47" s="10" customFormat="1">
      <c r="A20" s="52"/>
      <c r="B20" s="63" t="s">
        <v>93</v>
      </c>
      <c r="C20" s="52"/>
      <c r="D20" s="64">
        <f t="shared" ref="D20:J20" si="16">SUM(D15:D19)</f>
        <v>-16173.39</v>
      </c>
      <c r="E20" s="64">
        <f t="shared" si="16"/>
        <v>-15716.47</v>
      </c>
      <c r="F20" s="64">
        <f t="shared" si="16"/>
        <v>-6595.22</v>
      </c>
      <c r="G20" s="64">
        <f t="shared" si="16"/>
        <v>-24757.059999999998</v>
      </c>
      <c r="H20" s="64">
        <f t="shared" si="16"/>
        <v>-41900.51</v>
      </c>
      <c r="I20" s="64">
        <f t="shared" si="16"/>
        <v>-23275.93</v>
      </c>
      <c r="J20" s="64">
        <f t="shared" si="16"/>
        <v>-14429.329999999998</v>
      </c>
      <c r="K20" s="64">
        <f t="shared" ref="K20" si="17">SUM(K15:K19)</f>
        <v>-12401.16</v>
      </c>
      <c r="L20" s="64">
        <f t="shared" ref="L20:O20" si="18">SUM(L15:L19)</f>
        <v>-24244</v>
      </c>
      <c r="M20" s="65">
        <f t="shared" si="18"/>
        <v>-38758</v>
      </c>
      <c r="N20" s="65">
        <f t="shared" si="18"/>
        <v>-12232</v>
      </c>
      <c r="O20" s="65">
        <f t="shared" si="18"/>
        <v>-27964</v>
      </c>
      <c r="P20" s="61"/>
      <c r="Q20" s="65">
        <f>SUM(D20:O20)</f>
        <v>-258447.06999999998</v>
      </c>
      <c r="R20" s="52"/>
      <c r="S20" s="84">
        <f t="shared" ref="S20:AD20" ca="1" si="19">SUM(S15:S19)</f>
        <v>-23728.556840415316</v>
      </c>
      <c r="T20" s="84">
        <f t="shared" ca="1" si="19"/>
        <v>-30070.821472683572</v>
      </c>
      <c r="U20" s="84">
        <f t="shared" ca="1" si="19"/>
        <v>-23761.130722875576</v>
      </c>
      <c r="V20" s="84">
        <f t="shared" ca="1" si="19"/>
        <v>-21044.003167579187</v>
      </c>
      <c r="W20" s="84">
        <f t="shared" ca="1" si="19"/>
        <v>-27738.727091835062</v>
      </c>
      <c r="X20" s="65">
        <f t="shared" ca="1" si="19"/>
        <v>-30283.498345524436</v>
      </c>
      <c r="Y20" s="65">
        <f t="shared" ca="1" si="19"/>
        <v>-18706.251008375875</v>
      </c>
      <c r="Z20" s="65">
        <f t="shared" ca="1" si="19"/>
        <v>-35152.309517146656</v>
      </c>
      <c r="AA20" s="65">
        <f t="shared" ca="1" si="19"/>
        <v>-33065.857815009826</v>
      </c>
      <c r="AB20" s="65">
        <f t="shared" ca="1" si="19"/>
        <v>-38632.002362625921</v>
      </c>
      <c r="AC20" s="65">
        <f t="shared" ca="1" si="19"/>
        <v>-19208.195162159696</v>
      </c>
      <c r="AD20" s="65">
        <f t="shared" ca="1" si="19"/>
        <v>-27121.540594922022</v>
      </c>
      <c r="AE20" s="61"/>
      <c r="AF20" s="65">
        <f ca="1">SUM(S20:AD20)</f>
        <v>-328512.89410115313</v>
      </c>
      <c r="AG20" s="7"/>
      <c r="AH20" s="84">
        <f t="shared" ref="AH20:AS20" ca="1" si="20">SUM(AH15:AH19)</f>
        <v>-34455.216771051069</v>
      </c>
      <c r="AI20" s="84">
        <f t="shared" ca="1" si="20"/>
        <v>-40035.752864276597</v>
      </c>
      <c r="AJ20" s="84">
        <f t="shared" ca="1" si="20"/>
        <v>-33752.490175936167</v>
      </c>
      <c r="AK20" s="84">
        <f t="shared" ca="1" si="20"/>
        <v>-32148.723114529224</v>
      </c>
      <c r="AL20" s="84">
        <f t="shared" ca="1" si="20"/>
        <v>-38432.959307931793</v>
      </c>
      <c r="AM20" s="65">
        <f t="shared" ca="1" si="20"/>
        <v>-54488.922292008298</v>
      </c>
      <c r="AN20" s="65">
        <f t="shared" ca="1" si="20"/>
        <v>-28134.549112091037</v>
      </c>
      <c r="AO20" s="65">
        <f t="shared" ca="1" si="20"/>
        <v>-49510.485284024944</v>
      </c>
      <c r="AP20" s="65">
        <f t="shared" ca="1" si="20"/>
        <v>-51675.420196828163</v>
      </c>
      <c r="AQ20" s="65">
        <f t="shared" ca="1" si="20"/>
        <v>-54797.307969374255</v>
      </c>
      <c r="AR20" s="65">
        <f t="shared" ca="1" si="20"/>
        <v>-27735.095927685557</v>
      </c>
      <c r="AS20" s="65">
        <f t="shared" ca="1" si="20"/>
        <v>-37897.171521675824</v>
      </c>
      <c r="AT20" s="61"/>
      <c r="AU20" s="65">
        <f ca="1">SUM(AH20:AS20)</f>
        <v>-483064.09453741292</v>
      </c>
    </row>
    <row r="21" spans="1:47">
      <c r="D21" s="97">
        <f t="shared" ref="D21:J21" si="21">D20/D11</f>
        <v>-0.25490245523475186</v>
      </c>
      <c r="E21" s="97">
        <f t="shared" si="21"/>
        <v>-0.30805741268913184</v>
      </c>
      <c r="F21" s="97">
        <f t="shared" si="21"/>
        <v>-0.19628765315953059</v>
      </c>
      <c r="G21" s="97">
        <f t="shared" si="21"/>
        <v>-0.23869441404168043</v>
      </c>
      <c r="H21" s="97">
        <f t="shared" si="21"/>
        <v>-0.45973131829368247</v>
      </c>
      <c r="I21" s="97">
        <f t="shared" si="21"/>
        <v>-0.25298705725365617</v>
      </c>
      <c r="J21" s="97">
        <f t="shared" si="21"/>
        <v>-0.23723199390500843</v>
      </c>
      <c r="K21" s="97">
        <f t="shared" ref="K21" si="22">K20/K11</f>
        <v>-0.20255118757392834</v>
      </c>
      <c r="L21" s="97">
        <f t="shared" ref="L21:O21" si="23">L20/L11</f>
        <v>-0.23769326548820063</v>
      </c>
      <c r="M21" s="91">
        <f t="shared" si="23"/>
        <v>-0.27959083564173592</v>
      </c>
      <c r="N21" s="91">
        <f t="shared" si="23"/>
        <v>-0.24020108396826645</v>
      </c>
      <c r="O21" s="91">
        <f t="shared" si="23"/>
        <v>-0.26731670012427111</v>
      </c>
      <c r="P21" s="60"/>
      <c r="Q21" s="91">
        <f>Q20/Q11</f>
        <v>-0.27115473958206066</v>
      </c>
      <c r="S21" s="91">
        <f t="shared" ref="S21:AD21" ca="1" si="24">S20/S11</f>
        <v>-0.24491326825440352</v>
      </c>
      <c r="T21" s="91">
        <f t="shared" ca="1" si="24"/>
        <v>-0.24074295071856744</v>
      </c>
      <c r="U21" s="91">
        <f t="shared" ca="1" si="24"/>
        <v>-0.23588415730701714</v>
      </c>
      <c r="V21" s="91">
        <f t="shared" ca="1" si="24"/>
        <v>-0.23694237984521516</v>
      </c>
      <c r="W21" s="91">
        <f t="shared" ca="1" si="24"/>
        <v>-0.24601131726753925</v>
      </c>
      <c r="X21" s="91">
        <f t="shared" ca="1" si="24"/>
        <v>-0.23674760030107173</v>
      </c>
      <c r="Y21" s="91">
        <f t="shared" ca="1" si="24"/>
        <v>-0.23474789364759538</v>
      </c>
      <c r="Z21" s="91">
        <f t="shared" ca="1" si="24"/>
        <v>-0.24910264907317869</v>
      </c>
      <c r="AA21" s="91">
        <f t="shared" ca="1" si="24"/>
        <v>-0.23773364821094639</v>
      </c>
      <c r="AB21" s="91">
        <f t="shared" ca="1" si="24"/>
        <v>-0.24266860980964128</v>
      </c>
      <c r="AC21" s="91">
        <f t="shared" ca="1" si="24"/>
        <v>-0.2291437284642911</v>
      </c>
      <c r="AD21" s="91">
        <f t="shared" ca="1" si="24"/>
        <v>-0.24025299343962958</v>
      </c>
      <c r="AE21" s="60"/>
      <c r="AF21" s="91">
        <f ca="1">AF20/AF11</f>
        <v>-0.24017442030964109</v>
      </c>
      <c r="AH21" s="91">
        <f t="shared" ref="AH21:AS21" ca="1" si="25">AH20/AH11</f>
        <v>-0.24210021496276646</v>
      </c>
      <c r="AI21" s="91">
        <f t="shared" ca="1" si="25"/>
        <v>-0.24102694919820722</v>
      </c>
      <c r="AJ21" s="91">
        <f t="shared" ca="1" si="25"/>
        <v>-0.23693600381427321</v>
      </c>
      <c r="AK21" s="91">
        <f t="shared" ca="1" si="25"/>
        <v>-0.23804931022024417</v>
      </c>
      <c r="AL21" s="91">
        <f t="shared" ca="1" si="25"/>
        <v>-0.24666753989545639</v>
      </c>
      <c r="AM21" s="91">
        <f t="shared" ca="1" si="25"/>
        <v>-0.23822922730129389</v>
      </c>
      <c r="AN21" s="91">
        <f t="shared" ca="1" si="25"/>
        <v>-0.23508722131348747</v>
      </c>
      <c r="AO21" s="91">
        <f t="shared" ca="1" si="25"/>
        <v>-0.24736958021362498</v>
      </c>
      <c r="AP21" s="91">
        <f t="shared" ca="1" si="25"/>
        <v>-0.23992136250560617</v>
      </c>
      <c r="AQ21" s="91">
        <f t="shared" ca="1" si="25"/>
        <v>-0.24371106769621934</v>
      </c>
      <c r="AR21" s="91">
        <f t="shared" ca="1" si="25"/>
        <v>-0.23489412247306929</v>
      </c>
      <c r="AS21" s="91">
        <f t="shared" ca="1" si="25"/>
        <v>-0.24033081701440201</v>
      </c>
      <c r="AT21" s="60"/>
      <c r="AU21" s="91">
        <f ca="1">AU20/AU11</f>
        <v>-0.24077617733362952</v>
      </c>
    </row>
    <row r="22" spans="1:47" hidden="1" outlineLevel="1">
      <c r="B22" s="67" t="s">
        <v>94</v>
      </c>
      <c r="C22" s="52"/>
      <c r="D22" s="68">
        <f t="shared" ref="D22:J25" si="26">D6+D15</f>
        <v>12043.76</v>
      </c>
      <c r="E22" s="68">
        <f t="shared" si="26"/>
        <v>11974.66</v>
      </c>
      <c r="F22" s="68">
        <f t="shared" si="26"/>
        <v>13155.85</v>
      </c>
      <c r="G22" s="68">
        <f t="shared" si="26"/>
        <v>34807.729999999996</v>
      </c>
      <c r="H22" s="68">
        <f t="shared" si="26"/>
        <v>10719.5</v>
      </c>
      <c r="I22" s="68">
        <f t="shared" si="26"/>
        <v>31751.359999999997</v>
      </c>
      <c r="J22" s="68">
        <f t="shared" si="26"/>
        <v>26947.89</v>
      </c>
      <c r="K22" s="68">
        <f t="shared" ref="K22" si="27">K6+K15</f>
        <v>13707.210000000001</v>
      </c>
      <c r="L22" s="68">
        <f t="shared" ref="L22:O25" si="28">L6+L15</f>
        <v>34861</v>
      </c>
      <c r="M22" s="69">
        <f t="shared" si="28"/>
        <v>50078</v>
      </c>
      <c r="N22" s="69">
        <f t="shared" si="28"/>
        <v>14364</v>
      </c>
      <c r="O22" s="69">
        <f t="shared" si="28"/>
        <v>33379</v>
      </c>
      <c r="P22" s="69"/>
      <c r="Q22" s="69">
        <f>Q6+Q15</f>
        <v>287789.95999999996</v>
      </c>
      <c r="S22" s="85">
        <f t="shared" ref="S22:AD25" si="29">S6+S15</f>
        <v>30560.254044648507</v>
      </c>
      <c r="T22" s="85">
        <f t="shared" si="29"/>
        <v>51689.925196831318</v>
      </c>
      <c r="U22" s="85">
        <f t="shared" si="29"/>
        <v>48015.55557243932</v>
      </c>
      <c r="V22" s="85">
        <f t="shared" si="29"/>
        <v>35320.274170162003</v>
      </c>
      <c r="W22" s="85">
        <f t="shared" si="29"/>
        <v>30105.824706798296</v>
      </c>
      <c r="X22" s="69">
        <f t="shared" si="29"/>
        <v>66837.438546491932</v>
      </c>
      <c r="Y22" s="69">
        <f t="shared" si="29"/>
        <v>37683.914030144682</v>
      </c>
      <c r="Z22" s="69">
        <f t="shared" si="29"/>
        <v>32307.444138014183</v>
      </c>
      <c r="AA22" s="69">
        <f t="shared" si="29"/>
        <v>64064.436343829788</v>
      </c>
      <c r="AB22" s="69">
        <f t="shared" si="29"/>
        <v>58321.330286524812</v>
      </c>
      <c r="AC22" s="69">
        <f t="shared" si="29"/>
        <v>34913.246473832623</v>
      </c>
      <c r="AD22" s="69">
        <f t="shared" si="29"/>
        <v>45936.685714752632</v>
      </c>
      <c r="AE22" s="69"/>
      <c r="AF22" s="69">
        <f>AF6+AF15</f>
        <v>535756.32922447019</v>
      </c>
      <c r="AH22" s="85">
        <f t="shared" ref="AH22:AS25" si="30">AH6+AH15</f>
        <v>59549.582640161709</v>
      </c>
      <c r="AI22" s="85">
        <f t="shared" si="30"/>
        <v>80878.317732709227</v>
      </c>
      <c r="AJ22" s="85">
        <f t="shared" si="30"/>
        <v>78282.526369631203</v>
      </c>
      <c r="AK22" s="85">
        <f t="shared" si="30"/>
        <v>68272.38677033002</v>
      </c>
      <c r="AL22" s="85">
        <f t="shared" si="30"/>
        <v>63368.832373412763</v>
      </c>
      <c r="AM22" s="69">
        <f t="shared" si="30"/>
        <v>141683.31128371065</v>
      </c>
      <c r="AN22" s="69">
        <f t="shared" si="30"/>
        <v>64809.226745353211</v>
      </c>
      <c r="AO22" s="69">
        <f t="shared" si="30"/>
        <v>73705.546491763584</v>
      </c>
      <c r="AP22" s="69">
        <f t="shared" si="30"/>
        <v>123081.54432340425</v>
      </c>
      <c r="AQ22" s="69">
        <f t="shared" si="30"/>
        <v>108703.94026950354</v>
      </c>
      <c r="AR22" s="69">
        <f t="shared" si="30"/>
        <v>63969.766619347523</v>
      </c>
      <c r="AS22" s="69">
        <f t="shared" si="30"/>
        <v>77480.986913747533</v>
      </c>
      <c r="AT22" s="69"/>
      <c r="AU22" s="69">
        <f>AU6+AU15</f>
        <v>1003785.9685330752</v>
      </c>
    </row>
    <row r="23" spans="1:47" hidden="1" outlineLevel="1">
      <c r="B23" s="67" t="s">
        <v>95</v>
      </c>
      <c r="C23" s="52"/>
      <c r="D23" s="68">
        <f t="shared" si="26"/>
        <v>25420.199999999997</v>
      </c>
      <c r="E23" s="68">
        <f t="shared" si="26"/>
        <v>11779.869999999999</v>
      </c>
      <c r="F23" s="68">
        <f t="shared" si="26"/>
        <v>2080.1499999999996</v>
      </c>
      <c r="G23" s="68">
        <f t="shared" si="26"/>
        <v>33068.870000000003</v>
      </c>
      <c r="H23" s="68">
        <f t="shared" si="26"/>
        <v>28789.430000000008</v>
      </c>
      <c r="I23" s="68">
        <f t="shared" si="26"/>
        <v>24114.41</v>
      </c>
      <c r="J23" s="68">
        <f t="shared" si="26"/>
        <v>8624.6400000000012</v>
      </c>
      <c r="K23" s="68">
        <f t="shared" ref="K23" si="31">K7+K16</f>
        <v>21692.720000000001</v>
      </c>
      <c r="L23" s="68">
        <f t="shared" si="28"/>
        <v>28169</v>
      </c>
      <c r="M23" s="69">
        <f t="shared" si="28"/>
        <v>34454</v>
      </c>
      <c r="N23" s="69">
        <f t="shared" si="28"/>
        <v>8994</v>
      </c>
      <c r="O23" s="69">
        <f t="shared" si="28"/>
        <v>31396</v>
      </c>
      <c r="P23" s="69"/>
      <c r="Q23" s="69">
        <f>Q7+Q16</f>
        <v>258583.29000000004</v>
      </c>
      <c r="S23" s="85">
        <f t="shared" si="29"/>
        <v>31442.771699999994</v>
      </c>
      <c r="T23" s="85">
        <f t="shared" si="29"/>
        <v>28441.792799999996</v>
      </c>
      <c r="U23" s="85">
        <f t="shared" si="29"/>
        <v>14913.352500000001</v>
      </c>
      <c r="V23" s="85">
        <f t="shared" si="29"/>
        <v>18403.190708189817</v>
      </c>
      <c r="W23" s="85">
        <f t="shared" si="29"/>
        <v>41092.961961398782</v>
      </c>
      <c r="X23" s="69">
        <f t="shared" si="29"/>
        <v>16077.945034461854</v>
      </c>
      <c r="Y23" s="69">
        <f t="shared" si="29"/>
        <v>11255.182260066216</v>
      </c>
      <c r="Z23" s="69">
        <f t="shared" si="29"/>
        <v>58407.179243727478</v>
      </c>
      <c r="AA23" s="69">
        <f t="shared" si="29"/>
        <v>24108.89342772161</v>
      </c>
      <c r="AB23" s="69">
        <f t="shared" si="29"/>
        <v>43575.404325271491</v>
      </c>
      <c r="AC23" s="69">
        <f t="shared" si="29"/>
        <v>11057.161927830042</v>
      </c>
      <c r="AD23" s="69">
        <f t="shared" si="29"/>
        <v>25754.598966267433</v>
      </c>
      <c r="AE23" s="69"/>
      <c r="AF23" s="69">
        <f>AF7+AF16</f>
        <v>324530.43485493469</v>
      </c>
      <c r="AH23" s="85">
        <f t="shared" si="30"/>
        <v>33553.193888999995</v>
      </c>
      <c r="AI23" s="85">
        <f t="shared" si="30"/>
        <v>30430.811024999995</v>
      </c>
      <c r="AJ23" s="85">
        <f t="shared" si="30"/>
        <v>15659.020125000001</v>
      </c>
      <c r="AK23" s="85">
        <f t="shared" si="30"/>
        <v>19869.578078845003</v>
      </c>
      <c r="AL23" s="85">
        <f t="shared" si="30"/>
        <v>43674.951229135688</v>
      </c>
      <c r="AM23" s="69">
        <f t="shared" si="30"/>
        <v>17300.524126218803</v>
      </c>
      <c r="AN23" s="69">
        <f t="shared" si="30"/>
        <v>11973.291040946515</v>
      </c>
      <c r="AO23" s="69">
        <f t="shared" si="30"/>
        <v>62171.800634600673</v>
      </c>
      <c r="AP23" s="69">
        <f t="shared" si="30"/>
        <v>25867.858478264337</v>
      </c>
      <c r="AQ23" s="69">
        <f t="shared" si="30"/>
        <v>46584.133168576103</v>
      </c>
      <c r="AR23" s="69">
        <f t="shared" si="30"/>
        <v>11610.020024221543</v>
      </c>
      <c r="AS23" s="69">
        <f t="shared" si="30"/>
        <v>27549.365755054492</v>
      </c>
      <c r="AT23" s="69"/>
      <c r="AU23" s="69">
        <f>AU7+AU16</f>
        <v>346244.54757486319</v>
      </c>
    </row>
    <row r="24" spans="1:47" hidden="1" outlineLevel="1">
      <c r="B24" s="67" t="s">
        <v>96</v>
      </c>
      <c r="C24" s="52"/>
      <c r="D24" s="68">
        <f t="shared" si="26"/>
        <v>9811.98</v>
      </c>
      <c r="E24" s="68">
        <f t="shared" si="26"/>
        <v>11546.99</v>
      </c>
      <c r="F24" s="68">
        <f t="shared" si="26"/>
        <v>11768.55</v>
      </c>
      <c r="G24" s="68">
        <f t="shared" si="26"/>
        <v>11084.98</v>
      </c>
      <c r="H24" s="68">
        <f t="shared" si="26"/>
        <v>9731.86</v>
      </c>
      <c r="I24" s="68">
        <f t="shared" si="26"/>
        <v>12862.730000000001</v>
      </c>
      <c r="J24" s="68">
        <f t="shared" si="26"/>
        <v>10821.849999999999</v>
      </c>
      <c r="K24" s="68">
        <f t="shared" ref="K24" si="32">K8+K17</f>
        <v>13423.730000000001</v>
      </c>
      <c r="L24" s="68">
        <f t="shared" si="28"/>
        <v>14723</v>
      </c>
      <c r="M24" s="69">
        <f t="shared" si="28"/>
        <v>15334</v>
      </c>
      <c r="N24" s="69">
        <f t="shared" si="28"/>
        <v>15334</v>
      </c>
      <c r="O24" s="69">
        <f t="shared" si="28"/>
        <v>11871</v>
      </c>
      <c r="P24" s="69"/>
      <c r="Q24" s="69">
        <f>Q8+Q17</f>
        <v>148314.66999999998</v>
      </c>
      <c r="S24" s="85">
        <f t="shared" ca="1" si="29"/>
        <v>11153.968000000001</v>
      </c>
      <c r="T24" s="85">
        <f t="shared" ca="1" si="29"/>
        <v>14705.880000000001</v>
      </c>
      <c r="U24" s="85">
        <f t="shared" ca="1" si="29"/>
        <v>14042.1638</v>
      </c>
      <c r="V24" s="85">
        <f t="shared" ca="1" si="29"/>
        <v>14047.387200000003</v>
      </c>
      <c r="W24" s="85">
        <f t="shared" ca="1" si="29"/>
        <v>13816.352200000003</v>
      </c>
      <c r="X24" s="69">
        <f t="shared" ca="1" si="29"/>
        <v>14715.8184</v>
      </c>
      <c r="Y24" s="69">
        <f t="shared" ca="1" si="29"/>
        <v>12041.207999999999</v>
      </c>
      <c r="Z24" s="69">
        <f t="shared" ca="1" si="29"/>
        <v>15248.8266</v>
      </c>
      <c r="AA24" s="69">
        <f t="shared" ca="1" si="29"/>
        <v>17848.644800000002</v>
      </c>
      <c r="AB24" s="69">
        <f t="shared" ca="1" si="29"/>
        <v>18667.800200000001</v>
      </c>
      <c r="AC24" s="69">
        <f t="shared" ca="1" si="29"/>
        <v>18647.365800000003</v>
      </c>
      <c r="AD24" s="69">
        <f t="shared" ca="1" si="29"/>
        <v>14074.594800000003</v>
      </c>
      <c r="AE24" s="69"/>
      <c r="AF24" s="69">
        <f ca="1">AF8+AF17</f>
        <v>179010.0098</v>
      </c>
      <c r="AH24" s="85">
        <f t="shared" ca="1" si="30"/>
        <v>14760</v>
      </c>
      <c r="AI24" s="85">
        <f t="shared" ca="1" si="30"/>
        <v>14760</v>
      </c>
      <c r="AJ24" s="85">
        <f t="shared" ca="1" si="30"/>
        <v>14760</v>
      </c>
      <c r="AK24" s="85">
        <f t="shared" ca="1" si="30"/>
        <v>14760</v>
      </c>
      <c r="AL24" s="85">
        <f t="shared" ca="1" si="30"/>
        <v>10332</v>
      </c>
      <c r="AM24" s="69">
        <f t="shared" ca="1" si="30"/>
        <v>15252</v>
      </c>
      <c r="AN24" s="69">
        <f t="shared" ca="1" si="30"/>
        <v>14760</v>
      </c>
      <c r="AO24" s="69">
        <f t="shared" ca="1" si="30"/>
        <v>14760</v>
      </c>
      <c r="AP24" s="69">
        <f t="shared" ca="1" si="30"/>
        <v>14760</v>
      </c>
      <c r="AQ24" s="69">
        <f t="shared" ca="1" si="30"/>
        <v>14760</v>
      </c>
      <c r="AR24" s="69">
        <f t="shared" ca="1" si="30"/>
        <v>14760</v>
      </c>
      <c r="AS24" s="69">
        <f t="shared" ca="1" si="30"/>
        <v>14760</v>
      </c>
      <c r="AT24" s="69"/>
      <c r="AU24" s="69">
        <f ca="1">AU8+AU17</f>
        <v>173184</v>
      </c>
    </row>
    <row r="25" spans="1:47" hidden="1" outlineLevel="1">
      <c r="B25" s="67" t="s">
        <v>97</v>
      </c>
      <c r="C25" s="52"/>
      <c r="D25" s="68">
        <f t="shared" si="26"/>
        <v>0</v>
      </c>
      <c r="E25" s="68">
        <f t="shared" si="26"/>
        <v>0</v>
      </c>
      <c r="F25" s="68">
        <f t="shared" si="26"/>
        <v>0</v>
      </c>
      <c r="G25" s="68">
        <f t="shared" si="26"/>
        <v>0</v>
      </c>
      <c r="H25" s="68">
        <f t="shared" si="26"/>
        <v>0</v>
      </c>
      <c r="I25" s="68">
        <f t="shared" si="26"/>
        <v>0</v>
      </c>
      <c r="J25" s="68">
        <f t="shared" si="26"/>
        <v>0</v>
      </c>
      <c r="K25" s="68">
        <f t="shared" ref="K25" si="33">K9+K18</f>
        <v>0</v>
      </c>
      <c r="L25" s="68">
        <f t="shared" si="28"/>
        <v>0</v>
      </c>
      <c r="M25" s="69">
        <f t="shared" si="28"/>
        <v>0</v>
      </c>
      <c r="N25" s="69">
        <f t="shared" si="28"/>
        <v>0</v>
      </c>
      <c r="O25" s="69">
        <f t="shared" si="28"/>
        <v>0</v>
      </c>
      <c r="P25" s="69"/>
      <c r="Q25" s="69">
        <f>Q9+Q18</f>
        <v>0</v>
      </c>
      <c r="S25" s="85">
        <f t="shared" si="29"/>
        <v>0</v>
      </c>
      <c r="T25" s="85">
        <f t="shared" si="29"/>
        <v>0</v>
      </c>
      <c r="U25" s="85">
        <f t="shared" si="29"/>
        <v>0</v>
      </c>
      <c r="V25" s="85">
        <f t="shared" si="29"/>
        <v>0</v>
      </c>
      <c r="W25" s="85">
        <f t="shared" si="29"/>
        <v>0</v>
      </c>
      <c r="X25" s="69">
        <f t="shared" si="29"/>
        <v>0</v>
      </c>
      <c r="Y25" s="69">
        <f t="shared" si="29"/>
        <v>0</v>
      </c>
      <c r="Z25" s="69">
        <f t="shared" si="29"/>
        <v>0</v>
      </c>
      <c r="AA25" s="69">
        <f t="shared" si="29"/>
        <v>0</v>
      </c>
      <c r="AB25" s="69">
        <f t="shared" si="29"/>
        <v>0</v>
      </c>
      <c r="AC25" s="69">
        <f t="shared" si="29"/>
        <v>0</v>
      </c>
      <c r="AD25" s="69">
        <f t="shared" si="29"/>
        <v>0</v>
      </c>
      <c r="AE25" s="69"/>
      <c r="AF25" s="69">
        <f>AF9+AF18</f>
        <v>0</v>
      </c>
      <c r="AH25" s="85">
        <f t="shared" si="30"/>
        <v>0</v>
      </c>
      <c r="AI25" s="85">
        <f t="shared" si="30"/>
        <v>0</v>
      </c>
      <c r="AJ25" s="85">
        <f t="shared" si="30"/>
        <v>0</v>
      </c>
      <c r="AK25" s="85">
        <f t="shared" si="30"/>
        <v>0</v>
      </c>
      <c r="AL25" s="85">
        <f t="shared" si="30"/>
        <v>0</v>
      </c>
      <c r="AM25" s="69">
        <f t="shared" si="30"/>
        <v>0</v>
      </c>
      <c r="AN25" s="69">
        <f t="shared" si="30"/>
        <v>0</v>
      </c>
      <c r="AO25" s="69">
        <f t="shared" si="30"/>
        <v>0</v>
      </c>
      <c r="AP25" s="69">
        <f t="shared" si="30"/>
        <v>0</v>
      </c>
      <c r="AQ25" s="69">
        <f t="shared" si="30"/>
        <v>0</v>
      </c>
      <c r="AR25" s="69">
        <f t="shared" si="30"/>
        <v>0</v>
      </c>
      <c r="AS25" s="69">
        <f t="shared" si="30"/>
        <v>0</v>
      </c>
      <c r="AT25" s="69"/>
      <c r="AU25" s="69">
        <f>AU9+AU18</f>
        <v>0</v>
      </c>
    </row>
    <row r="26" spans="1:47" collapsed="1">
      <c r="B26" s="67" t="s">
        <v>98</v>
      </c>
      <c r="C26" s="52"/>
      <c r="D26" s="68">
        <f t="shared" ref="D26:J26" si="34">D11+D20</f>
        <v>47275.94</v>
      </c>
      <c r="E26" s="68">
        <f t="shared" si="34"/>
        <v>35301.519999999997</v>
      </c>
      <c r="F26" s="68">
        <f t="shared" si="34"/>
        <v>27004.549999999996</v>
      </c>
      <c r="G26" s="68">
        <f t="shared" si="34"/>
        <v>78961.58</v>
      </c>
      <c r="H26" s="68">
        <f t="shared" si="34"/>
        <v>49240.79</v>
      </c>
      <c r="I26" s="68">
        <f t="shared" si="34"/>
        <v>68728.5</v>
      </c>
      <c r="J26" s="68">
        <f t="shared" si="34"/>
        <v>46394.37999999999</v>
      </c>
      <c r="K26" s="68">
        <f t="shared" ref="K26" si="35">K11+K20</f>
        <v>48823.66</v>
      </c>
      <c r="L26" s="68">
        <f t="shared" ref="L26:O26" si="36">L11+L20</f>
        <v>77753</v>
      </c>
      <c r="M26" s="69">
        <f t="shared" si="36"/>
        <v>99866</v>
      </c>
      <c r="N26" s="69">
        <f t="shared" si="36"/>
        <v>38692</v>
      </c>
      <c r="O26" s="69">
        <f t="shared" si="36"/>
        <v>76646</v>
      </c>
      <c r="P26" s="69"/>
      <c r="Q26" s="69">
        <f>Q11+Q20</f>
        <v>694687.91999999993</v>
      </c>
      <c r="S26" s="85">
        <f t="shared" ref="S26:AD26" ca="1" si="37">S11+S20</f>
        <v>73156.993744648498</v>
      </c>
      <c r="T26" s="85">
        <f t="shared" ca="1" si="37"/>
        <v>94837.597996831319</v>
      </c>
      <c r="U26" s="85">
        <f t="shared" ca="1" si="37"/>
        <v>76971.071872439308</v>
      </c>
      <c r="V26" s="85">
        <f t="shared" ca="1" si="37"/>
        <v>67770.852078351832</v>
      </c>
      <c r="W26" s="85">
        <f t="shared" ca="1" si="37"/>
        <v>85015.138868197071</v>
      </c>
      <c r="X26" s="69">
        <f t="shared" ca="1" si="37"/>
        <v>97631.201980953789</v>
      </c>
      <c r="Y26" s="69">
        <f t="shared" ca="1" si="37"/>
        <v>60980.304290210894</v>
      </c>
      <c r="Z26" s="69">
        <f t="shared" ca="1" si="37"/>
        <v>105963.44998174165</v>
      </c>
      <c r="AA26" s="69">
        <f t="shared" ca="1" si="37"/>
        <v>106021.9745715514</v>
      </c>
      <c r="AB26" s="69">
        <f t="shared" ca="1" si="37"/>
        <v>120564.53481179631</v>
      </c>
      <c r="AC26" s="69">
        <f t="shared" ca="1" si="37"/>
        <v>64617.774201662673</v>
      </c>
      <c r="AD26" s="69">
        <f t="shared" ca="1" si="37"/>
        <v>85765.879481020063</v>
      </c>
      <c r="AE26" s="69"/>
      <c r="AF26" s="69">
        <f ca="1">AF11+AF20</f>
        <v>1039296.7738794046</v>
      </c>
      <c r="AH26" s="85">
        <f t="shared" ref="AH26:AS26" ca="1" si="38">AH11+AH20</f>
        <v>107862.77652916171</v>
      </c>
      <c r="AI26" s="85">
        <f t="shared" ca="1" si="38"/>
        <v>126069.12875770922</v>
      </c>
      <c r="AJ26" s="85">
        <f t="shared" ca="1" si="38"/>
        <v>108701.54649463121</v>
      </c>
      <c r="AK26" s="85">
        <f t="shared" ca="1" si="38"/>
        <v>102901.96484917501</v>
      </c>
      <c r="AL26" s="85">
        <f t="shared" ca="1" si="38"/>
        <v>117375.78360254844</v>
      </c>
      <c r="AM26" s="69">
        <f t="shared" ca="1" si="38"/>
        <v>174235.83540992945</v>
      </c>
      <c r="AN26" s="69">
        <f t="shared" ca="1" si="38"/>
        <v>91542.517786299723</v>
      </c>
      <c r="AO26" s="69">
        <f t="shared" ca="1" si="38"/>
        <v>150637.34712636427</v>
      </c>
      <c r="AP26" s="69">
        <f t="shared" ca="1" si="38"/>
        <v>163709.40280166859</v>
      </c>
      <c r="AQ26" s="69">
        <f t="shared" ca="1" si="38"/>
        <v>170048.07343807965</v>
      </c>
      <c r="AR26" s="69">
        <f t="shared" ca="1" si="38"/>
        <v>90339.786643569067</v>
      </c>
      <c r="AS26" s="69">
        <f t="shared" ca="1" si="38"/>
        <v>119790.35266880202</v>
      </c>
      <c r="AT26" s="69"/>
      <c r="AU26" s="69">
        <f ca="1">AU11+AU20</f>
        <v>1523214.5161079383</v>
      </c>
    </row>
    <row r="27" spans="1:47">
      <c r="B27" s="52"/>
      <c r="C27" s="52"/>
      <c r="D27" s="70"/>
      <c r="E27" s="70"/>
      <c r="F27" s="70"/>
      <c r="G27" s="70"/>
      <c r="H27" s="70"/>
      <c r="I27" s="70"/>
      <c r="J27" s="70"/>
      <c r="K27" s="70"/>
      <c r="L27" s="70"/>
      <c r="M27" s="52"/>
      <c r="N27" s="52"/>
      <c r="O27" s="52"/>
      <c r="P27" s="52"/>
      <c r="S27" s="10"/>
      <c r="T27" s="10"/>
      <c r="U27" s="10"/>
      <c r="V27" s="10"/>
      <c r="W27" s="10"/>
      <c r="X27" s="52"/>
      <c r="Y27" s="52"/>
      <c r="Z27" s="52"/>
      <c r="AA27" s="52"/>
      <c r="AB27" s="52"/>
      <c r="AC27" s="52"/>
      <c r="AD27" s="52"/>
      <c r="AE27" s="52"/>
      <c r="AH27" s="10"/>
      <c r="AI27" s="10"/>
      <c r="AJ27" s="10"/>
      <c r="AK27" s="10"/>
      <c r="AL27" s="10"/>
      <c r="AM27" s="52"/>
      <c r="AN27" s="52"/>
      <c r="AO27" s="52"/>
      <c r="AP27" s="52"/>
      <c r="AQ27" s="52"/>
      <c r="AR27" s="52"/>
      <c r="AS27" s="52"/>
      <c r="AT27" s="52"/>
    </row>
    <row r="28" spans="1:47" hidden="1" outlineLevel="1">
      <c r="B28" s="67" t="s">
        <v>99</v>
      </c>
      <c r="C28" s="52"/>
      <c r="D28" s="97">
        <f t="shared" ref="D28:J31" si="39">IFERROR(D22/D6,0)</f>
        <v>0.79808519351499785</v>
      </c>
      <c r="E28" s="97">
        <f t="shared" si="39"/>
        <v>0.83383771212110658</v>
      </c>
      <c r="F28" s="97">
        <f t="shared" si="39"/>
        <v>0.77836469369438133</v>
      </c>
      <c r="G28" s="97">
        <f t="shared" si="39"/>
        <v>0.75868099034705649</v>
      </c>
      <c r="H28" s="97">
        <f t="shared" si="39"/>
        <v>0.81542534174153158</v>
      </c>
      <c r="I28" s="97">
        <f t="shared" si="39"/>
        <v>0.76258823128178266</v>
      </c>
      <c r="J28" s="97">
        <f t="shared" si="39"/>
        <v>0.74083648224946019</v>
      </c>
      <c r="K28" s="97">
        <f t="shared" ref="K28" si="40">IFERROR(K22/K6,0)</f>
        <v>0.84032170457568911</v>
      </c>
      <c r="L28" s="97">
        <f t="shared" ref="L28:O31" si="41">IFERROR(L22/L6,0)</f>
        <v>0.74965056017891318</v>
      </c>
      <c r="M28" s="91">
        <f t="shared" si="41"/>
        <v>0.73</v>
      </c>
      <c r="N28" s="91">
        <f t="shared" si="41"/>
        <v>0.76</v>
      </c>
      <c r="O28" s="91">
        <f t="shared" si="41"/>
        <v>0.76998846597462511</v>
      </c>
      <c r="P28" s="91"/>
      <c r="Q28" s="91">
        <f>IFERROR(Q22/Q6,0)</f>
        <v>0.76325740557900679</v>
      </c>
      <c r="S28" s="91">
        <f t="shared" ref="S28:AD31" si="42">IFERROR(S22/S6,0)</f>
        <v>0.76</v>
      </c>
      <c r="T28" s="91">
        <f t="shared" si="42"/>
        <v>0.76</v>
      </c>
      <c r="U28" s="91">
        <f t="shared" si="42"/>
        <v>0.76</v>
      </c>
      <c r="V28" s="91">
        <f t="shared" si="42"/>
        <v>0.76</v>
      </c>
      <c r="W28" s="91">
        <f t="shared" si="42"/>
        <v>0.76</v>
      </c>
      <c r="X28" s="91">
        <f t="shared" si="42"/>
        <v>0.76</v>
      </c>
      <c r="Y28" s="91">
        <f t="shared" si="42"/>
        <v>0.76</v>
      </c>
      <c r="Z28" s="91">
        <f t="shared" si="42"/>
        <v>0.76</v>
      </c>
      <c r="AA28" s="91">
        <f t="shared" si="42"/>
        <v>0.76</v>
      </c>
      <c r="AB28" s="91">
        <f t="shared" si="42"/>
        <v>0.7599999999999999</v>
      </c>
      <c r="AC28" s="91">
        <f t="shared" si="42"/>
        <v>0.76</v>
      </c>
      <c r="AD28" s="91">
        <f t="shared" si="42"/>
        <v>0.76</v>
      </c>
      <c r="AE28" s="91"/>
      <c r="AF28" s="91">
        <f>IFERROR(AF22/AF6,0)</f>
        <v>0.76</v>
      </c>
      <c r="AH28" s="91">
        <f t="shared" ref="AH28:AS31" si="43">IFERROR(AH22/AH6,0)</f>
        <v>0.76</v>
      </c>
      <c r="AI28" s="91">
        <f t="shared" si="43"/>
        <v>0.76</v>
      </c>
      <c r="AJ28" s="91">
        <f t="shared" si="43"/>
        <v>0.76</v>
      </c>
      <c r="AK28" s="91">
        <f t="shared" si="43"/>
        <v>0.76</v>
      </c>
      <c r="AL28" s="91">
        <f t="shared" si="43"/>
        <v>0.76</v>
      </c>
      <c r="AM28" s="91">
        <f t="shared" si="43"/>
        <v>0.7599999999999999</v>
      </c>
      <c r="AN28" s="91">
        <f t="shared" si="43"/>
        <v>0.76</v>
      </c>
      <c r="AO28" s="91">
        <f t="shared" si="43"/>
        <v>0.7599999999999999</v>
      </c>
      <c r="AP28" s="91">
        <f t="shared" si="43"/>
        <v>0.76</v>
      </c>
      <c r="AQ28" s="91">
        <f t="shared" si="43"/>
        <v>0.76</v>
      </c>
      <c r="AR28" s="91">
        <f t="shared" si="43"/>
        <v>0.76</v>
      </c>
      <c r="AS28" s="91">
        <f t="shared" si="43"/>
        <v>0.76</v>
      </c>
      <c r="AT28" s="91"/>
      <c r="AU28" s="91">
        <f>IFERROR(AU22/AU6,0)</f>
        <v>0.76</v>
      </c>
    </row>
    <row r="29" spans="1:47" hidden="1" outlineLevel="1">
      <c r="B29" s="67" t="s">
        <v>100</v>
      </c>
      <c r="C29" s="52"/>
      <c r="D29" s="97">
        <f t="shared" si="39"/>
        <v>0.68754883735649008</v>
      </c>
      <c r="E29" s="97">
        <f t="shared" si="39"/>
        <v>0.51052105359186728</v>
      </c>
      <c r="F29" s="97">
        <f t="shared" si="39"/>
        <v>0.73274389277348206</v>
      </c>
      <c r="G29" s="97">
        <f t="shared" si="39"/>
        <v>0.74159399043900864</v>
      </c>
      <c r="H29" s="97">
        <f t="shared" si="39"/>
        <v>0.43298424697224625</v>
      </c>
      <c r="I29" s="97">
        <f t="shared" si="39"/>
        <v>0.69774987160104451</v>
      </c>
      <c r="J29" s="97">
        <f t="shared" si="39"/>
        <v>0.74268521404866028</v>
      </c>
      <c r="K29" s="97">
        <f t="shared" ref="K29" si="44">IFERROR(K23/K7,0)</f>
        <v>0.74310266925047164</v>
      </c>
      <c r="L29" s="97">
        <f t="shared" si="41"/>
        <v>0.74487664277970222</v>
      </c>
      <c r="M29" s="91">
        <f t="shared" si="41"/>
        <v>0.66999844430616051</v>
      </c>
      <c r="N29" s="91">
        <f t="shared" si="41"/>
        <v>0.6699940405244339</v>
      </c>
      <c r="O29" s="91">
        <f t="shared" si="41"/>
        <v>0.6699957319675629</v>
      </c>
      <c r="P29" s="91"/>
      <c r="Q29" s="91">
        <f>IFERROR(Q23/Q7,0)</f>
        <v>0.64830961898668082</v>
      </c>
      <c r="S29" s="91">
        <f t="shared" si="42"/>
        <v>0.73</v>
      </c>
      <c r="T29" s="91">
        <f t="shared" si="42"/>
        <v>0.73</v>
      </c>
      <c r="U29" s="91">
        <f t="shared" si="42"/>
        <v>0.73000000000000009</v>
      </c>
      <c r="V29" s="91">
        <f t="shared" si="42"/>
        <v>0.73</v>
      </c>
      <c r="W29" s="91">
        <f t="shared" si="42"/>
        <v>0.73</v>
      </c>
      <c r="X29" s="91">
        <f t="shared" si="42"/>
        <v>0.73</v>
      </c>
      <c r="Y29" s="91">
        <f t="shared" si="42"/>
        <v>0.72999999999999987</v>
      </c>
      <c r="Z29" s="91">
        <f t="shared" si="42"/>
        <v>0.73</v>
      </c>
      <c r="AA29" s="91">
        <f t="shared" si="42"/>
        <v>0.73000000000000009</v>
      </c>
      <c r="AB29" s="91">
        <f t="shared" si="42"/>
        <v>0.73</v>
      </c>
      <c r="AC29" s="91">
        <f t="shared" si="42"/>
        <v>0.73</v>
      </c>
      <c r="AD29" s="91">
        <f t="shared" si="42"/>
        <v>0.72999999999999987</v>
      </c>
      <c r="AE29" s="91"/>
      <c r="AF29" s="91">
        <f>IFERROR(AF23/AF7,0)</f>
        <v>0.73</v>
      </c>
      <c r="AH29" s="91">
        <f t="shared" si="43"/>
        <v>0.73</v>
      </c>
      <c r="AI29" s="91">
        <f t="shared" si="43"/>
        <v>0.73</v>
      </c>
      <c r="AJ29" s="91">
        <f t="shared" si="43"/>
        <v>0.73</v>
      </c>
      <c r="AK29" s="91">
        <f t="shared" si="43"/>
        <v>0.73</v>
      </c>
      <c r="AL29" s="91">
        <f t="shared" si="43"/>
        <v>0.73</v>
      </c>
      <c r="AM29" s="91">
        <f t="shared" si="43"/>
        <v>0.73</v>
      </c>
      <c r="AN29" s="91">
        <f t="shared" si="43"/>
        <v>0.73</v>
      </c>
      <c r="AO29" s="91">
        <f t="shared" si="43"/>
        <v>0.73</v>
      </c>
      <c r="AP29" s="91">
        <f t="shared" si="43"/>
        <v>0.73</v>
      </c>
      <c r="AQ29" s="91">
        <f t="shared" si="43"/>
        <v>0.73</v>
      </c>
      <c r="AR29" s="91">
        <f t="shared" si="43"/>
        <v>0.72999999999999987</v>
      </c>
      <c r="AS29" s="91">
        <f t="shared" si="43"/>
        <v>0.73</v>
      </c>
      <c r="AT29" s="91"/>
      <c r="AU29" s="91">
        <f>IFERROR(AU23/AU7,0)</f>
        <v>0.73</v>
      </c>
    </row>
    <row r="30" spans="1:47" hidden="1" outlineLevel="1">
      <c r="B30" s="67" t="s">
        <v>101</v>
      </c>
      <c r="C30" s="52"/>
      <c r="D30" s="97">
        <f t="shared" si="39"/>
        <v>0.86173559453026882</v>
      </c>
      <c r="E30" s="97">
        <f t="shared" si="39"/>
        <v>0.8501135252612112</v>
      </c>
      <c r="F30" s="97">
        <f t="shared" si="39"/>
        <v>0.84916238605787853</v>
      </c>
      <c r="G30" s="97">
        <f t="shared" si="39"/>
        <v>0.8367437212026787</v>
      </c>
      <c r="H30" s="97">
        <f t="shared" si="39"/>
        <v>0.84590371405053066</v>
      </c>
      <c r="I30" s="97">
        <f t="shared" si="39"/>
        <v>0.81369153465963473</v>
      </c>
      <c r="J30" s="97">
        <f t="shared" si="39"/>
        <v>0.84308716591954791</v>
      </c>
      <c r="K30" s="97">
        <f t="shared" ref="K30" si="45">IFERROR(K24/K8,0)</f>
        <v>0.85387958808895437</v>
      </c>
      <c r="L30" s="97">
        <f t="shared" si="41"/>
        <v>0.83289019630027716</v>
      </c>
      <c r="M30" s="91">
        <f t="shared" si="41"/>
        <v>0.82440860215053768</v>
      </c>
      <c r="N30" s="91">
        <f t="shared" si="41"/>
        <v>0.82440860215053768</v>
      </c>
      <c r="O30" s="91">
        <f t="shared" si="41"/>
        <v>0.82437499999999997</v>
      </c>
      <c r="P30" s="91"/>
      <c r="Q30" s="91">
        <f>IFERROR(Q24/Q8,0)</f>
        <v>0.83688463464768215</v>
      </c>
      <c r="S30" s="91">
        <f t="shared" ca="1" si="42"/>
        <v>0.82</v>
      </c>
      <c r="T30" s="91">
        <f t="shared" ca="1" si="42"/>
        <v>0.82000000000000006</v>
      </c>
      <c r="U30" s="91">
        <f t="shared" ca="1" si="42"/>
        <v>0.82000000000000006</v>
      </c>
      <c r="V30" s="91">
        <f t="shared" ca="1" si="42"/>
        <v>0.82000000000000006</v>
      </c>
      <c r="W30" s="91">
        <f t="shared" ca="1" si="42"/>
        <v>0.82000000000000006</v>
      </c>
      <c r="X30" s="91">
        <f t="shared" ca="1" si="42"/>
        <v>0.82000000000000006</v>
      </c>
      <c r="Y30" s="91">
        <f t="shared" ca="1" si="42"/>
        <v>0.82</v>
      </c>
      <c r="Z30" s="91">
        <f t="shared" ca="1" si="42"/>
        <v>0.82</v>
      </c>
      <c r="AA30" s="91">
        <f t="shared" ca="1" si="42"/>
        <v>0.82</v>
      </c>
      <c r="AB30" s="91">
        <f t="shared" ca="1" si="42"/>
        <v>0.82000000000000006</v>
      </c>
      <c r="AC30" s="91">
        <f t="shared" ca="1" si="42"/>
        <v>0.82000000000000006</v>
      </c>
      <c r="AD30" s="91">
        <f t="shared" ca="1" si="42"/>
        <v>0.82</v>
      </c>
      <c r="AE30" s="91"/>
      <c r="AF30" s="91">
        <f ca="1">IFERROR(AF24/AF8,0)</f>
        <v>0.82</v>
      </c>
      <c r="AH30" s="91">
        <f t="shared" ca="1" si="43"/>
        <v>0.82</v>
      </c>
      <c r="AI30" s="91">
        <f t="shared" ca="1" si="43"/>
        <v>0.82</v>
      </c>
      <c r="AJ30" s="91">
        <f t="shared" ca="1" si="43"/>
        <v>0.82</v>
      </c>
      <c r="AK30" s="91">
        <f t="shared" ca="1" si="43"/>
        <v>0.82</v>
      </c>
      <c r="AL30" s="91">
        <f t="shared" ca="1" si="43"/>
        <v>0.82</v>
      </c>
      <c r="AM30" s="91">
        <f t="shared" ca="1" si="43"/>
        <v>0.82</v>
      </c>
      <c r="AN30" s="91">
        <f t="shared" ca="1" si="43"/>
        <v>0.82</v>
      </c>
      <c r="AO30" s="91">
        <f t="shared" ca="1" si="43"/>
        <v>0.82</v>
      </c>
      <c r="AP30" s="91">
        <f t="shared" ca="1" si="43"/>
        <v>0.82</v>
      </c>
      <c r="AQ30" s="91">
        <f t="shared" ca="1" si="43"/>
        <v>0.82</v>
      </c>
      <c r="AR30" s="91">
        <f t="shared" ca="1" si="43"/>
        <v>0.82</v>
      </c>
      <c r="AS30" s="91">
        <f t="shared" ca="1" si="43"/>
        <v>0.82</v>
      </c>
      <c r="AT30" s="91"/>
      <c r="AU30" s="91">
        <f ca="1">IFERROR(AU24/AU8,0)</f>
        <v>0.82</v>
      </c>
    </row>
    <row r="31" spans="1:47" hidden="1" outlineLevel="1">
      <c r="B31" s="67" t="s">
        <v>102</v>
      </c>
      <c r="C31" s="52"/>
      <c r="D31" s="97">
        <f t="shared" si="39"/>
        <v>0</v>
      </c>
      <c r="E31" s="97">
        <f t="shared" si="39"/>
        <v>0</v>
      </c>
      <c r="F31" s="97">
        <f t="shared" si="39"/>
        <v>0</v>
      </c>
      <c r="G31" s="97">
        <f t="shared" si="39"/>
        <v>0</v>
      </c>
      <c r="H31" s="97">
        <f t="shared" si="39"/>
        <v>0</v>
      </c>
      <c r="I31" s="97">
        <f t="shared" si="39"/>
        <v>0</v>
      </c>
      <c r="J31" s="97">
        <f t="shared" si="39"/>
        <v>0</v>
      </c>
      <c r="K31" s="97">
        <f t="shared" ref="K31" si="46">IFERROR(K25/K9,0)</f>
        <v>0</v>
      </c>
      <c r="L31" s="97">
        <f t="shared" si="41"/>
        <v>0</v>
      </c>
      <c r="M31" s="91">
        <f t="shared" si="41"/>
        <v>0</v>
      </c>
      <c r="N31" s="91">
        <f t="shared" si="41"/>
        <v>0</v>
      </c>
      <c r="O31" s="91">
        <f t="shared" si="41"/>
        <v>0</v>
      </c>
      <c r="P31" s="91"/>
      <c r="Q31" s="91">
        <f>IFERROR(Q25/Q9,0)</f>
        <v>0</v>
      </c>
      <c r="S31" s="91">
        <f t="shared" si="42"/>
        <v>0</v>
      </c>
      <c r="T31" s="91">
        <f t="shared" si="42"/>
        <v>0</v>
      </c>
      <c r="U31" s="91">
        <f t="shared" si="42"/>
        <v>0</v>
      </c>
      <c r="V31" s="91">
        <f t="shared" si="42"/>
        <v>0</v>
      </c>
      <c r="W31" s="91">
        <f t="shared" si="42"/>
        <v>0</v>
      </c>
      <c r="X31" s="91">
        <f t="shared" si="42"/>
        <v>0</v>
      </c>
      <c r="Y31" s="91">
        <f t="shared" si="42"/>
        <v>0</v>
      </c>
      <c r="Z31" s="91">
        <f t="shared" si="42"/>
        <v>0</v>
      </c>
      <c r="AA31" s="91">
        <f t="shared" si="42"/>
        <v>0</v>
      </c>
      <c r="AB31" s="91">
        <f t="shared" si="42"/>
        <v>0</v>
      </c>
      <c r="AC31" s="91">
        <f t="shared" si="42"/>
        <v>0</v>
      </c>
      <c r="AD31" s="91">
        <f t="shared" si="42"/>
        <v>0</v>
      </c>
      <c r="AE31" s="91"/>
      <c r="AF31" s="91">
        <f>IFERROR(AF25/AF9,0)</f>
        <v>0</v>
      </c>
      <c r="AH31" s="91">
        <f t="shared" si="43"/>
        <v>0</v>
      </c>
      <c r="AI31" s="91">
        <f t="shared" si="43"/>
        <v>0</v>
      </c>
      <c r="AJ31" s="91">
        <f t="shared" si="43"/>
        <v>0</v>
      </c>
      <c r="AK31" s="91">
        <f t="shared" si="43"/>
        <v>0</v>
      </c>
      <c r="AL31" s="91">
        <f t="shared" si="43"/>
        <v>0</v>
      </c>
      <c r="AM31" s="91">
        <f t="shared" si="43"/>
        <v>0</v>
      </c>
      <c r="AN31" s="91">
        <f t="shared" si="43"/>
        <v>0</v>
      </c>
      <c r="AO31" s="91">
        <f t="shared" si="43"/>
        <v>0</v>
      </c>
      <c r="AP31" s="91">
        <f t="shared" si="43"/>
        <v>0</v>
      </c>
      <c r="AQ31" s="91">
        <f t="shared" si="43"/>
        <v>0</v>
      </c>
      <c r="AR31" s="91">
        <f t="shared" si="43"/>
        <v>0</v>
      </c>
      <c r="AS31" s="91">
        <f t="shared" si="43"/>
        <v>0</v>
      </c>
      <c r="AT31" s="91"/>
      <c r="AU31" s="91">
        <f>IFERROR(AU25/AU9,0)</f>
        <v>0</v>
      </c>
    </row>
    <row r="32" spans="1:47" collapsed="1">
      <c r="B32" s="72" t="s">
        <v>103</v>
      </c>
      <c r="C32" s="73"/>
      <c r="D32" s="97">
        <f t="shared" ref="D32:J32" si="47">IFERROR(D26/D11,0)</f>
        <v>0.74509754476524814</v>
      </c>
      <c r="E32" s="97">
        <f t="shared" si="47"/>
        <v>0.69194258731086811</v>
      </c>
      <c r="F32" s="97">
        <f t="shared" si="47"/>
        <v>0.80371234684046944</v>
      </c>
      <c r="G32" s="97">
        <f t="shared" si="47"/>
        <v>0.76130558595831954</v>
      </c>
      <c r="H32" s="97">
        <f t="shared" si="47"/>
        <v>0.54026868170631759</v>
      </c>
      <c r="I32" s="97">
        <f t="shared" si="47"/>
        <v>0.74701294274634389</v>
      </c>
      <c r="J32" s="97">
        <f t="shared" si="47"/>
        <v>0.76276800609499151</v>
      </c>
      <c r="K32" s="97">
        <f t="shared" ref="K32" si="48">IFERROR(K26/K11,0)</f>
        <v>0.79744881242607168</v>
      </c>
      <c r="L32" s="97">
        <f t="shared" ref="L32:O32" si="49">IFERROR(L26/L11,0)</f>
        <v>0.76230673451179942</v>
      </c>
      <c r="M32" s="91">
        <f t="shared" si="49"/>
        <v>0.72040916435826408</v>
      </c>
      <c r="N32" s="91">
        <f t="shared" si="49"/>
        <v>0.75979891603173355</v>
      </c>
      <c r="O32" s="91">
        <f t="shared" si="49"/>
        <v>0.73268329987572889</v>
      </c>
      <c r="P32" s="91"/>
      <c r="Q32" s="91">
        <f>IFERROR(Q26/Q11,0)</f>
        <v>0.7288452604179394</v>
      </c>
      <c r="S32" s="91">
        <f t="shared" ref="S32:AD32" ca="1" si="50">IFERROR(S26/S11,0)</f>
        <v>0.75508673174559648</v>
      </c>
      <c r="T32" s="91">
        <f t="shared" ca="1" si="50"/>
        <v>0.75925704928143256</v>
      </c>
      <c r="U32" s="91">
        <f t="shared" ca="1" si="50"/>
        <v>0.76411584269298283</v>
      </c>
      <c r="V32" s="91">
        <f t="shared" ca="1" si="50"/>
        <v>0.76305762015478484</v>
      </c>
      <c r="W32" s="91">
        <f t="shared" ca="1" si="50"/>
        <v>0.75398868273246067</v>
      </c>
      <c r="X32" s="91">
        <f t="shared" ca="1" si="50"/>
        <v>0.76325239969892822</v>
      </c>
      <c r="Y32" s="91">
        <f t="shared" ca="1" si="50"/>
        <v>0.76525210635240459</v>
      </c>
      <c r="Z32" s="91">
        <f t="shared" ca="1" si="50"/>
        <v>0.75089735092682131</v>
      </c>
      <c r="AA32" s="91">
        <f t="shared" ca="1" si="50"/>
        <v>0.76226635178905355</v>
      </c>
      <c r="AB32" s="91">
        <f t="shared" ca="1" si="50"/>
        <v>0.75733139019035878</v>
      </c>
      <c r="AC32" s="91">
        <f t="shared" ca="1" si="50"/>
        <v>0.7708562715357089</v>
      </c>
      <c r="AD32" s="91">
        <f t="shared" ca="1" si="50"/>
        <v>0.75974700656037042</v>
      </c>
      <c r="AE32" s="91"/>
      <c r="AF32" s="91">
        <f ca="1">IFERROR(AF26/AF11,0)</f>
        <v>0.75982557969035891</v>
      </c>
      <c r="AH32" s="91">
        <f t="shared" ref="AH32:AS32" ca="1" si="51">IFERROR(AH26/AH11,0)</f>
        <v>0.75789978503723354</v>
      </c>
      <c r="AI32" s="91">
        <f t="shared" ca="1" si="51"/>
        <v>0.75897305080179278</v>
      </c>
      <c r="AJ32" s="91">
        <f t="shared" ca="1" si="51"/>
        <v>0.76306399618572684</v>
      </c>
      <c r="AK32" s="91">
        <f t="shared" ca="1" si="51"/>
        <v>0.76195068977975589</v>
      </c>
      <c r="AL32" s="91">
        <f t="shared" ca="1" si="51"/>
        <v>0.75333246010454358</v>
      </c>
      <c r="AM32" s="91">
        <f t="shared" ca="1" si="51"/>
        <v>0.76177077269870608</v>
      </c>
      <c r="AN32" s="91">
        <f t="shared" ca="1" si="51"/>
        <v>0.76491277868651242</v>
      </c>
      <c r="AO32" s="91">
        <f t="shared" ca="1" si="51"/>
        <v>0.75263041978637502</v>
      </c>
      <c r="AP32" s="91">
        <f t="shared" ca="1" si="51"/>
        <v>0.76007863749439375</v>
      </c>
      <c r="AQ32" s="91">
        <f t="shared" ca="1" si="51"/>
        <v>0.75628893230378069</v>
      </c>
      <c r="AR32" s="91">
        <f t="shared" ca="1" si="51"/>
        <v>0.76510587752693071</v>
      </c>
      <c r="AS32" s="91">
        <f t="shared" ca="1" si="51"/>
        <v>0.75966918298559793</v>
      </c>
      <c r="AT32" s="91"/>
      <c r="AU32" s="91">
        <f ca="1">IFERROR(AU26/AU11,0)</f>
        <v>0.75922382266637045</v>
      </c>
    </row>
    <row r="33" spans="1:47">
      <c r="D33" s="71"/>
      <c r="E33" s="71"/>
      <c r="F33" s="71"/>
      <c r="G33" s="71"/>
      <c r="H33" s="71"/>
      <c r="I33" s="71"/>
      <c r="J33" s="71"/>
      <c r="K33" s="71"/>
      <c r="L33" s="7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H33" s="86"/>
      <c r="AI33" s="86"/>
      <c r="AJ33" s="86"/>
      <c r="AK33" s="86"/>
      <c r="AL33" s="86"/>
    </row>
    <row r="34" spans="1:47" outlineLevel="1">
      <c r="B34" s="58" t="s">
        <v>104</v>
      </c>
      <c r="D34" s="74"/>
      <c r="E34" s="74"/>
      <c r="F34" s="74"/>
      <c r="G34" s="74"/>
      <c r="H34" s="74"/>
      <c r="I34" s="74"/>
      <c r="J34" s="74"/>
      <c r="K34" s="74"/>
      <c r="L34" s="74"/>
      <c r="S34" s="87"/>
      <c r="T34" s="87"/>
      <c r="U34" s="87"/>
      <c r="V34" s="87"/>
      <c r="W34" s="87"/>
      <c r="AH34" s="87"/>
      <c r="AI34" s="87"/>
      <c r="AJ34" s="87"/>
      <c r="AK34" s="87"/>
      <c r="AL34" s="87"/>
    </row>
    <row r="35" spans="1:47" outlineLevel="1">
      <c r="D35" s="53"/>
      <c r="E35" s="53"/>
      <c r="F35" s="53"/>
      <c r="G35" s="53"/>
      <c r="H35" s="53"/>
      <c r="I35" s="53"/>
      <c r="J35" s="53"/>
      <c r="K35" s="53"/>
      <c r="L35" s="53"/>
    </row>
    <row r="36" spans="1:47" outlineLevel="1">
      <c r="D36" s="59"/>
      <c r="E36" s="59"/>
      <c r="F36" s="59"/>
      <c r="G36" s="59"/>
      <c r="H36" s="59"/>
      <c r="I36" s="59"/>
      <c r="J36" s="59"/>
      <c r="K36" s="59"/>
      <c r="L36" s="59"/>
      <c r="M36" s="60"/>
      <c r="N36" s="60"/>
      <c r="O36" s="60"/>
      <c r="P36" s="60"/>
      <c r="Q36" s="61">
        <f>SUM(D36:O36)</f>
        <v>0</v>
      </c>
      <c r="R36" s="62"/>
      <c r="S36" s="83"/>
      <c r="T36" s="83"/>
      <c r="U36" s="83"/>
      <c r="V36" s="83"/>
      <c r="W36" s="83"/>
      <c r="X36" s="83"/>
      <c r="Y36" s="83"/>
      <c r="Z36" s="83"/>
      <c r="AA36" s="83"/>
      <c r="AB36" s="83"/>
      <c r="AC36" s="83"/>
      <c r="AD36" s="83"/>
      <c r="AE36" s="60"/>
      <c r="AF36" s="61">
        <f>SUM(S36:AD36)</f>
        <v>0</v>
      </c>
      <c r="AH36" s="83"/>
      <c r="AI36" s="83"/>
      <c r="AJ36" s="83"/>
      <c r="AK36" s="83"/>
      <c r="AL36" s="83"/>
      <c r="AM36" s="83"/>
      <c r="AN36" s="83"/>
      <c r="AO36" s="83"/>
      <c r="AP36" s="83"/>
      <c r="AQ36" s="83"/>
      <c r="AR36" s="83"/>
      <c r="AS36" s="83"/>
      <c r="AT36" s="60"/>
      <c r="AU36" s="61">
        <f>SUM(AH36:AS36)</f>
        <v>0</v>
      </c>
    </row>
    <row r="37" spans="1:47" outlineLevel="1">
      <c r="B37" s="51" t="s">
        <v>106</v>
      </c>
      <c r="C37" s="75">
        <f>SUMIFS(Fulfilment!E:E,Fulfilment!A:A,"IT",Fulfilment!B:B,"DTC")</f>
        <v>-0.19331097168536487</v>
      </c>
      <c r="D37" s="59">
        <f>-3016.13-105</f>
        <v>-3121.13</v>
      </c>
      <c r="E37" s="59">
        <v>-2824.21</v>
      </c>
      <c r="F37" s="59">
        <v>-3919.15</v>
      </c>
      <c r="G37" s="59">
        <v>-8668.06</v>
      </c>
      <c r="H37" s="59">
        <v>-1840.7</v>
      </c>
      <c r="I37" s="59">
        <v>-8683.66</v>
      </c>
      <c r="J37" s="59">
        <v>-6850.27</v>
      </c>
      <c r="K37" s="59">
        <v>-3135.96</v>
      </c>
      <c r="L37" s="59">
        <v>-9013</v>
      </c>
      <c r="M37" s="60">
        <v>-13510</v>
      </c>
      <c r="N37" s="60">
        <v>-3722</v>
      </c>
      <c r="O37" s="60">
        <v>-8537</v>
      </c>
      <c r="P37" s="60"/>
      <c r="Q37" s="61">
        <f>SUM(D37:O37)</f>
        <v>-73825.14</v>
      </c>
      <c r="R37" s="62"/>
      <c r="S37" s="60">
        <f>$C$37*S6</f>
        <v>-7773.2005320034277</v>
      </c>
      <c r="T37" s="60">
        <f t="shared" ref="T37:AD37" si="52">$C$37*T6</f>
        <v>-13147.67061334643</v>
      </c>
      <c r="U37" s="60">
        <f t="shared" si="52"/>
        <v>-12213.070662790633</v>
      </c>
      <c r="V37" s="60">
        <f t="shared" si="52"/>
        <v>-8983.9427895098834</v>
      </c>
      <c r="W37" s="60">
        <f t="shared" si="52"/>
        <v>-7657.6134571847933</v>
      </c>
      <c r="X37" s="60">
        <f t="shared" si="52"/>
        <v>-17000.539724188442</v>
      </c>
      <c r="Y37" s="60">
        <f t="shared" si="52"/>
        <v>-9585.1500500987149</v>
      </c>
      <c r="Z37" s="60">
        <f t="shared" si="52"/>
        <v>-8217.6097618291678</v>
      </c>
      <c r="AA37" s="60">
        <f t="shared" si="52"/>
        <v>-16295.208473817025</v>
      </c>
      <c r="AB37" s="60">
        <f t="shared" si="52"/>
        <v>-14834.411878514751</v>
      </c>
      <c r="AC37" s="60">
        <f t="shared" si="52"/>
        <v>-8880.4126322989778</v>
      </c>
      <c r="AD37" s="60">
        <f t="shared" si="52"/>
        <v>-11684.296515163223</v>
      </c>
      <c r="AE37" s="60"/>
      <c r="AF37" s="61">
        <f>SUM(S37:AD37)</f>
        <v>-136273.12709074549</v>
      </c>
      <c r="AH37" s="60">
        <f t="shared" ref="AH37:AS37" si="53">$C$37*AH6</f>
        <v>-15146.825899509993</v>
      </c>
      <c r="AI37" s="60">
        <f t="shared" si="53"/>
        <v>-20571.929196299599</v>
      </c>
      <c r="AJ37" s="60">
        <f t="shared" si="53"/>
        <v>-19911.67268223501</v>
      </c>
      <c r="AK37" s="60">
        <f t="shared" si="53"/>
        <v>-17365.528191909929</v>
      </c>
      <c r="AL37" s="60">
        <f t="shared" si="53"/>
        <v>-16118.277053515036</v>
      </c>
      <c r="AM37" s="60">
        <f t="shared" si="53"/>
        <v>-36038.077073492277</v>
      </c>
      <c r="AN37" s="60">
        <f t="shared" si="53"/>
        <v>-16484.650784633377</v>
      </c>
      <c r="AO37" s="60">
        <f t="shared" si="53"/>
        <v>-18747.487909110074</v>
      </c>
      <c r="AP37" s="60">
        <f t="shared" si="53"/>
        <v>-31306.595960121816</v>
      </c>
      <c r="AQ37" s="60">
        <f t="shared" si="53"/>
        <v>-27649.558315165254</v>
      </c>
      <c r="AR37" s="60">
        <f t="shared" si="53"/>
        <v>-16271.128610094853</v>
      </c>
      <c r="AS37" s="60">
        <f t="shared" si="53"/>
        <v>-19707.795878207337</v>
      </c>
      <c r="AT37" s="60"/>
      <c r="AU37" s="61">
        <f>SUM(AH37:AS37)</f>
        <v>-255319.52755429456</v>
      </c>
    </row>
    <row r="38" spans="1:47" outlineLevel="1">
      <c r="B38" s="51" t="s">
        <v>107</v>
      </c>
      <c r="C38" s="75">
        <f>SUMIFS(Fulfilment!E:E,Fulfilment!A:A,"IT",Fulfilment!B:B,"B2B")</f>
        <v>-6.9695862933924754E-2</v>
      </c>
      <c r="D38" s="59">
        <v>-870.62</v>
      </c>
      <c r="E38" s="59">
        <v>-3033.61</v>
      </c>
      <c r="F38" s="59">
        <v>-272.20999999999998</v>
      </c>
      <c r="G38" s="59">
        <v>-3104.41</v>
      </c>
      <c r="H38" s="59">
        <v>-4854.57</v>
      </c>
      <c r="I38" s="59">
        <v>-1030.8</v>
      </c>
      <c r="J38" s="59">
        <v>-953.66</v>
      </c>
      <c r="K38" s="59">
        <v>-1520.38</v>
      </c>
      <c r="L38" s="59">
        <v>-2656</v>
      </c>
      <c r="M38" s="60">
        <v>-4114</v>
      </c>
      <c r="N38" s="60">
        <v>-1074</v>
      </c>
      <c r="O38" s="60">
        <v>-3749</v>
      </c>
      <c r="P38" s="60"/>
      <c r="Q38" s="61">
        <f>SUM(D38:O38)</f>
        <v>-27233.26</v>
      </c>
      <c r="R38" s="62"/>
      <c r="S38" s="60">
        <f t="shared" ref="S38:AD38" si="54">$C$38*S7</f>
        <v>-3001.9604200902572</v>
      </c>
      <c r="T38" s="60">
        <f t="shared" si="54"/>
        <v>-2715.4456062792983</v>
      </c>
      <c r="U38" s="60">
        <f t="shared" si="54"/>
        <v>-1423.8342078428823</v>
      </c>
      <c r="V38" s="60">
        <f t="shared" si="54"/>
        <v>-1757.0222700614727</v>
      </c>
      <c r="W38" s="60">
        <f t="shared" si="54"/>
        <v>-3923.3006087816893</v>
      </c>
      <c r="X38" s="60">
        <f t="shared" si="54"/>
        <v>-1535.0222649055199</v>
      </c>
      <c r="Y38" s="60">
        <f t="shared" si="54"/>
        <v>-1074.5748494437214</v>
      </c>
      <c r="Z38" s="60">
        <f t="shared" si="54"/>
        <v>-5576.3544642849383</v>
      </c>
      <c r="AA38" s="60">
        <f t="shared" si="54"/>
        <v>-2301.7673038727185</v>
      </c>
      <c r="AB38" s="60">
        <f t="shared" si="54"/>
        <v>-4160.3087769102376</v>
      </c>
      <c r="AC38" s="60">
        <f t="shared" si="54"/>
        <v>-1055.6690988496628</v>
      </c>
      <c r="AD38" s="60">
        <f t="shared" si="54"/>
        <v>-2458.8890403714731</v>
      </c>
      <c r="AE38" s="60"/>
      <c r="AF38" s="61">
        <f>SUM(S38:AD38)</f>
        <v>-30984.148911693872</v>
      </c>
      <c r="AH38" s="60">
        <f t="shared" ref="AH38:AS38" si="55">$C$38*AH7</f>
        <v>-3203.4504140865006</v>
      </c>
      <c r="AI38" s="60">
        <f t="shared" si="55"/>
        <v>-2905.3447043377619</v>
      </c>
      <c r="AJ38" s="60">
        <f t="shared" si="55"/>
        <v>-1495.0259182350264</v>
      </c>
      <c r="AK38" s="60">
        <f t="shared" si="55"/>
        <v>-1897.0238223809552</v>
      </c>
      <c r="AL38" s="60">
        <f t="shared" si="55"/>
        <v>-4169.8128965913556</v>
      </c>
      <c r="AM38" s="60">
        <f t="shared" si="55"/>
        <v>-1651.7465180630193</v>
      </c>
      <c r="AN38" s="60">
        <f t="shared" si="55"/>
        <v>-1143.1354126819144</v>
      </c>
      <c r="AO38" s="60">
        <f t="shared" si="55"/>
        <v>-5935.777116964965</v>
      </c>
      <c r="AP38" s="60">
        <f t="shared" si="55"/>
        <v>-2469.7023546510613</v>
      </c>
      <c r="AQ38" s="60">
        <f t="shared" si="55"/>
        <v>-4447.5635071407914</v>
      </c>
      <c r="AR38" s="60">
        <f t="shared" si="55"/>
        <v>-1108.4525537921459</v>
      </c>
      <c r="AS38" s="60">
        <f t="shared" si="55"/>
        <v>-2630.242218603888</v>
      </c>
      <c r="AT38" s="60"/>
      <c r="AU38" s="61">
        <f>SUM(AH38:AS38)</f>
        <v>-33057.277437529388</v>
      </c>
    </row>
    <row r="39" spans="1:47" outlineLevel="1">
      <c r="B39" s="51" t="s">
        <v>108</v>
      </c>
      <c r="C39" s="75">
        <f>SUMIFS(Fulfilment!E:E,Fulfilment!A:A,"IT",Fulfilment!B:B,"Marketplace")</f>
        <v>-0.43369654447462291</v>
      </c>
      <c r="D39" s="59">
        <v>-4779.1899999999996</v>
      </c>
      <c r="E39" s="59">
        <v>-5686.3</v>
      </c>
      <c r="F39" s="59">
        <v>-6223.27</v>
      </c>
      <c r="G39" s="59">
        <v>-6228.75</v>
      </c>
      <c r="H39" s="59">
        <v>-4259.42</v>
      </c>
      <c r="I39" s="59">
        <v>-7369.06</v>
      </c>
      <c r="J39" s="59">
        <v>-5682.26</v>
      </c>
      <c r="K39" s="59">
        <v>-6805.7</v>
      </c>
      <c r="L39" s="59">
        <v>-7833</v>
      </c>
      <c r="M39" s="60">
        <v>-7440</v>
      </c>
      <c r="N39" s="60">
        <v>-7440</v>
      </c>
      <c r="O39" s="60">
        <v>-5760</v>
      </c>
      <c r="P39" s="60"/>
      <c r="Q39" s="61">
        <f>SUM(D39:O39)</f>
        <v>-75506.95</v>
      </c>
      <c r="R39" s="62"/>
      <c r="S39" s="60">
        <f t="shared" ref="S39:AD39" ca="1" si="56">$C$39*S8</f>
        <v>-5899.3138765616113</v>
      </c>
      <c r="T39" s="60">
        <f t="shared" ca="1" si="56"/>
        <v>-7777.9138286078869</v>
      </c>
      <c r="U39" s="60">
        <f t="shared" ca="1" si="56"/>
        <v>-7426.8755085446828</v>
      </c>
      <c r="V39" s="60">
        <f t="shared" ca="1" si="56"/>
        <v>-7429.6381555329872</v>
      </c>
      <c r="W39" s="60">
        <f t="shared" ca="1" si="56"/>
        <v>-7307.4441541272627</v>
      </c>
      <c r="X39" s="60">
        <f t="shared" ca="1" si="56"/>
        <v>-7783.1702307269197</v>
      </c>
      <c r="Y39" s="60">
        <f t="shared" ca="1" si="56"/>
        <v>-6368.5735376831526</v>
      </c>
      <c r="Z39" s="60">
        <f t="shared" ca="1" si="56"/>
        <v>-8065.0773216008702</v>
      </c>
      <c r="AA39" s="60">
        <f t="shared" ca="1" si="56"/>
        <v>-9440.1165528231068</v>
      </c>
      <c r="AB39" s="60">
        <f t="shared" ca="1" si="56"/>
        <v>-9873.3663898569212</v>
      </c>
      <c r="AC39" s="60">
        <f t="shared" ca="1" si="56"/>
        <v>-9862.5586719686144</v>
      </c>
      <c r="AD39" s="60">
        <f t="shared" ca="1" si="56"/>
        <v>-7444.0282068786555</v>
      </c>
      <c r="AE39" s="60"/>
      <c r="AF39" s="61">
        <f ca="1">SUM(S39:AD39)</f>
        <v>-94678.076434912669</v>
      </c>
      <c r="AH39" s="60">
        <f t="shared" ref="AH39:AS39" ca="1" si="57">$C$39*AH8</f>
        <v>-7806.5378005432121</v>
      </c>
      <c r="AI39" s="60">
        <f t="shared" ca="1" si="57"/>
        <v>-7806.5378005432121</v>
      </c>
      <c r="AJ39" s="60">
        <f t="shared" ca="1" si="57"/>
        <v>-7806.5378005432121</v>
      </c>
      <c r="AK39" s="60">
        <f t="shared" ca="1" si="57"/>
        <v>-7806.5378005432121</v>
      </c>
      <c r="AL39" s="60">
        <f t="shared" ca="1" si="57"/>
        <v>-5464.576460380249</v>
      </c>
      <c r="AM39" s="60">
        <f t="shared" ca="1" si="57"/>
        <v>-8066.7557272279864</v>
      </c>
      <c r="AN39" s="60">
        <f t="shared" ca="1" si="57"/>
        <v>-7806.5378005432121</v>
      </c>
      <c r="AO39" s="60">
        <f t="shared" ca="1" si="57"/>
        <v>-7806.5378005432121</v>
      </c>
      <c r="AP39" s="60">
        <f t="shared" ca="1" si="57"/>
        <v>-7806.5378005432121</v>
      </c>
      <c r="AQ39" s="60">
        <f t="shared" ca="1" si="57"/>
        <v>-7806.5378005432121</v>
      </c>
      <c r="AR39" s="60">
        <f t="shared" ca="1" si="57"/>
        <v>-7806.5378005432121</v>
      </c>
      <c r="AS39" s="60">
        <f t="shared" ca="1" si="57"/>
        <v>-7806.5378005432121</v>
      </c>
      <c r="AT39" s="60"/>
      <c r="AU39" s="61">
        <f ca="1">SUM(AH39:AS39)</f>
        <v>-91596.710193040359</v>
      </c>
    </row>
    <row r="40" spans="1:47" outlineLevel="1">
      <c r="B40" s="51" t="s">
        <v>109</v>
      </c>
      <c r="C40" s="75">
        <f>SUMIFS(Fulfilment!E:E,Fulfilment!A:A,"IT",Fulfilment!B:B,"TikTok")</f>
        <v>0</v>
      </c>
      <c r="D40" s="59"/>
      <c r="E40" s="59"/>
      <c r="F40" s="59"/>
      <c r="G40" s="59"/>
      <c r="H40" s="59"/>
      <c r="I40" s="59"/>
      <c r="J40" s="59"/>
      <c r="K40" s="59"/>
      <c r="L40" s="59">
        <f>$C$40*L9</f>
        <v>0</v>
      </c>
      <c r="M40" s="60">
        <f t="shared" ref="M40:O40" si="58">$C$40*M9</f>
        <v>0</v>
      </c>
      <c r="N40" s="60">
        <f t="shared" si="58"/>
        <v>0</v>
      </c>
      <c r="O40" s="60">
        <f t="shared" si="58"/>
        <v>0</v>
      </c>
      <c r="P40" s="60"/>
      <c r="Q40" s="61">
        <f>SUM(D40:O40)</f>
        <v>0</v>
      </c>
      <c r="R40" s="66"/>
      <c r="S40" s="60">
        <f t="shared" ref="S40:AD40" si="59">$C$40*S9</f>
        <v>0</v>
      </c>
      <c r="T40" s="60">
        <f t="shared" si="59"/>
        <v>0</v>
      </c>
      <c r="U40" s="60">
        <f t="shared" si="59"/>
        <v>0</v>
      </c>
      <c r="V40" s="60">
        <f t="shared" si="59"/>
        <v>0</v>
      </c>
      <c r="W40" s="60">
        <f t="shared" si="59"/>
        <v>0</v>
      </c>
      <c r="X40" s="60">
        <f t="shared" si="59"/>
        <v>0</v>
      </c>
      <c r="Y40" s="60">
        <f t="shared" si="59"/>
        <v>0</v>
      </c>
      <c r="Z40" s="60">
        <f t="shared" si="59"/>
        <v>0</v>
      </c>
      <c r="AA40" s="60">
        <f t="shared" si="59"/>
        <v>0</v>
      </c>
      <c r="AB40" s="60">
        <f t="shared" si="59"/>
        <v>0</v>
      </c>
      <c r="AC40" s="60">
        <f t="shared" si="59"/>
        <v>0</v>
      </c>
      <c r="AD40" s="60">
        <f t="shared" si="59"/>
        <v>0</v>
      </c>
      <c r="AE40" s="60"/>
      <c r="AF40" s="61">
        <f>SUM(S40:AD40)</f>
        <v>0</v>
      </c>
      <c r="AH40" s="60">
        <f t="shared" ref="AH40:AS40" si="60">$C$40*AH9</f>
        <v>0</v>
      </c>
      <c r="AI40" s="60">
        <f t="shared" si="60"/>
        <v>0</v>
      </c>
      <c r="AJ40" s="60">
        <f t="shared" si="60"/>
        <v>0</v>
      </c>
      <c r="AK40" s="60">
        <f t="shared" si="60"/>
        <v>0</v>
      </c>
      <c r="AL40" s="60">
        <f t="shared" si="60"/>
        <v>0</v>
      </c>
      <c r="AM40" s="60">
        <f t="shared" si="60"/>
        <v>0</v>
      </c>
      <c r="AN40" s="60">
        <f t="shared" si="60"/>
        <v>0</v>
      </c>
      <c r="AO40" s="60">
        <f t="shared" si="60"/>
        <v>0</v>
      </c>
      <c r="AP40" s="60">
        <f t="shared" si="60"/>
        <v>0</v>
      </c>
      <c r="AQ40" s="60">
        <f t="shared" si="60"/>
        <v>0</v>
      </c>
      <c r="AR40" s="60">
        <f t="shared" si="60"/>
        <v>0</v>
      </c>
      <c r="AS40" s="60">
        <f t="shared" si="60"/>
        <v>0</v>
      </c>
      <c r="AT40" s="60"/>
      <c r="AU40" s="61">
        <f>SUM(AH40:AS40)</f>
        <v>0</v>
      </c>
    </row>
    <row r="41" spans="1:47" outlineLevel="1">
      <c r="D41" s="53"/>
      <c r="E41" s="53"/>
      <c r="F41" s="53"/>
      <c r="G41" s="53"/>
      <c r="H41" s="53"/>
      <c r="I41" s="53"/>
      <c r="J41" s="53"/>
      <c r="K41" s="53"/>
      <c r="L41" s="53"/>
    </row>
    <row r="42" spans="1:47" s="10" customFormat="1">
      <c r="A42" s="52"/>
      <c r="B42" s="63" t="s">
        <v>110</v>
      </c>
      <c r="C42" s="52"/>
      <c r="D42" s="64">
        <f t="shared" ref="D42:J42" si="61">SUM(D36:D41)</f>
        <v>-8770.9399999999987</v>
      </c>
      <c r="E42" s="64">
        <f t="shared" si="61"/>
        <v>-11544.119999999999</v>
      </c>
      <c r="F42" s="64">
        <f t="shared" si="61"/>
        <v>-10414.630000000001</v>
      </c>
      <c r="G42" s="64">
        <f t="shared" si="61"/>
        <v>-18001.22</v>
      </c>
      <c r="H42" s="64">
        <f t="shared" si="61"/>
        <v>-10954.689999999999</v>
      </c>
      <c r="I42" s="64">
        <f t="shared" si="61"/>
        <v>-17083.52</v>
      </c>
      <c r="J42" s="64">
        <f t="shared" si="61"/>
        <v>-13486.19</v>
      </c>
      <c r="K42" s="64">
        <f>SUM(K36:K41)</f>
        <v>-11462.04</v>
      </c>
      <c r="L42" s="64">
        <f>SUM(L36:L41)</f>
        <v>-19502</v>
      </c>
      <c r="M42" s="65">
        <f>SUM(M36:M41)</f>
        <v>-25064</v>
      </c>
      <c r="N42" s="65">
        <f>SUM(N36:N41)</f>
        <v>-12236</v>
      </c>
      <c r="O42" s="65">
        <f>SUM(O36:O41)</f>
        <v>-18046</v>
      </c>
      <c r="P42" s="61"/>
      <c r="Q42" s="65">
        <f>SUM(D42:O42)</f>
        <v>-176565.35</v>
      </c>
      <c r="R42" s="52"/>
      <c r="S42" s="84">
        <f ca="1">SUM(S36:S41)</f>
        <v>-16674.474828655297</v>
      </c>
      <c r="T42" s="84">
        <f t="shared" ref="T42:Z42" ca="1" si="62">SUM(T36:T41)</f>
        <v>-23641.030048233617</v>
      </c>
      <c r="U42" s="84">
        <f t="shared" ca="1" si="62"/>
        <v>-21063.780379178199</v>
      </c>
      <c r="V42" s="84">
        <f t="shared" ca="1" si="62"/>
        <v>-18170.603215104344</v>
      </c>
      <c r="W42" s="84">
        <f t="shared" ca="1" si="62"/>
        <v>-18888.358220093745</v>
      </c>
      <c r="X42" s="65">
        <f t="shared" ca="1" si="62"/>
        <v>-26318.732219820882</v>
      </c>
      <c r="Y42" s="65">
        <f t="shared" ca="1" si="62"/>
        <v>-17028.298437225589</v>
      </c>
      <c r="Z42" s="65">
        <f t="shared" ca="1" si="62"/>
        <v>-21859.041547714976</v>
      </c>
      <c r="AA42" s="65">
        <f ca="1">SUM(AA36:AA41)</f>
        <v>-28037.092330512849</v>
      </c>
      <c r="AB42" s="65">
        <f ca="1">SUM(AB36:AB41)</f>
        <v>-28868.087045281911</v>
      </c>
      <c r="AC42" s="65">
        <f ca="1">SUM(AC36:AC41)</f>
        <v>-19798.640403117257</v>
      </c>
      <c r="AD42" s="65">
        <f ca="1">SUM(AD36:AD41)</f>
        <v>-21587.21376241335</v>
      </c>
      <c r="AE42" s="61"/>
      <c r="AF42" s="65">
        <f ca="1">SUM(S42:AD42)</f>
        <v>-261935.35243735203</v>
      </c>
      <c r="AG42" s="7"/>
      <c r="AH42" s="84">
        <f ca="1">SUM(AH36:AH41)</f>
        <v>-26156.814114139706</v>
      </c>
      <c r="AI42" s="84">
        <f t="shared" ref="AI42:AO42" ca="1" si="63">SUM(AI36:AI41)</f>
        <v>-31283.811701180573</v>
      </c>
      <c r="AJ42" s="84">
        <f t="shared" ca="1" si="63"/>
        <v>-29213.236401013251</v>
      </c>
      <c r="AK42" s="84">
        <f t="shared" ca="1" si="63"/>
        <v>-27069.089814834093</v>
      </c>
      <c r="AL42" s="84">
        <f t="shared" ca="1" si="63"/>
        <v>-25752.66641048664</v>
      </c>
      <c r="AM42" s="65">
        <f t="shared" ca="1" si="63"/>
        <v>-45756.579318783282</v>
      </c>
      <c r="AN42" s="65">
        <f t="shared" ca="1" si="63"/>
        <v>-25434.323997858504</v>
      </c>
      <c r="AO42" s="65">
        <f t="shared" ca="1" si="63"/>
        <v>-32489.802826618252</v>
      </c>
      <c r="AP42" s="65">
        <f ca="1">SUM(AP36:AP41)</f>
        <v>-41582.836115316095</v>
      </c>
      <c r="AQ42" s="65">
        <f ca="1">SUM(AQ36:AQ41)</f>
        <v>-39903.659622849256</v>
      </c>
      <c r="AR42" s="65">
        <f ca="1">SUM(AR36:AR41)</f>
        <v>-25186.118964430214</v>
      </c>
      <c r="AS42" s="65">
        <f ca="1">SUM(AS36:AS41)</f>
        <v>-30144.575897354436</v>
      </c>
      <c r="AT42" s="61"/>
      <c r="AU42" s="65">
        <f ca="1">SUM(AH42:AS42)</f>
        <v>-379973.51518486434</v>
      </c>
    </row>
    <row r="43" spans="1:47">
      <c r="D43" s="53"/>
      <c r="E43" s="53"/>
      <c r="F43" s="53"/>
      <c r="G43" s="53"/>
      <c r="H43" s="53"/>
      <c r="I43" s="53"/>
      <c r="J43" s="53"/>
      <c r="K43" s="53"/>
      <c r="L43" s="53"/>
      <c r="Q43" s="91">
        <f>-Q42/Q11</f>
        <v>0.18524695017229409</v>
      </c>
      <c r="AF43" s="91">
        <f ca="1">-AF42/AF11</f>
        <v>0.19149985452586757</v>
      </c>
      <c r="AU43" s="91">
        <f ca="1">-AU42/AU11</f>
        <v>0.18939219765825038</v>
      </c>
    </row>
    <row r="44" spans="1:47" hidden="1" outlineLevel="1">
      <c r="B44" s="67" t="s">
        <v>111</v>
      </c>
      <c r="C44" s="52"/>
      <c r="D44" s="68">
        <f t="shared" ref="D44:J47" si="64">D22+D37</f>
        <v>8922.630000000001</v>
      </c>
      <c r="E44" s="68">
        <f t="shared" si="64"/>
        <v>9150.4500000000007</v>
      </c>
      <c r="F44" s="68">
        <f t="shared" si="64"/>
        <v>9236.7000000000007</v>
      </c>
      <c r="G44" s="68">
        <f t="shared" si="64"/>
        <v>26139.67</v>
      </c>
      <c r="H44" s="68">
        <f t="shared" si="64"/>
        <v>8878.7999999999993</v>
      </c>
      <c r="I44" s="68">
        <f t="shared" si="64"/>
        <v>23067.699999999997</v>
      </c>
      <c r="J44" s="68">
        <f t="shared" si="64"/>
        <v>20097.62</v>
      </c>
      <c r="K44" s="68">
        <f t="shared" ref="K44" si="65">K22+K37</f>
        <v>10571.25</v>
      </c>
      <c r="L44" s="68">
        <f t="shared" ref="L44:O47" si="66">L22+L37</f>
        <v>25848</v>
      </c>
      <c r="M44" s="69">
        <f t="shared" si="66"/>
        <v>36568</v>
      </c>
      <c r="N44" s="69">
        <f t="shared" si="66"/>
        <v>10642</v>
      </c>
      <c r="O44" s="69">
        <f t="shared" si="66"/>
        <v>24842</v>
      </c>
      <c r="P44" s="69"/>
      <c r="Q44" s="69">
        <f>Q22+Q37</f>
        <v>213964.81999999995</v>
      </c>
      <c r="S44" s="85">
        <f t="shared" ref="S44:AD47" si="67">S22+S37</f>
        <v>22787.053512645078</v>
      </c>
      <c r="T44" s="85">
        <f t="shared" si="67"/>
        <v>38542.254583484886</v>
      </c>
      <c r="U44" s="85">
        <f t="shared" si="67"/>
        <v>35802.484909648687</v>
      </c>
      <c r="V44" s="85">
        <f t="shared" si="67"/>
        <v>26336.331380652118</v>
      </c>
      <c r="W44" s="85">
        <f t="shared" si="67"/>
        <v>22448.211249613501</v>
      </c>
      <c r="X44" s="69">
        <f t="shared" si="67"/>
        <v>49836.89882230349</v>
      </c>
      <c r="Y44" s="69">
        <f t="shared" si="67"/>
        <v>28098.763980045966</v>
      </c>
      <c r="Z44" s="69">
        <f t="shared" si="67"/>
        <v>24089.834376185016</v>
      </c>
      <c r="AA44" s="69">
        <f t="shared" si="67"/>
        <v>47769.227870012764</v>
      </c>
      <c r="AB44" s="69">
        <f t="shared" si="67"/>
        <v>43486.91840801006</v>
      </c>
      <c r="AC44" s="69">
        <f t="shared" si="67"/>
        <v>26032.833841533648</v>
      </c>
      <c r="AD44" s="69">
        <f t="shared" si="67"/>
        <v>34252.389199589408</v>
      </c>
      <c r="AE44" s="69"/>
      <c r="AF44" s="69">
        <f>AF22+AF37</f>
        <v>399483.2021337247</v>
      </c>
      <c r="AH44" s="85">
        <f t="shared" ref="AH44:AS47" si="68">AH22+AH37</f>
        <v>44402.756740651719</v>
      </c>
      <c r="AI44" s="85">
        <f t="shared" si="68"/>
        <v>60306.388536409628</v>
      </c>
      <c r="AJ44" s="85">
        <f t="shared" si="68"/>
        <v>58370.853687396193</v>
      </c>
      <c r="AK44" s="85">
        <f t="shared" si="68"/>
        <v>50906.858578420091</v>
      </c>
      <c r="AL44" s="85">
        <f t="shared" si="68"/>
        <v>47250.555319897729</v>
      </c>
      <c r="AM44" s="69">
        <f t="shared" si="68"/>
        <v>105645.23421021836</v>
      </c>
      <c r="AN44" s="69">
        <f t="shared" si="68"/>
        <v>48324.575960719834</v>
      </c>
      <c r="AO44" s="69">
        <f t="shared" si="68"/>
        <v>54958.05858265351</v>
      </c>
      <c r="AP44" s="69">
        <f t="shared" si="68"/>
        <v>91774.948363282427</v>
      </c>
      <c r="AQ44" s="69">
        <f t="shared" si="68"/>
        <v>81054.381954338285</v>
      </c>
      <c r="AR44" s="69">
        <f t="shared" si="68"/>
        <v>47698.638009252667</v>
      </c>
      <c r="AS44" s="69">
        <f t="shared" si="68"/>
        <v>57773.191035540192</v>
      </c>
      <c r="AT44" s="69"/>
      <c r="AU44" s="69">
        <f>AU22+AU37</f>
        <v>748466.44097878062</v>
      </c>
    </row>
    <row r="45" spans="1:47" hidden="1" outlineLevel="1">
      <c r="B45" s="67" t="s">
        <v>112</v>
      </c>
      <c r="C45" s="52"/>
      <c r="D45" s="68">
        <f t="shared" si="64"/>
        <v>24549.579999999998</v>
      </c>
      <c r="E45" s="68">
        <f t="shared" si="64"/>
        <v>8746.2599999999984</v>
      </c>
      <c r="F45" s="68">
        <f t="shared" si="64"/>
        <v>1807.9399999999996</v>
      </c>
      <c r="G45" s="68">
        <f t="shared" si="64"/>
        <v>29964.460000000003</v>
      </c>
      <c r="H45" s="68">
        <f t="shared" si="64"/>
        <v>23934.860000000008</v>
      </c>
      <c r="I45" s="68">
        <f t="shared" si="64"/>
        <v>23083.61</v>
      </c>
      <c r="J45" s="68">
        <f t="shared" si="64"/>
        <v>7670.9800000000014</v>
      </c>
      <c r="K45" s="68">
        <f t="shared" ref="K45" si="69">K23+K38</f>
        <v>20172.34</v>
      </c>
      <c r="L45" s="68">
        <f t="shared" si="66"/>
        <v>25513</v>
      </c>
      <c r="M45" s="69">
        <f t="shared" si="66"/>
        <v>30340</v>
      </c>
      <c r="N45" s="69">
        <f t="shared" si="66"/>
        <v>7920</v>
      </c>
      <c r="O45" s="69">
        <f t="shared" si="66"/>
        <v>27647</v>
      </c>
      <c r="P45" s="69"/>
      <c r="Q45" s="69">
        <f>Q23+Q38</f>
        <v>231350.03000000003</v>
      </c>
      <c r="S45" s="85">
        <f t="shared" si="67"/>
        <v>28440.811279909736</v>
      </c>
      <c r="T45" s="85">
        <f t="shared" si="67"/>
        <v>25726.347193720696</v>
      </c>
      <c r="U45" s="85">
        <f t="shared" si="67"/>
        <v>13489.518292157118</v>
      </c>
      <c r="V45" s="85">
        <f t="shared" si="67"/>
        <v>16646.168438128345</v>
      </c>
      <c r="W45" s="85">
        <f t="shared" si="67"/>
        <v>37169.661352617091</v>
      </c>
      <c r="X45" s="69">
        <f t="shared" si="67"/>
        <v>14542.922769556335</v>
      </c>
      <c r="Y45" s="69">
        <f t="shared" si="67"/>
        <v>10180.607410622495</v>
      </c>
      <c r="Z45" s="69">
        <f t="shared" si="67"/>
        <v>52830.824779442541</v>
      </c>
      <c r="AA45" s="69">
        <f t="shared" si="67"/>
        <v>21807.126123848891</v>
      </c>
      <c r="AB45" s="69">
        <f t="shared" si="67"/>
        <v>39415.095548361256</v>
      </c>
      <c r="AC45" s="69">
        <f t="shared" si="67"/>
        <v>10001.492828980379</v>
      </c>
      <c r="AD45" s="69">
        <f t="shared" si="67"/>
        <v>23295.709925895961</v>
      </c>
      <c r="AE45" s="69"/>
      <c r="AF45" s="69">
        <f>AF23+AF38</f>
        <v>293546.2859432408</v>
      </c>
      <c r="AH45" s="85">
        <f t="shared" si="68"/>
        <v>30349.743474913495</v>
      </c>
      <c r="AI45" s="85">
        <f t="shared" si="68"/>
        <v>27525.466320662235</v>
      </c>
      <c r="AJ45" s="85">
        <f t="shared" si="68"/>
        <v>14163.994206764975</v>
      </c>
      <c r="AK45" s="85">
        <f t="shared" si="68"/>
        <v>17972.554256464049</v>
      </c>
      <c r="AL45" s="85">
        <f t="shared" si="68"/>
        <v>39505.138332544331</v>
      </c>
      <c r="AM45" s="69">
        <f t="shared" si="68"/>
        <v>15648.777608155784</v>
      </c>
      <c r="AN45" s="69">
        <f t="shared" si="68"/>
        <v>10830.1556282646</v>
      </c>
      <c r="AO45" s="69">
        <f t="shared" si="68"/>
        <v>56236.023517635709</v>
      </c>
      <c r="AP45" s="69">
        <f t="shared" si="68"/>
        <v>23398.156123613277</v>
      </c>
      <c r="AQ45" s="69">
        <f t="shared" si="68"/>
        <v>42136.569661435315</v>
      </c>
      <c r="AR45" s="69">
        <f t="shared" si="68"/>
        <v>10501.567470429398</v>
      </c>
      <c r="AS45" s="69">
        <f t="shared" si="68"/>
        <v>24919.123536450603</v>
      </c>
      <c r="AT45" s="69"/>
      <c r="AU45" s="69">
        <f>AU23+AU38</f>
        <v>313187.27013733378</v>
      </c>
    </row>
    <row r="46" spans="1:47" hidden="1" outlineLevel="1">
      <c r="B46" s="67" t="s">
        <v>113</v>
      </c>
      <c r="C46" s="52"/>
      <c r="D46" s="68">
        <f t="shared" si="64"/>
        <v>5032.79</v>
      </c>
      <c r="E46" s="68">
        <f t="shared" si="64"/>
        <v>5860.69</v>
      </c>
      <c r="F46" s="68">
        <f t="shared" si="64"/>
        <v>5545.2799999999988</v>
      </c>
      <c r="G46" s="68">
        <f t="shared" si="64"/>
        <v>4856.2299999999996</v>
      </c>
      <c r="H46" s="68">
        <f t="shared" si="64"/>
        <v>5472.4400000000005</v>
      </c>
      <c r="I46" s="68">
        <f t="shared" si="64"/>
        <v>5493.670000000001</v>
      </c>
      <c r="J46" s="68">
        <f t="shared" si="64"/>
        <v>5139.5899999999983</v>
      </c>
      <c r="K46" s="68">
        <f t="shared" ref="K46" si="70">K24+K39</f>
        <v>6618.0300000000016</v>
      </c>
      <c r="L46" s="68">
        <f t="shared" si="66"/>
        <v>6890</v>
      </c>
      <c r="M46" s="69">
        <f t="shared" si="66"/>
        <v>7894</v>
      </c>
      <c r="N46" s="69">
        <f t="shared" si="66"/>
        <v>7894</v>
      </c>
      <c r="O46" s="69">
        <f t="shared" si="66"/>
        <v>6111</v>
      </c>
      <c r="P46" s="69"/>
      <c r="Q46" s="69">
        <f>Q24+Q39</f>
        <v>72807.719999999987</v>
      </c>
      <c r="S46" s="85">
        <f t="shared" ca="1" si="67"/>
        <v>5254.6541234383894</v>
      </c>
      <c r="T46" s="85">
        <f t="shared" ca="1" si="67"/>
        <v>6927.9661713921141</v>
      </c>
      <c r="U46" s="85">
        <f t="shared" ca="1" si="67"/>
        <v>6615.2882914553174</v>
      </c>
      <c r="V46" s="85">
        <f t="shared" ca="1" si="67"/>
        <v>6617.7490444670157</v>
      </c>
      <c r="W46" s="85">
        <f t="shared" ca="1" si="67"/>
        <v>6508.9080458727403</v>
      </c>
      <c r="X46" s="69">
        <f t="shared" ca="1" si="67"/>
        <v>6932.6481692730804</v>
      </c>
      <c r="Y46" s="69">
        <f t="shared" ca="1" si="67"/>
        <v>5672.6344623168461</v>
      </c>
      <c r="Z46" s="69">
        <f t="shared" ca="1" si="67"/>
        <v>7183.7492783991302</v>
      </c>
      <c r="AA46" s="69">
        <f t="shared" ca="1" si="67"/>
        <v>8408.5282471768951</v>
      </c>
      <c r="AB46" s="69">
        <f t="shared" ca="1" si="67"/>
        <v>8794.4338101430803</v>
      </c>
      <c r="AC46" s="69">
        <f t="shared" ca="1" si="67"/>
        <v>8784.8071280313889</v>
      </c>
      <c r="AD46" s="69">
        <f t="shared" ca="1" si="67"/>
        <v>6630.5665931213471</v>
      </c>
      <c r="AE46" s="69"/>
      <c r="AF46" s="69">
        <f ca="1">AF24+AF39</f>
        <v>84331.93336508733</v>
      </c>
      <c r="AH46" s="85">
        <f t="shared" ca="1" si="68"/>
        <v>6953.4621994567879</v>
      </c>
      <c r="AI46" s="85">
        <f t="shared" ca="1" si="68"/>
        <v>6953.4621994567879</v>
      </c>
      <c r="AJ46" s="85">
        <f t="shared" ca="1" si="68"/>
        <v>6953.4621994567879</v>
      </c>
      <c r="AK46" s="85">
        <f t="shared" ca="1" si="68"/>
        <v>6953.4621994567879</v>
      </c>
      <c r="AL46" s="85">
        <f t="shared" ca="1" si="68"/>
        <v>4867.423539619751</v>
      </c>
      <c r="AM46" s="69">
        <f t="shared" ca="1" si="68"/>
        <v>7185.2442727720136</v>
      </c>
      <c r="AN46" s="69">
        <f t="shared" ca="1" si="68"/>
        <v>6953.4621994567879</v>
      </c>
      <c r="AO46" s="69">
        <f t="shared" ca="1" si="68"/>
        <v>6953.4621994567879</v>
      </c>
      <c r="AP46" s="69">
        <f t="shared" ca="1" si="68"/>
        <v>6953.4621994567879</v>
      </c>
      <c r="AQ46" s="69">
        <f t="shared" ca="1" si="68"/>
        <v>6953.4621994567879</v>
      </c>
      <c r="AR46" s="69">
        <f t="shared" ca="1" si="68"/>
        <v>6953.4621994567879</v>
      </c>
      <c r="AS46" s="69">
        <f t="shared" ca="1" si="68"/>
        <v>6953.4621994567879</v>
      </c>
      <c r="AT46" s="69"/>
      <c r="AU46" s="69">
        <f ca="1">AU24+AU39</f>
        <v>81587.289806959641</v>
      </c>
    </row>
    <row r="47" spans="1:47" hidden="1" outlineLevel="1">
      <c r="B47" s="67" t="s">
        <v>114</v>
      </c>
      <c r="C47" s="52"/>
      <c r="D47" s="68">
        <f t="shared" si="64"/>
        <v>0</v>
      </c>
      <c r="E47" s="68">
        <f t="shared" si="64"/>
        <v>0</v>
      </c>
      <c r="F47" s="68">
        <f t="shared" si="64"/>
        <v>0</v>
      </c>
      <c r="G47" s="68">
        <f t="shared" si="64"/>
        <v>0</v>
      </c>
      <c r="H47" s="68">
        <f t="shared" si="64"/>
        <v>0</v>
      </c>
      <c r="I47" s="68">
        <f t="shared" si="64"/>
        <v>0</v>
      </c>
      <c r="J47" s="68">
        <f t="shared" si="64"/>
        <v>0</v>
      </c>
      <c r="K47" s="68">
        <f t="shared" ref="K47" si="71">K25+K40</f>
        <v>0</v>
      </c>
      <c r="L47" s="68">
        <f t="shared" si="66"/>
        <v>0</v>
      </c>
      <c r="M47" s="69">
        <f t="shared" si="66"/>
        <v>0</v>
      </c>
      <c r="N47" s="69">
        <f t="shared" si="66"/>
        <v>0</v>
      </c>
      <c r="O47" s="69">
        <f t="shared" si="66"/>
        <v>0</v>
      </c>
      <c r="P47" s="69"/>
      <c r="Q47" s="69">
        <f>Q25+Q40</f>
        <v>0</v>
      </c>
      <c r="S47" s="85">
        <f t="shared" si="67"/>
        <v>0</v>
      </c>
      <c r="T47" s="85">
        <f t="shared" si="67"/>
        <v>0</v>
      </c>
      <c r="U47" s="85">
        <f t="shared" si="67"/>
        <v>0</v>
      </c>
      <c r="V47" s="85">
        <f t="shared" si="67"/>
        <v>0</v>
      </c>
      <c r="W47" s="85">
        <f t="shared" si="67"/>
        <v>0</v>
      </c>
      <c r="X47" s="69">
        <f t="shared" si="67"/>
        <v>0</v>
      </c>
      <c r="Y47" s="69">
        <f t="shared" si="67"/>
        <v>0</v>
      </c>
      <c r="Z47" s="69">
        <f t="shared" si="67"/>
        <v>0</v>
      </c>
      <c r="AA47" s="69">
        <f t="shared" si="67"/>
        <v>0</v>
      </c>
      <c r="AB47" s="69">
        <f t="shared" si="67"/>
        <v>0</v>
      </c>
      <c r="AC47" s="69">
        <f t="shared" si="67"/>
        <v>0</v>
      </c>
      <c r="AD47" s="69">
        <f t="shared" si="67"/>
        <v>0</v>
      </c>
      <c r="AE47" s="69"/>
      <c r="AF47" s="69">
        <f>AF25+AF40</f>
        <v>0</v>
      </c>
      <c r="AH47" s="85">
        <f t="shared" si="68"/>
        <v>0</v>
      </c>
      <c r="AI47" s="85">
        <f t="shared" si="68"/>
        <v>0</v>
      </c>
      <c r="AJ47" s="85">
        <f t="shared" si="68"/>
        <v>0</v>
      </c>
      <c r="AK47" s="85">
        <f t="shared" si="68"/>
        <v>0</v>
      </c>
      <c r="AL47" s="85">
        <f t="shared" si="68"/>
        <v>0</v>
      </c>
      <c r="AM47" s="69">
        <f t="shared" si="68"/>
        <v>0</v>
      </c>
      <c r="AN47" s="69">
        <f t="shared" si="68"/>
        <v>0</v>
      </c>
      <c r="AO47" s="69">
        <f t="shared" si="68"/>
        <v>0</v>
      </c>
      <c r="AP47" s="69">
        <f t="shared" si="68"/>
        <v>0</v>
      </c>
      <c r="AQ47" s="69">
        <f t="shared" si="68"/>
        <v>0</v>
      </c>
      <c r="AR47" s="69">
        <f t="shared" si="68"/>
        <v>0</v>
      </c>
      <c r="AS47" s="69">
        <f t="shared" si="68"/>
        <v>0</v>
      </c>
      <c r="AT47" s="69"/>
      <c r="AU47" s="69">
        <f>AU25+AU40</f>
        <v>0</v>
      </c>
    </row>
    <row r="48" spans="1:47" collapsed="1">
      <c r="B48" s="67" t="s">
        <v>115</v>
      </c>
      <c r="C48" s="52"/>
      <c r="D48" s="68">
        <f t="shared" ref="D48:J48" si="72">D26+D42</f>
        <v>38505</v>
      </c>
      <c r="E48" s="68">
        <f t="shared" si="72"/>
        <v>23757.399999999998</v>
      </c>
      <c r="F48" s="68">
        <f t="shared" si="72"/>
        <v>16589.919999999995</v>
      </c>
      <c r="G48" s="68">
        <f t="shared" si="72"/>
        <v>60960.36</v>
      </c>
      <c r="H48" s="68">
        <f t="shared" si="72"/>
        <v>38286.100000000006</v>
      </c>
      <c r="I48" s="68">
        <f t="shared" si="72"/>
        <v>51644.979999999996</v>
      </c>
      <c r="J48" s="68">
        <f t="shared" si="72"/>
        <v>32908.189999999988</v>
      </c>
      <c r="K48" s="68">
        <f t="shared" ref="K48" si="73">K26+K42</f>
        <v>37361.620000000003</v>
      </c>
      <c r="L48" s="68">
        <f t="shared" ref="L48:Q48" si="74">L26+L42</f>
        <v>58251</v>
      </c>
      <c r="M48" s="69">
        <f t="shared" si="74"/>
        <v>74802</v>
      </c>
      <c r="N48" s="69">
        <f t="shared" si="74"/>
        <v>26456</v>
      </c>
      <c r="O48" s="69">
        <f t="shared" si="74"/>
        <v>58600</v>
      </c>
      <c r="P48" s="69"/>
      <c r="Q48" s="69">
        <f t="shared" si="74"/>
        <v>518122.56999999995</v>
      </c>
      <c r="S48" s="85">
        <f ca="1">S26+S42</f>
        <v>56482.518915993205</v>
      </c>
      <c r="T48" s="85">
        <f t="shared" ref="T48:AD48" ca="1" si="75">T26+T42</f>
        <v>71196.567948597702</v>
      </c>
      <c r="U48" s="85">
        <f t="shared" ca="1" si="75"/>
        <v>55907.291493261109</v>
      </c>
      <c r="V48" s="85">
        <f t="shared" ca="1" si="75"/>
        <v>49600.248863247485</v>
      </c>
      <c r="W48" s="85">
        <f t="shared" ca="1" si="75"/>
        <v>66126.780648103333</v>
      </c>
      <c r="X48" s="69">
        <f t="shared" ca="1" si="75"/>
        <v>71312.469761132903</v>
      </c>
      <c r="Y48" s="69">
        <f t="shared" ca="1" si="75"/>
        <v>43952.005852985305</v>
      </c>
      <c r="Z48" s="69">
        <f t="shared" ca="1" si="75"/>
        <v>84104.408434026671</v>
      </c>
      <c r="AA48" s="69">
        <f t="shared" ca="1" si="75"/>
        <v>77984.882241038547</v>
      </c>
      <c r="AB48" s="69">
        <f t="shared" ca="1" si="75"/>
        <v>91696.447766514408</v>
      </c>
      <c r="AC48" s="69">
        <f t="shared" ca="1" si="75"/>
        <v>44819.133798545416</v>
      </c>
      <c r="AD48" s="69">
        <f t="shared" ca="1" si="75"/>
        <v>64178.665718606717</v>
      </c>
      <c r="AE48" s="69"/>
      <c r="AF48" s="69">
        <f t="shared" ref="AF48" ca="1" si="76">AF26+AF42</f>
        <v>777361.42144205258</v>
      </c>
      <c r="AH48" s="85">
        <f ca="1">AH26+AH42</f>
        <v>81705.962415022004</v>
      </c>
      <c r="AI48" s="85">
        <f t="shared" ref="AI48:AS48" ca="1" si="77">AI26+AI42</f>
        <v>94785.317056528642</v>
      </c>
      <c r="AJ48" s="85">
        <f t="shared" ca="1" si="77"/>
        <v>79488.310093617969</v>
      </c>
      <c r="AK48" s="85">
        <f t="shared" ca="1" si="77"/>
        <v>75832.875034340919</v>
      </c>
      <c r="AL48" s="85">
        <f t="shared" ca="1" si="77"/>
        <v>91623.117192061807</v>
      </c>
      <c r="AM48" s="69">
        <f t="shared" ca="1" si="77"/>
        <v>128479.25609114618</v>
      </c>
      <c r="AN48" s="69">
        <f t="shared" ca="1" si="77"/>
        <v>66108.193788441218</v>
      </c>
      <c r="AO48" s="69">
        <f t="shared" ca="1" si="77"/>
        <v>118147.54429974602</v>
      </c>
      <c r="AP48" s="69">
        <f t="shared" ca="1" si="77"/>
        <v>122126.5666863525</v>
      </c>
      <c r="AQ48" s="69">
        <f t="shared" ca="1" si="77"/>
        <v>130144.41381523039</v>
      </c>
      <c r="AR48" s="69">
        <f t="shared" ca="1" si="77"/>
        <v>65153.667679138853</v>
      </c>
      <c r="AS48" s="69">
        <f t="shared" ca="1" si="77"/>
        <v>89645.776771447592</v>
      </c>
      <c r="AT48" s="69"/>
      <c r="AU48" s="69">
        <f t="shared" ref="AU48" ca="1" si="78">AU26+AU42</f>
        <v>1143241.0009230739</v>
      </c>
    </row>
    <row r="49" spans="2:47">
      <c r="B49" s="52"/>
      <c r="C49" s="52"/>
      <c r="D49" s="70"/>
      <c r="E49" s="70"/>
      <c r="F49" s="70"/>
      <c r="G49" s="70"/>
      <c r="H49" s="70"/>
      <c r="I49" s="70"/>
      <c r="J49" s="70"/>
      <c r="K49" s="70"/>
      <c r="L49" s="70"/>
      <c r="M49" s="52"/>
      <c r="N49" s="52"/>
      <c r="O49" s="52"/>
      <c r="P49" s="52"/>
      <c r="S49" s="10"/>
      <c r="T49" s="10"/>
      <c r="U49" s="10"/>
      <c r="V49" s="10"/>
      <c r="W49" s="10"/>
      <c r="X49" s="52"/>
      <c r="Y49" s="52"/>
      <c r="Z49" s="52"/>
      <c r="AA49" s="52"/>
      <c r="AB49" s="52"/>
      <c r="AC49" s="52"/>
      <c r="AD49" s="52"/>
      <c r="AE49" s="52"/>
      <c r="AH49" s="10"/>
      <c r="AI49" s="10"/>
      <c r="AJ49" s="10"/>
      <c r="AK49" s="10"/>
      <c r="AL49" s="10"/>
      <c r="AM49" s="52"/>
      <c r="AN49" s="52"/>
      <c r="AO49" s="52"/>
      <c r="AP49" s="52"/>
      <c r="AQ49" s="52"/>
      <c r="AR49" s="52"/>
      <c r="AS49" s="52"/>
      <c r="AT49" s="52"/>
    </row>
    <row r="50" spans="2:47" hidden="1" outlineLevel="1">
      <c r="B50" s="67" t="s">
        <v>116</v>
      </c>
      <c r="C50" s="52"/>
      <c r="D50" s="97">
        <f t="shared" ref="D50:J53" si="79">IFERROR(D44/D6,0)</f>
        <v>0.59126210504134313</v>
      </c>
      <c r="E50" s="97">
        <f t="shared" si="79"/>
        <v>0.63717803201749201</v>
      </c>
      <c r="F50" s="97">
        <f t="shared" si="79"/>
        <v>0.54648853295278466</v>
      </c>
      <c r="G50" s="97">
        <f t="shared" si="79"/>
        <v>0.56974903916300323</v>
      </c>
      <c r="H50" s="97">
        <f t="shared" si="79"/>
        <v>0.67540449874105235</v>
      </c>
      <c r="I50" s="97">
        <f t="shared" si="79"/>
        <v>0.55402844296240461</v>
      </c>
      <c r="J50" s="97">
        <f t="shared" si="79"/>
        <v>0.55251264950192369</v>
      </c>
      <c r="K50" s="97">
        <f t="shared" ref="K50" si="80">IFERROR(K44/K6,0)</f>
        <v>0.6480714032611854</v>
      </c>
      <c r="L50" s="97">
        <f t="shared" ref="L50:O53" si="81">IFERROR(L44/L6,0)</f>
        <v>0.55583510741242503</v>
      </c>
      <c r="M50" s="91">
        <f t="shared" si="81"/>
        <v>0.53306122448979587</v>
      </c>
      <c r="N50" s="91">
        <f t="shared" si="81"/>
        <v>0.56306878306878305</v>
      </c>
      <c r="O50" s="91">
        <f t="shared" si="81"/>
        <v>0.57305651672433677</v>
      </c>
      <c r="P50" s="91"/>
      <c r="Q50" s="91">
        <f>IFERROR(Q44/Q6,0)</f>
        <v>0.56746327564164911</v>
      </c>
      <c r="S50" s="91">
        <f t="shared" ref="S50:AD53" si="82">IFERROR(S44/S6,0)</f>
        <v>0.56668902831463508</v>
      </c>
      <c r="T50" s="91">
        <f t="shared" si="82"/>
        <v>0.56668902831463508</v>
      </c>
      <c r="U50" s="91">
        <f t="shared" si="82"/>
        <v>0.56668902831463508</v>
      </c>
      <c r="V50" s="91">
        <f t="shared" si="82"/>
        <v>0.56668902831463508</v>
      </c>
      <c r="W50" s="91">
        <f t="shared" si="82"/>
        <v>0.56668902831463519</v>
      </c>
      <c r="X50" s="91">
        <f t="shared" si="82"/>
        <v>0.56668902831463519</v>
      </c>
      <c r="Y50" s="91">
        <f t="shared" si="82"/>
        <v>0.56668902831463508</v>
      </c>
      <c r="Z50" s="91">
        <f t="shared" si="82"/>
        <v>0.56668902831463508</v>
      </c>
      <c r="AA50" s="91">
        <f t="shared" si="82"/>
        <v>0.56668902831463519</v>
      </c>
      <c r="AB50" s="91">
        <f t="shared" si="82"/>
        <v>0.56668902831463508</v>
      </c>
      <c r="AC50" s="91">
        <f t="shared" si="82"/>
        <v>0.56668902831463519</v>
      </c>
      <c r="AD50" s="91">
        <f t="shared" si="82"/>
        <v>0.56668902831463519</v>
      </c>
      <c r="AE50" s="91"/>
      <c r="AF50" s="91">
        <f>IFERROR(AF44/AF6,0)</f>
        <v>0.56668902831463519</v>
      </c>
      <c r="AH50" s="91">
        <f t="shared" ref="AH50:AS53" si="83">IFERROR(AH44/AH6,0)</f>
        <v>0.56668902831463519</v>
      </c>
      <c r="AI50" s="91">
        <f t="shared" si="83"/>
        <v>0.56668902831463519</v>
      </c>
      <c r="AJ50" s="91">
        <f t="shared" si="83"/>
        <v>0.56668902831463508</v>
      </c>
      <c r="AK50" s="91">
        <f t="shared" si="83"/>
        <v>0.56668902831463519</v>
      </c>
      <c r="AL50" s="91">
        <f t="shared" si="83"/>
        <v>0.56668902831463519</v>
      </c>
      <c r="AM50" s="91">
        <f t="shared" si="83"/>
        <v>0.56668902831463497</v>
      </c>
      <c r="AN50" s="91">
        <f t="shared" si="83"/>
        <v>0.56668902831463519</v>
      </c>
      <c r="AO50" s="91">
        <f t="shared" si="83"/>
        <v>0.56668902831463508</v>
      </c>
      <c r="AP50" s="91">
        <f t="shared" si="83"/>
        <v>0.56668902831463508</v>
      </c>
      <c r="AQ50" s="91">
        <f t="shared" si="83"/>
        <v>0.56668902831463519</v>
      </c>
      <c r="AR50" s="91">
        <f t="shared" si="83"/>
        <v>0.56668902831463508</v>
      </c>
      <c r="AS50" s="91">
        <f t="shared" si="83"/>
        <v>0.56668902831463508</v>
      </c>
      <c r="AT50" s="91"/>
      <c r="AU50" s="91">
        <f>IFERROR(AU44/AU6,0)</f>
        <v>0.56668902831463519</v>
      </c>
    </row>
    <row r="51" spans="2:47" hidden="1" outlineLevel="1">
      <c r="B51" s="67" t="s">
        <v>117</v>
      </c>
      <c r="C51" s="52"/>
      <c r="D51" s="97">
        <f t="shared" si="79"/>
        <v>0.66400088066144813</v>
      </c>
      <c r="E51" s="97">
        <f t="shared" si="79"/>
        <v>0.37904916354666091</v>
      </c>
      <c r="F51" s="97">
        <f t="shared" si="79"/>
        <v>0.63685647357204489</v>
      </c>
      <c r="G51" s="97">
        <f t="shared" si="79"/>
        <v>0.67197528862492295</v>
      </c>
      <c r="H51" s="97">
        <f t="shared" si="79"/>
        <v>0.35997299472362387</v>
      </c>
      <c r="I51" s="97">
        <f t="shared" si="79"/>
        <v>0.66792369846861643</v>
      </c>
      <c r="J51" s="97">
        <f t="shared" si="79"/>
        <v>0.66056362042508343</v>
      </c>
      <c r="K51" s="97">
        <f t="shared" ref="K51" si="84">IFERROR(K45/K7,0)</f>
        <v>0.69102075253947215</v>
      </c>
      <c r="L51" s="97">
        <f t="shared" si="81"/>
        <v>0.67464367876880771</v>
      </c>
      <c r="M51" s="91">
        <f t="shared" si="81"/>
        <v>0.58999688861232114</v>
      </c>
      <c r="N51" s="91">
        <f t="shared" si="81"/>
        <v>0.58998808104886769</v>
      </c>
      <c r="O51" s="91">
        <f t="shared" si="81"/>
        <v>0.58999146393512591</v>
      </c>
      <c r="P51" s="91"/>
      <c r="Q51" s="91">
        <f>IFERROR(Q45/Q7,0)</f>
        <v>0.58003148541368299</v>
      </c>
      <c r="S51" s="91">
        <f t="shared" si="82"/>
        <v>0.66030413706607516</v>
      </c>
      <c r="T51" s="91">
        <f t="shared" si="82"/>
        <v>0.66030413706607527</v>
      </c>
      <c r="U51" s="91">
        <f t="shared" si="82"/>
        <v>0.66030413706607527</v>
      </c>
      <c r="V51" s="91">
        <f t="shared" si="82"/>
        <v>0.66030413706607527</v>
      </c>
      <c r="W51" s="91">
        <f t="shared" si="82"/>
        <v>0.66030413706607527</v>
      </c>
      <c r="X51" s="91">
        <f t="shared" si="82"/>
        <v>0.66030413706607527</v>
      </c>
      <c r="Y51" s="91">
        <f t="shared" si="82"/>
        <v>0.66030413706607516</v>
      </c>
      <c r="Z51" s="91">
        <f t="shared" si="82"/>
        <v>0.66030413706607527</v>
      </c>
      <c r="AA51" s="91">
        <f t="shared" si="82"/>
        <v>0.66030413706607527</v>
      </c>
      <c r="AB51" s="91">
        <f t="shared" si="82"/>
        <v>0.66030413706607527</v>
      </c>
      <c r="AC51" s="91">
        <f t="shared" si="82"/>
        <v>0.66030413706607516</v>
      </c>
      <c r="AD51" s="91">
        <f t="shared" si="82"/>
        <v>0.66030413706607516</v>
      </c>
      <c r="AE51" s="91"/>
      <c r="AF51" s="91">
        <f>IFERROR(AF45/AF7,0)</f>
        <v>0.66030413706607516</v>
      </c>
      <c r="AH51" s="91">
        <f t="shared" si="83"/>
        <v>0.66030413706607527</v>
      </c>
      <c r="AI51" s="91">
        <f t="shared" si="83"/>
        <v>0.66030413706607527</v>
      </c>
      <c r="AJ51" s="91">
        <f t="shared" si="83"/>
        <v>0.66030413706607527</v>
      </c>
      <c r="AK51" s="91">
        <f t="shared" si="83"/>
        <v>0.66030413706607527</v>
      </c>
      <c r="AL51" s="91">
        <f t="shared" si="83"/>
        <v>0.66030413706607527</v>
      </c>
      <c r="AM51" s="91">
        <f t="shared" si="83"/>
        <v>0.66030413706607516</v>
      </c>
      <c r="AN51" s="91">
        <f t="shared" si="83"/>
        <v>0.66030413706607516</v>
      </c>
      <c r="AO51" s="91">
        <f t="shared" si="83"/>
        <v>0.66030413706607527</v>
      </c>
      <c r="AP51" s="91">
        <f t="shared" si="83"/>
        <v>0.66030413706607527</v>
      </c>
      <c r="AQ51" s="91">
        <f t="shared" si="83"/>
        <v>0.66030413706607527</v>
      </c>
      <c r="AR51" s="91">
        <f t="shared" si="83"/>
        <v>0.66030413706607516</v>
      </c>
      <c r="AS51" s="91">
        <f t="shared" si="83"/>
        <v>0.66030413706607527</v>
      </c>
      <c r="AT51" s="91"/>
      <c r="AU51" s="91">
        <f>IFERROR(AU45/AU7,0)</f>
        <v>0.66030413706607516</v>
      </c>
    </row>
    <row r="52" spans="2:47" hidden="1" outlineLevel="1">
      <c r="B52" s="67" t="s">
        <v>118</v>
      </c>
      <c r="C52" s="52"/>
      <c r="D52" s="97">
        <f t="shared" si="79"/>
        <v>0.44200398724783296</v>
      </c>
      <c r="E52" s="97">
        <f t="shared" si="79"/>
        <v>0.43147624067944351</v>
      </c>
      <c r="F52" s="97">
        <f t="shared" si="79"/>
        <v>0.40012093215893479</v>
      </c>
      <c r="G52" s="97">
        <f t="shared" si="79"/>
        <v>0.36656989558989589</v>
      </c>
      <c r="H52" s="97">
        <f t="shared" si="79"/>
        <v>0.47567035704569183</v>
      </c>
      <c r="I52" s="97">
        <f t="shared" si="79"/>
        <v>0.34752752900928469</v>
      </c>
      <c r="J52" s="97">
        <f t="shared" si="79"/>
        <v>0.40040495544555216</v>
      </c>
      <c r="K52" s="97">
        <f t="shared" ref="K52" si="85">IFERROR(K46/K8,0)</f>
        <v>0.42097097679708573</v>
      </c>
      <c r="L52" s="97">
        <f t="shared" si="81"/>
        <v>0.3897720201391639</v>
      </c>
      <c r="M52" s="91">
        <f t="shared" si="81"/>
        <v>0.42440860215053766</v>
      </c>
      <c r="N52" s="91">
        <f t="shared" si="81"/>
        <v>0.42440860215053766</v>
      </c>
      <c r="O52" s="91">
        <f t="shared" si="81"/>
        <v>0.424375</v>
      </c>
      <c r="P52" s="91"/>
      <c r="Q52" s="91">
        <f>IFERROR(Q46/Q8,0)</f>
        <v>0.41082694079911808</v>
      </c>
      <c r="S52" s="91">
        <f t="shared" ca="1" si="82"/>
        <v>0.38630345552537704</v>
      </c>
      <c r="T52" s="91">
        <f t="shared" ca="1" si="82"/>
        <v>0.38630345552537715</v>
      </c>
      <c r="U52" s="91">
        <f t="shared" ca="1" si="82"/>
        <v>0.38630345552537709</v>
      </c>
      <c r="V52" s="91">
        <f t="shared" ca="1" si="82"/>
        <v>0.38630345552537715</v>
      </c>
      <c r="W52" s="91">
        <f t="shared" ca="1" si="82"/>
        <v>0.38630345552537709</v>
      </c>
      <c r="X52" s="91">
        <f t="shared" ca="1" si="82"/>
        <v>0.38630345552537709</v>
      </c>
      <c r="Y52" s="91">
        <f t="shared" ca="1" si="82"/>
        <v>0.38630345552537704</v>
      </c>
      <c r="Z52" s="91">
        <f t="shared" ca="1" si="82"/>
        <v>0.38630345552537704</v>
      </c>
      <c r="AA52" s="91">
        <f t="shared" ca="1" si="82"/>
        <v>0.38630345552537709</v>
      </c>
      <c r="AB52" s="91">
        <f t="shared" ca="1" si="82"/>
        <v>0.38630345552537709</v>
      </c>
      <c r="AC52" s="91">
        <f t="shared" ca="1" si="82"/>
        <v>0.38630345552537709</v>
      </c>
      <c r="AD52" s="91">
        <f t="shared" ca="1" si="82"/>
        <v>0.38630345552537709</v>
      </c>
      <c r="AE52" s="91"/>
      <c r="AF52" s="91">
        <f ca="1">IFERROR(AF46/AF8,0)</f>
        <v>0.38630345552537704</v>
      </c>
      <c r="AH52" s="91">
        <f t="shared" ca="1" si="83"/>
        <v>0.38630345552537709</v>
      </c>
      <c r="AI52" s="91">
        <f t="shared" ca="1" si="83"/>
        <v>0.38630345552537709</v>
      </c>
      <c r="AJ52" s="91">
        <f t="shared" ca="1" si="83"/>
        <v>0.38630345552537709</v>
      </c>
      <c r="AK52" s="91">
        <f t="shared" ca="1" si="83"/>
        <v>0.38630345552537709</v>
      </c>
      <c r="AL52" s="91">
        <f t="shared" ca="1" si="83"/>
        <v>0.38630345552537704</v>
      </c>
      <c r="AM52" s="91">
        <f t="shared" ca="1" si="83"/>
        <v>0.38630345552537709</v>
      </c>
      <c r="AN52" s="91">
        <f t="shared" ca="1" si="83"/>
        <v>0.38630345552537709</v>
      </c>
      <c r="AO52" s="91">
        <f t="shared" ca="1" si="83"/>
        <v>0.38630345552537709</v>
      </c>
      <c r="AP52" s="91">
        <f t="shared" ca="1" si="83"/>
        <v>0.38630345552537709</v>
      </c>
      <c r="AQ52" s="91">
        <f t="shared" ca="1" si="83"/>
        <v>0.38630345552537709</v>
      </c>
      <c r="AR52" s="91">
        <f t="shared" ca="1" si="83"/>
        <v>0.38630345552537709</v>
      </c>
      <c r="AS52" s="91">
        <f t="shared" ca="1" si="83"/>
        <v>0.38630345552537709</v>
      </c>
      <c r="AT52" s="91"/>
      <c r="AU52" s="91">
        <f ca="1">IFERROR(AU46/AU8,0)</f>
        <v>0.38630345552537709</v>
      </c>
    </row>
    <row r="53" spans="2:47" hidden="1" outlineLevel="1">
      <c r="B53" s="67" t="s">
        <v>119</v>
      </c>
      <c r="C53" s="52"/>
      <c r="D53" s="97">
        <f t="shared" si="79"/>
        <v>0</v>
      </c>
      <c r="E53" s="97">
        <f t="shared" si="79"/>
        <v>0</v>
      </c>
      <c r="F53" s="97">
        <f t="shared" si="79"/>
        <v>0</v>
      </c>
      <c r="G53" s="97">
        <f t="shared" si="79"/>
        <v>0</v>
      </c>
      <c r="H53" s="97">
        <f t="shared" si="79"/>
        <v>0</v>
      </c>
      <c r="I53" s="97">
        <f t="shared" si="79"/>
        <v>0</v>
      </c>
      <c r="J53" s="97">
        <f t="shared" si="79"/>
        <v>0</v>
      </c>
      <c r="K53" s="97">
        <f t="shared" ref="K53" si="86">IFERROR(K47/K9,0)</f>
        <v>0</v>
      </c>
      <c r="L53" s="97">
        <f t="shared" si="81"/>
        <v>0</v>
      </c>
      <c r="M53" s="91">
        <f t="shared" si="81"/>
        <v>0</v>
      </c>
      <c r="N53" s="91">
        <f t="shared" si="81"/>
        <v>0</v>
      </c>
      <c r="O53" s="91">
        <f t="shared" si="81"/>
        <v>0</v>
      </c>
      <c r="P53" s="91"/>
      <c r="Q53" s="91">
        <f>IFERROR(Q47/Q9,0)</f>
        <v>0</v>
      </c>
      <c r="S53" s="91">
        <f t="shared" si="82"/>
        <v>0</v>
      </c>
      <c r="T53" s="91">
        <f t="shared" si="82"/>
        <v>0</v>
      </c>
      <c r="U53" s="91">
        <f t="shared" si="82"/>
        <v>0</v>
      </c>
      <c r="V53" s="91">
        <f t="shared" si="82"/>
        <v>0</v>
      </c>
      <c r="W53" s="91">
        <f t="shared" si="82"/>
        <v>0</v>
      </c>
      <c r="X53" s="91">
        <f t="shared" si="82"/>
        <v>0</v>
      </c>
      <c r="Y53" s="91">
        <f t="shared" si="82"/>
        <v>0</v>
      </c>
      <c r="Z53" s="91">
        <f t="shared" si="82"/>
        <v>0</v>
      </c>
      <c r="AA53" s="91">
        <f t="shared" si="82"/>
        <v>0</v>
      </c>
      <c r="AB53" s="91">
        <f t="shared" si="82"/>
        <v>0</v>
      </c>
      <c r="AC53" s="91">
        <f t="shared" si="82"/>
        <v>0</v>
      </c>
      <c r="AD53" s="91">
        <f t="shared" si="82"/>
        <v>0</v>
      </c>
      <c r="AE53" s="91"/>
      <c r="AF53" s="91">
        <f>IFERROR(AF47/AF9,0)</f>
        <v>0</v>
      </c>
      <c r="AH53" s="91">
        <f t="shared" si="83"/>
        <v>0</v>
      </c>
      <c r="AI53" s="91">
        <f t="shared" si="83"/>
        <v>0</v>
      </c>
      <c r="AJ53" s="91">
        <f t="shared" si="83"/>
        <v>0</v>
      </c>
      <c r="AK53" s="91">
        <f t="shared" si="83"/>
        <v>0</v>
      </c>
      <c r="AL53" s="91">
        <f t="shared" si="83"/>
        <v>0</v>
      </c>
      <c r="AM53" s="91">
        <f t="shared" si="83"/>
        <v>0</v>
      </c>
      <c r="AN53" s="91">
        <f t="shared" si="83"/>
        <v>0</v>
      </c>
      <c r="AO53" s="91">
        <f t="shared" si="83"/>
        <v>0</v>
      </c>
      <c r="AP53" s="91">
        <f t="shared" si="83"/>
        <v>0</v>
      </c>
      <c r="AQ53" s="91">
        <f t="shared" si="83"/>
        <v>0</v>
      </c>
      <c r="AR53" s="91">
        <f t="shared" si="83"/>
        <v>0</v>
      </c>
      <c r="AS53" s="91">
        <f t="shared" si="83"/>
        <v>0</v>
      </c>
      <c r="AT53" s="91"/>
      <c r="AU53" s="91">
        <f>IFERROR(AU47/AU9,0)</f>
        <v>0</v>
      </c>
    </row>
    <row r="54" spans="2:47" collapsed="1">
      <c r="B54" s="72" t="s">
        <v>120</v>
      </c>
      <c r="C54" s="73"/>
      <c r="D54" s="97">
        <f t="shared" ref="D54:J54" si="87">IFERROR(D48/D11,0)</f>
        <v>0.60686220012094694</v>
      </c>
      <c r="E54" s="97">
        <f t="shared" si="87"/>
        <v>0.46566711075838146</v>
      </c>
      <c r="F54" s="97">
        <f t="shared" si="87"/>
        <v>0.49375099889076612</v>
      </c>
      <c r="G54" s="97">
        <f t="shared" si="87"/>
        <v>0.58774739044013691</v>
      </c>
      <c r="H54" s="97">
        <f t="shared" si="87"/>
        <v>0.42007410471432827</v>
      </c>
      <c r="I54" s="97">
        <f t="shared" si="87"/>
        <v>0.56133144893131781</v>
      </c>
      <c r="J54" s="97">
        <f t="shared" si="87"/>
        <v>0.54104213636425647</v>
      </c>
      <c r="K54" s="97">
        <f t="shared" ref="K54" si="88">IFERROR(K48/K11,0)</f>
        <v>0.61023650212446523</v>
      </c>
      <c r="L54" s="97">
        <f t="shared" ref="L54:O54" si="89">IFERROR(L48/L11,0)</f>
        <v>0.5711050325009559</v>
      </c>
      <c r="M54" s="91">
        <f t="shared" si="89"/>
        <v>0.53960353185595566</v>
      </c>
      <c r="N54" s="91">
        <f t="shared" si="89"/>
        <v>0.51951928363836308</v>
      </c>
      <c r="O54" s="91">
        <f t="shared" si="89"/>
        <v>0.5601758914061753</v>
      </c>
      <c r="P54" s="91"/>
      <c r="Q54" s="91">
        <f>IFERROR(Q48/Q11,0)</f>
        <v>0.54359831024564531</v>
      </c>
      <c r="S54" s="91">
        <f t="shared" ref="S54:AD54" ca="1" si="90">IFERROR(S48/S11,0)</f>
        <v>0.58298186442572308</v>
      </c>
      <c r="T54" s="91">
        <f t="shared" ca="1" si="90"/>
        <v>0.56999014358654909</v>
      </c>
      <c r="U54" s="91">
        <f t="shared" ca="1" si="90"/>
        <v>0.5550091237244662</v>
      </c>
      <c r="V54" s="91">
        <f t="shared" ca="1" si="90"/>
        <v>0.55846793563872732</v>
      </c>
      <c r="W54" s="91">
        <f t="shared" ca="1" si="90"/>
        <v>0.58647018516902372</v>
      </c>
      <c r="X54" s="91">
        <f t="shared" ca="1" si="90"/>
        <v>0.55750019019800878</v>
      </c>
      <c r="Y54" s="91">
        <f t="shared" ca="1" si="90"/>
        <v>0.55156112205247743</v>
      </c>
      <c r="Z54" s="91">
        <f t="shared" ca="1" si="90"/>
        <v>0.59599585994283821</v>
      </c>
      <c r="AA54" s="91">
        <f t="shared" ca="1" si="90"/>
        <v>0.56068802642849658</v>
      </c>
      <c r="AB54" s="91">
        <f t="shared" ca="1" si="90"/>
        <v>0.57599524081386289</v>
      </c>
      <c r="AC54" s="91">
        <f t="shared" ca="1" si="90"/>
        <v>0.53466883996319725</v>
      </c>
      <c r="AD54" s="91">
        <f t="shared" ca="1" si="90"/>
        <v>0.56851919970739151</v>
      </c>
      <c r="AE54" s="91"/>
      <c r="AF54" s="91">
        <f ca="1">IFERROR(AF48/AF11,0)</f>
        <v>0.56832572516449131</v>
      </c>
      <c r="AH54" s="91">
        <f t="shared" ref="AH54:AS54" ca="1" si="91">IFERROR(AH48/AH11,0)</f>
        <v>0.57410844911695258</v>
      </c>
      <c r="AI54" s="91">
        <f t="shared" ca="1" si="91"/>
        <v>0.57063534876859845</v>
      </c>
      <c r="AJ54" s="91">
        <f t="shared" ca="1" si="91"/>
        <v>0.5579926827727526</v>
      </c>
      <c r="AK54" s="91">
        <f t="shared" ca="1" si="91"/>
        <v>0.56151417055144148</v>
      </c>
      <c r="AL54" s="91">
        <f t="shared" ca="1" si="91"/>
        <v>0.58804862603059305</v>
      </c>
      <c r="AM54" s="91">
        <f t="shared" ca="1" si="91"/>
        <v>0.56171993527073127</v>
      </c>
      <c r="AN54" s="91">
        <f t="shared" ca="1" si="91"/>
        <v>0.55238815172976252</v>
      </c>
      <c r="AO54" s="91">
        <f t="shared" ca="1" si="91"/>
        <v>0.59030139310973251</v>
      </c>
      <c r="AP54" s="91">
        <f t="shared" ca="1" si="91"/>
        <v>0.56701565591371705</v>
      </c>
      <c r="AQ54" s="91">
        <f t="shared" ca="1" si="91"/>
        <v>0.57881737663709887</v>
      </c>
      <c r="AR54" s="91">
        <f t="shared" ca="1" si="91"/>
        <v>0.55179955516636303</v>
      </c>
      <c r="AS54" s="91">
        <f t="shared" ca="1" si="91"/>
        <v>0.56850265886069984</v>
      </c>
      <c r="AT54" s="91"/>
      <c r="AU54" s="91">
        <f ca="1">IFERROR(AU48/AU11,0)</f>
        <v>0.56983162500812001</v>
      </c>
    </row>
    <row r="55" spans="2:47">
      <c r="D55" s="53"/>
      <c r="E55" s="53"/>
      <c r="F55" s="53"/>
      <c r="G55" s="53"/>
      <c r="H55" s="53"/>
      <c r="I55" s="53"/>
      <c r="J55" s="53"/>
      <c r="K55" s="53"/>
      <c r="L55" s="53"/>
      <c r="Q55" s="51"/>
      <c r="S55" s="91"/>
      <c r="T55" s="91"/>
      <c r="U55" s="91"/>
      <c r="V55" s="91"/>
      <c r="W55" s="91"/>
      <c r="X55" s="91"/>
      <c r="Y55" s="91"/>
      <c r="Z55" s="91"/>
      <c r="AA55" s="91"/>
      <c r="AB55" s="91"/>
      <c r="AC55" s="91"/>
      <c r="AD55" s="91"/>
      <c r="AE55" s="91"/>
      <c r="AF55" s="91"/>
      <c r="AU55" s="51"/>
    </row>
    <row r="56" spans="2:47" outlineLevel="1">
      <c r="B56" s="58" t="s">
        <v>121</v>
      </c>
      <c r="D56" s="53"/>
      <c r="E56" s="53"/>
      <c r="F56" s="53"/>
      <c r="G56" s="53"/>
      <c r="H56" s="53"/>
      <c r="I56" s="53"/>
      <c r="J56" s="53"/>
      <c r="K56" s="53"/>
      <c r="L56" s="53"/>
      <c r="Q56" s="51"/>
      <c r="AF56" s="51"/>
      <c r="AU56" s="51"/>
    </row>
    <row r="57" spans="2:47" outlineLevel="1">
      <c r="D57" s="53"/>
      <c r="E57" s="53"/>
      <c r="F57" s="53"/>
      <c r="G57" s="53"/>
      <c r="H57" s="53"/>
      <c r="I57" s="53"/>
      <c r="J57" s="53"/>
      <c r="K57" s="53"/>
      <c r="L57" s="53"/>
      <c r="Q57" s="51"/>
      <c r="AF57" s="51"/>
      <c r="AU57" s="51"/>
    </row>
    <row r="58" spans="2:47" outlineLevel="1">
      <c r="B58" s="51" t="s">
        <v>122</v>
      </c>
      <c r="D58" s="59">
        <v>0</v>
      </c>
      <c r="E58" s="59">
        <v>0</v>
      </c>
      <c r="F58" s="59">
        <v>-356.22</v>
      </c>
      <c r="G58" s="59">
        <v>-396.33</v>
      </c>
      <c r="H58" s="59">
        <v>-319.49</v>
      </c>
      <c r="I58" s="59">
        <v>-611.9</v>
      </c>
      <c r="J58" s="59">
        <v>-666.43</v>
      </c>
      <c r="K58" s="59"/>
      <c r="L58" s="59">
        <v>-929</v>
      </c>
      <c r="M58" s="60">
        <v>-1139</v>
      </c>
      <c r="N58" s="60">
        <v>-980</v>
      </c>
      <c r="O58" s="60">
        <v>-1190</v>
      </c>
      <c r="P58" s="60"/>
      <c r="Q58" s="61">
        <f t="shared" ref="Q58:Q68" si="92">SUM(D58:O58)</f>
        <v>-6588.37</v>
      </c>
      <c r="R58" s="60"/>
      <c r="S58" s="60">
        <f>-SUMIF(IT!$C$4:$C$42,"Marketing Budget",IT!Q$4:Q$42)</f>
        <v>-8048.7000000000007</v>
      </c>
      <c r="T58" s="60">
        <f>-SUMIF(IT!$C$4:$C$42,"Marketing Budget",IT!R$4:R$42)</f>
        <v>-14322.000000000002</v>
      </c>
      <c r="U58" s="60">
        <f>-SUMIF(IT!$C$4:$C$42,"Marketing Budget",IT!S$4:S$42)</f>
        <v>-13186.5</v>
      </c>
      <c r="V58" s="60">
        <f>-SUMIF(IT!$C$4:$C$42,"Marketing Budget",IT!T$4:T$42)</f>
        <v>-10112.800000000001</v>
      </c>
      <c r="W58" s="60">
        <f>-SUMIF(IT!$C$4:$C$42,"Marketing Budget",IT!U$4:U$42)</f>
        <v>-9118.7999999999993</v>
      </c>
      <c r="X58" s="60">
        <f>-SUMIF(IT!$C$4:$C$42,"Marketing Budget",IT!V$4:V$42)</f>
        <v>-31258.799999999999</v>
      </c>
      <c r="Y58" s="60">
        <f>-SUMIF(IT!$C$4:$C$42,"Marketing Budget",IT!W$4:W$42)</f>
        <v>-17194.5</v>
      </c>
      <c r="Z58" s="60">
        <f>-SUMIF(IT!$C$4:$C$42,"Marketing Budget",IT!X$4:X$42)</f>
        <v>-12992</v>
      </c>
      <c r="AA58" s="60">
        <f>-SUMIF(IT!$C$4:$C$42,"Marketing Budget",IT!Y$4:Y$42)</f>
        <v>-23400</v>
      </c>
      <c r="AB58" s="60">
        <f>-SUMIF(IT!$C$4:$C$42,"Marketing Budget",IT!Z$4:Z$42)</f>
        <v>-19500</v>
      </c>
      <c r="AC58" s="60">
        <f>-SUMIF(IT!$C$4:$C$42,"Marketing Budget",IT!AA$4:AA$42)</f>
        <v>-7500</v>
      </c>
      <c r="AD58" s="60">
        <f>-SUMIF(IT!$C$4:$C$42,"Marketing Budget",IT!AB$4:AB$42)</f>
        <v>-7500</v>
      </c>
      <c r="AE58" s="60"/>
      <c r="AF58" s="61">
        <f t="shared" ref="AF58" si="93">SUM(S58:AD58)</f>
        <v>-174134.1</v>
      </c>
      <c r="AH58" s="60">
        <f>-SUMIF(IT!$C$4:$C$42,"Marketing Budget",IT!AC$4:AC$42)</f>
        <v>-16097.400000000001</v>
      </c>
      <c r="AI58" s="60">
        <f>-SUMIF(IT!$C$4:$C$42,"Marketing Budget",IT!AD$4:AD$42)</f>
        <v>-28644.000000000004</v>
      </c>
      <c r="AJ58" s="60">
        <f>-SUMIF(IT!$C$4:$C$42,"Marketing Budget",IT!AE$4:AE$42)</f>
        <v>-26373</v>
      </c>
      <c r="AK58" s="60">
        <f>-SUMIF(IT!$C$4:$C$42,"Marketing Budget",IT!AF$4:AF$42)</f>
        <v>-20225.600000000002</v>
      </c>
      <c r="AL58" s="60">
        <f>-SUMIF(IT!$C$4:$C$42,"Marketing Budget",IT!AG$4:AG$42)</f>
        <v>-18237.599999999999</v>
      </c>
      <c r="AM58" s="60">
        <f>-SUMIF(IT!$C$4:$C$42,"Marketing Budget",IT!AH$4:AH$42)</f>
        <v>-62517.599999999999</v>
      </c>
      <c r="AN58" s="60">
        <f>-SUMIF(IT!$C$4:$C$42,"Marketing Budget",IT!AI$4:AI$42)</f>
        <v>-20633.399999999998</v>
      </c>
      <c r="AO58" s="60">
        <f>-SUMIF(IT!$C$4:$C$42,"Marketing Budget",IT!AJ$4:AJ$42)</f>
        <v>-25984</v>
      </c>
      <c r="AP58" s="60">
        <f>-SUMIF(IT!$C$4:$C$42,"Marketing Budget",IT!AK$4:AK$42)</f>
        <v>-46800</v>
      </c>
      <c r="AQ58" s="60">
        <f>-SUMIF(IT!$C$4:$C$42,"Marketing Budget",IT!AL$4:AL$42)</f>
        <v>-39000</v>
      </c>
      <c r="AR58" s="60">
        <f>-SUMIF(IT!$C$4:$C$42,"Marketing Budget",IT!AM$4:AM$42)</f>
        <v>-15000</v>
      </c>
      <c r="AS58" s="60">
        <f>-SUMIF(IT!$C$4:$C$42,"Marketing Budget",IT!AN$4:AN$42)</f>
        <v>-15000</v>
      </c>
      <c r="AT58" s="60"/>
      <c r="AU58" s="61">
        <f t="shared" ref="AU58" si="94">SUM(AH58:AS58)</f>
        <v>-334512.59999999998</v>
      </c>
    </row>
    <row r="59" spans="2:47" outlineLevel="1">
      <c r="B59" s="51" t="s">
        <v>123</v>
      </c>
      <c r="D59" s="59">
        <v>0</v>
      </c>
      <c r="E59" s="59">
        <v>0</v>
      </c>
      <c r="F59" s="59">
        <v>0</v>
      </c>
      <c r="G59" s="59">
        <v>0</v>
      </c>
      <c r="H59" s="59">
        <v>0</v>
      </c>
      <c r="I59" s="59">
        <v>0</v>
      </c>
      <c r="J59" s="59">
        <v>0</v>
      </c>
      <c r="K59" s="59">
        <v>-340.25</v>
      </c>
      <c r="L59" s="59">
        <v>0</v>
      </c>
      <c r="M59" s="60" t="s">
        <v>184</v>
      </c>
      <c r="N59" s="60" t="s">
        <v>184</v>
      </c>
      <c r="O59" s="60" t="s">
        <v>184</v>
      </c>
      <c r="P59" s="60"/>
      <c r="Q59" s="61">
        <f>SUM(D59:O59)</f>
        <v>-340.25</v>
      </c>
      <c r="S59" s="60">
        <f>-SUMIF(IT!$C$4:$C$42,"Brand Spend",IT!Q$4:Q$42)</f>
        <v>-10000</v>
      </c>
      <c r="T59" s="60">
        <f>-SUMIF(IT!$C$4:$C$42,"Brand Spend",IT!R$4:R$42)</f>
        <v>-5000</v>
      </c>
      <c r="U59" s="60">
        <f>-SUMIF(IT!$C$4:$C$42,"Brand Spend",IT!S$4:S$42)</f>
        <v>-5000</v>
      </c>
      <c r="V59" s="60">
        <f>-SUMIF(IT!$C$4:$C$42,"Brand Spend",IT!T$4:T$42)</f>
        <v>-2500</v>
      </c>
      <c r="W59" s="60">
        <f>-SUMIF(IT!$C$4:$C$42,"Brand Spend",IT!U$4:U$42)</f>
        <v>-2500</v>
      </c>
      <c r="X59" s="60">
        <f>-SUMIF(IT!$C$4:$C$42,"Brand Spend",IT!V$4:V$42)</f>
        <v>-5000</v>
      </c>
      <c r="Y59" s="60">
        <f>-SUMIF(IT!$C$4:$C$42,"Brand Spend",IT!W$4:W$42)</f>
        <v>-2500</v>
      </c>
      <c r="Z59" s="60">
        <f>-SUMIF(IT!$C$4:$C$42,"Brand Spend",IT!X$4:X$42)</f>
        <v>-5000</v>
      </c>
      <c r="AA59" s="60">
        <f>-SUMIF(IT!$C$4:$C$42,"Brand Spend",IT!Y$4:Y$42)</f>
        <v>-5000</v>
      </c>
      <c r="AB59" s="60">
        <f>-SUMIF(IT!$C$4:$C$42,"Brand Spend",IT!Z$4:Z$42)</f>
        <v>-2500</v>
      </c>
      <c r="AC59" s="60">
        <f>-SUMIF(IT!$C$4:$C$42,"Brand Spend",IT!AA$4:AA$42)</f>
        <v>-2500</v>
      </c>
      <c r="AD59" s="60">
        <f>-SUMIF(IT!$C$4:$C$42,"Brand Spend",IT!AB$4:AB$42)</f>
        <v>0</v>
      </c>
      <c r="AE59" s="60"/>
      <c r="AF59" s="61">
        <f>SUM(S59:AD59)</f>
        <v>-47500</v>
      </c>
      <c r="AH59" s="60">
        <f>-SUMIF(IT!$C$4:$C$42,"Brand Spend",IT!AC$4:AC$42)</f>
        <v>0</v>
      </c>
      <c r="AI59" s="60">
        <f>-SUMIF(IT!$C$4:$C$42,"Brand Spend",IT!AD$4:AD$42)</f>
        <v>0</v>
      </c>
      <c r="AJ59" s="60">
        <f>-SUMIF(IT!$C$4:$C$42,"Brand Spend",IT!AE$4:AE$42)</f>
        <v>0</v>
      </c>
      <c r="AK59" s="60">
        <f>-SUMIF(IT!$C$4:$C$42,"Brand Spend",IT!AF$4:AF$42)</f>
        <v>0</v>
      </c>
      <c r="AL59" s="60">
        <f>-SUMIF(IT!$C$4:$C$42,"Brand Spend",IT!AG$4:AG$42)</f>
        <v>0</v>
      </c>
      <c r="AM59" s="60">
        <f>-SUMIF(IT!$C$4:$C$42,"Brand Spend",IT!AH$4:AH$42)</f>
        <v>0</v>
      </c>
      <c r="AN59" s="60">
        <f>-SUMIF(IT!$C$4:$C$42,"Brand Spend",IT!AI$4:AI$42)</f>
        <v>0</v>
      </c>
      <c r="AO59" s="60">
        <f>-SUMIF(IT!$C$4:$C$42,"Brand Spend",IT!AJ$4:AJ$42)</f>
        <v>0</v>
      </c>
      <c r="AP59" s="60">
        <f>-SUMIF(IT!$C$4:$C$42,"Brand Spend",IT!AK$4:AK$42)</f>
        <v>0</v>
      </c>
      <c r="AQ59" s="60">
        <f>-SUMIF(IT!$C$4:$C$42,"Brand Spend",IT!AL$4:AL$42)</f>
        <v>0</v>
      </c>
      <c r="AR59" s="60">
        <f>-SUMIF(IT!$C$4:$C$42,"Brand Spend",IT!AM$4:AM$42)</f>
        <v>0</v>
      </c>
      <c r="AS59" s="60">
        <f>-SUMIF(IT!$C$4:$C$42,"Brand Spend",IT!AN$4:AN$42)</f>
        <v>0</v>
      </c>
      <c r="AT59" s="60"/>
      <c r="AU59" s="61">
        <f>SUM(AH59:AS59)</f>
        <v>0</v>
      </c>
    </row>
    <row r="60" spans="2:47" outlineLevel="2">
      <c r="B60" s="51" t="s">
        <v>124</v>
      </c>
      <c r="D60" s="59">
        <v>-4048.9</v>
      </c>
      <c r="E60" s="59">
        <v>-6274.77</v>
      </c>
      <c r="F60" s="59">
        <v>-7435.47</v>
      </c>
      <c r="G60" s="59">
        <v>-9428.5</v>
      </c>
      <c r="H60" s="59">
        <v>-3363.36</v>
      </c>
      <c r="I60" s="59">
        <v>-10605.83</v>
      </c>
      <c r="J60" s="59">
        <v>-10461.58</v>
      </c>
      <c r="K60" s="59">
        <v>0</v>
      </c>
      <c r="L60" s="59">
        <v>-3125</v>
      </c>
      <c r="M60" s="60">
        <v>-12600</v>
      </c>
      <c r="N60" s="60">
        <v>-5600</v>
      </c>
      <c r="O60" s="60">
        <v>-11050</v>
      </c>
      <c r="P60" s="60"/>
      <c r="Q60" s="61">
        <f t="shared" si="92"/>
        <v>-83993.41</v>
      </c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1">
        <f t="shared" ref="AF60:AF68" si="95">SUM(S60:AD60)</f>
        <v>0</v>
      </c>
      <c r="AH60" s="60"/>
      <c r="AI60" s="60"/>
      <c r="AJ60" s="60"/>
      <c r="AK60" s="60"/>
      <c r="AL60" s="60"/>
      <c r="AM60" s="60"/>
      <c r="AN60" s="60"/>
      <c r="AO60" s="60"/>
      <c r="AP60" s="60"/>
      <c r="AQ60" s="60"/>
      <c r="AR60" s="60"/>
      <c r="AS60" s="60"/>
      <c r="AT60" s="60"/>
      <c r="AU60" s="61">
        <f t="shared" ref="AU60:AU68" si="96">SUM(AH60:AS60)</f>
        <v>0</v>
      </c>
    </row>
    <row r="61" spans="2:47" outlineLevel="2">
      <c r="B61" s="51" t="s">
        <v>125</v>
      </c>
      <c r="D61" s="59">
        <v>-1878.47</v>
      </c>
      <c r="E61" s="59">
        <v>-1728.15</v>
      </c>
      <c r="F61" s="59">
        <v>-1402.85</v>
      </c>
      <c r="G61" s="59">
        <v>-3242.08</v>
      </c>
      <c r="H61" s="59">
        <v>-1508.69</v>
      </c>
      <c r="I61" s="59">
        <v>-3113.67</v>
      </c>
      <c r="J61" s="59">
        <v>-3708</v>
      </c>
      <c r="K61" s="59">
        <v>-7434.77</v>
      </c>
      <c r="L61" s="59">
        <v>-1864</v>
      </c>
      <c r="M61" s="60">
        <v>-2800</v>
      </c>
      <c r="N61" s="60">
        <v>-733</v>
      </c>
      <c r="O61" s="60">
        <v>-1825</v>
      </c>
      <c r="P61" s="60"/>
      <c r="Q61" s="61">
        <f t="shared" si="92"/>
        <v>-31238.68</v>
      </c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1">
        <f t="shared" si="95"/>
        <v>0</v>
      </c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1">
        <f t="shared" si="96"/>
        <v>0</v>
      </c>
    </row>
    <row r="62" spans="2:47" outlineLevel="2">
      <c r="B62" s="51" t="s">
        <v>126</v>
      </c>
      <c r="D62" s="59">
        <v>0</v>
      </c>
      <c r="E62" s="59">
        <v>0</v>
      </c>
      <c r="F62" s="59">
        <v>0</v>
      </c>
      <c r="G62" s="59">
        <v>0</v>
      </c>
      <c r="H62" s="59">
        <v>0</v>
      </c>
      <c r="I62" s="59">
        <v>-3852.55</v>
      </c>
      <c r="J62" s="59">
        <v>-4265.66</v>
      </c>
      <c r="K62" s="59">
        <v>-2599.7199999999998</v>
      </c>
      <c r="L62" s="59">
        <v>-3944</v>
      </c>
      <c r="M62" s="60">
        <v>-1400</v>
      </c>
      <c r="N62" s="60" t="s">
        <v>184</v>
      </c>
      <c r="O62" s="60">
        <v>-425</v>
      </c>
      <c r="P62" s="60"/>
      <c r="Q62" s="61">
        <f t="shared" si="92"/>
        <v>-16486.93</v>
      </c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1">
        <f t="shared" si="95"/>
        <v>0</v>
      </c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1">
        <f t="shared" si="96"/>
        <v>0</v>
      </c>
    </row>
    <row r="63" spans="2:47" outlineLevel="2">
      <c r="B63" s="51" t="s">
        <v>127</v>
      </c>
      <c r="D63" s="59">
        <v>0</v>
      </c>
      <c r="E63" s="59">
        <v>0</v>
      </c>
      <c r="F63" s="59">
        <v>-1000</v>
      </c>
      <c r="G63" s="59">
        <v>-1000</v>
      </c>
      <c r="H63" s="59">
        <v>-1000</v>
      </c>
      <c r="I63" s="59">
        <v>-1000</v>
      </c>
      <c r="J63" s="59">
        <v>-1000</v>
      </c>
      <c r="K63" s="59">
        <v>-3355.49</v>
      </c>
      <c r="L63" s="59">
        <v>-1000</v>
      </c>
      <c r="M63" s="60"/>
      <c r="N63" s="60"/>
      <c r="O63" s="60"/>
      <c r="P63" s="60"/>
      <c r="Q63" s="61">
        <f t="shared" si="92"/>
        <v>-9355.49</v>
      </c>
      <c r="S63" s="60">
        <f>-SUMIFS(B2B!V:V,B2B!$B:$B,"IT",B2B!$D:$D,$B63)</f>
        <v>-2457.9160000000002</v>
      </c>
      <c r="T63" s="60">
        <f>-SUMIFS(B2B!W:W,B2B!$B:$B,"IT",B2B!$D:$D,$B63)</f>
        <v>-2588.7149999999997</v>
      </c>
      <c r="U63" s="60">
        <f>-SUMIFS(B2B!X:X,B2B!$B:$B,"IT",B2B!$D:$D,$B63)</f>
        <v>0</v>
      </c>
      <c r="V63" s="60">
        <f>-SUMIFS(B2B!Y:Y,B2B!$B:$B,"IT",B2B!$D:$D,$B63)</f>
        <v>-2494.1910285191534</v>
      </c>
      <c r="W63" s="60">
        <f>-SUMIFS(B2B!Z:Z,B2B!$B:$B,"IT",B2B!$D:$D,$B63)</f>
        <v>-2407.9505464244903</v>
      </c>
      <c r="X63" s="60">
        <f>-SUMIFS(B2B!AA:AA,B2B!$B:$B,"IT",B2B!$D:$D,$B63)</f>
        <v>-1911.7892238988843</v>
      </c>
      <c r="Y63" s="60">
        <f>-SUMIFS(B2B!AB:AB,B2B!$B:$B,"IT",B2B!$D:$D,$B63)</f>
        <v>-709.35921405016688</v>
      </c>
      <c r="Z63" s="60">
        <f>-SUMIFS(B2B!AC:AC,B2B!$B:$B,"IT",B2B!$D:$D,$B63)</f>
        <v>-3855.0795830448596</v>
      </c>
      <c r="AA63" s="60">
        <f>-SUMIFS(B2B!AD:AD,B2B!$B:$B,"IT",B2B!$D:$D,$B63)</f>
        <v>-2527.4903157837821</v>
      </c>
      <c r="AB63" s="60">
        <f>-SUMIFS(B2B!AE:AE,B2B!$B:$B,"IT",B2B!$D:$D,$B63)</f>
        <v>-3789.7654202786889</v>
      </c>
      <c r="AC63" s="60">
        <f>-SUMIFS(B2B!AF:AF,B2B!$B:$B,"IT",B2B!$D:$D,$B63)</f>
        <v>0</v>
      </c>
      <c r="AD63" s="60">
        <f>-SUMIFS(B2B!AG:AG,B2B!$B:$B,"IT",B2B!$D:$D,$B63)</f>
        <v>-2315.2367144917048</v>
      </c>
      <c r="AE63" s="60"/>
      <c r="AF63" s="61">
        <f t="shared" si="95"/>
        <v>-25057.493046491731</v>
      </c>
      <c r="AH63" s="60">
        <f>-SUMIFS(B2B!AK:AK,B2B!$B:$B,"IT",B2B!$D:$D,$B63)</f>
        <v>-2654.5492800000002</v>
      </c>
      <c r="AI63" s="60">
        <f>-SUMIFS(B2B!AL:AL,B2B!$B:$B,"IT",B2B!$D:$D,$B63)</f>
        <v>-2795.8121999999998</v>
      </c>
      <c r="AJ63" s="60">
        <f>-SUMIFS(B2B!AM:AM,B2B!$B:$B,"IT",B2B!$D:$D,$B63)</f>
        <v>0</v>
      </c>
      <c r="AK63" s="60">
        <f>-SUMIFS(B2B!AN:AN,B2B!$B:$B,"IT",B2B!$D:$D,$B63)</f>
        <v>-2693.7263108006855</v>
      </c>
      <c r="AL63" s="60">
        <f>-SUMIFS(B2B!AO:AO,B2B!$B:$B,"IT",B2B!$D:$D,$B63)</f>
        <v>-2600.5865901384495</v>
      </c>
      <c r="AM63" s="60">
        <f>-SUMIFS(B2B!AP:AP,B2B!$B:$B,"IT",B2B!$D:$D,$B63)</f>
        <v>-2064.7323618107953</v>
      </c>
      <c r="AN63" s="60">
        <f>-SUMIFS(B2B!AQ:AQ,B2B!$B:$B,"IT",B2B!$D:$D,$B63)</f>
        <v>-766.10795117418036</v>
      </c>
      <c r="AO63" s="60">
        <f>-SUMIFS(B2B!AR:AR,B2B!$B:$B,"IT",B2B!$D:$D,$B63)</f>
        <v>-4163.4859496884483</v>
      </c>
      <c r="AP63" s="60">
        <f>-SUMIFS(B2B!AS:AS,B2B!$B:$B,"IT",B2B!$D:$D,$B63)</f>
        <v>-2729.6895410464849</v>
      </c>
      <c r="AQ63" s="60">
        <f>-SUMIFS(B2B!AT:AT,B2B!$B:$B,"IT",B2B!$D:$D,$B63)</f>
        <v>-4092.9466539009841</v>
      </c>
      <c r="AR63" s="60">
        <f>-SUMIFS(B2B!AU:AU,B2B!$B:$B,"IT",B2B!$D:$D,$B63)</f>
        <v>0</v>
      </c>
      <c r="AS63" s="60">
        <f>-SUMIFS(B2B!AV:AV,B2B!$B:$B,"IT",B2B!$D:$D,$B63)</f>
        <v>-2500.4556516510415</v>
      </c>
      <c r="AT63" s="60"/>
      <c r="AU63" s="61">
        <f t="shared" si="96"/>
        <v>-27062.092490211071</v>
      </c>
    </row>
    <row r="64" spans="2:47" outlineLevel="2">
      <c r="B64" s="51" t="s">
        <v>128</v>
      </c>
      <c r="D64" s="59">
        <v>0</v>
      </c>
      <c r="E64" s="59">
        <v>0</v>
      </c>
      <c r="F64" s="59">
        <v>0</v>
      </c>
      <c r="G64" s="59">
        <v>0</v>
      </c>
      <c r="H64" s="59">
        <v>0</v>
      </c>
      <c r="I64" s="59">
        <v>0</v>
      </c>
      <c r="J64" s="59">
        <v>0</v>
      </c>
      <c r="K64" s="59">
        <v>-1000</v>
      </c>
      <c r="L64" s="59">
        <v>0</v>
      </c>
      <c r="M64" s="60"/>
      <c r="N64" s="60"/>
      <c r="O64" s="60"/>
      <c r="P64" s="60"/>
      <c r="Q64" s="61">
        <f t="shared" si="92"/>
        <v>-1000</v>
      </c>
      <c r="S64" s="60">
        <f>-SUMIFS(B2B!V:V,B2B!$B:$B,"IT",B2B!$D:$D,$B64)</f>
        <v>-1228.9580000000001</v>
      </c>
      <c r="T64" s="60">
        <f>-SUMIFS(B2B!W:W,B2B!$B:$B,"IT",B2B!$D:$D,$B64)</f>
        <v>-1294.3574999999998</v>
      </c>
      <c r="U64" s="60">
        <f>-SUMIFS(B2B!X:X,B2B!$B:$B,"IT",B2B!$D:$D,$B64)</f>
        <v>0</v>
      </c>
      <c r="V64" s="60">
        <f>-SUMIFS(B2B!Y:Y,B2B!$B:$B,"IT",B2B!$D:$D,$B64)</f>
        <v>-1247.0955142595767</v>
      </c>
      <c r="W64" s="60">
        <f>-SUMIFS(B2B!Z:Z,B2B!$B:$B,"IT",B2B!$D:$D,$B64)</f>
        <v>-1203.9752732122452</v>
      </c>
      <c r="X64" s="60">
        <f>-SUMIFS(B2B!AA:AA,B2B!$B:$B,"IT",B2B!$D:$D,$B64)</f>
        <v>-955.89461194944215</v>
      </c>
      <c r="Y64" s="60">
        <f>-SUMIFS(B2B!AB:AB,B2B!$B:$B,"IT",B2B!$D:$D,$B64)</f>
        <v>-354.67960702508344</v>
      </c>
      <c r="Z64" s="60">
        <f>-SUMIFS(B2B!AC:AC,B2B!$B:$B,"IT",B2B!$D:$D,$B64)</f>
        <v>-1927.5397915224298</v>
      </c>
      <c r="AA64" s="60">
        <f>-SUMIFS(B2B!AD:AD,B2B!$B:$B,"IT",B2B!$D:$D,$B64)</f>
        <v>-1263.745157891891</v>
      </c>
      <c r="AB64" s="60">
        <f>-SUMIFS(B2B!AE:AE,B2B!$B:$B,"IT",B2B!$D:$D,$B64)</f>
        <v>-1894.8827101393445</v>
      </c>
      <c r="AC64" s="60">
        <f>-SUMIFS(B2B!AF:AF,B2B!$B:$B,"IT",B2B!$D:$D,$B64)</f>
        <v>0</v>
      </c>
      <c r="AD64" s="60">
        <f>-SUMIFS(B2B!AG:AG,B2B!$B:$B,"IT",B2B!$D:$D,$B64)</f>
        <v>-1157.6183572458524</v>
      </c>
      <c r="AE64" s="60"/>
      <c r="AF64" s="61">
        <f t="shared" si="95"/>
        <v>-12528.746523245865</v>
      </c>
      <c r="AH64" s="60">
        <f>-SUMIFS(B2B!AK:AK,B2B!$B:$B,"IT",B2B!$D:$D,$B64)</f>
        <v>-1327.2746400000001</v>
      </c>
      <c r="AI64" s="60">
        <f>-SUMIFS(B2B!AL:AL,B2B!$B:$B,"IT",B2B!$D:$D,$B64)</f>
        <v>-1397.9060999999999</v>
      </c>
      <c r="AJ64" s="60">
        <f>-SUMIFS(B2B!AM:AM,B2B!$B:$B,"IT",B2B!$D:$D,$B64)</f>
        <v>0</v>
      </c>
      <c r="AK64" s="60">
        <f>-SUMIFS(B2B!AN:AN,B2B!$B:$B,"IT",B2B!$D:$D,$B64)</f>
        <v>-1346.8631554003427</v>
      </c>
      <c r="AL64" s="60">
        <f>-SUMIFS(B2B!AO:AO,B2B!$B:$B,"IT",B2B!$D:$D,$B64)</f>
        <v>-1300.2932950692248</v>
      </c>
      <c r="AM64" s="60">
        <f>-SUMIFS(B2B!AP:AP,B2B!$B:$B,"IT",B2B!$D:$D,$B64)</f>
        <v>-1032.3661809053976</v>
      </c>
      <c r="AN64" s="60">
        <f>-SUMIFS(B2B!AQ:AQ,B2B!$B:$B,"IT",B2B!$D:$D,$B64)</f>
        <v>-383.05397558709018</v>
      </c>
      <c r="AO64" s="60">
        <f>-SUMIFS(B2B!AR:AR,B2B!$B:$B,"IT",B2B!$D:$D,$B64)</f>
        <v>-2081.7429748442241</v>
      </c>
      <c r="AP64" s="60">
        <f>-SUMIFS(B2B!AS:AS,B2B!$B:$B,"IT",B2B!$D:$D,$B64)</f>
        <v>-1364.8447705232425</v>
      </c>
      <c r="AQ64" s="60">
        <f>-SUMIFS(B2B!AT:AT,B2B!$B:$B,"IT",B2B!$D:$D,$B64)</f>
        <v>-2046.473326950492</v>
      </c>
      <c r="AR64" s="60">
        <f>-SUMIFS(B2B!AU:AU,B2B!$B:$B,"IT",B2B!$D:$D,$B64)</f>
        <v>0</v>
      </c>
      <c r="AS64" s="60">
        <f>-SUMIFS(B2B!AV:AV,B2B!$B:$B,"IT",B2B!$D:$D,$B64)</f>
        <v>-1250.2278258255208</v>
      </c>
      <c r="AT64" s="60"/>
      <c r="AU64" s="61">
        <f t="shared" si="96"/>
        <v>-13531.046245105535</v>
      </c>
    </row>
    <row r="65" spans="2:47" outlineLevel="2">
      <c r="B65" s="51" t="s">
        <v>166</v>
      </c>
      <c r="D65" s="59"/>
      <c r="E65" s="59"/>
      <c r="F65" s="59"/>
      <c r="G65" s="59"/>
      <c r="H65" s="59"/>
      <c r="I65" s="59"/>
      <c r="J65" s="59"/>
      <c r="K65" s="59"/>
      <c r="L65" s="59"/>
      <c r="M65" s="60"/>
      <c r="N65" s="60"/>
      <c r="O65" s="60"/>
      <c r="P65" s="60"/>
      <c r="Q65" s="61"/>
      <c r="S65" s="60">
        <f>-SUMIFS(B2B!V:V,B2B!$B:$B,"IT",B2B!$D:$D,$B65)</f>
        <v>-1228.9580000000001</v>
      </c>
      <c r="T65" s="60">
        <f>-SUMIFS(B2B!W:W,B2B!$B:$B,"IT",B2B!$D:$D,$B65)</f>
        <v>-1294.3574999999998</v>
      </c>
      <c r="U65" s="60">
        <f>-SUMIFS(B2B!X:X,B2B!$B:$B,"IT",B2B!$D:$D,$B65)</f>
        <v>0</v>
      </c>
      <c r="V65" s="60">
        <f>-SUMIFS(B2B!Y:Y,B2B!$B:$B,"IT",B2B!$D:$D,$B65)</f>
        <v>-1247.0955142595767</v>
      </c>
      <c r="W65" s="60">
        <f>-SUMIFS(B2B!Z:Z,B2B!$B:$B,"IT",B2B!$D:$D,$B65)</f>
        <v>-1203.9752732122452</v>
      </c>
      <c r="X65" s="60">
        <f>-SUMIFS(B2B!AA:AA,B2B!$B:$B,"IT",B2B!$D:$D,$B65)</f>
        <v>-955.89461194944215</v>
      </c>
      <c r="Y65" s="60">
        <f>-SUMIFS(B2B!AB:AB,B2B!$B:$B,"IT",B2B!$D:$D,$B65)</f>
        <v>-354.67960702508344</v>
      </c>
      <c r="Z65" s="60">
        <f>-SUMIFS(B2B!AC:AC,B2B!$B:$B,"IT",B2B!$D:$D,$B65)</f>
        <v>-1927.5397915224298</v>
      </c>
      <c r="AA65" s="60">
        <f>-SUMIFS(B2B!AD:AD,B2B!$B:$B,"IT",B2B!$D:$D,$B65)</f>
        <v>-1263.745157891891</v>
      </c>
      <c r="AB65" s="60">
        <f>-SUMIFS(B2B!AE:AE,B2B!$B:$B,"IT",B2B!$D:$D,$B65)</f>
        <v>-1894.8827101393445</v>
      </c>
      <c r="AC65" s="60">
        <f>-SUMIFS(B2B!AF:AF,B2B!$B:$B,"IT",B2B!$D:$D,$B65)</f>
        <v>0</v>
      </c>
      <c r="AD65" s="60">
        <f>-SUMIFS(B2B!AG:AG,B2B!$B:$B,"IT",B2B!$D:$D,$B65)</f>
        <v>-1157.6183572458524</v>
      </c>
      <c r="AE65" s="60"/>
      <c r="AF65" s="61">
        <f t="shared" si="95"/>
        <v>-12528.746523245865</v>
      </c>
      <c r="AH65" s="60">
        <f>-SUMIFS(B2B!AK:AK,B2B!$B:$B,"IT",B2B!$D:$D,$B65)</f>
        <v>-1327.2746400000001</v>
      </c>
      <c r="AI65" s="60">
        <f>-SUMIFS(B2B!AL:AL,B2B!$B:$B,"IT",B2B!$D:$D,$B65)</f>
        <v>-1397.9060999999999</v>
      </c>
      <c r="AJ65" s="60">
        <f>-SUMIFS(B2B!AM:AM,B2B!$B:$B,"IT",B2B!$D:$D,$B65)</f>
        <v>0</v>
      </c>
      <c r="AK65" s="60">
        <f>-SUMIFS(B2B!AN:AN,B2B!$B:$B,"IT",B2B!$D:$D,$B65)</f>
        <v>-1346.8631554003427</v>
      </c>
      <c r="AL65" s="60">
        <f>-SUMIFS(B2B!AO:AO,B2B!$B:$B,"IT",B2B!$D:$D,$B65)</f>
        <v>-1300.2932950692248</v>
      </c>
      <c r="AM65" s="60">
        <f>-SUMIFS(B2B!AP:AP,B2B!$B:$B,"IT",B2B!$D:$D,$B65)</f>
        <v>-1032.3661809053976</v>
      </c>
      <c r="AN65" s="60">
        <f>-SUMIFS(B2B!AQ:AQ,B2B!$B:$B,"IT",B2B!$D:$D,$B65)</f>
        <v>-383.05397558709018</v>
      </c>
      <c r="AO65" s="60">
        <f>-SUMIFS(B2B!AR:AR,B2B!$B:$B,"IT",B2B!$D:$D,$B65)</f>
        <v>-2081.7429748442241</v>
      </c>
      <c r="AP65" s="60">
        <f>-SUMIFS(B2B!AS:AS,B2B!$B:$B,"IT",B2B!$D:$D,$B65)</f>
        <v>-1364.8447705232425</v>
      </c>
      <c r="AQ65" s="60">
        <f>-SUMIFS(B2B!AT:AT,B2B!$B:$B,"IT",B2B!$D:$D,$B65)</f>
        <v>-2046.473326950492</v>
      </c>
      <c r="AR65" s="60">
        <f>-SUMIFS(B2B!AU:AU,B2B!$B:$B,"IT",B2B!$D:$D,$B65)</f>
        <v>0</v>
      </c>
      <c r="AS65" s="60">
        <f>-SUMIFS(B2B!AV:AV,B2B!$B:$B,"IT",B2B!$D:$D,$B65)</f>
        <v>-1250.2278258255208</v>
      </c>
      <c r="AT65" s="60"/>
      <c r="AU65" s="61">
        <f t="shared" si="96"/>
        <v>-13531.046245105535</v>
      </c>
    </row>
    <row r="66" spans="2:47" outlineLevel="2">
      <c r="B66" s="51" t="s">
        <v>185</v>
      </c>
      <c r="D66" s="59">
        <v>0</v>
      </c>
      <c r="E66" s="59">
        <v>0</v>
      </c>
      <c r="F66" s="59">
        <v>0</v>
      </c>
      <c r="G66" s="59">
        <v>0</v>
      </c>
      <c r="H66" s="59">
        <v>0</v>
      </c>
      <c r="I66" s="59">
        <v>0</v>
      </c>
      <c r="J66" s="59">
        <v>0</v>
      </c>
      <c r="K66" s="59">
        <v>0</v>
      </c>
      <c r="L66" s="59">
        <v>0</v>
      </c>
      <c r="M66" s="60"/>
      <c r="N66" s="60"/>
      <c r="O66" s="60"/>
      <c r="P66" s="60"/>
      <c r="Q66" s="61">
        <f t="shared" si="92"/>
        <v>0</v>
      </c>
      <c r="S66" s="60">
        <f>-SUMIFS(B2B!V:V,B2B!$A:$A,"Trade Shows",B2B!$B:$B,"IT")</f>
        <v>0</v>
      </c>
      <c r="T66" s="60">
        <f>-SUMIFS(B2B!W:W,B2B!$A:$A,"Trade Shows",B2B!$B:$B,"IT")</f>
        <v>0</v>
      </c>
      <c r="U66" s="60">
        <f>-SUMIFS(B2B!X:X,B2B!$A:$A,"Trade Shows",B2B!$B:$B,"IT")</f>
        <v>0</v>
      </c>
      <c r="V66" s="60">
        <f>-SUMIFS(B2B!Y:Y,B2B!$A:$A,"Trade Shows",B2B!$B:$B,"IT")</f>
        <v>0</v>
      </c>
      <c r="W66" s="60">
        <f>-SUMIFS(B2B!Z:Z,B2B!$A:$A,"Trade Shows",B2B!$B:$B,"IT")</f>
        <v>0</v>
      </c>
      <c r="X66" s="60">
        <f>-SUMIFS(B2B!AA:AA,B2B!$A:$A,"Trade Shows",B2B!$B:$B,"IT")</f>
        <v>0</v>
      </c>
      <c r="Y66" s="60">
        <f>-SUMIFS(B2B!AB:AB,B2B!$A:$A,"Trade Shows",B2B!$B:$B,"IT")</f>
        <v>0</v>
      </c>
      <c r="Z66" s="60">
        <f>-SUMIFS(B2B!AC:AC,B2B!$A:$A,"Trade Shows",B2B!$B:$B,"IT")</f>
        <v>0</v>
      </c>
      <c r="AA66" s="60">
        <f>-SUMIFS(B2B!AD:AD,B2B!$A:$A,"Trade Shows",B2B!$B:$B,"IT")</f>
        <v>0</v>
      </c>
      <c r="AB66" s="60">
        <f>-SUMIFS(B2B!AE:AE,B2B!$A:$A,"Trade Shows",B2B!$B:$B,"IT")</f>
        <v>0</v>
      </c>
      <c r="AC66" s="60">
        <f>-SUMIFS(B2B!AF:AF,B2B!$A:$A,"Trade Shows",B2B!$B:$B,"IT")</f>
        <v>0</v>
      </c>
      <c r="AD66" s="60">
        <f>-SUMIFS(B2B!AG:AG,B2B!$A:$A,"Trade Shows",B2B!$B:$B,"IT")</f>
        <v>0</v>
      </c>
      <c r="AE66" s="60"/>
      <c r="AF66" s="61">
        <f t="shared" si="95"/>
        <v>0</v>
      </c>
      <c r="AH66" s="60">
        <f>-SUMIFS(B2B!AK:AK,B2B!$A:$A,"Trade Shows",B2B!$B:$B,"IT")</f>
        <v>0</v>
      </c>
      <c r="AI66" s="60">
        <f>-SUMIFS(B2B!AL:AL,B2B!$A:$A,"Trade Shows",B2B!$B:$B,"IT")</f>
        <v>0</v>
      </c>
      <c r="AJ66" s="60">
        <f>-SUMIFS(B2B!AM:AM,B2B!$A:$A,"Trade Shows",B2B!$B:$B,"IT")</f>
        <v>0</v>
      </c>
      <c r="AK66" s="60">
        <f>-SUMIFS(B2B!AN:AN,B2B!$A:$A,"Trade Shows",B2B!$B:$B,"IT")</f>
        <v>0</v>
      </c>
      <c r="AL66" s="60">
        <f>-SUMIFS(B2B!AO:AO,B2B!$A:$A,"Trade Shows",B2B!$B:$B,"IT")</f>
        <v>0</v>
      </c>
      <c r="AM66" s="60">
        <f>-SUMIFS(B2B!AP:AP,B2B!$A:$A,"Trade Shows",B2B!$B:$B,"IT")</f>
        <v>0</v>
      </c>
      <c r="AN66" s="60">
        <f>-SUMIFS(B2B!AQ:AQ,B2B!$A:$A,"Trade Shows",B2B!$B:$B,"IT")</f>
        <v>0</v>
      </c>
      <c r="AO66" s="60">
        <f>-SUMIFS(B2B!AR:AR,B2B!$A:$A,"Trade Shows",B2B!$B:$B,"IT")</f>
        <v>0</v>
      </c>
      <c r="AP66" s="60">
        <f>-SUMIFS(B2B!AS:AS,B2B!$A:$A,"Trade Shows",B2B!$B:$B,"IT")</f>
        <v>0</v>
      </c>
      <c r="AQ66" s="60">
        <f>-SUMIFS(B2B!AT:AT,B2B!$A:$A,"Trade Shows",B2B!$B:$B,"IT")</f>
        <v>0</v>
      </c>
      <c r="AR66" s="60">
        <f>-SUMIFS(B2B!AU:AU,B2B!$A:$A,"Trade Shows",B2B!$B:$B,"IT")</f>
        <v>0</v>
      </c>
      <c r="AS66" s="60">
        <f>-SUMIFS(B2B!AV:AV,B2B!$A:$A,"Trade Shows",B2B!$B:$B,"IT")</f>
        <v>0</v>
      </c>
      <c r="AT66" s="60"/>
      <c r="AU66" s="61">
        <f t="shared" si="96"/>
        <v>0</v>
      </c>
    </row>
    <row r="67" spans="2:47" outlineLevel="2">
      <c r="B67" s="51" t="s">
        <v>130</v>
      </c>
      <c r="D67" s="59">
        <v>-3041.59</v>
      </c>
      <c r="E67" s="59">
        <v>-2849.66</v>
      </c>
      <c r="F67" s="59">
        <v>-2443.9299999999998</v>
      </c>
      <c r="G67" s="59">
        <v>-2382.1799999999998</v>
      </c>
      <c r="H67" s="59">
        <v>-2203.11</v>
      </c>
      <c r="I67" s="59">
        <v>-4961.1400000000003</v>
      </c>
      <c r="J67" s="59">
        <v>-5067.87</v>
      </c>
      <c r="K67" s="59">
        <v>-3715.42</v>
      </c>
      <c r="L67" s="59">
        <v>-6633</v>
      </c>
      <c r="M67" s="60">
        <v>-3162</v>
      </c>
      <c r="N67" s="60">
        <v>-3162</v>
      </c>
      <c r="O67" s="60">
        <v>-2448</v>
      </c>
      <c r="P67" s="60"/>
      <c r="Q67" s="61">
        <f>SUM(D67:O67)</f>
        <v>-42069.9</v>
      </c>
      <c r="S67" s="60">
        <f>-SUMIF(Amazon!$A$53:$A$58,"IT",Amazon!Q53:Q58)</f>
        <v>-3264.576</v>
      </c>
      <c r="T67" s="60">
        <f>-SUMIF(Amazon!$A$53:$A$58,"IT",Amazon!R53:R58)</f>
        <v>-4304.16</v>
      </c>
      <c r="U67" s="60">
        <f>-SUMIF(Amazon!$A$53:$A$58,"IT",Amazon!S53:S58)</f>
        <v>-4109.9016000000001</v>
      </c>
      <c r="V67" s="60">
        <f>-SUMIF(Amazon!$A$53:$A$58,"IT",Amazon!T53:T58)</f>
        <v>-4111.4304000000002</v>
      </c>
      <c r="W67" s="60">
        <f>-SUMIF(Amazon!$A$53:$A$58,"IT",Amazon!U53:U58)</f>
        <v>-4043.8104000000003</v>
      </c>
      <c r="X67" s="60">
        <f>-SUMIF(Amazon!$A$53:$A$58,"IT",Amazon!V53:V58)</f>
        <v>-4307.0688</v>
      </c>
      <c r="Y67" s="60">
        <f>-SUMIF(Amazon!$A$53:$A$58,"IT",Amazon!W53:W58)</f>
        <v>-3524.2559999999999</v>
      </c>
      <c r="Z67" s="60">
        <f>-SUMIF(Amazon!$A$53:$A$58,"IT",Amazon!X53:X58)</f>
        <v>-4463.0712000000003</v>
      </c>
      <c r="AA67" s="60">
        <f>-SUMIF(Amazon!$A$53:$A$58,"IT",Amazon!Y53:Y58)</f>
        <v>-5223.9936000000007</v>
      </c>
      <c r="AB67" s="60">
        <f>-SUMIF(Amazon!$A$53:$A$58,"IT",Amazon!Z53:Z58)</f>
        <v>-5463.7464</v>
      </c>
      <c r="AC67" s="60">
        <f>-SUMIF(Amazon!$A$53:$A$58,"IT",Amazon!AA53:AA58)</f>
        <v>-5457.7656000000006</v>
      </c>
      <c r="AD67" s="60">
        <f>-SUMIF(Amazon!$A$53:$A$58,"IT",Amazon!AB53:AB58)</f>
        <v>-4119.3936000000003</v>
      </c>
      <c r="AE67" s="60"/>
      <c r="AF67" s="61">
        <f>SUM(S67:AD67)</f>
        <v>-52393.173600000002</v>
      </c>
      <c r="AH67" s="60">
        <f>-SUMIF(Amazon!$A$53:$A$58,"IT",Amazon!AE53:AE58)</f>
        <v>-3240</v>
      </c>
      <c r="AI67" s="60">
        <f>-SUMIF(Amazon!$A$53:$A$58,"IT",Amazon!AF53:AF58)</f>
        <v>-3240</v>
      </c>
      <c r="AJ67" s="60">
        <f>-SUMIF(Amazon!$A$53:$A$58,"IT",Amazon!AG53:AG58)</f>
        <v>-3240</v>
      </c>
      <c r="AK67" s="60">
        <f>-SUMIF(Amazon!$A$53:$A$58,"IT",Amazon!AH53:AH58)</f>
        <v>-3240</v>
      </c>
      <c r="AL67" s="60">
        <f>-SUMIF(Amazon!$A$53:$A$58,"IT",Amazon!AI53:AI58)</f>
        <v>-2142</v>
      </c>
      <c r="AM67" s="60">
        <f>-SUMIF(Amazon!$A$53:$A$58,"IT",Amazon!AJ53:AJ58)</f>
        <v>-3162</v>
      </c>
      <c r="AN67" s="60">
        <f>-SUMIF(Amazon!$A$53:$A$58,"IT",Amazon!AK53:AK58)</f>
        <v>-3060</v>
      </c>
      <c r="AO67" s="60">
        <f>-SUMIF(Amazon!$A$53:$A$58,"IT",Amazon!AL53:AL58)</f>
        <v>-3060</v>
      </c>
      <c r="AP67" s="60">
        <f>-SUMIF(Amazon!$A$53:$A$58,"IT",Amazon!AM53:AM58)</f>
        <v>-3060</v>
      </c>
      <c r="AQ67" s="60">
        <f>-SUMIF(Amazon!$A$53:$A$58,"IT",Amazon!AN53:AN58)</f>
        <v>-3060</v>
      </c>
      <c r="AR67" s="60">
        <f>-SUMIF(Amazon!$A$53:$A$58,"IT",Amazon!AO53:AO58)</f>
        <v>-3060</v>
      </c>
      <c r="AS67" s="60">
        <f>-SUMIF(Amazon!$A$53:$A$58,"IT",Amazon!AP53:AP58)</f>
        <v>-3060</v>
      </c>
      <c r="AT67" s="60"/>
      <c r="AU67" s="61">
        <f t="shared" si="96"/>
        <v>-36624</v>
      </c>
    </row>
    <row r="68" spans="2:47" outlineLevel="2">
      <c r="B68" s="51" t="s">
        <v>131</v>
      </c>
      <c r="D68" s="59"/>
      <c r="E68" s="59"/>
      <c r="F68" s="59"/>
      <c r="G68" s="59"/>
      <c r="H68" s="59"/>
      <c r="I68" s="59"/>
      <c r="J68" s="59">
        <v>0</v>
      </c>
      <c r="K68" s="59">
        <v>0</v>
      </c>
      <c r="L68" s="59"/>
      <c r="M68" s="60"/>
      <c r="N68" s="60"/>
      <c r="O68" s="60"/>
      <c r="P68" s="60"/>
      <c r="Q68" s="61">
        <f t="shared" si="92"/>
        <v>0</v>
      </c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1">
        <f t="shared" si="95"/>
        <v>0</v>
      </c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1">
        <f t="shared" si="96"/>
        <v>0</v>
      </c>
    </row>
    <row r="69" spans="2:47" outlineLevel="1">
      <c r="D69" s="59"/>
      <c r="E69" s="59"/>
      <c r="F69" s="59"/>
      <c r="G69" s="59"/>
      <c r="H69" s="59"/>
      <c r="I69" s="59"/>
      <c r="J69" s="59"/>
      <c r="K69" s="59"/>
      <c r="L69" s="59"/>
      <c r="M69" s="60"/>
      <c r="N69" s="60"/>
      <c r="O69" s="60"/>
      <c r="Q69" s="61"/>
      <c r="S69" s="83"/>
      <c r="T69" s="83"/>
      <c r="U69" s="83"/>
      <c r="V69" s="83"/>
      <c r="W69" s="83"/>
      <c r="AH69" s="83"/>
      <c r="AI69" s="83"/>
      <c r="AJ69" s="83"/>
      <c r="AK69" s="83"/>
      <c r="AL69" s="83"/>
    </row>
    <row r="70" spans="2:47">
      <c r="B70" s="63" t="s">
        <v>132</v>
      </c>
      <c r="C70" s="52"/>
      <c r="D70" s="64">
        <f t="shared" ref="D70:J70" si="97">SUM(D58:D69)</f>
        <v>-8968.9599999999991</v>
      </c>
      <c r="E70" s="64">
        <f t="shared" si="97"/>
        <v>-10852.58</v>
      </c>
      <c r="F70" s="64">
        <f t="shared" si="97"/>
        <v>-12638.470000000001</v>
      </c>
      <c r="G70" s="64">
        <f t="shared" si="97"/>
        <v>-16449.09</v>
      </c>
      <c r="H70" s="64">
        <f t="shared" si="97"/>
        <v>-8394.6500000000015</v>
      </c>
      <c r="I70" s="64">
        <f t="shared" si="97"/>
        <v>-24145.09</v>
      </c>
      <c r="J70" s="64">
        <f t="shared" si="97"/>
        <v>-25169.539999999997</v>
      </c>
      <c r="K70" s="64">
        <f t="shared" ref="K70" si="98">SUM(K58:K69)</f>
        <v>-18445.650000000001</v>
      </c>
      <c r="L70" s="64">
        <f t="shared" ref="L70:O70" si="99">SUM(L58:L69)</f>
        <v>-17495</v>
      </c>
      <c r="M70" s="65">
        <f t="shared" si="99"/>
        <v>-21101</v>
      </c>
      <c r="N70" s="65">
        <f t="shared" si="99"/>
        <v>-10475</v>
      </c>
      <c r="O70" s="65">
        <f t="shared" si="99"/>
        <v>-16938</v>
      </c>
      <c r="P70" s="61"/>
      <c r="Q70" s="65">
        <f>SUM(D70:O70)</f>
        <v>-191073.03</v>
      </c>
      <c r="R70" s="75"/>
      <c r="S70" s="84">
        <f t="shared" ref="S70" si="100">SUM(S58:S69)</f>
        <v>-26229.108</v>
      </c>
      <c r="T70" s="84">
        <f>SUM(T58:T69)</f>
        <v>-28803.589999999997</v>
      </c>
      <c r="U70" s="84">
        <f>SUM(U58:U69)</f>
        <v>-22296.401600000001</v>
      </c>
      <c r="V70" s="84">
        <f>SUM(V58:V69)</f>
        <v>-21712.612457038311</v>
      </c>
      <c r="W70" s="84">
        <f>SUM(W58:W69)</f>
        <v>-20478.511492848978</v>
      </c>
      <c r="X70" s="65">
        <f t="shared" ref="X70:AD70" si="101">SUM(X58:X69)</f>
        <v>-44389.447247797776</v>
      </c>
      <c r="Y70" s="65">
        <f t="shared" si="101"/>
        <v>-24637.474428100333</v>
      </c>
      <c r="Z70" s="65">
        <f t="shared" si="101"/>
        <v>-30165.230366089723</v>
      </c>
      <c r="AA70" s="65">
        <f t="shared" si="101"/>
        <v>-38678.974231567568</v>
      </c>
      <c r="AB70" s="65">
        <f t="shared" si="101"/>
        <v>-35043.277240557378</v>
      </c>
      <c r="AC70" s="65">
        <f t="shared" si="101"/>
        <v>-15457.765600000001</v>
      </c>
      <c r="AD70" s="65">
        <f t="shared" si="101"/>
        <v>-16249.867028983408</v>
      </c>
      <c r="AE70" s="61"/>
      <c r="AF70" s="65">
        <f>SUM(S70:AD70)</f>
        <v>-324142.25969298347</v>
      </c>
      <c r="AH70" s="84">
        <f>SUM(AH58:AH69)</f>
        <v>-24646.49856</v>
      </c>
      <c r="AI70" s="84">
        <f>SUM(AI58:AI69)</f>
        <v>-37475.624400000001</v>
      </c>
      <c r="AJ70" s="84">
        <f>SUM(AJ58:AJ69)</f>
        <v>-29613</v>
      </c>
      <c r="AK70" s="84">
        <f>SUM(AK58:AK69)</f>
        <v>-28853.052621601375</v>
      </c>
      <c r="AL70" s="84">
        <f>SUM(AL58:AL69)</f>
        <v>-25580.773180276898</v>
      </c>
      <c r="AM70" s="65">
        <f t="shared" ref="AM70:AS70" si="102">SUM(AM58:AM69)</f>
        <v>-69809.064723621603</v>
      </c>
      <c r="AN70" s="65">
        <f t="shared" si="102"/>
        <v>-25225.615902348356</v>
      </c>
      <c r="AO70" s="65">
        <f t="shared" si="102"/>
        <v>-37370.971899376898</v>
      </c>
      <c r="AP70" s="65">
        <f t="shared" si="102"/>
        <v>-55319.379082092964</v>
      </c>
      <c r="AQ70" s="65">
        <f t="shared" si="102"/>
        <v>-50245.893307801969</v>
      </c>
      <c r="AR70" s="65">
        <f t="shared" si="102"/>
        <v>-18060</v>
      </c>
      <c r="AS70" s="65">
        <f t="shared" si="102"/>
        <v>-23060.911303302084</v>
      </c>
      <c r="AT70" s="61"/>
      <c r="AU70" s="65">
        <f>SUM(AH70:AS70)</f>
        <v>-425260.78498042218</v>
      </c>
    </row>
    <row r="71" spans="2:47">
      <c r="D71" s="53"/>
      <c r="E71" s="53"/>
      <c r="F71" s="53"/>
      <c r="G71" s="53"/>
      <c r="H71" s="53"/>
      <c r="I71" s="53"/>
      <c r="J71" s="53"/>
      <c r="K71" s="53"/>
      <c r="L71" s="53"/>
      <c r="S71" s="88"/>
      <c r="T71" s="88"/>
      <c r="U71" s="88"/>
      <c r="V71" s="88"/>
      <c r="W71" s="88"/>
      <c r="AF71" s="141">
        <f ca="1">AF70/AF11</f>
        <v>-0.23697906754201337</v>
      </c>
      <c r="AH71" s="88"/>
      <c r="AI71" s="88"/>
      <c r="AJ71" s="88"/>
      <c r="AK71" s="88"/>
      <c r="AL71" s="88"/>
    </row>
    <row r="72" spans="2:47" hidden="1" outlineLevel="1">
      <c r="B72" s="67" t="s">
        <v>133</v>
      </c>
      <c r="C72" s="52"/>
      <c r="D72" s="68">
        <f t="shared" ref="D72:J72" si="103">D44+SUM(D58:D62)</f>
        <v>2995.2600000000011</v>
      </c>
      <c r="E72" s="68">
        <f t="shared" si="103"/>
        <v>1147.5300000000007</v>
      </c>
      <c r="F72" s="68">
        <f t="shared" si="103"/>
        <v>42.159999999999854</v>
      </c>
      <c r="G72" s="68">
        <f t="shared" si="103"/>
        <v>13072.759999999998</v>
      </c>
      <c r="H72" s="68">
        <f t="shared" si="103"/>
        <v>3687.2599999999984</v>
      </c>
      <c r="I72" s="68">
        <f t="shared" si="103"/>
        <v>4883.7499999999964</v>
      </c>
      <c r="J72" s="68">
        <f t="shared" si="103"/>
        <v>995.95000000000073</v>
      </c>
      <c r="K72" s="68">
        <f t="shared" ref="K72" si="104">K44+SUM(K58:K62)</f>
        <v>196.51000000000022</v>
      </c>
      <c r="L72" s="68">
        <f t="shared" ref="L72:O72" si="105">L44+SUM(L58:L62)</f>
        <v>15986</v>
      </c>
      <c r="M72" s="69">
        <f>M44+SUM(M58:M62)</f>
        <v>18629</v>
      </c>
      <c r="N72" s="69">
        <f>N44+SUM(N58:N62)</f>
        <v>3329</v>
      </c>
      <c r="O72" s="69">
        <f t="shared" si="105"/>
        <v>10352</v>
      </c>
      <c r="P72" s="69"/>
      <c r="Q72" s="69">
        <f>Q44+SUM(Q58:Q62)</f>
        <v>75317.179999999964</v>
      </c>
      <c r="S72" s="85">
        <f>S44+SUM(S58:S62)</f>
        <v>4738.353512645077</v>
      </c>
      <c r="T72" s="85">
        <f t="shared" ref="T72:AD72" si="106">T44+SUM(T58:T62)</f>
        <v>19220.254583484886</v>
      </c>
      <c r="U72" s="85">
        <f t="shared" si="106"/>
        <v>17615.984909648687</v>
      </c>
      <c r="V72" s="85">
        <f t="shared" si="106"/>
        <v>13723.531380652117</v>
      </c>
      <c r="W72" s="85">
        <f t="shared" si="106"/>
        <v>10829.411249613502</v>
      </c>
      <c r="X72" s="69">
        <f t="shared" si="106"/>
        <v>13578.098822303487</v>
      </c>
      <c r="Y72" s="69">
        <f t="shared" si="106"/>
        <v>8404.2639800459656</v>
      </c>
      <c r="Z72" s="69">
        <f t="shared" si="106"/>
        <v>6097.8343761850156</v>
      </c>
      <c r="AA72" s="69">
        <f t="shared" si="106"/>
        <v>19369.227870012764</v>
      </c>
      <c r="AB72" s="69">
        <f t="shared" si="106"/>
        <v>21486.91840801006</v>
      </c>
      <c r="AC72" s="69">
        <f t="shared" si="106"/>
        <v>16032.833841533648</v>
      </c>
      <c r="AD72" s="69">
        <f t="shared" si="106"/>
        <v>26752.389199589408</v>
      </c>
      <c r="AE72" s="69"/>
      <c r="AF72" s="69">
        <f>AF44+SUM(AF58:AF62)</f>
        <v>177849.10213372469</v>
      </c>
      <c r="AH72" s="85">
        <f>AH44+SUM(AH58:AH62)</f>
        <v>28305.356740651718</v>
      </c>
      <c r="AI72" s="85">
        <f t="shared" ref="AI72:AS72" si="107">AI44+SUM(AI58:AI62)</f>
        <v>31662.388536409624</v>
      </c>
      <c r="AJ72" s="85">
        <f t="shared" si="107"/>
        <v>31997.853687396193</v>
      </c>
      <c r="AK72" s="85">
        <f t="shared" si="107"/>
        <v>30681.258578420089</v>
      </c>
      <c r="AL72" s="85">
        <f t="shared" si="107"/>
        <v>29012.95531989773</v>
      </c>
      <c r="AM72" s="69">
        <f t="shared" si="107"/>
        <v>43127.634210218363</v>
      </c>
      <c r="AN72" s="69">
        <f t="shared" si="107"/>
        <v>27691.175960719836</v>
      </c>
      <c r="AO72" s="69">
        <f t="shared" si="107"/>
        <v>28974.05858265351</v>
      </c>
      <c r="AP72" s="69">
        <f t="shared" si="107"/>
        <v>44974.948363282427</v>
      </c>
      <c r="AQ72" s="69">
        <f t="shared" si="107"/>
        <v>42054.381954338285</v>
      </c>
      <c r="AR72" s="69">
        <f t="shared" si="107"/>
        <v>32698.638009252667</v>
      </c>
      <c r="AS72" s="69">
        <f t="shared" si="107"/>
        <v>42773.191035540192</v>
      </c>
      <c r="AT72" s="69"/>
      <c r="AU72" s="69">
        <f>AU44+SUM(AU58:AU62)</f>
        <v>413953.84097878064</v>
      </c>
    </row>
    <row r="73" spans="2:47" hidden="1" outlineLevel="1">
      <c r="B73" s="67" t="s">
        <v>134</v>
      </c>
      <c r="C73" s="52"/>
      <c r="D73" s="68">
        <f t="shared" ref="D73:I73" si="108">D45+SUM(D63:D66)</f>
        <v>24549.579999999998</v>
      </c>
      <c r="E73" s="68">
        <f t="shared" si="108"/>
        <v>8746.2599999999984</v>
      </c>
      <c r="F73" s="68">
        <f t="shared" si="108"/>
        <v>807.9399999999996</v>
      </c>
      <c r="G73" s="68">
        <f t="shared" si="108"/>
        <v>28964.460000000003</v>
      </c>
      <c r="H73" s="68">
        <f t="shared" si="108"/>
        <v>22934.860000000008</v>
      </c>
      <c r="I73" s="68">
        <f t="shared" si="108"/>
        <v>22083.61</v>
      </c>
      <c r="J73" s="68">
        <f>J45+SUM(J63:J67)</f>
        <v>1603.1100000000015</v>
      </c>
      <c r="K73" s="68">
        <f t="shared" ref="K73" si="109">K45+SUM(K63:K66)</f>
        <v>15816.85</v>
      </c>
      <c r="L73" s="68">
        <f t="shared" ref="L73:O73" si="110">L45+SUM(L63:L66)</f>
        <v>24513</v>
      </c>
      <c r="M73" s="69">
        <f t="shared" si="110"/>
        <v>30340</v>
      </c>
      <c r="N73" s="69">
        <f t="shared" si="110"/>
        <v>7920</v>
      </c>
      <c r="O73" s="69">
        <f t="shared" si="110"/>
        <v>27647</v>
      </c>
      <c r="P73" s="69"/>
      <c r="Q73" s="69">
        <f>Q45+SUM(Q63:Q66)</f>
        <v>220994.54000000004</v>
      </c>
      <c r="S73" s="85">
        <f>S45+SUM(S63:S66)</f>
        <v>23524.979279909734</v>
      </c>
      <c r="T73" s="85">
        <f t="shared" ref="T73:AD73" si="111">T45+SUM(T63:T66)</f>
        <v>20548.917193720696</v>
      </c>
      <c r="U73" s="85">
        <f t="shared" si="111"/>
        <v>13489.518292157118</v>
      </c>
      <c r="V73" s="85">
        <f t="shared" si="111"/>
        <v>11657.786381090038</v>
      </c>
      <c r="W73" s="85">
        <f t="shared" si="111"/>
        <v>32353.760259768111</v>
      </c>
      <c r="X73" s="69">
        <f t="shared" si="111"/>
        <v>10719.344321758566</v>
      </c>
      <c r="Y73" s="69">
        <f t="shared" si="111"/>
        <v>8761.8889825221613</v>
      </c>
      <c r="Z73" s="69">
        <f t="shared" si="111"/>
        <v>45120.665613352823</v>
      </c>
      <c r="AA73" s="69">
        <f t="shared" si="111"/>
        <v>16752.145492281328</v>
      </c>
      <c r="AB73" s="69">
        <f t="shared" si="111"/>
        <v>31835.564707803878</v>
      </c>
      <c r="AC73" s="69">
        <f t="shared" si="111"/>
        <v>10001.492828980379</v>
      </c>
      <c r="AD73" s="69">
        <f t="shared" si="111"/>
        <v>18665.236496912552</v>
      </c>
      <c r="AE73" s="69"/>
      <c r="AF73" s="69">
        <f>AF45+SUM(AF63:AF66)</f>
        <v>243431.29985025735</v>
      </c>
      <c r="AH73" s="85">
        <f>AH45+SUM(AH63:AH66)</f>
        <v>25040.644914913493</v>
      </c>
      <c r="AI73" s="85">
        <f t="shared" ref="AI73:AS73" si="112">AI45+SUM(AI63:AI66)</f>
        <v>21933.841920662235</v>
      </c>
      <c r="AJ73" s="85">
        <f t="shared" si="112"/>
        <v>14163.994206764975</v>
      </c>
      <c r="AK73" s="85">
        <f t="shared" si="112"/>
        <v>12585.101634862678</v>
      </c>
      <c r="AL73" s="85">
        <f t="shared" si="112"/>
        <v>34303.965152267432</v>
      </c>
      <c r="AM73" s="69">
        <f t="shared" si="112"/>
        <v>11519.312884534193</v>
      </c>
      <c r="AN73" s="69">
        <f t="shared" si="112"/>
        <v>9297.9397259162397</v>
      </c>
      <c r="AO73" s="69">
        <f t="shared" si="112"/>
        <v>47909.051618258811</v>
      </c>
      <c r="AP73" s="69">
        <f t="shared" si="112"/>
        <v>17938.777041520305</v>
      </c>
      <c r="AQ73" s="69">
        <f t="shared" si="112"/>
        <v>33950.676353633346</v>
      </c>
      <c r="AR73" s="69">
        <f t="shared" si="112"/>
        <v>10501.567470429398</v>
      </c>
      <c r="AS73" s="69">
        <f t="shared" si="112"/>
        <v>19918.212233148519</v>
      </c>
      <c r="AT73" s="69"/>
      <c r="AU73" s="69">
        <f>AU45+SUM(AU63:AU66)</f>
        <v>259063.08515691163</v>
      </c>
    </row>
    <row r="74" spans="2:47" hidden="1" outlineLevel="1">
      <c r="B74" s="67" t="s">
        <v>135</v>
      </c>
      <c r="C74" s="52"/>
      <c r="D74" s="68">
        <f t="shared" ref="D74:I75" si="113">D46+D67</f>
        <v>1991.1999999999998</v>
      </c>
      <c r="E74" s="68">
        <f t="shared" si="113"/>
        <v>3011.0299999999997</v>
      </c>
      <c r="F74" s="68">
        <f t="shared" si="113"/>
        <v>3101.349999999999</v>
      </c>
      <c r="G74" s="68">
        <f t="shared" si="113"/>
        <v>2474.0499999999997</v>
      </c>
      <c r="H74" s="68">
        <f t="shared" si="113"/>
        <v>3269.3300000000004</v>
      </c>
      <c r="I74" s="68">
        <f t="shared" si="113"/>
        <v>532.53000000000065</v>
      </c>
      <c r="J74" s="68">
        <f>J46+J68</f>
        <v>5139.5899999999983</v>
      </c>
      <c r="K74" s="68">
        <f t="shared" ref="K74" si="114">K46+K67</f>
        <v>2902.6100000000015</v>
      </c>
      <c r="L74" s="68">
        <f t="shared" ref="L74:O75" si="115">L46+L67</f>
        <v>257</v>
      </c>
      <c r="M74" s="69">
        <f t="shared" si="115"/>
        <v>4732</v>
      </c>
      <c r="N74" s="69">
        <f t="shared" si="115"/>
        <v>4732</v>
      </c>
      <c r="O74" s="69">
        <f t="shared" si="115"/>
        <v>3663</v>
      </c>
      <c r="P74" s="69"/>
      <c r="Q74" s="69">
        <f>Q46+Q67</f>
        <v>30737.819999999985</v>
      </c>
      <c r="S74" s="85">
        <f t="shared" ref="S74:AD74" ca="1" si="116">S46+S67</f>
        <v>1990.0781234383894</v>
      </c>
      <c r="T74" s="85">
        <f t="shared" ca="1" si="116"/>
        <v>2623.8061713921143</v>
      </c>
      <c r="U74" s="85">
        <f t="shared" ca="1" si="116"/>
        <v>2505.3866914553173</v>
      </c>
      <c r="V74" s="85">
        <f t="shared" ca="1" si="116"/>
        <v>2506.3186444670155</v>
      </c>
      <c r="W74" s="85">
        <f t="shared" ca="1" si="116"/>
        <v>2465.09764587274</v>
      </c>
      <c r="X74" s="69">
        <f t="shared" ca="1" si="116"/>
        <v>2625.5793692730804</v>
      </c>
      <c r="Y74" s="69">
        <f t="shared" ca="1" si="116"/>
        <v>2148.3784623168463</v>
      </c>
      <c r="Z74" s="69">
        <f t="shared" ca="1" si="116"/>
        <v>2720.6780783991298</v>
      </c>
      <c r="AA74" s="69">
        <f t="shared" ca="1" si="116"/>
        <v>3184.5346471768944</v>
      </c>
      <c r="AB74" s="69">
        <f t="shared" ca="1" si="116"/>
        <v>3330.6874101430803</v>
      </c>
      <c r="AC74" s="69">
        <f t="shared" ca="1" si="116"/>
        <v>3327.0415280313882</v>
      </c>
      <c r="AD74" s="69">
        <f t="shared" ca="1" si="116"/>
        <v>2511.1729931213467</v>
      </c>
      <c r="AE74" s="69"/>
      <c r="AF74" s="69">
        <f ca="1">AF46+AF67</f>
        <v>31938.759765087329</v>
      </c>
      <c r="AH74" s="85">
        <f t="shared" ref="AH74:AS74" ca="1" si="117">AH46+AH67</f>
        <v>3713.4621994567879</v>
      </c>
      <c r="AI74" s="85">
        <f t="shared" ca="1" si="117"/>
        <v>3713.4621994567879</v>
      </c>
      <c r="AJ74" s="85">
        <f t="shared" ca="1" si="117"/>
        <v>3713.4621994567879</v>
      </c>
      <c r="AK74" s="85">
        <f t="shared" ca="1" si="117"/>
        <v>3713.4621994567879</v>
      </c>
      <c r="AL74" s="85">
        <f t="shared" ca="1" si="117"/>
        <v>2725.423539619751</v>
      </c>
      <c r="AM74" s="69">
        <f t="shared" ca="1" si="117"/>
        <v>4023.2442727720136</v>
      </c>
      <c r="AN74" s="69">
        <f t="shared" ca="1" si="117"/>
        <v>3893.4621994567879</v>
      </c>
      <c r="AO74" s="69">
        <f t="shared" ca="1" si="117"/>
        <v>3893.4621994567879</v>
      </c>
      <c r="AP74" s="69">
        <f t="shared" ca="1" si="117"/>
        <v>3893.4621994567879</v>
      </c>
      <c r="AQ74" s="69">
        <f t="shared" ca="1" si="117"/>
        <v>3893.4621994567879</v>
      </c>
      <c r="AR74" s="69">
        <f t="shared" ca="1" si="117"/>
        <v>3893.4621994567879</v>
      </c>
      <c r="AS74" s="69">
        <f t="shared" ca="1" si="117"/>
        <v>3893.4621994567879</v>
      </c>
      <c r="AT74" s="69"/>
      <c r="AU74" s="69">
        <f ca="1">AU46+AU67</f>
        <v>44963.289806959641</v>
      </c>
    </row>
    <row r="75" spans="2:47" hidden="1" outlineLevel="1">
      <c r="B75" s="67" t="s">
        <v>136</v>
      </c>
      <c r="C75" s="52"/>
      <c r="D75" s="68">
        <f t="shared" si="113"/>
        <v>0</v>
      </c>
      <c r="E75" s="68">
        <f t="shared" si="113"/>
        <v>0</v>
      </c>
      <c r="F75" s="68">
        <f t="shared" si="113"/>
        <v>0</v>
      </c>
      <c r="G75" s="68">
        <f t="shared" si="113"/>
        <v>0</v>
      </c>
      <c r="H75" s="68">
        <f t="shared" si="113"/>
        <v>0</v>
      </c>
      <c r="I75" s="68">
        <f t="shared" si="113"/>
        <v>0</v>
      </c>
      <c r="J75" s="68" t="e">
        <f>J47+#REF!</f>
        <v>#REF!</v>
      </c>
      <c r="K75" s="68">
        <f t="shared" ref="K75" si="118">K47+K68</f>
        <v>0</v>
      </c>
      <c r="L75" s="68">
        <f t="shared" si="115"/>
        <v>0</v>
      </c>
      <c r="M75" s="69">
        <f t="shared" si="115"/>
        <v>0</v>
      </c>
      <c r="N75" s="69">
        <f t="shared" si="115"/>
        <v>0</v>
      </c>
      <c r="O75" s="69">
        <f t="shared" si="115"/>
        <v>0</v>
      </c>
      <c r="P75" s="69"/>
      <c r="Q75" s="69">
        <f>Q47+Q68</f>
        <v>0</v>
      </c>
      <c r="S75" s="85">
        <f t="shared" ref="S75:AD75" si="119">S47+S68</f>
        <v>0</v>
      </c>
      <c r="T75" s="85">
        <f t="shared" si="119"/>
        <v>0</v>
      </c>
      <c r="U75" s="85">
        <f t="shared" si="119"/>
        <v>0</v>
      </c>
      <c r="V75" s="85">
        <f t="shared" si="119"/>
        <v>0</v>
      </c>
      <c r="W75" s="85">
        <f t="shared" si="119"/>
        <v>0</v>
      </c>
      <c r="X75" s="69">
        <f t="shared" si="119"/>
        <v>0</v>
      </c>
      <c r="Y75" s="69">
        <f t="shared" si="119"/>
        <v>0</v>
      </c>
      <c r="Z75" s="69">
        <f t="shared" si="119"/>
        <v>0</v>
      </c>
      <c r="AA75" s="69">
        <f t="shared" si="119"/>
        <v>0</v>
      </c>
      <c r="AB75" s="69">
        <f t="shared" si="119"/>
        <v>0</v>
      </c>
      <c r="AC75" s="69">
        <f t="shared" si="119"/>
        <v>0</v>
      </c>
      <c r="AD75" s="69">
        <f t="shared" si="119"/>
        <v>0</v>
      </c>
      <c r="AE75" s="69"/>
      <c r="AF75" s="69">
        <f>AF47+AF68</f>
        <v>0</v>
      </c>
      <c r="AH75" s="85">
        <f t="shared" ref="AH75:AS75" si="120">AH47+AH68</f>
        <v>0</v>
      </c>
      <c r="AI75" s="85">
        <f t="shared" si="120"/>
        <v>0</v>
      </c>
      <c r="AJ75" s="85">
        <f t="shared" si="120"/>
        <v>0</v>
      </c>
      <c r="AK75" s="85">
        <f t="shared" si="120"/>
        <v>0</v>
      </c>
      <c r="AL75" s="85">
        <f t="shared" si="120"/>
        <v>0</v>
      </c>
      <c r="AM75" s="69">
        <f t="shared" si="120"/>
        <v>0</v>
      </c>
      <c r="AN75" s="69">
        <f t="shared" si="120"/>
        <v>0</v>
      </c>
      <c r="AO75" s="69">
        <f t="shared" si="120"/>
        <v>0</v>
      </c>
      <c r="AP75" s="69">
        <f t="shared" si="120"/>
        <v>0</v>
      </c>
      <c r="AQ75" s="69">
        <f t="shared" si="120"/>
        <v>0</v>
      </c>
      <c r="AR75" s="69">
        <f t="shared" si="120"/>
        <v>0</v>
      </c>
      <c r="AS75" s="69">
        <f t="shared" si="120"/>
        <v>0</v>
      </c>
      <c r="AT75" s="69"/>
      <c r="AU75" s="69">
        <f>AU47+AU68</f>
        <v>0</v>
      </c>
    </row>
    <row r="76" spans="2:47" collapsed="1">
      <c r="B76" s="67" t="s">
        <v>137</v>
      </c>
      <c r="C76" s="52"/>
      <c r="D76" s="68">
        <f t="shared" ref="D76:J76" si="121">D48+D70</f>
        <v>29536.04</v>
      </c>
      <c r="E76" s="68">
        <f t="shared" si="121"/>
        <v>12904.819999999998</v>
      </c>
      <c r="F76" s="68">
        <f t="shared" si="121"/>
        <v>3951.4499999999935</v>
      </c>
      <c r="G76" s="68">
        <f t="shared" si="121"/>
        <v>44511.270000000004</v>
      </c>
      <c r="H76" s="68">
        <f t="shared" si="121"/>
        <v>29891.450000000004</v>
      </c>
      <c r="I76" s="68">
        <f t="shared" si="121"/>
        <v>27499.889999999996</v>
      </c>
      <c r="J76" s="68">
        <f t="shared" si="121"/>
        <v>7738.6499999999905</v>
      </c>
      <c r="K76" s="68">
        <f t="shared" ref="K76" si="122">K48+K70</f>
        <v>18915.97</v>
      </c>
      <c r="L76" s="68">
        <f t="shared" ref="L76:O76" si="123">L48+L70</f>
        <v>40756</v>
      </c>
      <c r="M76" s="69">
        <f t="shared" si="123"/>
        <v>53701</v>
      </c>
      <c r="N76" s="69">
        <f t="shared" si="123"/>
        <v>15981</v>
      </c>
      <c r="O76" s="69">
        <f t="shared" si="123"/>
        <v>41662</v>
      </c>
      <c r="P76" s="69"/>
      <c r="Q76" s="69">
        <f>Q48+Q70</f>
        <v>327049.53999999992</v>
      </c>
      <c r="S76" s="85">
        <f t="shared" ref="S76:AD76" ca="1" si="124">S48+S70</f>
        <v>30253.410915993205</v>
      </c>
      <c r="T76" s="85">
        <f t="shared" ca="1" si="124"/>
        <v>42392.977948597705</v>
      </c>
      <c r="U76" s="85">
        <f t="shared" ca="1" si="124"/>
        <v>33610.889893261105</v>
      </c>
      <c r="V76" s="85">
        <f t="shared" ca="1" si="124"/>
        <v>27887.636406209174</v>
      </c>
      <c r="W76" s="85">
        <f t="shared" ca="1" si="124"/>
        <v>45648.269155254355</v>
      </c>
      <c r="X76" s="69">
        <f t="shared" ca="1" si="124"/>
        <v>26923.022513335127</v>
      </c>
      <c r="Y76" s="69">
        <f t="shared" ca="1" si="124"/>
        <v>19314.531424884972</v>
      </c>
      <c r="Z76" s="69">
        <f t="shared" ca="1" si="124"/>
        <v>53939.178067936948</v>
      </c>
      <c r="AA76" s="69">
        <f t="shared" ca="1" si="124"/>
        <v>39305.908009470979</v>
      </c>
      <c r="AB76" s="69">
        <f t="shared" ca="1" si="124"/>
        <v>56653.17052595703</v>
      </c>
      <c r="AC76" s="69">
        <f t="shared" ca="1" si="124"/>
        <v>29361.368198545417</v>
      </c>
      <c r="AD76" s="69">
        <f t="shared" ca="1" si="124"/>
        <v>47928.798689623305</v>
      </c>
      <c r="AE76" s="69"/>
      <c r="AF76" s="69">
        <f ca="1">AF48+AF70</f>
        <v>453219.16174906911</v>
      </c>
      <c r="AH76" s="85">
        <f t="shared" ref="AH76:AS76" ca="1" si="125">AH48+AH70</f>
        <v>57059.463855022004</v>
      </c>
      <c r="AI76" s="85">
        <f t="shared" ca="1" si="125"/>
        <v>57309.692656528641</v>
      </c>
      <c r="AJ76" s="85">
        <f t="shared" ca="1" si="125"/>
        <v>49875.310093617969</v>
      </c>
      <c r="AK76" s="85">
        <f t="shared" ca="1" si="125"/>
        <v>46979.822412739544</v>
      </c>
      <c r="AL76" s="85">
        <f t="shared" ca="1" si="125"/>
        <v>66042.34401178491</v>
      </c>
      <c r="AM76" s="69">
        <f t="shared" ca="1" si="125"/>
        <v>58670.191367524574</v>
      </c>
      <c r="AN76" s="69">
        <f t="shared" ca="1" si="125"/>
        <v>40882.577886092862</v>
      </c>
      <c r="AO76" s="69">
        <f t="shared" ca="1" si="125"/>
        <v>80776.572400369128</v>
      </c>
      <c r="AP76" s="69">
        <f t="shared" ca="1" si="125"/>
        <v>66807.187604259525</v>
      </c>
      <c r="AQ76" s="69">
        <f t="shared" ca="1" si="125"/>
        <v>79898.520507428417</v>
      </c>
      <c r="AR76" s="69">
        <f t="shared" ca="1" si="125"/>
        <v>47093.667679138853</v>
      </c>
      <c r="AS76" s="69">
        <f t="shared" ca="1" si="125"/>
        <v>66584.865468145508</v>
      </c>
      <c r="AT76" s="69"/>
      <c r="AU76" s="69">
        <f ca="1">AU48+AU70</f>
        <v>717980.21594265173</v>
      </c>
    </row>
    <row r="77" spans="2:47">
      <c r="B77" s="52"/>
      <c r="C77" s="52"/>
      <c r="D77" s="70"/>
      <c r="E77" s="70"/>
      <c r="F77" s="70"/>
      <c r="G77" s="70"/>
      <c r="H77" s="70"/>
      <c r="I77" s="70"/>
      <c r="J77" s="70"/>
      <c r="K77" s="70"/>
      <c r="L77" s="70"/>
      <c r="M77" s="52"/>
      <c r="N77" s="52"/>
      <c r="O77" s="52"/>
      <c r="P77" s="52"/>
      <c r="S77" s="10"/>
      <c r="T77" s="10"/>
      <c r="U77" s="10"/>
      <c r="V77" s="10"/>
      <c r="W77" s="10"/>
      <c r="X77" s="52"/>
      <c r="Y77" s="52"/>
      <c r="Z77" s="52"/>
      <c r="AA77" s="52"/>
      <c r="AB77" s="52"/>
      <c r="AC77" s="52"/>
      <c r="AD77" s="52"/>
      <c r="AE77" s="52"/>
      <c r="AH77" s="10"/>
      <c r="AI77" s="10"/>
      <c r="AJ77" s="10"/>
      <c r="AK77" s="10"/>
      <c r="AL77" s="10"/>
      <c r="AM77" s="52"/>
      <c r="AN77" s="52"/>
      <c r="AO77" s="52"/>
      <c r="AP77" s="52"/>
      <c r="AQ77" s="52"/>
      <c r="AR77" s="52"/>
      <c r="AS77" s="52"/>
      <c r="AT77" s="52"/>
    </row>
    <row r="78" spans="2:47" outlineLevel="1">
      <c r="B78" s="67" t="s">
        <v>138</v>
      </c>
      <c r="C78" s="52"/>
      <c r="D78" s="97">
        <f t="shared" ref="D78:J81" si="126">IFERROR(D72/D6,0)</f>
        <v>0.1984822561000662</v>
      </c>
      <c r="E78" s="97">
        <f t="shared" si="126"/>
        <v>7.9906551817783056E-2</v>
      </c>
      <c r="F78" s="97">
        <f t="shared" si="126"/>
        <v>2.4943926455649008E-3</v>
      </c>
      <c r="G78" s="97">
        <f t="shared" si="126"/>
        <v>0.28493827386529907</v>
      </c>
      <c r="H78" s="97">
        <f t="shared" si="126"/>
        <v>0.28048745236157269</v>
      </c>
      <c r="I78" s="97">
        <f t="shared" si="126"/>
        <v>0.1172954567779901</v>
      </c>
      <c r="J78" s="97">
        <f t="shared" si="126"/>
        <v>2.7380106364407394E-2</v>
      </c>
      <c r="K78" s="97">
        <f t="shared" ref="K78" si="127">IFERROR(K72/K6,0)</f>
        <v>1.2047062689356101E-2</v>
      </c>
      <c r="L78" s="97">
        <f t="shared" ref="L78:O81" si="128">IFERROR(L72/L6,0)</f>
        <v>0.34376276799346278</v>
      </c>
      <c r="M78" s="91">
        <f t="shared" si="128"/>
        <v>0.27155976676384841</v>
      </c>
      <c r="N78" s="91">
        <f t="shared" si="128"/>
        <v>0.17613756613756615</v>
      </c>
      <c r="O78" s="91">
        <f t="shared" si="128"/>
        <v>0.23880046136101499</v>
      </c>
      <c r="P78" s="91"/>
      <c r="Q78" s="91">
        <f>IFERROR(Q72/Q6,0)</f>
        <v>0.19975121926535255</v>
      </c>
      <c r="S78" s="91">
        <f t="shared" ref="S78:AD78" si="129">IFERROR(S72/S6,0)</f>
        <v>0.11783765489478533</v>
      </c>
      <c r="T78" s="91">
        <f t="shared" si="129"/>
        <v>0.28259652974587729</v>
      </c>
      <c r="U78" s="91">
        <f t="shared" si="129"/>
        <v>0.27882939959186331</v>
      </c>
      <c r="V78" s="91">
        <f t="shared" si="129"/>
        <v>0.2952945325126215</v>
      </c>
      <c r="W78" s="91">
        <f t="shared" si="129"/>
        <v>0.27338073711190308</v>
      </c>
      <c r="X78" s="91">
        <f t="shared" si="129"/>
        <v>0.15439483213846589</v>
      </c>
      <c r="Y78" s="91">
        <f t="shared" si="129"/>
        <v>0.16949514903694868</v>
      </c>
      <c r="Z78" s="91">
        <f t="shared" si="129"/>
        <v>0.14344539624066555</v>
      </c>
      <c r="AA78" s="91">
        <f t="shared" si="129"/>
        <v>0.22977823612159951</v>
      </c>
      <c r="AB78" s="91">
        <f t="shared" si="129"/>
        <v>0.28000146618501803</v>
      </c>
      <c r="AC78" s="91">
        <f t="shared" si="129"/>
        <v>0.34900660781282999</v>
      </c>
      <c r="AD78" s="91">
        <f t="shared" si="129"/>
        <v>0.44260519615933808</v>
      </c>
      <c r="AE78" s="91"/>
      <c r="AF78" s="91">
        <f>IFERROR(AF72/AF6,0)</f>
        <v>0.25228879296169632</v>
      </c>
      <c r="AH78" s="91">
        <f t="shared" ref="AH78:AS78" si="130">IFERROR(AH72/AH6,0)</f>
        <v>0.36124637938918208</v>
      </c>
      <c r="AI78" s="91">
        <f t="shared" si="130"/>
        <v>0.29752615981946251</v>
      </c>
      <c r="AJ78" s="91">
        <f t="shared" si="130"/>
        <v>0.31064874794147085</v>
      </c>
      <c r="AK78" s="91">
        <f t="shared" si="130"/>
        <v>0.34154008117572882</v>
      </c>
      <c r="AL78" s="91">
        <f t="shared" si="130"/>
        <v>0.34796042813586037</v>
      </c>
      <c r="AM78" s="91">
        <f t="shared" si="130"/>
        <v>0.23133989248834227</v>
      </c>
      <c r="AN78" s="91">
        <f t="shared" si="130"/>
        <v>0.3247268141747427</v>
      </c>
      <c r="AO78" s="91">
        <f t="shared" si="130"/>
        <v>0.29876020965772743</v>
      </c>
      <c r="AP78" s="91">
        <f t="shared" si="130"/>
        <v>0.27770987879614256</v>
      </c>
      <c r="AQ78" s="91">
        <f t="shared" si="130"/>
        <v>0.29402181932004651</v>
      </c>
      <c r="AR78" s="91">
        <f t="shared" si="130"/>
        <v>0.38847984290622539</v>
      </c>
      <c r="AS78" s="91">
        <f t="shared" si="130"/>
        <v>0.41955615799264795</v>
      </c>
      <c r="AT78" s="91"/>
      <c r="AU78" s="91">
        <f>IFERROR(AU72/AU6,0)</f>
        <v>0.31341832721933188</v>
      </c>
    </row>
    <row r="79" spans="2:47" outlineLevel="1">
      <c r="B79" s="67" t="s">
        <v>139</v>
      </c>
      <c r="C79" s="52"/>
      <c r="D79" s="97">
        <f t="shared" si="126"/>
        <v>0.66400088066144813</v>
      </c>
      <c r="E79" s="97">
        <f t="shared" si="126"/>
        <v>0.37904916354666091</v>
      </c>
      <c r="F79" s="97">
        <f t="shared" si="126"/>
        <v>0.28460115891998505</v>
      </c>
      <c r="G79" s="97">
        <f t="shared" si="126"/>
        <v>0.64954954530684139</v>
      </c>
      <c r="H79" s="97">
        <f t="shared" si="126"/>
        <v>0.34493329970457537</v>
      </c>
      <c r="I79" s="97">
        <f t="shared" si="126"/>
        <v>0.63898872259315254</v>
      </c>
      <c r="J79" s="97">
        <f t="shared" si="126"/>
        <v>0.1380470481659001</v>
      </c>
      <c r="K79" s="97">
        <f t="shared" ref="K79" si="131">IFERROR(K73/K7,0)</f>
        <v>0.54181971897181735</v>
      </c>
      <c r="L79" s="97">
        <f t="shared" si="128"/>
        <v>0.64820054472856126</v>
      </c>
      <c r="M79" s="91">
        <f t="shared" si="128"/>
        <v>0.58999688861232114</v>
      </c>
      <c r="N79" s="91">
        <f t="shared" si="128"/>
        <v>0.58998808104886769</v>
      </c>
      <c r="O79" s="91">
        <f t="shared" si="128"/>
        <v>0.58999146393512591</v>
      </c>
      <c r="P79" s="91"/>
      <c r="Q79" s="91">
        <f>IFERROR(Q73/Q7,0)</f>
        <v>0.55406861760300441</v>
      </c>
      <c r="S79" s="91">
        <f t="shared" ref="S79:AD79" si="132">IFERROR(S73/S7,0)</f>
        <v>0.54617433342665866</v>
      </c>
      <c r="T79" s="91">
        <f t="shared" si="132"/>
        <v>0.52741786204898133</v>
      </c>
      <c r="U79" s="91">
        <f t="shared" si="132"/>
        <v>0.66030413706607527</v>
      </c>
      <c r="V79" s="91">
        <f t="shared" si="132"/>
        <v>0.46242981410873019</v>
      </c>
      <c r="W79" s="91">
        <f t="shared" si="132"/>
        <v>0.57475158426926809</v>
      </c>
      <c r="X79" s="91">
        <f t="shared" si="132"/>
        <v>0.48669909855464738</v>
      </c>
      <c r="Y79" s="91">
        <f t="shared" si="132"/>
        <v>0.56828746167310373</v>
      </c>
      <c r="Z79" s="91">
        <f t="shared" si="132"/>
        <v>0.5639389938743683</v>
      </c>
      <c r="AA79" s="91">
        <f t="shared" si="132"/>
        <v>0.50724294941317294</v>
      </c>
      <c r="AB79" s="91">
        <f t="shared" si="132"/>
        <v>0.53332751804712109</v>
      </c>
      <c r="AC79" s="91">
        <f t="shared" si="132"/>
        <v>0.66030413706607516</v>
      </c>
      <c r="AD79" s="91">
        <f t="shared" si="132"/>
        <v>0.5290559041743409</v>
      </c>
      <c r="AE79" s="91"/>
      <c r="AF79" s="91">
        <f>IFERROR(AF73/AF7,0)</f>
        <v>0.54757529588903442</v>
      </c>
      <c r="AH79" s="91">
        <f t="shared" ref="AH79:AS79" si="133">IFERROR(AH73/AH7,0)</f>
        <v>0.54479674418951862</v>
      </c>
      <c r="AI79" s="91">
        <f t="shared" si="133"/>
        <v>0.52616752767217556</v>
      </c>
      <c r="AJ79" s="91">
        <f t="shared" si="133"/>
        <v>0.66030413706607527</v>
      </c>
      <c r="AK79" s="91">
        <f t="shared" si="133"/>
        <v>0.46237137784174798</v>
      </c>
      <c r="AL79" s="91">
        <f t="shared" si="133"/>
        <v>0.5733697200891138</v>
      </c>
      <c r="AM79" s="91">
        <f t="shared" si="133"/>
        <v>0.48606032651727815</v>
      </c>
      <c r="AN79" s="91">
        <f t="shared" si="133"/>
        <v>0.56688641215742874</v>
      </c>
      <c r="AO79" s="91">
        <f t="shared" si="133"/>
        <v>0.56253168356627836</v>
      </c>
      <c r="AP79" s="91">
        <f t="shared" si="133"/>
        <v>0.50623855280920349</v>
      </c>
      <c r="AQ79" s="91">
        <f t="shared" si="133"/>
        <v>0.53202650886441072</v>
      </c>
      <c r="AR79" s="91">
        <f t="shared" si="133"/>
        <v>0.66030413706607516</v>
      </c>
      <c r="AS79" s="91">
        <f t="shared" si="133"/>
        <v>0.52779055095054972</v>
      </c>
      <c r="AT79" s="91"/>
      <c r="AU79" s="91">
        <f>IFERROR(AU73/AU7,0)</f>
        <v>0.54619214508686464</v>
      </c>
    </row>
    <row r="80" spans="2:47" outlineLevel="1">
      <c r="B80" s="67" t="s">
        <v>140</v>
      </c>
      <c r="C80" s="52"/>
      <c r="D80" s="97">
        <f t="shared" si="126"/>
        <v>0.17487682565890586</v>
      </c>
      <c r="E80" s="97">
        <f t="shared" si="126"/>
        <v>0.22167831858928297</v>
      </c>
      <c r="F80" s="97">
        <f t="shared" si="126"/>
        <v>0.22377861044908684</v>
      </c>
      <c r="G80" s="97">
        <f t="shared" si="126"/>
        <v>0.18675232643103434</v>
      </c>
      <c r="H80" s="97">
        <f t="shared" si="126"/>
        <v>0.28417367178081288</v>
      </c>
      <c r="I80" s="97">
        <f t="shared" si="126"/>
        <v>3.3687650518381074E-2</v>
      </c>
      <c r="J80" s="97">
        <f t="shared" si="126"/>
        <v>0.40040495544555216</v>
      </c>
      <c r="K80" s="97">
        <f t="shared" ref="K80" si="134">IFERROR(K74/K8,0)</f>
        <v>0.18463418373156201</v>
      </c>
      <c r="L80" s="97">
        <f t="shared" si="128"/>
        <v>1.4538666063246025E-2</v>
      </c>
      <c r="M80" s="91">
        <f t="shared" si="128"/>
        <v>0.25440860215053762</v>
      </c>
      <c r="N80" s="91">
        <f t="shared" si="128"/>
        <v>0.25440860215053762</v>
      </c>
      <c r="O80" s="91">
        <f t="shared" si="128"/>
        <v>0.25437500000000002</v>
      </c>
      <c r="P80" s="91"/>
      <c r="Q80" s="91">
        <f>IFERROR(Q74/Q8,0)</f>
        <v>0.17344210967509963</v>
      </c>
      <c r="S80" s="91">
        <f t="shared" ref="S80:AD80" ca="1" si="135">IFERROR(S74/S8,0)</f>
        <v>0.14630345552537707</v>
      </c>
      <c r="T80" s="91">
        <f t="shared" ca="1" si="135"/>
        <v>0.14630345552537719</v>
      </c>
      <c r="U80" s="91">
        <f t="shared" ca="1" si="135"/>
        <v>0.1463034555253771</v>
      </c>
      <c r="V80" s="91">
        <f t="shared" ca="1" si="135"/>
        <v>0.14630345552537716</v>
      </c>
      <c r="W80" s="91">
        <f t="shared" ca="1" si="135"/>
        <v>0.14630345552537713</v>
      </c>
      <c r="X80" s="91">
        <f t="shared" ca="1" si="135"/>
        <v>0.1463034555253771</v>
      </c>
      <c r="Y80" s="91">
        <f t="shared" ca="1" si="135"/>
        <v>0.14630345552537702</v>
      </c>
      <c r="Z80" s="91">
        <f t="shared" ca="1" si="135"/>
        <v>0.14630345552537705</v>
      </c>
      <c r="AA80" s="91">
        <f t="shared" ca="1" si="135"/>
        <v>0.1463034555253771</v>
      </c>
      <c r="AB80" s="91">
        <f t="shared" ca="1" si="135"/>
        <v>0.1463034555253771</v>
      </c>
      <c r="AC80" s="91">
        <f t="shared" ca="1" si="135"/>
        <v>0.1463034555253771</v>
      </c>
      <c r="AD80" s="91">
        <f t="shared" ca="1" si="135"/>
        <v>0.1463034555253771</v>
      </c>
      <c r="AE80" s="91"/>
      <c r="AF80" s="91">
        <f ca="1">IFERROR(AF74/AF8,0)</f>
        <v>0.14630345552537705</v>
      </c>
      <c r="AH80" s="91">
        <f t="shared" ref="AH80:AS80" ca="1" si="136">IFERROR(AH74/AH8,0)</f>
        <v>0.2063034555253771</v>
      </c>
      <c r="AI80" s="91">
        <f t="shared" ca="1" si="136"/>
        <v>0.2063034555253771</v>
      </c>
      <c r="AJ80" s="91">
        <f t="shared" ca="1" si="136"/>
        <v>0.2063034555253771</v>
      </c>
      <c r="AK80" s="91">
        <f t="shared" ca="1" si="136"/>
        <v>0.2063034555253771</v>
      </c>
      <c r="AL80" s="91">
        <f t="shared" ca="1" si="136"/>
        <v>0.21630345552537705</v>
      </c>
      <c r="AM80" s="91">
        <f t="shared" ca="1" si="136"/>
        <v>0.21630345552537708</v>
      </c>
      <c r="AN80" s="91">
        <f t="shared" ca="1" si="136"/>
        <v>0.21630345552537711</v>
      </c>
      <c r="AO80" s="91">
        <f t="shared" ca="1" si="136"/>
        <v>0.21630345552537711</v>
      </c>
      <c r="AP80" s="91">
        <f t="shared" ca="1" si="136"/>
        <v>0.21630345552537711</v>
      </c>
      <c r="AQ80" s="91">
        <f t="shared" ca="1" si="136"/>
        <v>0.21630345552537711</v>
      </c>
      <c r="AR80" s="91">
        <f t="shared" ca="1" si="136"/>
        <v>0.21630345552537711</v>
      </c>
      <c r="AS80" s="91">
        <f t="shared" ca="1" si="136"/>
        <v>0.21630345552537711</v>
      </c>
      <c r="AT80" s="91"/>
      <c r="AU80" s="91">
        <f ca="1">IFERROR(AU74/AU8,0)</f>
        <v>0.21289436461628619</v>
      </c>
    </row>
    <row r="81" spans="2:47" outlineLevel="1">
      <c r="B81" s="67" t="s">
        <v>141</v>
      </c>
      <c r="C81" s="52"/>
      <c r="D81" s="97">
        <f t="shared" si="126"/>
        <v>0</v>
      </c>
      <c r="E81" s="97">
        <f t="shared" si="126"/>
        <v>0</v>
      </c>
      <c r="F81" s="97">
        <f t="shared" si="126"/>
        <v>0</v>
      </c>
      <c r="G81" s="97">
        <f t="shared" si="126"/>
        <v>0</v>
      </c>
      <c r="H81" s="97">
        <f t="shared" si="126"/>
        <v>0</v>
      </c>
      <c r="I81" s="97">
        <f t="shared" si="126"/>
        <v>0</v>
      </c>
      <c r="J81" s="97">
        <f t="shared" si="126"/>
        <v>0</v>
      </c>
      <c r="K81" s="97">
        <f t="shared" ref="K81" si="137">IFERROR(K75/K9,0)</f>
        <v>0</v>
      </c>
      <c r="L81" s="97">
        <f t="shared" si="128"/>
        <v>0</v>
      </c>
      <c r="M81" s="91">
        <f t="shared" si="128"/>
        <v>0</v>
      </c>
      <c r="N81" s="91">
        <f t="shared" si="128"/>
        <v>0</v>
      </c>
      <c r="O81" s="91">
        <f t="shared" si="128"/>
        <v>0</v>
      </c>
      <c r="P81" s="91"/>
      <c r="Q81" s="91">
        <f>IFERROR(Q75/Q9,0)</f>
        <v>0</v>
      </c>
      <c r="S81" s="91">
        <f t="shared" ref="S81:AD81" si="138">IFERROR(S75/S9,0)</f>
        <v>0</v>
      </c>
      <c r="T81" s="91">
        <f t="shared" si="138"/>
        <v>0</v>
      </c>
      <c r="U81" s="91">
        <f t="shared" si="138"/>
        <v>0</v>
      </c>
      <c r="V81" s="91">
        <f t="shared" si="138"/>
        <v>0</v>
      </c>
      <c r="W81" s="91">
        <f t="shared" si="138"/>
        <v>0</v>
      </c>
      <c r="X81" s="91">
        <f t="shared" si="138"/>
        <v>0</v>
      </c>
      <c r="Y81" s="91">
        <f t="shared" si="138"/>
        <v>0</v>
      </c>
      <c r="Z81" s="91">
        <f t="shared" si="138"/>
        <v>0</v>
      </c>
      <c r="AA81" s="91">
        <f t="shared" si="138"/>
        <v>0</v>
      </c>
      <c r="AB81" s="91">
        <f t="shared" si="138"/>
        <v>0</v>
      </c>
      <c r="AC81" s="91">
        <f t="shared" si="138"/>
        <v>0</v>
      </c>
      <c r="AD81" s="91">
        <f t="shared" si="138"/>
        <v>0</v>
      </c>
      <c r="AE81" s="91"/>
      <c r="AF81" s="91">
        <f>IFERROR(AF75/AF9,0)</f>
        <v>0</v>
      </c>
      <c r="AH81" s="91">
        <f t="shared" ref="AH81:AS81" si="139">IFERROR(AH75/AH9,0)</f>
        <v>0</v>
      </c>
      <c r="AI81" s="91">
        <f t="shared" si="139"/>
        <v>0</v>
      </c>
      <c r="AJ81" s="91">
        <f t="shared" si="139"/>
        <v>0</v>
      </c>
      <c r="AK81" s="91">
        <f t="shared" si="139"/>
        <v>0</v>
      </c>
      <c r="AL81" s="91">
        <f t="shared" si="139"/>
        <v>0</v>
      </c>
      <c r="AM81" s="91">
        <f t="shared" si="139"/>
        <v>0</v>
      </c>
      <c r="AN81" s="91">
        <f t="shared" si="139"/>
        <v>0</v>
      </c>
      <c r="AO81" s="91">
        <f t="shared" si="139"/>
        <v>0</v>
      </c>
      <c r="AP81" s="91">
        <f t="shared" si="139"/>
        <v>0</v>
      </c>
      <c r="AQ81" s="91">
        <f t="shared" si="139"/>
        <v>0</v>
      </c>
      <c r="AR81" s="91">
        <f t="shared" si="139"/>
        <v>0</v>
      </c>
      <c r="AS81" s="91">
        <f t="shared" si="139"/>
        <v>0</v>
      </c>
      <c r="AT81" s="91"/>
      <c r="AU81" s="91">
        <f>IFERROR(AU75/AU9,0)</f>
        <v>0</v>
      </c>
    </row>
    <row r="82" spans="2:47">
      <c r="B82" s="72" t="s">
        <v>142</v>
      </c>
      <c r="C82" s="73"/>
      <c r="D82" s="97">
        <f t="shared" ref="D82:J82" si="140">IFERROR(D76/D11,0)</f>
        <v>0.46550593993663919</v>
      </c>
      <c r="E82" s="97">
        <f t="shared" si="140"/>
        <v>0.25294646065044896</v>
      </c>
      <c r="F82" s="97">
        <f t="shared" si="140"/>
        <v>0.11760348359527442</v>
      </c>
      <c r="G82" s="97">
        <f t="shared" si="140"/>
        <v>0.42915400741853155</v>
      </c>
      <c r="H82" s="97">
        <f t="shared" si="140"/>
        <v>0.32796822077367782</v>
      </c>
      <c r="I82" s="97">
        <f t="shared" si="140"/>
        <v>0.29889745526383893</v>
      </c>
      <c r="J82" s="97">
        <f t="shared" si="140"/>
        <v>0.12723081180020079</v>
      </c>
      <c r="K82" s="97">
        <f t="shared" ref="K82" si="141">IFERROR(K76/K11,0)</f>
        <v>0.30895917701350534</v>
      </c>
      <c r="L82" s="97">
        <f t="shared" ref="L82:O82" si="142">IFERROR(L76/L11,0)</f>
        <v>0.39958037981509259</v>
      </c>
      <c r="M82" s="91">
        <f t="shared" si="142"/>
        <v>0.38738602262234534</v>
      </c>
      <c r="N82" s="91">
        <f t="shared" si="142"/>
        <v>0.31382059539706231</v>
      </c>
      <c r="O82" s="91">
        <f t="shared" si="142"/>
        <v>0.39826020456935285</v>
      </c>
      <c r="P82" s="91"/>
      <c r="Q82" s="91">
        <f>IFERROR(Q76/Q11,0)</f>
        <v>0.34313034715051222</v>
      </c>
      <c r="S82" s="91">
        <f t="shared" ref="S82:AD82" ca="1" si="143">IFERROR(S76/S11,0)</f>
        <v>0.31225926604433385</v>
      </c>
      <c r="T82" s="91">
        <f t="shared" ca="1" si="143"/>
        <v>0.33939247753386331</v>
      </c>
      <c r="U82" s="91">
        <f t="shared" ca="1" si="143"/>
        <v>0.33366578936321567</v>
      </c>
      <c r="V82" s="91">
        <f t="shared" ca="1" si="143"/>
        <v>0.31399743127416541</v>
      </c>
      <c r="W82" s="91">
        <f t="shared" ca="1" si="143"/>
        <v>0.40484881619434049</v>
      </c>
      <c r="X82" s="91">
        <f t="shared" ca="1" si="143"/>
        <v>0.21047637562077834</v>
      </c>
      <c r="Y82" s="91">
        <f t="shared" ca="1" si="143"/>
        <v>0.24238130701613492</v>
      </c>
      <c r="Z82" s="91">
        <f t="shared" ca="1" si="143"/>
        <v>0.38223355250667007</v>
      </c>
      <c r="AA82" s="91">
        <f t="shared" ca="1" si="143"/>
        <v>0.28259774658238718</v>
      </c>
      <c r="AB82" s="91">
        <f t="shared" ca="1" si="143"/>
        <v>0.35586936456969226</v>
      </c>
      <c r="AC82" s="91">
        <f t="shared" ca="1" si="143"/>
        <v>0.35026577588516622</v>
      </c>
      <c r="AD82" s="91">
        <f t="shared" ca="1" si="143"/>
        <v>0.42457165428513161</v>
      </c>
      <c r="AE82" s="91"/>
      <c r="AF82" s="91">
        <f ca="1">IFERROR(AF76/AF11,0)</f>
        <v>0.33134665762247795</v>
      </c>
      <c r="AH82" s="91">
        <f t="shared" ref="AH82:AS82" ca="1" si="144">IFERROR(AH76/AH11,0)</f>
        <v>0.40092937324276268</v>
      </c>
      <c r="AI82" s="91">
        <f t="shared" ca="1" si="144"/>
        <v>0.34502112217840486</v>
      </c>
      <c r="AJ82" s="91">
        <f t="shared" ca="1" si="144"/>
        <v>0.35011510561092279</v>
      </c>
      <c r="AK82" s="91">
        <f t="shared" ca="1" si="144"/>
        <v>0.3478680717669923</v>
      </c>
      <c r="AL82" s="91">
        <f t="shared" ca="1" si="144"/>
        <v>0.42386802420791925</v>
      </c>
      <c r="AM82" s="91">
        <f t="shared" ca="1" si="144"/>
        <v>0.25651001648007221</v>
      </c>
      <c r="AN82" s="91">
        <f t="shared" ca="1" si="144"/>
        <v>0.34160745200083598</v>
      </c>
      <c r="AO82" s="91">
        <f t="shared" ca="1" si="144"/>
        <v>0.40358454761949353</v>
      </c>
      <c r="AP82" s="91">
        <f t="shared" ca="1" si="144"/>
        <v>0.31017592917735803</v>
      </c>
      <c r="AQ82" s="91">
        <f t="shared" ca="1" si="144"/>
        <v>0.35534872901231707</v>
      </c>
      <c r="AR82" s="91">
        <f t="shared" ca="1" si="144"/>
        <v>0.39884577188310349</v>
      </c>
      <c r="AS82" s="91">
        <f t="shared" ca="1" si="144"/>
        <v>0.42225829728745473</v>
      </c>
      <c r="AT82" s="91"/>
      <c r="AU82" s="91">
        <f ca="1">IFERROR(AU76/AU11,0)</f>
        <v>0.35786665527561101</v>
      </c>
    </row>
    <row r="83" spans="2:47">
      <c r="D83" s="53"/>
      <c r="E83" s="53"/>
      <c r="F83" s="53"/>
      <c r="G83" s="53"/>
      <c r="H83" s="53"/>
      <c r="I83" s="53"/>
      <c r="J83" s="53"/>
      <c r="K83" s="53"/>
      <c r="L83" s="53"/>
      <c r="M83" s="91"/>
      <c r="N83" s="91"/>
      <c r="O83" s="91"/>
      <c r="P83" s="91"/>
      <c r="Q83" s="91"/>
    </row>
    <row r="84" spans="2:47" outlineLevel="1">
      <c r="B84" s="58" t="s">
        <v>143</v>
      </c>
      <c r="D84" s="53"/>
      <c r="E84" s="53"/>
      <c r="F84" s="53"/>
      <c r="G84" s="53"/>
      <c r="H84" s="53"/>
      <c r="I84" s="53"/>
      <c r="J84" s="53"/>
      <c r="K84" s="53"/>
      <c r="L84" s="53"/>
      <c r="M84" s="60"/>
      <c r="N84" s="60"/>
      <c r="O84" s="60"/>
      <c r="X84" s="60"/>
      <c r="Y84" s="60"/>
      <c r="Z84" s="60"/>
      <c r="AA84" s="60"/>
      <c r="AB84" s="60"/>
      <c r="AC84" s="60"/>
      <c r="AD84" s="60"/>
      <c r="AM84" s="60"/>
      <c r="AN84" s="60"/>
      <c r="AO84" s="60"/>
      <c r="AP84" s="60"/>
      <c r="AQ84" s="60"/>
      <c r="AR84" s="60"/>
      <c r="AS84" s="60"/>
    </row>
    <row r="85" spans="2:47" outlineLevel="1">
      <c r="B85" s="58"/>
      <c r="D85" s="53"/>
      <c r="E85" s="53"/>
      <c r="F85" s="53"/>
      <c r="G85" s="53"/>
      <c r="H85" s="53"/>
      <c r="I85" s="53"/>
      <c r="J85" s="53"/>
      <c r="K85" s="53"/>
      <c r="L85" s="53"/>
    </row>
    <row r="86" spans="2:47" outlineLevel="1">
      <c r="B86" s="51" t="s">
        <v>144</v>
      </c>
      <c r="D86" s="59">
        <v>-3244.33</v>
      </c>
      <c r="E86" s="59">
        <v>-3275.17</v>
      </c>
      <c r="F86" s="59">
        <v>-3580.58</v>
      </c>
      <c r="G86" s="59">
        <v>-3279.02</v>
      </c>
      <c r="H86" s="59">
        <v>-3557.72</v>
      </c>
      <c r="I86" s="59">
        <v>-3402.97</v>
      </c>
      <c r="J86" s="59">
        <v>-3377.14</v>
      </c>
      <c r="K86" s="59">
        <v>-3673.89</v>
      </c>
      <c r="L86" s="59">
        <v>-3844</v>
      </c>
      <c r="M86" s="60">
        <f>SUMIFS(Payroll!F:F,Payroll!$C:$C,"Permanent",Payroll!$D:$D,"Italy")</f>
        <v>-3583.125</v>
      </c>
      <c r="N86" s="60">
        <f>SUMIFS(Payroll!G:G,Payroll!$C:$C,"Permanent",Payroll!$D:$D,"Italy")</f>
        <v>-3583.125</v>
      </c>
      <c r="O86" s="60">
        <f>SUMIFS(Payroll!H:H,Payroll!$C:$C,"Permanent",Payroll!$D:$D,"Italy")</f>
        <v>-3583.125</v>
      </c>
      <c r="P86" s="60"/>
      <c r="Q86" s="61">
        <f>SUM(D86:O86)</f>
        <v>-41984.195</v>
      </c>
      <c r="R86" s="61"/>
      <c r="S86" s="60">
        <f>SUMIFS(Payroll!I:I,Payroll!$C:$C,"Permanent",Payroll!$A:$A,"IT")</f>
        <v>-255.9375</v>
      </c>
      <c r="T86" s="60">
        <f>SUMIFS(Payroll!J:J,Payroll!$C:$C,"Permanent",Payroll!$A:$A,"IT")</f>
        <v>-255.9375</v>
      </c>
      <c r="U86" s="60">
        <f>SUMIFS(Payroll!K:K,Payroll!$C:$C,"Permanent",Payroll!$A:$A,"IT")</f>
        <v>-255.9375</v>
      </c>
      <c r="V86" s="60">
        <f>SUMIFS(Payroll!L:L,Payroll!$C:$C,"Permanent",Payroll!$A:$A,"IT")</f>
        <v>-3668.4375</v>
      </c>
      <c r="W86" s="60">
        <f>SUMIFS(Payroll!M:M,Payroll!$C:$C,"Permanent",Payroll!$A:$A,"IT")</f>
        <v>-3668.4375</v>
      </c>
      <c r="X86" s="60">
        <f>SUMIFS(Payroll!N:N,Payroll!$C:$C,"Permanent",Payroll!$A:$A,"IT")</f>
        <v>-3668.4375</v>
      </c>
      <c r="Y86" s="60">
        <f>SUMIFS(Payroll!O:O,Payroll!$C:$C,"Permanent",Payroll!$A:$A,"IT")</f>
        <v>-3668.4375</v>
      </c>
      <c r="Z86" s="60">
        <f>SUMIFS(Payroll!P:P,Payroll!$C:$C,"Permanent",Payroll!$A:$A,"IT")</f>
        <v>-3668.4375</v>
      </c>
      <c r="AA86" s="60">
        <f>SUMIFS(Payroll!Q:Q,Payroll!$C:$C,"Permanent",Payroll!$A:$A,"IT")</f>
        <v>-3668.4375</v>
      </c>
      <c r="AB86" s="60">
        <f>SUMIFS(Payroll!R:R,Payroll!$C:$C,"Permanent",Payroll!$A:$A,"IT")</f>
        <v>-3668.4375</v>
      </c>
      <c r="AC86" s="60">
        <f>SUMIFS(Payroll!S:S,Payroll!$C:$C,"Permanent",Payroll!$A:$A,"IT")</f>
        <v>-3668.4375</v>
      </c>
      <c r="AD86" s="60">
        <f>SUMIFS(Payroll!T:T,Payroll!$C:$C,"Permanent",Payroll!$A:$A,"IT")</f>
        <v>-3668.4375</v>
      </c>
      <c r="AE86" s="60"/>
      <c r="AF86" s="61">
        <f>SUM(S86:AD86)</f>
        <v>-33783.75</v>
      </c>
      <c r="AH86" s="60">
        <f>SUMIFS(Payroll!U:U,Payroll!$C:$C,"Permanent",Payroll!$A:$A,"IT")</f>
        <v>-3668.4375</v>
      </c>
      <c r="AI86" s="60">
        <f>SUMIFS(Payroll!V:V,Payroll!$C:$C,"Permanent",Payroll!$A:$A,"IT")</f>
        <v>-3668.4375</v>
      </c>
      <c r="AJ86" s="60">
        <f>SUMIFS(Payroll!W:W,Payroll!$C:$C,"Permanent",Payroll!$A:$A,"IT")</f>
        <v>-3668.4375</v>
      </c>
      <c r="AK86" s="60">
        <f>SUMIFS(Payroll!X:X,Payroll!$C:$C,"Permanent",Payroll!$A:$A,"IT")</f>
        <v>-3668.4375</v>
      </c>
      <c r="AL86" s="60">
        <f>SUMIFS(Payroll!Y:Y,Payroll!$C:$C,"Permanent",Payroll!$A:$A,"IT")</f>
        <v>-3668.4375</v>
      </c>
      <c r="AM86" s="60">
        <f>SUMIFS(Payroll!Z:Z,Payroll!$C:$C,"Permanent",Payroll!$A:$A,"IT")</f>
        <v>-3668.4375</v>
      </c>
      <c r="AN86" s="60">
        <f>SUMIFS(Payroll!AA:AA,Payroll!$C:$C,"Permanent",Payroll!$A:$A,"IT")</f>
        <v>-3668.4375</v>
      </c>
      <c r="AO86" s="60">
        <f>SUMIFS(Payroll!AB:AB,Payroll!$C:$C,"Permanent",Payroll!$A:$A,"IT")</f>
        <v>-3668.4375</v>
      </c>
      <c r="AP86" s="60">
        <f>SUMIFS(Payroll!AC:AC,Payroll!$C:$C,"Permanent",Payroll!$A:$A,"IT")</f>
        <v>-3668.4375</v>
      </c>
      <c r="AQ86" s="60">
        <f>SUMIFS(Payroll!AD:AD,Payroll!$C:$C,"Permanent",Payroll!$A:$A,"IT")</f>
        <v>-3668.4375</v>
      </c>
      <c r="AR86" s="60">
        <f>SUMIFS(Payroll!AE:AE,Payroll!$C:$C,"Permanent",Payroll!$A:$A,"IT")</f>
        <v>-3668.4375</v>
      </c>
      <c r="AS86" s="60">
        <f>SUMIFS(Payroll!AF:AF,Payroll!$C:$C,"Permanent",Payroll!$A:$A,"IT")</f>
        <v>-3668.4375</v>
      </c>
      <c r="AT86" s="60"/>
      <c r="AU86" s="61">
        <f>SUM(AH86:AS86)</f>
        <v>-44021.25</v>
      </c>
    </row>
    <row r="87" spans="2:47" outlineLevel="1">
      <c r="B87" s="51" t="s">
        <v>145</v>
      </c>
      <c r="D87" s="59">
        <v>0</v>
      </c>
      <c r="E87" s="59">
        <v>0</v>
      </c>
      <c r="F87" s="59">
        <v>0</v>
      </c>
      <c r="G87" s="59">
        <v>0</v>
      </c>
      <c r="H87" s="59">
        <v>0</v>
      </c>
      <c r="I87" s="59">
        <v>0</v>
      </c>
      <c r="J87" s="59">
        <v>0</v>
      </c>
      <c r="K87" s="59">
        <v>0</v>
      </c>
      <c r="L87" s="59">
        <f>SUMIFS(Payroll!E:E,Payroll!$C:$C,"Freelancer",Payroll!$D:$D,"Italy")</f>
        <v>0</v>
      </c>
      <c r="M87" s="60">
        <f>SUMIFS(Payroll!F:F,Payroll!$C:$C,"Freelancer",Payroll!$D:$D,"Italy")</f>
        <v>0</v>
      </c>
      <c r="N87" s="60">
        <f>SUMIFS(Payroll!G:G,Payroll!$C:$C,"Freelancer",Payroll!$D:$D,"Italy")</f>
        <v>0</v>
      </c>
      <c r="O87" s="60">
        <f>SUMIFS(Payroll!H:H,Payroll!$C:$C,"Freelancer",Payroll!$D:$D,"Italy")</f>
        <v>0</v>
      </c>
      <c r="P87" s="60"/>
      <c r="Q87" s="61">
        <f t="shared" ref="Q87:Q94" si="145">SUM(D87:O87)</f>
        <v>0</v>
      </c>
      <c r="R87" s="61"/>
      <c r="S87" s="60">
        <f>SUMIFS(Payroll!I:I,Payroll!$C:$C,"Freelancer",Payroll!$A:$A,"IT")</f>
        <v>0</v>
      </c>
      <c r="T87" s="60">
        <f>SUMIFS(Payroll!J:J,Payroll!$C:$C,"Freelancer",Payroll!$A:$A,"IT")</f>
        <v>0</v>
      </c>
      <c r="U87" s="60">
        <f>SUMIFS(Payroll!K:K,Payroll!$C:$C,"Freelancer",Payroll!$A:$A,"IT")</f>
        <v>0</v>
      </c>
      <c r="V87" s="60">
        <f>SUMIFS(Payroll!L:L,Payroll!$C:$C,"Freelancer",Payroll!$A:$A,"IT")</f>
        <v>0</v>
      </c>
      <c r="W87" s="60">
        <f>SUMIFS(Payroll!M:M,Payroll!$C:$C,"Freelancer",Payroll!$A:$A,"IT")</f>
        <v>0</v>
      </c>
      <c r="X87" s="60">
        <f>SUMIFS(Payroll!N:N,Payroll!$C:$C,"Freelancer",Payroll!$A:$A,"IT")</f>
        <v>0</v>
      </c>
      <c r="Y87" s="60">
        <f>SUMIFS(Payroll!O:O,Payroll!$C:$C,"Freelancer",Payroll!$A:$A,"IT")</f>
        <v>0</v>
      </c>
      <c r="Z87" s="60">
        <f>SUMIFS(Payroll!P:P,Payroll!$C:$C,"Freelancer",Payroll!$A:$A,"IT")</f>
        <v>0</v>
      </c>
      <c r="AA87" s="60">
        <f>SUMIFS(Payroll!Q:Q,Payroll!$C:$C,"Freelancer",Payroll!$A:$A,"IT")</f>
        <v>0</v>
      </c>
      <c r="AB87" s="60">
        <f>SUMIFS(Payroll!R:R,Payroll!$C:$C,"Freelancer",Payroll!$A:$A,"IT")</f>
        <v>0</v>
      </c>
      <c r="AC87" s="60">
        <f>SUMIFS(Payroll!S:S,Payroll!$C:$C,"Freelancer",Payroll!$A:$A,"IT")</f>
        <v>0</v>
      </c>
      <c r="AD87" s="60">
        <f>SUMIFS(Payroll!T:T,Payroll!$C:$C,"Freelancer",Payroll!$A:$A,"IT")</f>
        <v>0</v>
      </c>
      <c r="AE87" s="60"/>
      <c r="AF87" s="61">
        <f t="shared" ref="AF87:AF94" si="146">SUM(S87:AD87)</f>
        <v>0</v>
      </c>
      <c r="AH87" s="60">
        <f>SUMIFS(Payroll!U:U,Payroll!$C:$C,"Freelancer",Payroll!$A:$A,"IT")</f>
        <v>0</v>
      </c>
      <c r="AI87" s="60">
        <f>SUMIFS(Payroll!V:V,Payroll!$C:$C,"Freelancer",Payroll!$A:$A,"IT")</f>
        <v>0</v>
      </c>
      <c r="AJ87" s="60">
        <f>SUMIFS(Payroll!W:W,Payroll!$C:$C,"Freelancer",Payroll!$A:$A,"IT")</f>
        <v>0</v>
      </c>
      <c r="AK87" s="60">
        <f>SUMIFS(Payroll!X:X,Payroll!$C:$C,"Freelancer",Payroll!$A:$A,"IT")</f>
        <v>0</v>
      </c>
      <c r="AL87" s="60">
        <f>SUMIFS(Payroll!Y:Y,Payroll!$C:$C,"Freelancer",Payroll!$A:$A,"IT")</f>
        <v>0</v>
      </c>
      <c r="AM87" s="60">
        <f>SUMIFS(Payroll!Z:Z,Payroll!$C:$C,"Freelancer",Payroll!$A:$A,"IT")</f>
        <v>0</v>
      </c>
      <c r="AN87" s="60">
        <f>SUMIFS(Payroll!AA:AA,Payroll!$C:$C,"Freelancer",Payroll!$A:$A,"IT")</f>
        <v>0</v>
      </c>
      <c r="AO87" s="60">
        <f>SUMIFS(Payroll!AB:AB,Payroll!$C:$C,"Freelancer",Payroll!$A:$A,"IT")</f>
        <v>0</v>
      </c>
      <c r="AP87" s="60">
        <f>SUMIFS(Payroll!AC:AC,Payroll!$C:$C,"Freelancer",Payroll!$A:$A,"IT")</f>
        <v>0</v>
      </c>
      <c r="AQ87" s="60">
        <f>SUMIFS(Payroll!AD:AD,Payroll!$C:$C,"Freelancer",Payroll!$A:$A,"IT")</f>
        <v>0</v>
      </c>
      <c r="AR87" s="60">
        <f>SUMIFS(Payroll!AE:AE,Payroll!$C:$C,"Freelancer",Payroll!$A:$A,"IT")</f>
        <v>0</v>
      </c>
      <c r="AS87" s="60">
        <f>SUMIFS(Payroll!AF:AF,Payroll!$C:$C,"Freelancer",Payroll!$A:$A,"IT")</f>
        <v>0</v>
      </c>
      <c r="AT87" s="60"/>
      <c r="AU87" s="61">
        <f t="shared" ref="AU87:AU94" si="147">SUM(AH87:AS87)</f>
        <v>0</v>
      </c>
    </row>
    <row r="88" spans="2:47" outlineLevel="1">
      <c r="B88" s="51" t="s">
        <v>146</v>
      </c>
      <c r="D88" s="59">
        <v>-768.52</v>
      </c>
      <c r="E88" s="59">
        <v>-244.86</v>
      </c>
      <c r="F88" s="59">
        <v>-915.54</v>
      </c>
      <c r="G88" s="59">
        <v>-663.29</v>
      </c>
      <c r="H88" s="59">
        <v>-415.94</v>
      </c>
      <c r="I88" s="59">
        <v>-912.21</v>
      </c>
      <c r="J88" s="59">
        <v>-714.59</v>
      </c>
      <c r="K88" s="59">
        <v>-667.01</v>
      </c>
      <c r="L88" s="59">
        <v>-968</v>
      </c>
      <c r="M88" s="60">
        <v>-700</v>
      </c>
      <c r="N88" s="60">
        <v>-700</v>
      </c>
      <c r="O88" s="60">
        <v>-700</v>
      </c>
      <c r="P88" s="60"/>
      <c r="Q88" s="61">
        <f t="shared" si="145"/>
        <v>-8369.9599999999991</v>
      </c>
      <c r="R88" s="61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1">
        <f t="shared" si="146"/>
        <v>0</v>
      </c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1">
        <f t="shared" si="147"/>
        <v>0</v>
      </c>
    </row>
    <row r="89" spans="2:47" outlineLevel="1">
      <c r="B89" s="51" t="s">
        <v>147</v>
      </c>
      <c r="D89" s="59">
        <v>-70.77</v>
      </c>
      <c r="E89" s="59">
        <v>-15.44</v>
      </c>
      <c r="F89" s="59">
        <v>-104.4</v>
      </c>
      <c r="G89" s="59">
        <v>-115.42</v>
      </c>
      <c r="H89" s="59">
        <v>-113.31</v>
      </c>
      <c r="I89" s="59">
        <v>-206.23</v>
      </c>
      <c r="J89" s="59">
        <v>-202.14</v>
      </c>
      <c r="K89" s="59">
        <v>-536.85</v>
      </c>
      <c r="L89" s="59">
        <v>-89</v>
      </c>
      <c r="M89" s="60">
        <v>-500</v>
      </c>
      <c r="N89" s="60">
        <v>-500</v>
      </c>
      <c r="O89" s="60">
        <v>-500</v>
      </c>
      <c r="P89" s="60"/>
      <c r="Q89" s="61">
        <f t="shared" si="145"/>
        <v>-2953.56</v>
      </c>
      <c r="R89" s="61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1">
        <f t="shared" si="146"/>
        <v>0</v>
      </c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1">
        <f t="shared" si="147"/>
        <v>0</v>
      </c>
    </row>
    <row r="90" spans="2:47" outlineLevel="1">
      <c r="B90" s="51" t="s">
        <v>148</v>
      </c>
      <c r="D90" s="59">
        <v>0</v>
      </c>
      <c r="E90" s="59">
        <v>0</v>
      </c>
      <c r="F90" s="59">
        <v>0</v>
      </c>
      <c r="G90" s="59">
        <v>0</v>
      </c>
      <c r="H90" s="59">
        <v>0</v>
      </c>
      <c r="I90" s="59">
        <v>0</v>
      </c>
      <c r="J90" s="59"/>
      <c r="K90" s="59">
        <v>0</v>
      </c>
      <c r="L90" s="59"/>
      <c r="M90" s="60"/>
      <c r="N90" s="60"/>
      <c r="O90" s="60"/>
      <c r="P90" s="60"/>
      <c r="Q90" s="61">
        <f t="shared" si="145"/>
        <v>0</v>
      </c>
      <c r="R90" s="61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1">
        <f t="shared" si="146"/>
        <v>0</v>
      </c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1">
        <f t="shared" si="147"/>
        <v>0</v>
      </c>
    </row>
    <row r="91" spans="2:47" outlineLevel="1">
      <c r="B91" s="51" t="s">
        <v>149</v>
      </c>
      <c r="D91" s="59">
        <v>0</v>
      </c>
      <c r="E91" s="59">
        <v>0</v>
      </c>
      <c r="F91" s="59">
        <v>0</v>
      </c>
      <c r="G91" s="59">
        <v>0</v>
      </c>
      <c r="H91" s="59">
        <v>0</v>
      </c>
      <c r="I91" s="59">
        <v>0</v>
      </c>
      <c r="J91" s="59"/>
      <c r="K91" s="59">
        <v>0</v>
      </c>
      <c r="L91" s="59"/>
      <c r="M91" s="60"/>
      <c r="N91" s="60"/>
      <c r="O91" s="60"/>
      <c r="P91" s="60"/>
      <c r="Q91" s="61">
        <f t="shared" si="145"/>
        <v>0</v>
      </c>
      <c r="R91" s="61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1">
        <f t="shared" si="146"/>
        <v>0</v>
      </c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1">
        <f t="shared" si="147"/>
        <v>0</v>
      </c>
    </row>
    <row r="92" spans="2:47" outlineLevel="1">
      <c r="B92" s="51" t="s">
        <v>150</v>
      </c>
      <c r="D92" s="59">
        <v>0</v>
      </c>
      <c r="E92" s="59">
        <v>0</v>
      </c>
      <c r="F92" s="59">
        <v>0</v>
      </c>
      <c r="G92" s="59">
        <v>0</v>
      </c>
      <c r="H92" s="59">
        <v>0</v>
      </c>
      <c r="I92" s="59">
        <v>0</v>
      </c>
      <c r="J92" s="59"/>
      <c r="K92" s="59"/>
      <c r="L92" s="59"/>
      <c r="M92" s="60"/>
      <c r="N92" s="60"/>
      <c r="O92" s="60"/>
      <c r="P92" s="60"/>
      <c r="Q92" s="61">
        <f t="shared" si="145"/>
        <v>0</v>
      </c>
      <c r="R92" s="61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1">
        <f t="shared" si="146"/>
        <v>0</v>
      </c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1">
        <f t="shared" si="147"/>
        <v>0</v>
      </c>
    </row>
    <row r="93" spans="2:47" outlineLevel="1">
      <c r="B93" s="51" t="s">
        <v>151</v>
      </c>
      <c r="D93" s="59">
        <v>0</v>
      </c>
      <c r="E93" s="59">
        <v>0</v>
      </c>
      <c r="F93" s="59">
        <v>0</v>
      </c>
      <c r="G93" s="59">
        <v>0</v>
      </c>
      <c r="H93" s="59">
        <v>0</v>
      </c>
      <c r="I93" s="59">
        <v>0</v>
      </c>
      <c r="J93" s="59"/>
      <c r="K93" s="59"/>
      <c r="L93" s="59"/>
      <c r="M93" s="60"/>
      <c r="N93" s="60"/>
      <c r="O93" s="60"/>
      <c r="P93" s="60"/>
      <c r="Q93" s="61">
        <f t="shared" si="145"/>
        <v>0</v>
      </c>
      <c r="R93" s="61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1">
        <f t="shared" si="146"/>
        <v>0</v>
      </c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1">
        <f t="shared" si="147"/>
        <v>0</v>
      </c>
    </row>
    <row r="94" spans="2:47" outlineLevel="1">
      <c r="B94" s="51" t="s">
        <v>143</v>
      </c>
      <c r="D94" s="59">
        <v>0</v>
      </c>
      <c r="E94" s="59">
        <v>35</v>
      </c>
      <c r="F94" s="59">
        <v>0</v>
      </c>
      <c r="G94" s="59">
        <v>0</v>
      </c>
      <c r="H94" s="59">
        <v>0</v>
      </c>
      <c r="I94" s="59">
        <v>0</v>
      </c>
      <c r="J94" s="59"/>
      <c r="K94" s="59"/>
      <c r="L94" s="59"/>
      <c r="M94" s="60"/>
      <c r="N94" s="60"/>
      <c r="O94" s="60"/>
      <c r="P94" s="60"/>
      <c r="Q94" s="61">
        <f t="shared" si="145"/>
        <v>35</v>
      </c>
      <c r="R94" s="61"/>
      <c r="S94" s="60">
        <f>SUMIF('OH Matrix'!$A$58:$A$70,"IT",'OH Matrix'!P58:P70)</f>
        <v>-6491.8403774926583</v>
      </c>
      <c r="T94" s="60">
        <f>SUMIF('OH Matrix'!$A$58:$A$70,"IT",'OH Matrix'!Q58:Q70)</f>
        <v>-5800.552872146478</v>
      </c>
      <c r="U94" s="60">
        <f>SUMIF('OH Matrix'!$A$58:$A$70,"IT",'OH Matrix'!R58:R70)</f>
        <v>-5327.5900588631212</v>
      </c>
      <c r="V94" s="60">
        <f>SUMIF('OH Matrix'!$A$58:$A$70,"IT",'OH Matrix'!S58:S70)</f>
        <v>-5791.9573018428291</v>
      </c>
      <c r="W94" s="60">
        <f>SUMIF('OH Matrix'!$A$58:$A$70,"IT",'OH Matrix'!T58:T70)</f>
        <v>-10749.370222718022</v>
      </c>
      <c r="X94" s="60">
        <f>SUMIF('OH Matrix'!$A$58:$A$70,"IT",'OH Matrix'!U58:U70)</f>
        <v>-7050.6448294246293</v>
      </c>
      <c r="Y94" s="60">
        <f>SUMIF('OH Matrix'!$A$58:$A$70,"IT",'OH Matrix'!V58:V70)</f>
        <v>-5877.0613954363844</v>
      </c>
      <c r="Z94" s="60">
        <f>SUMIF('OH Matrix'!$A$58:$A$70,"IT",'OH Matrix'!W58:W70)</f>
        <v>-8247.9743400854786</v>
      </c>
      <c r="AA94" s="60">
        <f>SUMIF('OH Matrix'!$A$58:$A$70,"IT",'OH Matrix'!X58:X70)</f>
        <v>-4190.2856506576945</v>
      </c>
      <c r="AB94" s="60">
        <f>SUMIF('OH Matrix'!$A$58:$A$70,"IT",'OH Matrix'!Y58:Y70)</f>
        <v>-4428.4070206960778</v>
      </c>
      <c r="AC94" s="60">
        <f>SUMIF('OH Matrix'!$A$58:$A$70,"IT",'OH Matrix'!Z58:Z70)</f>
        <v>-4502.1285762420666</v>
      </c>
      <c r="AD94" s="60">
        <f>SUMIF('OH Matrix'!$A$58:$A$70,"IT",'OH Matrix'!AA58:AA70)</f>
        <v>-4222.1755491220811</v>
      </c>
      <c r="AE94" s="60"/>
      <c r="AF94" s="61">
        <f t="shared" si="146"/>
        <v>-72679.988194727528</v>
      </c>
      <c r="AH94" s="60">
        <f>SUMIF('OH Matrix'!$A$58:$A$70,"IT",'OH Matrix'!AD58:AD70)</f>
        <v>-4331.250485214654</v>
      </c>
      <c r="AI94" s="60">
        <f>SUMIF('OH Matrix'!$A$58:$A$70,"IT",'OH Matrix'!AE58:AE70)</f>
        <v>-2723.9837203706179</v>
      </c>
      <c r="AJ94" s="60">
        <f>SUMIF('OH Matrix'!$A$58:$A$70,"IT",'OH Matrix'!AF58:AF70)</f>
        <v>-3118.1075399048618</v>
      </c>
      <c r="AK94" s="60">
        <f>SUMIF('OH Matrix'!$A$58:$A$70,"IT",'OH Matrix'!AG58:AG70)</f>
        <v>-3357.710048286483</v>
      </c>
      <c r="AL94" s="60">
        <f>SUMIF('OH Matrix'!$A$58:$A$70,"IT",'OH Matrix'!AH58:AH70)</f>
        <v>-6292.3730757180392</v>
      </c>
      <c r="AM94" s="60">
        <f>SUMIF('OH Matrix'!$A$58:$A$70,"IT",'OH Matrix'!AI58:AI70)</f>
        <v>-4307.6246759120113</v>
      </c>
      <c r="AN94" s="60">
        <f>SUMIF('OH Matrix'!$A$58:$A$70,"IT",'OH Matrix'!AJ58:AJ70)</f>
        <v>-4029.7301382481919</v>
      </c>
      <c r="AO94" s="60">
        <f>SUMIF('OH Matrix'!$A$58:$A$70,"IT",'OH Matrix'!AK58:AK70)</f>
        <v>-4590.5357348680072</v>
      </c>
      <c r="AP94" s="60">
        <f>SUMIF('OH Matrix'!$A$58:$A$70,"IT",'OH Matrix'!AL58:AL70)</f>
        <v>-2315.6806788613512</v>
      </c>
      <c r="AQ94" s="60">
        <f>SUMIF('OH Matrix'!$A$58:$A$70,"IT",'OH Matrix'!AM58:AM70)</f>
        <v>-2676.6837330209078</v>
      </c>
      <c r="AR94" s="60">
        <f>SUMIF('OH Matrix'!$A$58:$A$70,"IT",'OH Matrix'!AN58:AN70)</f>
        <v>-2251.3277067140334</v>
      </c>
      <c r="AS94" s="60">
        <f>SUMIF('OH Matrix'!$A$58:$A$70,"IT",'OH Matrix'!AO58:AO70)</f>
        <v>-2342.4548296257021</v>
      </c>
      <c r="AT94" s="60"/>
      <c r="AU94" s="61">
        <f t="shared" si="147"/>
        <v>-42337.462366744869</v>
      </c>
    </row>
    <row r="95" spans="2:47" outlineLevel="1">
      <c r="D95" s="53"/>
      <c r="E95" s="53"/>
      <c r="F95" s="53"/>
      <c r="G95" s="53"/>
      <c r="H95" s="53"/>
      <c r="I95" s="53"/>
      <c r="J95" s="53"/>
      <c r="K95" s="53"/>
      <c r="L95" s="53"/>
    </row>
    <row r="96" spans="2:47">
      <c r="B96" s="65" t="s">
        <v>152</v>
      </c>
      <c r="C96" s="61"/>
      <c r="D96" s="64">
        <f t="shared" ref="D96:J96" si="148">SUM(D86:D95)</f>
        <v>-4083.62</v>
      </c>
      <c r="E96" s="64">
        <f t="shared" si="148"/>
        <v>-3500.4700000000003</v>
      </c>
      <c r="F96" s="64">
        <f t="shared" si="148"/>
        <v>-4600.5199999999995</v>
      </c>
      <c r="G96" s="64">
        <f t="shared" si="148"/>
        <v>-4057.73</v>
      </c>
      <c r="H96" s="64">
        <f t="shared" si="148"/>
        <v>-4086.97</v>
      </c>
      <c r="I96" s="64">
        <f t="shared" si="148"/>
        <v>-4521.41</v>
      </c>
      <c r="J96" s="64">
        <f t="shared" si="148"/>
        <v>-4293.87</v>
      </c>
      <c r="K96" s="64">
        <f>SUM(K86:K95)</f>
        <v>-4877.75</v>
      </c>
      <c r="L96" s="64">
        <f>SUM(L86:L95)</f>
        <v>-4901</v>
      </c>
      <c r="M96" s="65">
        <f>SUM(M86:M95)</f>
        <v>-4783.125</v>
      </c>
      <c r="N96" s="65">
        <f>SUM(N86:N95)</f>
        <v>-4783.125</v>
      </c>
      <c r="O96" s="65">
        <f>SUM(O86:O95)</f>
        <v>-4783.125</v>
      </c>
      <c r="P96" s="61"/>
      <c r="Q96" s="65">
        <f>SUM(D96:O96)</f>
        <v>-53272.714999999997</v>
      </c>
      <c r="S96" s="84">
        <f>SUM(S86:S95)</f>
        <v>-6747.7778774926583</v>
      </c>
      <c r="T96" s="84">
        <f t="shared" ref="T96:Z96" si="149">SUM(T86:T95)</f>
        <v>-6056.490372146478</v>
      </c>
      <c r="U96" s="84">
        <f t="shared" si="149"/>
        <v>-5583.5275588631212</v>
      </c>
      <c r="V96" s="84">
        <f t="shared" si="149"/>
        <v>-9460.3948018428291</v>
      </c>
      <c r="W96" s="84">
        <f t="shared" si="149"/>
        <v>-14417.807722718022</v>
      </c>
      <c r="X96" s="84">
        <f t="shared" si="149"/>
        <v>-10719.082329424629</v>
      </c>
      <c r="Y96" s="84">
        <f t="shared" si="149"/>
        <v>-9545.4988954363835</v>
      </c>
      <c r="Z96" s="84">
        <f t="shared" si="149"/>
        <v>-11916.411840085479</v>
      </c>
      <c r="AA96" s="65">
        <f>SUM(AA86:AA95)</f>
        <v>-7858.7231506576945</v>
      </c>
      <c r="AB96" s="65">
        <f>SUM(AB86:AB95)</f>
        <v>-8096.8445206960778</v>
      </c>
      <c r="AC96" s="65">
        <f>SUM(AC86:AC95)</f>
        <v>-8170.5660762420666</v>
      </c>
      <c r="AD96" s="65">
        <f>SUM(AD86:AD95)</f>
        <v>-7890.6130491220811</v>
      </c>
      <c r="AE96" s="61"/>
      <c r="AF96" s="65">
        <f>SUM(S96:AD96)</f>
        <v>-106463.73819472753</v>
      </c>
      <c r="AH96" s="84">
        <f>SUM(AH86:AH95)</f>
        <v>-7999.687985214654</v>
      </c>
      <c r="AI96" s="84">
        <f t="shared" ref="AI96:AO96" si="150">SUM(AI86:AI95)</f>
        <v>-6392.4212203706174</v>
      </c>
      <c r="AJ96" s="84">
        <f t="shared" si="150"/>
        <v>-6786.5450399048623</v>
      </c>
      <c r="AK96" s="84">
        <f t="shared" si="150"/>
        <v>-7026.1475482864826</v>
      </c>
      <c r="AL96" s="84">
        <f t="shared" si="150"/>
        <v>-9960.8105757180383</v>
      </c>
      <c r="AM96" s="84">
        <f t="shared" si="150"/>
        <v>-7976.0621759120113</v>
      </c>
      <c r="AN96" s="84">
        <f t="shared" si="150"/>
        <v>-7698.1676382481919</v>
      </c>
      <c r="AO96" s="84">
        <f t="shared" si="150"/>
        <v>-8258.9732348680081</v>
      </c>
      <c r="AP96" s="65">
        <f>SUM(AP86:AP95)</f>
        <v>-5984.1181788613512</v>
      </c>
      <c r="AQ96" s="65">
        <f>SUM(AQ86:AQ95)</f>
        <v>-6345.1212330209073</v>
      </c>
      <c r="AR96" s="65">
        <f>SUM(AR86:AR95)</f>
        <v>-5919.7652067140334</v>
      </c>
      <c r="AS96" s="65">
        <f>SUM(AS86:AS95)</f>
        <v>-6010.8923296257017</v>
      </c>
      <c r="AT96" s="61"/>
      <c r="AU96" s="65">
        <f>SUM(AH96:AS96)</f>
        <v>-86358.712366744847</v>
      </c>
    </row>
    <row r="97" spans="2:47">
      <c r="D97" s="76"/>
      <c r="E97" s="76"/>
      <c r="F97" s="76"/>
      <c r="G97" s="76"/>
      <c r="H97" s="76"/>
      <c r="I97" s="76"/>
      <c r="J97" s="76"/>
      <c r="K97" s="76"/>
      <c r="L97" s="76"/>
      <c r="M97" s="77"/>
      <c r="N97" s="77"/>
      <c r="O97" s="77"/>
      <c r="Q97" s="91">
        <f>-Q96/Q11</f>
        <v>5.5892098767667743E-2</v>
      </c>
      <c r="S97" s="89"/>
      <c r="T97" s="89"/>
      <c r="U97" s="89"/>
      <c r="V97" s="89"/>
      <c r="W97" s="89"/>
      <c r="X97" s="77"/>
      <c r="Y97" s="77"/>
      <c r="Z97" s="77"/>
      <c r="AA97" s="77"/>
      <c r="AB97" s="77"/>
      <c r="AC97" s="77"/>
      <c r="AD97" s="77"/>
      <c r="AF97" s="91">
        <f ca="1">-AF96/AF11</f>
        <v>7.7835199360676566E-2</v>
      </c>
      <c r="AH97" s="89"/>
      <c r="AI97" s="89"/>
      <c r="AJ97" s="89"/>
      <c r="AK97" s="89"/>
      <c r="AL97" s="89"/>
      <c r="AM97" s="77"/>
      <c r="AN97" s="77"/>
      <c r="AO97" s="77"/>
      <c r="AP97" s="77"/>
      <c r="AQ97" s="77"/>
      <c r="AR97" s="77"/>
      <c r="AS97" s="77"/>
      <c r="AU97" s="91">
        <f ca="1">-AU96/AU11</f>
        <v>4.3044227211776039E-2</v>
      </c>
    </row>
    <row r="98" spans="2:47">
      <c r="B98" s="52" t="s">
        <v>153</v>
      </c>
      <c r="C98" s="52"/>
      <c r="D98" s="78">
        <f>D76+D96</f>
        <v>25452.420000000002</v>
      </c>
      <c r="E98" s="78">
        <f t="shared" ref="E98:J98" si="151">E76+E96</f>
        <v>9404.3499999999985</v>
      </c>
      <c r="F98" s="78">
        <f t="shared" si="151"/>
        <v>-649.07000000000608</v>
      </c>
      <c r="G98" s="78">
        <f t="shared" si="151"/>
        <v>40453.54</v>
      </c>
      <c r="H98" s="78">
        <f t="shared" si="151"/>
        <v>25804.480000000003</v>
      </c>
      <c r="I98" s="78">
        <f t="shared" si="151"/>
        <v>22978.479999999996</v>
      </c>
      <c r="J98" s="78">
        <f t="shared" si="151"/>
        <v>3444.7799999999907</v>
      </c>
      <c r="K98" s="78">
        <f>K76+K96</f>
        <v>14038.220000000001</v>
      </c>
      <c r="L98" s="78">
        <f>L76+L96</f>
        <v>35855</v>
      </c>
      <c r="M98" s="61">
        <f t="shared" ref="M98:N98" si="152">M76+M96</f>
        <v>48917.875</v>
      </c>
      <c r="N98" s="61">
        <f t="shared" si="152"/>
        <v>11197.875</v>
      </c>
      <c r="O98" s="61">
        <f>O76+O96</f>
        <v>36878.875</v>
      </c>
      <c r="P98" s="61"/>
      <c r="Q98" s="79">
        <f>Q76+Q96</f>
        <v>273776.82499999995</v>
      </c>
      <c r="S98" s="61">
        <f t="shared" ref="S98:AD98" ca="1" si="153">S76+S96</f>
        <v>23505.633038500546</v>
      </c>
      <c r="T98" s="61">
        <f t="shared" ca="1" si="153"/>
        <v>36336.487576451225</v>
      </c>
      <c r="U98" s="61">
        <f t="shared" ca="1" si="153"/>
        <v>28027.362334397985</v>
      </c>
      <c r="V98" s="61">
        <f t="shared" ca="1" si="153"/>
        <v>18427.241604366347</v>
      </c>
      <c r="W98" s="61">
        <f t="shared" ca="1" si="153"/>
        <v>31230.461432536333</v>
      </c>
      <c r="X98" s="61">
        <f t="shared" ca="1" si="153"/>
        <v>16203.940183910498</v>
      </c>
      <c r="Y98" s="61">
        <f t="shared" ca="1" si="153"/>
        <v>9769.0325294485883</v>
      </c>
      <c r="Z98" s="61">
        <f t="shared" ca="1" si="153"/>
        <v>42022.766227851469</v>
      </c>
      <c r="AA98" s="61">
        <f t="shared" ca="1" si="153"/>
        <v>31447.184858813285</v>
      </c>
      <c r="AB98" s="61">
        <f t="shared" ca="1" si="153"/>
        <v>48556.326005260955</v>
      </c>
      <c r="AC98" s="61">
        <f t="shared" ca="1" si="153"/>
        <v>21190.80212230335</v>
      </c>
      <c r="AD98" s="61">
        <f t="shared" ca="1" si="153"/>
        <v>40038.185640501222</v>
      </c>
      <c r="AE98" s="61"/>
      <c r="AF98" s="79">
        <f ca="1">AF76+AF96</f>
        <v>346755.4235543416</v>
      </c>
      <c r="AH98" s="61">
        <f t="shared" ref="AH98:AS98" ca="1" si="154">AH76+AH96</f>
        <v>49059.775869807352</v>
      </c>
      <c r="AI98" s="61">
        <f t="shared" ca="1" si="154"/>
        <v>50917.271436158022</v>
      </c>
      <c r="AJ98" s="61">
        <f t="shared" ca="1" si="154"/>
        <v>43088.765053713105</v>
      </c>
      <c r="AK98" s="61">
        <f t="shared" ca="1" si="154"/>
        <v>39953.67486445306</v>
      </c>
      <c r="AL98" s="61">
        <f t="shared" ca="1" si="154"/>
        <v>56081.533436066871</v>
      </c>
      <c r="AM98" s="61">
        <f t="shared" ca="1" si="154"/>
        <v>50694.129191612563</v>
      </c>
      <c r="AN98" s="61">
        <f t="shared" ca="1" si="154"/>
        <v>33184.410247844673</v>
      </c>
      <c r="AO98" s="61">
        <f t="shared" ca="1" si="154"/>
        <v>72517.599165501117</v>
      </c>
      <c r="AP98" s="61">
        <f t="shared" ca="1" si="154"/>
        <v>60823.069425398171</v>
      </c>
      <c r="AQ98" s="61">
        <f t="shared" ca="1" si="154"/>
        <v>73553.399274407508</v>
      </c>
      <c r="AR98" s="61">
        <f t="shared" ca="1" si="154"/>
        <v>41173.902472424816</v>
      </c>
      <c r="AS98" s="61">
        <f t="shared" ca="1" si="154"/>
        <v>60573.97313851981</v>
      </c>
      <c r="AT98" s="61"/>
      <c r="AU98" s="79">
        <f ca="1">AU76+AU96</f>
        <v>631621.50357590686</v>
      </c>
    </row>
    <row r="99" spans="2:47">
      <c r="B99" s="72" t="s">
        <v>186</v>
      </c>
      <c r="C99" s="73"/>
      <c r="D99" s="97">
        <f>IFERROR(D98/D11,0)</f>
        <v>0.40114560705369151</v>
      </c>
      <c r="E99" s="97">
        <f t="shared" ref="E99:K99" si="155">IFERROR(E98/E11,0)</f>
        <v>0.1843339966941073</v>
      </c>
      <c r="F99" s="97">
        <f t="shared" si="155"/>
        <v>-1.931769175800924E-2</v>
      </c>
      <c r="G99" s="97">
        <f t="shared" si="155"/>
        <v>0.39003153145856906</v>
      </c>
      <c r="H99" s="97">
        <f t="shared" si="155"/>
        <v>0.28312609102569308</v>
      </c>
      <c r="I99" s="97">
        <f t="shared" si="155"/>
        <v>0.24975406075555273</v>
      </c>
      <c r="J99" s="97">
        <f t="shared" si="155"/>
        <v>5.6635479815354751E-2</v>
      </c>
      <c r="K99" s="97">
        <f t="shared" si="155"/>
        <v>0.22928969003093846</v>
      </c>
      <c r="L99" s="97">
        <f>IFERROR(L98/L11,0)</f>
        <v>0.35152994695922429</v>
      </c>
      <c r="M99" s="194">
        <f t="shared" ref="M99:Q99" si="156">IFERROR(M98/M11,0)</f>
        <v>0.35288171600877194</v>
      </c>
      <c r="N99" s="194">
        <f t="shared" si="156"/>
        <v>0.21989386144057813</v>
      </c>
      <c r="O99" s="194">
        <f t="shared" si="156"/>
        <v>0.35253680336487908</v>
      </c>
      <c r="P99" s="91"/>
      <c r="Q99" s="194">
        <f t="shared" si="156"/>
        <v>0.28723824838284451</v>
      </c>
      <c r="S99" s="194">
        <f t="shared" ref="S99" ca="1" si="157">IFERROR(S98/S11,0)</f>
        <v>0.24261236992055912</v>
      </c>
      <c r="T99" s="194">
        <f t="shared" ref="T99" ca="1" si="158">IFERROR(T98/T11,0)</f>
        <v>0.29090503050772726</v>
      </c>
      <c r="U99" s="194">
        <f t="shared" ref="U99" ca="1" si="159">IFERROR(U98/U11,0)</f>
        <v>0.27823636942593327</v>
      </c>
      <c r="V99" s="194">
        <f t="shared" ref="V99" ca="1" si="160">IFERROR(V98/V11,0)</f>
        <v>0.20747927307138833</v>
      </c>
      <c r="W99" s="194">
        <f t="shared" ref="W99" ca="1" si="161">IFERROR(W98/W11,0)</f>
        <v>0.27697907443463265</v>
      </c>
      <c r="X99" s="194">
        <f t="shared" ref="X99" ca="1" si="162">IFERROR(X98/X11,0)</f>
        <v>0.12667770117549418</v>
      </c>
      <c r="Y99" s="194">
        <f t="shared" ref="Y99" ca="1" si="163">IFERROR(Y98/Y11,0)</f>
        <v>0.12259323411388372</v>
      </c>
      <c r="Z99" s="194">
        <f t="shared" ref="Z99" ca="1" si="164">IFERROR(Z98/Z11,0)</f>
        <v>0.29778932117204471</v>
      </c>
      <c r="AA99" s="194">
        <f t="shared" ref="AA99" ca="1" si="165">IFERROR(AA98/AA11,0)</f>
        <v>0.22609587279650303</v>
      </c>
      <c r="AB99" s="194">
        <f t="shared" ref="AB99" ca="1" si="166">IFERROR(AB98/AB11,0)</f>
        <v>0.305008682142757</v>
      </c>
      <c r="AC99" s="194">
        <f t="shared" ref="AC99" ca="1" si="167">IFERROR(AC98/AC11,0)</f>
        <v>0.25279519322145627</v>
      </c>
      <c r="AD99" s="194">
        <f t="shared" ref="AD99" ca="1" si="168">IFERROR(AD98/AD11,0)</f>
        <v>0.35467358199493421</v>
      </c>
      <c r="AE99" s="91"/>
      <c r="AF99" s="194">
        <f t="shared" ref="AF99" ca="1" si="169">IFERROR(AF98/AF11,0)</f>
        <v>0.25351145826180138</v>
      </c>
      <c r="AH99" s="194">
        <f t="shared" ref="AH99" ca="1" si="170">IFERROR(AH98/AH11,0)</f>
        <v>0.34471941834029501</v>
      </c>
      <c r="AI99" s="194">
        <f t="shared" ref="AI99" ca="1" si="171">IFERROR(AI98/AI11,0)</f>
        <v>0.30653687561111725</v>
      </c>
      <c r="AJ99" s="194">
        <f t="shared" ref="AJ99" ca="1" si="172">IFERROR(AJ98/AJ11,0)</f>
        <v>0.30247486179249655</v>
      </c>
      <c r="AK99" s="194">
        <f t="shared" ref="AK99" ca="1" si="173">IFERROR(AK98/AK11,0)</f>
        <v>0.29584206838835858</v>
      </c>
      <c r="AL99" s="194">
        <f t="shared" ref="AL99" ca="1" si="174">IFERROR(AL98/AL11,0)</f>
        <v>0.35993829607038458</v>
      </c>
      <c r="AM99" s="194">
        <f t="shared" ref="AM99" ca="1" si="175">IFERROR(AM98/AM11,0)</f>
        <v>0.22163813703838098</v>
      </c>
      <c r="AN99" s="194">
        <f t="shared" ref="AN99" ca="1" si="176">IFERROR(AN98/AN11,0)</f>
        <v>0.27728295075964038</v>
      </c>
      <c r="AO99" s="194">
        <f t="shared" ref="AO99" ca="1" si="177">IFERROR(AO98/AO11,0)</f>
        <v>0.36232018249794895</v>
      </c>
      <c r="AP99" s="194">
        <f t="shared" ref="AP99" ca="1" si="178">IFERROR(AP98/AP11,0)</f>
        <v>0.2823925501279293</v>
      </c>
      <c r="AQ99" s="194">
        <f t="shared" ref="AQ99" ca="1" si="179">IFERROR(AQ98/AQ11,0)</f>
        <v>0.32712879763857633</v>
      </c>
      <c r="AR99" s="194">
        <f t="shared" ref="AR99" ca="1" si="180">IFERROR(AR98/AR11,0)</f>
        <v>0.34871008614027299</v>
      </c>
      <c r="AS99" s="194">
        <f t="shared" ref="AS99" ca="1" si="181">IFERROR(AS98/AS11,0)</f>
        <v>0.38413928717245749</v>
      </c>
      <c r="AT99" s="91"/>
      <c r="AU99" s="194">
        <f t="shared" ref="AU99" ca="1" si="182">IFERROR(AU98/AU11,0)</f>
        <v>0.31482242806383498</v>
      </c>
    </row>
  </sheetData>
  <mergeCells count="2">
    <mergeCell ref="S1:AF1"/>
    <mergeCell ref="AH1:AU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9968E-9BC9-432A-B3FA-97D699079565}">
  <sheetPr codeName="Sheet15">
    <tabColor theme="4" tint="0.39997558519241921"/>
  </sheetPr>
  <dimension ref="A1:AW101"/>
  <sheetViews>
    <sheetView showGridLines="0" zoomScale="142" zoomScaleNormal="100" workbookViewId="0">
      <pane xSplit="2" ySplit="5" topLeftCell="S6" activePane="bottomRight" state="frozen"/>
      <selection pane="topRight"/>
      <selection pane="bottomLeft"/>
      <selection pane="bottomRight" activeCell="AG7" sqref="AG7"/>
    </sheetView>
  </sheetViews>
  <sheetFormatPr baseColWidth="10" defaultColWidth="8.5" defaultRowHeight="11" outlineLevelRow="2" outlineLevelCol="1"/>
  <cols>
    <col min="1" max="1" width="9.5" style="51" customWidth="1"/>
    <col min="2" max="2" width="22.5" style="51" bestFit="1" customWidth="1"/>
    <col min="3" max="3" width="5" style="51" customWidth="1"/>
    <col min="4" max="4" width="8.5" style="7" customWidth="1" outlineLevel="1"/>
    <col min="5" max="5" width="9.1640625" style="7" customWidth="1" outlineLevel="1"/>
    <col min="6" max="6" width="8.5" style="7" customWidth="1" outlineLevel="1"/>
    <col min="7" max="7" width="9.1640625" style="7" customWidth="1" outlineLevel="1"/>
    <col min="8" max="8" width="8.5" style="7" customWidth="1" outlineLevel="1"/>
    <col min="9" max="11" width="8.83203125" style="51" customWidth="1" outlineLevel="1"/>
    <col min="12" max="12" width="9.5" style="51" bestFit="1" customWidth="1"/>
    <col min="13" max="15" width="8.83203125" style="51" bestFit="1" customWidth="1"/>
    <col min="16" max="16" width="3.1640625" style="51" customWidth="1"/>
    <col min="17" max="17" width="9.5" style="52" bestFit="1" customWidth="1"/>
    <col min="18" max="18" width="11.1640625" style="51" bestFit="1" customWidth="1"/>
    <col min="19" max="19" width="8.5" style="7"/>
    <col min="20" max="22" width="8.83203125" style="7" bestFit="1" customWidth="1"/>
    <col min="23" max="23" width="9.1640625" style="7" bestFit="1" customWidth="1"/>
    <col min="24" max="30" width="8.83203125" style="51" bestFit="1" customWidth="1"/>
    <col min="31" max="31" width="3.1640625" style="51" customWidth="1"/>
    <col min="32" max="32" width="9.5" style="52" bestFit="1" customWidth="1"/>
    <col min="33" max="33" width="11" style="7" bestFit="1" customWidth="1"/>
    <col min="34" max="35" width="8.83203125" style="7" bestFit="1" customWidth="1"/>
    <col min="36" max="36" width="8.5" style="7"/>
    <col min="37" max="37" width="8.83203125" style="7" bestFit="1" customWidth="1"/>
    <col min="38" max="38" width="9.1640625" style="7" bestFit="1" customWidth="1"/>
    <col min="39" max="45" width="8.83203125" style="51" bestFit="1" customWidth="1"/>
    <col min="46" max="46" width="3.1640625" style="51" customWidth="1"/>
    <col min="47" max="47" width="9.5" style="52" bestFit="1" customWidth="1"/>
    <col min="48" max="48" width="8.5" style="7"/>
    <col min="49" max="49" width="12.5" style="7" bestFit="1" customWidth="1"/>
    <col min="50" max="16384" width="8.5" style="7"/>
  </cols>
  <sheetData>
    <row r="1" spans="1:49" hidden="1">
      <c r="S1" s="83">
        <f>S8*$C$17</f>
        <v>-2700</v>
      </c>
      <c r="T1" s="83">
        <f t="shared" ref="T1:AD1" si="0">T8*$C$17</f>
        <v>0</v>
      </c>
      <c r="U1" s="83">
        <f t="shared" si="0"/>
        <v>0</v>
      </c>
      <c r="V1" s="83">
        <f t="shared" si="0"/>
        <v>-2700</v>
      </c>
      <c r="W1" s="83">
        <f t="shared" si="0"/>
        <v>0</v>
      </c>
      <c r="X1" s="83">
        <f t="shared" si="0"/>
        <v>-2700</v>
      </c>
      <c r="Y1" s="83">
        <f t="shared" si="0"/>
        <v>0</v>
      </c>
      <c r="Z1" s="83">
        <f t="shared" si="0"/>
        <v>0</v>
      </c>
      <c r="AA1" s="83">
        <f t="shared" si="0"/>
        <v>-8100.0000000000009</v>
      </c>
      <c r="AB1" s="83">
        <f t="shared" si="0"/>
        <v>-5400</v>
      </c>
      <c r="AC1" s="83">
        <f t="shared" si="0"/>
        <v>0</v>
      </c>
      <c r="AD1" s="83">
        <f t="shared" si="0"/>
        <v>-2700</v>
      </c>
      <c r="AF1" s="61">
        <f>SUM(S1:AD1)</f>
        <v>-24300</v>
      </c>
      <c r="AH1" s="83">
        <f>AH8*$C$17</f>
        <v>-2835</v>
      </c>
      <c r="AI1" s="83">
        <f t="shared" ref="AI1:AS1" si="1">AI8*$C$17</f>
        <v>0</v>
      </c>
      <c r="AJ1" s="83">
        <f t="shared" si="1"/>
        <v>0</v>
      </c>
      <c r="AK1" s="83">
        <f t="shared" si="1"/>
        <v>-2835</v>
      </c>
      <c r="AL1" s="83">
        <f t="shared" si="1"/>
        <v>0</v>
      </c>
      <c r="AM1" s="83">
        <f t="shared" si="1"/>
        <v>-2835</v>
      </c>
      <c r="AN1" s="83">
        <f t="shared" si="1"/>
        <v>0</v>
      </c>
      <c r="AO1" s="83">
        <f t="shared" si="1"/>
        <v>0</v>
      </c>
      <c r="AP1" s="83">
        <f t="shared" si="1"/>
        <v>-8505</v>
      </c>
      <c r="AQ1" s="83">
        <f t="shared" si="1"/>
        <v>-5670</v>
      </c>
      <c r="AR1" s="83">
        <f t="shared" si="1"/>
        <v>0</v>
      </c>
      <c r="AS1" s="83">
        <f t="shared" si="1"/>
        <v>-2835</v>
      </c>
      <c r="AU1" s="61">
        <f>SUM(AH1:AS1)</f>
        <v>-25515</v>
      </c>
    </row>
    <row r="2" spans="1:49" ht="16">
      <c r="B2" s="143" t="s">
        <v>202</v>
      </c>
      <c r="D2" s="399" t="s">
        <v>174</v>
      </c>
      <c r="E2" s="399"/>
      <c r="F2" s="399"/>
      <c r="G2" s="399"/>
      <c r="H2" s="399"/>
      <c r="I2" s="399"/>
      <c r="J2" s="399"/>
      <c r="K2" s="399"/>
      <c r="L2" s="399"/>
      <c r="M2" s="399"/>
      <c r="N2" s="399"/>
      <c r="O2" s="399"/>
      <c r="P2" s="399"/>
      <c r="Q2" s="399"/>
      <c r="S2" s="546" t="s">
        <v>75</v>
      </c>
      <c r="T2" s="546"/>
      <c r="U2" s="546"/>
      <c r="V2" s="546"/>
      <c r="W2" s="546"/>
      <c r="X2" s="546"/>
      <c r="Y2" s="546"/>
      <c r="Z2" s="546"/>
      <c r="AA2" s="546"/>
      <c r="AB2" s="546"/>
      <c r="AC2" s="546"/>
      <c r="AD2" s="546"/>
      <c r="AE2" s="546"/>
      <c r="AF2" s="546"/>
      <c r="AH2" s="546" t="s">
        <v>81</v>
      </c>
      <c r="AI2" s="546"/>
      <c r="AJ2" s="546"/>
      <c r="AK2" s="546"/>
      <c r="AL2" s="546"/>
      <c r="AM2" s="546"/>
      <c r="AN2" s="546"/>
      <c r="AO2" s="546"/>
      <c r="AP2" s="546"/>
      <c r="AQ2" s="546"/>
      <c r="AR2" s="546"/>
      <c r="AS2" s="546"/>
      <c r="AT2" s="546"/>
      <c r="AU2" s="546"/>
    </row>
    <row r="3" spans="1:49">
      <c r="B3" s="52"/>
      <c r="D3" s="54" t="s">
        <v>175</v>
      </c>
      <c r="E3" s="54" t="s">
        <v>175</v>
      </c>
      <c r="F3" s="54" t="s">
        <v>175</v>
      </c>
      <c r="G3" s="54" t="s">
        <v>176</v>
      </c>
      <c r="H3" s="54" t="s">
        <v>176</v>
      </c>
      <c r="I3" s="54" t="s">
        <v>176</v>
      </c>
      <c r="J3" s="54" t="s">
        <v>177</v>
      </c>
      <c r="K3" s="54" t="s">
        <v>177</v>
      </c>
      <c r="L3" s="54" t="s">
        <v>177</v>
      </c>
      <c r="M3" s="55" t="s">
        <v>178</v>
      </c>
      <c r="N3" s="55" t="s">
        <v>178</v>
      </c>
      <c r="O3" s="55" t="s">
        <v>178</v>
      </c>
      <c r="S3" s="80" t="s">
        <v>175</v>
      </c>
      <c r="T3" s="80" t="s">
        <v>175</v>
      </c>
      <c r="U3" s="80" t="s">
        <v>175</v>
      </c>
      <c r="V3" s="80" t="s">
        <v>176</v>
      </c>
      <c r="W3" s="80" t="s">
        <v>176</v>
      </c>
      <c r="X3" s="55" t="s">
        <v>176</v>
      </c>
      <c r="Y3" s="55" t="s">
        <v>177</v>
      </c>
      <c r="Z3" s="55" t="s">
        <v>177</v>
      </c>
      <c r="AA3" s="55" t="s">
        <v>177</v>
      </c>
      <c r="AB3" s="55" t="s">
        <v>178</v>
      </c>
      <c r="AC3" s="55" t="s">
        <v>178</v>
      </c>
      <c r="AD3" s="55" t="s">
        <v>178</v>
      </c>
      <c r="AH3" s="80" t="s">
        <v>175</v>
      </c>
      <c r="AI3" s="80" t="s">
        <v>175</v>
      </c>
      <c r="AJ3" s="80" t="s">
        <v>175</v>
      </c>
      <c r="AK3" s="80" t="s">
        <v>176</v>
      </c>
      <c r="AL3" s="80" t="s">
        <v>176</v>
      </c>
      <c r="AM3" s="55" t="s">
        <v>176</v>
      </c>
      <c r="AN3" s="55" t="s">
        <v>177</v>
      </c>
      <c r="AO3" s="55" t="s">
        <v>177</v>
      </c>
      <c r="AP3" s="55" t="s">
        <v>177</v>
      </c>
      <c r="AQ3" s="55" t="s">
        <v>178</v>
      </c>
      <c r="AR3" s="55" t="s">
        <v>178</v>
      </c>
      <c r="AS3" s="55" t="s">
        <v>178</v>
      </c>
    </row>
    <row r="4" spans="1:49">
      <c r="D4" s="56">
        <v>45716</v>
      </c>
      <c r="E4" s="56">
        <v>45747</v>
      </c>
      <c r="F4" s="56">
        <v>45777</v>
      </c>
      <c r="G4" s="56">
        <v>45808</v>
      </c>
      <c r="H4" s="56">
        <v>45838</v>
      </c>
      <c r="I4" s="56">
        <f t="shared" ref="I4:O4" si="2">EOMONTH(H4,1)</f>
        <v>45869</v>
      </c>
      <c r="J4" s="56">
        <f t="shared" si="2"/>
        <v>45900</v>
      </c>
      <c r="K4" s="56">
        <f t="shared" si="2"/>
        <v>45930</v>
      </c>
      <c r="L4" s="56">
        <f t="shared" si="2"/>
        <v>45961</v>
      </c>
      <c r="M4" s="57">
        <f t="shared" si="2"/>
        <v>45991</v>
      </c>
      <c r="N4" s="57">
        <f t="shared" si="2"/>
        <v>46022</v>
      </c>
      <c r="O4" s="57">
        <f t="shared" si="2"/>
        <v>46053</v>
      </c>
      <c r="P4" s="57"/>
      <c r="Q4" s="55" t="s">
        <v>174</v>
      </c>
      <c r="S4" s="81">
        <v>46081</v>
      </c>
      <c r="T4" s="81">
        <f>EOMONTH(S4,1)</f>
        <v>46112</v>
      </c>
      <c r="U4" s="81">
        <f>EOMONTH(T4,1)</f>
        <v>46142</v>
      </c>
      <c r="V4" s="81">
        <f>EOMONTH(U4,1)</f>
        <v>46173</v>
      </c>
      <c r="W4" s="81">
        <f>EOMONTH(V4,1)</f>
        <v>46203</v>
      </c>
      <c r="X4" s="57">
        <f t="shared" ref="X4:AD4" si="3">EOMONTH(W4,1)</f>
        <v>46234</v>
      </c>
      <c r="Y4" s="57">
        <f t="shared" si="3"/>
        <v>46265</v>
      </c>
      <c r="Z4" s="57">
        <f t="shared" si="3"/>
        <v>46295</v>
      </c>
      <c r="AA4" s="57">
        <f t="shared" si="3"/>
        <v>46326</v>
      </c>
      <c r="AB4" s="57">
        <f t="shared" si="3"/>
        <v>46356</v>
      </c>
      <c r="AC4" s="57">
        <f t="shared" si="3"/>
        <v>46387</v>
      </c>
      <c r="AD4" s="57">
        <f t="shared" si="3"/>
        <v>46418</v>
      </c>
      <c r="AE4" s="57"/>
      <c r="AF4" s="55" t="s">
        <v>75</v>
      </c>
      <c r="AH4" s="81">
        <v>46446</v>
      </c>
      <c r="AI4" s="81">
        <f>EOMONTH(AH4,1)</f>
        <v>46477</v>
      </c>
      <c r="AJ4" s="81">
        <f>EOMONTH(AI4,1)</f>
        <v>46507</v>
      </c>
      <c r="AK4" s="81">
        <f>EOMONTH(AJ4,1)</f>
        <v>46538</v>
      </c>
      <c r="AL4" s="81">
        <f>EOMONTH(AK4,1)</f>
        <v>46568</v>
      </c>
      <c r="AM4" s="57">
        <f t="shared" ref="AM4:AS4" si="4">EOMONTH(AL4,1)</f>
        <v>46599</v>
      </c>
      <c r="AN4" s="57">
        <f t="shared" si="4"/>
        <v>46630</v>
      </c>
      <c r="AO4" s="57">
        <f t="shared" si="4"/>
        <v>46660</v>
      </c>
      <c r="AP4" s="57">
        <f t="shared" si="4"/>
        <v>46691</v>
      </c>
      <c r="AQ4" s="57">
        <f t="shared" si="4"/>
        <v>46721</v>
      </c>
      <c r="AR4" s="57">
        <f t="shared" si="4"/>
        <v>46752</v>
      </c>
      <c r="AS4" s="57">
        <f t="shared" si="4"/>
        <v>46783</v>
      </c>
      <c r="AT4" s="57"/>
      <c r="AU4" s="55" t="s">
        <v>81</v>
      </c>
    </row>
    <row r="5" spans="1:49">
      <c r="B5" s="58" t="s">
        <v>82</v>
      </c>
      <c r="D5" s="46" t="s">
        <v>180</v>
      </c>
      <c r="E5" s="46" t="s">
        <v>180</v>
      </c>
      <c r="F5" s="46" t="s">
        <v>180</v>
      </c>
      <c r="G5" s="46" t="s">
        <v>180</v>
      </c>
      <c r="H5" s="46" t="s">
        <v>180</v>
      </c>
      <c r="I5" s="46" t="s">
        <v>180</v>
      </c>
      <c r="J5" s="46" t="s">
        <v>180</v>
      </c>
      <c r="K5" s="46" t="s">
        <v>180</v>
      </c>
      <c r="L5" s="46" t="s">
        <v>180</v>
      </c>
      <c r="M5" s="48" t="s">
        <v>42</v>
      </c>
      <c r="N5" s="48" t="s">
        <v>42</v>
      </c>
      <c r="O5" s="48" t="s">
        <v>42</v>
      </c>
      <c r="S5" s="82" t="s">
        <v>42</v>
      </c>
      <c r="T5" s="82" t="s">
        <v>42</v>
      </c>
      <c r="U5" s="82" t="s">
        <v>42</v>
      </c>
      <c r="V5" s="82" t="s">
        <v>42</v>
      </c>
      <c r="W5" s="82" t="s">
        <v>42</v>
      </c>
      <c r="X5" s="48" t="s">
        <v>42</v>
      </c>
      <c r="Y5" s="48" t="s">
        <v>42</v>
      </c>
      <c r="Z5" s="48" t="s">
        <v>42</v>
      </c>
      <c r="AA5" s="48" t="s">
        <v>42</v>
      </c>
      <c r="AB5" s="48" t="s">
        <v>42</v>
      </c>
      <c r="AC5" s="48" t="s">
        <v>42</v>
      </c>
      <c r="AD5" s="48" t="s">
        <v>42</v>
      </c>
      <c r="AH5" s="82" t="s">
        <v>42</v>
      </c>
      <c r="AI5" s="82" t="s">
        <v>42</v>
      </c>
      <c r="AJ5" s="82" t="s">
        <v>42</v>
      </c>
      <c r="AK5" s="82" t="s">
        <v>42</v>
      </c>
      <c r="AL5" s="82" t="s">
        <v>42</v>
      </c>
      <c r="AM5" s="48" t="s">
        <v>42</v>
      </c>
      <c r="AN5" s="48" t="s">
        <v>42</v>
      </c>
      <c r="AO5" s="48" t="s">
        <v>42</v>
      </c>
      <c r="AP5" s="48" t="s">
        <v>42</v>
      </c>
      <c r="AQ5" s="48" t="s">
        <v>42</v>
      </c>
      <c r="AR5" s="48" t="s">
        <v>42</v>
      </c>
      <c r="AS5" s="48" t="s">
        <v>42</v>
      </c>
    </row>
    <row r="6" spans="1:49">
      <c r="D6" s="53"/>
      <c r="E6" s="53"/>
      <c r="F6" s="53"/>
      <c r="G6" s="53"/>
      <c r="H6" s="53"/>
      <c r="I6" s="53"/>
      <c r="J6" s="53"/>
      <c r="K6" s="53"/>
      <c r="L6" s="53"/>
    </row>
    <row r="7" spans="1:49">
      <c r="B7" s="51" t="s">
        <v>83</v>
      </c>
      <c r="D7" s="59">
        <v>18300.37</v>
      </c>
      <c r="E7" s="59">
        <v>79734.97</v>
      </c>
      <c r="F7" s="59">
        <v>57574.45</v>
      </c>
      <c r="G7" s="59">
        <v>20168.88</v>
      </c>
      <c r="H7" s="59">
        <v>23039.16</v>
      </c>
      <c r="I7" s="59">
        <v>71706.22</v>
      </c>
      <c r="J7" s="59">
        <v>81863.23</v>
      </c>
      <c r="K7" s="59">
        <v>20309.099999999999</v>
      </c>
      <c r="L7" s="59">
        <v>135011</v>
      </c>
      <c r="M7" s="60">
        <v>130000</v>
      </c>
      <c r="N7" s="60">
        <v>44000</v>
      </c>
      <c r="O7" s="60">
        <v>38000</v>
      </c>
      <c r="P7" s="60"/>
      <c r="Q7" s="61">
        <f>SUM(D7:O7)</f>
        <v>719707.37999999989</v>
      </c>
      <c r="R7" s="62"/>
      <c r="S7" s="60">
        <f>RO!Q$25</f>
        <v>56751.948799999998</v>
      </c>
      <c r="T7" s="60">
        <f>RO!R$25</f>
        <v>111226.17413279999</v>
      </c>
      <c r="U7" s="60">
        <f>RO!S$25</f>
        <v>76897.118310638296</v>
      </c>
      <c r="V7" s="60">
        <f>RO!T$25</f>
        <v>56769.58740853901</v>
      </c>
      <c r="W7" s="60">
        <f>RO!U$25</f>
        <v>57539.044824680852</v>
      </c>
      <c r="X7" s="60">
        <f>RO!V$25</f>
        <v>110033.25578085108</v>
      </c>
      <c r="Y7" s="60">
        <f>RO!W$25</f>
        <v>64407.2786470922</v>
      </c>
      <c r="Z7" s="60">
        <f>RO!X$25</f>
        <v>59981.566644586288</v>
      </c>
      <c r="AA7" s="60">
        <f>RO!Y$25</f>
        <v>148105.63455319148</v>
      </c>
      <c r="AB7" s="60">
        <f>RO!Z$25</f>
        <v>121528.60822695035</v>
      </c>
      <c r="AC7" s="60">
        <f>RO!AA$25</f>
        <v>52118.664804539003</v>
      </c>
      <c r="AD7" s="60">
        <f>RO!AB$25</f>
        <v>63138.969599999997</v>
      </c>
      <c r="AE7" s="60"/>
      <c r="AF7" s="61">
        <f>SUM(S7:AD7)</f>
        <v>978497.85173386848</v>
      </c>
      <c r="AH7" s="60">
        <f>RO!AC$25</f>
        <v>52960.085627234046</v>
      </c>
      <c r="AI7" s="60">
        <f>RO!AD$25</f>
        <v>140909.81225911147</v>
      </c>
      <c r="AJ7" s="60">
        <f>RO!AE$25</f>
        <v>76230.892610638301</v>
      </c>
      <c r="AK7" s="60">
        <f>RO!AF$25</f>
        <v>62970.463631100705</v>
      </c>
      <c r="AL7" s="60">
        <f>RO!AG$25</f>
        <v>56899.953467347521</v>
      </c>
      <c r="AM7" s="60">
        <f>RO!AH$25</f>
        <v>169842.51830184399</v>
      </c>
      <c r="AN7" s="60">
        <f>RO!AI$25</f>
        <v>54319.411531319158</v>
      </c>
      <c r="AO7" s="60">
        <f>RO!AJ$25</f>
        <v>59054.683862685575</v>
      </c>
      <c r="AP7" s="60">
        <f>RO!AK$25</f>
        <v>169334.56146382977</v>
      </c>
      <c r="AQ7" s="60">
        <f>RO!AL$25</f>
        <v>121999.04422695035</v>
      </c>
      <c r="AR7" s="60">
        <f>RO!AM$25</f>
        <v>49490.71530099291</v>
      </c>
      <c r="AS7" s="60">
        <f>RO!AN$25</f>
        <v>64429.209600000002</v>
      </c>
      <c r="AT7" s="60"/>
      <c r="AU7" s="61">
        <f>SUM(AH7:AS7)</f>
        <v>1078441.3518830538</v>
      </c>
    </row>
    <row r="8" spans="1:49">
      <c r="B8" s="51" t="s">
        <v>84</v>
      </c>
      <c r="D8" s="59">
        <v>7867.02</v>
      </c>
      <c r="E8" s="59">
        <v>2346.7199999999998</v>
      </c>
      <c r="F8" s="59">
        <v>0</v>
      </c>
      <c r="G8" s="59">
        <v>10071.6</v>
      </c>
      <c r="H8" s="59">
        <v>12198.36</v>
      </c>
      <c r="I8" s="59">
        <v>10277.700000000001</v>
      </c>
      <c r="J8" s="59"/>
      <c r="K8" s="59"/>
      <c r="L8" s="59">
        <v>25056</v>
      </c>
      <c r="M8" s="60">
        <v>40000</v>
      </c>
      <c r="N8" s="60">
        <v>15000</v>
      </c>
      <c r="O8" s="60">
        <v>15000</v>
      </c>
      <c r="P8" s="60"/>
      <c r="Q8" s="61">
        <f>SUM(D8:O8)</f>
        <v>137817.4</v>
      </c>
      <c r="R8" s="62"/>
      <c r="S8" s="83">
        <f>SUMIF(B2B!$B$7:$B$111,"Romania",B2B!V7:V111)</f>
        <v>10000</v>
      </c>
      <c r="T8" s="83">
        <f>SUMIF(B2B!$B$7:$B$111,"Romania",B2B!W7:W111)</f>
        <v>0</v>
      </c>
      <c r="U8" s="83">
        <f>SUMIF(B2B!$B$7:$B$111,"Romania",B2B!X7:X111)</f>
        <v>0</v>
      </c>
      <c r="V8" s="83">
        <f>SUMIF(B2B!$B$7:$B$111,"Romania",B2B!Y7:Y111)</f>
        <v>10000</v>
      </c>
      <c r="W8" s="83">
        <f>SUMIF(B2B!$B$7:$B$111,"Romania",B2B!Z7:Z111)</f>
        <v>0</v>
      </c>
      <c r="X8" s="83">
        <f>SUMIF(B2B!$B$7:$B$111,"Romania",B2B!AA7:AA111)</f>
        <v>10000</v>
      </c>
      <c r="Y8" s="83">
        <f>SUMIF(B2B!$B$7:$B$111,"Romania",B2B!AB7:AB111)</f>
        <v>0</v>
      </c>
      <c r="Z8" s="83">
        <f>SUMIF(B2B!$B$7:$B$111,"Romania",B2B!AC7:AC111)</f>
        <v>0</v>
      </c>
      <c r="AA8" s="83">
        <f>SUMIF(B2B!$B$7:$B$111,"Romania",B2B!AD7:AD111)</f>
        <v>30000</v>
      </c>
      <c r="AB8" s="83">
        <f>SUMIF(B2B!$B$7:$B$111,"Romania",B2B!AE7:AE111)</f>
        <v>20000</v>
      </c>
      <c r="AC8" s="83">
        <f>SUMIF(B2B!$B$7:$B$111,"Romania",B2B!AF7:AF111)</f>
        <v>0</v>
      </c>
      <c r="AD8" s="83">
        <f>SUMIF(B2B!$B$7:$B$111,"Romania",B2B!AG7:AG111)</f>
        <v>10000</v>
      </c>
      <c r="AE8" s="60"/>
      <c r="AF8" s="61">
        <f>SUM(S8:AD8)</f>
        <v>90000</v>
      </c>
      <c r="AH8" s="83">
        <f>SUMIF(B2B!$B$7:$B$111,"Romania",B2B!AK7:AK111)</f>
        <v>10500</v>
      </c>
      <c r="AI8" s="83">
        <f>SUMIF(B2B!$B$7:$B$111,"Romania",B2B!AL7:AL111)</f>
        <v>0</v>
      </c>
      <c r="AJ8" s="83">
        <f>SUMIF(B2B!$B$7:$B$111,"Romania",B2B!AM7:AM111)</f>
        <v>0</v>
      </c>
      <c r="AK8" s="83">
        <f>SUMIF(B2B!$B$7:$B$111,"Romania",B2B!AN7:AN111)</f>
        <v>10500</v>
      </c>
      <c r="AL8" s="83">
        <f>SUMIF(B2B!$B$7:$B$111,"Romania",B2B!AO7:AO111)</f>
        <v>0</v>
      </c>
      <c r="AM8" s="83">
        <f>SUMIF(B2B!$B$7:$B$111,"Romania",B2B!AP7:AP111)</f>
        <v>10500</v>
      </c>
      <c r="AN8" s="83">
        <f>SUMIF(B2B!$B$7:$B$111,"Romania",B2B!AQ7:AQ111)</f>
        <v>0</v>
      </c>
      <c r="AO8" s="83">
        <f>SUMIF(B2B!$B$7:$B$111,"Romania",B2B!AR7:AR111)</f>
        <v>0</v>
      </c>
      <c r="AP8" s="83">
        <f>SUMIF(B2B!$B$7:$B$111,"Romania",B2B!AS7:AS111)</f>
        <v>31500</v>
      </c>
      <c r="AQ8" s="83">
        <f>SUMIF(B2B!$B$7:$B$111,"Romania",B2B!AT7:AT111)</f>
        <v>21000</v>
      </c>
      <c r="AR8" s="83">
        <f>SUMIF(B2B!$B$7:$B$111,"Romania",B2B!AU7:AU111)</f>
        <v>0</v>
      </c>
      <c r="AS8" s="83">
        <f>SUMIF(B2B!$B$7:$B$111,"Romania",B2B!AV7:AV111)</f>
        <v>10500</v>
      </c>
      <c r="AT8" s="60"/>
      <c r="AU8" s="61">
        <f>SUM(AH8:AS8)</f>
        <v>94500</v>
      </c>
    </row>
    <row r="9" spans="1:49">
      <c r="B9" s="51" t="s">
        <v>85</v>
      </c>
      <c r="D9" s="59">
        <v>0</v>
      </c>
      <c r="E9" s="59">
        <v>0</v>
      </c>
      <c r="F9" s="59">
        <v>0</v>
      </c>
      <c r="G9" s="59">
        <v>0</v>
      </c>
      <c r="H9" s="59">
        <v>0</v>
      </c>
      <c r="I9" s="59">
        <v>0</v>
      </c>
      <c r="J9" s="59"/>
      <c r="K9" s="59"/>
      <c r="L9" s="59">
        <f ca="1">SUMIF(Amazon!$A$25:$A$39,"Romania",Amazon!K25:K37)</f>
        <v>0</v>
      </c>
      <c r="M9" s="60">
        <f ca="1">SUMIF(Amazon!$A$25:$A$39,"Romania",Amazon!L25:L37)</f>
        <v>0</v>
      </c>
      <c r="N9" s="60">
        <f ca="1">SUMIF(Amazon!$A$25:$A$39,"Romania",Amazon!M25:M37)</f>
        <v>0</v>
      </c>
      <c r="O9" s="60">
        <f ca="1">SUMIF(Amazon!$A$25:$A$39,"Romania",Amazon!N25:N37)</f>
        <v>0</v>
      </c>
      <c r="P9" s="60"/>
      <c r="Q9" s="61">
        <f ca="1">SUM(D9:O9)</f>
        <v>0</v>
      </c>
      <c r="R9" s="62"/>
      <c r="S9" s="60">
        <f ca="1">SUMIF(Amazon!$A$25:$A$39,"Romania",Amazon!Q25:Q37)</f>
        <v>0</v>
      </c>
      <c r="T9" s="60">
        <f ca="1">SUMIF(Amazon!$A$25:$A$39,"Romania",Amazon!R25:R37)</f>
        <v>0</v>
      </c>
      <c r="U9" s="60">
        <f ca="1">SUMIF(Amazon!$A$25:$A$39,"Romania",Amazon!S25:S37)</f>
        <v>0</v>
      </c>
      <c r="V9" s="60">
        <f ca="1">SUMIF(Amazon!$A$25:$A$39,"Romania",Amazon!T25:T37)</f>
        <v>0</v>
      </c>
      <c r="W9" s="60">
        <f ca="1">SUMIF(Amazon!$A$25:$A$39,"Romania",Amazon!U25:U37)</f>
        <v>0</v>
      </c>
      <c r="X9" s="60">
        <f ca="1">SUMIF(Amazon!$A$25:$A$39,"Romania",Amazon!V25:V37)</f>
        <v>0</v>
      </c>
      <c r="Y9" s="60">
        <f ca="1">SUMIF(Amazon!$A$25:$A$39,"Romania",Amazon!W25:W37)</f>
        <v>0</v>
      </c>
      <c r="Z9" s="60">
        <f ca="1">SUMIF(Amazon!$A$25:$A$39,"Romania",Amazon!X25:X37)</f>
        <v>0</v>
      </c>
      <c r="AA9" s="60">
        <f ca="1">SUMIF(Amazon!$A$25:$A$39,"Romania",Amazon!Y25:Y37)</f>
        <v>0</v>
      </c>
      <c r="AB9" s="60">
        <f ca="1">SUMIF(Amazon!$A$25:$A$39,"Romania",Amazon!Z25:Z37)</f>
        <v>0</v>
      </c>
      <c r="AC9" s="60">
        <f ca="1">SUMIF(Amazon!$A$25:$A$39,"Romania",Amazon!AA25:AA37)</f>
        <v>0</v>
      </c>
      <c r="AD9" s="60">
        <f ca="1">SUMIF(Amazon!$A$25:$A$39,"Romania",Amazon!AB25:AB37)</f>
        <v>0</v>
      </c>
      <c r="AE9" s="60"/>
      <c r="AF9" s="61">
        <f ca="1">SUM(S9:AD9)</f>
        <v>0</v>
      </c>
      <c r="AH9" s="60">
        <f ca="1">SUMIF(Amazon!$A$25:$A$39,"Romania",Amazon!AE25:AE37)</f>
        <v>0</v>
      </c>
      <c r="AI9" s="60">
        <f ca="1">SUMIF(Amazon!$A$25:$A$39,"Romania",Amazon!AF25:AF37)</f>
        <v>0</v>
      </c>
      <c r="AJ9" s="60">
        <f ca="1">SUMIF(Amazon!$A$25:$A$39,"Romania",Amazon!AG25:AG37)</f>
        <v>0</v>
      </c>
      <c r="AK9" s="60">
        <f ca="1">SUMIF(Amazon!$A$25:$A$39,"Romania",Amazon!AH25:AH37)</f>
        <v>0</v>
      </c>
      <c r="AL9" s="60">
        <f ca="1">SUMIF(Amazon!$A$25:$A$39,"Romania",Amazon!AI25:AI37)</f>
        <v>0</v>
      </c>
      <c r="AM9" s="60">
        <f ca="1">SUMIF(Amazon!$A$25:$A$39,"Romania",Amazon!AJ25:AJ37)</f>
        <v>0</v>
      </c>
      <c r="AN9" s="60">
        <f ca="1">SUMIF(Amazon!$A$25:$A$39,"Romania",Amazon!AK25:AK37)</f>
        <v>0</v>
      </c>
      <c r="AO9" s="60">
        <f ca="1">SUMIF(Amazon!$A$25:$A$39,"Romania",Amazon!AL25:AL37)</f>
        <v>0</v>
      </c>
      <c r="AP9" s="60">
        <f ca="1">SUMIF(Amazon!$A$25:$A$39,"Romania",Amazon!AM25:AM37)</f>
        <v>0</v>
      </c>
      <c r="AQ9" s="60">
        <f ca="1">SUMIF(Amazon!$A$25:$A$39,"Romania",Amazon!AN25:AN37)</f>
        <v>0</v>
      </c>
      <c r="AR9" s="60">
        <f ca="1">SUMIF(Amazon!$A$25:$A$39,"Romania",Amazon!AO25:AO37)</f>
        <v>0</v>
      </c>
      <c r="AS9" s="60">
        <f ca="1">SUMIF(Amazon!$A$25:$A$39,"Romania",Amazon!AP25:AP37)</f>
        <v>0</v>
      </c>
      <c r="AT9" s="60"/>
      <c r="AU9" s="61">
        <f ca="1">SUM(AH9:AS9)</f>
        <v>0</v>
      </c>
    </row>
    <row r="10" spans="1:49">
      <c r="B10" s="51" t="s">
        <v>86</v>
      </c>
      <c r="D10" s="59">
        <v>0</v>
      </c>
      <c r="E10" s="59">
        <v>0</v>
      </c>
      <c r="F10" s="59">
        <v>0</v>
      </c>
      <c r="G10" s="59">
        <v>0</v>
      </c>
      <c r="H10" s="59">
        <v>0</v>
      </c>
      <c r="I10" s="59">
        <v>0</v>
      </c>
      <c r="J10" s="59"/>
      <c r="K10" s="59"/>
      <c r="L10" s="59"/>
      <c r="M10" s="60"/>
      <c r="N10" s="60"/>
      <c r="O10" s="60"/>
      <c r="P10" s="60"/>
      <c r="Q10" s="61">
        <f>SUM(D10:O10)</f>
        <v>0</v>
      </c>
      <c r="R10" s="62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60"/>
      <c r="AF10" s="61">
        <f>SUM(S10:AD10)</f>
        <v>0</v>
      </c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60"/>
      <c r="AU10" s="61">
        <f>SUM(AH10:AS10)</f>
        <v>0</v>
      </c>
    </row>
    <row r="11" spans="1:49">
      <c r="D11" s="59"/>
      <c r="E11" s="59"/>
      <c r="F11" s="59"/>
      <c r="G11" s="59"/>
      <c r="H11" s="59"/>
      <c r="I11" s="59"/>
      <c r="J11" s="59"/>
      <c r="K11" s="59"/>
      <c r="L11" s="59"/>
      <c r="M11" s="60"/>
      <c r="N11" s="60"/>
      <c r="O11" s="60"/>
      <c r="P11" s="60"/>
      <c r="Q11" s="61"/>
      <c r="S11" s="83"/>
      <c r="T11" s="83"/>
      <c r="U11" s="83"/>
      <c r="V11" s="83"/>
      <c r="W11" s="83"/>
      <c r="X11" s="60"/>
      <c r="Y11" s="60"/>
      <c r="Z11" s="60"/>
      <c r="AA11" s="60"/>
      <c r="AB11" s="60"/>
      <c r="AC11" s="60"/>
      <c r="AD11" s="60"/>
      <c r="AE11" s="60"/>
      <c r="AF11" s="61"/>
      <c r="AH11" s="83"/>
      <c r="AI11" s="83"/>
      <c r="AJ11" s="83"/>
      <c r="AK11" s="83"/>
      <c r="AL11" s="83"/>
      <c r="AM11" s="60"/>
      <c r="AN11" s="60"/>
      <c r="AO11" s="60"/>
      <c r="AP11" s="60"/>
      <c r="AQ11" s="60"/>
      <c r="AR11" s="60"/>
      <c r="AS11" s="60"/>
      <c r="AT11" s="60"/>
      <c r="AU11" s="61"/>
    </row>
    <row r="12" spans="1:49" s="10" customFormat="1">
      <c r="A12" s="52"/>
      <c r="B12" s="63" t="s">
        <v>87</v>
      </c>
      <c r="C12" s="52"/>
      <c r="D12" s="64">
        <f t="shared" ref="D12:K12" si="5">SUM(D7:D11)</f>
        <v>26167.39</v>
      </c>
      <c r="E12" s="64">
        <f t="shared" si="5"/>
        <v>82081.69</v>
      </c>
      <c r="F12" s="64">
        <f t="shared" si="5"/>
        <v>57574.45</v>
      </c>
      <c r="G12" s="64">
        <f t="shared" si="5"/>
        <v>30240.480000000003</v>
      </c>
      <c r="H12" s="64">
        <f t="shared" si="5"/>
        <v>35237.520000000004</v>
      </c>
      <c r="I12" s="64">
        <f t="shared" si="5"/>
        <v>81983.92</v>
      </c>
      <c r="J12" s="64">
        <f t="shared" si="5"/>
        <v>81863.23</v>
      </c>
      <c r="K12" s="64">
        <f t="shared" si="5"/>
        <v>20309.099999999999</v>
      </c>
      <c r="L12" s="64">
        <f t="shared" ref="L12:O12" ca="1" si="6">SUM(L7:L11)</f>
        <v>160067</v>
      </c>
      <c r="M12" s="65">
        <f t="shared" ca="1" si="6"/>
        <v>170000</v>
      </c>
      <c r="N12" s="65">
        <f t="shared" ca="1" si="6"/>
        <v>59000</v>
      </c>
      <c r="O12" s="65">
        <f t="shared" ca="1" si="6"/>
        <v>53000</v>
      </c>
      <c r="P12" s="61"/>
      <c r="Q12" s="65">
        <f ca="1">SUM(D12:O12)</f>
        <v>857524.78</v>
      </c>
      <c r="R12" s="52"/>
      <c r="S12" s="84">
        <f ca="1">SUM(S7:S11)</f>
        <v>66751.948799999998</v>
      </c>
      <c r="T12" s="84">
        <f t="shared" ref="T12:AD12" ca="1" si="7">SUM(T7:T11)</f>
        <v>111226.17413279999</v>
      </c>
      <c r="U12" s="84">
        <f t="shared" ca="1" si="7"/>
        <v>76897.118310638296</v>
      </c>
      <c r="V12" s="84">
        <f t="shared" ca="1" si="7"/>
        <v>66769.58740853901</v>
      </c>
      <c r="W12" s="84">
        <f t="shared" ca="1" si="7"/>
        <v>57539.044824680852</v>
      </c>
      <c r="X12" s="65">
        <f t="shared" ca="1" si="7"/>
        <v>120033.25578085108</v>
      </c>
      <c r="Y12" s="65">
        <f t="shared" ca="1" si="7"/>
        <v>64407.2786470922</v>
      </c>
      <c r="Z12" s="65">
        <f t="shared" ca="1" si="7"/>
        <v>59981.566644586288</v>
      </c>
      <c r="AA12" s="65">
        <f t="shared" ca="1" si="7"/>
        <v>178105.63455319148</v>
      </c>
      <c r="AB12" s="65">
        <f t="shared" ca="1" si="7"/>
        <v>141528.60822695034</v>
      </c>
      <c r="AC12" s="65">
        <f t="shared" ca="1" si="7"/>
        <v>52118.664804539003</v>
      </c>
      <c r="AD12" s="65">
        <f t="shared" ca="1" si="7"/>
        <v>73138.969599999997</v>
      </c>
      <c r="AE12" s="61"/>
      <c r="AF12" s="65">
        <f ca="1">SUM(S12:AD12)</f>
        <v>1068497.8517338685</v>
      </c>
      <c r="AG12" s="7"/>
      <c r="AH12" s="84">
        <f ca="1">SUM(AH7:AH11)</f>
        <v>63460.085627234046</v>
      </c>
      <c r="AI12" s="84">
        <f t="shared" ref="AI12:AS12" ca="1" si="8">SUM(AI7:AI11)</f>
        <v>140909.81225911147</v>
      </c>
      <c r="AJ12" s="84">
        <f t="shared" ca="1" si="8"/>
        <v>76230.892610638301</v>
      </c>
      <c r="AK12" s="84">
        <f t="shared" ca="1" si="8"/>
        <v>73470.463631100705</v>
      </c>
      <c r="AL12" s="84">
        <f t="shared" ca="1" si="8"/>
        <v>56899.953467347521</v>
      </c>
      <c r="AM12" s="65">
        <f t="shared" ca="1" si="8"/>
        <v>180342.51830184399</v>
      </c>
      <c r="AN12" s="65">
        <f t="shared" ca="1" si="8"/>
        <v>54319.411531319158</v>
      </c>
      <c r="AO12" s="65">
        <f t="shared" ca="1" si="8"/>
        <v>59054.683862685575</v>
      </c>
      <c r="AP12" s="65">
        <f t="shared" ca="1" si="8"/>
        <v>200834.56146382977</v>
      </c>
      <c r="AQ12" s="65">
        <f t="shared" ca="1" si="8"/>
        <v>142999.04422695035</v>
      </c>
      <c r="AR12" s="65">
        <f t="shared" ca="1" si="8"/>
        <v>49490.71530099291</v>
      </c>
      <c r="AS12" s="65">
        <f t="shared" ca="1" si="8"/>
        <v>74929.209600000002</v>
      </c>
      <c r="AT12" s="61"/>
      <c r="AU12" s="65">
        <f ca="1">SUM(AH12:AS12)</f>
        <v>1172941.3518830538</v>
      </c>
      <c r="AW12" s="140"/>
    </row>
    <row r="13" spans="1:49" outlineLevel="1">
      <c r="D13" s="59"/>
      <c r="E13" s="59"/>
      <c r="F13" s="59"/>
      <c r="G13" s="59"/>
      <c r="H13" s="59"/>
      <c r="I13" s="59"/>
      <c r="J13" s="59"/>
      <c r="K13" s="59"/>
      <c r="L13" s="59"/>
      <c r="M13" s="60"/>
      <c r="N13" s="60"/>
      <c r="O13" s="60"/>
      <c r="P13" s="60"/>
      <c r="Q13" s="61"/>
      <c r="R13" s="66"/>
      <c r="S13" s="83"/>
      <c r="T13" s="83"/>
      <c r="U13" s="83"/>
      <c r="V13" s="83"/>
      <c r="W13" s="83"/>
      <c r="X13" s="60"/>
      <c r="Y13" s="60"/>
      <c r="Z13" s="60"/>
      <c r="AA13" s="60"/>
      <c r="AB13" s="60"/>
      <c r="AC13" s="60"/>
      <c r="AD13" s="60"/>
      <c r="AE13" s="60"/>
      <c r="AF13" s="61"/>
      <c r="AH13" s="83"/>
      <c r="AI13" s="83"/>
      <c r="AJ13" s="83"/>
      <c r="AK13" s="83"/>
      <c r="AL13" s="83"/>
      <c r="AM13" s="60"/>
      <c r="AN13" s="60"/>
      <c r="AO13" s="60"/>
      <c r="AP13" s="60"/>
      <c r="AQ13" s="60"/>
      <c r="AR13" s="60"/>
      <c r="AS13" s="60"/>
      <c r="AT13" s="60"/>
      <c r="AU13" s="61"/>
    </row>
    <row r="14" spans="1:49" outlineLevel="1">
      <c r="B14" s="58" t="s">
        <v>88</v>
      </c>
      <c r="D14" s="59"/>
      <c r="E14" s="59"/>
      <c r="F14" s="59"/>
      <c r="G14" s="59"/>
      <c r="H14" s="59"/>
      <c r="I14" s="59"/>
      <c r="J14" s="59"/>
      <c r="K14" s="59"/>
      <c r="L14" s="59"/>
      <c r="M14" s="60"/>
      <c r="N14" s="60"/>
      <c r="O14" s="60"/>
      <c r="P14" s="60"/>
      <c r="Q14" s="61"/>
      <c r="S14" s="83"/>
      <c r="T14" s="83"/>
      <c r="U14" s="83"/>
      <c r="V14" s="83"/>
      <c r="W14" s="83"/>
      <c r="X14" s="60"/>
      <c r="Y14" s="60"/>
      <c r="Z14" s="60"/>
      <c r="AA14" s="60"/>
      <c r="AB14" s="60"/>
      <c r="AC14" s="60"/>
      <c r="AD14" s="60"/>
      <c r="AE14" s="60"/>
      <c r="AF14" s="61"/>
      <c r="AH14" s="83"/>
      <c r="AI14" s="83"/>
      <c r="AJ14" s="83"/>
      <c r="AK14" s="83"/>
      <c r="AL14" s="83"/>
      <c r="AM14" s="60"/>
      <c r="AN14" s="60"/>
      <c r="AO14" s="60"/>
      <c r="AP14" s="60"/>
      <c r="AQ14" s="60"/>
      <c r="AR14" s="60"/>
      <c r="AS14" s="60"/>
      <c r="AT14" s="60"/>
      <c r="AU14" s="61"/>
    </row>
    <row r="15" spans="1:49">
      <c r="D15" s="59"/>
      <c r="E15" s="59"/>
      <c r="F15" s="59"/>
      <c r="G15" s="59"/>
      <c r="H15" s="59"/>
      <c r="I15" s="59"/>
      <c r="J15" s="59"/>
      <c r="K15" s="59"/>
      <c r="L15" s="59"/>
      <c r="M15" s="60"/>
      <c r="N15" s="60"/>
      <c r="O15" s="60"/>
      <c r="P15" s="60"/>
      <c r="Q15" s="61"/>
      <c r="S15" s="83"/>
      <c r="T15" s="83"/>
      <c r="U15" s="83"/>
      <c r="V15" s="83"/>
      <c r="W15" s="83"/>
      <c r="X15" s="60"/>
      <c r="Y15" s="60"/>
      <c r="Z15" s="60"/>
      <c r="AA15" s="60"/>
      <c r="AB15" s="60"/>
      <c r="AC15" s="60"/>
      <c r="AD15" s="60"/>
      <c r="AE15" s="60"/>
      <c r="AF15" s="61"/>
      <c r="AH15" s="83"/>
      <c r="AI15" s="83"/>
      <c r="AJ15" s="83"/>
      <c r="AK15" s="83"/>
      <c r="AL15" s="83"/>
      <c r="AM15" s="60"/>
      <c r="AN15" s="60"/>
      <c r="AO15" s="60"/>
      <c r="AP15" s="60"/>
      <c r="AQ15" s="60"/>
      <c r="AR15" s="60"/>
      <c r="AS15" s="60"/>
      <c r="AT15" s="60"/>
      <c r="AU15" s="61"/>
    </row>
    <row r="16" spans="1:49" outlineLevel="1">
      <c r="B16" s="51" t="s">
        <v>89</v>
      </c>
      <c r="C16" s="75">
        <v>-0.24</v>
      </c>
      <c r="D16" s="59">
        <v>-5160.05</v>
      </c>
      <c r="E16" s="59">
        <v>-18827.22</v>
      </c>
      <c r="F16" s="59">
        <v>-13863.07</v>
      </c>
      <c r="G16" s="59">
        <v>-3071.15</v>
      </c>
      <c r="H16" s="59">
        <v>-3862.35</v>
      </c>
      <c r="I16" s="59">
        <v>-18515</v>
      </c>
      <c r="J16" s="59">
        <v>-21829.84</v>
      </c>
      <c r="K16" s="59">
        <v>-3326.7</v>
      </c>
      <c r="L16" s="59">
        <v>-37099</v>
      </c>
      <c r="M16" s="60">
        <v>-35100</v>
      </c>
      <c r="N16" s="60">
        <v>-10560</v>
      </c>
      <c r="O16" s="60">
        <v>-8740</v>
      </c>
      <c r="P16" s="60"/>
      <c r="Q16" s="61">
        <f>SUM(D16:O16)</f>
        <v>-179954.38</v>
      </c>
      <c r="S16" s="60">
        <f t="shared" ref="S16:AD16" si="9">S7*$C$16</f>
        <v>-13620.467712</v>
      </c>
      <c r="T16" s="60">
        <f t="shared" si="9"/>
        <v>-26694.281791871996</v>
      </c>
      <c r="U16" s="60">
        <f t="shared" si="9"/>
        <v>-18455.308394553191</v>
      </c>
      <c r="V16" s="60">
        <f t="shared" si="9"/>
        <v>-13624.700978049363</v>
      </c>
      <c r="W16" s="60">
        <f t="shared" si="9"/>
        <v>-13809.370757923403</v>
      </c>
      <c r="X16" s="60">
        <f t="shared" si="9"/>
        <v>-26407.981387404256</v>
      </c>
      <c r="Y16" s="60">
        <f t="shared" si="9"/>
        <v>-15457.746875302128</v>
      </c>
      <c r="Z16" s="60">
        <f t="shared" si="9"/>
        <v>-14395.575994700708</v>
      </c>
      <c r="AA16" s="60">
        <f t="shared" si="9"/>
        <v>-35545.352292765958</v>
      </c>
      <c r="AB16" s="60">
        <f t="shared" si="9"/>
        <v>-29166.865974468084</v>
      </c>
      <c r="AC16" s="60">
        <f t="shared" si="9"/>
        <v>-12508.479553089361</v>
      </c>
      <c r="AD16" s="60">
        <f t="shared" si="9"/>
        <v>-15153.352703999999</v>
      </c>
      <c r="AE16" s="60"/>
      <c r="AF16" s="61">
        <f>SUM(S16:AD16)</f>
        <v>-234839.48441612843</v>
      </c>
      <c r="AH16" s="60">
        <f t="shared" ref="AH16:AS16" si="10">AH7*$C$16</f>
        <v>-12710.420550536172</v>
      </c>
      <c r="AI16" s="60">
        <f t="shared" si="10"/>
        <v>-33818.35494218675</v>
      </c>
      <c r="AJ16" s="60">
        <f t="shared" si="10"/>
        <v>-18295.414226553192</v>
      </c>
      <c r="AK16" s="60">
        <f t="shared" si="10"/>
        <v>-15112.911271464169</v>
      </c>
      <c r="AL16" s="60">
        <f t="shared" si="10"/>
        <v>-13655.988832163404</v>
      </c>
      <c r="AM16" s="60">
        <f t="shared" si="10"/>
        <v>-40762.204392442552</v>
      </c>
      <c r="AN16" s="60">
        <f t="shared" si="10"/>
        <v>-13036.658767516597</v>
      </c>
      <c r="AO16" s="60">
        <f t="shared" si="10"/>
        <v>-14173.124127044537</v>
      </c>
      <c r="AP16" s="60">
        <f t="shared" si="10"/>
        <v>-40640.294751319147</v>
      </c>
      <c r="AQ16" s="60">
        <f t="shared" si="10"/>
        <v>-29279.770614468085</v>
      </c>
      <c r="AR16" s="60">
        <f t="shared" si="10"/>
        <v>-11877.771672238297</v>
      </c>
      <c r="AS16" s="60">
        <f t="shared" si="10"/>
        <v>-15463.010303999999</v>
      </c>
      <c r="AT16" s="60"/>
      <c r="AU16" s="61">
        <f>SUM(AH16:AS16)</f>
        <v>-258825.92445193295</v>
      </c>
    </row>
    <row r="17" spans="1:47" outlineLevel="1">
      <c r="B17" s="51" t="s">
        <v>90</v>
      </c>
      <c r="C17" s="75">
        <v>-0.27</v>
      </c>
      <c r="D17" s="59">
        <v>-8497.64</v>
      </c>
      <c r="E17" s="59">
        <v>9446.5</v>
      </c>
      <c r="F17" s="59">
        <v>0</v>
      </c>
      <c r="G17" s="59">
        <v>-4193.04</v>
      </c>
      <c r="H17" s="59">
        <v>-4804.0600000000004</v>
      </c>
      <c r="I17" s="59">
        <v>-9633.1299999999992</v>
      </c>
      <c r="J17" s="59">
        <v>-407.66</v>
      </c>
      <c r="K17" s="59"/>
      <c r="L17" s="59">
        <v>-11030</v>
      </c>
      <c r="M17" s="60">
        <v>-13200</v>
      </c>
      <c r="N17" s="60">
        <v>-4950</v>
      </c>
      <c r="O17" s="60">
        <v>-4950</v>
      </c>
      <c r="P17" s="60"/>
      <c r="Q17" s="61">
        <f>SUM(D17:O17)</f>
        <v>-52219.03</v>
      </c>
      <c r="S17" s="60">
        <f>(S8*$C$17)+(S1/$AF$1)*6472</f>
        <v>-1980.8888888888889</v>
      </c>
      <c r="T17" s="60">
        <f t="shared" ref="T17:AD17" si="11">(T8*$C$17)+(T1/$AF$1)*6472</f>
        <v>0</v>
      </c>
      <c r="U17" s="60">
        <f t="shared" si="11"/>
        <v>0</v>
      </c>
      <c r="V17" s="60">
        <f t="shared" si="11"/>
        <v>-1980.8888888888889</v>
      </c>
      <c r="W17" s="60">
        <f t="shared" si="11"/>
        <v>0</v>
      </c>
      <c r="X17" s="60">
        <f t="shared" si="11"/>
        <v>-1980.8888888888889</v>
      </c>
      <c r="Y17" s="60">
        <f t="shared" si="11"/>
        <v>0</v>
      </c>
      <c r="Z17" s="60">
        <f t="shared" si="11"/>
        <v>0</v>
      </c>
      <c r="AA17" s="60">
        <f t="shared" si="11"/>
        <v>-5942.6666666666679</v>
      </c>
      <c r="AB17" s="60">
        <f t="shared" si="11"/>
        <v>-3961.7777777777778</v>
      </c>
      <c r="AC17" s="60">
        <f t="shared" si="11"/>
        <v>0</v>
      </c>
      <c r="AD17" s="60">
        <f t="shared" si="11"/>
        <v>-1980.8888888888889</v>
      </c>
      <c r="AE17" s="60"/>
      <c r="AF17" s="61">
        <f>SUM(S17:AD17)</f>
        <v>-17828.000000000004</v>
      </c>
      <c r="AH17" s="60">
        <f>(AH8*$C$17)+(AH1/$AF$1)*6472</f>
        <v>-2079.9333333333334</v>
      </c>
      <c r="AI17" s="60">
        <f t="shared" ref="AI17:AS17" si="12">(AI8*$C$17)+(AI1/$AF$1)*6472</f>
        <v>0</v>
      </c>
      <c r="AJ17" s="60">
        <f t="shared" si="12"/>
        <v>0</v>
      </c>
      <c r="AK17" s="60">
        <f t="shared" si="12"/>
        <v>-2079.9333333333334</v>
      </c>
      <c r="AL17" s="60">
        <f t="shared" si="12"/>
        <v>0</v>
      </c>
      <c r="AM17" s="60">
        <f t="shared" si="12"/>
        <v>-2079.9333333333334</v>
      </c>
      <c r="AN17" s="60">
        <f t="shared" si="12"/>
        <v>0</v>
      </c>
      <c r="AO17" s="60">
        <f t="shared" si="12"/>
        <v>0</v>
      </c>
      <c r="AP17" s="60">
        <f t="shared" si="12"/>
        <v>-6239.8</v>
      </c>
      <c r="AQ17" s="60">
        <f t="shared" si="12"/>
        <v>-4159.8666666666668</v>
      </c>
      <c r="AR17" s="60">
        <f t="shared" si="12"/>
        <v>0</v>
      </c>
      <c r="AS17" s="60">
        <f t="shared" si="12"/>
        <v>-2079.9333333333334</v>
      </c>
      <c r="AT17" s="60"/>
      <c r="AU17" s="61">
        <f>SUM(AH17:AS17)</f>
        <v>-18719.400000000001</v>
      </c>
    </row>
    <row r="18" spans="1:47" outlineLevel="1">
      <c r="B18" s="51" t="s">
        <v>91</v>
      </c>
      <c r="C18" s="75">
        <v>-0.18</v>
      </c>
      <c r="D18" s="59">
        <v>0</v>
      </c>
      <c r="E18" s="59">
        <v>0</v>
      </c>
      <c r="F18" s="59">
        <v>0</v>
      </c>
      <c r="G18" s="59">
        <v>0</v>
      </c>
      <c r="H18" s="59">
        <v>0</v>
      </c>
      <c r="I18" s="59">
        <v>0</v>
      </c>
      <c r="J18" s="59"/>
      <c r="K18" s="59"/>
      <c r="L18" s="59">
        <f ca="1">L9*$C$18</f>
        <v>0</v>
      </c>
      <c r="M18" s="60">
        <f t="shared" ref="M18:O18" ca="1" si="13">M9*$C$18</f>
        <v>0</v>
      </c>
      <c r="N18" s="60">
        <f t="shared" ca="1" si="13"/>
        <v>0</v>
      </c>
      <c r="O18" s="60">
        <f t="shared" ca="1" si="13"/>
        <v>0</v>
      </c>
      <c r="P18" s="60"/>
      <c r="Q18" s="61">
        <f ca="1">SUM(D18:O18)</f>
        <v>0</v>
      </c>
      <c r="S18" s="60">
        <f t="shared" ref="S18:AD18" ca="1" si="14">S9*$C$18</f>
        <v>0</v>
      </c>
      <c r="T18" s="60">
        <f t="shared" ca="1" si="14"/>
        <v>0</v>
      </c>
      <c r="U18" s="60">
        <f t="shared" ca="1" si="14"/>
        <v>0</v>
      </c>
      <c r="V18" s="60">
        <f t="shared" ca="1" si="14"/>
        <v>0</v>
      </c>
      <c r="W18" s="60">
        <f t="shared" ca="1" si="14"/>
        <v>0</v>
      </c>
      <c r="X18" s="60">
        <f t="shared" ca="1" si="14"/>
        <v>0</v>
      </c>
      <c r="Y18" s="60">
        <f t="shared" ca="1" si="14"/>
        <v>0</v>
      </c>
      <c r="Z18" s="60">
        <f t="shared" ca="1" si="14"/>
        <v>0</v>
      </c>
      <c r="AA18" s="60">
        <f t="shared" ca="1" si="14"/>
        <v>0</v>
      </c>
      <c r="AB18" s="60">
        <f t="shared" ca="1" si="14"/>
        <v>0</v>
      </c>
      <c r="AC18" s="60">
        <f t="shared" ca="1" si="14"/>
        <v>0</v>
      </c>
      <c r="AD18" s="60">
        <f t="shared" ca="1" si="14"/>
        <v>0</v>
      </c>
      <c r="AE18" s="60"/>
      <c r="AF18" s="61">
        <f ca="1">SUM(S18:AD18)</f>
        <v>0</v>
      </c>
      <c r="AH18" s="60">
        <f t="shared" ref="AH18:AS18" ca="1" si="15">AH9*$C$18</f>
        <v>0</v>
      </c>
      <c r="AI18" s="60">
        <f t="shared" ca="1" si="15"/>
        <v>0</v>
      </c>
      <c r="AJ18" s="60">
        <f t="shared" ca="1" si="15"/>
        <v>0</v>
      </c>
      <c r="AK18" s="60">
        <f t="shared" ca="1" si="15"/>
        <v>0</v>
      </c>
      <c r="AL18" s="60">
        <f t="shared" ca="1" si="15"/>
        <v>0</v>
      </c>
      <c r="AM18" s="60">
        <f t="shared" ca="1" si="15"/>
        <v>0</v>
      </c>
      <c r="AN18" s="60">
        <f t="shared" ca="1" si="15"/>
        <v>0</v>
      </c>
      <c r="AO18" s="60">
        <f t="shared" ca="1" si="15"/>
        <v>0</v>
      </c>
      <c r="AP18" s="60">
        <f t="shared" ca="1" si="15"/>
        <v>0</v>
      </c>
      <c r="AQ18" s="60">
        <f t="shared" ca="1" si="15"/>
        <v>0</v>
      </c>
      <c r="AR18" s="60">
        <f t="shared" ca="1" si="15"/>
        <v>0</v>
      </c>
      <c r="AS18" s="60">
        <f t="shared" ca="1" si="15"/>
        <v>0</v>
      </c>
      <c r="AT18" s="60"/>
      <c r="AU18" s="61">
        <f ca="1">SUM(AH18:AS18)</f>
        <v>0</v>
      </c>
    </row>
    <row r="19" spans="1:47" outlineLevel="1">
      <c r="B19" s="51" t="s">
        <v>92</v>
      </c>
      <c r="D19" s="59"/>
      <c r="E19" s="59"/>
      <c r="F19" s="59"/>
      <c r="G19" s="59"/>
      <c r="H19" s="59"/>
      <c r="I19" s="59"/>
      <c r="J19" s="59"/>
      <c r="K19" s="59"/>
      <c r="L19" s="59">
        <f>L10*$C$19</f>
        <v>0</v>
      </c>
      <c r="M19" s="60">
        <f t="shared" ref="M19:O19" si="16">M10*$C$19</f>
        <v>0</v>
      </c>
      <c r="N19" s="60">
        <f t="shared" si="16"/>
        <v>0</v>
      </c>
      <c r="O19" s="60">
        <f t="shared" si="16"/>
        <v>0</v>
      </c>
      <c r="P19" s="60"/>
      <c r="Q19" s="61">
        <f>SUM(D19:O19)</f>
        <v>0</v>
      </c>
      <c r="S19" s="60">
        <f t="shared" ref="S19:AD19" si="17">S10*$C$19</f>
        <v>0</v>
      </c>
      <c r="T19" s="60">
        <f t="shared" si="17"/>
        <v>0</v>
      </c>
      <c r="U19" s="60">
        <f t="shared" si="17"/>
        <v>0</v>
      </c>
      <c r="V19" s="60">
        <f t="shared" si="17"/>
        <v>0</v>
      </c>
      <c r="W19" s="60">
        <f t="shared" si="17"/>
        <v>0</v>
      </c>
      <c r="X19" s="60">
        <f t="shared" si="17"/>
        <v>0</v>
      </c>
      <c r="Y19" s="60">
        <f t="shared" si="17"/>
        <v>0</v>
      </c>
      <c r="Z19" s="60">
        <f t="shared" si="17"/>
        <v>0</v>
      </c>
      <c r="AA19" s="60">
        <f t="shared" si="17"/>
        <v>0</v>
      </c>
      <c r="AB19" s="60">
        <f t="shared" si="17"/>
        <v>0</v>
      </c>
      <c r="AC19" s="60">
        <f t="shared" si="17"/>
        <v>0</v>
      </c>
      <c r="AD19" s="60">
        <f t="shared" si="17"/>
        <v>0</v>
      </c>
      <c r="AE19" s="60"/>
      <c r="AF19" s="61">
        <f>SUM(S19:AD19)</f>
        <v>0</v>
      </c>
      <c r="AH19" s="60">
        <f t="shared" ref="AH19:AS19" si="18">AH10*$C$19</f>
        <v>0</v>
      </c>
      <c r="AI19" s="60">
        <f t="shared" si="18"/>
        <v>0</v>
      </c>
      <c r="AJ19" s="60">
        <f t="shared" si="18"/>
        <v>0</v>
      </c>
      <c r="AK19" s="60">
        <f t="shared" si="18"/>
        <v>0</v>
      </c>
      <c r="AL19" s="60">
        <f t="shared" si="18"/>
        <v>0</v>
      </c>
      <c r="AM19" s="60">
        <f t="shared" si="18"/>
        <v>0</v>
      </c>
      <c r="AN19" s="60">
        <f t="shared" si="18"/>
        <v>0</v>
      </c>
      <c r="AO19" s="60">
        <f t="shared" si="18"/>
        <v>0</v>
      </c>
      <c r="AP19" s="60">
        <f t="shared" si="18"/>
        <v>0</v>
      </c>
      <c r="AQ19" s="60">
        <f t="shared" si="18"/>
        <v>0</v>
      </c>
      <c r="AR19" s="60">
        <f t="shared" si="18"/>
        <v>0</v>
      </c>
      <c r="AS19" s="60">
        <f t="shared" si="18"/>
        <v>0</v>
      </c>
      <c r="AT19" s="60"/>
      <c r="AU19" s="61">
        <f>SUM(AH19:AS19)</f>
        <v>0</v>
      </c>
    </row>
    <row r="20" spans="1:47" outlineLevel="1">
      <c r="D20" s="59"/>
      <c r="E20" s="59"/>
      <c r="F20" s="59"/>
      <c r="G20" s="59"/>
      <c r="H20" s="59"/>
      <c r="I20" s="59"/>
      <c r="J20" s="59"/>
      <c r="K20" s="59"/>
      <c r="L20" s="59"/>
      <c r="M20" s="60"/>
      <c r="N20" s="60"/>
      <c r="O20" s="60"/>
      <c r="P20" s="60"/>
      <c r="Q20" s="61"/>
      <c r="S20" s="83"/>
      <c r="T20" s="83"/>
      <c r="U20" s="83"/>
      <c r="V20" s="83"/>
      <c r="W20" s="83"/>
      <c r="X20" s="60"/>
      <c r="Y20" s="60"/>
      <c r="Z20" s="60"/>
      <c r="AA20" s="60"/>
      <c r="AB20" s="60"/>
      <c r="AC20" s="60"/>
      <c r="AD20" s="60"/>
      <c r="AE20" s="60"/>
      <c r="AF20" s="61"/>
      <c r="AH20" s="83"/>
      <c r="AI20" s="83"/>
      <c r="AJ20" s="83"/>
      <c r="AK20" s="83"/>
      <c r="AL20" s="83"/>
      <c r="AM20" s="60"/>
      <c r="AN20" s="60"/>
      <c r="AO20" s="60"/>
      <c r="AP20" s="60"/>
      <c r="AQ20" s="60"/>
      <c r="AR20" s="60"/>
      <c r="AS20" s="60"/>
      <c r="AT20" s="60"/>
      <c r="AU20" s="61"/>
    </row>
    <row r="21" spans="1:47" s="10" customFormat="1">
      <c r="A21" s="52"/>
      <c r="B21" s="63" t="s">
        <v>93</v>
      </c>
      <c r="C21" s="52"/>
      <c r="D21" s="64">
        <f t="shared" ref="D21:K21" si="19">SUM(D16:D20)</f>
        <v>-13657.689999999999</v>
      </c>
      <c r="E21" s="64">
        <f t="shared" si="19"/>
        <v>-9380.7200000000012</v>
      </c>
      <c r="F21" s="64">
        <f t="shared" si="19"/>
        <v>-13863.07</v>
      </c>
      <c r="G21" s="64">
        <f t="shared" si="19"/>
        <v>-7264.1900000000005</v>
      </c>
      <c r="H21" s="64">
        <f t="shared" si="19"/>
        <v>-8666.41</v>
      </c>
      <c r="I21" s="64">
        <f t="shared" si="19"/>
        <v>-28148.129999999997</v>
      </c>
      <c r="J21" s="64">
        <f t="shared" si="19"/>
        <v>-22237.5</v>
      </c>
      <c r="K21" s="64">
        <f t="shared" si="19"/>
        <v>-3326.7</v>
      </c>
      <c r="L21" s="64">
        <f t="shared" ref="L21:O21" ca="1" si="20">SUM(L16:L20)</f>
        <v>-48129</v>
      </c>
      <c r="M21" s="65">
        <f t="shared" ca="1" si="20"/>
        <v>-48300</v>
      </c>
      <c r="N21" s="65">
        <f t="shared" ca="1" si="20"/>
        <v>-15510</v>
      </c>
      <c r="O21" s="65">
        <f t="shared" ca="1" si="20"/>
        <v>-13690</v>
      </c>
      <c r="P21" s="61"/>
      <c r="Q21" s="65">
        <f ca="1">SUM(D21:O21)</f>
        <v>-232173.40999999997</v>
      </c>
      <c r="R21" s="52"/>
      <c r="S21" s="84">
        <f t="shared" ref="S21:AD21" ca="1" si="21">SUM(S16:S20)</f>
        <v>-15601.356600888888</v>
      </c>
      <c r="T21" s="84">
        <f t="shared" ca="1" si="21"/>
        <v>-26694.281791871996</v>
      </c>
      <c r="U21" s="84">
        <f t="shared" ca="1" si="21"/>
        <v>-18455.308394553191</v>
      </c>
      <c r="V21" s="84">
        <f t="shared" ca="1" si="21"/>
        <v>-15605.589866938251</v>
      </c>
      <c r="W21" s="84">
        <f t="shared" ca="1" si="21"/>
        <v>-13809.370757923403</v>
      </c>
      <c r="X21" s="65">
        <f t="shared" ca="1" si="21"/>
        <v>-28388.870276293146</v>
      </c>
      <c r="Y21" s="65">
        <f t="shared" ca="1" si="21"/>
        <v>-15457.746875302128</v>
      </c>
      <c r="Z21" s="65">
        <f t="shared" ca="1" si="21"/>
        <v>-14395.575994700708</v>
      </c>
      <c r="AA21" s="65">
        <f t="shared" ca="1" si="21"/>
        <v>-41488.018959432622</v>
      </c>
      <c r="AB21" s="65">
        <f t="shared" ca="1" si="21"/>
        <v>-33128.643752245865</v>
      </c>
      <c r="AC21" s="65">
        <f t="shared" ca="1" si="21"/>
        <v>-12508.479553089361</v>
      </c>
      <c r="AD21" s="65">
        <f t="shared" ca="1" si="21"/>
        <v>-17134.241592888888</v>
      </c>
      <c r="AE21" s="61"/>
      <c r="AF21" s="65">
        <f ca="1">SUM(S21:AD21)</f>
        <v>-252667.48441612849</v>
      </c>
      <c r="AG21" s="7"/>
      <c r="AH21" s="84">
        <f t="shared" ref="AH21:AS21" ca="1" si="22">SUM(AH16:AH20)</f>
        <v>-14790.353883869506</v>
      </c>
      <c r="AI21" s="84">
        <f t="shared" ca="1" si="22"/>
        <v>-33818.35494218675</v>
      </c>
      <c r="AJ21" s="84">
        <f t="shared" ca="1" si="22"/>
        <v>-18295.414226553192</v>
      </c>
      <c r="AK21" s="84">
        <f t="shared" ca="1" si="22"/>
        <v>-17192.844604797501</v>
      </c>
      <c r="AL21" s="84">
        <f t="shared" ca="1" si="22"/>
        <v>-13655.988832163404</v>
      </c>
      <c r="AM21" s="65">
        <f t="shared" ca="1" si="22"/>
        <v>-42842.137725775887</v>
      </c>
      <c r="AN21" s="65">
        <f t="shared" ca="1" si="22"/>
        <v>-13036.658767516597</v>
      </c>
      <c r="AO21" s="65">
        <f t="shared" ca="1" si="22"/>
        <v>-14173.124127044537</v>
      </c>
      <c r="AP21" s="65">
        <f t="shared" ca="1" si="22"/>
        <v>-46880.09475131915</v>
      </c>
      <c r="AQ21" s="65">
        <f t="shared" ca="1" si="22"/>
        <v>-33439.637281134754</v>
      </c>
      <c r="AR21" s="65">
        <f t="shared" ca="1" si="22"/>
        <v>-11877.771672238297</v>
      </c>
      <c r="AS21" s="65">
        <f t="shared" ca="1" si="22"/>
        <v>-17542.943637333334</v>
      </c>
      <c r="AT21" s="61"/>
      <c r="AU21" s="65">
        <f ca="1">SUM(AH21:AS21)</f>
        <v>-277545.32445193292</v>
      </c>
    </row>
    <row r="22" spans="1:47">
      <c r="D22" s="97">
        <f t="shared" ref="D22:K22" si="23">D21/D12</f>
        <v>-0.52193550827958002</v>
      </c>
      <c r="E22" s="97">
        <f t="shared" si="23"/>
        <v>-0.11428517127266752</v>
      </c>
      <c r="F22" s="97">
        <f t="shared" si="23"/>
        <v>-0.24078510519857332</v>
      </c>
      <c r="G22" s="97">
        <f t="shared" si="23"/>
        <v>-0.24021411035803664</v>
      </c>
      <c r="H22" s="97">
        <f t="shared" si="23"/>
        <v>-0.24594267701018685</v>
      </c>
      <c r="I22" s="97">
        <f t="shared" si="23"/>
        <v>-0.34333720563739811</v>
      </c>
      <c r="J22" s="97">
        <f t="shared" si="23"/>
        <v>-0.27164210354270169</v>
      </c>
      <c r="K22" s="97">
        <f t="shared" si="23"/>
        <v>-0.16380341817214944</v>
      </c>
      <c r="L22" s="97">
        <f t="shared" ref="L22:O22" ca="1" si="24">L21/L12</f>
        <v>-0.30068034010757994</v>
      </c>
      <c r="M22" s="91">
        <f t="shared" ca="1" si="24"/>
        <v>-0.28411764705882353</v>
      </c>
      <c r="N22" s="91">
        <f t="shared" ca="1" si="24"/>
        <v>-0.26288135593220341</v>
      </c>
      <c r="O22" s="91">
        <f t="shared" ca="1" si="24"/>
        <v>-0.25830188679245281</v>
      </c>
      <c r="P22" s="60"/>
      <c r="Q22" s="91">
        <f ca="1">Q21/Q12</f>
        <v>-0.27074833919085112</v>
      </c>
      <c r="S22" s="91">
        <f t="shared" ref="S22:AD22" ca="1" si="25">S21/S12</f>
        <v>-0.23372136516393194</v>
      </c>
      <c r="T22" s="91">
        <f t="shared" ca="1" si="25"/>
        <v>-0.24</v>
      </c>
      <c r="U22" s="91">
        <f t="shared" ca="1" si="25"/>
        <v>-0.24</v>
      </c>
      <c r="V22" s="91">
        <f t="shared" ca="1" si="25"/>
        <v>-0.23372302379904311</v>
      </c>
      <c r="W22" s="91">
        <f t="shared" ca="1" si="25"/>
        <v>-0.24</v>
      </c>
      <c r="X22" s="91">
        <f t="shared" ca="1" si="25"/>
        <v>-0.23650837504669292</v>
      </c>
      <c r="Y22" s="91">
        <f t="shared" ca="1" si="25"/>
        <v>-0.24</v>
      </c>
      <c r="Z22" s="91">
        <f t="shared" ca="1" si="25"/>
        <v>-0.24</v>
      </c>
      <c r="AA22" s="91">
        <f t="shared" ca="1" si="25"/>
        <v>-0.23294051905495539</v>
      </c>
      <c r="AB22" s="91">
        <f t="shared" ca="1" si="25"/>
        <v>-0.23407736546890878</v>
      </c>
      <c r="AC22" s="91">
        <f t="shared" ca="1" si="25"/>
        <v>-0.24</v>
      </c>
      <c r="AD22" s="91">
        <f t="shared" ca="1" si="25"/>
        <v>-0.23426966071024452</v>
      </c>
      <c r="AE22" s="60"/>
      <c r="AF22" s="91">
        <f ca="1">AF21/AF12</f>
        <v>-0.23646981040356885</v>
      </c>
      <c r="AH22" s="91">
        <f t="shared" ref="AH22:AS22" ca="1" si="26">AH21/AH12</f>
        <v>-0.23306545740811591</v>
      </c>
      <c r="AI22" s="91">
        <f t="shared" ca="1" si="26"/>
        <v>-0.24</v>
      </c>
      <c r="AJ22" s="91">
        <f t="shared" ca="1" si="26"/>
        <v>-0.24</v>
      </c>
      <c r="AK22" s="91">
        <f t="shared" ca="1" si="26"/>
        <v>-0.23401029141620411</v>
      </c>
      <c r="AL22" s="91">
        <f t="shared" ca="1" si="26"/>
        <v>-0.24</v>
      </c>
      <c r="AM22" s="91">
        <f t="shared" ca="1" si="26"/>
        <v>-0.23755982853732741</v>
      </c>
      <c r="AN22" s="91">
        <f t="shared" ca="1" si="26"/>
        <v>-0.24</v>
      </c>
      <c r="AO22" s="91">
        <f t="shared" ca="1" si="26"/>
        <v>-0.24</v>
      </c>
      <c r="AP22" s="91">
        <f t="shared" ca="1" si="26"/>
        <v>-0.23342643024000745</v>
      </c>
      <c r="AQ22" s="91">
        <f t="shared" ca="1" si="26"/>
        <v>-0.2338451803080831</v>
      </c>
      <c r="AR22" s="91">
        <f t="shared" ca="1" si="26"/>
        <v>-0.24</v>
      </c>
      <c r="AS22" s="91">
        <f t="shared" ca="1" si="26"/>
        <v>-0.23412690099073638</v>
      </c>
      <c r="AT22" s="60"/>
      <c r="AU22" s="91">
        <f ca="1">AU21/AU12</f>
        <v>-0.2366233605852146</v>
      </c>
    </row>
    <row r="23" spans="1:47" outlineLevel="1">
      <c r="B23" s="67" t="s">
        <v>94</v>
      </c>
      <c r="C23" s="52"/>
      <c r="D23" s="68">
        <f t="shared" ref="D23:K23" si="27">D7+D16</f>
        <v>13140.32</v>
      </c>
      <c r="E23" s="68">
        <f t="shared" si="27"/>
        <v>60907.75</v>
      </c>
      <c r="F23" s="68">
        <f t="shared" si="27"/>
        <v>43711.38</v>
      </c>
      <c r="G23" s="68">
        <f t="shared" si="27"/>
        <v>17097.73</v>
      </c>
      <c r="H23" s="68">
        <f t="shared" si="27"/>
        <v>19176.810000000001</v>
      </c>
      <c r="I23" s="68">
        <f t="shared" si="27"/>
        <v>53191.22</v>
      </c>
      <c r="J23" s="68">
        <f t="shared" si="27"/>
        <v>60033.39</v>
      </c>
      <c r="K23" s="68">
        <f t="shared" si="27"/>
        <v>16982.399999999998</v>
      </c>
      <c r="L23" s="68">
        <f t="shared" ref="L23:O26" si="28">L7+L16</f>
        <v>97912</v>
      </c>
      <c r="M23" s="69">
        <f t="shared" si="28"/>
        <v>94900</v>
      </c>
      <c r="N23" s="69">
        <f t="shared" si="28"/>
        <v>33440</v>
      </c>
      <c r="O23" s="69">
        <f t="shared" si="28"/>
        <v>29260</v>
      </c>
      <c r="P23" s="69"/>
      <c r="Q23" s="69">
        <f>Q7+Q16</f>
        <v>539752.99999999988</v>
      </c>
      <c r="S23" s="85">
        <f t="shared" ref="S23:AD26" si="29">S7+S16</f>
        <v>43131.481088</v>
      </c>
      <c r="T23" s="85">
        <f t="shared" si="29"/>
        <v>84531.892340927996</v>
      </c>
      <c r="U23" s="85">
        <f t="shared" si="29"/>
        <v>58441.809916085105</v>
      </c>
      <c r="V23" s="85">
        <f t="shared" si="29"/>
        <v>43144.886430489649</v>
      </c>
      <c r="W23" s="85">
        <f t="shared" si="29"/>
        <v>43729.674066757449</v>
      </c>
      <c r="X23" s="69">
        <f t="shared" si="29"/>
        <v>83625.274393446816</v>
      </c>
      <c r="Y23" s="69">
        <f t="shared" si="29"/>
        <v>48949.531771790076</v>
      </c>
      <c r="Z23" s="69">
        <f t="shared" si="29"/>
        <v>45585.990649885578</v>
      </c>
      <c r="AA23" s="69">
        <f t="shared" si="29"/>
        <v>112560.28226042553</v>
      </c>
      <c r="AB23" s="69">
        <f t="shared" si="29"/>
        <v>92361.742252482276</v>
      </c>
      <c r="AC23" s="69">
        <f t="shared" si="29"/>
        <v>39610.185251449642</v>
      </c>
      <c r="AD23" s="69">
        <f t="shared" si="29"/>
        <v>47985.616896</v>
      </c>
      <c r="AE23" s="69"/>
      <c r="AF23" s="69">
        <f>AF7+AF16</f>
        <v>743658.36731774011</v>
      </c>
      <c r="AH23" s="85">
        <f t="shared" ref="AH23:AS26" si="30">AH7+AH16</f>
        <v>40249.665076697871</v>
      </c>
      <c r="AI23" s="85">
        <f t="shared" si="30"/>
        <v>107091.45731692472</v>
      </c>
      <c r="AJ23" s="85">
        <f t="shared" si="30"/>
        <v>57935.478384085109</v>
      </c>
      <c r="AK23" s="85">
        <f t="shared" si="30"/>
        <v>47857.552359636538</v>
      </c>
      <c r="AL23" s="85">
        <f t="shared" si="30"/>
        <v>43243.964635184115</v>
      </c>
      <c r="AM23" s="69">
        <f t="shared" si="30"/>
        <v>129080.31390940143</v>
      </c>
      <c r="AN23" s="69">
        <f t="shared" si="30"/>
        <v>41282.752763802564</v>
      </c>
      <c r="AO23" s="69">
        <f t="shared" si="30"/>
        <v>44881.559735641036</v>
      </c>
      <c r="AP23" s="69">
        <f t="shared" si="30"/>
        <v>128694.26671251062</v>
      </c>
      <c r="AQ23" s="69">
        <f t="shared" si="30"/>
        <v>92719.27361248227</v>
      </c>
      <c r="AR23" s="69">
        <f t="shared" si="30"/>
        <v>37612.943628754612</v>
      </c>
      <c r="AS23" s="69">
        <f t="shared" si="30"/>
        <v>48966.199296000006</v>
      </c>
      <c r="AT23" s="69"/>
      <c r="AU23" s="69">
        <f>AU7+AU16</f>
        <v>819615.42743112077</v>
      </c>
    </row>
    <row r="24" spans="1:47" outlineLevel="1">
      <c r="B24" s="67" t="s">
        <v>95</v>
      </c>
      <c r="C24" s="52"/>
      <c r="D24" s="68">
        <f t="shared" ref="D24:K24" si="31">D8+D17</f>
        <v>-630.61999999999898</v>
      </c>
      <c r="E24" s="68">
        <f t="shared" si="31"/>
        <v>11793.22</v>
      </c>
      <c r="F24" s="68">
        <f t="shared" si="31"/>
        <v>0</v>
      </c>
      <c r="G24" s="68">
        <f t="shared" si="31"/>
        <v>5878.56</v>
      </c>
      <c r="H24" s="68">
        <f t="shared" si="31"/>
        <v>7394.3</v>
      </c>
      <c r="I24" s="68">
        <f t="shared" si="31"/>
        <v>644.57000000000153</v>
      </c>
      <c r="J24" s="68">
        <f t="shared" si="31"/>
        <v>-407.66</v>
      </c>
      <c r="K24" s="68">
        <f t="shared" si="31"/>
        <v>0</v>
      </c>
      <c r="L24" s="68">
        <f t="shared" si="28"/>
        <v>14026</v>
      </c>
      <c r="M24" s="69">
        <f t="shared" si="28"/>
        <v>26800</v>
      </c>
      <c r="N24" s="69">
        <f t="shared" si="28"/>
        <v>10050</v>
      </c>
      <c r="O24" s="69">
        <f t="shared" si="28"/>
        <v>10050</v>
      </c>
      <c r="P24" s="69"/>
      <c r="Q24" s="69">
        <f>Q8+Q17</f>
        <v>85598.37</v>
      </c>
      <c r="S24" s="85">
        <f t="shared" si="29"/>
        <v>8019.1111111111113</v>
      </c>
      <c r="T24" s="85">
        <f t="shared" si="29"/>
        <v>0</v>
      </c>
      <c r="U24" s="85">
        <f t="shared" si="29"/>
        <v>0</v>
      </c>
      <c r="V24" s="85">
        <f t="shared" si="29"/>
        <v>8019.1111111111113</v>
      </c>
      <c r="W24" s="85">
        <f t="shared" si="29"/>
        <v>0</v>
      </c>
      <c r="X24" s="69">
        <f t="shared" si="29"/>
        <v>8019.1111111111113</v>
      </c>
      <c r="Y24" s="69">
        <f t="shared" si="29"/>
        <v>0</v>
      </c>
      <c r="Z24" s="69">
        <f t="shared" si="29"/>
        <v>0</v>
      </c>
      <c r="AA24" s="69">
        <f t="shared" si="29"/>
        <v>24057.333333333332</v>
      </c>
      <c r="AB24" s="69">
        <f t="shared" si="29"/>
        <v>16038.222222222223</v>
      </c>
      <c r="AC24" s="69">
        <f t="shared" si="29"/>
        <v>0</v>
      </c>
      <c r="AD24" s="69">
        <f t="shared" si="29"/>
        <v>8019.1111111111113</v>
      </c>
      <c r="AE24" s="69"/>
      <c r="AF24" s="69">
        <f>AF8+AF17</f>
        <v>72172</v>
      </c>
      <c r="AH24" s="85">
        <f t="shared" si="30"/>
        <v>8420.0666666666657</v>
      </c>
      <c r="AI24" s="85">
        <f t="shared" si="30"/>
        <v>0</v>
      </c>
      <c r="AJ24" s="85">
        <f t="shared" si="30"/>
        <v>0</v>
      </c>
      <c r="AK24" s="85">
        <f t="shared" si="30"/>
        <v>8420.0666666666657</v>
      </c>
      <c r="AL24" s="85">
        <f t="shared" si="30"/>
        <v>0</v>
      </c>
      <c r="AM24" s="69">
        <f t="shared" si="30"/>
        <v>8420.0666666666657</v>
      </c>
      <c r="AN24" s="69">
        <f t="shared" si="30"/>
        <v>0</v>
      </c>
      <c r="AO24" s="69">
        <f t="shared" si="30"/>
        <v>0</v>
      </c>
      <c r="AP24" s="69">
        <f t="shared" si="30"/>
        <v>25260.2</v>
      </c>
      <c r="AQ24" s="69">
        <f t="shared" si="30"/>
        <v>16840.133333333331</v>
      </c>
      <c r="AR24" s="69">
        <f t="shared" si="30"/>
        <v>0</v>
      </c>
      <c r="AS24" s="69">
        <f t="shared" si="30"/>
        <v>8420.0666666666657</v>
      </c>
      <c r="AT24" s="69"/>
      <c r="AU24" s="69">
        <f>AU8+AU17</f>
        <v>75780.600000000006</v>
      </c>
    </row>
    <row r="25" spans="1:47" outlineLevel="1">
      <c r="B25" s="67" t="s">
        <v>96</v>
      </c>
      <c r="C25" s="52"/>
      <c r="D25" s="68">
        <f t="shared" ref="D25:K25" si="32">D9+D18</f>
        <v>0</v>
      </c>
      <c r="E25" s="68">
        <f t="shared" si="32"/>
        <v>0</v>
      </c>
      <c r="F25" s="68">
        <f t="shared" si="32"/>
        <v>0</v>
      </c>
      <c r="G25" s="68">
        <f t="shared" si="32"/>
        <v>0</v>
      </c>
      <c r="H25" s="68">
        <f t="shared" si="32"/>
        <v>0</v>
      </c>
      <c r="I25" s="68">
        <f t="shared" si="32"/>
        <v>0</v>
      </c>
      <c r="J25" s="68">
        <f t="shared" si="32"/>
        <v>0</v>
      </c>
      <c r="K25" s="68">
        <f t="shared" si="32"/>
        <v>0</v>
      </c>
      <c r="L25" s="68">
        <f t="shared" ca="1" si="28"/>
        <v>0</v>
      </c>
      <c r="M25" s="69">
        <f t="shared" ca="1" si="28"/>
        <v>0</v>
      </c>
      <c r="N25" s="69">
        <f t="shared" ca="1" si="28"/>
        <v>0</v>
      </c>
      <c r="O25" s="69">
        <f t="shared" ca="1" si="28"/>
        <v>0</v>
      </c>
      <c r="P25" s="69"/>
      <c r="Q25" s="69">
        <f ca="1">Q9+Q18</f>
        <v>0</v>
      </c>
      <c r="S25" s="85">
        <f t="shared" ca="1" si="29"/>
        <v>0</v>
      </c>
      <c r="T25" s="85">
        <f t="shared" ca="1" si="29"/>
        <v>0</v>
      </c>
      <c r="U25" s="85">
        <f t="shared" ca="1" si="29"/>
        <v>0</v>
      </c>
      <c r="V25" s="85">
        <f t="shared" ca="1" si="29"/>
        <v>0</v>
      </c>
      <c r="W25" s="85">
        <f t="shared" ca="1" si="29"/>
        <v>0</v>
      </c>
      <c r="X25" s="69">
        <f t="shared" ca="1" si="29"/>
        <v>0</v>
      </c>
      <c r="Y25" s="69">
        <f t="shared" ca="1" si="29"/>
        <v>0</v>
      </c>
      <c r="Z25" s="69">
        <f t="shared" ca="1" si="29"/>
        <v>0</v>
      </c>
      <c r="AA25" s="69">
        <f t="shared" ca="1" si="29"/>
        <v>0</v>
      </c>
      <c r="AB25" s="69">
        <f t="shared" ca="1" si="29"/>
        <v>0</v>
      </c>
      <c r="AC25" s="69">
        <f t="shared" ca="1" si="29"/>
        <v>0</v>
      </c>
      <c r="AD25" s="69">
        <f t="shared" ca="1" si="29"/>
        <v>0</v>
      </c>
      <c r="AE25" s="69"/>
      <c r="AF25" s="69">
        <f ca="1">AF9+AF18</f>
        <v>0</v>
      </c>
      <c r="AH25" s="85">
        <f t="shared" ca="1" si="30"/>
        <v>0</v>
      </c>
      <c r="AI25" s="85">
        <f t="shared" ca="1" si="30"/>
        <v>0</v>
      </c>
      <c r="AJ25" s="85">
        <f t="shared" ca="1" si="30"/>
        <v>0</v>
      </c>
      <c r="AK25" s="85">
        <f t="shared" ca="1" si="30"/>
        <v>0</v>
      </c>
      <c r="AL25" s="85">
        <f t="shared" ca="1" si="30"/>
        <v>0</v>
      </c>
      <c r="AM25" s="69">
        <f t="shared" ca="1" si="30"/>
        <v>0</v>
      </c>
      <c r="AN25" s="69">
        <f t="shared" ca="1" si="30"/>
        <v>0</v>
      </c>
      <c r="AO25" s="69">
        <f t="shared" ca="1" si="30"/>
        <v>0</v>
      </c>
      <c r="AP25" s="69">
        <f t="shared" ca="1" si="30"/>
        <v>0</v>
      </c>
      <c r="AQ25" s="69">
        <f t="shared" ca="1" si="30"/>
        <v>0</v>
      </c>
      <c r="AR25" s="69">
        <f t="shared" ca="1" si="30"/>
        <v>0</v>
      </c>
      <c r="AS25" s="69">
        <f t="shared" ca="1" si="30"/>
        <v>0</v>
      </c>
      <c r="AT25" s="69"/>
      <c r="AU25" s="69">
        <f ca="1">AU9+AU18</f>
        <v>0</v>
      </c>
    </row>
    <row r="26" spans="1:47" outlineLevel="1">
      <c r="B26" s="67" t="s">
        <v>97</v>
      </c>
      <c r="C26" s="52"/>
      <c r="D26" s="68">
        <f t="shared" ref="D26:K26" si="33">D10+D19</f>
        <v>0</v>
      </c>
      <c r="E26" s="68">
        <f t="shared" si="33"/>
        <v>0</v>
      </c>
      <c r="F26" s="68">
        <f t="shared" si="33"/>
        <v>0</v>
      </c>
      <c r="G26" s="68">
        <f t="shared" si="33"/>
        <v>0</v>
      </c>
      <c r="H26" s="68">
        <f t="shared" si="33"/>
        <v>0</v>
      </c>
      <c r="I26" s="68">
        <f t="shared" si="33"/>
        <v>0</v>
      </c>
      <c r="J26" s="68">
        <f t="shared" si="33"/>
        <v>0</v>
      </c>
      <c r="K26" s="68">
        <f t="shared" si="33"/>
        <v>0</v>
      </c>
      <c r="L26" s="68">
        <f t="shared" si="28"/>
        <v>0</v>
      </c>
      <c r="M26" s="69">
        <f t="shared" si="28"/>
        <v>0</v>
      </c>
      <c r="N26" s="69">
        <f t="shared" si="28"/>
        <v>0</v>
      </c>
      <c r="O26" s="69">
        <f t="shared" si="28"/>
        <v>0</v>
      </c>
      <c r="P26" s="69"/>
      <c r="Q26" s="69">
        <f>Q10+Q19</f>
        <v>0</v>
      </c>
      <c r="S26" s="85">
        <f t="shared" si="29"/>
        <v>0</v>
      </c>
      <c r="T26" s="85">
        <f t="shared" si="29"/>
        <v>0</v>
      </c>
      <c r="U26" s="85">
        <f t="shared" si="29"/>
        <v>0</v>
      </c>
      <c r="V26" s="85">
        <f t="shared" si="29"/>
        <v>0</v>
      </c>
      <c r="W26" s="85">
        <f t="shared" si="29"/>
        <v>0</v>
      </c>
      <c r="X26" s="69">
        <f t="shared" si="29"/>
        <v>0</v>
      </c>
      <c r="Y26" s="69">
        <f t="shared" si="29"/>
        <v>0</v>
      </c>
      <c r="Z26" s="69">
        <f t="shared" si="29"/>
        <v>0</v>
      </c>
      <c r="AA26" s="69">
        <f t="shared" si="29"/>
        <v>0</v>
      </c>
      <c r="AB26" s="69">
        <f t="shared" si="29"/>
        <v>0</v>
      </c>
      <c r="AC26" s="69">
        <f t="shared" si="29"/>
        <v>0</v>
      </c>
      <c r="AD26" s="69">
        <f t="shared" si="29"/>
        <v>0</v>
      </c>
      <c r="AE26" s="69"/>
      <c r="AF26" s="69">
        <f>AF10+AF19</f>
        <v>0</v>
      </c>
      <c r="AH26" s="85">
        <f t="shared" si="30"/>
        <v>0</v>
      </c>
      <c r="AI26" s="85">
        <f t="shared" si="30"/>
        <v>0</v>
      </c>
      <c r="AJ26" s="85">
        <f t="shared" si="30"/>
        <v>0</v>
      </c>
      <c r="AK26" s="85">
        <f t="shared" si="30"/>
        <v>0</v>
      </c>
      <c r="AL26" s="85">
        <f t="shared" si="30"/>
        <v>0</v>
      </c>
      <c r="AM26" s="69">
        <f t="shared" si="30"/>
        <v>0</v>
      </c>
      <c r="AN26" s="69">
        <f t="shared" si="30"/>
        <v>0</v>
      </c>
      <c r="AO26" s="69">
        <f t="shared" si="30"/>
        <v>0</v>
      </c>
      <c r="AP26" s="69">
        <f t="shared" si="30"/>
        <v>0</v>
      </c>
      <c r="AQ26" s="69">
        <f t="shared" si="30"/>
        <v>0</v>
      </c>
      <c r="AR26" s="69">
        <f t="shared" si="30"/>
        <v>0</v>
      </c>
      <c r="AS26" s="69">
        <f t="shared" si="30"/>
        <v>0</v>
      </c>
      <c r="AT26" s="69"/>
      <c r="AU26" s="69">
        <f>AU10+AU19</f>
        <v>0</v>
      </c>
    </row>
    <row r="27" spans="1:47">
      <c r="B27" s="67" t="s">
        <v>98</v>
      </c>
      <c r="C27" s="52"/>
      <c r="D27" s="68">
        <f t="shared" ref="D27:K27" si="34">D12+D21</f>
        <v>12509.7</v>
      </c>
      <c r="E27" s="68">
        <f t="shared" si="34"/>
        <v>72700.97</v>
      </c>
      <c r="F27" s="68">
        <f t="shared" si="34"/>
        <v>43711.38</v>
      </c>
      <c r="G27" s="68">
        <f t="shared" si="34"/>
        <v>22976.29</v>
      </c>
      <c r="H27" s="68">
        <f t="shared" si="34"/>
        <v>26571.110000000004</v>
      </c>
      <c r="I27" s="68">
        <f t="shared" si="34"/>
        <v>53835.79</v>
      </c>
      <c r="J27" s="68">
        <f t="shared" si="34"/>
        <v>59625.729999999996</v>
      </c>
      <c r="K27" s="68">
        <f t="shared" si="34"/>
        <v>16982.399999999998</v>
      </c>
      <c r="L27" s="68">
        <f t="shared" ref="L27:O27" ca="1" si="35">L12+L21</f>
        <v>111938</v>
      </c>
      <c r="M27" s="69">
        <f t="shared" ca="1" si="35"/>
        <v>121700</v>
      </c>
      <c r="N27" s="69">
        <f t="shared" ca="1" si="35"/>
        <v>43490</v>
      </c>
      <c r="O27" s="69">
        <f t="shared" ca="1" si="35"/>
        <v>39310</v>
      </c>
      <c r="P27" s="69"/>
      <c r="Q27" s="69">
        <f ca="1">Q12+Q21</f>
        <v>625351.37000000011</v>
      </c>
      <c r="S27" s="85">
        <f t="shared" ref="S27:AD27" ca="1" si="36">S12+S21</f>
        <v>51150.59219911111</v>
      </c>
      <c r="T27" s="85">
        <f t="shared" ca="1" si="36"/>
        <v>84531.892340927996</v>
      </c>
      <c r="U27" s="85">
        <f t="shared" ca="1" si="36"/>
        <v>58441.809916085105</v>
      </c>
      <c r="V27" s="85">
        <f t="shared" ca="1" si="36"/>
        <v>51163.997541600758</v>
      </c>
      <c r="W27" s="85">
        <f t="shared" ca="1" si="36"/>
        <v>43729.674066757449</v>
      </c>
      <c r="X27" s="69">
        <f t="shared" ca="1" si="36"/>
        <v>91644.385504557926</v>
      </c>
      <c r="Y27" s="69">
        <f t="shared" ca="1" si="36"/>
        <v>48949.531771790076</v>
      </c>
      <c r="Z27" s="69">
        <f t="shared" ca="1" si="36"/>
        <v>45585.990649885578</v>
      </c>
      <c r="AA27" s="69">
        <f t="shared" ca="1" si="36"/>
        <v>136617.61559375888</v>
      </c>
      <c r="AB27" s="69">
        <f t="shared" ca="1" si="36"/>
        <v>108399.96447470447</v>
      </c>
      <c r="AC27" s="69">
        <f t="shared" ca="1" si="36"/>
        <v>39610.185251449642</v>
      </c>
      <c r="AD27" s="69">
        <f t="shared" ca="1" si="36"/>
        <v>56004.728007111109</v>
      </c>
      <c r="AE27" s="69"/>
      <c r="AF27" s="69">
        <f ca="1">AF12+AF21</f>
        <v>815830.36731773999</v>
      </c>
      <c r="AH27" s="85">
        <f t="shared" ref="AH27:AS27" ca="1" si="37">AH12+AH21</f>
        <v>48669.731743364537</v>
      </c>
      <c r="AI27" s="85">
        <f t="shared" ca="1" si="37"/>
        <v>107091.45731692472</v>
      </c>
      <c r="AJ27" s="85">
        <f t="shared" ca="1" si="37"/>
        <v>57935.478384085109</v>
      </c>
      <c r="AK27" s="85">
        <f t="shared" ca="1" si="37"/>
        <v>56277.619026303204</v>
      </c>
      <c r="AL27" s="85">
        <f t="shared" ca="1" si="37"/>
        <v>43243.964635184115</v>
      </c>
      <c r="AM27" s="69">
        <f t="shared" ca="1" si="37"/>
        <v>137500.3805760681</v>
      </c>
      <c r="AN27" s="69">
        <f t="shared" ca="1" si="37"/>
        <v>41282.752763802564</v>
      </c>
      <c r="AO27" s="69">
        <f t="shared" ca="1" si="37"/>
        <v>44881.559735641036</v>
      </c>
      <c r="AP27" s="69">
        <f t="shared" ca="1" si="37"/>
        <v>153954.46671251062</v>
      </c>
      <c r="AQ27" s="69">
        <f t="shared" ca="1" si="37"/>
        <v>109559.4069458156</v>
      </c>
      <c r="AR27" s="69">
        <f t="shared" ca="1" si="37"/>
        <v>37612.943628754612</v>
      </c>
      <c r="AS27" s="69">
        <f t="shared" ca="1" si="37"/>
        <v>57386.265962666672</v>
      </c>
      <c r="AT27" s="69"/>
      <c r="AU27" s="69">
        <f ca="1">AU12+AU21</f>
        <v>895396.02743112086</v>
      </c>
    </row>
    <row r="28" spans="1:47">
      <c r="B28" s="52"/>
      <c r="C28" s="52"/>
      <c r="D28" s="70"/>
      <c r="E28" s="70"/>
      <c r="F28" s="70"/>
      <c r="G28" s="70"/>
      <c r="H28" s="70"/>
      <c r="I28" s="70"/>
      <c r="J28" s="70"/>
      <c r="K28" s="70"/>
      <c r="L28" s="70"/>
      <c r="M28" s="52"/>
      <c r="N28" s="52"/>
      <c r="O28" s="52"/>
      <c r="P28" s="52"/>
      <c r="S28" s="10"/>
      <c r="T28" s="10"/>
      <c r="U28" s="10"/>
      <c r="V28" s="10"/>
      <c r="W28" s="10"/>
      <c r="X28" s="52"/>
      <c r="Y28" s="52"/>
      <c r="Z28" s="52"/>
      <c r="AA28" s="52"/>
      <c r="AB28" s="52"/>
      <c r="AC28" s="52"/>
      <c r="AD28" s="52"/>
      <c r="AE28" s="52"/>
      <c r="AH28" s="10"/>
      <c r="AI28" s="10"/>
      <c r="AJ28" s="10"/>
      <c r="AK28" s="10"/>
      <c r="AL28" s="10"/>
      <c r="AM28" s="52"/>
      <c r="AN28" s="52"/>
      <c r="AO28" s="52"/>
      <c r="AP28" s="52"/>
      <c r="AQ28" s="52"/>
      <c r="AR28" s="52"/>
      <c r="AS28" s="52"/>
      <c r="AT28" s="52"/>
    </row>
    <row r="29" spans="1:47" outlineLevel="1">
      <c r="B29" s="67" t="s">
        <v>99</v>
      </c>
      <c r="C29" s="52"/>
      <c r="D29" s="97">
        <f t="shared" ref="D29:K29" si="38">IFERROR(D23/D7,0)</f>
        <v>0.71803575556122634</v>
      </c>
      <c r="E29" s="97">
        <f t="shared" si="38"/>
        <v>0.76387750569166823</v>
      </c>
      <c r="F29" s="97">
        <f t="shared" si="38"/>
        <v>0.75921489480142668</v>
      </c>
      <c r="G29" s="97">
        <f t="shared" si="38"/>
        <v>0.84772828238355324</v>
      </c>
      <c r="H29" s="97">
        <f t="shared" si="38"/>
        <v>0.83235716927179648</v>
      </c>
      <c r="I29" s="97">
        <f t="shared" si="38"/>
        <v>0.74179366866640017</v>
      </c>
      <c r="J29" s="97">
        <f t="shared" si="38"/>
        <v>0.73333766576276072</v>
      </c>
      <c r="K29" s="97">
        <f t="shared" si="38"/>
        <v>0.8361965818278505</v>
      </c>
      <c r="L29" s="97">
        <f t="shared" ref="L29:O32" si="39">IFERROR(L23/L7,0)</f>
        <v>0.72521498248290883</v>
      </c>
      <c r="M29" s="91">
        <f t="shared" si="39"/>
        <v>0.73</v>
      </c>
      <c r="N29" s="91">
        <f t="shared" si="39"/>
        <v>0.76</v>
      </c>
      <c r="O29" s="91">
        <f t="shared" si="39"/>
        <v>0.77</v>
      </c>
      <c r="P29" s="91"/>
      <c r="Q29" s="91">
        <f>IFERROR(Q23/Q7,0)</f>
        <v>0.74996174139550986</v>
      </c>
      <c r="S29" s="91">
        <f t="shared" ref="S29:AD32" si="40">IFERROR(S23/S7,0)</f>
        <v>0.76</v>
      </c>
      <c r="T29" s="91">
        <f t="shared" si="40"/>
        <v>0.76</v>
      </c>
      <c r="U29" s="91">
        <f t="shared" si="40"/>
        <v>0.76</v>
      </c>
      <c r="V29" s="91">
        <f t="shared" si="40"/>
        <v>0.76</v>
      </c>
      <c r="W29" s="91">
        <f t="shared" si="40"/>
        <v>0.76</v>
      </c>
      <c r="X29" s="91">
        <f t="shared" si="40"/>
        <v>0.76</v>
      </c>
      <c r="Y29" s="91">
        <f t="shared" si="40"/>
        <v>0.76</v>
      </c>
      <c r="Z29" s="91">
        <f t="shared" si="40"/>
        <v>0.76</v>
      </c>
      <c r="AA29" s="91">
        <f t="shared" si="40"/>
        <v>0.76</v>
      </c>
      <c r="AB29" s="91">
        <f t="shared" si="40"/>
        <v>0.76</v>
      </c>
      <c r="AC29" s="91">
        <f t="shared" si="40"/>
        <v>0.76</v>
      </c>
      <c r="AD29" s="91">
        <f t="shared" si="40"/>
        <v>0.76</v>
      </c>
      <c r="AE29" s="91"/>
      <c r="AF29" s="91">
        <f>IFERROR(AF23/AF7,0)</f>
        <v>0.76000000000000012</v>
      </c>
      <c r="AH29" s="91">
        <f t="shared" ref="AH29:AS32" si="41">IFERROR(AH23/AH7,0)</f>
        <v>0.7599999999999999</v>
      </c>
      <c r="AI29" s="91">
        <f t="shared" si="41"/>
        <v>0.76</v>
      </c>
      <c r="AJ29" s="91">
        <f t="shared" si="41"/>
        <v>0.76</v>
      </c>
      <c r="AK29" s="91">
        <f t="shared" si="41"/>
        <v>0.76</v>
      </c>
      <c r="AL29" s="91">
        <f t="shared" si="41"/>
        <v>0.76</v>
      </c>
      <c r="AM29" s="91">
        <f t="shared" si="41"/>
        <v>0.76</v>
      </c>
      <c r="AN29" s="91">
        <f t="shared" si="41"/>
        <v>0.76000000000000012</v>
      </c>
      <c r="AO29" s="91">
        <f t="shared" si="41"/>
        <v>0.76</v>
      </c>
      <c r="AP29" s="91">
        <f t="shared" si="41"/>
        <v>0.76</v>
      </c>
      <c r="AQ29" s="91">
        <f t="shared" si="41"/>
        <v>0.76</v>
      </c>
      <c r="AR29" s="91">
        <f t="shared" si="41"/>
        <v>0.76</v>
      </c>
      <c r="AS29" s="91">
        <f t="shared" si="41"/>
        <v>0.76000000000000012</v>
      </c>
      <c r="AT29" s="91"/>
      <c r="AU29" s="91">
        <f>IFERROR(AU23/AU7,0)</f>
        <v>0.7599999999999999</v>
      </c>
    </row>
    <row r="30" spans="1:47" outlineLevel="1">
      <c r="B30" s="67" t="s">
        <v>100</v>
      </c>
      <c r="C30" s="52"/>
      <c r="D30" s="97">
        <f t="shared" ref="D30:K30" si="42">IFERROR(D24/D8,0)</f>
        <v>-8.0159958917099358E-2</v>
      </c>
      <c r="E30" s="97">
        <f t="shared" si="42"/>
        <v>5.0254056725983505</v>
      </c>
      <c r="F30" s="97">
        <f t="shared" si="42"/>
        <v>0</v>
      </c>
      <c r="G30" s="97">
        <f t="shared" si="42"/>
        <v>0.58367687358513043</v>
      </c>
      <c r="H30" s="97">
        <f t="shared" si="42"/>
        <v>0.60617164930367684</v>
      </c>
      <c r="I30" s="97">
        <f t="shared" si="42"/>
        <v>6.2715393521897062E-2</v>
      </c>
      <c r="J30" s="97">
        <f t="shared" si="42"/>
        <v>0</v>
      </c>
      <c r="K30" s="97">
        <f t="shared" si="42"/>
        <v>0</v>
      </c>
      <c r="L30" s="97">
        <f t="shared" si="39"/>
        <v>0.5597860791826309</v>
      </c>
      <c r="M30" s="91">
        <f t="shared" si="39"/>
        <v>0.67</v>
      </c>
      <c r="N30" s="91">
        <f t="shared" si="39"/>
        <v>0.67</v>
      </c>
      <c r="O30" s="91">
        <f t="shared" si="39"/>
        <v>0.67</v>
      </c>
      <c r="P30" s="91"/>
      <c r="Q30" s="91">
        <f>IFERROR(Q24/Q8,0)</f>
        <v>0.62109987563253988</v>
      </c>
      <c r="S30" s="91">
        <f t="shared" si="40"/>
        <v>0.80191111111111113</v>
      </c>
      <c r="T30" s="91">
        <f t="shared" si="40"/>
        <v>0</v>
      </c>
      <c r="U30" s="91">
        <f t="shared" si="40"/>
        <v>0</v>
      </c>
      <c r="V30" s="91">
        <f t="shared" si="40"/>
        <v>0.80191111111111113</v>
      </c>
      <c r="W30" s="91">
        <f t="shared" si="40"/>
        <v>0</v>
      </c>
      <c r="X30" s="91">
        <f t="shared" si="40"/>
        <v>0.80191111111111113</v>
      </c>
      <c r="Y30" s="91">
        <f t="shared" si="40"/>
        <v>0</v>
      </c>
      <c r="Z30" s="91">
        <f t="shared" si="40"/>
        <v>0</v>
      </c>
      <c r="AA30" s="91">
        <f t="shared" si="40"/>
        <v>0.80191111111111102</v>
      </c>
      <c r="AB30" s="91">
        <f t="shared" si="40"/>
        <v>0.80191111111111113</v>
      </c>
      <c r="AC30" s="91">
        <f t="shared" si="40"/>
        <v>0</v>
      </c>
      <c r="AD30" s="91">
        <f t="shared" si="40"/>
        <v>0.80191111111111113</v>
      </c>
      <c r="AE30" s="91"/>
      <c r="AF30" s="91">
        <f>IFERROR(AF24/AF8,0)</f>
        <v>0.80191111111111113</v>
      </c>
      <c r="AH30" s="91">
        <f t="shared" si="41"/>
        <v>0.80191111111111102</v>
      </c>
      <c r="AI30" s="91">
        <f t="shared" si="41"/>
        <v>0</v>
      </c>
      <c r="AJ30" s="91">
        <f t="shared" si="41"/>
        <v>0</v>
      </c>
      <c r="AK30" s="91">
        <f t="shared" si="41"/>
        <v>0.80191111111111102</v>
      </c>
      <c r="AL30" s="91">
        <f t="shared" si="41"/>
        <v>0</v>
      </c>
      <c r="AM30" s="91">
        <f t="shared" si="41"/>
        <v>0.80191111111111102</v>
      </c>
      <c r="AN30" s="91">
        <f t="shared" si="41"/>
        <v>0</v>
      </c>
      <c r="AO30" s="91">
        <f t="shared" si="41"/>
        <v>0</v>
      </c>
      <c r="AP30" s="91">
        <f t="shared" si="41"/>
        <v>0.80191111111111113</v>
      </c>
      <c r="AQ30" s="91">
        <f t="shared" si="41"/>
        <v>0.80191111111111102</v>
      </c>
      <c r="AR30" s="91">
        <f t="shared" si="41"/>
        <v>0</v>
      </c>
      <c r="AS30" s="91">
        <f t="shared" si="41"/>
        <v>0.80191111111111102</v>
      </c>
      <c r="AT30" s="91"/>
      <c r="AU30" s="91">
        <f>IFERROR(AU24/AU8,0)</f>
        <v>0.80191111111111113</v>
      </c>
    </row>
    <row r="31" spans="1:47" outlineLevel="1">
      <c r="B31" s="67" t="s">
        <v>101</v>
      </c>
      <c r="C31" s="52"/>
      <c r="D31" s="97">
        <f t="shared" ref="D31:K31" si="43">IFERROR(D25/D9,0)</f>
        <v>0</v>
      </c>
      <c r="E31" s="97">
        <f t="shared" si="43"/>
        <v>0</v>
      </c>
      <c r="F31" s="97">
        <f t="shared" si="43"/>
        <v>0</v>
      </c>
      <c r="G31" s="97">
        <f t="shared" si="43"/>
        <v>0</v>
      </c>
      <c r="H31" s="97">
        <f t="shared" si="43"/>
        <v>0</v>
      </c>
      <c r="I31" s="97">
        <f t="shared" si="43"/>
        <v>0</v>
      </c>
      <c r="J31" s="97">
        <f t="shared" si="43"/>
        <v>0</v>
      </c>
      <c r="K31" s="97">
        <f t="shared" si="43"/>
        <v>0</v>
      </c>
      <c r="L31" s="97">
        <f t="shared" ca="1" si="39"/>
        <v>0</v>
      </c>
      <c r="M31" s="91">
        <f t="shared" ca="1" si="39"/>
        <v>0</v>
      </c>
      <c r="N31" s="91">
        <f t="shared" ca="1" si="39"/>
        <v>0</v>
      </c>
      <c r="O31" s="91">
        <f t="shared" ca="1" si="39"/>
        <v>0</v>
      </c>
      <c r="P31" s="91"/>
      <c r="Q31" s="91">
        <f ca="1">IFERROR(Q25/Q9,0)</f>
        <v>0</v>
      </c>
      <c r="S31" s="91">
        <f t="shared" ca="1" si="40"/>
        <v>0</v>
      </c>
      <c r="T31" s="91">
        <f t="shared" ca="1" si="40"/>
        <v>0</v>
      </c>
      <c r="U31" s="91">
        <f t="shared" ca="1" si="40"/>
        <v>0</v>
      </c>
      <c r="V31" s="91">
        <f t="shared" ca="1" si="40"/>
        <v>0</v>
      </c>
      <c r="W31" s="91">
        <f t="shared" ca="1" si="40"/>
        <v>0</v>
      </c>
      <c r="X31" s="91">
        <f t="shared" ca="1" si="40"/>
        <v>0</v>
      </c>
      <c r="Y31" s="91">
        <f t="shared" ca="1" si="40"/>
        <v>0</v>
      </c>
      <c r="Z31" s="91">
        <f t="shared" ca="1" si="40"/>
        <v>0</v>
      </c>
      <c r="AA31" s="91">
        <f t="shared" ca="1" si="40"/>
        <v>0</v>
      </c>
      <c r="AB31" s="91">
        <f t="shared" ca="1" si="40"/>
        <v>0</v>
      </c>
      <c r="AC31" s="91">
        <f t="shared" ca="1" si="40"/>
        <v>0</v>
      </c>
      <c r="AD31" s="91">
        <f t="shared" ca="1" si="40"/>
        <v>0</v>
      </c>
      <c r="AE31" s="91"/>
      <c r="AF31" s="91">
        <f ca="1">IFERROR(AF25/AF9,0)</f>
        <v>0</v>
      </c>
      <c r="AH31" s="91">
        <f t="shared" ca="1" si="41"/>
        <v>0</v>
      </c>
      <c r="AI31" s="91">
        <f t="shared" ca="1" si="41"/>
        <v>0</v>
      </c>
      <c r="AJ31" s="91">
        <f t="shared" ca="1" si="41"/>
        <v>0</v>
      </c>
      <c r="AK31" s="91">
        <f t="shared" ca="1" si="41"/>
        <v>0</v>
      </c>
      <c r="AL31" s="91">
        <f t="shared" ca="1" si="41"/>
        <v>0</v>
      </c>
      <c r="AM31" s="91">
        <f t="shared" ca="1" si="41"/>
        <v>0</v>
      </c>
      <c r="AN31" s="91">
        <f t="shared" ca="1" si="41"/>
        <v>0</v>
      </c>
      <c r="AO31" s="91">
        <f t="shared" ca="1" si="41"/>
        <v>0</v>
      </c>
      <c r="AP31" s="91">
        <f t="shared" ca="1" si="41"/>
        <v>0</v>
      </c>
      <c r="AQ31" s="91">
        <f t="shared" ca="1" si="41"/>
        <v>0</v>
      </c>
      <c r="AR31" s="91">
        <f t="shared" ca="1" si="41"/>
        <v>0</v>
      </c>
      <c r="AS31" s="91">
        <f t="shared" ca="1" si="41"/>
        <v>0</v>
      </c>
      <c r="AT31" s="91"/>
      <c r="AU31" s="91">
        <f ca="1">IFERROR(AU25/AU9,0)</f>
        <v>0</v>
      </c>
    </row>
    <row r="32" spans="1:47" outlineLevel="1">
      <c r="B32" s="67" t="s">
        <v>102</v>
      </c>
      <c r="C32" s="52"/>
      <c r="D32" s="97">
        <f t="shared" ref="D32:K32" si="44">IFERROR(D26/D10,0)</f>
        <v>0</v>
      </c>
      <c r="E32" s="97">
        <f t="shared" si="44"/>
        <v>0</v>
      </c>
      <c r="F32" s="97">
        <f t="shared" si="44"/>
        <v>0</v>
      </c>
      <c r="G32" s="97">
        <f t="shared" si="44"/>
        <v>0</v>
      </c>
      <c r="H32" s="97">
        <f t="shared" si="44"/>
        <v>0</v>
      </c>
      <c r="I32" s="97">
        <f t="shared" si="44"/>
        <v>0</v>
      </c>
      <c r="J32" s="97">
        <f t="shared" si="44"/>
        <v>0</v>
      </c>
      <c r="K32" s="97">
        <f t="shared" si="44"/>
        <v>0</v>
      </c>
      <c r="L32" s="97">
        <f t="shared" si="39"/>
        <v>0</v>
      </c>
      <c r="M32" s="91">
        <f t="shared" si="39"/>
        <v>0</v>
      </c>
      <c r="N32" s="91">
        <f t="shared" si="39"/>
        <v>0</v>
      </c>
      <c r="O32" s="91">
        <f t="shared" si="39"/>
        <v>0</v>
      </c>
      <c r="P32" s="91"/>
      <c r="Q32" s="91">
        <f>IFERROR(Q26/Q10,0)</f>
        <v>0</v>
      </c>
      <c r="S32" s="91">
        <f t="shared" si="40"/>
        <v>0</v>
      </c>
      <c r="T32" s="91">
        <f t="shared" si="40"/>
        <v>0</v>
      </c>
      <c r="U32" s="91">
        <f t="shared" si="40"/>
        <v>0</v>
      </c>
      <c r="V32" s="91">
        <f t="shared" si="40"/>
        <v>0</v>
      </c>
      <c r="W32" s="91">
        <f t="shared" si="40"/>
        <v>0</v>
      </c>
      <c r="X32" s="91">
        <f t="shared" si="40"/>
        <v>0</v>
      </c>
      <c r="Y32" s="91">
        <f t="shared" si="40"/>
        <v>0</v>
      </c>
      <c r="Z32" s="91">
        <f t="shared" si="40"/>
        <v>0</v>
      </c>
      <c r="AA32" s="91">
        <f t="shared" si="40"/>
        <v>0</v>
      </c>
      <c r="AB32" s="91">
        <f t="shared" si="40"/>
        <v>0</v>
      </c>
      <c r="AC32" s="91">
        <f t="shared" si="40"/>
        <v>0</v>
      </c>
      <c r="AD32" s="91">
        <f t="shared" si="40"/>
        <v>0</v>
      </c>
      <c r="AE32" s="91"/>
      <c r="AF32" s="91">
        <f>IFERROR(AF26/AF10,0)</f>
        <v>0</v>
      </c>
      <c r="AH32" s="91">
        <f t="shared" si="41"/>
        <v>0</v>
      </c>
      <c r="AI32" s="91">
        <f t="shared" si="41"/>
        <v>0</v>
      </c>
      <c r="AJ32" s="91">
        <f t="shared" si="41"/>
        <v>0</v>
      </c>
      <c r="AK32" s="91">
        <f t="shared" si="41"/>
        <v>0</v>
      </c>
      <c r="AL32" s="91">
        <f t="shared" si="41"/>
        <v>0</v>
      </c>
      <c r="AM32" s="91">
        <f t="shared" si="41"/>
        <v>0</v>
      </c>
      <c r="AN32" s="91">
        <f t="shared" si="41"/>
        <v>0</v>
      </c>
      <c r="AO32" s="91">
        <f t="shared" si="41"/>
        <v>0</v>
      </c>
      <c r="AP32" s="91">
        <f t="shared" si="41"/>
        <v>0</v>
      </c>
      <c r="AQ32" s="91">
        <f t="shared" si="41"/>
        <v>0</v>
      </c>
      <c r="AR32" s="91">
        <f t="shared" si="41"/>
        <v>0</v>
      </c>
      <c r="AS32" s="91">
        <f t="shared" si="41"/>
        <v>0</v>
      </c>
      <c r="AT32" s="91"/>
      <c r="AU32" s="91">
        <f>IFERROR(AU26/AU10,0)</f>
        <v>0</v>
      </c>
    </row>
    <row r="33" spans="1:47">
      <c r="B33" s="72" t="s">
        <v>103</v>
      </c>
      <c r="C33" s="73"/>
      <c r="D33" s="97">
        <f t="shared" ref="D33:K33" si="45">IFERROR(D27/D12,0)</f>
        <v>0.47806449172041998</v>
      </c>
      <c r="E33" s="97">
        <f t="shared" si="45"/>
        <v>0.88571482872733243</v>
      </c>
      <c r="F33" s="97">
        <f t="shared" si="45"/>
        <v>0.75921489480142668</v>
      </c>
      <c r="G33" s="97">
        <f t="shared" si="45"/>
        <v>0.75978588964196325</v>
      </c>
      <c r="H33" s="97">
        <f t="shared" si="45"/>
        <v>0.75405732298981321</v>
      </c>
      <c r="I33" s="97">
        <f t="shared" si="45"/>
        <v>0.65666279436260189</v>
      </c>
      <c r="J33" s="97">
        <f t="shared" si="45"/>
        <v>0.72835789645729831</v>
      </c>
      <c r="K33" s="97">
        <f t="shared" si="45"/>
        <v>0.8361965818278505</v>
      </c>
      <c r="L33" s="97">
        <f t="shared" ref="L33:O33" ca="1" si="46">IFERROR(L27/L12,0)</f>
        <v>0.69931965989242006</v>
      </c>
      <c r="M33" s="91">
        <f t="shared" ca="1" si="46"/>
        <v>0.71588235294117653</v>
      </c>
      <c r="N33" s="91">
        <f t="shared" ca="1" si="46"/>
        <v>0.73711864406779659</v>
      </c>
      <c r="O33" s="91">
        <f t="shared" ca="1" si="46"/>
        <v>0.74169811320754719</v>
      </c>
      <c r="P33" s="91"/>
      <c r="Q33" s="91">
        <f ca="1">IFERROR(Q27/Q12,0)</f>
        <v>0.72925166080914894</v>
      </c>
      <c r="S33" s="91">
        <f t="shared" ref="S33:AD33" ca="1" si="47">IFERROR(S27/S12,0)</f>
        <v>0.76627863483606806</v>
      </c>
      <c r="T33" s="91">
        <f t="shared" ca="1" si="47"/>
        <v>0.76</v>
      </c>
      <c r="U33" s="91">
        <f t="shared" ca="1" si="47"/>
        <v>0.76</v>
      </c>
      <c r="V33" s="91">
        <f t="shared" ca="1" si="47"/>
        <v>0.76627697620095692</v>
      </c>
      <c r="W33" s="91">
        <f t="shared" ca="1" si="47"/>
        <v>0.76</v>
      </c>
      <c r="X33" s="91">
        <f t="shared" ca="1" si="47"/>
        <v>0.76349162495330702</v>
      </c>
      <c r="Y33" s="91">
        <f t="shared" ca="1" si="47"/>
        <v>0.76</v>
      </c>
      <c r="Z33" s="91">
        <f t="shared" ca="1" si="47"/>
        <v>0.76</v>
      </c>
      <c r="AA33" s="91">
        <f t="shared" ca="1" si="47"/>
        <v>0.76705948094504472</v>
      </c>
      <c r="AB33" s="91">
        <f t="shared" ca="1" si="47"/>
        <v>0.76592263453109111</v>
      </c>
      <c r="AC33" s="91">
        <f t="shared" ca="1" si="47"/>
        <v>0.76</v>
      </c>
      <c r="AD33" s="91">
        <f t="shared" ca="1" si="47"/>
        <v>0.76573033928975542</v>
      </c>
      <c r="AE33" s="91"/>
      <c r="AF33" s="91">
        <f ca="1">IFERROR(AF27/AF12,0)</f>
        <v>0.76353018959643115</v>
      </c>
      <c r="AH33" s="91">
        <f t="shared" ref="AH33:AS33" ca="1" si="48">IFERROR(AH27/AH12,0)</f>
        <v>0.76693454259188398</v>
      </c>
      <c r="AI33" s="91">
        <f t="shared" ca="1" si="48"/>
        <v>0.76</v>
      </c>
      <c r="AJ33" s="91">
        <f t="shared" ca="1" si="48"/>
        <v>0.76</v>
      </c>
      <c r="AK33" s="91">
        <f t="shared" ca="1" si="48"/>
        <v>0.76598970858379589</v>
      </c>
      <c r="AL33" s="91">
        <f t="shared" ca="1" si="48"/>
        <v>0.76</v>
      </c>
      <c r="AM33" s="91">
        <f t="shared" ca="1" si="48"/>
        <v>0.76244017146267262</v>
      </c>
      <c r="AN33" s="91">
        <f t="shared" ca="1" si="48"/>
        <v>0.76000000000000012</v>
      </c>
      <c r="AO33" s="91">
        <f t="shared" ca="1" si="48"/>
        <v>0.76</v>
      </c>
      <c r="AP33" s="91">
        <f t="shared" ca="1" si="48"/>
        <v>0.76657356975999258</v>
      </c>
      <c r="AQ33" s="91">
        <f t="shared" ca="1" si="48"/>
        <v>0.7661548196919169</v>
      </c>
      <c r="AR33" s="91">
        <f t="shared" ca="1" si="48"/>
        <v>0.76</v>
      </c>
      <c r="AS33" s="91">
        <f t="shared" ca="1" si="48"/>
        <v>0.7658730990092637</v>
      </c>
      <c r="AT33" s="91"/>
      <c r="AU33" s="91">
        <f ca="1">IFERROR(AU27/AU12,0)</f>
        <v>0.7633766394147854</v>
      </c>
    </row>
    <row r="34" spans="1:47">
      <c r="D34" s="71"/>
      <c r="E34" s="71"/>
      <c r="F34" s="71"/>
      <c r="G34" s="71"/>
      <c r="H34" s="71"/>
      <c r="I34" s="71"/>
      <c r="J34" s="71"/>
      <c r="K34" s="71"/>
      <c r="L34" s="7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H34" s="86"/>
      <c r="AI34" s="86"/>
      <c r="AJ34" s="86"/>
      <c r="AK34" s="86"/>
      <c r="AL34" s="86"/>
    </row>
    <row r="35" spans="1:47" outlineLevel="1">
      <c r="B35" s="58" t="s">
        <v>104</v>
      </c>
      <c r="D35" s="74"/>
      <c r="E35" s="74"/>
      <c r="F35" s="74"/>
      <c r="G35" s="74"/>
      <c r="H35" s="74"/>
      <c r="I35" s="74"/>
      <c r="J35" s="74"/>
      <c r="K35" s="74"/>
      <c r="L35" s="74"/>
      <c r="S35" s="87"/>
      <c r="T35" s="87"/>
      <c r="U35" s="87"/>
      <c r="V35" s="87"/>
      <c r="W35" s="87"/>
      <c r="AH35" s="87"/>
      <c r="AI35" s="87"/>
      <c r="AJ35" s="87"/>
      <c r="AK35" s="87"/>
      <c r="AL35" s="87"/>
    </row>
    <row r="36" spans="1:47" outlineLevel="1">
      <c r="D36" s="53"/>
      <c r="E36" s="53"/>
      <c r="F36" s="53"/>
      <c r="G36" s="53"/>
      <c r="H36" s="53"/>
      <c r="I36" s="53"/>
      <c r="J36" s="53"/>
      <c r="K36" s="53"/>
      <c r="L36" s="53"/>
    </row>
    <row r="37" spans="1:47" outlineLevel="1">
      <c r="D37" s="59"/>
      <c r="E37" s="59"/>
      <c r="F37" s="59"/>
      <c r="G37" s="59"/>
      <c r="H37" s="59"/>
      <c r="I37" s="59"/>
      <c r="J37" s="59"/>
      <c r="K37" s="59"/>
      <c r="L37" s="59"/>
      <c r="M37" s="60"/>
      <c r="N37" s="60"/>
      <c r="O37" s="60"/>
      <c r="P37" s="60"/>
      <c r="Q37" s="61">
        <f>SUM(D37:O37)</f>
        <v>0</v>
      </c>
      <c r="R37" s="62"/>
      <c r="S37" s="83"/>
      <c r="T37" s="83"/>
      <c r="U37" s="83"/>
      <c r="V37" s="83"/>
      <c r="W37" s="83"/>
      <c r="X37" s="83"/>
      <c r="Y37" s="83"/>
      <c r="Z37" s="83"/>
      <c r="AA37" s="83"/>
      <c r="AB37" s="83"/>
      <c r="AC37" s="83"/>
      <c r="AD37" s="83"/>
      <c r="AE37" s="60"/>
      <c r="AF37" s="61">
        <f>SUM(S37:AD37)</f>
        <v>0</v>
      </c>
      <c r="AH37" s="83"/>
      <c r="AI37" s="83"/>
      <c r="AJ37" s="83"/>
      <c r="AK37" s="83"/>
      <c r="AL37" s="83"/>
      <c r="AM37" s="83"/>
      <c r="AN37" s="83"/>
      <c r="AO37" s="83"/>
      <c r="AP37" s="83"/>
      <c r="AQ37" s="83"/>
      <c r="AR37" s="83"/>
      <c r="AS37" s="83"/>
      <c r="AT37" s="60"/>
      <c r="AU37" s="61">
        <f>SUM(AH37:AS37)</f>
        <v>0</v>
      </c>
    </row>
    <row r="38" spans="1:47" outlineLevel="1">
      <c r="B38" s="51" t="s">
        <v>106</v>
      </c>
      <c r="C38" s="75">
        <f>SUMIFS(Fulfilment!E:E,Fulfilment!A:A,"RO",Fulfilment!B:B,"DTC")</f>
        <v>-0.19234178888491468</v>
      </c>
      <c r="D38" s="59">
        <v>-3772.11</v>
      </c>
      <c r="E38" s="59">
        <v>-13113.58</v>
      </c>
      <c r="F38" s="59">
        <v>-12241.32</v>
      </c>
      <c r="G38" s="59">
        <v>-4202.47</v>
      </c>
      <c r="H38" s="59">
        <v>-3943.15</v>
      </c>
      <c r="I38" s="59">
        <v>-13557.52</v>
      </c>
      <c r="J38" s="59">
        <v>-15841.93</v>
      </c>
      <c r="K38" s="59">
        <v>-3928.37</v>
      </c>
      <c r="L38" s="59">
        <v>-26932</v>
      </c>
      <c r="M38" s="60">
        <v>-24426</v>
      </c>
      <c r="N38" s="60">
        <v>-8267</v>
      </c>
      <c r="O38" s="60">
        <v>-7140</v>
      </c>
      <c r="P38" s="60"/>
      <c r="Q38" s="61">
        <f>SUM(D38:O38)</f>
        <v>-137365.44999999998</v>
      </c>
      <c r="R38" s="62"/>
      <c r="S38" s="60">
        <f>$C$38*S7</f>
        <v>-10915.771354897086</v>
      </c>
      <c r="T38" s="60">
        <f t="shared" ref="T38:AD38" si="49">$C$38*T7</f>
        <v>-21393.441303527776</v>
      </c>
      <c r="U38" s="60">
        <f t="shared" si="49"/>
        <v>-14790.529295963099</v>
      </c>
      <c r="V38" s="60">
        <f t="shared" si="49"/>
        <v>-10919.163996416921</v>
      </c>
      <c r="W38" s="60">
        <f t="shared" si="49"/>
        <v>-11067.162812308407</v>
      </c>
      <c r="X38" s="60">
        <f t="shared" si="49"/>
        <v>-21163.993253720277</v>
      </c>
      <c r="Y38" s="60">
        <f t="shared" si="49"/>
        <v>-12388.211192190882</v>
      </c>
      <c r="Z38" s="60">
        <f t="shared" si="49"/>
        <v>-11536.961828539455</v>
      </c>
      <c r="AA38" s="60">
        <f t="shared" si="49"/>
        <v>-28486.902693896282</v>
      </c>
      <c r="AB38" s="60">
        <f t="shared" si="49"/>
        <v>-23375.029907065589</v>
      </c>
      <c r="AC38" s="60">
        <f t="shared" si="49"/>
        <v>-10024.597222798275</v>
      </c>
      <c r="AD38" s="60">
        <f t="shared" si="49"/>
        <v>-12144.262361214245</v>
      </c>
      <c r="AE38" s="60"/>
      <c r="AF38" s="61">
        <f>SUM(S38:AD38)</f>
        <v>-188206.02722253828</v>
      </c>
      <c r="AH38" s="60">
        <f t="shared" ref="AH38:AS38" si="50">$C$38*AH7</f>
        <v>-10186.437609040455</v>
      </c>
      <c r="AI38" s="60">
        <f t="shared" si="50"/>
        <v>-27102.845361354979</v>
      </c>
      <c r="AJ38" s="60">
        <f t="shared" si="50"/>
        <v>-14662.386253023995</v>
      </c>
      <c r="AK38" s="60">
        <f t="shared" si="50"/>
        <v>-12111.85162171837</v>
      </c>
      <c r="AL38" s="60">
        <f t="shared" si="50"/>
        <v>-10944.238837378027</v>
      </c>
      <c r="AM38" s="60">
        <f t="shared" si="50"/>
        <v>-32667.813798895535</v>
      </c>
      <c r="AN38" s="60">
        <f t="shared" si="50"/>
        <v>-10447.892785109789</v>
      </c>
      <c r="AO38" s="60">
        <f t="shared" si="50"/>
        <v>-11358.683536182047</v>
      </c>
      <c r="AP38" s="60">
        <f t="shared" si="50"/>
        <v>-32570.112471995555</v>
      </c>
      <c r="AQ38" s="60">
        <f t="shared" si="50"/>
        <v>-23465.514408861454</v>
      </c>
      <c r="AR38" s="60">
        <f t="shared" si="50"/>
        <v>-9519.1327141869951</v>
      </c>
      <c r="AS38" s="60">
        <f t="shared" si="50"/>
        <v>-12392.429430905118</v>
      </c>
      <c r="AT38" s="60"/>
      <c r="AU38" s="61">
        <f>SUM(AH38:AS38)</f>
        <v>-207429.33882865231</v>
      </c>
    </row>
    <row r="39" spans="1:47" outlineLevel="1">
      <c r="B39" s="51" t="s">
        <v>107</v>
      </c>
      <c r="C39" s="75">
        <f>SUMIFS(Fulfilment!E:E,Fulfilment!A:A,"RO",Fulfilment!B:B,"B2B")</f>
        <v>-5.0780218512315865E-2</v>
      </c>
      <c r="D39" s="59">
        <v>-208</v>
      </c>
      <c r="E39" s="59">
        <v>-235.51</v>
      </c>
      <c r="F39" s="59">
        <v>-107.1</v>
      </c>
      <c r="G39" s="59">
        <v>-458.2</v>
      </c>
      <c r="H39" s="59">
        <v>-180.18</v>
      </c>
      <c r="I39" s="59">
        <v>-217.9</v>
      </c>
      <c r="J39" s="59"/>
      <c r="K39" s="59"/>
      <c r="L39" s="59">
        <v>-955</v>
      </c>
      <c r="M39" s="60">
        <v>-3200</v>
      </c>
      <c r="N39" s="60">
        <v>-1200</v>
      </c>
      <c r="O39" s="60">
        <v>-1200</v>
      </c>
      <c r="P39" s="60"/>
      <c r="Q39" s="61">
        <f>SUM(D39:O39)</f>
        <v>-7961.89</v>
      </c>
      <c r="R39" s="62"/>
      <c r="S39" s="60">
        <f t="shared" ref="S39:AD39" si="51">$C$39*S8</f>
        <v>-507.80218512315867</v>
      </c>
      <c r="T39" s="60">
        <f t="shared" si="51"/>
        <v>0</v>
      </c>
      <c r="U39" s="60">
        <f t="shared" si="51"/>
        <v>0</v>
      </c>
      <c r="V39" s="60">
        <f t="shared" si="51"/>
        <v>-507.80218512315867</v>
      </c>
      <c r="W39" s="60">
        <f t="shared" si="51"/>
        <v>0</v>
      </c>
      <c r="X39" s="60">
        <f t="shared" si="51"/>
        <v>-507.80218512315867</v>
      </c>
      <c r="Y39" s="60">
        <f t="shared" si="51"/>
        <v>0</v>
      </c>
      <c r="Z39" s="60">
        <f t="shared" si="51"/>
        <v>0</v>
      </c>
      <c r="AA39" s="60">
        <f t="shared" si="51"/>
        <v>-1523.4065553694759</v>
      </c>
      <c r="AB39" s="60">
        <f t="shared" si="51"/>
        <v>-1015.6043702463173</v>
      </c>
      <c r="AC39" s="60">
        <f t="shared" si="51"/>
        <v>0</v>
      </c>
      <c r="AD39" s="60">
        <f t="shared" si="51"/>
        <v>-507.80218512315867</v>
      </c>
      <c r="AE39" s="60"/>
      <c r="AF39" s="61">
        <f>SUM(S39:AD39)</f>
        <v>-4570.2196661084281</v>
      </c>
      <c r="AH39" s="60">
        <f t="shared" ref="AH39:AS39" si="52">$C$39*AH8</f>
        <v>-533.19229437931654</v>
      </c>
      <c r="AI39" s="60">
        <f t="shared" si="52"/>
        <v>0</v>
      </c>
      <c r="AJ39" s="60">
        <f t="shared" si="52"/>
        <v>0</v>
      </c>
      <c r="AK39" s="60">
        <f t="shared" si="52"/>
        <v>-533.19229437931654</v>
      </c>
      <c r="AL39" s="60">
        <f t="shared" si="52"/>
        <v>0</v>
      </c>
      <c r="AM39" s="60">
        <f t="shared" si="52"/>
        <v>-533.19229437931654</v>
      </c>
      <c r="AN39" s="60">
        <f t="shared" si="52"/>
        <v>0</v>
      </c>
      <c r="AO39" s="60">
        <f t="shared" si="52"/>
        <v>0</v>
      </c>
      <c r="AP39" s="60">
        <f t="shared" si="52"/>
        <v>-1599.5768831379498</v>
      </c>
      <c r="AQ39" s="60">
        <f t="shared" si="52"/>
        <v>-1066.3845887586331</v>
      </c>
      <c r="AR39" s="60">
        <f t="shared" si="52"/>
        <v>0</v>
      </c>
      <c r="AS39" s="60">
        <f t="shared" si="52"/>
        <v>-533.19229437931654</v>
      </c>
      <c r="AT39" s="60"/>
      <c r="AU39" s="61">
        <f>SUM(AH39:AS39)</f>
        <v>-4798.7306494138484</v>
      </c>
    </row>
    <row r="40" spans="1:47" outlineLevel="1">
      <c r="B40" s="51" t="s">
        <v>108</v>
      </c>
      <c r="C40" s="75">
        <f>SUMIFS(Fulfilment!E:E,Fulfilment!A:A,"RO",Fulfilment!B:B,"Marketplace")</f>
        <v>0</v>
      </c>
      <c r="D40" s="59"/>
      <c r="E40" s="59"/>
      <c r="F40" s="59"/>
      <c r="G40" s="59"/>
      <c r="H40" s="59"/>
      <c r="I40" s="59"/>
      <c r="J40" s="59"/>
      <c r="K40" s="59"/>
      <c r="L40" s="59">
        <f ca="1">$C$40*L9</f>
        <v>0</v>
      </c>
      <c r="M40" s="60"/>
      <c r="N40" s="60"/>
      <c r="O40" s="60"/>
      <c r="P40" s="60"/>
      <c r="Q40" s="61">
        <f ca="1">SUM(D40:O40)</f>
        <v>0</v>
      </c>
      <c r="R40" s="62"/>
      <c r="S40" s="60">
        <f t="shared" ref="S40:AD40" ca="1" si="53">$C$40*S9</f>
        <v>0</v>
      </c>
      <c r="T40" s="60">
        <f t="shared" ca="1" si="53"/>
        <v>0</v>
      </c>
      <c r="U40" s="60">
        <f t="shared" ca="1" si="53"/>
        <v>0</v>
      </c>
      <c r="V40" s="60">
        <f t="shared" ca="1" si="53"/>
        <v>0</v>
      </c>
      <c r="W40" s="60">
        <f t="shared" ca="1" si="53"/>
        <v>0</v>
      </c>
      <c r="X40" s="60">
        <f t="shared" ca="1" si="53"/>
        <v>0</v>
      </c>
      <c r="Y40" s="60">
        <f t="shared" ca="1" si="53"/>
        <v>0</v>
      </c>
      <c r="Z40" s="60">
        <f t="shared" ca="1" si="53"/>
        <v>0</v>
      </c>
      <c r="AA40" s="60">
        <f t="shared" ca="1" si="53"/>
        <v>0</v>
      </c>
      <c r="AB40" s="60">
        <f t="shared" ca="1" si="53"/>
        <v>0</v>
      </c>
      <c r="AC40" s="60">
        <f t="shared" ca="1" si="53"/>
        <v>0</v>
      </c>
      <c r="AD40" s="60">
        <f t="shared" ca="1" si="53"/>
        <v>0</v>
      </c>
      <c r="AE40" s="60"/>
      <c r="AF40" s="61">
        <f ca="1">SUM(S40:AD40)</f>
        <v>0</v>
      </c>
      <c r="AH40" s="60">
        <f t="shared" ref="AH40:AS40" ca="1" si="54">$C$40*AH9</f>
        <v>0</v>
      </c>
      <c r="AI40" s="60">
        <f t="shared" ca="1" si="54"/>
        <v>0</v>
      </c>
      <c r="AJ40" s="60">
        <f t="shared" ca="1" si="54"/>
        <v>0</v>
      </c>
      <c r="AK40" s="60">
        <f t="shared" ca="1" si="54"/>
        <v>0</v>
      </c>
      <c r="AL40" s="60">
        <f t="shared" ca="1" si="54"/>
        <v>0</v>
      </c>
      <c r="AM40" s="60">
        <f t="shared" ca="1" si="54"/>
        <v>0</v>
      </c>
      <c r="AN40" s="60">
        <f t="shared" ca="1" si="54"/>
        <v>0</v>
      </c>
      <c r="AO40" s="60">
        <f t="shared" ca="1" si="54"/>
        <v>0</v>
      </c>
      <c r="AP40" s="60">
        <f t="shared" ca="1" si="54"/>
        <v>0</v>
      </c>
      <c r="AQ40" s="60">
        <f t="shared" ca="1" si="54"/>
        <v>0</v>
      </c>
      <c r="AR40" s="60">
        <f t="shared" ca="1" si="54"/>
        <v>0</v>
      </c>
      <c r="AS40" s="60">
        <f t="shared" ca="1" si="54"/>
        <v>0</v>
      </c>
      <c r="AT40" s="60"/>
      <c r="AU40" s="61">
        <f ca="1">SUM(AH40:AS40)</f>
        <v>0</v>
      </c>
    </row>
    <row r="41" spans="1:47" outlineLevel="1">
      <c r="B41" s="51" t="s">
        <v>109</v>
      </c>
      <c r="C41" s="75">
        <f>SUMIFS(Fulfilment!E:E,Fulfilment!A:A,"RO",Fulfilment!B:B,"TikTok")</f>
        <v>0</v>
      </c>
      <c r="D41" s="59"/>
      <c r="E41" s="59"/>
      <c r="F41" s="59"/>
      <c r="G41" s="59"/>
      <c r="H41" s="59"/>
      <c r="I41" s="59"/>
      <c r="J41" s="59"/>
      <c r="K41" s="59"/>
      <c r="L41" s="59">
        <f>$C$41*L10</f>
        <v>0</v>
      </c>
      <c r="M41" s="60">
        <f t="shared" ref="M41:O41" si="55">$C$41*M10</f>
        <v>0</v>
      </c>
      <c r="N41" s="60">
        <f t="shared" si="55"/>
        <v>0</v>
      </c>
      <c r="O41" s="60">
        <f t="shared" si="55"/>
        <v>0</v>
      </c>
      <c r="P41" s="60"/>
      <c r="Q41" s="61">
        <f>SUM(D41:O41)</f>
        <v>0</v>
      </c>
      <c r="R41" s="66"/>
      <c r="S41" s="60">
        <f t="shared" ref="S41:AD41" si="56">$C$41*S10</f>
        <v>0</v>
      </c>
      <c r="T41" s="60">
        <f t="shared" si="56"/>
        <v>0</v>
      </c>
      <c r="U41" s="60">
        <f t="shared" si="56"/>
        <v>0</v>
      </c>
      <c r="V41" s="60">
        <f t="shared" si="56"/>
        <v>0</v>
      </c>
      <c r="W41" s="60">
        <f t="shared" si="56"/>
        <v>0</v>
      </c>
      <c r="X41" s="60">
        <f t="shared" si="56"/>
        <v>0</v>
      </c>
      <c r="Y41" s="60">
        <f t="shared" si="56"/>
        <v>0</v>
      </c>
      <c r="Z41" s="60">
        <f t="shared" si="56"/>
        <v>0</v>
      </c>
      <c r="AA41" s="60">
        <f t="shared" si="56"/>
        <v>0</v>
      </c>
      <c r="AB41" s="60">
        <f t="shared" si="56"/>
        <v>0</v>
      </c>
      <c r="AC41" s="60">
        <f t="shared" si="56"/>
        <v>0</v>
      </c>
      <c r="AD41" s="60">
        <f t="shared" si="56"/>
        <v>0</v>
      </c>
      <c r="AE41" s="60"/>
      <c r="AF41" s="61">
        <f>SUM(S41:AD41)</f>
        <v>0</v>
      </c>
      <c r="AH41" s="60">
        <f t="shared" ref="AH41:AS41" si="57">$C$41*AH10</f>
        <v>0</v>
      </c>
      <c r="AI41" s="60">
        <f t="shared" si="57"/>
        <v>0</v>
      </c>
      <c r="AJ41" s="60">
        <f t="shared" si="57"/>
        <v>0</v>
      </c>
      <c r="AK41" s="60">
        <f t="shared" si="57"/>
        <v>0</v>
      </c>
      <c r="AL41" s="60">
        <f t="shared" si="57"/>
        <v>0</v>
      </c>
      <c r="AM41" s="60">
        <f t="shared" si="57"/>
        <v>0</v>
      </c>
      <c r="AN41" s="60">
        <f t="shared" si="57"/>
        <v>0</v>
      </c>
      <c r="AO41" s="60">
        <f t="shared" si="57"/>
        <v>0</v>
      </c>
      <c r="AP41" s="60">
        <f t="shared" si="57"/>
        <v>0</v>
      </c>
      <c r="AQ41" s="60">
        <f t="shared" si="57"/>
        <v>0</v>
      </c>
      <c r="AR41" s="60">
        <f t="shared" si="57"/>
        <v>0</v>
      </c>
      <c r="AS41" s="60">
        <f t="shared" si="57"/>
        <v>0</v>
      </c>
      <c r="AT41" s="60"/>
      <c r="AU41" s="61">
        <f>SUM(AH41:AS41)</f>
        <v>0</v>
      </c>
    </row>
    <row r="42" spans="1:47" outlineLevel="1">
      <c r="D42" s="53"/>
      <c r="E42" s="53"/>
      <c r="F42" s="53"/>
      <c r="G42" s="53"/>
      <c r="H42" s="53"/>
      <c r="I42" s="53"/>
      <c r="J42" s="53"/>
      <c r="K42" s="53"/>
      <c r="L42" s="53"/>
    </row>
    <row r="43" spans="1:47" s="10" customFormat="1">
      <c r="A43" s="52"/>
      <c r="B43" s="63" t="s">
        <v>110</v>
      </c>
      <c r="C43" s="52"/>
      <c r="D43" s="64">
        <f t="shared" ref="D43:K43" si="58">SUM(D37:D42)</f>
        <v>-3980.11</v>
      </c>
      <c r="E43" s="64">
        <f t="shared" si="58"/>
        <v>-13349.09</v>
      </c>
      <c r="F43" s="64">
        <f t="shared" si="58"/>
        <v>-12348.42</v>
      </c>
      <c r="G43" s="64">
        <f t="shared" si="58"/>
        <v>-4660.67</v>
      </c>
      <c r="H43" s="64">
        <f t="shared" si="58"/>
        <v>-4123.33</v>
      </c>
      <c r="I43" s="64">
        <f t="shared" si="58"/>
        <v>-13775.42</v>
      </c>
      <c r="J43" s="64">
        <f t="shared" si="58"/>
        <v>-15841.93</v>
      </c>
      <c r="K43" s="64">
        <f t="shared" si="58"/>
        <v>-3928.37</v>
      </c>
      <c r="L43" s="64">
        <f ca="1">SUM(L37:L42)</f>
        <v>-27887</v>
      </c>
      <c r="M43" s="65">
        <f>SUM(M37:M42)</f>
        <v>-27626</v>
      </c>
      <c r="N43" s="65">
        <f>SUM(N37:N42)</f>
        <v>-9467</v>
      </c>
      <c r="O43" s="65">
        <f>SUM(O37:O42)</f>
        <v>-8340</v>
      </c>
      <c r="P43" s="61"/>
      <c r="Q43" s="65">
        <f ca="1">SUM(D43:O43)</f>
        <v>-145327.34</v>
      </c>
      <c r="R43" s="52"/>
      <c r="S43" s="84">
        <f ca="1">SUM(S37:S42)</f>
        <v>-11423.573540020245</v>
      </c>
      <c r="T43" s="84">
        <f t="shared" ref="T43:Z43" ca="1" si="59">SUM(T37:T42)</f>
        <v>-21393.441303527776</v>
      </c>
      <c r="U43" s="84">
        <f t="shared" ca="1" si="59"/>
        <v>-14790.529295963099</v>
      </c>
      <c r="V43" s="84">
        <f t="shared" ca="1" si="59"/>
        <v>-11426.96618154008</v>
      </c>
      <c r="W43" s="84">
        <f t="shared" ca="1" si="59"/>
        <v>-11067.162812308407</v>
      </c>
      <c r="X43" s="65">
        <f t="shared" ca="1" si="59"/>
        <v>-21671.795438843434</v>
      </c>
      <c r="Y43" s="65">
        <f t="shared" ca="1" si="59"/>
        <v>-12388.211192190882</v>
      </c>
      <c r="Z43" s="65">
        <f t="shared" ca="1" si="59"/>
        <v>-11536.961828539455</v>
      </c>
      <c r="AA43" s="65">
        <f ca="1">SUM(AA37:AA42)</f>
        <v>-30010.309249265756</v>
      </c>
      <c r="AB43" s="65">
        <f ca="1">SUM(AB37:AB42)</f>
        <v>-24390.634277311907</v>
      </c>
      <c r="AC43" s="65">
        <f ca="1">SUM(AC37:AC42)</f>
        <v>-10024.597222798275</v>
      </c>
      <c r="AD43" s="65">
        <f ca="1">SUM(AD37:AD42)</f>
        <v>-12652.064546337404</v>
      </c>
      <c r="AE43" s="61"/>
      <c r="AF43" s="65">
        <f ca="1">SUM(S43:AD43)</f>
        <v>-192776.24688864671</v>
      </c>
      <c r="AG43" s="7"/>
      <c r="AH43" s="84">
        <f ca="1">SUM(AH37:AH42)</f>
        <v>-10719.629903419771</v>
      </c>
      <c r="AI43" s="84">
        <f t="shared" ref="AI43:AO43" ca="1" si="60">SUM(AI37:AI42)</f>
        <v>-27102.845361354979</v>
      </c>
      <c r="AJ43" s="84">
        <f t="shared" ca="1" si="60"/>
        <v>-14662.386253023995</v>
      </c>
      <c r="AK43" s="84">
        <f t="shared" ca="1" si="60"/>
        <v>-12645.043916097686</v>
      </c>
      <c r="AL43" s="84">
        <f t="shared" ca="1" si="60"/>
        <v>-10944.238837378027</v>
      </c>
      <c r="AM43" s="65">
        <f t="shared" ca="1" si="60"/>
        <v>-33201.006093274853</v>
      </c>
      <c r="AN43" s="65">
        <f t="shared" ca="1" si="60"/>
        <v>-10447.892785109789</v>
      </c>
      <c r="AO43" s="65">
        <f t="shared" ca="1" si="60"/>
        <v>-11358.683536182047</v>
      </c>
      <c r="AP43" s="65">
        <f ca="1">SUM(AP37:AP42)</f>
        <v>-34169.689355133502</v>
      </c>
      <c r="AQ43" s="65">
        <f ca="1">SUM(AQ37:AQ42)</f>
        <v>-24531.898997620086</v>
      </c>
      <c r="AR43" s="65">
        <f ca="1">SUM(AR37:AR42)</f>
        <v>-9519.1327141869951</v>
      </c>
      <c r="AS43" s="65">
        <f ca="1">SUM(AS37:AS42)</f>
        <v>-12925.621725284434</v>
      </c>
      <c r="AT43" s="61"/>
      <c r="AU43" s="65">
        <f ca="1">SUM(AH43:AS43)</f>
        <v>-212228.06947806617</v>
      </c>
    </row>
    <row r="44" spans="1:47">
      <c r="D44" s="53"/>
      <c r="E44" s="53"/>
      <c r="F44" s="53"/>
      <c r="G44" s="53"/>
      <c r="H44" s="53"/>
      <c r="I44" s="53"/>
      <c r="J44" s="53"/>
      <c r="K44" s="53"/>
      <c r="L44" s="53"/>
      <c r="Q44" s="91">
        <f ca="1">-Q43/Q12</f>
        <v>0.16947305009658145</v>
      </c>
      <c r="AF44" s="91">
        <f ca="1">-AF43/AF12</f>
        <v>0.18041800137999869</v>
      </c>
      <c r="AU44" s="91">
        <f ca="1">-AU43/AU12</f>
        <v>0.18093664200460896</v>
      </c>
    </row>
    <row r="45" spans="1:47" outlineLevel="1">
      <c r="B45" s="67" t="s">
        <v>111</v>
      </c>
      <c r="C45" s="52"/>
      <c r="D45" s="68">
        <f t="shared" ref="D45:K45" si="61">D23+D38</f>
        <v>9368.2099999999991</v>
      </c>
      <c r="E45" s="68">
        <f t="shared" si="61"/>
        <v>47794.17</v>
      </c>
      <c r="F45" s="68">
        <f t="shared" si="61"/>
        <v>31470.059999999998</v>
      </c>
      <c r="G45" s="68">
        <f t="shared" si="61"/>
        <v>12895.259999999998</v>
      </c>
      <c r="H45" s="68">
        <f t="shared" si="61"/>
        <v>15233.660000000002</v>
      </c>
      <c r="I45" s="68">
        <f t="shared" si="61"/>
        <v>39633.699999999997</v>
      </c>
      <c r="J45" s="68">
        <f t="shared" si="61"/>
        <v>44191.46</v>
      </c>
      <c r="K45" s="68">
        <f t="shared" si="61"/>
        <v>13054.029999999999</v>
      </c>
      <c r="L45" s="68">
        <f t="shared" ref="L45:O48" si="62">L23+L38</f>
        <v>70980</v>
      </c>
      <c r="M45" s="69">
        <f t="shared" si="62"/>
        <v>70474</v>
      </c>
      <c r="N45" s="69">
        <f t="shared" si="62"/>
        <v>25173</v>
      </c>
      <c r="O45" s="69">
        <f t="shared" si="62"/>
        <v>22120</v>
      </c>
      <c r="P45" s="69"/>
      <c r="Q45" s="69">
        <f>Q23+Q38</f>
        <v>402387.54999999993</v>
      </c>
      <c r="S45" s="85">
        <f t="shared" ref="S45:AD48" si="63">S23+S38</f>
        <v>32215.709733102914</v>
      </c>
      <c r="T45" s="85">
        <f t="shared" si="63"/>
        <v>63138.45103740022</v>
      </c>
      <c r="U45" s="85">
        <f t="shared" si="63"/>
        <v>43651.280620122008</v>
      </c>
      <c r="V45" s="85">
        <f t="shared" si="63"/>
        <v>32225.722434072726</v>
      </c>
      <c r="W45" s="85">
        <f t="shared" si="63"/>
        <v>32662.51125444904</v>
      </c>
      <c r="X45" s="69">
        <f t="shared" si="63"/>
        <v>62461.28113972654</v>
      </c>
      <c r="Y45" s="69">
        <f t="shared" si="63"/>
        <v>36561.320579599196</v>
      </c>
      <c r="Z45" s="69">
        <f t="shared" si="63"/>
        <v>34049.028821346124</v>
      </c>
      <c r="AA45" s="69">
        <f t="shared" si="63"/>
        <v>84073.379566529256</v>
      </c>
      <c r="AB45" s="69">
        <f t="shared" si="63"/>
        <v>68986.712345416687</v>
      </c>
      <c r="AC45" s="69">
        <f t="shared" si="63"/>
        <v>29585.588028651367</v>
      </c>
      <c r="AD45" s="69">
        <f t="shared" si="63"/>
        <v>35841.354534785758</v>
      </c>
      <c r="AE45" s="69"/>
      <c r="AF45" s="69">
        <f>AF23+AF38</f>
        <v>555452.34009520186</v>
      </c>
      <c r="AH45" s="85">
        <f t="shared" ref="AH45:AS48" si="64">AH23+AH38</f>
        <v>30063.227467657416</v>
      </c>
      <c r="AI45" s="85">
        <f t="shared" si="64"/>
        <v>79988.611955569737</v>
      </c>
      <c r="AJ45" s="85">
        <f t="shared" si="64"/>
        <v>43273.092131061116</v>
      </c>
      <c r="AK45" s="85">
        <f t="shared" si="64"/>
        <v>35745.700737918167</v>
      </c>
      <c r="AL45" s="85">
        <f t="shared" si="64"/>
        <v>32299.725797806088</v>
      </c>
      <c r="AM45" s="69">
        <f t="shared" si="64"/>
        <v>96412.500110505905</v>
      </c>
      <c r="AN45" s="69">
        <f t="shared" si="64"/>
        <v>30834.859978692773</v>
      </c>
      <c r="AO45" s="69">
        <f t="shared" si="64"/>
        <v>33522.876199458988</v>
      </c>
      <c r="AP45" s="69">
        <f t="shared" si="64"/>
        <v>96124.154240515069</v>
      </c>
      <c r="AQ45" s="69">
        <f t="shared" si="64"/>
        <v>69253.759203620808</v>
      </c>
      <c r="AR45" s="69">
        <f t="shared" si="64"/>
        <v>28093.810914567617</v>
      </c>
      <c r="AS45" s="69">
        <f t="shared" si="64"/>
        <v>36573.769865094888</v>
      </c>
      <c r="AT45" s="69"/>
      <c r="AU45" s="69">
        <f>AU23+AU38</f>
        <v>612186.08860246849</v>
      </c>
    </row>
    <row r="46" spans="1:47" outlineLevel="1">
      <c r="B46" s="67" t="s">
        <v>112</v>
      </c>
      <c r="C46" s="52"/>
      <c r="D46" s="68">
        <f t="shared" ref="D46:K46" si="65">D24+D39</f>
        <v>-838.61999999999898</v>
      </c>
      <c r="E46" s="68">
        <f t="shared" si="65"/>
        <v>11557.71</v>
      </c>
      <c r="F46" s="68">
        <f t="shared" si="65"/>
        <v>-107.1</v>
      </c>
      <c r="G46" s="68">
        <f t="shared" si="65"/>
        <v>5420.3600000000006</v>
      </c>
      <c r="H46" s="68">
        <f t="shared" si="65"/>
        <v>7214.12</v>
      </c>
      <c r="I46" s="68">
        <f t="shared" si="65"/>
        <v>426.67000000000155</v>
      </c>
      <c r="J46" s="68">
        <f t="shared" si="65"/>
        <v>-407.66</v>
      </c>
      <c r="K46" s="68">
        <f t="shared" si="65"/>
        <v>0</v>
      </c>
      <c r="L46" s="68">
        <f t="shared" si="62"/>
        <v>13071</v>
      </c>
      <c r="M46" s="69">
        <f t="shared" si="62"/>
        <v>23600</v>
      </c>
      <c r="N46" s="69">
        <f t="shared" si="62"/>
        <v>8850</v>
      </c>
      <c r="O46" s="69">
        <f t="shared" si="62"/>
        <v>8850</v>
      </c>
      <c r="P46" s="69"/>
      <c r="Q46" s="69">
        <f>Q24+Q39</f>
        <v>77636.479999999996</v>
      </c>
      <c r="S46" s="85">
        <f t="shared" si="63"/>
        <v>7511.3089259879525</v>
      </c>
      <c r="T46" s="85">
        <f t="shared" si="63"/>
        <v>0</v>
      </c>
      <c r="U46" s="85">
        <f t="shared" si="63"/>
        <v>0</v>
      </c>
      <c r="V46" s="85">
        <f t="shared" si="63"/>
        <v>7511.3089259879525</v>
      </c>
      <c r="W46" s="85">
        <f t="shared" si="63"/>
        <v>0</v>
      </c>
      <c r="X46" s="69">
        <f t="shared" si="63"/>
        <v>7511.3089259879525</v>
      </c>
      <c r="Y46" s="69">
        <f t="shared" si="63"/>
        <v>0</v>
      </c>
      <c r="Z46" s="69">
        <f t="shared" si="63"/>
        <v>0</v>
      </c>
      <c r="AA46" s="69">
        <f t="shared" si="63"/>
        <v>22533.926777963858</v>
      </c>
      <c r="AB46" s="69">
        <f t="shared" si="63"/>
        <v>15022.617851975905</v>
      </c>
      <c r="AC46" s="69">
        <f t="shared" si="63"/>
        <v>0</v>
      </c>
      <c r="AD46" s="69">
        <f t="shared" si="63"/>
        <v>7511.3089259879525</v>
      </c>
      <c r="AE46" s="69"/>
      <c r="AF46" s="69">
        <f>AF24+AF39</f>
        <v>67601.780333891569</v>
      </c>
      <c r="AH46" s="85">
        <f t="shared" si="64"/>
        <v>7886.8743722873496</v>
      </c>
      <c r="AI46" s="85">
        <f t="shared" si="64"/>
        <v>0</v>
      </c>
      <c r="AJ46" s="85">
        <f t="shared" si="64"/>
        <v>0</v>
      </c>
      <c r="AK46" s="85">
        <f t="shared" si="64"/>
        <v>7886.8743722873496</v>
      </c>
      <c r="AL46" s="85">
        <f t="shared" si="64"/>
        <v>0</v>
      </c>
      <c r="AM46" s="69">
        <f t="shared" si="64"/>
        <v>7886.8743722873496</v>
      </c>
      <c r="AN46" s="69">
        <f t="shared" si="64"/>
        <v>0</v>
      </c>
      <c r="AO46" s="69">
        <f t="shared" si="64"/>
        <v>0</v>
      </c>
      <c r="AP46" s="69">
        <f t="shared" si="64"/>
        <v>23660.623116862051</v>
      </c>
      <c r="AQ46" s="69">
        <f t="shared" si="64"/>
        <v>15773.748744574699</v>
      </c>
      <c r="AR46" s="69">
        <f t="shared" si="64"/>
        <v>0</v>
      </c>
      <c r="AS46" s="69">
        <f t="shared" si="64"/>
        <v>7886.8743722873496</v>
      </c>
      <c r="AT46" s="69"/>
      <c r="AU46" s="69">
        <f>AU24+AU39</f>
        <v>70981.869350586159</v>
      </c>
    </row>
    <row r="47" spans="1:47" outlineLevel="1">
      <c r="B47" s="67" t="s">
        <v>113</v>
      </c>
      <c r="C47" s="52"/>
      <c r="D47" s="68">
        <f t="shared" ref="D47:K47" si="66">D25+D40</f>
        <v>0</v>
      </c>
      <c r="E47" s="68">
        <f t="shared" si="66"/>
        <v>0</v>
      </c>
      <c r="F47" s="68">
        <f t="shared" si="66"/>
        <v>0</v>
      </c>
      <c r="G47" s="68">
        <f t="shared" si="66"/>
        <v>0</v>
      </c>
      <c r="H47" s="68">
        <f t="shared" si="66"/>
        <v>0</v>
      </c>
      <c r="I47" s="68">
        <f t="shared" si="66"/>
        <v>0</v>
      </c>
      <c r="J47" s="68">
        <f t="shared" si="66"/>
        <v>0</v>
      </c>
      <c r="K47" s="68">
        <f t="shared" si="66"/>
        <v>0</v>
      </c>
      <c r="L47" s="68">
        <f t="shared" ca="1" si="62"/>
        <v>0</v>
      </c>
      <c r="M47" s="69">
        <f t="shared" ca="1" si="62"/>
        <v>0</v>
      </c>
      <c r="N47" s="69">
        <f t="shared" ca="1" si="62"/>
        <v>0</v>
      </c>
      <c r="O47" s="69">
        <f t="shared" ca="1" si="62"/>
        <v>0</v>
      </c>
      <c r="P47" s="69"/>
      <c r="Q47" s="69">
        <f ca="1">Q25+Q40</f>
        <v>0</v>
      </c>
      <c r="S47" s="85">
        <f t="shared" ca="1" si="63"/>
        <v>0</v>
      </c>
      <c r="T47" s="85">
        <f t="shared" ca="1" si="63"/>
        <v>0</v>
      </c>
      <c r="U47" s="85">
        <f t="shared" ca="1" si="63"/>
        <v>0</v>
      </c>
      <c r="V47" s="85">
        <f t="shared" ca="1" si="63"/>
        <v>0</v>
      </c>
      <c r="W47" s="85">
        <f t="shared" ca="1" si="63"/>
        <v>0</v>
      </c>
      <c r="X47" s="69">
        <f t="shared" ca="1" si="63"/>
        <v>0</v>
      </c>
      <c r="Y47" s="69">
        <f t="shared" ca="1" si="63"/>
        <v>0</v>
      </c>
      <c r="Z47" s="69">
        <f t="shared" ca="1" si="63"/>
        <v>0</v>
      </c>
      <c r="AA47" s="69">
        <f t="shared" ca="1" si="63"/>
        <v>0</v>
      </c>
      <c r="AB47" s="69">
        <f t="shared" ca="1" si="63"/>
        <v>0</v>
      </c>
      <c r="AC47" s="69">
        <f t="shared" ca="1" si="63"/>
        <v>0</v>
      </c>
      <c r="AD47" s="69">
        <f t="shared" ca="1" si="63"/>
        <v>0</v>
      </c>
      <c r="AE47" s="69"/>
      <c r="AF47" s="69">
        <f ca="1">AF25+AF40</f>
        <v>0</v>
      </c>
      <c r="AH47" s="85">
        <f t="shared" ca="1" si="64"/>
        <v>0</v>
      </c>
      <c r="AI47" s="85">
        <f t="shared" ca="1" si="64"/>
        <v>0</v>
      </c>
      <c r="AJ47" s="85">
        <f t="shared" ca="1" si="64"/>
        <v>0</v>
      </c>
      <c r="AK47" s="85">
        <f t="shared" ca="1" si="64"/>
        <v>0</v>
      </c>
      <c r="AL47" s="85">
        <f t="shared" ca="1" si="64"/>
        <v>0</v>
      </c>
      <c r="AM47" s="69">
        <f t="shared" ca="1" si="64"/>
        <v>0</v>
      </c>
      <c r="AN47" s="69">
        <f t="shared" ca="1" si="64"/>
        <v>0</v>
      </c>
      <c r="AO47" s="69">
        <f t="shared" ca="1" si="64"/>
        <v>0</v>
      </c>
      <c r="AP47" s="69">
        <f t="shared" ca="1" si="64"/>
        <v>0</v>
      </c>
      <c r="AQ47" s="69">
        <f t="shared" ca="1" si="64"/>
        <v>0</v>
      </c>
      <c r="AR47" s="69">
        <f t="shared" ca="1" si="64"/>
        <v>0</v>
      </c>
      <c r="AS47" s="69">
        <f t="shared" ca="1" si="64"/>
        <v>0</v>
      </c>
      <c r="AT47" s="69"/>
      <c r="AU47" s="69">
        <f ca="1">AU25+AU40</f>
        <v>0</v>
      </c>
    </row>
    <row r="48" spans="1:47" outlineLevel="1">
      <c r="B48" s="67" t="s">
        <v>114</v>
      </c>
      <c r="C48" s="52"/>
      <c r="D48" s="68">
        <f t="shared" ref="D48:K48" si="67">D26+D41</f>
        <v>0</v>
      </c>
      <c r="E48" s="68">
        <f t="shared" si="67"/>
        <v>0</v>
      </c>
      <c r="F48" s="68">
        <f t="shared" si="67"/>
        <v>0</v>
      </c>
      <c r="G48" s="68">
        <f t="shared" si="67"/>
        <v>0</v>
      </c>
      <c r="H48" s="68">
        <f t="shared" si="67"/>
        <v>0</v>
      </c>
      <c r="I48" s="68">
        <f t="shared" si="67"/>
        <v>0</v>
      </c>
      <c r="J48" s="68">
        <f t="shared" si="67"/>
        <v>0</v>
      </c>
      <c r="K48" s="68">
        <f t="shared" si="67"/>
        <v>0</v>
      </c>
      <c r="L48" s="68">
        <f t="shared" si="62"/>
        <v>0</v>
      </c>
      <c r="M48" s="69">
        <f t="shared" si="62"/>
        <v>0</v>
      </c>
      <c r="N48" s="69">
        <f t="shared" si="62"/>
        <v>0</v>
      </c>
      <c r="O48" s="69">
        <f t="shared" si="62"/>
        <v>0</v>
      </c>
      <c r="P48" s="69"/>
      <c r="Q48" s="69">
        <f>Q26+Q41</f>
        <v>0</v>
      </c>
      <c r="S48" s="85">
        <f t="shared" si="63"/>
        <v>0</v>
      </c>
      <c r="T48" s="85">
        <f t="shared" si="63"/>
        <v>0</v>
      </c>
      <c r="U48" s="85">
        <f t="shared" si="63"/>
        <v>0</v>
      </c>
      <c r="V48" s="85">
        <f t="shared" si="63"/>
        <v>0</v>
      </c>
      <c r="W48" s="85">
        <f t="shared" si="63"/>
        <v>0</v>
      </c>
      <c r="X48" s="69">
        <f t="shared" si="63"/>
        <v>0</v>
      </c>
      <c r="Y48" s="69">
        <f t="shared" si="63"/>
        <v>0</v>
      </c>
      <c r="Z48" s="69">
        <f t="shared" si="63"/>
        <v>0</v>
      </c>
      <c r="AA48" s="69">
        <f t="shared" si="63"/>
        <v>0</v>
      </c>
      <c r="AB48" s="69">
        <f t="shared" si="63"/>
        <v>0</v>
      </c>
      <c r="AC48" s="69">
        <f t="shared" si="63"/>
        <v>0</v>
      </c>
      <c r="AD48" s="69">
        <f t="shared" si="63"/>
        <v>0</v>
      </c>
      <c r="AE48" s="69"/>
      <c r="AF48" s="69">
        <f>AF26+AF41</f>
        <v>0</v>
      </c>
      <c r="AH48" s="85">
        <f t="shared" si="64"/>
        <v>0</v>
      </c>
      <c r="AI48" s="85">
        <f t="shared" si="64"/>
        <v>0</v>
      </c>
      <c r="AJ48" s="85">
        <f t="shared" si="64"/>
        <v>0</v>
      </c>
      <c r="AK48" s="85">
        <f t="shared" si="64"/>
        <v>0</v>
      </c>
      <c r="AL48" s="85">
        <f t="shared" si="64"/>
        <v>0</v>
      </c>
      <c r="AM48" s="69">
        <f t="shared" si="64"/>
        <v>0</v>
      </c>
      <c r="AN48" s="69">
        <f t="shared" si="64"/>
        <v>0</v>
      </c>
      <c r="AO48" s="69">
        <f t="shared" si="64"/>
        <v>0</v>
      </c>
      <c r="AP48" s="69">
        <f t="shared" si="64"/>
        <v>0</v>
      </c>
      <c r="AQ48" s="69">
        <f t="shared" si="64"/>
        <v>0</v>
      </c>
      <c r="AR48" s="69">
        <f t="shared" si="64"/>
        <v>0</v>
      </c>
      <c r="AS48" s="69">
        <f t="shared" si="64"/>
        <v>0</v>
      </c>
      <c r="AT48" s="69"/>
      <c r="AU48" s="69">
        <f>AU26+AU41</f>
        <v>0</v>
      </c>
    </row>
    <row r="49" spans="2:47">
      <c r="B49" s="67" t="s">
        <v>115</v>
      </c>
      <c r="C49" s="52"/>
      <c r="D49" s="68">
        <f t="shared" ref="D49:K49" si="68">D27+D43</f>
        <v>8529.59</v>
      </c>
      <c r="E49" s="68">
        <f t="shared" si="68"/>
        <v>59351.880000000005</v>
      </c>
      <c r="F49" s="68">
        <f t="shared" si="68"/>
        <v>31362.959999999999</v>
      </c>
      <c r="G49" s="68">
        <f t="shared" si="68"/>
        <v>18315.620000000003</v>
      </c>
      <c r="H49" s="68">
        <f t="shared" si="68"/>
        <v>22447.780000000006</v>
      </c>
      <c r="I49" s="68">
        <f t="shared" si="68"/>
        <v>40060.370000000003</v>
      </c>
      <c r="J49" s="68">
        <f t="shared" si="68"/>
        <v>43783.799999999996</v>
      </c>
      <c r="K49" s="68">
        <f t="shared" si="68"/>
        <v>13054.029999999999</v>
      </c>
      <c r="L49" s="68">
        <f t="shared" ref="L49:Q49" ca="1" si="69">L27+L43</f>
        <v>84051</v>
      </c>
      <c r="M49" s="69">
        <f t="shared" ca="1" si="69"/>
        <v>94074</v>
      </c>
      <c r="N49" s="69">
        <f t="shared" ca="1" si="69"/>
        <v>34023</v>
      </c>
      <c r="O49" s="69">
        <f t="shared" ca="1" si="69"/>
        <v>30970</v>
      </c>
      <c r="P49" s="69"/>
      <c r="Q49" s="69">
        <f t="shared" ca="1" si="69"/>
        <v>480024.03000000014</v>
      </c>
      <c r="S49" s="85">
        <f ca="1">S27+S43</f>
        <v>39727.018659090863</v>
      </c>
      <c r="T49" s="85">
        <f t="shared" ref="T49:AD49" ca="1" si="70">T27+T43</f>
        <v>63138.45103740022</v>
      </c>
      <c r="U49" s="85">
        <f t="shared" ca="1" si="70"/>
        <v>43651.280620122008</v>
      </c>
      <c r="V49" s="85">
        <f t="shared" ca="1" si="70"/>
        <v>39737.031360060675</v>
      </c>
      <c r="W49" s="85">
        <f t="shared" ca="1" si="70"/>
        <v>32662.51125444904</v>
      </c>
      <c r="X49" s="69">
        <f t="shared" ca="1" si="70"/>
        <v>69972.590065714496</v>
      </c>
      <c r="Y49" s="69">
        <f t="shared" ca="1" si="70"/>
        <v>36561.320579599196</v>
      </c>
      <c r="Z49" s="69">
        <f t="shared" ca="1" si="70"/>
        <v>34049.028821346124</v>
      </c>
      <c r="AA49" s="69">
        <f t="shared" ca="1" si="70"/>
        <v>106607.30634449312</v>
      </c>
      <c r="AB49" s="69">
        <f t="shared" ca="1" si="70"/>
        <v>84009.330197392555</v>
      </c>
      <c r="AC49" s="69">
        <f t="shared" ca="1" si="70"/>
        <v>29585.588028651367</v>
      </c>
      <c r="AD49" s="69">
        <f t="shared" ca="1" si="70"/>
        <v>43352.663460773707</v>
      </c>
      <c r="AE49" s="69"/>
      <c r="AF49" s="69">
        <f t="shared" ref="AF49" ca="1" si="71">AF27+AF43</f>
        <v>623054.12042909325</v>
      </c>
      <c r="AH49" s="85">
        <f ca="1">AH27+AH43</f>
        <v>37950.101839944764</v>
      </c>
      <c r="AI49" s="85">
        <f t="shared" ref="AI49:AS49" ca="1" si="72">AI27+AI43</f>
        <v>79988.611955569737</v>
      </c>
      <c r="AJ49" s="85">
        <f t="shared" ca="1" si="72"/>
        <v>43273.092131061116</v>
      </c>
      <c r="AK49" s="85">
        <f t="shared" ca="1" si="72"/>
        <v>43632.575110205522</v>
      </c>
      <c r="AL49" s="85">
        <f t="shared" ca="1" si="72"/>
        <v>32299.725797806088</v>
      </c>
      <c r="AM49" s="69">
        <f t="shared" ca="1" si="72"/>
        <v>104299.37448279324</v>
      </c>
      <c r="AN49" s="69">
        <f t="shared" ca="1" si="72"/>
        <v>30834.859978692773</v>
      </c>
      <c r="AO49" s="69">
        <f t="shared" ca="1" si="72"/>
        <v>33522.876199458988</v>
      </c>
      <c r="AP49" s="69">
        <f t="shared" ca="1" si="72"/>
        <v>119784.77735737711</v>
      </c>
      <c r="AQ49" s="69">
        <f t="shared" ca="1" si="72"/>
        <v>85027.507948195518</v>
      </c>
      <c r="AR49" s="69">
        <f t="shared" ca="1" si="72"/>
        <v>28093.810914567617</v>
      </c>
      <c r="AS49" s="69">
        <f t="shared" ca="1" si="72"/>
        <v>44460.644237382236</v>
      </c>
      <c r="AT49" s="69"/>
      <c r="AU49" s="69">
        <f t="shared" ref="AU49" ca="1" si="73">AU27+AU43</f>
        <v>683167.95795305469</v>
      </c>
    </row>
    <row r="50" spans="2:47">
      <c r="B50" s="52"/>
      <c r="C50" s="52"/>
      <c r="D50" s="70"/>
      <c r="E50" s="70"/>
      <c r="F50" s="70"/>
      <c r="G50" s="70"/>
      <c r="H50" s="70"/>
      <c r="I50" s="70"/>
      <c r="J50" s="70"/>
      <c r="K50" s="70"/>
      <c r="L50" s="70"/>
      <c r="M50" s="52"/>
      <c r="N50" s="52"/>
      <c r="O50" s="52"/>
      <c r="P50" s="52"/>
      <c r="S50" s="10"/>
      <c r="T50" s="10"/>
      <c r="U50" s="10"/>
      <c r="V50" s="10"/>
      <c r="W50" s="10"/>
      <c r="X50" s="52"/>
      <c r="Y50" s="52"/>
      <c r="Z50" s="52"/>
      <c r="AA50" s="52"/>
      <c r="AB50" s="52"/>
      <c r="AC50" s="52"/>
      <c r="AD50" s="52"/>
      <c r="AE50" s="52"/>
      <c r="AH50" s="10"/>
      <c r="AI50" s="10"/>
      <c r="AJ50" s="10"/>
      <c r="AK50" s="10"/>
      <c r="AL50" s="10"/>
      <c r="AM50" s="52"/>
      <c r="AN50" s="52"/>
      <c r="AO50" s="52"/>
      <c r="AP50" s="52"/>
      <c r="AQ50" s="52"/>
      <c r="AR50" s="52"/>
      <c r="AS50" s="52"/>
      <c r="AT50" s="52"/>
    </row>
    <row r="51" spans="2:47" outlineLevel="1">
      <c r="B51" s="67" t="s">
        <v>116</v>
      </c>
      <c r="C51" s="52"/>
      <c r="D51" s="97">
        <f t="shared" ref="D51:K51" si="74">IFERROR(D45/D7,0)</f>
        <v>0.51191369354827254</v>
      </c>
      <c r="E51" s="97">
        <f t="shared" si="74"/>
        <v>0.5994129050277438</v>
      </c>
      <c r="F51" s="97">
        <f t="shared" si="74"/>
        <v>0.54659766615226024</v>
      </c>
      <c r="G51" s="97">
        <f t="shared" si="74"/>
        <v>0.6393642086223924</v>
      </c>
      <c r="H51" s="97">
        <f t="shared" si="74"/>
        <v>0.66120726623713721</v>
      </c>
      <c r="I51" s="97">
        <f t="shared" si="74"/>
        <v>0.55272332023637549</v>
      </c>
      <c r="J51" s="97">
        <f t="shared" si="74"/>
        <v>0.53982062520621288</v>
      </c>
      <c r="K51" s="97">
        <f t="shared" si="74"/>
        <v>0.64276752785697056</v>
      </c>
      <c r="L51" s="97">
        <f t="shared" ref="L51:O54" si="75">IFERROR(L45/L7,0)</f>
        <v>0.52573494011599053</v>
      </c>
      <c r="M51" s="91">
        <f t="shared" si="75"/>
        <v>0.54210769230769229</v>
      </c>
      <c r="N51" s="91">
        <f t="shared" si="75"/>
        <v>0.57211363636363632</v>
      </c>
      <c r="O51" s="91">
        <f t="shared" si="75"/>
        <v>0.58210526315789479</v>
      </c>
      <c r="P51" s="91"/>
      <c r="Q51" s="91">
        <f>IFERROR(Q45/Q7,0)</f>
        <v>0.55909882430273261</v>
      </c>
      <c r="S51" s="91">
        <f t="shared" ref="S51:AD54" si="76">IFERROR(S45/S7,0)</f>
        <v>0.56765821111508541</v>
      </c>
      <c r="T51" s="91">
        <f t="shared" si="76"/>
        <v>0.5676582111150853</v>
      </c>
      <c r="U51" s="91">
        <f t="shared" si="76"/>
        <v>0.5676582111150853</v>
      </c>
      <c r="V51" s="91">
        <f t="shared" si="76"/>
        <v>0.5676582111150853</v>
      </c>
      <c r="W51" s="91">
        <f t="shared" si="76"/>
        <v>0.5676582111150853</v>
      </c>
      <c r="X51" s="91">
        <f t="shared" si="76"/>
        <v>0.5676582111150853</v>
      </c>
      <c r="Y51" s="91">
        <f t="shared" si="76"/>
        <v>0.56765821111508541</v>
      </c>
      <c r="Z51" s="91">
        <f t="shared" si="76"/>
        <v>0.5676582111150853</v>
      </c>
      <c r="AA51" s="91">
        <f t="shared" si="76"/>
        <v>0.56765821111508541</v>
      </c>
      <c r="AB51" s="91">
        <f t="shared" si="76"/>
        <v>0.56765821111508541</v>
      </c>
      <c r="AC51" s="91">
        <f t="shared" si="76"/>
        <v>0.5676582111150853</v>
      </c>
      <c r="AD51" s="91">
        <f t="shared" si="76"/>
        <v>0.56765821111508541</v>
      </c>
      <c r="AE51" s="91"/>
      <c r="AF51" s="91">
        <f>IFERROR(AF45/AF7,0)</f>
        <v>0.56765821111508541</v>
      </c>
      <c r="AH51" s="91">
        <f t="shared" ref="AH51:AS54" si="77">IFERROR(AH45/AH7,0)</f>
        <v>0.5676582111150853</v>
      </c>
      <c r="AI51" s="91">
        <f t="shared" si="77"/>
        <v>0.5676582111150853</v>
      </c>
      <c r="AJ51" s="91">
        <f t="shared" si="77"/>
        <v>0.5676582111150853</v>
      </c>
      <c r="AK51" s="91">
        <f t="shared" si="77"/>
        <v>0.5676582111150853</v>
      </c>
      <c r="AL51" s="91">
        <f t="shared" si="77"/>
        <v>0.5676582111150853</v>
      </c>
      <c r="AM51" s="91">
        <f t="shared" si="77"/>
        <v>0.56765821111508541</v>
      </c>
      <c r="AN51" s="91">
        <f t="shared" si="77"/>
        <v>0.56765821111508541</v>
      </c>
      <c r="AO51" s="91">
        <f t="shared" si="77"/>
        <v>0.5676582111150853</v>
      </c>
      <c r="AP51" s="91">
        <f t="shared" si="77"/>
        <v>0.5676582111150853</v>
      </c>
      <c r="AQ51" s="91">
        <f t="shared" si="77"/>
        <v>0.5676582111150853</v>
      </c>
      <c r="AR51" s="91">
        <f t="shared" si="77"/>
        <v>0.5676582111150853</v>
      </c>
      <c r="AS51" s="91">
        <f t="shared" si="77"/>
        <v>0.56765821111508541</v>
      </c>
      <c r="AT51" s="91"/>
      <c r="AU51" s="91">
        <f>IFERROR(AU45/AU7,0)</f>
        <v>0.5676582111150853</v>
      </c>
    </row>
    <row r="52" spans="2:47" outlineLevel="1">
      <c r="B52" s="67" t="s">
        <v>117</v>
      </c>
      <c r="C52" s="52"/>
      <c r="D52" s="97">
        <f t="shared" ref="D52:K52" si="78">IFERROR(D46/D8,0)</f>
        <v>-0.10659944934676649</v>
      </c>
      <c r="E52" s="97">
        <f t="shared" si="78"/>
        <v>4.9250485784413991</v>
      </c>
      <c r="F52" s="97">
        <f t="shared" si="78"/>
        <v>0</v>
      </c>
      <c r="G52" s="97">
        <f t="shared" si="78"/>
        <v>0.53818261249453914</v>
      </c>
      <c r="H52" s="97">
        <f t="shared" si="78"/>
        <v>0.59140081125659516</v>
      </c>
      <c r="I52" s="97">
        <f t="shared" si="78"/>
        <v>4.1514151998988245E-2</v>
      </c>
      <c r="J52" s="97">
        <f t="shared" si="78"/>
        <v>0</v>
      </c>
      <c r="K52" s="97">
        <f t="shared" si="78"/>
        <v>0</v>
      </c>
      <c r="L52" s="97">
        <f t="shared" si="75"/>
        <v>0.52167145593869735</v>
      </c>
      <c r="M52" s="91">
        <f t="shared" si="75"/>
        <v>0.59</v>
      </c>
      <c r="N52" s="91">
        <f t="shared" si="75"/>
        <v>0.59</v>
      </c>
      <c r="O52" s="91">
        <f t="shared" si="75"/>
        <v>0.59</v>
      </c>
      <c r="P52" s="91"/>
      <c r="Q52" s="91">
        <f>IFERROR(Q46/Q8,0)</f>
        <v>0.56332857824919058</v>
      </c>
      <c r="S52" s="91">
        <f t="shared" si="76"/>
        <v>0.75113089259879529</v>
      </c>
      <c r="T52" s="91">
        <f t="shared" si="76"/>
        <v>0</v>
      </c>
      <c r="U52" s="91">
        <f t="shared" si="76"/>
        <v>0</v>
      </c>
      <c r="V52" s="91">
        <f t="shared" si="76"/>
        <v>0.75113089259879529</v>
      </c>
      <c r="W52" s="91">
        <f t="shared" si="76"/>
        <v>0</v>
      </c>
      <c r="X52" s="91">
        <f t="shared" si="76"/>
        <v>0.75113089259879529</v>
      </c>
      <c r="Y52" s="91">
        <f t="shared" si="76"/>
        <v>0</v>
      </c>
      <c r="Z52" s="91">
        <f t="shared" si="76"/>
        <v>0</v>
      </c>
      <c r="AA52" s="91">
        <f t="shared" si="76"/>
        <v>0.75113089259879529</v>
      </c>
      <c r="AB52" s="91">
        <f t="shared" si="76"/>
        <v>0.75113089259879529</v>
      </c>
      <c r="AC52" s="91">
        <f t="shared" si="76"/>
        <v>0</v>
      </c>
      <c r="AD52" s="91">
        <f t="shared" si="76"/>
        <v>0.75113089259879529</v>
      </c>
      <c r="AE52" s="91"/>
      <c r="AF52" s="91">
        <f>IFERROR(AF46/AF8,0)</f>
        <v>0.75113089259879517</v>
      </c>
      <c r="AH52" s="91">
        <f t="shared" si="77"/>
        <v>0.75113089259879517</v>
      </c>
      <c r="AI52" s="91">
        <f t="shared" si="77"/>
        <v>0</v>
      </c>
      <c r="AJ52" s="91">
        <f t="shared" si="77"/>
        <v>0</v>
      </c>
      <c r="AK52" s="91">
        <f t="shared" si="77"/>
        <v>0.75113089259879517</v>
      </c>
      <c r="AL52" s="91">
        <f t="shared" si="77"/>
        <v>0</v>
      </c>
      <c r="AM52" s="91">
        <f t="shared" si="77"/>
        <v>0.75113089259879517</v>
      </c>
      <c r="AN52" s="91">
        <f t="shared" si="77"/>
        <v>0</v>
      </c>
      <c r="AO52" s="91">
        <f t="shared" si="77"/>
        <v>0</v>
      </c>
      <c r="AP52" s="91">
        <f t="shared" si="77"/>
        <v>0.75113089259879529</v>
      </c>
      <c r="AQ52" s="91">
        <f t="shared" si="77"/>
        <v>0.75113089259879517</v>
      </c>
      <c r="AR52" s="91">
        <f t="shared" si="77"/>
        <v>0</v>
      </c>
      <c r="AS52" s="91">
        <f t="shared" si="77"/>
        <v>0.75113089259879517</v>
      </c>
      <c r="AT52" s="91"/>
      <c r="AU52" s="91">
        <f>IFERROR(AU46/AU8,0)</f>
        <v>0.75113089259879529</v>
      </c>
    </row>
    <row r="53" spans="2:47" outlineLevel="1">
      <c r="B53" s="67" t="s">
        <v>118</v>
      </c>
      <c r="C53" s="52"/>
      <c r="D53" s="97">
        <f t="shared" ref="D53:K53" si="79">IFERROR(D47/D9,0)</f>
        <v>0</v>
      </c>
      <c r="E53" s="97">
        <f t="shared" si="79"/>
        <v>0</v>
      </c>
      <c r="F53" s="97">
        <f t="shared" si="79"/>
        <v>0</v>
      </c>
      <c r="G53" s="97">
        <f t="shared" si="79"/>
        <v>0</v>
      </c>
      <c r="H53" s="97">
        <f t="shared" si="79"/>
        <v>0</v>
      </c>
      <c r="I53" s="97">
        <f t="shared" si="79"/>
        <v>0</v>
      </c>
      <c r="J53" s="97">
        <f t="shared" si="79"/>
        <v>0</v>
      </c>
      <c r="K53" s="97">
        <f t="shared" si="79"/>
        <v>0</v>
      </c>
      <c r="L53" s="97">
        <f t="shared" ca="1" si="75"/>
        <v>0</v>
      </c>
      <c r="M53" s="91">
        <f t="shared" ca="1" si="75"/>
        <v>0</v>
      </c>
      <c r="N53" s="91">
        <f t="shared" ca="1" si="75"/>
        <v>0</v>
      </c>
      <c r="O53" s="91">
        <f t="shared" ca="1" si="75"/>
        <v>0</v>
      </c>
      <c r="P53" s="91"/>
      <c r="Q53" s="91">
        <f ca="1">IFERROR(Q47/Q9,0)</f>
        <v>0</v>
      </c>
      <c r="S53" s="91">
        <f t="shared" ca="1" si="76"/>
        <v>0</v>
      </c>
      <c r="T53" s="91">
        <f t="shared" ca="1" si="76"/>
        <v>0</v>
      </c>
      <c r="U53" s="91">
        <f t="shared" ca="1" si="76"/>
        <v>0</v>
      </c>
      <c r="V53" s="91">
        <f t="shared" ca="1" si="76"/>
        <v>0</v>
      </c>
      <c r="W53" s="91">
        <f t="shared" ca="1" si="76"/>
        <v>0</v>
      </c>
      <c r="X53" s="91">
        <f t="shared" ca="1" si="76"/>
        <v>0</v>
      </c>
      <c r="Y53" s="91">
        <f t="shared" ca="1" si="76"/>
        <v>0</v>
      </c>
      <c r="Z53" s="91">
        <f t="shared" ca="1" si="76"/>
        <v>0</v>
      </c>
      <c r="AA53" s="91">
        <f t="shared" ca="1" si="76"/>
        <v>0</v>
      </c>
      <c r="AB53" s="91">
        <f t="shared" ca="1" si="76"/>
        <v>0</v>
      </c>
      <c r="AC53" s="91">
        <f t="shared" ca="1" si="76"/>
        <v>0</v>
      </c>
      <c r="AD53" s="91">
        <f t="shared" ca="1" si="76"/>
        <v>0</v>
      </c>
      <c r="AE53" s="91"/>
      <c r="AF53" s="91">
        <f ca="1">IFERROR(AF47/AF9,0)</f>
        <v>0</v>
      </c>
      <c r="AH53" s="91">
        <f t="shared" ca="1" si="77"/>
        <v>0</v>
      </c>
      <c r="AI53" s="91">
        <f t="shared" ca="1" si="77"/>
        <v>0</v>
      </c>
      <c r="AJ53" s="91">
        <f t="shared" ca="1" si="77"/>
        <v>0</v>
      </c>
      <c r="AK53" s="91">
        <f t="shared" ca="1" si="77"/>
        <v>0</v>
      </c>
      <c r="AL53" s="91">
        <f t="shared" ca="1" si="77"/>
        <v>0</v>
      </c>
      <c r="AM53" s="91">
        <f t="shared" ca="1" si="77"/>
        <v>0</v>
      </c>
      <c r="AN53" s="91">
        <f t="shared" ca="1" si="77"/>
        <v>0</v>
      </c>
      <c r="AO53" s="91">
        <f t="shared" ca="1" si="77"/>
        <v>0</v>
      </c>
      <c r="AP53" s="91">
        <f t="shared" ca="1" si="77"/>
        <v>0</v>
      </c>
      <c r="AQ53" s="91">
        <f t="shared" ca="1" si="77"/>
        <v>0</v>
      </c>
      <c r="AR53" s="91">
        <f t="shared" ca="1" si="77"/>
        <v>0</v>
      </c>
      <c r="AS53" s="91">
        <f t="shared" ca="1" si="77"/>
        <v>0</v>
      </c>
      <c r="AT53" s="91"/>
      <c r="AU53" s="91">
        <f ca="1">IFERROR(AU47/AU9,0)</f>
        <v>0</v>
      </c>
    </row>
    <row r="54" spans="2:47" outlineLevel="1">
      <c r="B54" s="67" t="s">
        <v>119</v>
      </c>
      <c r="C54" s="52"/>
      <c r="D54" s="97">
        <f t="shared" ref="D54:K54" si="80">IFERROR(D48/D10,0)</f>
        <v>0</v>
      </c>
      <c r="E54" s="97">
        <f t="shared" si="80"/>
        <v>0</v>
      </c>
      <c r="F54" s="97">
        <f t="shared" si="80"/>
        <v>0</v>
      </c>
      <c r="G54" s="97">
        <f t="shared" si="80"/>
        <v>0</v>
      </c>
      <c r="H54" s="97">
        <f t="shared" si="80"/>
        <v>0</v>
      </c>
      <c r="I54" s="97">
        <f t="shared" si="80"/>
        <v>0</v>
      </c>
      <c r="J54" s="97">
        <f t="shared" si="80"/>
        <v>0</v>
      </c>
      <c r="K54" s="97">
        <f t="shared" si="80"/>
        <v>0</v>
      </c>
      <c r="L54" s="97">
        <f t="shared" si="75"/>
        <v>0</v>
      </c>
      <c r="M54" s="91">
        <f t="shared" si="75"/>
        <v>0</v>
      </c>
      <c r="N54" s="91">
        <f t="shared" si="75"/>
        <v>0</v>
      </c>
      <c r="O54" s="91">
        <f t="shared" si="75"/>
        <v>0</v>
      </c>
      <c r="P54" s="91"/>
      <c r="Q54" s="91">
        <f>IFERROR(Q48/Q10,0)</f>
        <v>0</v>
      </c>
      <c r="S54" s="91">
        <f t="shared" si="76"/>
        <v>0</v>
      </c>
      <c r="T54" s="91">
        <f t="shared" si="76"/>
        <v>0</v>
      </c>
      <c r="U54" s="91">
        <f t="shared" si="76"/>
        <v>0</v>
      </c>
      <c r="V54" s="91">
        <f t="shared" si="76"/>
        <v>0</v>
      </c>
      <c r="W54" s="91">
        <f t="shared" si="76"/>
        <v>0</v>
      </c>
      <c r="X54" s="91">
        <f t="shared" si="76"/>
        <v>0</v>
      </c>
      <c r="Y54" s="91">
        <f t="shared" si="76"/>
        <v>0</v>
      </c>
      <c r="Z54" s="91">
        <f t="shared" si="76"/>
        <v>0</v>
      </c>
      <c r="AA54" s="91">
        <f t="shared" si="76"/>
        <v>0</v>
      </c>
      <c r="AB54" s="91">
        <f t="shared" si="76"/>
        <v>0</v>
      </c>
      <c r="AC54" s="91">
        <f t="shared" si="76"/>
        <v>0</v>
      </c>
      <c r="AD54" s="91">
        <f t="shared" si="76"/>
        <v>0</v>
      </c>
      <c r="AE54" s="91"/>
      <c r="AF54" s="91">
        <f>IFERROR(AF48/AF10,0)</f>
        <v>0</v>
      </c>
      <c r="AH54" s="91">
        <f t="shared" si="77"/>
        <v>0</v>
      </c>
      <c r="AI54" s="91">
        <f t="shared" si="77"/>
        <v>0</v>
      </c>
      <c r="AJ54" s="91">
        <f t="shared" si="77"/>
        <v>0</v>
      </c>
      <c r="AK54" s="91">
        <f t="shared" si="77"/>
        <v>0</v>
      </c>
      <c r="AL54" s="91">
        <f t="shared" si="77"/>
        <v>0</v>
      </c>
      <c r="AM54" s="91">
        <f t="shared" si="77"/>
        <v>0</v>
      </c>
      <c r="AN54" s="91">
        <f t="shared" si="77"/>
        <v>0</v>
      </c>
      <c r="AO54" s="91">
        <f t="shared" si="77"/>
        <v>0</v>
      </c>
      <c r="AP54" s="91">
        <f t="shared" si="77"/>
        <v>0</v>
      </c>
      <c r="AQ54" s="91">
        <f t="shared" si="77"/>
        <v>0</v>
      </c>
      <c r="AR54" s="91">
        <f t="shared" si="77"/>
        <v>0</v>
      </c>
      <c r="AS54" s="91">
        <f t="shared" si="77"/>
        <v>0</v>
      </c>
      <c r="AT54" s="91"/>
      <c r="AU54" s="91">
        <f>IFERROR(AU48/AU10,0)</f>
        <v>0</v>
      </c>
    </row>
    <row r="55" spans="2:47">
      <c r="B55" s="72" t="s">
        <v>120</v>
      </c>
      <c r="C55" s="73"/>
      <c r="D55" s="97">
        <f t="shared" ref="D55:K55" si="81">IFERROR(D49/D12,0)</f>
        <v>0.3259625816713092</v>
      </c>
      <c r="E55" s="97">
        <f t="shared" si="81"/>
        <v>0.72308306517568055</v>
      </c>
      <c r="F55" s="97">
        <f t="shared" si="81"/>
        <v>0.54473746601139916</v>
      </c>
      <c r="G55" s="97">
        <f t="shared" si="81"/>
        <v>0.60566565080977552</v>
      </c>
      <c r="H55" s="97">
        <f t="shared" si="81"/>
        <v>0.63704199387471094</v>
      </c>
      <c r="I55" s="97">
        <f t="shared" si="81"/>
        <v>0.4886369180688116</v>
      </c>
      <c r="J55" s="97">
        <f t="shared" si="81"/>
        <v>0.53484085590075048</v>
      </c>
      <c r="K55" s="97">
        <f t="shared" si="81"/>
        <v>0.64276752785697056</v>
      </c>
      <c r="L55" s="97">
        <f t="shared" ref="L55:O55" ca="1" si="82">IFERROR(L49/L12,0)</f>
        <v>0.52509886485034396</v>
      </c>
      <c r="M55" s="91">
        <f t="shared" ca="1" si="82"/>
        <v>0.55337647058823525</v>
      </c>
      <c r="N55" s="91">
        <f t="shared" ca="1" si="82"/>
        <v>0.57666101694915251</v>
      </c>
      <c r="O55" s="91">
        <f t="shared" ca="1" si="82"/>
        <v>0.5843396226415094</v>
      </c>
      <c r="P55" s="91"/>
      <c r="Q55" s="91">
        <f ca="1">IFERROR(Q49/Q12,0)</f>
        <v>0.55977861071256751</v>
      </c>
      <c r="S55" s="91">
        <f t="shared" ref="S55:AD55" ca="1" si="83">IFERROR(S49/S12,0)</f>
        <v>0.59514395269746589</v>
      </c>
      <c r="T55" s="91">
        <f t="shared" ca="1" si="83"/>
        <v>0.5676582111150853</v>
      </c>
      <c r="U55" s="91">
        <f t="shared" ca="1" si="83"/>
        <v>0.5676582111150853</v>
      </c>
      <c r="V55" s="91">
        <f t="shared" ca="1" si="83"/>
        <v>0.59513669175344941</v>
      </c>
      <c r="W55" s="91">
        <f t="shared" ca="1" si="83"/>
        <v>0.5676582111150853</v>
      </c>
      <c r="X55" s="91">
        <f t="shared" ca="1" si="83"/>
        <v>0.58294336524092882</v>
      </c>
      <c r="Y55" s="91">
        <f t="shared" ca="1" si="83"/>
        <v>0.56765821111508541</v>
      </c>
      <c r="Z55" s="91">
        <f t="shared" ca="1" si="83"/>
        <v>0.5676582111150853</v>
      </c>
      <c r="AA55" s="91">
        <f t="shared" ca="1" si="83"/>
        <v>0.59856223309237699</v>
      </c>
      <c r="AB55" s="91">
        <f t="shared" ca="1" si="83"/>
        <v>0.59358550366494189</v>
      </c>
      <c r="AC55" s="91">
        <f t="shared" ca="1" si="83"/>
        <v>0.5676582111150853</v>
      </c>
      <c r="AD55" s="91">
        <f t="shared" ca="1" si="83"/>
        <v>0.59274370008042487</v>
      </c>
      <c r="AE55" s="91"/>
      <c r="AF55" s="91">
        <f ca="1">IFERROR(AF49/AF12,0)</f>
        <v>0.5831121882164324</v>
      </c>
      <c r="AH55" s="91">
        <f t="shared" ref="AH55:AS55" ca="1" si="84">IFERROR(AH49/AH12,0)</f>
        <v>0.59801529520247587</v>
      </c>
      <c r="AI55" s="91">
        <f t="shared" ca="1" si="84"/>
        <v>0.5676582111150853</v>
      </c>
      <c r="AJ55" s="91">
        <f t="shared" ca="1" si="84"/>
        <v>0.5676582111150853</v>
      </c>
      <c r="AK55" s="91">
        <f t="shared" ca="1" si="84"/>
        <v>0.59387913120144598</v>
      </c>
      <c r="AL55" s="91">
        <f t="shared" ca="1" si="84"/>
        <v>0.5676582111150853</v>
      </c>
      <c r="AM55" s="91">
        <f t="shared" ca="1" si="84"/>
        <v>0.57834045717507754</v>
      </c>
      <c r="AN55" s="91">
        <f t="shared" ca="1" si="84"/>
        <v>0.56765821111508541</v>
      </c>
      <c r="AO55" s="91">
        <f t="shared" ca="1" si="84"/>
        <v>0.5676582111150853</v>
      </c>
      <c r="AP55" s="91">
        <f t="shared" ca="1" si="84"/>
        <v>0.59643507812747809</v>
      </c>
      <c r="AQ55" s="91">
        <f t="shared" ca="1" si="84"/>
        <v>0.59460193183704357</v>
      </c>
      <c r="AR55" s="91">
        <f t="shared" ca="1" si="84"/>
        <v>0.5676582111150853</v>
      </c>
      <c r="AS55" s="91">
        <f t="shared" ca="1" si="84"/>
        <v>0.5933686538898475</v>
      </c>
      <c r="AT55" s="91"/>
      <c r="AU55" s="91">
        <f ca="1">IFERROR(AU49/AU12,0)</f>
        <v>0.58243999741017649</v>
      </c>
    </row>
    <row r="56" spans="2:47">
      <c r="D56" s="53"/>
      <c r="E56" s="53"/>
      <c r="F56" s="53"/>
      <c r="G56" s="53"/>
      <c r="H56" s="53"/>
      <c r="I56" s="53"/>
      <c r="J56" s="53"/>
      <c r="K56" s="53"/>
      <c r="L56" s="53"/>
      <c r="Q56" s="51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1"/>
      <c r="AE56" s="91"/>
      <c r="AF56" s="91"/>
      <c r="AU56" s="51"/>
    </row>
    <row r="57" spans="2:47" outlineLevel="1">
      <c r="B57" s="58" t="s">
        <v>121</v>
      </c>
      <c r="D57" s="53"/>
      <c r="E57" s="53"/>
      <c r="F57" s="53"/>
      <c r="G57" s="53"/>
      <c r="H57" s="53"/>
      <c r="I57" s="53"/>
      <c r="J57" s="53"/>
      <c r="K57" s="53"/>
      <c r="L57" s="53"/>
      <c r="Q57" s="51"/>
      <c r="AF57" s="51"/>
      <c r="AU57" s="51"/>
    </row>
    <row r="58" spans="2:47" outlineLevel="1">
      <c r="D58" s="53"/>
      <c r="E58" s="53"/>
      <c r="F58" s="53"/>
      <c r="G58" s="53"/>
      <c r="H58" s="53"/>
      <c r="I58" s="53"/>
      <c r="J58" s="53"/>
      <c r="K58" s="53"/>
      <c r="L58" s="53"/>
      <c r="Q58" s="51"/>
      <c r="AF58" s="51"/>
      <c r="AU58" s="51"/>
    </row>
    <row r="59" spans="2:47" outlineLevel="1">
      <c r="B59" s="51" t="s">
        <v>122</v>
      </c>
      <c r="D59" s="59">
        <v>0</v>
      </c>
      <c r="E59" s="59">
        <v>0</v>
      </c>
      <c r="F59" s="59">
        <v>-2180</v>
      </c>
      <c r="G59" s="59">
        <v>0</v>
      </c>
      <c r="H59" s="59">
        <v>-602.27</v>
      </c>
      <c r="I59" s="59">
        <v>0</v>
      </c>
      <c r="J59" s="59">
        <v>-1593.03</v>
      </c>
      <c r="K59" s="59">
        <v>-430.24</v>
      </c>
      <c r="L59" s="59">
        <v>-5439</v>
      </c>
      <c r="M59" s="60">
        <v>-1700</v>
      </c>
      <c r="N59" s="60">
        <v>-500</v>
      </c>
      <c r="O59" s="60">
        <v>-500</v>
      </c>
      <c r="P59" s="60"/>
      <c r="Q59" s="61">
        <f t="shared" ref="Q59:Q69" si="85">SUM(D59:O59)</f>
        <v>-12944.54</v>
      </c>
      <c r="R59" s="60"/>
      <c r="S59" s="60">
        <f>-RO!Q36</f>
        <v>-15418.800000000001</v>
      </c>
      <c r="T59" s="60">
        <f>-RO!R36</f>
        <v>-30865.8</v>
      </c>
      <c r="U59" s="60">
        <f>-RO!S36</f>
        <v>-28278</v>
      </c>
      <c r="V59" s="60">
        <f>-RO!T36</f>
        <v>-20799.5</v>
      </c>
      <c r="W59" s="60">
        <f>-RO!U36</f>
        <v>-21129</v>
      </c>
      <c r="X59" s="60">
        <f>-RO!V36</f>
        <v>-27218</v>
      </c>
      <c r="Y59" s="60">
        <f>-RO!W36</f>
        <v>-22156.799999999999</v>
      </c>
      <c r="Z59" s="60">
        <f>-RO!X36</f>
        <v>-19052.599999999999</v>
      </c>
      <c r="AA59" s="60">
        <f>-RO!Y36</f>
        <v>-42000</v>
      </c>
      <c r="AB59" s="60">
        <f>-RO!Z36</f>
        <v>-35000</v>
      </c>
      <c r="AC59" s="60">
        <f>-RO!AA36</f>
        <v>-16500</v>
      </c>
      <c r="AD59" s="60">
        <f>-RO!AB36</f>
        <v>-19500</v>
      </c>
      <c r="AE59" s="60"/>
      <c r="AF59" s="61">
        <f>SUM(S59:AD59)</f>
        <v>-297918.5</v>
      </c>
      <c r="AH59" s="60">
        <f>-RO!AC36</f>
        <v>-18502.560000000001</v>
      </c>
      <c r="AI59" s="60">
        <f>-RO!AD36</f>
        <v>-43212.119999999995</v>
      </c>
      <c r="AJ59" s="60">
        <f>-RO!AE36</f>
        <v>-28278</v>
      </c>
      <c r="AK59" s="60">
        <f>-RO!AF36</f>
        <v>-27039.350000000002</v>
      </c>
      <c r="AL59" s="60">
        <f>-RO!AG36</f>
        <v>-23241.9</v>
      </c>
      <c r="AM59" s="60">
        <f>-RO!AH36</f>
        <v>-43548.800000000003</v>
      </c>
      <c r="AN59" s="60">
        <f>-RO!AI36</f>
        <v>-19941.12</v>
      </c>
      <c r="AO59" s="60">
        <f>-RO!AJ36</f>
        <v>-20957.86</v>
      </c>
      <c r="AP59" s="60">
        <f>-RO!AK36</f>
        <v>-50400</v>
      </c>
      <c r="AQ59" s="60">
        <f>-RO!AL36</f>
        <v>-35000</v>
      </c>
      <c r="AR59" s="60">
        <f>-RO!AM36</f>
        <v>-18150</v>
      </c>
      <c r="AS59" s="60">
        <f>-RO!AN36</f>
        <v>-23400</v>
      </c>
      <c r="AT59" s="60"/>
      <c r="AU59" s="61">
        <f t="shared" ref="AU59" si="86">SUM(AH59:AS59)</f>
        <v>-351671.70999999996</v>
      </c>
    </row>
    <row r="60" spans="2:47" outlineLevel="1">
      <c r="B60" s="51" t="s">
        <v>123</v>
      </c>
      <c r="D60" s="59">
        <v>0</v>
      </c>
      <c r="E60" s="59">
        <v>-882.47</v>
      </c>
      <c r="F60" s="59">
        <v>-3230</v>
      </c>
      <c r="G60" s="59">
        <v>-507.45</v>
      </c>
      <c r="H60" s="59">
        <v>-2490.9499999999998</v>
      </c>
      <c r="I60" s="59">
        <v>-520.4</v>
      </c>
      <c r="J60" s="59">
        <v>0</v>
      </c>
      <c r="K60" s="59">
        <v>-2540.37</v>
      </c>
      <c r="L60" s="59">
        <v>-1028</v>
      </c>
      <c r="M60" s="60">
        <v>-1000</v>
      </c>
      <c r="N60" s="60" t="s">
        <v>184</v>
      </c>
      <c r="O60" s="60" t="s">
        <v>184</v>
      </c>
      <c r="P60" s="60"/>
      <c r="Q60" s="61">
        <f>SUM(D60:O60)</f>
        <v>-12199.64</v>
      </c>
      <c r="S60" s="60">
        <f>-RO!Q29</f>
        <v>-500</v>
      </c>
      <c r="T60" s="60">
        <f>-RO!R29</f>
        <v>-1000</v>
      </c>
      <c r="U60" s="60">
        <f>-RO!S29</f>
        <v>-1000</v>
      </c>
      <c r="V60" s="60">
        <f>-RO!T29</f>
        <v>-500</v>
      </c>
      <c r="W60" s="60">
        <f>-RO!U29</f>
        <v>-500</v>
      </c>
      <c r="X60" s="60">
        <f>-RO!V29</f>
        <v>-1000</v>
      </c>
      <c r="Y60" s="60">
        <f>-RO!W29</f>
        <v>-500</v>
      </c>
      <c r="Z60" s="60">
        <f>-RO!X29</f>
        <v>-500</v>
      </c>
      <c r="AA60" s="60">
        <f>-RO!Y29</f>
        <v>-1000</v>
      </c>
      <c r="AB60" s="60">
        <f>-RO!Z29</f>
        <v>-1000</v>
      </c>
      <c r="AC60" s="60">
        <f>-RO!AA29</f>
        <v>-500</v>
      </c>
      <c r="AD60" s="60">
        <f>-RO!AB29</f>
        <v>-500</v>
      </c>
      <c r="AE60" s="60"/>
      <c r="AF60" s="61">
        <f t="shared" ref="AF60:AF67" si="87">SUM(S60:AD60)</f>
        <v>-8500</v>
      </c>
      <c r="AH60" s="60">
        <f>-RO!AC29</f>
        <v>-500</v>
      </c>
      <c r="AI60" s="60">
        <f>-RO!AD29</f>
        <v>-1000</v>
      </c>
      <c r="AJ60" s="60">
        <f>-RO!AE29</f>
        <v>-1000</v>
      </c>
      <c r="AK60" s="60">
        <f>-RO!AF29</f>
        <v>-500</v>
      </c>
      <c r="AL60" s="60">
        <f>-RO!AG29</f>
        <v>-500</v>
      </c>
      <c r="AM60" s="60">
        <f>-RO!AH29</f>
        <v>-1000</v>
      </c>
      <c r="AN60" s="60">
        <f>-RO!AI29</f>
        <v>-500</v>
      </c>
      <c r="AO60" s="60">
        <f>-RO!AJ29</f>
        <v>-500</v>
      </c>
      <c r="AP60" s="60">
        <f>-RO!AK29</f>
        <v>-1000</v>
      </c>
      <c r="AQ60" s="60">
        <f>-RO!AL29</f>
        <v>-1000</v>
      </c>
      <c r="AR60" s="60">
        <f>-RO!AM29</f>
        <v>-500</v>
      </c>
      <c r="AS60" s="60">
        <f>-RO!AN29</f>
        <v>-500</v>
      </c>
      <c r="AT60" s="60"/>
      <c r="AU60" s="61">
        <f>SUM(AH60:AS60)</f>
        <v>-8500</v>
      </c>
    </row>
    <row r="61" spans="2:47" outlineLevel="2">
      <c r="B61" s="51" t="s">
        <v>124</v>
      </c>
      <c r="D61" s="59">
        <v>-1600.81</v>
      </c>
      <c r="E61" s="59">
        <v>-12268.85</v>
      </c>
      <c r="F61" s="59">
        <v>-14797.6</v>
      </c>
      <c r="G61" s="59">
        <v>-6734.16</v>
      </c>
      <c r="H61" s="59">
        <v>-7155.39</v>
      </c>
      <c r="I61" s="59">
        <v>-12274.92</v>
      </c>
      <c r="J61" s="59">
        <v>-7371.21</v>
      </c>
      <c r="K61" s="59">
        <v>-5731.37</v>
      </c>
      <c r="L61" s="59">
        <v>-13719</v>
      </c>
      <c r="M61" s="60">
        <v>-12000</v>
      </c>
      <c r="N61" s="60">
        <v>-8000</v>
      </c>
      <c r="O61" s="60">
        <v>-7000</v>
      </c>
      <c r="P61" s="60"/>
      <c r="Q61" s="61">
        <f t="shared" si="85"/>
        <v>-108653.31</v>
      </c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1">
        <f t="shared" si="87"/>
        <v>0</v>
      </c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1">
        <f t="shared" ref="AU61:AU69" si="88">SUM(AH61:AS61)</f>
        <v>0</v>
      </c>
    </row>
    <row r="62" spans="2:47" outlineLevel="2">
      <c r="B62" s="51" t="s">
        <v>125</v>
      </c>
      <c r="D62" s="59">
        <v>-978.63</v>
      </c>
      <c r="E62" s="59">
        <v>-2487.6799999999998</v>
      </c>
      <c r="F62" s="59">
        <v>-2771.51</v>
      </c>
      <c r="G62" s="59">
        <v>-1181.2</v>
      </c>
      <c r="H62" s="59">
        <v>-1880.26</v>
      </c>
      <c r="I62" s="59">
        <v>-2418.96</v>
      </c>
      <c r="J62" s="59">
        <v>-3177</v>
      </c>
      <c r="K62" s="59">
        <v>-2227.4299999999998</v>
      </c>
      <c r="L62" s="59">
        <v>-7459</v>
      </c>
      <c r="M62" s="60">
        <v>-8580</v>
      </c>
      <c r="N62" s="60">
        <v>-2800</v>
      </c>
      <c r="O62" s="60">
        <v>-2280</v>
      </c>
      <c r="P62" s="60"/>
      <c r="Q62" s="61">
        <f t="shared" si="85"/>
        <v>-38241.67</v>
      </c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1">
        <f t="shared" si="87"/>
        <v>0</v>
      </c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1">
        <f t="shared" si="88"/>
        <v>0</v>
      </c>
    </row>
    <row r="63" spans="2:47" outlineLevel="2">
      <c r="B63" s="51" t="s">
        <v>126</v>
      </c>
      <c r="D63" s="59">
        <v>-3128.33</v>
      </c>
      <c r="E63" s="59">
        <v>-9533.85</v>
      </c>
      <c r="F63" s="59">
        <v>-10510.98</v>
      </c>
      <c r="G63" s="59">
        <v>-4966.75</v>
      </c>
      <c r="H63" s="59">
        <v>-5558.72</v>
      </c>
      <c r="I63" s="59">
        <v>-9547.35</v>
      </c>
      <c r="J63" s="59">
        <v>-8759.0300000000007</v>
      </c>
      <c r="K63" s="59">
        <v>-7065.68</v>
      </c>
      <c r="L63" s="59">
        <v>-20750</v>
      </c>
      <c r="M63" s="60">
        <v>-11440</v>
      </c>
      <c r="N63" s="60">
        <v>-4840</v>
      </c>
      <c r="O63" s="60">
        <v>-3420</v>
      </c>
      <c r="P63" s="60"/>
      <c r="Q63" s="61">
        <f t="shared" si="85"/>
        <v>-99520.69</v>
      </c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1">
        <f t="shared" si="87"/>
        <v>0</v>
      </c>
      <c r="AH63" s="60"/>
      <c r="AI63" s="60"/>
      <c r="AJ63" s="60"/>
      <c r="AK63" s="60"/>
      <c r="AL63" s="60"/>
      <c r="AM63" s="60"/>
      <c r="AN63" s="60"/>
      <c r="AO63" s="60"/>
      <c r="AP63" s="60"/>
      <c r="AQ63" s="60"/>
      <c r="AR63" s="60"/>
      <c r="AS63" s="60"/>
      <c r="AT63" s="60"/>
      <c r="AU63" s="61">
        <f t="shared" si="88"/>
        <v>0</v>
      </c>
    </row>
    <row r="64" spans="2:47" outlineLevel="2">
      <c r="B64" s="51" t="s">
        <v>127</v>
      </c>
      <c r="D64" s="59">
        <v>-3489.78</v>
      </c>
      <c r="E64" s="59">
        <v>0</v>
      </c>
      <c r="F64" s="59">
        <v>0</v>
      </c>
      <c r="G64" s="59">
        <v>0</v>
      </c>
      <c r="H64" s="59">
        <v>-2981.97</v>
      </c>
      <c r="I64" s="59">
        <v>0</v>
      </c>
      <c r="J64" s="59"/>
      <c r="K64" s="59"/>
      <c r="L64" s="59"/>
      <c r="M64" s="60"/>
      <c r="N64" s="60"/>
      <c r="O64" s="60"/>
      <c r="P64" s="60"/>
      <c r="Q64" s="61">
        <f t="shared" si="85"/>
        <v>-6471.75</v>
      </c>
      <c r="S64" s="60">
        <f>-SUMIFS(B2B!V:V,B2B!$B:$B,"RO",B2B!$D:$D,$B64)</f>
        <v>0</v>
      </c>
      <c r="T64" s="60">
        <f>-SUMIFS(B2B!W:W,B2B!$B:$B,"RO",B2B!$D:$D,$B64)</f>
        <v>0</v>
      </c>
      <c r="U64" s="60">
        <f>-SUMIFS(B2B!X:X,B2B!$B:$B,"RO",B2B!$D:$D,$B64)</f>
        <v>0</v>
      </c>
      <c r="V64" s="60">
        <f>-SUMIFS(B2B!Y:Y,B2B!$B:$B,"RO",B2B!$D:$D,$B64)</f>
        <v>0</v>
      </c>
      <c r="W64" s="60">
        <f>-SUMIFS(B2B!Z:Z,B2B!$B:$B,"RO",B2B!$D:$D,$B64)</f>
        <v>0</v>
      </c>
      <c r="X64" s="60">
        <f>-SUMIFS(B2B!AA:AA,B2B!$B:$B,"RO",B2B!$D:$D,$B64)</f>
        <v>0</v>
      </c>
      <c r="Y64" s="60">
        <f>-SUMIFS(B2B!AB:AB,B2B!$B:$B,"RO",B2B!$D:$D,$B64)</f>
        <v>0</v>
      </c>
      <c r="Z64" s="60">
        <f>-SUMIFS(B2B!AC:AC,B2B!$B:$B,"RO",B2B!$D:$D,$B64)</f>
        <v>0</v>
      </c>
      <c r="AA64" s="60">
        <f>-SUMIFS(B2B!AD:AD,B2B!$B:$B,"RO",B2B!$D:$D,$B64)</f>
        <v>0</v>
      </c>
      <c r="AB64" s="60">
        <f>-SUMIFS(B2B!AE:AE,B2B!$B:$B,"RO",B2B!$D:$D,$B64)</f>
        <v>0</v>
      </c>
      <c r="AC64" s="60">
        <f>-SUMIFS(B2B!AF:AF,B2B!$B:$B,"RO",B2B!$D:$D,$B64)</f>
        <v>0</v>
      </c>
      <c r="AD64" s="60">
        <f>-SUMIFS(B2B!AG:AG,B2B!$B:$B,"RO",B2B!$D:$D,$B64)</f>
        <v>0</v>
      </c>
      <c r="AE64" s="60"/>
      <c r="AF64" s="61">
        <f t="shared" si="87"/>
        <v>0</v>
      </c>
      <c r="AH64" s="60">
        <f>-SUMIFS(B2B!AK:AK,B2B!$B:$B,"RO",B2B!$D:$D,$B64)</f>
        <v>0</v>
      </c>
      <c r="AI64" s="60">
        <f>-SUMIFS(B2B!AL:AL,B2B!$B:$B,"RO",B2B!$D:$D,$B64)</f>
        <v>0</v>
      </c>
      <c r="AJ64" s="60">
        <f>-SUMIFS(B2B!AM:AM,B2B!$B:$B,"RO",B2B!$D:$D,$B64)</f>
        <v>0</v>
      </c>
      <c r="AK64" s="60">
        <f>-SUMIFS(B2B!AN:AN,B2B!$B:$B,"RO",B2B!$D:$D,$B64)</f>
        <v>0</v>
      </c>
      <c r="AL64" s="60">
        <f>-SUMIFS(B2B!AO:AO,B2B!$B:$B,"RO",B2B!$D:$D,$B64)</f>
        <v>0</v>
      </c>
      <c r="AM64" s="60">
        <f>-SUMIFS(B2B!AP:AP,B2B!$B:$B,"RO",B2B!$D:$D,$B64)</f>
        <v>0</v>
      </c>
      <c r="AN64" s="60">
        <f>-SUMIFS(B2B!AQ:AQ,B2B!$B:$B,"RO",B2B!$D:$D,$B64)</f>
        <v>0</v>
      </c>
      <c r="AO64" s="60">
        <f>-SUMIFS(B2B!AR:AR,B2B!$B:$B,"RO",B2B!$D:$D,$B64)</f>
        <v>0</v>
      </c>
      <c r="AP64" s="60">
        <f>-SUMIFS(B2B!AS:AS,B2B!$B:$B,"RO",B2B!$D:$D,$B64)</f>
        <v>0</v>
      </c>
      <c r="AQ64" s="60">
        <f>-SUMIFS(B2B!AT:AT,B2B!$B:$B,"RO",B2B!$D:$D,$B64)</f>
        <v>0</v>
      </c>
      <c r="AR64" s="60">
        <f>-SUMIFS(B2B!AU:AU,B2B!$B:$B,"RO",B2B!$D:$D,$B64)</f>
        <v>0</v>
      </c>
      <c r="AS64" s="60">
        <f>-SUMIFS(B2B!AV:AV,B2B!$B:$B,"RO",B2B!$D:$D,$B64)</f>
        <v>0</v>
      </c>
      <c r="AT64" s="60"/>
      <c r="AU64" s="61">
        <f t="shared" si="88"/>
        <v>0</v>
      </c>
    </row>
    <row r="65" spans="2:47" outlineLevel="2">
      <c r="B65" s="51" t="s">
        <v>128</v>
      </c>
      <c r="D65" s="59"/>
      <c r="E65" s="59"/>
      <c r="F65" s="59"/>
      <c r="G65" s="59"/>
      <c r="H65" s="59"/>
      <c r="I65" s="59"/>
      <c r="J65" s="59"/>
      <c r="K65" s="59"/>
      <c r="L65" s="59"/>
      <c r="M65" s="60"/>
      <c r="N65" s="60"/>
      <c r="O65" s="60"/>
      <c r="P65" s="60"/>
      <c r="Q65" s="61">
        <f t="shared" si="85"/>
        <v>0</v>
      </c>
      <c r="S65" s="60">
        <f>-SUMIFS(B2B!V:V,B2B!$B:$B,"RO",B2B!$D:$D,$B65)</f>
        <v>0</v>
      </c>
      <c r="T65" s="60">
        <f>-SUMIFS(B2B!W:W,B2B!$B:$B,"RO",B2B!$D:$D,$B65)</f>
        <v>0</v>
      </c>
      <c r="U65" s="60">
        <f>-SUMIFS(B2B!X:X,B2B!$B:$B,"RO",B2B!$D:$D,$B65)</f>
        <v>0</v>
      </c>
      <c r="V65" s="60">
        <f>-SUMIFS(B2B!Y:Y,B2B!$B:$B,"RO",B2B!$D:$D,$B65)</f>
        <v>0</v>
      </c>
      <c r="W65" s="60">
        <f>-SUMIFS(B2B!Z:Z,B2B!$B:$B,"RO",B2B!$D:$D,$B65)</f>
        <v>0</v>
      </c>
      <c r="X65" s="60">
        <f>-SUMIFS(B2B!AA:AA,B2B!$B:$B,"RO",B2B!$D:$D,$B65)</f>
        <v>0</v>
      </c>
      <c r="Y65" s="60">
        <f>-SUMIFS(B2B!AB:AB,B2B!$B:$B,"RO",B2B!$D:$D,$B65)</f>
        <v>0</v>
      </c>
      <c r="Z65" s="60">
        <f>-SUMIFS(B2B!AC:AC,B2B!$B:$B,"RO",B2B!$D:$D,$B65)</f>
        <v>0</v>
      </c>
      <c r="AA65" s="60">
        <f>-SUMIFS(B2B!AD:AD,B2B!$B:$B,"RO",B2B!$D:$D,$B65)</f>
        <v>0</v>
      </c>
      <c r="AB65" s="60">
        <f>-SUMIFS(B2B!AE:AE,B2B!$B:$B,"RO",B2B!$D:$D,$B65)</f>
        <v>0</v>
      </c>
      <c r="AC65" s="60">
        <f>-SUMIFS(B2B!AF:AF,B2B!$B:$B,"RO",B2B!$D:$D,$B65)</f>
        <v>0</v>
      </c>
      <c r="AD65" s="60">
        <f>-SUMIFS(B2B!AG:AG,B2B!$B:$B,"RO",B2B!$D:$D,$B65)</f>
        <v>0</v>
      </c>
      <c r="AE65" s="60"/>
      <c r="AF65" s="61">
        <f>SUM(S65:AD65)</f>
        <v>0</v>
      </c>
      <c r="AH65" s="60">
        <f>-SUMIFS(B2B!AK:AK,B2B!$B:$B,"RO",B2B!$D:$D,$B65)</f>
        <v>0</v>
      </c>
      <c r="AI65" s="60">
        <f>-SUMIFS(B2B!AL:AL,B2B!$B:$B,"RO",B2B!$D:$D,$B65)</f>
        <v>0</v>
      </c>
      <c r="AJ65" s="60">
        <f>-SUMIFS(B2B!AM:AM,B2B!$B:$B,"RO",B2B!$D:$D,$B65)</f>
        <v>0</v>
      </c>
      <c r="AK65" s="60">
        <f>-SUMIFS(B2B!AN:AN,B2B!$B:$B,"RO",B2B!$D:$D,$B65)</f>
        <v>0</v>
      </c>
      <c r="AL65" s="60">
        <f>-SUMIFS(B2B!AO:AO,B2B!$B:$B,"RO",B2B!$D:$D,$B65)</f>
        <v>0</v>
      </c>
      <c r="AM65" s="60">
        <f>-SUMIFS(B2B!AP:AP,B2B!$B:$B,"RO",B2B!$D:$D,$B65)</f>
        <v>0</v>
      </c>
      <c r="AN65" s="60">
        <f>-SUMIFS(B2B!AQ:AQ,B2B!$B:$B,"RO",B2B!$D:$D,$B65)</f>
        <v>0</v>
      </c>
      <c r="AO65" s="60">
        <f>-SUMIFS(B2B!AR:AR,B2B!$B:$B,"RO",B2B!$D:$D,$B65)</f>
        <v>0</v>
      </c>
      <c r="AP65" s="60">
        <f>-SUMIFS(B2B!AS:AS,B2B!$B:$B,"RO",B2B!$D:$D,$B65)</f>
        <v>0</v>
      </c>
      <c r="AQ65" s="60">
        <f>-SUMIFS(B2B!AT:AT,B2B!$B:$B,"RO",B2B!$D:$D,$B65)</f>
        <v>0</v>
      </c>
      <c r="AR65" s="60">
        <f>-SUMIFS(B2B!AU:AU,B2B!$B:$B,"RO",B2B!$D:$D,$B65)</f>
        <v>0</v>
      </c>
      <c r="AS65" s="60">
        <f>-SUMIFS(B2B!AV:AV,B2B!$B:$B,"RO",B2B!$D:$D,$B65)</f>
        <v>0</v>
      </c>
      <c r="AT65" s="60"/>
      <c r="AU65" s="61">
        <f t="shared" si="88"/>
        <v>0</v>
      </c>
    </row>
    <row r="66" spans="2:47" outlineLevel="2">
      <c r="B66" s="51" t="s">
        <v>166</v>
      </c>
      <c r="D66" s="59"/>
      <c r="E66" s="59"/>
      <c r="F66" s="59"/>
      <c r="G66" s="59"/>
      <c r="H66" s="59"/>
      <c r="I66" s="59"/>
      <c r="J66" s="59"/>
      <c r="K66" s="59"/>
      <c r="L66" s="59"/>
      <c r="M66" s="60"/>
      <c r="N66" s="60"/>
      <c r="O66" s="60"/>
      <c r="P66" s="60"/>
      <c r="Q66" s="61"/>
      <c r="S66" s="60">
        <f>-SUMIFS(B2B!V:V,B2B!$B:$B,"RO",B2B!$D:$D,$B66)</f>
        <v>-750</v>
      </c>
      <c r="T66" s="60">
        <f>-SUMIFS(B2B!W:W,B2B!$B:$B,"RO",B2B!$D:$D,$B66)</f>
        <v>0</v>
      </c>
      <c r="U66" s="60">
        <f>-SUMIFS(B2B!X:X,B2B!$B:$B,"RO",B2B!$D:$D,$B66)</f>
        <v>0</v>
      </c>
      <c r="V66" s="60">
        <f>-SUMIFS(B2B!Y:Y,B2B!$B:$B,"RO",B2B!$D:$D,$B66)</f>
        <v>-750</v>
      </c>
      <c r="W66" s="60">
        <f>-SUMIFS(B2B!Z:Z,B2B!$B:$B,"RO",B2B!$D:$D,$B66)</f>
        <v>0</v>
      </c>
      <c r="X66" s="60">
        <f>-SUMIFS(B2B!AA:AA,B2B!$B:$B,"RO",B2B!$D:$D,$B66)</f>
        <v>-750</v>
      </c>
      <c r="Y66" s="60">
        <f>-SUMIFS(B2B!AB:AB,B2B!$B:$B,"RO",B2B!$D:$D,$B66)</f>
        <v>0</v>
      </c>
      <c r="Z66" s="60">
        <f>-SUMIFS(B2B!AC:AC,B2B!$B:$B,"RO",B2B!$D:$D,$B66)</f>
        <v>0</v>
      </c>
      <c r="AA66" s="60">
        <f>-SUMIFS(B2B!AD:AD,B2B!$B:$B,"RO",B2B!$D:$D,$B66)</f>
        <v>-2250</v>
      </c>
      <c r="AB66" s="60">
        <f>-SUMIFS(B2B!AE:AE,B2B!$B:$B,"RO",B2B!$D:$D,$B66)</f>
        <v>-1500</v>
      </c>
      <c r="AC66" s="60">
        <f>-SUMIFS(B2B!AF:AF,B2B!$B:$B,"RO",B2B!$D:$D,$B66)</f>
        <v>0</v>
      </c>
      <c r="AD66" s="60">
        <f>-SUMIFS(B2B!AG:AG,B2B!$B:$B,"RO",B2B!$D:$D,$B66)</f>
        <v>-750</v>
      </c>
      <c r="AE66" s="60"/>
      <c r="AF66" s="61">
        <f>SUM(S66:AD66)</f>
        <v>-6750</v>
      </c>
      <c r="AH66" s="60">
        <f>-SUMIFS(B2B!AK:AK,B2B!$B:$B,"RO",B2B!$D:$D,$B66)</f>
        <v>-787.5</v>
      </c>
      <c r="AI66" s="60">
        <f>-SUMIFS(B2B!AL:AL,B2B!$B:$B,"RO",B2B!$D:$D,$B66)</f>
        <v>0</v>
      </c>
      <c r="AJ66" s="60">
        <f>-SUMIFS(B2B!AM:AM,B2B!$B:$B,"RO",B2B!$D:$D,$B66)</f>
        <v>0</v>
      </c>
      <c r="AK66" s="60">
        <f>-SUMIFS(B2B!AN:AN,B2B!$B:$B,"RO",B2B!$D:$D,$B66)</f>
        <v>-787.5</v>
      </c>
      <c r="AL66" s="60">
        <f>-SUMIFS(B2B!AO:AO,B2B!$B:$B,"RO",B2B!$D:$D,$B66)</f>
        <v>0</v>
      </c>
      <c r="AM66" s="60">
        <f>-SUMIFS(B2B!AP:AP,B2B!$B:$B,"RO",B2B!$D:$D,$B66)</f>
        <v>-787.5</v>
      </c>
      <c r="AN66" s="60">
        <f>-SUMIFS(B2B!AQ:AQ,B2B!$B:$B,"RO",B2B!$D:$D,$B66)</f>
        <v>0</v>
      </c>
      <c r="AO66" s="60">
        <f>-SUMIFS(B2B!AR:AR,B2B!$B:$B,"RO",B2B!$D:$D,$B66)</f>
        <v>0</v>
      </c>
      <c r="AP66" s="60">
        <f>-SUMIFS(B2B!AS:AS,B2B!$B:$B,"RO",B2B!$D:$D,$B66)</f>
        <v>-2362.5</v>
      </c>
      <c r="AQ66" s="60">
        <f>-SUMIFS(B2B!AT:AT,B2B!$B:$B,"RO",B2B!$D:$D,$B66)</f>
        <v>-1575</v>
      </c>
      <c r="AR66" s="60">
        <f>-SUMIFS(B2B!AU:AU,B2B!$B:$B,"RO",B2B!$D:$D,$B66)</f>
        <v>0</v>
      </c>
      <c r="AS66" s="60">
        <f>-SUMIFS(B2B!AV:AV,B2B!$B:$B,"RO",B2B!$D:$D,$B66)</f>
        <v>-787.5</v>
      </c>
      <c r="AT66" s="60"/>
      <c r="AU66" s="61">
        <f>SUM(AH66:AS66)</f>
        <v>-7087.5</v>
      </c>
    </row>
    <row r="67" spans="2:47" outlineLevel="2">
      <c r="B67" s="51" t="s">
        <v>185</v>
      </c>
      <c r="D67" s="59"/>
      <c r="E67" s="59"/>
      <c r="F67" s="59"/>
      <c r="G67" s="59"/>
      <c r="H67" s="59"/>
      <c r="I67" s="59"/>
      <c r="J67" s="59"/>
      <c r="K67" s="59"/>
      <c r="L67" s="59">
        <v>-441</v>
      </c>
      <c r="M67" s="60"/>
      <c r="N67" s="60"/>
      <c r="O67" s="60"/>
      <c r="P67" s="60"/>
      <c r="Q67" s="61">
        <f t="shared" si="85"/>
        <v>-441</v>
      </c>
      <c r="S67" s="60">
        <f>-SUMIFS(B2B!V:V,B2B!$A:$A,"Trade Shows",B2B!$B:$B,"RO")</f>
        <v>0</v>
      </c>
      <c r="T67" s="60">
        <f>-SUMIFS(B2B!W:W,B2B!$A:$A,"Trade Shows",B2B!$B:$B,"RO")</f>
        <v>0</v>
      </c>
      <c r="U67" s="60">
        <f>-SUMIFS(B2B!X:X,B2B!$A:$A,"Trade Shows",B2B!$B:$B,"RO")</f>
        <v>0</v>
      </c>
      <c r="V67" s="60">
        <f>-SUMIFS(B2B!Y:Y,B2B!$A:$A,"Trade Shows",B2B!$B:$B,"RO")</f>
        <v>0</v>
      </c>
      <c r="W67" s="60">
        <f>-SUMIFS(B2B!Z:Z,B2B!$A:$A,"Trade Shows",B2B!$B:$B,"RO")</f>
        <v>0</v>
      </c>
      <c r="X67" s="60">
        <f>-SUMIFS(B2B!AA:AA,B2B!$A:$A,"Trade Shows",B2B!$B:$B,"RO")</f>
        <v>0</v>
      </c>
      <c r="Y67" s="60">
        <f>-SUMIFS(B2B!AB:AB,B2B!$A:$A,"Trade Shows",B2B!$B:$B,"RO")</f>
        <v>0</v>
      </c>
      <c r="Z67" s="60">
        <f>-SUMIFS(B2B!AC:AC,B2B!$A:$A,"Trade Shows",B2B!$B:$B,"RO")</f>
        <v>0</v>
      </c>
      <c r="AA67" s="60">
        <f>-SUMIFS(B2B!AD:AD,B2B!$A:$A,"Trade Shows",B2B!$B:$B,"RO")</f>
        <v>0</v>
      </c>
      <c r="AB67" s="60">
        <f>-SUMIFS(B2B!AE:AE,B2B!$A:$A,"Trade Shows",B2B!$B:$B,"RO")</f>
        <v>0</v>
      </c>
      <c r="AC67" s="60">
        <f>-SUMIFS(B2B!AF:AF,B2B!$A:$A,"Trade Shows",B2B!$B:$B,"RO")</f>
        <v>0</v>
      </c>
      <c r="AD67" s="60">
        <f>-SUMIFS(B2B!AG:AG,B2B!$A:$A,"Trade Shows",B2B!$B:$B,"RO")</f>
        <v>0</v>
      </c>
      <c r="AE67" s="60"/>
      <c r="AF67" s="61">
        <f t="shared" si="87"/>
        <v>0</v>
      </c>
      <c r="AH67" s="60">
        <f>-SUMIFS(B2B!AK:AK,B2B!$A:$A,"Trade Shows",B2B!$B:$B,"RO")</f>
        <v>0</v>
      </c>
      <c r="AI67" s="60">
        <f>-SUMIFS(B2B!AL:AL,B2B!$A:$A,"Trade Shows",B2B!$B:$B,"RO")</f>
        <v>0</v>
      </c>
      <c r="AJ67" s="60">
        <f>-SUMIFS(B2B!AM:AM,B2B!$A:$A,"Trade Shows",B2B!$B:$B,"RO")</f>
        <v>0</v>
      </c>
      <c r="AK67" s="60">
        <f>-SUMIFS(B2B!AN:AN,B2B!$A:$A,"Trade Shows",B2B!$B:$B,"RO")</f>
        <v>0</v>
      </c>
      <c r="AL67" s="60">
        <f>-SUMIFS(B2B!AO:AO,B2B!$A:$A,"Trade Shows",B2B!$B:$B,"RO")</f>
        <v>0</v>
      </c>
      <c r="AM67" s="60">
        <f>-SUMIFS(B2B!AP:AP,B2B!$A:$A,"Trade Shows",B2B!$B:$B,"RO")</f>
        <v>0</v>
      </c>
      <c r="AN67" s="60">
        <f>-SUMIFS(B2B!AQ:AQ,B2B!$A:$A,"Trade Shows",B2B!$B:$B,"RO")</f>
        <v>0</v>
      </c>
      <c r="AO67" s="60">
        <f>-SUMIFS(B2B!AR:AR,B2B!$A:$A,"Trade Shows",B2B!$B:$B,"RO")</f>
        <v>0</v>
      </c>
      <c r="AP67" s="60">
        <f>-SUMIFS(B2B!AS:AS,B2B!$A:$A,"Trade Shows",B2B!$B:$B,"RO")</f>
        <v>0</v>
      </c>
      <c r="AQ67" s="60">
        <f>-SUMIFS(B2B!AT:AT,B2B!$A:$A,"Trade Shows",B2B!$B:$B,"RO")</f>
        <v>0</v>
      </c>
      <c r="AR67" s="60">
        <f>-SUMIFS(B2B!AU:AU,B2B!$A:$A,"Trade Shows",B2B!$B:$B,"RO")</f>
        <v>0</v>
      </c>
      <c r="AS67" s="60">
        <f>-SUMIFS(B2B!AV:AV,B2B!$A:$A,"Trade Shows",B2B!$B:$B,"RO")</f>
        <v>0</v>
      </c>
      <c r="AT67" s="60"/>
      <c r="AU67" s="61">
        <f t="shared" si="88"/>
        <v>0</v>
      </c>
    </row>
    <row r="68" spans="2:47" outlineLevel="2">
      <c r="B68" s="51" t="s">
        <v>130</v>
      </c>
      <c r="D68" s="59"/>
      <c r="E68" s="59"/>
      <c r="F68" s="59"/>
      <c r="G68" s="59"/>
      <c r="H68" s="59"/>
      <c r="I68" s="59"/>
      <c r="J68" s="59"/>
      <c r="K68" s="59"/>
      <c r="L68" s="59"/>
      <c r="M68" s="60">
        <f>-SUMIF(Amazon!$A$53:$A$58,"RO",Amazon!H53:H58)</f>
        <v>0</v>
      </c>
      <c r="N68" s="60">
        <f>-SUMIF(Amazon!$A$53:$A$58,"RO",Amazon!I53:I58)</f>
        <v>0</v>
      </c>
      <c r="O68" s="60">
        <f>-SUMIF(Amazon!$A$53:$A$58,"RO",Amazon!J53:J58)</f>
        <v>0</v>
      </c>
      <c r="P68" s="60"/>
      <c r="Q68" s="61">
        <f>SUM(D68:O68)</f>
        <v>0</v>
      </c>
      <c r="S68" s="60">
        <f>-SUMIF(Amazon!$A$53:$A$58,"RO",Amazon!Q53:Q58)</f>
        <v>0</v>
      </c>
      <c r="T68" s="60">
        <f>-SUMIF(Amazon!$A$53:$A$58,"RO",Amazon!R53:R58)</f>
        <v>0</v>
      </c>
      <c r="U68" s="60">
        <f>-SUMIF(Amazon!$A$53:$A$58,"RO",Amazon!S53:S58)</f>
        <v>0</v>
      </c>
      <c r="V68" s="60">
        <f>-SUMIF(Amazon!$A$53:$A$58,"RO",Amazon!T53:T58)</f>
        <v>0</v>
      </c>
      <c r="W68" s="60">
        <f>-SUMIF(Amazon!$A$53:$A$58,"RO",Amazon!U53:U58)</f>
        <v>0</v>
      </c>
      <c r="X68" s="60">
        <f>-SUMIF(Amazon!$A$53:$A$58,"RO",Amazon!V53:V58)</f>
        <v>0</v>
      </c>
      <c r="Y68" s="60">
        <f>-SUMIF(Amazon!$A$53:$A$58,"RO",Amazon!W53:W58)</f>
        <v>0</v>
      </c>
      <c r="Z68" s="60">
        <f>-SUMIF(Amazon!$A$53:$A$58,"RO",Amazon!X53:X58)</f>
        <v>0</v>
      </c>
      <c r="AA68" s="60">
        <f>-SUMIF(Amazon!$A$53:$A$58,"RO",Amazon!Y53:Y58)</f>
        <v>0</v>
      </c>
      <c r="AB68" s="60">
        <f>-SUMIF(Amazon!$A$53:$A$58,"RO",Amazon!Z53:Z58)</f>
        <v>0</v>
      </c>
      <c r="AC68" s="60">
        <f>-SUMIF(Amazon!$A$53:$A$58,"RO",Amazon!AA53:AA58)</f>
        <v>0</v>
      </c>
      <c r="AD68" s="60">
        <f>-SUMIF(Amazon!$A$53:$A$58,"RO",Amazon!AB53:AB58)</f>
        <v>0</v>
      </c>
      <c r="AE68" s="60"/>
      <c r="AF68" s="61">
        <f>SUM(S68:AD68)</f>
        <v>0</v>
      </c>
      <c r="AH68" s="60">
        <f>-SUMIF(Amazon!$A$53:$A$58,"RO",Amazon!AE53:AE58)</f>
        <v>0</v>
      </c>
      <c r="AI68" s="60">
        <f>-SUMIF(Amazon!$A$53:$A$58,"RO",Amazon!AF53:AF58)</f>
        <v>0</v>
      </c>
      <c r="AJ68" s="60">
        <f>-SUMIF(Amazon!$A$53:$A$58,"RO",Amazon!AG53:AG58)</f>
        <v>0</v>
      </c>
      <c r="AK68" s="60">
        <f>-SUMIF(Amazon!$A$53:$A$58,"RO",Amazon!AH53:AH58)</f>
        <v>0</v>
      </c>
      <c r="AL68" s="60">
        <f>-SUMIF(Amazon!$A$53:$A$58,"RO",Amazon!AI53:AI58)</f>
        <v>0</v>
      </c>
      <c r="AM68" s="60">
        <f>-SUMIF(Amazon!$A$53:$A$58,"RO",Amazon!AJ53:AJ58)</f>
        <v>0</v>
      </c>
      <c r="AN68" s="60">
        <f>-SUMIF(Amazon!$A$53:$A$58,"RO",Amazon!AK53:AK58)</f>
        <v>0</v>
      </c>
      <c r="AO68" s="60">
        <f>-SUMIF(Amazon!$A$53:$A$58,"RO",Amazon!AL53:AL58)</f>
        <v>0</v>
      </c>
      <c r="AP68" s="60">
        <f>-SUMIF(Amazon!$A$53:$A$58,"RO",Amazon!AM53:AM58)</f>
        <v>0</v>
      </c>
      <c r="AQ68" s="60">
        <f>-SUMIF(Amazon!$A$53:$A$58,"RO",Amazon!AN53:AN58)</f>
        <v>0</v>
      </c>
      <c r="AR68" s="60">
        <f>-SUMIF(Amazon!$A$53:$A$58,"RO",Amazon!AO53:AO58)</f>
        <v>0</v>
      </c>
      <c r="AS68" s="60">
        <f>-SUMIF(Amazon!$A$53:$A$58,"RO",Amazon!AP53:AP58)</f>
        <v>0</v>
      </c>
      <c r="AT68" s="60"/>
      <c r="AU68" s="61">
        <f t="shared" si="88"/>
        <v>0</v>
      </c>
    </row>
    <row r="69" spans="2:47" outlineLevel="2">
      <c r="B69" s="51" t="s">
        <v>131</v>
      </c>
      <c r="D69" s="59"/>
      <c r="E69" s="59"/>
      <c r="F69" s="59"/>
      <c r="G69" s="59"/>
      <c r="H69" s="59"/>
      <c r="I69" s="59"/>
      <c r="J69" s="59"/>
      <c r="K69" s="59"/>
      <c r="L69" s="59"/>
      <c r="M69" s="60"/>
      <c r="N69" s="60"/>
      <c r="O69" s="60"/>
      <c r="P69" s="60"/>
      <c r="Q69" s="61">
        <f t="shared" si="85"/>
        <v>0</v>
      </c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1">
        <f t="shared" ref="AF69" si="89">SUM(S69:AD69)</f>
        <v>0</v>
      </c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1">
        <f t="shared" si="88"/>
        <v>0</v>
      </c>
    </row>
    <row r="70" spans="2:47" outlineLevel="1">
      <c r="D70" s="59"/>
      <c r="E70" s="59"/>
      <c r="F70" s="59"/>
      <c r="G70" s="59"/>
      <c r="H70" s="59"/>
      <c r="I70" s="59"/>
      <c r="J70" s="59"/>
      <c r="K70" s="59"/>
      <c r="L70" s="59"/>
      <c r="M70" s="60"/>
      <c r="N70" s="60"/>
      <c r="O70" s="60"/>
      <c r="Q70" s="61"/>
      <c r="S70" s="83"/>
      <c r="T70" s="83"/>
      <c r="U70" s="83"/>
      <c r="V70" s="83"/>
      <c r="W70" s="83"/>
      <c r="AH70" s="83"/>
      <c r="AI70" s="83"/>
      <c r="AJ70" s="83"/>
      <c r="AK70" s="83"/>
      <c r="AL70" s="83"/>
    </row>
    <row r="71" spans="2:47">
      <c r="B71" s="63" t="s">
        <v>132</v>
      </c>
      <c r="C71" s="52"/>
      <c r="D71" s="64">
        <f t="shared" ref="D71:K71" si="90">SUM(D59:D70)</f>
        <v>-9197.5500000000011</v>
      </c>
      <c r="E71" s="64">
        <f t="shared" si="90"/>
        <v>-25172.85</v>
      </c>
      <c r="F71" s="64">
        <f t="shared" si="90"/>
        <v>-33490.089999999997</v>
      </c>
      <c r="G71" s="64">
        <f t="shared" si="90"/>
        <v>-13389.56</v>
      </c>
      <c r="H71" s="64">
        <f t="shared" si="90"/>
        <v>-20669.560000000001</v>
      </c>
      <c r="I71" s="64">
        <f t="shared" si="90"/>
        <v>-24761.629999999997</v>
      </c>
      <c r="J71" s="64">
        <f t="shared" si="90"/>
        <v>-20900.27</v>
      </c>
      <c r="K71" s="64">
        <f t="shared" si="90"/>
        <v>-17995.09</v>
      </c>
      <c r="L71" s="64">
        <f>SUM(L59:L70)</f>
        <v>-48836</v>
      </c>
      <c r="M71" s="65">
        <f t="shared" ref="M71:O71" si="91">SUM(M59:M70)</f>
        <v>-34720</v>
      </c>
      <c r="N71" s="65">
        <f t="shared" si="91"/>
        <v>-16140</v>
      </c>
      <c r="O71" s="65">
        <f t="shared" si="91"/>
        <v>-13200</v>
      </c>
      <c r="P71" s="61"/>
      <c r="Q71" s="65">
        <f>SUM(D71:O71)</f>
        <v>-278472.59999999998</v>
      </c>
      <c r="R71" s="75"/>
      <c r="S71" s="84">
        <f t="shared" ref="S71" si="92">SUM(S59:S70)</f>
        <v>-16668.800000000003</v>
      </c>
      <c r="T71" s="84">
        <f>SUM(T59:T70)</f>
        <v>-31865.8</v>
      </c>
      <c r="U71" s="84">
        <f>SUM(U59:U70)</f>
        <v>-29278</v>
      </c>
      <c r="V71" s="84">
        <f>SUM(V59:V70)</f>
        <v>-22049.5</v>
      </c>
      <c r="W71" s="84">
        <f>SUM(W59:W70)</f>
        <v>-21629</v>
      </c>
      <c r="X71" s="65">
        <f t="shared" ref="X71:AD71" si="93">SUM(X59:X70)</f>
        <v>-28968</v>
      </c>
      <c r="Y71" s="65">
        <f t="shared" si="93"/>
        <v>-22656.799999999999</v>
      </c>
      <c r="Z71" s="65">
        <f t="shared" si="93"/>
        <v>-19552.599999999999</v>
      </c>
      <c r="AA71" s="65">
        <f t="shared" si="93"/>
        <v>-45250</v>
      </c>
      <c r="AB71" s="65">
        <f t="shared" si="93"/>
        <v>-37500</v>
      </c>
      <c r="AC71" s="65">
        <f t="shared" si="93"/>
        <v>-17000</v>
      </c>
      <c r="AD71" s="65">
        <f t="shared" si="93"/>
        <v>-20750</v>
      </c>
      <c r="AE71" s="61"/>
      <c r="AF71" s="65">
        <f>SUM(S71:AD71)</f>
        <v>-313168.5</v>
      </c>
      <c r="AH71" s="84">
        <f t="shared" ref="AH71" si="94">SUM(AH59:AH70)</f>
        <v>-19790.060000000001</v>
      </c>
      <c r="AI71" s="84">
        <f>SUM(AI59:AI70)</f>
        <v>-44212.119999999995</v>
      </c>
      <c r="AJ71" s="84">
        <f>SUM(AJ59:AJ70)</f>
        <v>-29278</v>
      </c>
      <c r="AK71" s="84">
        <f>SUM(AK59:AK70)</f>
        <v>-28326.850000000002</v>
      </c>
      <c r="AL71" s="84">
        <f>SUM(AL59:AL70)</f>
        <v>-23741.9</v>
      </c>
      <c r="AM71" s="65">
        <f t="shared" ref="AM71:AS71" si="95">SUM(AM59:AM70)</f>
        <v>-45336.3</v>
      </c>
      <c r="AN71" s="65">
        <f t="shared" si="95"/>
        <v>-20441.12</v>
      </c>
      <c r="AO71" s="65">
        <f t="shared" si="95"/>
        <v>-21457.86</v>
      </c>
      <c r="AP71" s="65">
        <f t="shared" si="95"/>
        <v>-53762.5</v>
      </c>
      <c r="AQ71" s="65">
        <f t="shared" si="95"/>
        <v>-37575</v>
      </c>
      <c r="AR71" s="65">
        <f t="shared" si="95"/>
        <v>-18650</v>
      </c>
      <c r="AS71" s="65">
        <f t="shared" si="95"/>
        <v>-24687.5</v>
      </c>
      <c r="AT71" s="61"/>
      <c r="AU71" s="65">
        <f>SUM(AH71:AS71)</f>
        <v>-367259.20999999996</v>
      </c>
    </row>
    <row r="72" spans="2:47">
      <c r="D72" s="53"/>
      <c r="E72" s="53"/>
      <c r="F72" s="53"/>
      <c r="G72" s="53"/>
      <c r="H72" s="53"/>
      <c r="I72" s="53"/>
      <c r="J72" s="53"/>
      <c r="K72" s="53"/>
      <c r="L72" s="53"/>
      <c r="S72" s="88"/>
      <c r="T72" s="88"/>
      <c r="U72" s="88"/>
      <c r="V72" s="88"/>
      <c r="W72" s="88"/>
      <c r="AF72" s="141">
        <f ca="1">AF71/AF12</f>
        <v>-0.29309230663572838</v>
      </c>
      <c r="AH72" s="88"/>
      <c r="AI72" s="88"/>
      <c r="AJ72" s="88"/>
      <c r="AK72" s="88"/>
      <c r="AL72" s="88"/>
    </row>
    <row r="73" spans="2:47" hidden="1" outlineLevel="1">
      <c r="B73" s="67" t="s">
        <v>133</v>
      </c>
      <c r="C73" s="52"/>
      <c r="D73" s="68">
        <f t="shared" ref="D73:K73" si="96">D45+SUM(D59:D63)</f>
        <v>3660.4399999999987</v>
      </c>
      <c r="E73" s="68">
        <f t="shared" si="96"/>
        <v>22621.32</v>
      </c>
      <c r="F73" s="68">
        <f t="shared" si="96"/>
        <v>-2020.0299999999988</v>
      </c>
      <c r="G73" s="68">
        <f t="shared" si="96"/>
        <v>-494.30000000000109</v>
      </c>
      <c r="H73" s="68">
        <f t="shared" si="96"/>
        <v>-2453.9299999999985</v>
      </c>
      <c r="I73" s="68">
        <f t="shared" si="96"/>
        <v>14872.07</v>
      </c>
      <c r="J73" s="68">
        <f t="shared" si="96"/>
        <v>23291.19</v>
      </c>
      <c r="K73" s="68">
        <f t="shared" si="96"/>
        <v>-4941.0600000000013</v>
      </c>
      <c r="L73" s="68">
        <f t="shared" ref="L73:O73" si="97">L45+SUM(L59:L63)</f>
        <v>22585</v>
      </c>
      <c r="M73" s="69">
        <f>M45+SUM(M59:M63)</f>
        <v>35754</v>
      </c>
      <c r="N73" s="69">
        <f>N45+SUM(N59:N63)</f>
        <v>9033</v>
      </c>
      <c r="O73" s="69">
        <f t="shared" si="97"/>
        <v>8920</v>
      </c>
      <c r="P73" s="69"/>
      <c r="Q73" s="69">
        <f>Q45+SUM(Q59:Q63)</f>
        <v>130827.69999999995</v>
      </c>
      <c r="S73" s="85">
        <f>S45+SUM(S59:S63)</f>
        <v>16296.909733102913</v>
      </c>
      <c r="T73" s="85">
        <f t="shared" ref="T73:AD73" si="98">T45+SUM(T59:T63)</f>
        <v>31272.651037400221</v>
      </c>
      <c r="U73" s="85">
        <f t="shared" si="98"/>
        <v>14373.280620122008</v>
      </c>
      <c r="V73" s="85">
        <f t="shared" si="98"/>
        <v>10926.222434072726</v>
      </c>
      <c r="W73" s="85">
        <f t="shared" si="98"/>
        <v>11033.51125444904</v>
      </c>
      <c r="X73" s="69">
        <f t="shared" si="98"/>
        <v>34243.28113972654</v>
      </c>
      <c r="Y73" s="69">
        <f t="shared" si="98"/>
        <v>13904.520579599197</v>
      </c>
      <c r="Z73" s="69">
        <f t="shared" si="98"/>
        <v>14496.428821346126</v>
      </c>
      <c r="AA73" s="69">
        <f t="shared" si="98"/>
        <v>41073.379566529256</v>
      </c>
      <c r="AB73" s="69">
        <f t="shared" si="98"/>
        <v>32986.712345416687</v>
      </c>
      <c r="AC73" s="69">
        <f t="shared" si="98"/>
        <v>12585.588028651367</v>
      </c>
      <c r="AD73" s="69">
        <f t="shared" si="98"/>
        <v>15841.354534785758</v>
      </c>
      <c r="AE73" s="69"/>
      <c r="AF73" s="69">
        <f>AF45+SUM(AF59:AF63)</f>
        <v>249033.84009520186</v>
      </c>
      <c r="AH73" s="85">
        <f>AH45+SUM(AH59:AH63)</f>
        <v>11060.667467657415</v>
      </c>
      <c r="AI73" s="85">
        <f t="shared" ref="AI73:AS73" si="99">AI45+SUM(AI59:AI63)</f>
        <v>35776.491955569742</v>
      </c>
      <c r="AJ73" s="85">
        <f t="shared" si="99"/>
        <v>13995.092131061116</v>
      </c>
      <c r="AK73" s="85">
        <f t="shared" si="99"/>
        <v>8206.3507379181647</v>
      </c>
      <c r="AL73" s="85">
        <f t="shared" si="99"/>
        <v>8557.8257978060865</v>
      </c>
      <c r="AM73" s="69">
        <f t="shared" si="99"/>
        <v>51863.700110505903</v>
      </c>
      <c r="AN73" s="69">
        <f t="shared" si="99"/>
        <v>10393.739978692774</v>
      </c>
      <c r="AO73" s="69">
        <f t="shared" si="99"/>
        <v>12065.016199458987</v>
      </c>
      <c r="AP73" s="69">
        <f t="shared" si="99"/>
        <v>44724.154240515069</v>
      </c>
      <c r="AQ73" s="69">
        <f t="shared" si="99"/>
        <v>33253.759203620808</v>
      </c>
      <c r="AR73" s="69">
        <f t="shared" si="99"/>
        <v>9443.8109145676171</v>
      </c>
      <c r="AS73" s="69">
        <f t="shared" si="99"/>
        <v>12673.769865094888</v>
      </c>
      <c r="AT73" s="69"/>
      <c r="AU73" s="69">
        <f>AU45+SUM(AU59:AU63)</f>
        <v>252014.37860246853</v>
      </c>
    </row>
    <row r="74" spans="2:47" hidden="1" outlineLevel="1">
      <c r="B74" s="67" t="s">
        <v>134</v>
      </c>
      <c r="C74" s="52"/>
      <c r="D74" s="68">
        <f t="shared" ref="D74:K74" si="100">D46+SUM(D64:D67)</f>
        <v>-4328.3999999999996</v>
      </c>
      <c r="E74" s="68">
        <f t="shared" si="100"/>
        <v>11557.71</v>
      </c>
      <c r="F74" s="68">
        <f t="shared" si="100"/>
        <v>-107.1</v>
      </c>
      <c r="G74" s="68">
        <f t="shared" si="100"/>
        <v>5420.3600000000006</v>
      </c>
      <c r="H74" s="68">
        <f t="shared" si="100"/>
        <v>4232.1499999999996</v>
      </c>
      <c r="I74" s="68">
        <f t="shared" si="100"/>
        <v>426.67000000000155</v>
      </c>
      <c r="J74" s="68">
        <f t="shared" si="100"/>
        <v>-407.66</v>
      </c>
      <c r="K74" s="68">
        <f t="shared" si="100"/>
        <v>0</v>
      </c>
      <c r="L74" s="68">
        <f t="shared" ref="L74:O74" si="101">L46+SUM(L64:L67)</f>
        <v>12630</v>
      </c>
      <c r="M74" s="69">
        <f t="shared" si="101"/>
        <v>23600</v>
      </c>
      <c r="N74" s="69">
        <f t="shared" si="101"/>
        <v>8850</v>
      </c>
      <c r="O74" s="69">
        <f t="shared" si="101"/>
        <v>8850</v>
      </c>
      <c r="P74" s="69"/>
      <c r="Q74" s="69">
        <f>Q46+SUM(Q64:Q67)</f>
        <v>70723.73</v>
      </c>
      <c r="S74" s="85">
        <f>S46+SUM(S64:S67)</f>
        <v>6761.3089259879525</v>
      </c>
      <c r="T74" s="85">
        <f t="shared" ref="T74:AD74" si="102">T46+SUM(T64:T67)</f>
        <v>0</v>
      </c>
      <c r="U74" s="85">
        <f t="shared" si="102"/>
        <v>0</v>
      </c>
      <c r="V74" s="85">
        <f t="shared" si="102"/>
        <v>6761.3089259879525</v>
      </c>
      <c r="W74" s="85">
        <f t="shared" si="102"/>
        <v>0</v>
      </c>
      <c r="X74" s="69">
        <f t="shared" si="102"/>
        <v>6761.3089259879525</v>
      </c>
      <c r="Y74" s="69">
        <f t="shared" si="102"/>
        <v>0</v>
      </c>
      <c r="Z74" s="69">
        <f t="shared" si="102"/>
        <v>0</v>
      </c>
      <c r="AA74" s="69">
        <f t="shared" si="102"/>
        <v>20283.926777963858</v>
      </c>
      <c r="AB74" s="69">
        <f t="shared" si="102"/>
        <v>13522.617851975905</v>
      </c>
      <c r="AC74" s="69">
        <f t="shared" si="102"/>
        <v>0</v>
      </c>
      <c r="AD74" s="69">
        <f t="shared" si="102"/>
        <v>6761.3089259879525</v>
      </c>
      <c r="AE74" s="69"/>
      <c r="AF74" s="69">
        <f>AF46+SUM(AF64:AF67)</f>
        <v>60851.780333891569</v>
      </c>
      <c r="AH74" s="85">
        <f>AH46+SUM(AH64:AH67)</f>
        <v>7099.3743722873496</v>
      </c>
      <c r="AI74" s="85">
        <f t="shared" ref="AI74:AS74" si="103">AI46+SUM(AI64:AI67)</f>
        <v>0</v>
      </c>
      <c r="AJ74" s="85">
        <f t="shared" si="103"/>
        <v>0</v>
      </c>
      <c r="AK74" s="85">
        <f t="shared" si="103"/>
        <v>7099.3743722873496</v>
      </c>
      <c r="AL74" s="85">
        <f t="shared" si="103"/>
        <v>0</v>
      </c>
      <c r="AM74" s="69">
        <f t="shared" si="103"/>
        <v>7099.3743722873496</v>
      </c>
      <c r="AN74" s="69">
        <f t="shared" si="103"/>
        <v>0</v>
      </c>
      <c r="AO74" s="69">
        <f t="shared" si="103"/>
        <v>0</v>
      </c>
      <c r="AP74" s="69">
        <f t="shared" si="103"/>
        <v>21298.123116862051</v>
      </c>
      <c r="AQ74" s="69">
        <f t="shared" si="103"/>
        <v>14198.748744574699</v>
      </c>
      <c r="AR74" s="69">
        <f t="shared" si="103"/>
        <v>0</v>
      </c>
      <c r="AS74" s="69">
        <f t="shared" si="103"/>
        <v>7099.3743722873496</v>
      </c>
      <c r="AT74" s="69"/>
      <c r="AU74" s="69">
        <f>AU46+SUM(AU64:AU67)</f>
        <v>63894.369350586159</v>
      </c>
    </row>
    <row r="75" spans="2:47" hidden="1" outlineLevel="1">
      <c r="B75" s="67" t="s">
        <v>135</v>
      </c>
      <c r="C75" s="52"/>
      <c r="D75" s="68">
        <f t="shared" ref="D75:K75" si="104">D47+D68</f>
        <v>0</v>
      </c>
      <c r="E75" s="68">
        <f t="shared" si="104"/>
        <v>0</v>
      </c>
      <c r="F75" s="68">
        <f t="shared" si="104"/>
        <v>0</v>
      </c>
      <c r="G75" s="68">
        <f t="shared" si="104"/>
        <v>0</v>
      </c>
      <c r="H75" s="68">
        <f t="shared" si="104"/>
        <v>0</v>
      </c>
      <c r="I75" s="68">
        <f t="shared" si="104"/>
        <v>0</v>
      </c>
      <c r="J75" s="68">
        <f t="shared" si="104"/>
        <v>0</v>
      </c>
      <c r="K75" s="68">
        <f t="shared" si="104"/>
        <v>0</v>
      </c>
      <c r="L75" s="68">
        <f t="shared" ref="L75:O76" ca="1" si="105">L47+L68</f>
        <v>0</v>
      </c>
      <c r="M75" s="69">
        <f t="shared" ca="1" si="105"/>
        <v>0</v>
      </c>
      <c r="N75" s="69">
        <f t="shared" ca="1" si="105"/>
        <v>0</v>
      </c>
      <c r="O75" s="69">
        <f t="shared" ca="1" si="105"/>
        <v>0</v>
      </c>
      <c r="P75" s="69"/>
      <c r="Q75" s="69">
        <f ca="1">Q47+Q68</f>
        <v>0</v>
      </c>
      <c r="S75" s="85">
        <f t="shared" ref="S75:AD75" ca="1" si="106">S47+S68</f>
        <v>0</v>
      </c>
      <c r="T75" s="85">
        <f t="shared" ca="1" si="106"/>
        <v>0</v>
      </c>
      <c r="U75" s="85">
        <f t="shared" ca="1" si="106"/>
        <v>0</v>
      </c>
      <c r="V75" s="85">
        <f t="shared" ca="1" si="106"/>
        <v>0</v>
      </c>
      <c r="W75" s="85">
        <f t="shared" ca="1" si="106"/>
        <v>0</v>
      </c>
      <c r="X75" s="69">
        <f t="shared" ca="1" si="106"/>
        <v>0</v>
      </c>
      <c r="Y75" s="69">
        <f t="shared" ca="1" si="106"/>
        <v>0</v>
      </c>
      <c r="Z75" s="69">
        <f t="shared" ca="1" si="106"/>
        <v>0</v>
      </c>
      <c r="AA75" s="69">
        <f t="shared" ca="1" si="106"/>
        <v>0</v>
      </c>
      <c r="AB75" s="69">
        <f t="shared" ca="1" si="106"/>
        <v>0</v>
      </c>
      <c r="AC75" s="69">
        <f t="shared" ca="1" si="106"/>
        <v>0</v>
      </c>
      <c r="AD75" s="69">
        <f t="shared" ca="1" si="106"/>
        <v>0</v>
      </c>
      <c r="AE75" s="69"/>
      <c r="AF75" s="69">
        <f ca="1">AF47+AF68</f>
        <v>0</v>
      </c>
      <c r="AH75" s="85">
        <f t="shared" ref="AH75:AS75" ca="1" si="107">AH47+AH68</f>
        <v>0</v>
      </c>
      <c r="AI75" s="85">
        <f t="shared" ca="1" si="107"/>
        <v>0</v>
      </c>
      <c r="AJ75" s="85">
        <f t="shared" ca="1" si="107"/>
        <v>0</v>
      </c>
      <c r="AK75" s="85">
        <f t="shared" ca="1" si="107"/>
        <v>0</v>
      </c>
      <c r="AL75" s="85">
        <f t="shared" ca="1" si="107"/>
        <v>0</v>
      </c>
      <c r="AM75" s="69">
        <f t="shared" ca="1" si="107"/>
        <v>0</v>
      </c>
      <c r="AN75" s="69">
        <f t="shared" ca="1" si="107"/>
        <v>0</v>
      </c>
      <c r="AO75" s="69">
        <f t="shared" ca="1" si="107"/>
        <v>0</v>
      </c>
      <c r="AP75" s="69">
        <f t="shared" ca="1" si="107"/>
        <v>0</v>
      </c>
      <c r="AQ75" s="69">
        <f t="shared" ca="1" si="107"/>
        <v>0</v>
      </c>
      <c r="AR75" s="69">
        <f t="shared" ca="1" si="107"/>
        <v>0</v>
      </c>
      <c r="AS75" s="69">
        <f t="shared" ca="1" si="107"/>
        <v>0</v>
      </c>
      <c r="AT75" s="69"/>
      <c r="AU75" s="69">
        <f ca="1">AU47+AU68</f>
        <v>0</v>
      </c>
    </row>
    <row r="76" spans="2:47" hidden="1" outlineLevel="1">
      <c r="B76" s="67" t="s">
        <v>136</v>
      </c>
      <c r="C76" s="52"/>
      <c r="D76" s="68">
        <f t="shared" ref="D76:K76" si="108">D48+D69</f>
        <v>0</v>
      </c>
      <c r="E76" s="68">
        <f t="shared" si="108"/>
        <v>0</v>
      </c>
      <c r="F76" s="68">
        <f t="shared" si="108"/>
        <v>0</v>
      </c>
      <c r="G76" s="68">
        <f t="shared" si="108"/>
        <v>0</v>
      </c>
      <c r="H76" s="68">
        <f t="shared" si="108"/>
        <v>0</v>
      </c>
      <c r="I76" s="68">
        <f t="shared" si="108"/>
        <v>0</v>
      </c>
      <c r="J76" s="68">
        <f t="shared" si="108"/>
        <v>0</v>
      </c>
      <c r="K76" s="68">
        <f t="shared" si="108"/>
        <v>0</v>
      </c>
      <c r="L76" s="68">
        <f t="shared" si="105"/>
        <v>0</v>
      </c>
      <c r="M76" s="69">
        <f t="shared" si="105"/>
        <v>0</v>
      </c>
      <c r="N76" s="69">
        <f t="shared" si="105"/>
        <v>0</v>
      </c>
      <c r="O76" s="69">
        <f t="shared" si="105"/>
        <v>0</v>
      </c>
      <c r="P76" s="69"/>
      <c r="Q76" s="69">
        <f>Q48+Q69</f>
        <v>0</v>
      </c>
      <c r="S76" s="85">
        <f t="shared" ref="S76:AD76" si="109">S48+S69</f>
        <v>0</v>
      </c>
      <c r="T76" s="85">
        <f t="shared" si="109"/>
        <v>0</v>
      </c>
      <c r="U76" s="85">
        <f t="shared" si="109"/>
        <v>0</v>
      </c>
      <c r="V76" s="85">
        <f t="shared" si="109"/>
        <v>0</v>
      </c>
      <c r="W76" s="85">
        <f t="shared" si="109"/>
        <v>0</v>
      </c>
      <c r="X76" s="69">
        <f t="shared" si="109"/>
        <v>0</v>
      </c>
      <c r="Y76" s="69">
        <f t="shared" si="109"/>
        <v>0</v>
      </c>
      <c r="Z76" s="69">
        <f t="shared" si="109"/>
        <v>0</v>
      </c>
      <c r="AA76" s="69">
        <f t="shared" si="109"/>
        <v>0</v>
      </c>
      <c r="AB76" s="69">
        <f t="shared" si="109"/>
        <v>0</v>
      </c>
      <c r="AC76" s="69">
        <f t="shared" si="109"/>
        <v>0</v>
      </c>
      <c r="AD76" s="69">
        <f t="shared" si="109"/>
        <v>0</v>
      </c>
      <c r="AE76" s="69"/>
      <c r="AF76" s="69">
        <f>AF48+AF69</f>
        <v>0</v>
      </c>
      <c r="AH76" s="85">
        <f t="shared" ref="AH76:AS76" si="110">AH48+AH69</f>
        <v>0</v>
      </c>
      <c r="AI76" s="85">
        <f t="shared" si="110"/>
        <v>0</v>
      </c>
      <c r="AJ76" s="85">
        <f t="shared" si="110"/>
        <v>0</v>
      </c>
      <c r="AK76" s="85">
        <f t="shared" si="110"/>
        <v>0</v>
      </c>
      <c r="AL76" s="85">
        <f t="shared" si="110"/>
        <v>0</v>
      </c>
      <c r="AM76" s="69">
        <f t="shared" si="110"/>
        <v>0</v>
      </c>
      <c r="AN76" s="69">
        <f t="shared" si="110"/>
        <v>0</v>
      </c>
      <c r="AO76" s="69">
        <f t="shared" si="110"/>
        <v>0</v>
      </c>
      <c r="AP76" s="69">
        <f t="shared" si="110"/>
        <v>0</v>
      </c>
      <c r="AQ76" s="69">
        <f t="shared" si="110"/>
        <v>0</v>
      </c>
      <c r="AR76" s="69">
        <f t="shared" si="110"/>
        <v>0</v>
      </c>
      <c r="AS76" s="69">
        <f t="shared" si="110"/>
        <v>0</v>
      </c>
      <c r="AT76" s="69"/>
      <c r="AU76" s="69">
        <f>AU48+AU69</f>
        <v>0</v>
      </c>
    </row>
    <row r="77" spans="2:47" collapsed="1">
      <c r="B77" s="67" t="s">
        <v>137</v>
      </c>
      <c r="C77" s="52"/>
      <c r="D77" s="68">
        <f t="shared" ref="D77:K77" si="111">D49+D71</f>
        <v>-667.96000000000095</v>
      </c>
      <c r="E77" s="68">
        <f t="shared" si="111"/>
        <v>34179.030000000006</v>
      </c>
      <c r="F77" s="68">
        <f t="shared" si="111"/>
        <v>-2127.1299999999974</v>
      </c>
      <c r="G77" s="68">
        <f t="shared" si="111"/>
        <v>4926.0600000000031</v>
      </c>
      <c r="H77" s="68">
        <f t="shared" si="111"/>
        <v>1778.2200000000048</v>
      </c>
      <c r="I77" s="68">
        <f t="shared" si="111"/>
        <v>15298.740000000005</v>
      </c>
      <c r="J77" s="68">
        <f t="shared" si="111"/>
        <v>22883.529999999995</v>
      </c>
      <c r="K77" s="68">
        <f t="shared" si="111"/>
        <v>-4941.0600000000013</v>
      </c>
      <c r="L77" s="68">
        <f t="shared" ref="L77:O77" ca="1" si="112">L49+L71</f>
        <v>35215</v>
      </c>
      <c r="M77" s="69">
        <f t="shared" ca="1" si="112"/>
        <v>59354</v>
      </c>
      <c r="N77" s="69">
        <f t="shared" ca="1" si="112"/>
        <v>17883</v>
      </c>
      <c r="O77" s="69">
        <f t="shared" ca="1" si="112"/>
        <v>17770</v>
      </c>
      <c r="P77" s="69"/>
      <c r="Q77" s="69">
        <f ca="1">Q49+Q71</f>
        <v>201551.43000000017</v>
      </c>
      <c r="S77" s="85">
        <f t="shared" ref="S77:AD77" ca="1" si="113">S49+S71</f>
        <v>23058.21865909086</v>
      </c>
      <c r="T77" s="85">
        <f t="shared" ca="1" si="113"/>
        <v>31272.651037400221</v>
      </c>
      <c r="U77" s="85">
        <f t="shared" ca="1" si="113"/>
        <v>14373.280620122008</v>
      </c>
      <c r="V77" s="85">
        <f t="shared" ca="1" si="113"/>
        <v>17687.531360060675</v>
      </c>
      <c r="W77" s="85">
        <f t="shared" ca="1" si="113"/>
        <v>11033.51125444904</v>
      </c>
      <c r="X77" s="69">
        <f t="shared" ca="1" si="113"/>
        <v>41004.590065714496</v>
      </c>
      <c r="Y77" s="69">
        <f t="shared" ca="1" si="113"/>
        <v>13904.520579599197</v>
      </c>
      <c r="Z77" s="69">
        <f t="shared" ca="1" si="113"/>
        <v>14496.428821346126</v>
      </c>
      <c r="AA77" s="69">
        <f t="shared" ca="1" si="113"/>
        <v>61357.306344493118</v>
      </c>
      <c r="AB77" s="69">
        <f t="shared" ca="1" si="113"/>
        <v>46509.330197392555</v>
      </c>
      <c r="AC77" s="69">
        <f t="shared" ca="1" si="113"/>
        <v>12585.588028651367</v>
      </c>
      <c r="AD77" s="69">
        <f t="shared" ca="1" si="113"/>
        <v>22602.663460773707</v>
      </c>
      <c r="AE77" s="69"/>
      <c r="AF77" s="69">
        <f ca="1">AF49+AF71</f>
        <v>309885.62042909325</v>
      </c>
      <c r="AH77" s="85">
        <f t="shared" ref="AH77:AS77" ca="1" si="114">AH49+AH71</f>
        <v>18160.041839944763</v>
      </c>
      <c r="AI77" s="85">
        <f t="shared" ca="1" si="114"/>
        <v>35776.491955569742</v>
      </c>
      <c r="AJ77" s="85">
        <f t="shared" ca="1" si="114"/>
        <v>13995.092131061116</v>
      </c>
      <c r="AK77" s="85">
        <f t="shared" ca="1" si="114"/>
        <v>15305.72511020552</v>
      </c>
      <c r="AL77" s="85">
        <f t="shared" ca="1" si="114"/>
        <v>8557.8257978060865</v>
      </c>
      <c r="AM77" s="69">
        <f t="shared" ca="1" si="114"/>
        <v>58963.074482793236</v>
      </c>
      <c r="AN77" s="69">
        <f t="shared" ca="1" si="114"/>
        <v>10393.739978692774</v>
      </c>
      <c r="AO77" s="69">
        <f t="shared" ca="1" si="114"/>
        <v>12065.016199458987</v>
      </c>
      <c r="AP77" s="69">
        <f t="shared" ca="1" si="114"/>
        <v>66022.277357377112</v>
      </c>
      <c r="AQ77" s="69">
        <f t="shared" ca="1" si="114"/>
        <v>47452.507948195518</v>
      </c>
      <c r="AR77" s="69">
        <f t="shared" ca="1" si="114"/>
        <v>9443.8109145676171</v>
      </c>
      <c r="AS77" s="69">
        <f t="shared" ca="1" si="114"/>
        <v>19773.144237382236</v>
      </c>
      <c r="AT77" s="69"/>
      <c r="AU77" s="69">
        <f ca="1">AU49+AU71</f>
        <v>315908.74795305473</v>
      </c>
    </row>
    <row r="78" spans="2:47">
      <c r="B78" s="52"/>
      <c r="C78" s="52"/>
      <c r="D78" s="70"/>
      <c r="E78" s="70"/>
      <c r="F78" s="70"/>
      <c r="G78" s="70"/>
      <c r="H78" s="70"/>
      <c r="I78" s="70"/>
      <c r="J78" s="70"/>
      <c r="K78" s="70"/>
      <c r="L78" s="70"/>
      <c r="M78" s="52"/>
      <c r="N78" s="52"/>
      <c r="O78" s="52"/>
      <c r="P78" s="52"/>
      <c r="S78" s="10"/>
      <c r="T78" s="10"/>
      <c r="U78" s="10"/>
      <c r="V78" s="10"/>
      <c r="W78" s="10"/>
      <c r="X78" s="52"/>
      <c r="Y78" s="52"/>
      <c r="Z78" s="52"/>
      <c r="AA78" s="52"/>
      <c r="AB78" s="52"/>
      <c r="AC78" s="52"/>
      <c r="AD78" s="52"/>
      <c r="AE78" s="52"/>
      <c r="AH78" s="10"/>
      <c r="AI78" s="10"/>
      <c r="AJ78" s="10"/>
      <c r="AK78" s="10"/>
      <c r="AL78" s="10"/>
      <c r="AM78" s="52"/>
      <c r="AN78" s="52"/>
      <c r="AO78" s="52"/>
      <c r="AP78" s="52"/>
      <c r="AQ78" s="52"/>
      <c r="AR78" s="52"/>
      <c r="AS78" s="52"/>
      <c r="AT78" s="52"/>
    </row>
    <row r="79" spans="2:47" outlineLevel="1">
      <c r="B79" s="67" t="s">
        <v>138</v>
      </c>
      <c r="C79" s="52"/>
      <c r="D79" s="97">
        <f t="shared" ref="D79:K79" si="115">IFERROR(D73/D7,0)</f>
        <v>0.20001999959563654</v>
      </c>
      <c r="E79" s="97">
        <f t="shared" si="115"/>
        <v>0.28370638378618568</v>
      </c>
      <c r="F79" s="97">
        <f t="shared" si="115"/>
        <v>-3.508552838976315E-2</v>
      </c>
      <c r="G79" s="97">
        <f t="shared" si="115"/>
        <v>-2.4508053992090838E-2</v>
      </c>
      <c r="H79" s="97">
        <f t="shared" si="115"/>
        <v>-0.1065112616953048</v>
      </c>
      <c r="I79" s="97">
        <f t="shared" si="115"/>
        <v>0.2074027887678363</v>
      </c>
      <c r="J79" s="97">
        <f t="shared" si="115"/>
        <v>0.28451345005565992</v>
      </c>
      <c r="K79" s="97">
        <f t="shared" si="115"/>
        <v>-0.24329290810523369</v>
      </c>
      <c r="L79" s="97">
        <f t="shared" ref="L79:O82" si="116">IFERROR(L73/L7,0)</f>
        <v>0.16728266585685611</v>
      </c>
      <c r="M79" s="91">
        <f t="shared" si="116"/>
        <v>0.27503076923076925</v>
      </c>
      <c r="N79" s="91">
        <f t="shared" si="116"/>
        <v>0.20529545454545456</v>
      </c>
      <c r="O79" s="91">
        <f t="shared" si="116"/>
        <v>0.23473684210526316</v>
      </c>
      <c r="P79" s="91"/>
      <c r="Q79" s="91">
        <f>IFERROR(Q73/Q7,0)</f>
        <v>0.18177901691101178</v>
      </c>
      <c r="S79" s="91">
        <f t="shared" ref="S79:AD79" si="117">IFERROR(S73/S7,0)</f>
        <v>0.28716035444941257</v>
      </c>
      <c r="T79" s="91">
        <f t="shared" si="117"/>
        <v>0.28116269647162201</v>
      </c>
      <c r="U79" s="91">
        <f t="shared" si="117"/>
        <v>0.18691572500882056</v>
      </c>
      <c r="V79" s="91">
        <f t="shared" si="117"/>
        <v>0.19246612372647359</v>
      </c>
      <c r="W79" s="91">
        <f t="shared" si="117"/>
        <v>0.19175694153539921</v>
      </c>
      <c r="X79" s="91">
        <f t="shared" si="117"/>
        <v>0.31120846962783272</v>
      </c>
      <c r="Y79" s="91">
        <f t="shared" si="117"/>
        <v>0.21588430487470914</v>
      </c>
      <c r="Z79" s="91">
        <f t="shared" si="117"/>
        <v>0.24168139700723404</v>
      </c>
      <c r="AA79" s="91">
        <f t="shared" si="117"/>
        <v>0.27732489510233949</v>
      </c>
      <c r="AB79" s="91">
        <f t="shared" si="117"/>
        <v>0.27143166392406282</v>
      </c>
      <c r="AC79" s="91">
        <f t="shared" si="117"/>
        <v>0.24147947910506126</v>
      </c>
      <c r="AD79" s="91">
        <f t="shared" si="117"/>
        <v>0.25089662747340369</v>
      </c>
      <c r="AE79" s="91"/>
      <c r="AF79" s="91">
        <f>IFERROR(AF73/AF7,0)</f>
        <v>0.25450627168360301</v>
      </c>
      <c r="AH79" s="91">
        <f t="shared" ref="AH79:AS79" si="118">IFERROR(AH73/AH7,0)</f>
        <v>0.20884912357410557</v>
      </c>
      <c r="AI79" s="91">
        <f t="shared" si="118"/>
        <v>0.25389638508482487</v>
      </c>
      <c r="AJ79" s="91">
        <f t="shared" si="118"/>
        <v>0.18358819701276918</v>
      </c>
      <c r="AK79" s="91">
        <f t="shared" si="118"/>
        <v>0.1303206339085155</v>
      </c>
      <c r="AL79" s="91">
        <f t="shared" si="118"/>
        <v>0.15040127937392886</v>
      </c>
      <c r="AM79" s="91">
        <f t="shared" si="118"/>
        <v>0.30536346628076827</v>
      </c>
      <c r="AN79" s="91">
        <f t="shared" si="118"/>
        <v>0.19134485602260279</v>
      </c>
      <c r="AO79" s="91">
        <f t="shared" si="118"/>
        <v>0.20430244326618799</v>
      </c>
      <c r="AP79" s="91">
        <f t="shared" si="118"/>
        <v>0.26411710553293188</v>
      </c>
      <c r="AQ79" s="91">
        <f t="shared" si="118"/>
        <v>0.27257393215114095</v>
      </c>
      <c r="AR79" s="91">
        <f t="shared" si="118"/>
        <v>0.19081985089793499</v>
      </c>
      <c r="AS79" s="91">
        <f t="shared" si="118"/>
        <v>0.19670844860240047</v>
      </c>
      <c r="AT79" s="91"/>
      <c r="AU79" s="91">
        <f>IFERROR(AU73/AU7,0)</f>
        <v>0.23368389774968215</v>
      </c>
    </row>
    <row r="80" spans="2:47" outlineLevel="1">
      <c r="B80" s="67" t="s">
        <v>139</v>
      </c>
      <c r="C80" s="52"/>
      <c r="D80" s="97">
        <f t="shared" ref="D80:K80" si="119">IFERROR(D74/D8,0)</f>
        <v>-0.55019562680659251</v>
      </c>
      <c r="E80" s="97">
        <f t="shared" si="119"/>
        <v>4.9250485784413991</v>
      </c>
      <c r="F80" s="97">
        <f t="shared" si="119"/>
        <v>0</v>
      </c>
      <c r="G80" s="97">
        <f t="shared" si="119"/>
        <v>0.53818261249453914</v>
      </c>
      <c r="H80" s="97">
        <f t="shared" si="119"/>
        <v>0.34694417938149058</v>
      </c>
      <c r="I80" s="97">
        <f t="shared" si="119"/>
        <v>4.1514151998988245E-2</v>
      </c>
      <c r="J80" s="97">
        <f t="shared" si="119"/>
        <v>0</v>
      </c>
      <c r="K80" s="97">
        <f t="shared" si="119"/>
        <v>0</v>
      </c>
      <c r="L80" s="97">
        <f t="shared" si="116"/>
        <v>0.50407088122605359</v>
      </c>
      <c r="M80" s="91">
        <f t="shared" si="116"/>
        <v>0.59</v>
      </c>
      <c r="N80" s="91">
        <f t="shared" si="116"/>
        <v>0.59</v>
      </c>
      <c r="O80" s="91">
        <f t="shared" si="116"/>
        <v>0.59</v>
      </c>
      <c r="P80" s="91"/>
      <c r="Q80" s="91">
        <f>IFERROR(Q74/Q8,0)</f>
        <v>0.51316981745410961</v>
      </c>
      <c r="S80" s="91">
        <f t="shared" ref="S80:AD80" si="120">IFERROR(S74/S8,0)</f>
        <v>0.67613089259879522</v>
      </c>
      <c r="T80" s="91">
        <f t="shared" si="120"/>
        <v>0</v>
      </c>
      <c r="U80" s="91">
        <f t="shared" si="120"/>
        <v>0</v>
      </c>
      <c r="V80" s="91">
        <f t="shared" si="120"/>
        <v>0.67613089259879522</v>
      </c>
      <c r="W80" s="91">
        <f t="shared" si="120"/>
        <v>0</v>
      </c>
      <c r="X80" s="91">
        <f t="shared" si="120"/>
        <v>0.67613089259879522</v>
      </c>
      <c r="Y80" s="91">
        <f t="shared" si="120"/>
        <v>0</v>
      </c>
      <c r="Z80" s="91">
        <f t="shared" si="120"/>
        <v>0</v>
      </c>
      <c r="AA80" s="91">
        <f t="shared" si="120"/>
        <v>0.67613089259879522</v>
      </c>
      <c r="AB80" s="91">
        <f t="shared" si="120"/>
        <v>0.67613089259879522</v>
      </c>
      <c r="AC80" s="91">
        <f t="shared" si="120"/>
        <v>0</v>
      </c>
      <c r="AD80" s="91">
        <f t="shared" si="120"/>
        <v>0.67613089259879522</v>
      </c>
      <c r="AE80" s="91"/>
      <c r="AF80" s="91">
        <f>IFERROR(AF74/AF8,0)</f>
        <v>0.67613089259879522</v>
      </c>
      <c r="AH80" s="91">
        <f t="shared" ref="AH80:AS80" si="121">IFERROR(AH74/AH8,0)</f>
        <v>0.67613089259879522</v>
      </c>
      <c r="AI80" s="91">
        <f t="shared" si="121"/>
        <v>0</v>
      </c>
      <c r="AJ80" s="91">
        <f t="shared" si="121"/>
        <v>0</v>
      </c>
      <c r="AK80" s="91">
        <f t="shared" si="121"/>
        <v>0.67613089259879522</v>
      </c>
      <c r="AL80" s="91">
        <f t="shared" si="121"/>
        <v>0</v>
      </c>
      <c r="AM80" s="91">
        <f t="shared" si="121"/>
        <v>0.67613089259879522</v>
      </c>
      <c r="AN80" s="91">
        <f t="shared" si="121"/>
        <v>0</v>
      </c>
      <c r="AO80" s="91">
        <f t="shared" si="121"/>
        <v>0</v>
      </c>
      <c r="AP80" s="91">
        <f t="shared" si="121"/>
        <v>0.67613089259879522</v>
      </c>
      <c r="AQ80" s="91">
        <f t="shared" si="121"/>
        <v>0.67613089259879522</v>
      </c>
      <c r="AR80" s="91">
        <f t="shared" si="121"/>
        <v>0</v>
      </c>
      <c r="AS80" s="91">
        <f t="shared" si="121"/>
        <v>0.67613089259879522</v>
      </c>
      <c r="AT80" s="91"/>
      <c r="AU80" s="91">
        <f>IFERROR(AU74/AU8,0)</f>
        <v>0.67613089259879533</v>
      </c>
    </row>
    <row r="81" spans="2:47" outlineLevel="1">
      <c r="B81" s="67" t="s">
        <v>140</v>
      </c>
      <c r="C81" s="52"/>
      <c r="D81" s="97">
        <f t="shared" ref="D81:K81" si="122">IFERROR(D75/D9,0)</f>
        <v>0</v>
      </c>
      <c r="E81" s="97">
        <f t="shared" si="122"/>
        <v>0</v>
      </c>
      <c r="F81" s="97">
        <f t="shared" si="122"/>
        <v>0</v>
      </c>
      <c r="G81" s="97">
        <f t="shared" si="122"/>
        <v>0</v>
      </c>
      <c r="H81" s="97">
        <f t="shared" si="122"/>
        <v>0</v>
      </c>
      <c r="I81" s="97">
        <f t="shared" si="122"/>
        <v>0</v>
      </c>
      <c r="J81" s="97">
        <f t="shared" si="122"/>
        <v>0</v>
      </c>
      <c r="K81" s="97">
        <f t="shared" si="122"/>
        <v>0</v>
      </c>
      <c r="L81" s="97">
        <f t="shared" ca="1" si="116"/>
        <v>0</v>
      </c>
      <c r="M81" s="91">
        <f t="shared" ca="1" si="116"/>
        <v>0</v>
      </c>
      <c r="N81" s="91">
        <f t="shared" ca="1" si="116"/>
        <v>0</v>
      </c>
      <c r="O81" s="91">
        <f t="shared" ca="1" si="116"/>
        <v>0</v>
      </c>
      <c r="P81" s="91"/>
      <c r="Q81" s="91">
        <f ca="1">IFERROR(Q75/Q9,0)</f>
        <v>0</v>
      </c>
      <c r="S81" s="91">
        <f t="shared" ref="S81:AD81" ca="1" si="123">IFERROR(S75/S9,0)</f>
        <v>0</v>
      </c>
      <c r="T81" s="91">
        <f t="shared" ca="1" si="123"/>
        <v>0</v>
      </c>
      <c r="U81" s="91">
        <f t="shared" ca="1" si="123"/>
        <v>0</v>
      </c>
      <c r="V81" s="91">
        <f t="shared" ca="1" si="123"/>
        <v>0</v>
      </c>
      <c r="W81" s="91">
        <f t="shared" ca="1" si="123"/>
        <v>0</v>
      </c>
      <c r="X81" s="91">
        <f t="shared" ca="1" si="123"/>
        <v>0</v>
      </c>
      <c r="Y81" s="91">
        <f t="shared" ca="1" si="123"/>
        <v>0</v>
      </c>
      <c r="Z81" s="91">
        <f t="shared" ca="1" si="123"/>
        <v>0</v>
      </c>
      <c r="AA81" s="91">
        <f t="shared" ca="1" si="123"/>
        <v>0</v>
      </c>
      <c r="AB81" s="91">
        <f t="shared" ca="1" si="123"/>
        <v>0</v>
      </c>
      <c r="AC81" s="91">
        <f t="shared" ca="1" si="123"/>
        <v>0</v>
      </c>
      <c r="AD81" s="91">
        <f t="shared" ca="1" si="123"/>
        <v>0</v>
      </c>
      <c r="AE81" s="91"/>
      <c r="AF81" s="91">
        <f ca="1">IFERROR(AF75/AF9,0)</f>
        <v>0</v>
      </c>
      <c r="AH81" s="91">
        <f t="shared" ref="AH81:AS81" ca="1" si="124">IFERROR(AH75/AH9,0)</f>
        <v>0</v>
      </c>
      <c r="AI81" s="91">
        <f t="shared" ca="1" si="124"/>
        <v>0</v>
      </c>
      <c r="AJ81" s="91">
        <f t="shared" ca="1" si="124"/>
        <v>0</v>
      </c>
      <c r="AK81" s="91">
        <f t="shared" ca="1" si="124"/>
        <v>0</v>
      </c>
      <c r="AL81" s="91">
        <f t="shared" ca="1" si="124"/>
        <v>0</v>
      </c>
      <c r="AM81" s="91">
        <f t="shared" ca="1" si="124"/>
        <v>0</v>
      </c>
      <c r="AN81" s="91">
        <f t="shared" ca="1" si="124"/>
        <v>0</v>
      </c>
      <c r="AO81" s="91">
        <f t="shared" ca="1" si="124"/>
        <v>0</v>
      </c>
      <c r="AP81" s="91">
        <f t="shared" ca="1" si="124"/>
        <v>0</v>
      </c>
      <c r="AQ81" s="91">
        <f t="shared" ca="1" si="124"/>
        <v>0</v>
      </c>
      <c r="AR81" s="91">
        <f t="shared" ca="1" si="124"/>
        <v>0</v>
      </c>
      <c r="AS81" s="91">
        <f t="shared" ca="1" si="124"/>
        <v>0</v>
      </c>
      <c r="AT81" s="91"/>
      <c r="AU81" s="91">
        <f ca="1">IFERROR(AU75/AU9,0)</f>
        <v>0</v>
      </c>
    </row>
    <row r="82" spans="2:47" outlineLevel="1">
      <c r="B82" s="67" t="s">
        <v>141</v>
      </c>
      <c r="C82" s="52"/>
      <c r="D82" s="97">
        <f t="shared" ref="D82:K82" si="125">IFERROR(D76/D10,0)</f>
        <v>0</v>
      </c>
      <c r="E82" s="97">
        <f t="shared" si="125"/>
        <v>0</v>
      </c>
      <c r="F82" s="97">
        <f t="shared" si="125"/>
        <v>0</v>
      </c>
      <c r="G82" s="97">
        <f t="shared" si="125"/>
        <v>0</v>
      </c>
      <c r="H82" s="97">
        <f t="shared" si="125"/>
        <v>0</v>
      </c>
      <c r="I82" s="97">
        <f t="shared" si="125"/>
        <v>0</v>
      </c>
      <c r="J82" s="97">
        <f t="shared" si="125"/>
        <v>0</v>
      </c>
      <c r="K82" s="97">
        <f t="shared" si="125"/>
        <v>0</v>
      </c>
      <c r="L82" s="97">
        <f t="shared" si="116"/>
        <v>0</v>
      </c>
      <c r="M82" s="91">
        <f t="shared" si="116"/>
        <v>0</v>
      </c>
      <c r="N82" s="91">
        <f t="shared" si="116"/>
        <v>0</v>
      </c>
      <c r="O82" s="91">
        <f t="shared" si="116"/>
        <v>0</v>
      </c>
      <c r="P82" s="91"/>
      <c r="Q82" s="91">
        <f>IFERROR(Q76/Q10,0)</f>
        <v>0</v>
      </c>
      <c r="S82" s="91">
        <f t="shared" ref="S82:AD82" si="126">IFERROR(S76/S10,0)</f>
        <v>0</v>
      </c>
      <c r="T82" s="91">
        <f t="shared" si="126"/>
        <v>0</v>
      </c>
      <c r="U82" s="91">
        <f t="shared" si="126"/>
        <v>0</v>
      </c>
      <c r="V82" s="91">
        <f t="shared" si="126"/>
        <v>0</v>
      </c>
      <c r="W82" s="91">
        <f t="shared" si="126"/>
        <v>0</v>
      </c>
      <c r="X82" s="91">
        <f t="shared" si="126"/>
        <v>0</v>
      </c>
      <c r="Y82" s="91">
        <f t="shared" si="126"/>
        <v>0</v>
      </c>
      <c r="Z82" s="91">
        <f t="shared" si="126"/>
        <v>0</v>
      </c>
      <c r="AA82" s="91">
        <f t="shared" si="126"/>
        <v>0</v>
      </c>
      <c r="AB82" s="91">
        <f t="shared" si="126"/>
        <v>0</v>
      </c>
      <c r="AC82" s="91">
        <f t="shared" si="126"/>
        <v>0</v>
      </c>
      <c r="AD82" s="91">
        <f t="shared" si="126"/>
        <v>0</v>
      </c>
      <c r="AE82" s="91"/>
      <c r="AF82" s="91">
        <f>IFERROR(AF76/AF10,0)</f>
        <v>0</v>
      </c>
      <c r="AH82" s="91">
        <f t="shared" ref="AH82:AS82" si="127">IFERROR(AH76/AH10,0)</f>
        <v>0</v>
      </c>
      <c r="AI82" s="91">
        <f t="shared" si="127"/>
        <v>0</v>
      </c>
      <c r="AJ82" s="91">
        <f t="shared" si="127"/>
        <v>0</v>
      </c>
      <c r="AK82" s="91">
        <f t="shared" si="127"/>
        <v>0</v>
      </c>
      <c r="AL82" s="91">
        <f t="shared" si="127"/>
        <v>0</v>
      </c>
      <c r="AM82" s="91">
        <f t="shared" si="127"/>
        <v>0</v>
      </c>
      <c r="AN82" s="91">
        <f t="shared" si="127"/>
        <v>0</v>
      </c>
      <c r="AO82" s="91">
        <f t="shared" si="127"/>
        <v>0</v>
      </c>
      <c r="AP82" s="91">
        <f t="shared" si="127"/>
        <v>0</v>
      </c>
      <c r="AQ82" s="91">
        <f t="shared" si="127"/>
        <v>0</v>
      </c>
      <c r="AR82" s="91">
        <f t="shared" si="127"/>
        <v>0</v>
      </c>
      <c r="AS82" s="91">
        <f t="shared" si="127"/>
        <v>0</v>
      </c>
      <c r="AT82" s="91"/>
      <c r="AU82" s="91">
        <f>IFERROR(AU76/AU10,0)</f>
        <v>0</v>
      </c>
    </row>
    <row r="83" spans="2:47">
      <c r="B83" s="72" t="s">
        <v>142</v>
      </c>
      <c r="C83" s="73"/>
      <c r="D83" s="97">
        <f t="shared" ref="D83:K83" si="128">IFERROR(D77/D12,0)</f>
        <v>-2.5526428122942372E-2</v>
      </c>
      <c r="E83" s="97">
        <f t="shared" si="128"/>
        <v>0.41640261061876288</v>
      </c>
      <c r="F83" s="97">
        <f t="shared" si="128"/>
        <v>-3.6945728530624215E-2</v>
      </c>
      <c r="G83" s="97">
        <f t="shared" si="128"/>
        <v>0.16289622386946248</v>
      </c>
      <c r="H83" s="97">
        <f t="shared" si="128"/>
        <v>5.0463823787826288E-2</v>
      </c>
      <c r="I83" s="97">
        <f t="shared" si="128"/>
        <v>0.1866065930977685</v>
      </c>
      <c r="J83" s="97">
        <f t="shared" si="128"/>
        <v>0.27953368075019758</v>
      </c>
      <c r="K83" s="97">
        <f t="shared" si="128"/>
        <v>-0.24329290810523369</v>
      </c>
      <c r="L83" s="97">
        <f t="shared" ref="L83:O83" ca="1" si="129">IFERROR(L77/L12,0)</f>
        <v>0.22000162431981607</v>
      </c>
      <c r="M83" s="91">
        <f t="shared" ca="1" si="129"/>
        <v>0.34914117647058823</v>
      </c>
      <c r="N83" s="91">
        <f t="shared" ca="1" si="129"/>
        <v>0.30310169491525424</v>
      </c>
      <c r="O83" s="91">
        <f t="shared" ca="1" si="129"/>
        <v>0.33528301886792455</v>
      </c>
      <c r="P83" s="91"/>
      <c r="Q83" s="91">
        <f ca="1">IFERROR(Q77/Q12,0)</f>
        <v>0.23503860728083001</v>
      </c>
      <c r="S83" s="91">
        <f t="shared" ref="S83:AD83" ca="1" si="130">IFERROR(S77/S12,0)</f>
        <v>0.3454313929946396</v>
      </c>
      <c r="T83" s="91">
        <f t="shared" ca="1" si="130"/>
        <v>0.28116269647162201</v>
      </c>
      <c r="U83" s="91">
        <f t="shared" ca="1" si="130"/>
        <v>0.18691572500882056</v>
      </c>
      <c r="V83" s="91">
        <f t="shared" ca="1" si="130"/>
        <v>0.26490400864449037</v>
      </c>
      <c r="W83" s="91">
        <f t="shared" ca="1" si="130"/>
        <v>0.19175694153539921</v>
      </c>
      <c r="X83" s="91">
        <f t="shared" ca="1" si="130"/>
        <v>0.3416102462519055</v>
      </c>
      <c r="Y83" s="91">
        <f t="shared" ca="1" si="130"/>
        <v>0.21588430487470914</v>
      </c>
      <c r="Z83" s="91">
        <f t="shared" ca="1" si="130"/>
        <v>0.24168139700723404</v>
      </c>
      <c r="AA83" s="91">
        <f t="shared" ca="1" si="130"/>
        <v>0.3444995241078051</v>
      </c>
      <c r="AB83" s="91">
        <f t="shared" ca="1" si="130"/>
        <v>0.32862140580660426</v>
      </c>
      <c r="AC83" s="91">
        <f t="shared" ca="1" si="130"/>
        <v>0.24147947910506126</v>
      </c>
      <c r="AD83" s="91">
        <f t="shared" ca="1" si="130"/>
        <v>0.30903721483073376</v>
      </c>
      <c r="AE83" s="91"/>
      <c r="AF83" s="91">
        <f ca="1">IFERROR(AF77/AF12,0)</f>
        <v>0.29001988158070408</v>
      </c>
      <c r="AH83" s="91">
        <f t="shared" ref="AH83:AS83" ca="1" si="131">IFERROR(AH77/AH12,0)</f>
        <v>0.2861647862660831</v>
      </c>
      <c r="AI83" s="91">
        <f t="shared" ca="1" si="131"/>
        <v>0.25389638508482487</v>
      </c>
      <c r="AJ83" s="91">
        <f t="shared" ca="1" si="131"/>
        <v>0.18358819701276918</v>
      </c>
      <c r="AK83" s="91">
        <f t="shared" ca="1" si="131"/>
        <v>0.20832487442921852</v>
      </c>
      <c r="AL83" s="91">
        <f t="shared" ca="1" si="131"/>
        <v>0.15040127937392886</v>
      </c>
      <c r="AM83" s="91">
        <f t="shared" ca="1" si="131"/>
        <v>0.32695048864796927</v>
      </c>
      <c r="AN83" s="91">
        <f t="shared" ca="1" si="131"/>
        <v>0.19134485602260279</v>
      </c>
      <c r="AO83" s="91">
        <f t="shared" ca="1" si="131"/>
        <v>0.20430244326618799</v>
      </c>
      <c r="AP83" s="91">
        <f t="shared" ca="1" si="131"/>
        <v>0.32873961969572502</v>
      </c>
      <c r="AQ83" s="91">
        <f t="shared" ca="1" si="131"/>
        <v>0.33183793783184157</v>
      </c>
      <c r="AR83" s="91">
        <f t="shared" ca="1" si="131"/>
        <v>0.19081985089793499</v>
      </c>
      <c r="AS83" s="91">
        <f t="shared" ca="1" si="131"/>
        <v>0.26389100249340192</v>
      </c>
      <c r="AT83" s="91"/>
      <c r="AU83" s="91">
        <f ca="1">IFERROR(AU77/AU12,0)</f>
        <v>0.26933038676306459</v>
      </c>
    </row>
    <row r="84" spans="2:47">
      <c r="D84" s="53"/>
      <c r="E84" s="53"/>
      <c r="F84" s="53"/>
      <c r="G84" s="53"/>
      <c r="H84" s="53"/>
      <c r="I84" s="53"/>
      <c r="J84" s="53"/>
      <c r="K84" s="53"/>
      <c r="L84" s="53"/>
      <c r="M84" s="91"/>
      <c r="N84" s="91"/>
      <c r="O84" s="91"/>
      <c r="P84" s="91"/>
      <c r="Q84" s="91"/>
    </row>
    <row r="85" spans="2:47" ht="10.5" customHeight="1">
      <c r="D85" s="53"/>
      <c r="E85" s="53"/>
      <c r="F85" s="53"/>
      <c r="G85" s="53"/>
      <c r="H85" s="53"/>
      <c r="I85" s="53"/>
      <c r="J85" s="53"/>
      <c r="K85" s="53"/>
      <c r="L85" s="53"/>
      <c r="M85" s="60"/>
      <c r="N85" s="60"/>
      <c r="O85" s="60"/>
      <c r="X85" s="60"/>
      <c r="Y85" s="60"/>
      <c r="Z85" s="60"/>
      <c r="AA85" s="60"/>
      <c r="AB85" s="60"/>
      <c r="AC85" s="60"/>
      <c r="AD85" s="60"/>
      <c r="AM85" s="60"/>
      <c r="AN85" s="60"/>
      <c r="AO85" s="60"/>
      <c r="AP85" s="60"/>
      <c r="AQ85" s="60"/>
      <c r="AR85" s="60"/>
      <c r="AS85" s="60"/>
    </row>
    <row r="86" spans="2:47" outlineLevel="1">
      <c r="B86" s="58" t="s">
        <v>143</v>
      </c>
      <c r="D86" s="53"/>
      <c r="E86" s="53"/>
      <c r="F86" s="53"/>
      <c r="G86" s="53"/>
      <c r="H86" s="53"/>
      <c r="I86" s="53"/>
      <c r="J86" s="53"/>
      <c r="K86" s="53"/>
      <c r="L86" s="53"/>
      <c r="M86" s="60"/>
      <c r="N86" s="60"/>
      <c r="O86" s="60"/>
      <c r="X86" s="60"/>
      <c r="Y86" s="60"/>
      <c r="Z86" s="60"/>
      <c r="AA86" s="60"/>
      <c r="AB86" s="60"/>
      <c r="AC86" s="60"/>
      <c r="AD86" s="60"/>
      <c r="AM86" s="60"/>
      <c r="AN86" s="60"/>
      <c r="AO86" s="60"/>
      <c r="AP86" s="60"/>
      <c r="AQ86" s="60"/>
      <c r="AR86" s="60"/>
      <c r="AS86" s="60"/>
    </row>
    <row r="87" spans="2:47" outlineLevel="1">
      <c r="B87" s="58"/>
      <c r="D87" s="53"/>
      <c r="E87" s="53"/>
      <c r="F87" s="53"/>
      <c r="G87" s="53"/>
      <c r="H87" s="53"/>
      <c r="I87" s="53"/>
      <c r="J87" s="53"/>
      <c r="K87" s="53"/>
      <c r="L87" s="53"/>
    </row>
    <row r="88" spans="2:47" outlineLevel="1">
      <c r="B88" s="51" t="s">
        <v>144</v>
      </c>
      <c r="D88" s="59"/>
      <c r="E88" s="59"/>
      <c r="F88" s="59"/>
      <c r="G88" s="59"/>
      <c r="H88" s="59"/>
      <c r="I88" s="59"/>
      <c r="J88" s="59"/>
      <c r="K88" s="59">
        <v>0</v>
      </c>
      <c r="L88" s="59">
        <f>SUMIFS(Payroll!E:E,Payroll!$C:$C,"Permanent",Payroll!$D:$D,"Romania")</f>
        <v>0</v>
      </c>
      <c r="M88" s="60">
        <f>SUMIFS(Payroll!F:F,Payroll!$C:$C,"Permanent",Payroll!$D:$D,"Romania")</f>
        <v>0</v>
      </c>
      <c r="N88" s="60">
        <f>SUMIFS(Payroll!G:G,Payroll!$C:$C,"Permanent",Payroll!$D:$D,"Romania")</f>
        <v>0</v>
      </c>
      <c r="O88" s="60">
        <f>SUMIFS(Payroll!H:H,Payroll!$C:$C,"Permanent",Payroll!$D:$D,"Romania")</f>
        <v>0</v>
      </c>
      <c r="P88" s="60"/>
      <c r="Q88" s="61">
        <f>SUM(D88:O88)</f>
        <v>0</v>
      </c>
      <c r="R88" s="61"/>
      <c r="S88" s="60">
        <f>SUMIFS(Payroll!I:I,Payroll!$C:$C,"Permanent",Payroll!$D:$D,"Romania")</f>
        <v>0</v>
      </c>
      <c r="T88" s="60">
        <f>SUMIFS(Payroll!J:J,Payroll!$C:$C,"Permanent",Payroll!$D:$D,"Romania")</f>
        <v>0</v>
      </c>
      <c r="U88" s="60">
        <f>SUMIFS(Payroll!K:K,Payroll!$C:$C,"Permanent",Payroll!$D:$D,"Romania")</f>
        <v>0</v>
      </c>
      <c r="V88" s="60">
        <f>SUMIFS(Payroll!L:L,Payroll!$C:$C,"Permanent",Payroll!$D:$D,"Romania")</f>
        <v>0</v>
      </c>
      <c r="W88" s="60">
        <f>SUMIFS(Payroll!M:M,Payroll!$C:$C,"Permanent",Payroll!$D:$D,"Romania")</f>
        <v>0</v>
      </c>
      <c r="X88" s="60">
        <f>SUMIFS(Payroll!N:N,Payroll!$C:$C,"Permanent",Payroll!$D:$D,"Romania")</f>
        <v>0</v>
      </c>
      <c r="Y88" s="60">
        <f>SUMIFS(Payroll!O:O,Payroll!$C:$C,"Permanent",Payroll!$D:$D,"Romania")</f>
        <v>0</v>
      </c>
      <c r="Z88" s="60">
        <f>SUMIFS(Payroll!P:P,Payroll!$C:$C,"Permanent",Payroll!$D:$D,"Romania")</f>
        <v>0</v>
      </c>
      <c r="AA88" s="60">
        <f>SUMIFS(Payroll!Q:Q,Payroll!$C:$C,"Permanent",Payroll!$D:$D,"Romania")</f>
        <v>0</v>
      </c>
      <c r="AB88" s="60">
        <f>SUMIFS(Payroll!R:R,Payroll!$C:$C,"Permanent",Payroll!$D:$D,"Romania")</f>
        <v>0</v>
      </c>
      <c r="AC88" s="60">
        <f>SUMIFS(Payroll!S:S,Payroll!$C:$C,"Permanent",Payroll!$D:$D,"Romania")</f>
        <v>0</v>
      </c>
      <c r="AD88" s="60">
        <f>SUMIFS(Payroll!T:T,Payroll!$C:$C,"Permanent",Payroll!$D:$D,"Romania")</f>
        <v>0</v>
      </c>
      <c r="AE88" s="60"/>
      <c r="AF88" s="61">
        <f>SUM(S88:AD88)</f>
        <v>0</v>
      </c>
      <c r="AH88" s="60">
        <f>SUMIFS(Payroll!U:U,Payroll!$C:$C,"Permanent",Payroll!$D:$D,"Romania")</f>
        <v>0</v>
      </c>
      <c r="AI88" s="60">
        <f>SUMIFS(Payroll!V:V,Payroll!$C:$C,"Permanent",Payroll!$D:$D,"Romania")</f>
        <v>0</v>
      </c>
      <c r="AJ88" s="60">
        <f>SUMIFS(Payroll!W:W,Payroll!$C:$C,"Permanent",Payroll!$D:$D,"Romania")</f>
        <v>0</v>
      </c>
      <c r="AK88" s="60">
        <f>SUMIFS(Payroll!X:X,Payroll!$C:$C,"Permanent",Payroll!$D:$D,"Romania")</f>
        <v>0</v>
      </c>
      <c r="AL88" s="60">
        <f>SUMIFS(Payroll!Y:Y,Payroll!$C:$C,"Permanent",Payroll!$D:$D,"Romania")</f>
        <v>0</v>
      </c>
      <c r="AM88" s="60">
        <f>SUMIFS(Payroll!Z:Z,Payroll!$C:$C,"Permanent",Payroll!$D:$D,"Romania")</f>
        <v>0</v>
      </c>
      <c r="AN88" s="60">
        <f>SUMIFS(Payroll!AA:AA,Payroll!$C:$C,"Permanent",Payroll!$D:$D,"Romania")</f>
        <v>0</v>
      </c>
      <c r="AO88" s="60">
        <f>SUMIFS(Payroll!AB:AB,Payroll!$C:$C,"Permanent",Payroll!$D:$D,"Romania")</f>
        <v>0</v>
      </c>
      <c r="AP88" s="60">
        <f>SUMIFS(Payroll!AC:AC,Payroll!$C:$C,"Permanent",Payroll!$D:$D,"Romania")</f>
        <v>0</v>
      </c>
      <c r="AQ88" s="60">
        <f>SUMIFS(Payroll!AD:AD,Payroll!$C:$C,"Permanent",Payroll!$D:$D,"Romania")</f>
        <v>0</v>
      </c>
      <c r="AR88" s="60">
        <f>SUMIFS(Payroll!AE:AE,Payroll!$C:$C,"Permanent",Payroll!$D:$D,"Romania")</f>
        <v>0</v>
      </c>
      <c r="AS88" s="60">
        <f>SUMIFS(Payroll!AF:AF,Payroll!$C:$C,"Permanent",Payroll!$D:$D,"Romania")</f>
        <v>0</v>
      </c>
      <c r="AT88" s="60"/>
      <c r="AU88" s="61">
        <f>SUM(AH88:AS88)</f>
        <v>0</v>
      </c>
    </row>
    <row r="89" spans="2:47" outlineLevel="1">
      <c r="B89" s="51" t="s">
        <v>145</v>
      </c>
      <c r="D89" s="59">
        <v>-1588.33</v>
      </c>
      <c r="E89" s="59">
        <v>-2643.51</v>
      </c>
      <c r="F89" s="59">
        <v>-2237.5300000000002</v>
      </c>
      <c r="G89" s="59">
        <v>-2336.6999999999998</v>
      </c>
      <c r="H89" s="59">
        <v>-2375.94</v>
      </c>
      <c r="I89" s="59">
        <v>-2412.35</v>
      </c>
      <c r="J89" s="59">
        <v>-2402.19</v>
      </c>
      <c r="K89" s="59">
        <v>-2431.9499999999998</v>
      </c>
      <c r="L89" s="59">
        <v>-2424</v>
      </c>
      <c r="M89" s="60">
        <f>SUMIFS(Payroll!F:F,Payroll!$C:$C,"Freelancer",Payroll!$D:$D,"Romania")</f>
        <v>-2728.8135593220341</v>
      </c>
      <c r="N89" s="60">
        <f>SUMIFS(Payroll!G:G,Payroll!$C:$C,"Freelancer",Payroll!$D:$D,"Romania")</f>
        <v>-2728.8135593220341</v>
      </c>
      <c r="O89" s="60">
        <f>SUMIFS(Payroll!H:H,Payroll!$C:$C,"Freelancer",Payroll!$D:$D,"Romania")</f>
        <v>-2728.8135593220341</v>
      </c>
      <c r="P89" s="60"/>
      <c r="Q89" s="61">
        <f t="shared" ref="Q89:Q96" si="132">SUM(D89:O89)</f>
        <v>-29038.940677966108</v>
      </c>
      <c r="R89" s="61"/>
      <c r="S89" s="60">
        <f>SUMIFS(Payroll!I:I,Payroll!$C:$C,"Freelancer",Payroll!$D:$D,"Romania")</f>
        <v>-2793.7853110000001</v>
      </c>
      <c r="T89" s="60">
        <f>SUMIFS(Payroll!J:J,Payroll!$C:$C,"Freelancer",Payroll!$D:$D,"Romania")</f>
        <v>-2793.7853110000001</v>
      </c>
      <c r="U89" s="60">
        <f>SUMIFS(Payroll!K:K,Payroll!$C:$C,"Freelancer",Payroll!$D:$D,"Romania")</f>
        <v>-2793.7853110000001</v>
      </c>
      <c r="V89" s="60">
        <f>SUMIFS(Payroll!L:L,Payroll!$C:$C,"Freelancer",Payroll!$D:$D,"Romania")</f>
        <v>-2793.7853110000001</v>
      </c>
      <c r="W89" s="60">
        <f>SUMIFS(Payroll!M:M,Payroll!$C:$C,"Freelancer",Payroll!$D:$D,"Romania")</f>
        <v>-2793.7853110000001</v>
      </c>
      <c r="X89" s="60">
        <f>SUMIFS(Payroll!N:N,Payroll!$C:$C,"Freelancer",Payroll!$D:$D,"Romania")</f>
        <v>-2793.7853110000001</v>
      </c>
      <c r="Y89" s="60">
        <f>SUMIFS(Payroll!O:O,Payroll!$C:$C,"Freelancer",Payroll!$D:$D,"Romania")</f>
        <v>-2793.7853110000001</v>
      </c>
      <c r="Z89" s="60">
        <f>SUMIFS(Payroll!P:P,Payroll!$C:$C,"Freelancer",Payroll!$D:$D,"Romania")</f>
        <v>-2793.7853110000001</v>
      </c>
      <c r="AA89" s="60">
        <f>SUMIFS(Payroll!Q:Q,Payroll!$C:$C,"Freelancer",Payroll!$D:$D,"Romania")</f>
        <v>-2793.7853110000001</v>
      </c>
      <c r="AB89" s="60">
        <f>SUMIFS(Payroll!R:R,Payroll!$C:$C,"Freelancer",Payroll!$D:$D,"Romania")</f>
        <v>-2793.7853110000001</v>
      </c>
      <c r="AC89" s="60">
        <f>SUMIFS(Payroll!S:S,Payroll!$C:$C,"Freelancer",Payroll!$D:$D,"Romania")</f>
        <v>-2793.7853110000001</v>
      </c>
      <c r="AD89" s="60">
        <f>SUMIFS(Payroll!T:T,Payroll!$C:$C,"Freelancer",Payroll!$D:$D,"Romania")</f>
        <v>-2793.7853110000001</v>
      </c>
      <c r="AE89" s="60"/>
      <c r="AF89" s="61">
        <f t="shared" ref="AF89:AF96" si="133">SUM(S89:AD89)</f>
        <v>-33525.423732000003</v>
      </c>
      <c r="AH89" s="60">
        <f>SUMIFS(Payroll!U:U,Payroll!$C:$C,"Freelancer",Payroll!$D:$D,"Romania")</f>
        <v>-2793.7853110000001</v>
      </c>
      <c r="AI89" s="60">
        <f>SUMIFS(Payroll!V:V,Payroll!$C:$C,"Freelancer",Payroll!$D:$D,"Romania")</f>
        <v>-2793.7853110000001</v>
      </c>
      <c r="AJ89" s="60">
        <f>SUMIFS(Payroll!W:W,Payroll!$C:$C,"Freelancer",Payroll!$D:$D,"Romania")</f>
        <v>-2793.7853110000001</v>
      </c>
      <c r="AK89" s="60">
        <f>SUMIFS(Payroll!X:X,Payroll!$C:$C,"Freelancer",Payroll!$D:$D,"Romania")</f>
        <v>-2793.7853110000001</v>
      </c>
      <c r="AL89" s="60">
        <f>SUMIFS(Payroll!Y:Y,Payroll!$C:$C,"Freelancer",Payroll!$D:$D,"Romania")</f>
        <v>-2793.7853110000001</v>
      </c>
      <c r="AM89" s="60">
        <f>SUMIFS(Payroll!Z:Z,Payroll!$C:$C,"Freelancer",Payroll!$D:$D,"Romania")</f>
        <v>-2793.7853110000001</v>
      </c>
      <c r="AN89" s="60">
        <f>SUMIFS(Payroll!AA:AA,Payroll!$C:$C,"Freelancer",Payroll!$D:$D,"Romania")</f>
        <v>-2793.7853110000001</v>
      </c>
      <c r="AO89" s="60">
        <f>SUMIFS(Payroll!AB:AB,Payroll!$C:$C,"Freelancer",Payroll!$D:$D,"Romania")</f>
        <v>-2793.7853110000001</v>
      </c>
      <c r="AP89" s="60">
        <f>SUMIFS(Payroll!AC:AC,Payroll!$C:$C,"Freelancer",Payroll!$D:$D,"Romania")</f>
        <v>-2793.7853110000001</v>
      </c>
      <c r="AQ89" s="60">
        <f>SUMIFS(Payroll!AD:AD,Payroll!$C:$C,"Freelancer",Payroll!$D:$D,"Romania")</f>
        <v>-2793.7853110000001</v>
      </c>
      <c r="AR89" s="60">
        <f>SUMIFS(Payroll!AE:AE,Payroll!$C:$C,"Freelancer",Payroll!$D:$D,"Romania")</f>
        <v>-2793.7853110000001</v>
      </c>
      <c r="AS89" s="60">
        <f>SUMIFS(Payroll!AF:AF,Payroll!$C:$C,"Freelancer",Payroll!$D:$D,"Romania")</f>
        <v>-2793.7853110000001</v>
      </c>
      <c r="AT89" s="60"/>
      <c r="AU89" s="61">
        <f t="shared" ref="AU89:AU96" si="134">SUM(AH89:AS89)</f>
        <v>-33525.423732000003</v>
      </c>
    </row>
    <row r="90" spans="2:47" outlineLevel="1">
      <c r="B90" s="51" t="s">
        <v>146</v>
      </c>
      <c r="D90" s="59">
        <v>0</v>
      </c>
      <c r="E90" s="59">
        <v>0</v>
      </c>
      <c r="F90" s="59">
        <v>0</v>
      </c>
      <c r="G90" s="59">
        <v>0</v>
      </c>
      <c r="H90" s="59">
        <v>0</v>
      </c>
      <c r="I90" s="59">
        <v>0</v>
      </c>
      <c r="J90" s="59">
        <v>0</v>
      </c>
      <c r="K90" s="59">
        <v>0</v>
      </c>
      <c r="L90" s="59"/>
      <c r="M90" s="60"/>
      <c r="N90" s="60"/>
      <c r="O90" s="60"/>
      <c r="P90" s="60"/>
      <c r="Q90" s="61">
        <f t="shared" si="132"/>
        <v>0</v>
      </c>
      <c r="R90" s="61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1">
        <f t="shared" si="133"/>
        <v>0</v>
      </c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1">
        <f t="shared" si="134"/>
        <v>0</v>
      </c>
    </row>
    <row r="91" spans="2:47" outlineLevel="1">
      <c r="B91" s="51" t="s">
        <v>147</v>
      </c>
      <c r="D91" s="59">
        <v>-83.08</v>
      </c>
      <c r="E91" s="59">
        <v>-120.16</v>
      </c>
      <c r="F91" s="59">
        <v>-101.23</v>
      </c>
      <c r="G91" s="59">
        <v>-100.98</v>
      </c>
      <c r="H91" s="59">
        <v>-102.41</v>
      </c>
      <c r="I91" s="59">
        <v>-101.39</v>
      </c>
      <c r="J91" s="59">
        <v>-100.14</v>
      </c>
      <c r="K91" s="59">
        <v>-558.39</v>
      </c>
      <c r="L91" s="59"/>
      <c r="M91" s="60">
        <v>-200</v>
      </c>
      <c r="N91" s="60">
        <v>-200</v>
      </c>
      <c r="O91" s="60">
        <v>-200</v>
      </c>
      <c r="P91" s="60"/>
      <c r="Q91" s="61">
        <f t="shared" si="132"/>
        <v>-1867.78</v>
      </c>
      <c r="R91" s="61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1">
        <f t="shared" si="133"/>
        <v>0</v>
      </c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1">
        <f t="shared" si="134"/>
        <v>0</v>
      </c>
    </row>
    <row r="92" spans="2:47" outlineLevel="1">
      <c r="B92" s="51" t="s">
        <v>148</v>
      </c>
      <c r="D92" s="59">
        <v>0</v>
      </c>
      <c r="E92" s="59">
        <v>0</v>
      </c>
      <c r="F92" s="59">
        <v>0</v>
      </c>
      <c r="G92" s="59">
        <v>0</v>
      </c>
      <c r="H92" s="59">
        <v>0</v>
      </c>
      <c r="I92" s="59">
        <v>0</v>
      </c>
      <c r="J92" s="59"/>
      <c r="K92" s="59"/>
      <c r="L92" s="59"/>
      <c r="M92" s="60"/>
      <c r="N92" s="60"/>
      <c r="O92" s="60"/>
      <c r="P92" s="60"/>
      <c r="Q92" s="61">
        <f t="shared" si="132"/>
        <v>0</v>
      </c>
      <c r="R92" s="61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1">
        <f t="shared" si="133"/>
        <v>0</v>
      </c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1">
        <f t="shared" si="134"/>
        <v>0</v>
      </c>
    </row>
    <row r="93" spans="2:47" outlineLevel="1">
      <c r="B93" s="51" t="s">
        <v>149</v>
      </c>
      <c r="D93" s="59">
        <v>0</v>
      </c>
      <c r="E93" s="59">
        <v>0</v>
      </c>
      <c r="F93" s="59">
        <v>0</v>
      </c>
      <c r="G93" s="59">
        <v>0</v>
      </c>
      <c r="H93" s="59">
        <v>0</v>
      </c>
      <c r="I93" s="59">
        <v>0</v>
      </c>
      <c r="J93" s="59"/>
      <c r="K93" s="59"/>
      <c r="L93" s="59"/>
      <c r="M93" s="60"/>
      <c r="N93" s="60"/>
      <c r="O93" s="60"/>
      <c r="P93" s="60"/>
      <c r="Q93" s="61">
        <f t="shared" si="132"/>
        <v>0</v>
      </c>
      <c r="R93" s="61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1">
        <f t="shared" si="133"/>
        <v>0</v>
      </c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1">
        <f t="shared" si="134"/>
        <v>0</v>
      </c>
    </row>
    <row r="94" spans="2:47" outlineLevel="1">
      <c r="B94" s="51" t="s">
        <v>150</v>
      </c>
      <c r="D94" s="59">
        <v>0</v>
      </c>
      <c r="E94" s="59">
        <v>0</v>
      </c>
      <c r="F94" s="59">
        <v>0</v>
      </c>
      <c r="G94" s="59">
        <v>0</v>
      </c>
      <c r="H94" s="59">
        <v>0</v>
      </c>
      <c r="I94" s="59">
        <v>0</v>
      </c>
      <c r="J94" s="59"/>
      <c r="K94" s="59"/>
      <c r="L94" s="59"/>
      <c r="M94" s="60"/>
      <c r="N94" s="60"/>
      <c r="O94" s="60"/>
      <c r="P94" s="60"/>
      <c r="Q94" s="61">
        <f t="shared" si="132"/>
        <v>0</v>
      </c>
      <c r="R94" s="61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1">
        <f t="shared" si="133"/>
        <v>0</v>
      </c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1">
        <f t="shared" si="134"/>
        <v>0</v>
      </c>
    </row>
    <row r="95" spans="2:47" outlineLevel="1">
      <c r="B95" s="51" t="s">
        <v>151</v>
      </c>
      <c r="D95" s="59">
        <v>0</v>
      </c>
      <c r="E95" s="59">
        <v>0</v>
      </c>
      <c r="F95" s="59">
        <v>0</v>
      </c>
      <c r="G95" s="59">
        <v>0</v>
      </c>
      <c r="H95" s="59">
        <v>0</v>
      </c>
      <c r="I95" s="59">
        <v>0</v>
      </c>
      <c r="J95" s="59"/>
      <c r="K95" s="59">
        <v>-69.650000000000006</v>
      </c>
      <c r="L95" s="59"/>
      <c r="M95" s="60"/>
      <c r="N95" s="60"/>
      <c r="O95" s="60"/>
      <c r="P95" s="60"/>
      <c r="Q95" s="61">
        <f t="shared" si="132"/>
        <v>-69.650000000000006</v>
      </c>
      <c r="R95" s="61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1">
        <f t="shared" si="133"/>
        <v>0</v>
      </c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1">
        <f t="shared" si="134"/>
        <v>0</v>
      </c>
    </row>
    <row r="96" spans="2:47" outlineLevel="1">
      <c r="B96" s="51" t="s">
        <v>143</v>
      </c>
      <c r="D96" s="59">
        <v>0</v>
      </c>
      <c r="E96" s="59">
        <v>-35.65</v>
      </c>
      <c r="F96" s="59">
        <v>0</v>
      </c>
      <c r="G96" s="59">
        <v>-34.89</v>
      </c>
      <c r="H96" s="59">
        <v>0</v>
      </c>
      <c r="I96" s="59">
        <v>0</v>
      </c>
      <c r="J96" s="59"/>
      <c r="K96" s="59"/>
      <c r="L96" s="59"/>
      <c r="M96" s="60"/>
      <c r="N96" s="60"/>
      <c r="O96" s="60"/>
      <c r="P96" s="60"/>
      <c r="Q96" s="61">
        <f t="shared" si="132"/>
        <v>-70.539999999999992</v>
      </c>
      <c r="R96" s="61"/>
      <c r="S96" s="60">
        <f>SUMIF('OH Matrix'!$A$58:$A$70,"RO",'OH Matrix'!P59:P71)</f>
        <v>-4972.9644691015883</v>
      </c>
      <c r="T96" s="60">
        <f>SUMIF('OH Matrix'!$A$58:$A$70,"RO",'OH Matrix'!Q59:Q71)</f>
        <v>-8957.9013815287799</v>
      </c>
      <c r="U96" s="60">
        <f>SUMIF('OH Matrix'!$A$58:$A$70,"RO",'OH Matrix'!R59:R71)</f>
        <v>-11816.590194364133</v>
      </c>
      <c r="V96" s="60">
        <f>SUMIF('OH Matrix'!$A$58:$A$70,"RO",'OH Matrix'!S59:S71)</f>
        <v>-7478.8382899487615</v>
      </c>
      <c r="W96" s="60">
        <f>SUMIF('OH Matrix'!$A$58:$A$70,"RO",'OH Matrix'!T59:T71)</f>
        <v>-9089.1912298585103</v>
      </c>
      <c r="X96" s="60">
        <f>SUMIF('OH Matrix'!$A$58:$A$70,"RO",'OH Matrix'!U59:U71)</f>
        <v>-10348.589555715755</v>
      </c>
      <c r="Y96" s="60">
        <f>SUMIF('OH Matrix'!$A$58:$A$70,"RO",'OH Matrix'!V59:V71)</f>
        <v>-14985.657399328411</v>
      </c>
      <c r="Z96" s="60">
        <f>SUMIF('OH Matrix'!$A$58:$A$70,"RO",'OH Matrix'!W59:W71)</f>
        <v>-10174.859134476757</v>
      </c>
      <c r="AA96" s="60">
        <f>SUMIF('OH Matrix'!$A$58:$A$70,"RO",'OH Matrix'!X59:X71)</f>
        <v>-13427.604726455629</v>
      </c>
      <c r="AB96" s="60">
        <f>SUMIF('OH Matrix'!$A$58:$A$70,"RO",'OH Matrix'!Y59:Y71)</f>
        <v>-10198.159330418035</v>
      </c>
      <c r="AC96" s="60">
        <f>SUMIF('OH Matrix'!$A$58:$A$70,"RO",'OH Matrix'!Z59:Z71)</f>
        <v>-5161.9320789669882</v>
      </c>
      <c r="AD96" s="60">
        <f>SUMIF('OH Matrix'!$A$58:$A$70,"RO",'OH Matrix'!AA59:AA71)</f>
        <v>-6223.7331450316406</v>
      </c>
      <c r="AE96" s="60"/>
      <c r="AF96" s="61">
        <f t="shared" si="133"/>
        <v>-112836.020935195</v>
      </c>
      <c r="AH96" s="60">
        <f>SUMIF('OH Matrix'!$A$58:$A$70,"RO",'OH Matrix'!AD59:AD71)</f>
        <v>-4427.2709150129058</v>
      </c>
      <c r="AI96" s="60">
        <f>SUMIF('OH Matrix'!$A$58:$A$70,"RO",'OH Matrix'!AE59:AE71)</f>
        <v>-8199.0449680770307</v>
      </c>
      <c r="AJ96" s="60">
        <f>SUMIF('OH Matrix'!$A$58:$A$70,"RO",'OH Matrix'!AF59:AF71)</f>
        <v>-7982.7757018779039</v>
      </c>
      <c r="AK96" s="60">
        <f>SUMIF('OH Matrix'!$A$58:$A$70,"RO",'OH Matrix'!AG59:AG71)</f>
        <v>-5109.5138606570772</v>
      </c>
      <c r="AL96" s="60">
        <f>SUMIF('OH Matrix'!$A$58:$A$70,"RO",'OH Matrix'!AH59:AH71)</f>
        <v>-7536.687804233432</v>
      </c>
      <c r="AM96" s="60">
        <f>SUMIF('OH Matrix'!$A$58:$A$70,"RO",'OH Matrix'!AI59:AI71)</f>
        <v>-8975.6021958546335</v>
      </c>
      <c r="AN96" s="60">
        <f>SUMIF('OH Matrix'!$A$58:$A$70,"RO",'OH Matrix'!AJ59:AJ71)</f>
        <v>-12758.28214421906</v>
      </c>
      <c r="AO96" s="60">
        <f>SUMIF('OH Matrix'!$A$58:$A$70,"RO",'OH Matrix'!AK59:AK71)</f>
        <v>-7469.232074071524</v>
      </c>
      <c r="AP96" s="60">
        <f>SUMIF('OH Matrix'!$A$58:$A$70,"RO",'OH Matrix'!AL59:AL71)</f>
        <v>-10862.997011838621</v>
      </c>
      <c r="AQ96" s="60">
        <f>SUMIF('OH Matrix'!$A$58:$A$70,"RO",'OH Matrix'!AM59:AM71)</f>
        <v>-9049.3618121564032</v>
      </c>
      <c r="AR96" s="60">
        <f>SUMIF('OH Matrix'!$A$58:$A$70,"RO",'OH Matrix'!AN59:AN71)</f>
        <v>-3533.9317318060571</v>
      </c>
      <c r="AS96" s="60">
        <f>SUMIF('OH Matrix'!$A$58:$A$70,"RO",'OH Matrix'!AO59:AO71)</f>
        <v>-4207.3581863149257</v>
      </c>
      <c r="AT96" s="60"/>
      <c r="AU96" s="61">
        <f t="shared" si="134"/>
        <v>-90112.058406119599</v>
      </c>
    </row>
    <row r="97" spans="2:47" outlineLevel="1">
      <c r="D97" s="53"/>
      <c r="E97" s="53"/>
      <c r="F97" s="53"/>
      <c r="G97" s="53"/>
      <c r="H97" s="53"/>
      <c r="I97" s="53"/>
      <c r="J97" s="53"/>
      <c r="K97" s="53"/>
      <c r="L97" s="53"/>
    </row>
    <row r="98" spans="2:47">
      <c r="B98" s="65" t="s">
        <v>152</v>
      </c>
      <c r="C98" s="61"/>
      <c r="D98" s="64">
        <f t="shared" ref="D98:K98" si="135">SUM(D88:D97)</f>
        <v>-1671.4099999999999</v>
      </c>
      <c r="E98" s="64">
        <f t="shared" si="135"/>
        <v>-2799.32</v>
      </c>
      <c r="F98" s="64">
        <f t="shared" si="135"/>
        <v>-2338.7600000000002</v>
      </c>
      <c r="G98" s="64">
        <f t="shared" si="135"/>
        <v>-2472.5699999999997</v>
      </c>
      <c r="H98" s="64">
        <f t="shared" si="135"/>
        <v>-2478.35</v>
      </c>
      <c r="I98" s="64">
        <f t="shared" si="135"/>
        <v>-2513.7399999999998</v>
      </c>
      <c r="J98" s="64">
        <f t="shared" si="135"/>
        <v>-2502.33</v>
      </c>
      <c r="K98" s="64">
        <f t="shared" si="135"/>
        <v>-3059.99</v>
      </c>
      <c r="L98" s="64">
        <f>SUM(L88:L97)</f>
        <v>-2424</v>
      </c>
      <c r="M98" s="65">
        <f>SUM(M88:M97)</f>
        <v>-2928.8135593220341</v>
      </c>
      <c r="N98" s="65">
        <f>SUM(N88:N97)</f>
        <v>-2928.8135593220341</v>
      </c>
      <c r="O98" s="65">
        <f>SUM(O88:O97)</f>
        <v>-2928.8135593220341</v>
      </c>
      <c r="P98" s="61"/>
      <c r="Q98" s="65">
        <f>SUM(D98:O98)</f>
        <v>-31046.910677966109</v>
      </c>
      <c r="S98" s="84">
        <f>SUM(S88:S97)</f>
        <v>-7766.7497801015888</v>
      </c>
      <c r="T98" s="84">
        <f t="shared" ref="T98:Z98" si="136">SUM(T88:T97)</f>
        <v>-11751.68669252878</v>
      </c>
      <c r="U98" s="84">
        <f t="shared" si="136"/>
        <v>-14610.375505364133</v>
      </c>
      <c r="V98" s="84">
        <f t="shared" si="136"/>
        <v>-10272.623600948762</v>
      </c>
      <c r="W98" s="84">
        <f t="shared" si="136"/>
        <v>-11882.97654085851</v>
      </c>
      <c r="X98" s="84">
        <f t="shared" si="136"/>
        <v>-13142.374866715754</v>
      </c>
      <c r="Y98" s="84">
        <f t="shared" si="136"/>
        <v>-17779.442710328411</v>
      </c>
      <c r="Z98" s="84">
        <f t="shared" si="136"/>
        <v>-12968.644445476757</v>
      </c>
      <c r="AA98" s="65">
        <f>SUM(AA88:AA97)</f>
        <v>-16221.390037455629</v>
      </c>
      <c r="AB98" s="65">
        <f>SUM(AB88:AB97)</f>
        <v>-12991.944641418035</v>
      </c>
      <c r="AC98" s="65">
        <f>SUM(AC88:AC97)</f>
        <v>-7955.7173899669888</v>
      </c>
      <c r="AD98" s="65">
        <f>SUM(AD88:AD97)</f>
        <v>-9017.5184560316411</v>
      </c>
      <c r="AE98" s="61"/>
      <c r="AF98" s="65">
        <f>SUM(S98:AD98)</f>
        <v>-146361.44466719497</v>
      </c>
      <c r="AH98" s="84">
        <f>SUM(AH88:AH97)</f>
        <v>-7221.0562260129063</v>
      </c>
      <c r="AI98" s="84">
        <f t="shared" ref="AI98:AO98" si="137">SUM(AI88:AI97)</f>
        <v>-10992.83027907703</v>
      </c>
      <c r="AJ98" s="84">
        <f t="shared" si="137"/>
        <v>-10776.561012877904</v>
      </c>
      <c r="AK98" s="84">
        <f t="shared" si="137"/>
        <v>-7903.2991716570777</v>
      </c>
      <c r="AL98" s="84">
        <f t="shared" si="137"/>
        <v>-10330.473115233432</v>
      </c>
      <c r="AM98" s="84">
        <f t="shared" si="137"/>
        <v>-11769.387506854633</v>
      </c>
      <c r="AN98" s="84">
        <f t="shared" si="137"/>
        <v>-15552.067455219059</v>
      </c>
      <c r="AO98" s="84">
        <f t="shared" si="137"/>
        <v>-10263.017385071524</v>
      </c>
      <c r="AP98" s="65">
        <f>SUM(AP88:AP97)</f>
        <v>-13656.782322838621</v>
      </c>
      <c r="AQ98" s="65">
        <f>SUM(AQ88:AQ97)</f>
        <v>-11843.147123156403</v>
      </c>
      <c r="AR98" s="65">
        <f>SUM(AR88:AR97)</f>
        <v>-6327.7170428060572</v>
      </c>
      <c r="AS98" s="65">
        <f>SUM(AS88:AS97)</f>
        <v>-7001.1434973149262</v>
      </c>
      <c r="AT98" s="61"/>
      <c r="AU98" s="65">
        <f>SUM(AH98:AS98)</f>
        <v>-123637.48213811959</v>
      </c>
    </row>
    <row r="99" spans="2:47">
      <c r="D99" s="76"/>
      <c r="E99" s="76"/>
      <c r="F99" s="76"/>
      <c r="G99" s="76"/>
      <c r="H99" s="76"/>
      <c r="I99" s="76"/>
      <c r="J99" s="76"/>
      <c r="K99" s="76"/>
      <c r="L99" s="76"/>
      <c r="M99" s="77"/>
      <c r="N99" s="77"/>
      <c r="O99" s="77"/>
      <c r="Q99" s="91">
        <f ca="1">-Q98/Q12</f>
        <v>3.6205263570303015E-2</v>
      </c>
      <c r="S99" s="89"/>
      <c r="T99" s="89"/>
      <c r="U99" s="89"/>
      <c r="V99" s="89"/>
      <c r="W99" s="89"/>
      <c r="X99" s="77"/>
      <c r="Y99" s="77"/>
      <c r="Z99" s="77"/>
      <c r="AA99" s="77"/>
      <c r="AB99" s="77"/>
      <c r="AC99" s="77"/>
      <c r="AD99" s="77"/>
      <c r="AF99" s="91">
        <f ca="1">-AF98/AF12</f>
        <v>0.13697869811314259</v>
      </c>
      <c r="AH99" s="89"/>
      <c r="AI99" s="89"/>
      <c r="AJ99" s="89"/>
      <c r="AK99" s="89"/>
      <c r="AL99" s="89"/>
      <c r="AM99" s="77"/>
      <c r="AN99" s="77"/>
      <c r="AO99" s="77"/>
      <c r="AP99" s="77"/>
      <c r="AQ99" s="77"/>
      <c r="AR99" s="77"/>
      <c r="AS99" s="77"/>
      <c r="AU99" s="91">
        <f ca="1">-AU98/AU12</f>
        <v>0.10540806830591362</v>
      </c>
    </row>
    <row r="100" spans="2:47">
      <c r="B100" s="52" t="s">
        <v>153</v>
      </c>
      <c r="C100" s="52"/>
      <c r="D100" s="78">
        <f t="shared" ref="D100:K100" si="138">D77+D98</f>
        <v>-2339.3700000000008</v>
      </c>
      <c r="E100" s="78">
        <f t="shared" si="138"/>
        <v>31379.710000000006</v>
      </c>
      <c r="F100" s="78">
        <f t="shared" si="138"/>
        <v>-4465.8899999999976</v>
      </c>
      <c r="G100" s="78">
        <f t="shared" si="138"/>
        <v>2453.4900000000034</v>
      </c>
      <c r="H100" s="78">
        <f t="shared" si="138"/>
        <v>-700.12999999999511</v>
      </c>
      <c r="I100" s="78">
        <f t="shared" si="138"/>
        <v>12785.000000000005</v>
      </c>
      <c r="J100" s="78">
        <f t="shared" si="138"/>
        <v>20381.199999999997</v>
      </c>
      <c r="K100" s="78">
        <f t="shared" si="138"/>
        <v>-8001.0500000000011</v>
      </c>
      <c r="L100" s="78">
        <f ca="1">L77+L98</f>
        <v>32791</v>
      </c>
      <c r="M100" s="61">
        <f t="shared" ref="M100:AU100" ca="1" si="139">M77+M98</f>
        <v>56425.186440677964</v>
      </c>
      <c r="N100" s="61">
        <f t="shared" ca="1" si="139"/>
        <v>14954.186440677966</v>
      </c>
      <c r="O100" s="61">
        <f t="shared" ca="1" si="139"/>
        <v>14841.186440677966</v>
      </c>
      <c r="P100" s="61"/>
      <c r="Q100" s="79">
        <f t="shared" ca="1" si="139"/>
        <v>170504.51932203406</v>
      </c>
      <c r="S100" s="61">
        <f t="shared" ca="1" si="139"/>
        <v>15291.468878989272</v>
      </c>
      <c r="T100" s="61">
        <f t="shared" ca="1" si="139"/>
        <v>19520.964344871441</v>
      </c>
      <c r="U100" s="61">
        <f t="shared" ca="1" si="139"/>
        <v>-237.09488524212429</v>
      </c>
      <c r="V100" s="61">
        <f t="shared" ca="1" si="139"/>
        <v>7414.907759111913</v>
      </c>
      <c r="W100" s="61">
        <f t="shared" ca="1" si="139"/>
        <v>-849.46528640946963</v>
      </c>
      <c r="X100" s="61">
        <f t="shared" ca="1" si="139"/>
        <v>27862.21519899874</v>
      </c>
      <c r="Y100" s="61">
        <f t="shared" ca="1" si="139"/>
        <v>-3874.9221307292137</v>
      </c>
      <c r="Z100" s="61">
        <f t="shared" ca="1" si="139"/>
        <v>1527.7843758693689</v>
      </c>
      <c r="AA100" s="61">
        <f t="shared" ca="1" si="139"/>
        <v>45135.916307037493</v>
      </c>
      <c r="AB100" s="61">
        <f t="shared" ca="1" si="139"/>
        <v>33517.385555974521</v>
      </c>
      <c r="AC100" s="61">
        <f t="shared" ca="1" si="139"/>
        <v>4629.8706386843787</v>
      </c>
      <c r="AD100" s="61">
        <f t="shared" ca="1" si="139"/>
        <v>13585.145004742066</v>
      </c>
      <c r="AE100" s="61"/>
      <c r="AF100" s="79">
        <f t="shared" ca="1" si="139"/>
        <v>163524.17576189828</v>
      </c>
      <c r="AH100" s="61">
        <f t="shared" ca="1" si="139"/>
        <v>10938.985613931856</v>
      </c>
      <c r="AI100" s="61">
        <f t="shared" ca="1" si="139"/>
        <v>24783.661676492709</v>
      </c>
      <c r="AJ100" s="61">
        <f t="shared" ca="1" si="139"/>
        <v>3218.5311181832112</v>
      </c>
      <c r="AK100" s="61">
        <f t="shared" ca="1" si="139"/>
        <v>7402.425938548442</v>
      </c>
      <c r="AL100" s="61">
        <f t="shared" ca="1" si="139"/>
        <v>-1772.6473174273451</v>
      </c>
      <c r="AM100" s="61">
        <f t="shared" ca="1" si="139"/>
        <v>47193.686975938603</v>
      </c>
      <c r="AN100" s="61">
        <f t="shared" ca="1" si="139"/>
        <v>-5158.327476526285</v>
      </c>
      <c r="AO100" s="61">
        <f t="shared" ca="1" si="139"/>
        <v>1801.9988143874634</v>
      </c>
      <c r="AP100" s="61">
        <f t="shared" ca="1" si="139"/>
        <v>52365.495034538493</v>
      </c>
      <c r="AQ100" s="61">
        <f t="shared" ca="1" si="139"/>
        <v>35609.360825039112</v>
      </c>
      <c r="AR100" s="61">
        <f t="shared" ca="1" si="139"/>
        <v>3116.09387176156</v>
      </c>
      <c r="AS100" s="61">
        <f t="shared" ca="1" si="139"/>
        <v>12772.000740067309</v>
      </c>
      <c r="AT100" s="61"/>
      <c r="AU100" s="79">
        <f t="shared" ca="1" si="139"/>
        <v>192271.26581493515</v>
      </c>
    </row>
    <row r="101" spans="2:47">
      <c r="B101" s="72" t="s">
        <v>186</v>
      </c>
      <c r="C101" s="73"/>
      <c r="D101" s="97">
        <f>IFERROR(D100/D12,0)</f>
        <v>-8.9400203841498938E-2</v>
      </c>
      <c r="E101" s="97">
        <f t="shared" ref="E101:K101" si="140">IFERROR(E100/E12,0)</f>
        <v>0.38229853698187749</v>
      </c>
      <c r="F101" s="97">
        <f t="shared" si="140"/>
        <v>-7.7567219487116215E-2</v>
      </c>
      <c r="G101" s="97">
        <f t="shared" si="140"/>
        <v>8.1132640751734209E-2</v>
      </c>
      <c r="H101" s="97">
        <f t="shared" si="140"/>
        <v>-1.9868878400068877E-2</v>
      </c>
      <c r="I101" s="97">
        <f t="shared" si="140"/>
        <v>0.15594521462257485</v>
      </c>
      <c r="J101" s="97">
        <f t="shared" si="140"/>
        <v>0.24896647737940464</v>
      </c>
      <c r="K101" s="97">
        <f t="shared" si="140"/>
        <v>-0.39396378963124912</v>
      </c>
      <c r="L101" s="97">
        <f ca="1">IFERROR(L100/L12,0)</f>
        <v>0.20485796572685189</v>
      </c>
      <c r="M101" s="91">
        <f ca="1">IFERROR(M100/M12,0)</f>
        <v>0.33191286141575271</v>
      </c>
      <c r="N101" s="91">
        <f ca="1">IFERROR(N100/N12,0)</f>
        <v>0.25346078713013503</v>
      </c>
      <c r="O101" s="91">
        <f ca="1">IFERROR(O100/O12,0)</f>
        <v>0.28002238567316917</v>
      </c>
      <c r="P101" s="91"/>
      <c r="Q101" s="91">
        <f ca="1">IFERROR(Q100/Q12,0)</f>
        <v>0.19883334371052699</v>
      </c>
      <c r="S101" s="91">
        <f t="shared" ref="S101:AD101" ca="1" si="141">IFERROR(S100/S12,0)</f>
        <v>0.22907898801284543</v>
      </c>
      <c r="T101" s="91">
        <f t="shared" ca="1" si="141"/>
        <v>0.17550692988472411</v>
      </c>
      <c r="U101" s="91">
        <f t="shared" ca="1" si="141"/>
        <v>-3.0832739958387167E-3</v>
      </c>
      <c r="V101" s="91">
        <f t="shared" ca="1" si="141"/>
        <v>0.11105217280650198</v>
      </c>
      <c r="W101" s="91">
        <f t="shared" ca="1" si="141"/>
        <v>-1.4763284461842495E-2</v>
      </c>
      <c r="X101" s="91">
        <f t="shared" ca="1" si="141"/>
        <v>0.23212079867155952</v>
      </c>
      <c r="Y101" s="91">
        <f t="shared" ca="1" si="141"/>
        <v>-6.0162798555131236E-2</v>
      </c>
      <c r="Z101" s="91">
        <f t="shared" ca="1" si="141"/>
        <v>2.5470898166466298E-2</v>
      </c>
      <c r="AA101" s="91">
        <f t="shared" ca="1" si="141"/>
        <v>0.25342216949098034</v>
      </c>
      <c r="AB101" s="91">
        <f t="shared" ca="1" si="141"/>
        <v>0.23682410203756976</v>
      </c>
      <c r="AC101" s="91">
        <f t="shared" ca="1" si="141"/>
        <v>8.8833254958618282E-2</v>
      </c>
      <c r="AD101" s="91">
        <f t="shared" ca="1" si="141"/>
        <v>0.18574427667001295</v>
      </c>
      <c r="AE101" s="91"/>
      <c r="AF101" s="91">
        <f ca="1">IFERROR(AF100/AF12,0)</f>
        <v>0.15304118346756149</v>
      </c>
      <c r="AH101" s="91">
        <f t="shared" ref="AH101:AS101" ca="1" si="142">IFERROR(AH100/AH12,0)</f>
        <v>0.17237584074795773</v>
      </c>
      <c r="AI101" s="91">
        <f t="shared" ca="1" si="142"/>
        <v>0.17588315021610679</v>
      </c>
      <c r="AJ101" s="91">
        <f t="shared" ca="1" si="142"/>
        <v>4.2220824234898875E-2</v>
      </c>
      <c r="AK101" s="91">
        <f t="shared" ca="1" si="142"/>
        <v>0.10075376651652064</v>
      </c>
      <c r="AL101" s="91">
        <f t="shared" ca="1" si="142"/>
        <v>-3.115375689093652E-2</v>
      </c>
      <c r="AM101" s="91">
        <f t="shared" ca="1" si="142"/>
        <v>0.26168918688908011</v>
      </c>
      <c r="AN101" s="91">
        <f t="shared" ca="1" si="142"/>
        <v>-9.4962874801250888E-2</v>
      </c>
      <c r="AO101" s="91">
        <f t="shared" ca="1" si="142"/>
        <v>3.0514070968146838E-2</v>
      </c>
      <c r="AP101" s="91">
        <f t="shared" ca="1" si="142"/>
        <v>0.26073945964708617</v>
      </c>
      <c r="AQ101" s="91">
        <f t="shared" ca="1" si="142"/>
        <v>0.24901817363565276</v>
      </c>
      <c r="AR101" s="91">
        <f t="shared" ca="1" si="142"/>
        <v>6.2963201336050267E-2</v>
      </c>
      <c r="AS101" s="91">
        <f t="shared" ca="1" si="142"/>
        <v>0.17045423017604217</v>
      </c>
      <c r="AT101" s="91"/>
      <c r="AU101" s="91">
        <f ca="1">IFERROR(AU100/AU12,0)</f>
        <v>0.163922318457151</v>
      </c>
    </row>
  </sheetData>
  <sheetProtection sheet="1" objects="1" scenarios="1"/>
  <mergeCells count="2">
    <mergeCell ref="S2:AF2"/>
    <mergeCell ref="AH2:AU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26527-F218-4226-B197-B10B1C233B11}">
  <sheetPr codeName="Sheet14">
    <tabColor theme="4" tint="0.39997558519241921"/>
  </sheetPr>
  <dimension ref="A1:AW98"/>
  <sheetViews>
    <sheetView showGridLines="0" zoomScale="111" zoomScaleNormal="100" workbookViewId="0">
      <pane xSplit="2" ySplit="4" topLeftCell="T5" activePane="bottomRight" state="frozen"/>
      <selection pane="topRight"/>
      <selection pane="bottomLeft"/>
      <selection pane="bottomRight" activeCell="AG6" sqref="AG6"/>
    </sheetView>
  </sheetViews>
  <sheetFormatPr baseColWidth="10" defaultColWidth="8.5" defaultRowHeight="11" outlineLevelRow="2" outlineLevelCol="1"/>
  <cols>
    <col min="1" max="1" width="9.5" style="51" customWidth="1"/>
    <col min="2" max="2" width="22.5" style="51" bestFit="1" customWidth="1"/>
    <col min="3" max="3" width="5" style="51" customWidth="1"/>
    <col min="4" max="4" width="8.5" style="7" customWidth="1" outlineLevel="1"/>
    <col min="5" max="5" width="9.1640625" style="7" customWidth="1" outlineLevel="1"/>
    <col min="6" max="6" width="8.5" style="7" customWidth="1" outlineLevel="1"/>
    <col min="7" max="7" width="9.1640625" style="7" customWidth="1" outlineLevel="1"/>
    <col min="8" max="8" width="8.5" style="7" customWidth="1" outlineLevel="1"/>
    <col min="9" max="11" width="8.83203125" style="51" customWidth="1" outlineLevel="1"/>
    <col min="12" max="12" width="9.5" style="51" bestFit="1" customWidth="1"/>
    <col min="13" max="15" width="8.83203125" style="51" bestFit="1" customWidth="1"/>
    <col min="16" max="16" width="3.1640625" style="51" customWidth="1"/>
    <col min="17" max="17" width="9.5" style="52" bestFit="1" customWidth="1"/>
    <col min="18" max="18" width="11.1640625" style="51" bestFit="1" customWidth="1"/>
    <col min="19" max="19" width="9.5" style="7" bestFit="1" customWidth="1"/>
    <col min="20" max="22" width="8.83203125" style="7" bestFit="1" customWidth="1"/>
    <col min="23" max="23" width="9.5" style="7" bestFit="1" customWidth="1"/>
    <col min="24" max="30" width="8.83203125" style="51" bestFit="1" customWidth="1"/>
    <col min="31" max="31" width="3.1640625" style="51" customWidth="1"/>
    <col min="32" max="32" width="9.5" style="52" bestFit="1" customWidth="1"/>
    <col min="33" max="33" width="11" style="7" bestFit="1" customWidth="1"/>
    <col min="34" max="35" width="8.83203125" style="7" bestFit="1" customWidth="1"/>
    <col min="36" max="36" width="8.5" style="7"/>
    <col min="37" max="37" width="8.83203125" style="7" bestFit="1" customWidth="1"/>
    <col min="38" max="38" width="9.1640625" style="7" bestFit="1" customWidth="1"/>
    <col min="39" max="45" width="8.83203125" style="51" bestFit="1" customWidth="1"/>
    <col min="46" max="46" width="3.1640625" style="51" customWidth="1"/>
    <col min="47" max="47" width="9.5" style="52" bestFit="1" customWidth="1"/>
    <col min="48" max="48" width="8.5" style="7"/>
    <col min="49" max="49" width="12.5" style="7" bestFit="1" customWidth="1"/>
    <col min="50" max="16384" width="8.5" style="7"/>
  </cols>
  <sheetData>
    <row r="1" spans="1:49" ht="16">
      <c r="B1" s="143" t="s">
        <v>203</v>
      </c>
      <c r="D1" s="399" t="s">
        <v>174</v>
      </c>
      <c r="E1" s="399"/>
      <c r="F1" s="399"/>
      <c r="G1" s="399"/>
      <c r="H1" s="399"/>
      <c r="I1" s="399"/>
      <c r="J1" s="399"/>
      <c r="K1" s="399"/>
      <c r="L1" s="399"/>
      <c r="M1" s="399"/>
      <c r="N1" s="399"/>
      <c r="O1" s="399"/>
      <c r="P1" s="399"/>
      <c r="Q1" s="399"/>
      <c r="S1" s="546" t="s">
        <v>75</v>
      </c>
      <c r="T1" s="546"/>
      <c r="U1" s="546"/>
      <c r="V1" s="546"/>
      <c r="W1" s="546"/>
      <c r="X1" s="546"/>
      <c r="Y1" s="546"/>
      <c r="Z1" s="546"/>
      <c r="AA1" s="546"/>
      <c r="AB1" s="546"/>
      <c r="AC1" s="546"/>
      <c r="AD1" s="546"/>
      <c r="AE1" s="546"/>
      <c r="AF1" s="546"/>
      <c r="AH1" s="546" t="s">
        <v>81</v>
      </c>
      <c r="AI1" s="546"/>
      <c r="AJ1" s="546"/>
      <c r="AK1" s="546"/>
      <c r="AL1" s="546"/>
      <c r="AM1" s="546"/>
      <c r="AN1" s="546"/>
      <c r="AO1" s="546"/>
      <c r="AP1" s="546"/>
      <c r="AQ1" s="546"/>
      <c r="AR1" s="546"/>
      <c r="AS1" s="546"/>
      <c r="AT1" s="546"/>
      <c r="AU1" s="546"/>
    </row>
    <row r="2" spans="1:49">
      <c r="B2" s="52"/>
      <c r="D2" s="54" t="s">
        <v>175</v>
      </c>
      <c r="E2" s="54" t="s">
        <v>175</v>
      </c>
      <c r="F2" s="54" t="s">
        <v>175</v>
      </c>
      <c r="G2" s="54" t="s">
        <v>176</v>
      </c>
      <c r="H2" s="54" t="s">
        <v>176</v>
      </c>
      <c r="I2" s="54" t="s">
        <v>176</v>
      </c>
      <c r="J2" s="54" t="s">
        <v>177</v>
      </c>
      <c r="K2" s="54" t="s">
        <v>177</v>
      </c>
      <c r="L2" s="54" t="s">
        <v>177</v>
      </c>
      <c r="M2" s="55" t="s">
        <v>178</v>
      </c>
      <c r="N2" s="55" t="s">
        <v>178</v>
      </c>
      <c r="O2" s="55" t="s">
        <v>178</v>
      </c>
      <c r="S2" s="80" t="s">
        <v>175</v>
      </c>
      <c r="T2" s="80" t="s">
        <v>175</v>
      </c>
      <c r="U2" s="80" t="s">
        <v>175</v>
      </c>
      <c r="V2" s="80" t="s">
        <v>176</v>
      </c>
      <c r="W2" s="80" t="s">
        <v>176</v>
      </c>
      <c r="X2" s="55" t="s">
        <v>176</v>
      </c>
      <c r="Y2" s="55" t="s">
        <v>177</v>
      </c>
      <c r="Z2" s="55" t="s">
        <v>177</v>
      </c>
      <c r="AA2" s="55" t="s">
        <v>177</v>
      </c>
      <c r="AB2" s="55" t="s">
        <v>178</v>
      </c>
      <c r="AC2" s="55" t="s">
        <v>178</v>
      </c>
      <c r="AD2" s="55" t="s">
        <v>178</v>
      </c>
      <c r="AH2" s="80" t="s">
        <v>175</v>
      </c>
      <c r="AI2" s="80" t="s">
        <v>175</v>
      </c>
      <c r="AJ2" s="80" t="s">
        <v>175</v>
      </c>
      <c r="AK2" s="80" t="s">
        <v>176</v>
      </c>
      <c r="AL2" s="80" t="s">
        <v>176</v>
      </c>
      <c r="AM2" s="55" t="s">
        <v>176</v>
      </c>
      <c r="AN2" s="55" t="s">
        <v>177</v>
      </c>
      <c r="AO2" s="55" t="s">
        <v>177</v>
      </c>
      <c r="AP2" s="55" t="s">
        <v>177</v>
      </c>
      <c r="AQ2" s="55" t="s">
        <v>178</v>
      </c>
      <c r="AR2" s="55" t="s">
        <v>178</v>
      </c>
      <c r="AS2" s="55" t="s">
        <v>178</v>
      </c>
    </row>
    <row r="3" spans="1:49">
      <c r="D3" s="56">
        <v>45716</v>
      </c>
      <c r="E3" s="56">
        <v>45747</v>
      </c>
      <c r="F3" s="56">
        <v>45777</v>
      </c>
      <c r="G3" s="56">
        <v>45808</v>
      </c>
      <c r="H3" s="56">
        <v>45838</v>
      </c>
      <c r="I3" s="56">
        <f t="shared" ref="I3:O3" si="0">EOMONTH(H3,1)</f>
        <v>45869</v>
      </c>
      <c r="J3" s="56">
        <f t="shared" si="0"/>
        <v>45900</v>
      </c>
      <c r="K3" s="56">
        <f t="shared" si="0"/>
        <v>45930</v>
      </c>
      <c r="L3" s="56">
        <f t="shared" si="0"/>
        <v>45961</v>
      </c>
      <c r="M3" s="57">
        <f t="shared" si="0"/>
        <v>45991</v>
      </c>
      <c r="N3" s="57">
        <f t="shared" si="0"/>
        <v>46022</v>
      </c>
      <c r="O3" s="57">
        <f t="shared" si="0"/>
        <v>46053</v>
      </c>
      <c r="P3" s="57"/>
      <c r="Q3" s="55" t="s">
        <v>174</v>
      </c>
      <c r="S3" s="81">
        <v>46081</v>
      </c>
      <c r="T3" s="81">
        <f>EOMONTH(S3,1)</f>
        <v>46112</v>
      </c>
      <c r="U3" s="81">
        <f>EOMONTH(T3,1)</f>
        <v>46142</v>
      </c>
      <c r="V3" s="81">
        <f>EOMONTH(U3,1)</f>
        <v>46173</v>
      </c>
      <c r="W3" s="81">
        <f>EOMONTH(V3,1)</f>
        <v>46203</v>
      </c>
      <c r="X3" s="57">
        <f t="shared" ref="X3:AD3" si="1">EOMONTH(W3,1)</f>
        <v>46234</v>
      </c>
      <c r="Y3" s="57">
        <f t="shared" si="1"/>
        <v>46265</v>
      </c>
      <c r="Z3" s="57">
        <f t="shared" si="1"/>
        <v>46295</v>
      </c>
      <c r="AA3" s="57">
        <f t="shared" si="1"/>
        <v>46326</v>
      </c>
      <c r="AB3" s="57">
        <f t="shared" si="1"/>
        <v>46356</v>
      </c>
      <c r="AC3" s="57">
        <f t="shared" si="1"/>
        <v>46387</v>
      </c>
      <c r="AD3" s="57">
        <f t="shared" si="1"/>
        <v>46418</v>
      </c>
      <c r="AE3" s="57"/>
      <c r="AF3" s="55" t="s">
        <v>75</v>
      </c>
      <c r="AH3" s="81">
        <v>46446</v>
      </c>
      <c r="AI3" s="81">
        <f>EOMONTH(AH3,1)</f>
        <v>46477</v>
      </c>
      <c r="AJ3" s="81">
        <f>EOMONTH(AI3,1)</f>
        <v>46507</v>
      </c>
      <c r="AK3" s="81">
        <f>EOMONTH(AJ3,1)</f>
        <v>46538</v>
      </c>
      <c r="AL3" s="81">
        <f>EOMONTH(AK3,1)</f>
        <v>46568</v>
      </c>
      <c r="AM3" s="57">
        <f t="shared" ref="AM3:AS3" si="2">EOMONTH(AL3,1)</f>
        <v>46599</v>
      </c>
      <c r="AN3" s="57">
        <f t="shared" si="2"/>
        <v>46630</v>
      </c>
      <c r="AO3" s="57">
        <f t="shared" si="2"/>
        <v>46660</v>
      </c>
      <c r="AP3" s="57">
        <f t="shared" si="2"/>
        <v>46691</v>
      </c>
      <c r="AQ3" s="57">
        <f t="shared" si="2"/>
        <v>46721</v>
      </c>
      <c r="AR3" s="57">
        <f t="shared" si="2"/>
        <v>46752</v>
      </c>
      <c r="AS3" s="57">
        <f t="shared" si="2"/>
        <v>46783</v>
      </c>
      <c r="AT3" s="57"/>
      <c r="AU3" s="55" t="s">
        <v>81</v>
      </c>
    </row>
    <row r="4" spans="1:49">
      <c r="B4" s="58" t="s">
        <v>82</v>
      </c>
      <c r="D4" s="46" t="s">
        <v>180</v>
      </c>
      <c r="E4" s="46" t="s">
        <v>180</v>
      </c>
      <c r="F4" s="46" t="s">
        <v>180</v>
      </c>
      <c r="G4" s="46" t="s">
        <v>180</v>
      </c>
      <c r="H4" s="46" t="s">
        <v>180</v>
      </c>
      <c r="I4" s="46" t="s">
        <v>180</v>
      </c>
      <c r="J4" s="46" t="s">
        <v>180</v>
      </c>
      <c r="K4" s="46" t="s">
        <v>180</v>
      </c>
      <c r="L4" s="46" t="s">
        <v>180</v>
      </c>
      <c r="M4" s="48" t="s">
        <v>42</v>
      </c>
      <c r="N4" s="48" t="s">
        <v>42</v>
      </c>
      <c r="O4" s="48" t="s">
        <v>42</v>
      </c>
      <c r="S4" s="82" t="s">
        <v>42</v>
      </c>
      <c r="T4" s="82" t="s">
        <v>42</v>
      </c>
      <c r="U4" s="82" t="s">
        <v>42</v>
      </c>
      <c r="V4" s="82" t="s">
        <v>42</v>
      </c>
      <c r="W4" s="82" t="s">
        <v>42</v>
      </c>
      <c r="X4" s="48" t="s">
        <v>42</v>
      </c>
      <c r="Y4" s="48" t="s">
        <v>42</v>
      </c>
      <c r="Z4" s="48" t="s">
        <v>42</v>
      </c>
      <c r="AA4" s="48" t="s">
        <v>42</v>
      </c>
      <c r="AB4" s="48" t="s">
        <v>42</v>
      </c>
      <c r="AC4" s="48" t="s">
        <v>42</v>
      </c>
      <c r="AD4" s="48" t="s">
        <v>42</v>
      </c>
      <c r="AH4" s="82" t="s">
        <v>42</v>
      </c>
      <c r="AI4" s="82" t="s">
        <v>42</v>
      </c>
      <c r="AJ4" s="82" t="s">
        <v>42</v>
      </c>
      <c r="AK4" s="82" t="s">
        <v>42</v>
      </c>
      <c r="AL4" s="82" t="s">
        <v>42</v>
      </c>
      <c r="AM4" s="48" t="s">
        <v>42</v>
      </c>
      <c r="AN4" s="48" t="s">
        <v>42</v>
      </c>
      <c r="AO4" s="48" t="s">
        <v>42</v>
      </c>
      <c r="AP4" s="48" t="s">
        <v>42</v>
      </c>
      <c r="AQ4" s="48" t="s">
        <v>42</v>
      </c>
      <c r="AR4" s="48" t="s">
        <v>42</v>
      </c>
      <c r="AS4" s="48" t="s">
        <v>42</v>
      </c>
    </row>
    <row r="5" spans="1:49">
      <c r="D5" s="53"/>
      <c r="E5" s="53"/>
      <c r="F5" s="53"/>
      <c r="G5" s="53"/>
      <c r="H5" s="53"/>
      <c r="I5" s="53"/>
      <c r="J5" s="53"/>
      <c r="K5" s="53"/>
      <c r="L5" s="53"/>
    </row>
    <row r="6" spans="1:49">
      <c r="B6" s="51" t="s">
        <v>83</v>
      </c>
      <c r="D6" s="59">
        <v>31225.15</v>
      </c>
      <c r="E6" s="59">
        <v>132529.54999999999</v>
      </c>
      <c r="F6" s="59">
        <v>115718.84</v>
      </c>
      <c r="G6" s="59">
        <v>44564.47</v>
      </c>
      <c r="H6" s="59">
        <v>46499.12</v>
      </c>
      <c r="I6" s="59">
        <v>158109.21</v>
      </c>
      <c r="J6" s="59">
        <v>174751.79</v>
      </c>
      <c r="K6" s="59">
        <v>45565.5</v>
      </c>
      <c r="L6" s="59">
        <v>368043</v>
      </c>
      <c r="M6" s="60">
        <v>301000</v>
      </c>
      <c r="N6" s="60">
        <v>85000</v>
      </c>
      <c r="O6" s="60">
        <v>65000</v>
      </c>
      <c r="P6" s="60"/>
      <c r="Q6" s="61">
        <f>SUM(D6:O6)</f>
        <v>1568006.63</v>
      </c>
      <c r="R6" s="62"/>
      <c r="S6" s="60">
        <f>CZ!Q$25</f>
        <v>83459.743936000013</v>
      </c>
      <c r="T6" s="60">
        <f>CZ!R$25</f>
        <v>187332.42007466665</v>
      </c>
      <c r="U6" s="60">
        <f>CZ!S$25</f>
        <v>164927.02460960002</v>
      </c>
      <c r="V6" s="60">
        <f>CZ!T$25</f>
        <v>76792.790240088885</v>
      </c>
      <c r="W6" s="60">
        <f>CZ!U$25</f>
        <v>72975.517434666661</v>
      </c>
      <c r="X6" s="60">
        <f>CZ!V$25</f>
        <v>302547.23100000003</v>
      </c>
      <c r="Y6" s="60">
        <f>CZ!W$25</f>
        <v>94723.61905915555</v>
      </c>
      <c r="Z6" s="60">
        <f>CZ!X$25</f>
        <v>95992.055214933323</v>
      </c>
      <c r="AA6" s="60">
        <f>CZ!Y$25</f>
        <v>391834.97866666666</v>
      </c>
      <c r="AB6" s="60">
        <f>CZ!Z$25</f>
        <v>393496.15556799999</v>
      </c>
      <c r="AC6" s="60">
        <f>CZ!AA$25</f>
        <v>105106.63287157334</v>
      </c>
      <c r="AD6" s="60">
        <f>CZ!AB$25</f>
        <v>104076.57816154312</v>
      </c>
      <c r="AE6" s="60"/>
      <c r="AF6" s="61">
        <f>SUM(S6:AD6)</f>
        <v>2073264.7468368942</v>
      </c>
      <c r="AG6" s="89">
        <f>AF6/Q6-1</f>
        <v>0.32222957937167296</v>
      </c>
      <c r="AH6" s="60">
        <f>CZ!AC$25</f>
        <v>102266.413169712</v>
      </c>
      <c r="AI6" s="60">
        <f>CZ!AD$25</f>
        <v>227123.3379662933</v>
      </c>
      <c r="AJ6" s="60">
        <f>CZ!AE$25</f>
        <v>191141.96522651199</v>
      </c>
      <c r="AK6" s="60">
        <f>CZ!AF$25</f>
        <v>118637.85068085688</v>
      </c>
      <c r="AL6" s="60">
        <f>CZ!AG$25</f>
        <v>98620.713371989332</v>
      </c>
      <c r="AM6" s="60">
        <f>CZ!AH$25</f>
        <v>312857.41129680001</v>
      </c>
      <c r="AN6" s="60">
        <f>CZ!AI$25</f>
        <v>172595.2574849209</v>
      </c>
      <c r="AO6" s="60">
        <f>CZ!AJ$25</f>
        <v>110836.90841115733</v>
      </c>
      <c r="AP6" s="60">
        <f>CZ!AK$25</f>
        <v>462533.89987555548</v>
      </c>
      <c r="AQ6" s="60">
        <f>CZ!AL$25</f>
        <v>456094.77502976003</v>
      </c>
      <c r="AR6" s="60">
        <f>CZ!AM$25</f>
        <v>129084.66314429016</v>
      </c>
      <c r="AS6" s="60">
        <f>CZ!AN$25</f>
        <v>128125.7635556086</v>
      </c>
      <c r="AT6" s="60"/>
      <c r="AU6" s="61">
        <f>SUM(AH6:AS6)</f>
        <v>2509918.9592134557</v>
      </c>
    </row>
    <row r="7" spans="1:49">
      <c r="B7" s="51" t="s">
        <v>84</v>
      </c>
      <c r="D7" s="59">
        <v>0</v>
      </c>
      <c r="E7" s="59">
        <v>32169.48</v>
      </c>
      <c r="F7" s="59">
        <v>-337.44</v>
      </c>
      <c r="G7" s="59">
        <v>0</v>
      </c>
      <c r="H7" s="59">
        <v>0</v>
      </c>
      <c r="I7" s="59">
        <v>0</v>
      </c>
      <c r="J7" s="59">
        <v>48349.8</v>
      </c>
      <c r="K7" s="59"/>
      <c r="L7" s="59">
        <v>14920</v>
      </c>
      <c r="M7" s="60"/>
      <c r="N7" s="60"/>
      <c r="O7" s="60"/>
      <c r="P7" s="60"/>
      <c r="Q7" s="61">
        <f>SUM(D7:O7)</f>
        <v>95101.84</v>
      </c>
      <c r="R7" s="62"/>
      <c r="S7" s="83">
        <f>SUMIF(B2B!$B$7:$B$111,"Czech",B2B!V7:V111)</f>
        <v>5000</v>
      </c>
      <c r="T7" s="83">
        <f>SUMIF(B2B!$B$7:$B$111,"Czech",B2B!W7:W111)</f>
        <v>15000</v>
      </c>
      <c r="U7" s="83">
        <f>SUMIF(B2B!$B$7:$B$111,"Czech",B2B!X7:X111)</f>
        <v>5000</v>
      </c>
      <c r="V7" s="83">
        <f>SUMIF(B2B!$B$7:$B$111,"Czech",B2B!Y7:Y111)</f>
        <v>12314.682214808467</v>
      </c>
      <c r="W7" s="83">
        <f>SUMIF(B2B!$B$7:$B$111,"Czech",B2B!Z7:Z111)</f>
        <v>19744.749535755094</v>
      </c>
      <c r="X7" s="83">
        <f>SUMIF(B2B!$B$7:$B$111,"Czech",B2B!AA7:AA111)</f>
        <v>8767.0877610111565</v>
      </c>
      <c r="Y7" s="83">
        <f>SUMIF(B2B!$B$7:$B$111,"Czech",B2B!AB7:AB111)</f>
        <v>8797.7578594983297</v>
      </c>
      <c r="Z7" s="83">
        <f>SUMIF(B2B!$B$7:$B$111,"Czech",B2B!AC7:AC111)</f>
        <v>18655.344169551394</v>
      </c>
      <c r="AA7" s="83">
        <f>SUMIF(B2B!$B$7:$B$111,"Czech",B2B!AD7:AD111)</f>
        <v>9980.2968421621845</v>
      </c>
      <c r="AB7" s="83">
        <f>SUMIF(B2B!$B$7:$B$111,"Czech",B2B!AE7:AE111)</f>
        <v>17102.345797213111</v>
      </c>
      <c r="AC7" s="83">
        <f>SUMIF(B2B!$B$7:$B$111,"Czech",B2B!AF7:AF111)</f>
        <v>12636.766918545118</v>
      </c>
      <c r="AD7" s="83">
        <f>SUMIF(B2B!$B$7:$B$111,"Czech",B2B!AG7:AG111)</f>
        <v>11847.632855082953</v>
      </c>
      <c r="AE7" s="60"/>
      <c r="AF7" s="61">
        <f>SUM(S7:AD7)</f>
        <v>144846.66395362781</v>
      </c>
      <c r="AH7" s="83">
        <f>SUMIF(B2B!$B$7:$B$111,"Czech",B2B!AK7:AK111)</f>
        <v>5250</v>
      </c>
      <c r="AI7" s="83">
        <f>SUMIF(B2B!$B$7:$B$111,"Czech",B2B!AL7:AL111)</f>
        <v>15750</v>
      </c>
      <c r="AJ7" s="83">
        <f>SUMIF(B2B!$B$7:$B$111,"Czech",B2B!AM7:AM111)</f>
        <v>5250</v>
      </c>
      <c r="AK7" s="83">
        <f>SUMIF(B2B!$B$7:$B$111,"Czech",B2B!AN7:AN111)</f>
        <v>19230.416325548889</v>
      </c>
      <c r="AL7" s="83">
        <f>SUMIF(B2B!$B$7:$B$111,"Czech",B2B!AO7:AO111)</f>
        <v>29131.98701254285</v>
      </c>
      <c r="AM7" s="83">
        <f>SUMIF(B2B!$B$7:$B$111,"Czech",B2B!AP7:AP111)</f>
        <v>17605.442149061717</v>
      </c>
      <c r="AN7" s="83">
        <f>SUMIF(B2B!$B$7:$B$111,"Czech",B2B!AQ7:AQ111)</f>
        <v>15537.645752473247</v>
      </c>
      <c r="AO7" s="83">
        <f>SUMIF(B2B!$B$7:$B$111,"Czech",B2B!AR7:AR111)</f>
        <v>27988.111378028963</v>
      </c>
      <c r="AP7" s="83">
        <f>SUMIF(B2B!$B$7:$B$111,"Czech",B2B!AS7:AS111)</f>
        <v>18879.311684270295</v>
      </c>
      <c r="AQ7" s="83">
        <f>SUMIF(B2B!$B$7:$B$111,"Czech",B2B!AT7:AT111)</f>
        <v>24257.463087073767</v>
      </c>
      <c r="AR7" s="83">
        <f>SUMIF(B2B!$B$7:$B$111,"Czech",B2B!AU7:AU111)</f>
        <v>19568.605264472375</v>
      </c>
      <c r="AS7" s="83">
        <f>SUMIF(B2B!$B$7:$B$111,"Czech",B2B!AV7:AV111)</f>
        <v>20840.014497837099</v>
      </c>
      <c r="AT7" s="60"/>
      <c r="AU7" s="61">
        <f>SUM(AH7:AS7)</f>
        <v>219288.99715130919</v>
      </c>
    </row>
    <row r="8" spans="1:49">
      <c r="B8" s="51" t="s">
        <v>85</v>
      </c>
      <c r="D8" s="59"/>
      <c r="E8" s="59"/>
      <c r="F8" s="59"/>
      <c r="G8" s="59"/>
      <c r="H8" s="59"/>
      <c r="I8" s="59"/>
      <c r="J8" s="59"/>
      <c r="K8" s="59"/>
      <c r="L8" s="59">
        <f ca="1">SUMIF(Amazon!$A$25:$A$39,"Czech",Amazon!K25:K37)</f>
        <v>0</v>
      </c>
      <c r="M8" s="60"/>
      <c r="N8" s="60"/>
      <c r="O8" s="60"/>
      <c r="P8" s="60"/>
      <c r="Q8" s="61">
        <f ca="1">SUM(D8:O8)</f>
        <v>0</v>
      </c>
      <c r="R8" s="62"/>
      <c r="S8" s="60">
        <f ca="1">SUMIF(Amazon!$A$25:$A$39,"Czech",Amazon!Q25:Q37)</f>
        <v>0</v>
      </c>
      <c r="T8" s="60">
        <f ca="1">SUMIF(Amazon!$A$25:$A$39,"Czech",Amazon!R25:R37)</f>
        <v>0</v>
      </c>
      <c r="U8" s="60">
        <f ca="1">SUMIF(Amazon!$A$25:$A$39,"Czech",Amazon!S25:S37)</f>
        <v>0</v>
      </c>
      <c r="V8" s="60">
        <f ca="1">SUMIF(Amazon!$A$25:$A$39,"Czech",Amazon!T25:T37)</f>
        <v>0</v>
      </c>
      <c r="W8" s="60">
        <f ca="1">SUMIF(Amazon!$A$25:$A$39,"Czech",Amazon!U25:U37)</f>
        <v>0</v>
      </c>
      <c r="X8" s="60">
        <f ca="1">SUMIF(Amazon!$A$25:$A$39,"Czech",Amazon!V25:V37)</f>
        <v>0</v>
      </c>
      <c r="Y8" s="60">
        <f ca="1">SUMIF(Amazon!$A$25:$A$39,"Czech",Amazon!W25:W37)</f>
        <v>0</v>
      </c>
      <c r="Z8" s="60">
        <f ca="1">SUMIF(Amazon!$A$25:$A$39,"Czech",Amazon!X25:X37)</f>
        <v>0</v>
      </c>
      <c r="AA8" s="60">
        <f ca="1">SUMIF(Amazon!$A$25:$A$39,"Czech",Amazon!Y25:Y37)</f>
        <v>0</v>
      </c>
      <c r="AB8" s="60">
        <f ca="1">SUMIF(Amazon!$A$25:$A$39,"Czech",Amazon!Z25:Z37)</f>
        <v>0</v>
      </c>
      <c r="AC8" s="60">
        <f ca="1">SUMIF(Amazon!$A$25:$A$39,"Czech",Amazon!AA25:AA37)</f>
        <v>0</v>
      </c>
      <c r="AD8" s="60">
        <f ca="1">SUMIF(Amazon!$A$25:$A$39,"Czech",Amazon!AB25:AB37)</f>
        <v>0</v>
      </c>
      <c r="AE8" s="60"/>
      <c r="AF8" s="61">
        <f ca="1">SUM(S8:AD8)</f>
        <v>0</v>
      </c>
      <c r="AH8" s="60">
        <f ca="1">SUMIF(Amazon!$A$25:$A$39,"Czech",Amazon!AE25:AE37)</f>
        <v>0</v>
      </c>
      <c r="AI8" s="60">
        <f ca="1">SUMIF(Amazon!$A$25:$A$39,"Czech",Amazon!AF25:AF37)</f>
        <v>0</v>
      </c>
      <c r="AJ8" s="60">
        <f ca="1">SUMIF(Amazon!$A$25:$A$39,"Czech",Amazon!AG25:AG37)</f>
        <v>0</v>
      </c>
      <c r="AK8" s="60">
        <f ca="1">SUMIF(Amazon!$A$25:$A$39,"Czech",Amazon!AH25:AH37)</f>
        <v>0</v>
      </c>
      <c r="AL8" s="60">
        <f ca="1">SUMIF(Amazon!$A$25:$A$39,"Czech",Amazon!AI25:AI37)</f>
        <v>0</v>
      </c>
      <c r="AM8" s="60">
        <f ca="1">SUMIF(Amazon!$A$25:$A$39,"Czech",Amazon!AJ25:AJ37)</f>
        <v>0</v>
      </c>
      <c r="AN8" s="60">
        <f ca="1">SUMIF(Amazon!$A$25:$A$39,"Czech",Amazon!AK25:AK37)</f>
        <v>0</v>
      </c>
      <c r="AO8" s="60">
        <f ca="1">SUMIF(Amazon!$A$25:$A$39,"Czech",Amazon!AL25:AL37)</f>
        <v>0</v>
      </c>
      <c r="AP8" s="60">
        <f ca="1">SUMIF(Amazon!$A$25:$A$39,"Czech",Amazon!AM25:AM37)</f>
        <v>0</v>
      </c>
      <c r="AQ8" s="60">
        <f ca="1">SUMIF(Amazon!$A$25:$A$39,"Czech",Amazon!AN25:AN37)</f>
        <v>0</v>
      </c>
      <c r="AR8" s="60">
        <f ca="1">SUMIF(Amazon!$A$25:$A$39,"Czech",Amazon!AO25:AO37)</f>
        <v>0</v>
      </c>
      <c r="AS8" s="60">
        <f ca="1">SUMIF(Amazon!$A$25:$A$39,"Czech",Amazon!AP25:AP37)</f>
        <v>0</v>
      </c>
      <c r="AT8" s="60"/>
      <c r="AU8" s="61">
        <f ca="1">SUM(AH8:AS8)</f>
        <v>0</v>
      </c>
    </row>
    <row r="9" spans="1:49">
      <c r="B9" s="51" t="s">
        <v>86</v>
      </c>
      <c r="D9" s="59"/>
      <c r="E9" s="59"/>
      <c r="F9" s="59"/>
      <c r="G9" s="59"/>
      <c r="H9" s="59"/>
      <c r="I9" s="59"/>
      <c r="J9" s="59"/>
      <c r="K9" s="59"/>
      <c r="L9" s="59"/>
      <c r="M9" s="60"/>
      <c r="N9" s="60"/>
      <c r="O9" s="60"/>
      <c r="P9" s="60"/>
      <c r="Q9" s="61">
        <f>SUM(D9:O9)</f>
        <v>0</v>
      </c>
      <c r="R9" s="62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60"/>
      <c r="AF9" s="61">
        <f>SUM(S9:AD9)</f>
        <v>0</v>
      </c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60"/>
      <c r="AU9" s="61">
        <f>SUM(AH9:AS9)</f>
        <v>0</v>
      </c>
    </row>
    <row r="10" spans="1:49">
      <c r="D10" s="59"/>
      <c r="E10" s="59"/>
      <c r="F10" s="59"/>
      <c r="G10" s="59"/>
      <c r="H10" s="59"/>
      <c r="I10" s="59"/>
      <c r="J10" s="59"/>
      <c r="K10" s="59"/>
      <c r="L10" s="59"/>
      <c r="M10" s="60"/>
      <c r="N10" s="60"/>
      <c r="O10" s="60"/>
      <c r="P10" s="60"/>
      <c r="Q10" s="61"/>
      <c r="S10" s="83"/>
      <c r="T10" s="83"/>
      <c r="U10" s="83"/>
      <c r="V10" s="83"/>
      <c r="W10" s="83"/>
      <c r="X10" s="60"/>
      <c r="Y10" s="60"/>
      <c r="Z10" s="60"/>
      <c r="AA10" s="60"/>
      <c r="AB10" s="60"/>
      <c r="AC10" s="60"/>
      <c r="AD10" s="60"/>
      <c r="AE10" s="60"/>
      <c r="AF10" s="61"/>
      <c r="AH10" s="83"/>
      <c r="AI10" s="83"/>
      <c r="AJ10" s="83"/>
      <c r="AK10" s="83"/>
      <c r="AL10" s="83"/>
      <c r="AM10" s="60"/>
      <c r="AN10" s="60"/>
      <c r="AO10" s="60"/>
      <c r="AP10" s="60"/>
      <c r="AQ10" s="60"/>
      <c r="AR10" s="60"/>
      <c r="AS10" s="60"/>
      <c r="AT10" s="60"/>
      <c r="AU10" s="61"/>
    </row>
    <row r="11" spans="1:49" s="10" customFormat="1">
      <c r="A11" s="52"/>
      <c r="B11" s="63" t="s">
        <v>87</v>
      </c>
      <c r="C11" s="52"/>
      <c r="D11" s="64">
        <f t="shared" ref="D11:K11" si="3">SUM(D6:D10)</f>
        <v>31225.15</v>
      </c>
      <c r="E11" s="64">
        <f t="shared" si="3"/>
        <v>164699.03</v>
      </c>
      <c r="F11" s="64">
        <f t="shared" si="3"/>
        <v>115381.4</v>
      </c>
      <c r="G11" s="64">
        <f t="shared" si="3"/>
        <v>44564.47</v>
      </c>
      <c r="H11" s="64">
        <f t="shared" si="3"/>
        <v>46499.12</v>
      </c>
      <c r="I11" s="64">
        <f t="shared" si="3"/>
        <v>158109.21</v>
      </c>
      <c r="J11" s="64">
        <f t="shared" si="3"/>
        <v>223101.59000000003</v>
      </c>
      <c r="K11" s="64">
        <f t="shared" si="3"/>
        <v>45565.5</v>
      </c>
      <c r="L11" s="64">
        <f t="shared" ref="L11:O11" ca="1" si="4">SUM(L6:L10)</f>
        <v>382963</v>
      </c>
      <c r="M11" s="65">
        <f t="shared" si="4"/>
        <v>301000</v>
      </c>
      <c r="N11" s="65">
        <f t="shared" si="4"/>
        <v>85000</v>
      </c>
      <c r="O11" s="65">
        <f t="shared" si="4"/>
        <v>65000</v>
      </c>
      <c r="P11" s="61"/>
      <c r="Q11" s="65">
        <f ca="1">SUM(D11:O11)</f>
        <v>1663108.47</v>
      </c>
      <c r="R11" s="52"/>
      <c r="S11" s="84">
        <f ca="1">SUM(S6:S10)</f>
        <v>88459.743936000013</v>
      </c>
      <c r="T11" s="84">
        <f t="shared" ref="T11:AD11" ca="1" si="5">SUM(T6:T10)</f>
        <v>202332.42007466665</v>
      </c>
      <c r="U11" s="84">
        <f t="shared" ca="1" si="5"/>
        <v>169927.02460960002</v>
      </c>
      <c r="V11" s="84">
        <f t="shared" ca="1" si="5"/>
        <v>89107.472454897346</v>
      </c>
      <c r="W11" s="84">
        <f t="shared" ca="1" si="5"/>
        <v>92720.266970421755</v>
      </c>
      <c r="X11" s="65">
        <f t="shared" ca="1" si="5"/>
        <v>311314.31876101118</v>
      </c>
      <c r="Y11" s="65">
        <f t="shared" ca="1" si="5"/>
        <v>103521.37691865388</v>
      </c>
      <c r="Z11" s="65">
        <f t="shared" ca="1" si="5"/>
        <v>114647.39938448471</v>
      </c>
      <c r="AA11" s="65">
        <f t="shared" ca="1" si="5"/>
        <v>401815.27550882887</v>
      </c>
      <c r="AB11" s="65">
        <f t="shared" ca="1" si="5"/>
        <v>410598.50136521307</v>
      </c>
      <c r="AC11" s="65">
        <f t="shared" ca="1" si="5"/>
        <v>117743.39979011846</v>
      </c>
      <c r="AD11" s="65">
        <f t="shared" ca="1" si="5"/>
        <v>115924.21101662607</v>
      </c>
      <c r="AE11" s="61"/>
      <c r="AF11" s="65">
        <f ca="1">SUM(S11:AD11)</f>
        <v>2218111.4107905221</v>
      </c>
      <c r="AG11" s="89"/>
      <c r="AH11" s="84">
        <f ca="1">SUM(AH6:AH10)</f>
        <v>107516.413169712</v>
      </c>
      <c r="AI11" s="84">
        <f t="shared" ref="AI11:AS11" ca="1" si="6">SUM(AI6:AI10)</f>
        <v>242873.3379662933</v>
      </c>
      <c r="AJ11" s="84">
        <f t="shared" ca="1" si="6"/>
        <v>196391.96522651199</v>
      </c>
      <c r="AK11" s="84">
        <f t="shared" ca="1" si="6"/>
        <v>137868.26700640577</v>
      </c>
      <c r="AL11" s="84">
        <f t="shared" ca="1" si="6"/>
        <v>127752.70038453219</v>
      </c>
      <c r="AM11" s="65">
        <f t="shared" ca="1" si="6"/>
        <v>330462.85344586172</v>
      </c>
      <c r="AN11" s="65">
        <f t="shared" ca="1" si="6"/>
        <v>188132.90323739414</v>
      </c>
      <c r="AO11" s="65">
        <f t="shared" ca="1" si="6"/>
        <v>138825.01978918631</v>
      </c>
      <c r="AP11" s="65">
        <f t="shared" ca="1" si="6"/>
        <v>481413.21155982575</v>
      </c>
      <c r="AQ11" s="65">
        <f t="shared" ca="1" si="6"/>
        <v>480352.23811683379</v>
      </c>
      <c r="AR11" s="65">
        <f t="shared" ca="1" si="6"/>
        <v>148653.26840876252</v>
      </c>
      <c r="AS11" s="65">
        <f t="shared" ca="1" si="6"/>
        <v>148965.77805344571</v>
      </c>
      <c r="AT11" s="61"/>
      <c r="AU11" s="65">
        <f ca="1">SUM(AH11:AS11)</f>
        <v>2729207.9563647648</v>
      </c>
      <c r="AW11" s="140"/>
    </row>
    <row r="12" spans="1:49" outlineLevel="1">
      <c r="D12" s="59"/>
      <c r="E12" s="59"/>
      <c r="F12" s="59"/>
      <c r="G12" s="59"/>
      <c r="H12" s="59"/>
      <c r="I12" s="59"/>
      <c r="J12" s="59"/>
      <c r="K12" s="59"/>
      <c r="L12" s="59"/>
      <c r="M12" s="60"/>
      <c r="N12" s="60"/>
      <c r="O12" s="60"/>
      <c r="P12" s="60"/>
      <c r="Q12" s="61"/>
      <c r="R12" s="66"/>
      <c r="S12" s="83"/>
      <c r="T12" s="83"/>
      <c r="U12" s="83"/>
      <c r="V12" s="83"/>
      <c r="W12" s="83"/>
      <c r="X12" s="60"/>
      <c r="Y12" s="60"/>
      <c r="Z12" s="60"/>
      <c r="AA12" s="60"/>
      <c r="AB12" s="60"/>
      <c r="AC12" s="60"/>
      <c r="AD12" s="60"/>
      <c r="AE12" s="60"/>
      <c r="AF12" s="61"/>
      <c r="AH12" s="83"/>
      <c r="AI12" s="83"/>
      <c r="AJ12" s="83"/>
      <c r="AK12" s="83"/>
      <c r="AL12" s="83"/>
      <c r="AM12" s="60"/>
      <c r="AN12" s="60"/>
      <c r="AO12" s="60"/>
      <c r="AP12" s="60"/>
      <c r="AQ12" s="60"/>
      <c r="AR12" s="60"/>
      <c r="AS12" s="60"/>
      <c r="AT12" s="60"/>
      <c r="AU12" s="61"/>
    </row>
    <row r="13" spans="1:49" outlineLevel="1">
      <c r="B13" s="58" t="s">
        <v>88</v>
      </c>
      <c r="D13" s="59"/>
      <c r="E13" s="59"/>
      <c r="F13" s="59"/>
      <c r="G13" s="59"/>
      <c r="H13" s="59"/>
      <c r="I13" s="59"/>
      <c r="J13" s="59"/>
      <c r="K13" s="59"/>
      <c r="L13" s="59"/>
      <c r="M13" s="60"/>
      <c r="N13" s="60"/>
      <c r="O13" s="60"/>
      <c r="P13" s="60"/>
      <c r="Q13" s="61"/>
      <c r="S13" s="83"/>
      <c r="T13" s="83"/>
      <c r="U13" s="83"/>
      <c r="V13" s="83"/>
      <c r="W13" s="83"/>
      <c r="X13" s="60"/>
      <c r="Y13" s="60"/>
      <c r="Z13" s="60"/>
      <c r="AA13" s="60"/>
      <c r="AB13" s="60"/>
      <c r="AC13" s="60"/>
      <c r="AD13" s="60"/>
      <c r="AE13" s="60"/>
      <c r="AF13" s="61"/>
      <c r="AH13" s="83"/>
      <c r="AI13" s="83"/>
      <c r="AJ13" s="83"/>
      <c r="AK13" s="83"/>
      <c r="AL13" s="83"/>
      <c r="AM13" s="60"/>
      <c r="AN13" s="60"/>
      <c r="AO13" s="60"/>
      <c r="AP13" s="60"/>
      <c r="AQ13" s="60"/>
      <c r="AR13" s="60"/>
      <c r="AS13" s="60"/>
      <c r="AT13" s="60"/>
      <c r="AU13" s="61"/>
    </row>
    <row r="14" spans="1:49">
      <c r="D14" s="59"/>
      <c r="E14" s="59"/>
      <c r="F14" s="59"/>
      <c r="G14" s="59"/>
      <c r="H14" s="59"/>
      <c r="I14" s="59"/>
      <c r="J14" s="59"/>
      <c r="K14" s="59"/>
      <c r="L14" s="59"/>
      <c r="M14" s="60"/>
      <c r="N14" s="60"/>
      <c r="O14" s="60"/>
      <c r="P14" s="60"/>
      <c r="Q14" s="61"/>
      <c r="S14" s="83"/>
      <c r="T14" s="83"/>
      <c r="U14" s="83"/>
      <c r="V14" s="83"/>
      <c r="W14" s="83"/>
      <c r="X14" s="60"/>
      <c r="Y14" s="60"/>
      <c r="Z14" s="60"/>
      <c r="AA14" s="60"/>
      <c r="AB14" s="60"/>
      <c r="AC14" s="60"/>
      <c r="AD14" s="60"/>
      <c r="AE14" s="60"/>
      <c r="AF14" s="61"/>
      <c r="AH14" s="83"/>
      <c r="AI14" s="83"/>
      <c r="AJ14" s="83"/>
      <c r="AK14" s="83"/>
      <c r="AL14" s="83"/>
      <c r="AM14" s="60"/>
      <c r="AN14" s="60"/>
      <c r="AO14" s="60"/>
      <c r="AP14" s="60"/>
      <c r="AQ14" s="60"/>
      <c r="AR14" s="60"/>
      <c r="AS14" s="60"/>
      <c r="AT14" s="60"/>
      <c r="AU14" s="61"/>
    </row>
    <row r="15" spans="1:49" outlineLevel="1">
      <c r="B15" s="51" t="s">
        <v>89</v>
      </c>
      <c r="C15" s="75">
        <v>-0.24</v>
      </c>
      <c r="D15" s="59">
        <v>-7899.88</v>
      </c>
      <c r="E15" s="59">
        <v>-31185.43</v>
      </c>
      <c r="F15" s="59">
        <v>-26974.42</v>
      </c>
      <c r="G15" s="59">
        <v>-7150.36</v>
      </c>
      <c r="H15" s="59">
        <v>-8384.07</v>
      </c>
      <c r="I15" s="59">
        <v>-41072.400000000001</v>
      </c>
      <c r="J15" s="59">
        <v>-46830.27</v>
      </c>
      <c r="K15" s="59">
        <v>-7401.85</v>
      </c>
      <c r="L15" s="59">
        <v>-103157</v>
      </c>
      <c r="M15" s="60">
        <v>-81270</v>
      </c>
      <c r="N15" s="60">
        <v>-20400</v>
      </c>
      <c r="O15" s="60">
        <v>-14950</v>
      </c>
      <c r="P15" s="60"/>
      <c r="Q15" s="61">
        <f>SUM(D15:O15)</f>
        <v>-396675.68</v>
      </c>
      <c r="S15" s="60">
        <f t="shared" ref="S15:AD15" si="7">S6*$C$15</f>
        <v>-20030.338544640003</v>
      </c>
      <c r="T15" s="60">
        <f t="shared" si="7"/>
        <v>-44959.780817919993</v>
      </c>
      <c r="U15" s="60">
        <f t="shared" si="7"/>
        <v>-39582.485906304006</v>
      </c>
      <c r="V15" s="60">
        <f t="shared" si="7"/>
        <v>-18430.269657621331</v>
      </c>
      <c r="W15" s="60">
        <f t="shared" si="7"/>
        <v>-17514.124184319997</v>
      </c>
      <c r="X15" s="60">
        <f t="shared" si="7"/>
        <v>-72611.33544000001</v>
      </c>
      <c r="Y15" s="60">
        <f t="shared" si="7"/>
        <v>-22733.668574197331</v>
      </c>
      <c r="Z15" s="60">
        <f t="shared" si="7"/>
        <v>-23038.093251583996</v>
      </c>
      <c r="AA15" s="60">
        <f t="shared" si="7"/>
        <v>-94040.394879999993</v>
      </c>
      <c r="AB15" s="60">
        <f t="shared" si="7"/>
        <v>-94439.077336319999</v>
      </c>
      <c r="AC15" s="60">
        <f t="shared" si="7"/>
        <v>-25225.591889177602</v>
      </c>
      <c r="AD15" s="60">
        <f t="shared" si="7"/>
        <v>-24978.378758770348</v>
      </c>
      <c r="AE15" s="60"/>
      <c r="AF15" s="61">
        <f>SUM(S15:AD15)</f>
        <v>-497583.53924085462</v>
      </c>
      <c r="AH15" s="60">
        <f t="shared" ref="AH15:AS15" si="8">AH6*$C$15</f>
        <v>-24543.939160730879</v>
      </c>
      <c r="AI15" s="60">
        <f t="shared" si="8"/>
        <v>-54509.601111910393</v>
      </c>
      <c r="AJ15" s="60">
        <f t="shared" si="8"/>
        <v>-45874.071654362881</v>
      </c>
      <c r="AK15" s="60">
        <f t="shared" si="8"/>
        <v>-28473.084163405649</v>
      </c>
      <c r="AL15" s="60">
        <f t="shared" si="8"/>
        <v>-23668.971209277439</v>
      </c>
      <c r="AM15" s="60">
        <f t="shared" si="8"/>
        <v>-75085.778711231993</v>
      </c>
      <c r="AN15" s="60">
        <f t="shared" si="8"/>
        <v>-41422.861796381017</v>
      </c>
      <c r="AO15" s="60">
        <f t="shared" si="8"/>
        <v>-26600.858018677758</v>
      </c>
      <c r="AP15" s="60">
        <f t="shared" si="8"/>
        <v>-111008.13597013331</v>
      </c>
      <c r="AQ15" s="60">
        <f t="shared" si="8"/>
        <v>-109462.7460071424</v>
      </c>
      <c r="AR15" s="60">
        <f t="shared" si="8"/>
        <v>-30980.319154629637</v>
      </c>
      <c r="AS15" s="60">
        <f t="shared" si="8"/>
        <v>-30750.183253346062</v>
      </c>
      <c r="AT15" s="60"/>
      <c r="AU15" s="61">
        <f>SUM(AH15:AS15)</f>
        <v>-602380.55021122925</v>
      </c>
    </row>
    <row r="16" spans="1:49" outlineLevel="1">
      <c r="B16" s="51" t="s">
        <v>90</v>
      </c>
      <c r="C16" s="75">
        <f>-24%</f>
        <v>-0.24</v>
      </c>
      <c r="D16" s="59"/>
      <c r="E16" s="59"/>
      <c r="F16" s="59"/>
      <c r="G16" s="59"/>
      <c r="H16" s="59"/>
      <c r="I16" s="59"/>
      <c r="J16" s="59">
        <v>-18311.34</v>
      </c>
      <c r="K16" s="59"/>
      <c r="L16" s="59">
        <v>-5519</v>
      </c>
      <c r="M16" s="60">
        <f t="shared" ref="M16:O16" si="9">M7*$C$16</f>
        <v>0</v>
      </c>
      <c r="N16" s="60">
        <f t="shared" si="9"/>
        <v>0</v>
      </c>
      <c r="O16" s="60">
        <f t="shared" si="9"/>
        <v>0</v>
      </c>
      <c r="P16" s="60"/>
      <c r="Q16" s="61">
        <f>SUM(D16:O16)</f>
        <v>-23830.34</v>
      </c>
      <c r="S16" s="60">
        <f t="shared" ref="S16:AD16" si="10">S7*$C$16</f>
        <v>-1200</v>
      </c>
      <c r="T16" s="60">
        <f t="shared" si="10"/>
        <v>-3600</v>
      </c>
      <c r="U16" s="60">
        <f t="shared" si="10"/>
        <v>-1200</v>
      </c>
      <c r="V16" s="60">
        <f t="shared" si="10"/>
        <v>-2955.5237315540317</v>
      </c>
      <c r="W16" s="60">
        <f t="shared" si="10"/>
        <v>-4738.7398885812227</v>
      </c>
      <c r="X16" s="60">
        <f t="shared" si="10"/>
        <v>-2104.1010626426773</v>
      </c>
      <c r="Y16" s="60">
        <f t="shared" si="10"/>
        <v>-2111.4618862795992</v>
      </c>
      <c r="Z16" s="60">
        <f t="shared" si="10"/>
        <v>-4477.2826006923342</v>
      </c>
      <c r="AA16" s="60">
        <f t="shared" si="10"/>
        <v>-2395.271242118924</v>
      </c>
      <c r="AB16" s="60">
        <f t="shared" si="10"/>
        <v>-4104.5629913311468</v>
      </c>
      <c r="AC16" s="60">
        <f t="shared" si="10"/>
        <v>-3032.8240604508283</v>
      </c>
      <c r="AD16" s="60">
        <f t="shared" si="10"/>
        <v>-2843.4318852199085</v>
      </c>
      <c r="AE16" s="60"/>
      <c r="AF16" s="61">
        <f>SUM(S16:AD16)</f>
        <v>-34763.199348870672</v>
      </c>
      <c r="AH16" s="60">
        <f t="shared" ref="AH16:AS16" si="11">AH7*$C$16</f>
        <v>-1260</v>
      </c>
      <c r="AI16" s="60">
        <f t="shared" si="11"/>
        <v>-3780</v>
      </c>
      <c r="AJ16" s="60">
        <f t="shared" si="11"/>
        <v>-1260</v>
      </c>
      <c r="AK16" s="60">
        <f t="shared" si="11"/>
        <v>-4615.2999181317336</v>
      </c>
      <c r="AL16" s="60">
        <f t="shared" si="11"/>
        <v>-6991.6768830102837</v>
      </c>
      <c r="AM16" s="60">
        <f t="shared" si="11"/>
        <v>-4225.3061157748116</v>
      </c>
      <c r="AN16" s="60">
        <f t="shared" si="11"/>
        <v>-3729.0349805935789</v>
      </c>
      <c r="AO16" s="60">
        <f t="shared" si="11"/>
        <v>-6717.1467307269513</v>
      </c>
      <c r="AP16" s="60">
        <f t="shared" si="11"/>
        <v>-4531.0348042248706</v>
      </c>
      <c r="AQ16" s="60">
        <f t="shared" si="11"/>
        <v>-5821.7911408977043</v>
      </c>
      <c r="AR16" s="60">
        <f t="shared" si="11"/>
        <v>-4696.4652634733702</v>
      </c>
      <c r="AS16" s="60">
        <f t="shared" si="11"/>
        <v>-5001.6034794809038</v>
      </c>
      <c r="AT16" s="60"/>
      <c r="AU16" s="61">
        <f>SUM(AH16:AS16)</f>
        <v>-52629.359316314207</v>
      </c>
    </row>
    <row r="17" spans="1:47" outlineLevel="1">
      <c r="B17" s="51" t="s">
        <v>91</v>
      </c>
      <c r="C17" s="75">
        <v>-0.18</v>
      </c>
      <c r="D17" s="59"/>
      <c r="E17" s="59"/>
      <c r="F17" s="59"/>
      <c r="G17" s="59"/>
      <c r="H17" s="59"/>
      <c r="I17" s="59"/>
      <c r="J17" s="59"/>
      <c r="K17" s="59"/>
      <c r="L17" s="59">
        <f ca="1">L8*$C$17</f>
        <v>0</v>
      </c>
      <c r="M17" s="60">
        <f t="shared" ref="M17:O17" si="12">M8*$C$17</f>
        <v>0</v>
      </c>
      <c r="N17" s="60">
        <f t="shared" si="12"/>
        <v>0</v>
      </c>
      <c r="O17" s="60">
        <f t="shared" si="12"/>
        <v>0</v>
      </c>
      <c r="P17" s="60"/>
      <c r="Q17" s="61">
        <f ca="1">SUM(D17:O17)</f>
        <v>0</v>
      </c>
      <c r="S17" s="60">
        <f t="shared" ref="S17:AD17" ca="1" si="13">S8*$C$17</f>
        <v>0</v>
      </c>
      <c r="T17" s="60">
        <f t="shared" ca="1" si="13"/>
        <v>0</v>
      </c>
      <c r="U17" s="60">
        <f t="shared" ca="1" si="13"/>
        <v>0</v>
      </c>
      <c r="V17" s="60">
        <f t="shared" ca="1" si="13"/>
        <v>0</v>
      </c>
      <c r="W17" s="60">
        <f t="shared" ca="1" si="13"/>
        <v>0</v>
      </c>
      <c r="X17" s="60">
        <f t="shared" ca="1" si="13"/>
        <v>0</v>
      </c>
      <c r="Y17" s="60">
        <f t="shared" ca="1" si="13"/>
        <v>0</v>
      </c>
      <c r="Z17" s="60">
        <f t="shared" ca="1" si="13"/>
        <v>0</v>
      </c>
      <c r="AA17" s="60">
        <f t="shared" ca="1" si="13"/>
        <v>0</v>
      </c>
      <c r="AB17" s="60">
        <f t="shared" ca="1" si="13"/>
        <v>0</v>
      </c>
      <c r="AC17" s="60">
        <f t="shared" ca="1" si="13"/>
        <v>0</v>
      </c>
      <c r="AD17" s="60">
        <f t="shared" ca="1" si="13"/>
        <v>0</v>
      </c>
      <c r="AE17" s="60"/>
      <c r="AF17" s="61">
        <f ca="1">SUM(S17:AD17)</f>
        <v>0</v>
      </c>
      <c r="AH17" s="60">
        <f t="shared" ref="AH17:AS17" ca="1" si="14">AH8*$C$17</f>
        <v>0</v>
      </c>
      <c r="AI17" s="60">
        <f t="shared" ca="1" si="14"/>
        <v>0</v>
      </c>
      <c r="AJ17" s="60">
        <f t="shared" ca="1" si="14"/>
        <v>0</v>
      </c>
      <c r="AK17" s="60">
        <f t="shared" ca="1" si="14"/>
        <v>0</v>
      </c>
      <c r="AL17" s="60">
        <f t="shared" ca="1" si="14"/>
        <v>0</v>
      </c>
      <c r="AM17" s="60">
        <f t="shared" ca="1" si="14"/>
        <v>0</v>
      </c>
      <c r="AN17" s="60">
        <f t="shared" ca="1" si="14"/>
        <v>0</v>
      </c>
      <c r="AO17" s="60">
        <f t="shared" ca="1" si="14"/>
        <v>0</v>
      </c>
      <c r="AP17" s="60">
        <f t="shared" ca="1" si="14"/>
        <v>0</v>
      </c>
      <c r="AQ17" s="60">
        <f t="shared" ca="1" si="14"/>
        <v>0</v>
      </c>
      <c r="AR17" s="60">
        <f t="shared" ca="1" si="14"/>
        <v>0</v>
      </c>
      <c r="AS17" s="60">
        <f t="shared" ca="1" si="14"/>
        <v>0</v>
      </c>
      <c r="AT17" s="60"/>
      <c r="AU17" s="61">
        <f ca="1">SUM(AH17:AS17)</f>
        <v>0</v>
      </c>
    </row>
    <row r="18" spans="1:47" outlineLevel="1">
      <c r="B18" s="51" t="s">
        <v>92</v>
      </c>
      <c r="D18" s="59"/>
      <c r="E18" s="59"/>
      <c r="F18" s="59"/>
      <c r="G18" s="59"/>
      <c r="H18" s="59"/>
      <c r="I18" s="59"/>
      <c r="J18" s="59"/>
      <c r="K18" s="59"/>
      <c r="L18" s="59">
        <f>L9*$C$18</f>
        <v>0</v>
      </c>
      <c r="M18" s="60">
        <f t="shared" ref="M18:O18" si="15">M9*$C$18</f>
        <v>0</v>
      </c>
      <c r="N18" s="60">
        <f t="shared" si="15"/>
        <v>0</v>
      </c>
      <c r="O18" s="60">
        <f t="shared" si="15"/>
        <v>0</v>
      </c>
      <c r="P18" s="60"/>
      <c r="Q18" s="61">
        <f>SUM(D18:O18)</f>
        <v>0</v>
      </c>
      <c r="S18" s="60">
        <f t="shared" ref="S18:AD18" si="16">S9*$C$18</f>
        <v>0</v>
      </c>
      <c r="T18" s="60">
        <f t="shared" si="16"/>
        <v>0</v>
      </c>
      <c r="U18" s="60">
        <f t="shared" si="16"/>
        <v>0</v>
      </c>
      <c r="V18" s="60">
        <f t="shared" si="16"/>
        <v>0</v>
      </c>
      <c r="W18" s="60">
        <f t="shared" si="16"/>
        <v>0</v>
      </c>
      <c r="X18" s="60">
        <f t="shared" si="16"/>
        <v>0</v>
      </c>
      <c r="Y18" s="60">
        <f t="shared" si="16"/>
        <v>0</v>
      </c>
      <c r="Z18" s="60">
        <f t="shared" si="16"/>
        <v>0</v>
      </c>
      <c r="AA18" s="60">
        <f t="shared" si="16"/>
        <v>0</v>
      </c>
      <c r="AB18" s="60">
        <f t="shared" si="16"/>
        <v>0</v>
      </c>
      <c r="AC18" s="60">
        <f t="shared" si="16"/>
        <v>0</v>
      </c>
      <c r="AD18" s="60">
        <f t="shared" si="16"/>
        <v>0</v>
      </c>
      <c r="AE18" s="60"/>
      <c r="AF18" s="61">
        <f>SUM(S18:AD18)</f>
        <v>0</v>
      </c>
      <c r="AH18" s="60">
        <f t="shared" ref="AH18:AS18" si="17">AH9*$C$18</f>
        <v>0</v>
      </c>
      <c r="AI18" s="60">
        <f t="shared" si="17"/>
        <v>0</v>
      </c>
      <c r="AJ18" s="60">
        <f t="shared" si="17"/>
        <v>0</v>
      </c>
      <c r="AK18" s="60">
        <f t="shared" si="17"/>
        <v>0</v>
      </c>
      <c r="AL18" s="60">
        <f t="shared" si="17"/>
        <v>0</v>
      </c>
      <c r="AM18" s="60">
        <f t="shared" si="17"/>
        <v>0</v>
      </c>
      <c r="AN18" s="60">
        <f t="shared" si="17"/>
        <v>0</v>
      </c>
      <c r="AO18" s="60">
        <f t="shared" si="17"/>
        <v>0</v>
      </c>
      <c r="AP18" s="60">
        <f t="shared" si="17"/>
        <v>0</v>
      </c>
      <c r="AQ18" s="60">
        <f t="shared" si="17"/>
        <v>0</v>
      </c>
      <c r="AR18" s="60">
        <f t="shared" si="17"/>
        <v>0</v>
      </c>
      <c r="AS18" s="60">
        <f t="shared" si="17"/>
        <v>0</v>
      </c>
      <c r="AT18" s="60"/>
      <c r="AU18" s="61">
        <f>SUM(AH18:AS18)</f>
        <v>0</v>
      </c>
    </row>
    <row r="19" spans="1:47" outlineLevel="1">
      <c r="D19" s="59"/>
      <c r="E19" s="59"/>
      <c r="F19" s="59"/>
      <c r="G19" s="59"/>
      <c r="H19" s="59"/>
      <c r="I19" s="59"/>
      <c r="J19" s="59"/>
      <c r="K19" s="59"/>
      <c r="L19" s="59"/>
      <c r="M19" s="60"/>
      <c r="N19" s="60"/>
      <c r="O19" s="60"/>
      <c r="P19" s="60"/>
      <c r="Q19" s="61"/>
      <c r="S19" s="83"/>
      <c r="T19" s="83"/>
      <c r="U19" s="83"/>
      <c r="V19" s="83"/>
      <c r="W19" s="83"/>
      <c r="X19" s="60"/>
      <c r="Y19" s="60"/>
      <c r="Z19" s="60"/>
      <c r="AA19" s="60"/>
      <c r="AB19" s="60"/>
      <c r="AC19" s="60"/>
      <c r="AD19" s="60"/>
      <c r="AE19" s="60"/>
      <c r="AF19" s="61"/>
      <c r="AH19" s="83"/>
      <c r="AI19" s="83"/>
      <c r="AJ19" s="83"/>
      <c r="AK19" s="83"/>
      <c r="AL19" s="83"/>
      <c r="AM19" s="60"/>
      <c r="AN19" s="60"/>
      <c r="AO19" s="60"/>
      <c r="AP19" s="60"/>
      <c r="AQ19" s="60"/>
      <c r="AR19" s="60"/>
      <c r="AS19" s="60"/>
      <c r="AT19" s="60"/>
      <c r="AU19" s="61"/>
    </row>
    <row r="20" spans="1:47" s="10" customFormat="1">
      <c r="A20" s="52"/>
      <c r="B20" s="63" t="s">
        <v>93</v>
      </c>
      <c r="C20" s="52"/>
      <c r="D20" s="64">
        <f t="shared" ref="D20:K20" si="18">SUM(D15:D19)</f>
        <v>-7899.88</v>
      </c>
      <c r="E20" s="64">
        <f t="shared" si="18"/>
        <v>-31185.43</v>
      </c>
      <c r="F20" s="64">
        <f t="shared" si="18"/>
        <v>-26974.42</v>
      </c>
      <c r="G20" s="64">
        <f t="shared" si="18"/>
        <v>-7150.36</v>
      </c>
      <c r="H20" s="64">
        <f t="shared" si="18"/>
        <v>-8384.07</v>
      </c>
      <c r="I20" s="64">
        <f t="shared" si="18"/>
        <v>-41072.400000000001</v>
      </c>
      <c r="J20" s="64">
        <f t="shared" si="18"/>
        <v>-65141.61</v>
      </c>
      <c r="K20" s="64">
        <f t="shared" si="18"/>
        <v>-7401.85</v>
      </c>
      <c r="L20" s="64">
        <f t="shared" ref="L20:O20" ca="1" si="19">SUM(L15:L19)</f>
        <v>-108676</v>
      </c>
      <c r="M20" s="65">
        <f t="shared" si="19"/>
        <v>-81270</v>
      </c>
      <c r="N20" s="65">
        <f t="shared" si="19"/>
        <v>-20400</v>
      </c>
      <c r="O20" s="65">
        <f t="shared" si="19"/>
        <v>-14950</v>
      </c>
      <c r="P20" s="61"/>
      <c r="Q20" s="65">
        <f ca="1">SUM(D20:O20)</f>
        <v>-420506.02</v>
      </c>
      <c r="R20" s="52"/>
      <c r="S20" s="84">
        <f t="shared" ref="S20:AD20" ca="1" si="20">SUM(S15:S19)</f>
        <v>-21230.338544640003</v>
      </c>
      <c r="T20" s="84">
        <f t="shared" ca="1" si="20"/>
        <v>-48559.780817919993</v>
      </c>
      <c r="U20" s="84">
        <f t="shared" ca="1" si="20"/>
        <v>-40782.485906304006</v>
      </c>
      <c r="V20" s="84">
        <f t="shared" ca="1" si="20"/>
        <v>-21385.793389175364</v>
      </c>
      <c r="W20" s="84">
        <f t="shared" ca="1" si="20"/>
        <v>-22252.864072901219</v>
      </c>
      <c r="X20" s="65">
        <f t="shared" ca="1" si="20"/>
        <v>-74715.436502642682</v>
      </c>
      <c r="Y20" s="65">
        <f t="shared" ca="1" si="20"/>
        <v>-24845.130460476928</v>
      </c>
      <c r="Z20" s="65">
        <f t="shared" ca="1" si="20"/>
        <v>-27515.375852276331</v>
      </c>
      <c r="AA20" s="65">
        <f t="shared" ca="1" si="20"/>
        <v>-96435.666122118913</v>
      </c>
      <c r="AB20" s="65">
        <f t="shared" ca="1" si="20"/>
        <v>-98543.640327651141</v>
      </c>
      <c r="AC20" s="65">
        <f t="shared" ca="1" si="20"/>
        <v>-28258.41594962843</v>
      </c>
      <c r="AD20" s="65">
        <f t="shared" ca="1" si="20"/>
        <v>-27821.810643990255</v>
      </c>
      <c r="AE20" s="61"/>
      <c r="AF20" s="65">
        <f ca="1">SUM(S20:AD20)</f>
        <v>-532346.73858972534</v>
      </c>
      <c r="AG20" s="7"/>
      <c r="AH20" s="84">
        <f t="shared" ref="AH20:AS20" ca="1" si="21">SUM(AH15:AH19)</f>
        <v>-25803.939160730879</v>
      </c>
      <c r="AI20" s="84">
        <f t="shared" ca="1" si="21"/>
        <v>-58289.601111910393</v>
      </c>
      <c r="AJ20" s="84">
        <f t="shared" ca="1" si="21"/>
        <v>-47134.071654362881</v>
      </c>
      <c r="AK20" s="84">
        <f t="shared" ca="1" si="21"/>
        <v>-33088.384081537384</v>
      </c>
      <c r="AL20" s="84">
        <f t="shared" ca="1" si="21"/>
        <v>-30660.648092287724</v>
      </c>
      <c r="AM20" s="65">
        <f t="shared" ca="1" si="21"/>
        <v>-79311.084827006809</v>
      </c>
      <c r="AN20" s="65">
        <f t="shared" ca="1" si="21"/>
        <v>-45151.896776974594</v>
      </c>
      <c r="AO20" s="65">
        <f t="shared" ca="1" si="21"/>
        <v>-33318.00474940471</v>
      </c>
      <c r="AP20" s="65">
        <f t="shared" ca="1" si="21"/>
        <v>-115539.17077435818</v>
      </c>
      <c r="AQ20" s="65">
        <f t="shared" ca="1" si="21"/>
        <v>-115284.53714804011</v>
      </c>
      <c r="AR20" s="65">
        <f t="shared" ca="1" si="21"/>
        <v>-35676.784418103009</v>
      </c>
      <c r="AS20" s="65">
        <f t="shared" ca="1" si="21"/>
        <v>-35751.786732826964</v>
      </c>
      <c r="AT20" s="61"/>
      <c r="AU20" s="65">
        <f ca="1">SUM(AH20:AS20)</f>
        <v>-655009.9095275437</v>
      </c>
    </row>
    <row r="21" spans="1:47">
      <c r="D21" s="97">
        <f t="shared" ref="D21:K21" si="22">D20/D11</f>
        <v>-0.25299734348754127</v>
      </c>
      <c r="E21" s="97">
        <f t="shared" si="22"/>
        <v>-0.18934798826684043</v>
      </c>
      <c r="F21" s="97">
        <f t="shared" si="22"/>
        <v>-0.23378482147035831</v>
      </c>
      <c r="G21" s="97">
        <f t="shared" si="22"/>
        <v>-0.1604497932994603</v>
      </c>
      <c r="H21" s="97">
        <f t="shared" si="22"/>
        <v>-0.18030599288760732</v>
      </c>
      <c r="I21" s="97">
        <f t="shared" si="22"/>
        <v>-0.25977234343274502</v>
      </c>
      <c r="J21" s="97">
        <f t="shared" si="22"/>
        <v>-0.29198182765080244</v>
      </c>
      <c r="K21" s="97">
        <f t="shared" si="22"/>
        <v>-0.16244417377182299</v>
      </c>
      <c r="L21" s="97">
        <f t="shared" ref="L21:O21" ca="1" si="23">L20/L11</f>
        <v>-0.28377676172371741</v>
      </c>
      <c r="M21" s="91">
        <f t="shared" si="23"/>
        <v>-0.27</v>
      </c>
      <c r="N21" s="91">
        <f t="shared" si="23"/>
        <v>-0.24</v>
      </c>
      <c r="O21" s="91">
        <f t="shared" si="23"/>
        <v>-0.23</v>
      </c>
      <c r="P21" s="60"/>
      <c r="Q21" s="91">
        <f ca="1">Q20/Q11</f>
        <v>-0.2528434119513564</v>
      </c>
      <c r="S21" s="423">
        <f t="shared" ref="S21:AD21" ca="1" si="24">S20/S11</f>
        <v>-0.24</v>
      </c>
      <c r="T21" s="423">
        <f t="shared" ca="1" si="24"/>
        <v>-0.24</v>
      </c>
      <c r="U21" s="423">
        <f t="shared" ca="1" si="24"/>
        <v>-0.24000000000000002</v>
      </c>
      <c r="V21" s="423">
        <f t="shared" ca="1" si="24"/>
        <v>-0.24000000000000002</v>
      </c>
      <c r="W21" s="423">
        <f t="shared" ca="1" si="24"/>
        <v>-0.23999999999999996</v>
      </c>
      <c r="X21" s="423">
        <f t="shared" ca="1" si="24"/>
        <v>-0.24</v>
      </c>
      <c r="Y21" s="423">
        <f t="shared" ca="1" si="24"/>
        <v>-0.23999999999999996</v>
      </c>
      <c r="Z21" s="423">
        <f t="shared" ca="1" si="24"/>
        <v>-0.24</v>
      </c>
      <c r="AA21" s="423">
        <f t="shared" ca="1" si="24"/>
        <v>-0.23999999999999996</v>
      </c>
      <c r="AB21" s="91">
        <f t="shared" ca="1" si="24"/>
        <v>-0.24000000000000002</v>
      </c>
      <c r="AC21" s="91">
        <f t="shared" ca="1" si="24"/>
        <v>-0.24</v>
      </c>
      <c r="AD21" s="91">
        <f t="shared" ca="1" si="24"/>
        <v>-0.24</v>
      </c>
      <c r="AE21" s="60"/>
      <c r="AF21" s="91">
        <f ca="1">AF20/AF11</f>
        <v>-0.24000000000000002</v>
      </c>
      <c r="AH21" s="91">
        <f t="shared" ref="AH21:AS21" ca="1" si="25">AH20/AH11</f>
        <v>-0.24</v>
      </c>
      <c r="AI21" s="91">
        <f t="shared" ca="1" si="25"/>
        <v>-0.24</v>
      </c>
      <c r="AJ21" s="91">
        <f t="shared" ca="1" si="25"/>
        <v>-0.24000000000000002</v>
      </c>
      <c r="AK21" s="91">
        <f t="shared" ca="1" si="25"/>
        <v>-0.24</v>
      </c>
      <c r="AL21" s="91">
        <f t="shared" ca="1" si="25"/>
        <v>-0.24</v>
      </c>
      <c r="AM21" s="91">
        <f t="shared" ca="1" si="25"/>
        <v>-0.24</v>
      </c>
      <c r="AN21" s="91">
        <f t="shared" ca="1" si="25"/>
        <v>-0.24</v>
      </c>
      <c r="AO21" s="91">
        <f t="shared" ca="1" si="25"/>
        <v>-0.23999999999999996</v>
      </c>
      <c r="AP21" s="91">
        <f t="shared" ca="1" si="25"/>
        <v>-0.24</v>
      </c>
      <c r="AQ21" s="91">
        <f t="shared" ca="1" si="25"/>
        <v>-0.24</v>
      </c>
      <c r="AR21" s="91">
        <f t="shared" ca="1" si="25"/>
        <v>-0.24000000000000002</v>
      </c>
      <c r="AS21" s="91">
        <f t="shared" ca="1" si="25"/>
        <v>-0.23999999999999996</v>
      </c>
      <c r="AT21" s="60"/>
      <c r="AU21" s="91">
        <f ca="1">AU20/AU11</f>
        <v>-0.24000000000000005</v>
      </c>
    </row>
    <row r="22" spans="1:47" hidden="1" outlineLevel="1">
      <c r="B22" s="67" t="s">
        <v>94</v>
      </c>
      <c r="C22" s="52"/>
      <c r="D22" s="68">
        <f t="shared" ref="D22:K22" si="26">D6+D15</f>
        <v>23325.27</v>
      </c>
      <c r="E22" s="68">
        <f t="shared" si="26"/>
        <v>101344.12</v>
      </c>
      <c r="F22" s="68">
        <f t="shared" si="26"/>
        <v>88744.42</v>
      </c>
      <c r="G22" s="68">
        <f t="shared" si="26"/>
        <v>37414.11</v>
      </c>
      <c r="H22" s="68">
        <f t="shared" si="26"/>
        <v>38115.050000000003</v>
      </c>
      <c r="I22" s="68">
        <f t="shared" si="26"/>
        <v>117036.81</v>
      </c>
      <c r="J22" s="68">
        <f t="shared" si="26"/>
        <v>127921.52000000002</v>
      </c>
      <c r="K22" s="68">
        <f t="shared" si="26"/>
        <v>38163.65</v>
      </c>
      <c r="L22" s="68">
        <f t="shared" ref="L22:O25" si="27">L6+L15</f>
        <v>264886</v>
      </c>
      <c r="M22" s="69">
        <f t="shared" si="27"/>
        <v>219730</v>
      </c>
      <c r="N22" s="69">
        <f t="shared" si="27"/>
        <v>64600</v>
      </c>
      <c r="O22" s="69">
        <f t="shared" si="27"/>
        <v>50050</v>
      </c>
      <c r="P22" s="69"/>
      <c r="Q22" s="69">
        <f>Q6+Q15</f>
        <v>1171330.95</v>
      </c>
      <c r="S22" s="85">
        <f t="shared" ref="S22:AD25" si="28">S6+S15</f>
        <v>63429.405391360007</v>
      </c>
      <c r="T22" s="85">
        <f t="shared" si="28"/>
        <v>142372.63925674665</v>
      </c>
      <c r="U22" s="85">
        <f t="shared" si="28"/>
        <v>125344.53870329601</v>
      </c>
      <c r="V22" s="85">
        <f t="shared" si="28"/>
        <v>58362.52058246755</v>
      </c>
      <c r="W22" s="85">
        <f t="shared" si="28"/>
        <v>55461.393250346664</v>
      </c>
      <c r="X22" s="69">
        <f t="shared" si="28"/>
        <v>229935.89556000003</v>
      </c>
      <c r="Y22" s="69">
        <f t="shared" si="28"/>
        <v>71989.950484958215</v>
      </c>
      <c r="Z22" s="69">
        <f t="shared" si="28"/>
        <v>72953.961963349328</v>
      </c>
      <c r="AA22" s="69">
        <f t="shared" si="28"/>
        <v>297794.58378666668</v>
      </c>
      <c r="AB22" s="69">
        <f t="shared" si="28"/>
        <v>299057.07823167997</v>
      </c>
      <c r="AC22" s="69">
        <f t="shared" si="28"/>
        <v>79881.040982395731</v>
      </c>
      <c r="AD22" s="69">
        <f t="shared" si="28"/>
        <v>79098.199402772763</v>
      </c>
      <c r="AE22" s="69"/>
      <c r="AF22" s="69">
        <f>AF6+AF15</f>
        <v>1575681.2075960396</v>
      </c>
      <c r="AH22" s="85">
        <f t="shared" ref="AH22:AS25" si="29">AH6+AH15</f>
        <v>77722.474008981124</v>
      </c>
      <c r="AI22" s="85">
        <f t="shared" si="29"/>
        <v>172613.73685438291</v>
      </c>
      <c r="AJ22" s="85">
        <f t="shared" si="29"/>
        <v>145267.8935721491</v>
      </c>
      <c r="AK22" s="85">
        <f t="shared" si="29"/>
        <v>90164.766517451237</v>
      </c>
      <c r="AL22" s="85">
        <f t="shared" si="29"/>
        <v>74951.742162711889</v>
      </c>
      <c r="AM22" s="69">
        <f t="shared" si="29"/>
        <v>237771.632585568</v>
      </c>
      <c r="AN22" s="69">
        <f t="shared" si="29"/>
        <v>131172.39568853989</v>
      </c>
      <c r="AO22" s="69">
        <f t="shared" si="29"/>
        <v>84236.050392479578</v>
      </c>
      <c r="AP22" s="69">
        <f t="shared" si="29"/>
        <v>351525.76390542218</v>
      </c>
      <c r="AQ22" s="69">
        <f t="shared" si="29"/>
        <v>346632.02902261761</v>
      </c>
      <c r="AR22" s="69">
        <f t="shared" si="29"/>
        <v>98104.343989660527</v>
      </c>
      <c r="AS22" s="69">
        <f t="shared" si="29"/>
        <v>97375.580302262533</v>
      </c>
      <c r="AT22" s="69"/>
      <c r="AU22" s="69">
        <f>AU6+AU15</f>
        <v>1907538.4090022263</v>
      </c>
    </row>
    <row r="23" spans="1:47" hidden="1" outlineLevel="1">
      <c r="B23" s="67" t="s">
        <v>95</v>
      </c>
      <c r="C23" s="52"/>
      <c r="D23" s="68">
        <f t="shared" ref="D23:K23" si="30">D7+D16</f>
        <v>0</v>
      </c>
      <c r="E23" s="68">
        <f t="shared" si="30"/>
        <v>32169.48</v>
      </c>
      <c r="F23" s="68">
        <f t="shared" si="30"/>
        <v>-337.44</v>
      </c>
      <c r="G23" s="68">
        <f t="shared" si="30"/>
        <v>0</v>
      </c>
      <c r="H23" s="68">
        <f t="shared" si="30"/>
        <v>0</v>
      </c>
      <c r="I23" s="68">
        <f t="shared" si="30"/>
        <v>0</v>
      </c>
      <c r="J23" s="68">
        <f t="shared" si="30"/>
        <v>30038.460000000003</v>
      </c>
      <c r="K23" s="68">
        <f t="shared" si="30"/>
        <v>0</v>
      </c>
      <c r="L23" s="68">
        <f t="shared" si="27"/>
        <v>9401</v>
      </c>
      <c r="M23" s="69">
        <f t="shared" si="27"/>
        <v>0</v>
      </c>
      <c r="N23" s="69">
        <f t="shared" si="27"/>
        <v>0</v>
      </c>
      <c r="O23" s="69">
        <f t="shared" si="27"/>
        <v>0</v>
      </c>
      <c r="P23" s="69"/>
      <c r="Q23" s="69">
        <f>Q7+Q16</f>
        <v>71271.5</v>
      </c>
      <c r="S23" s="85">
        <f t="shared" si="28"/>
        <v>3800</v>
      </c>
      <c r="T23" s="85">
        <f t="shared" si="28"/>
        <v>11400</v>
      </c>
      <c r="U23" s="85">
        <f t="shared" si="28"/>
        <v>3800</v>
      </c>
      <c r="V23" s="85">
        <f t="shared" si="28"/>
        <v>9359.1584832544359</v>
      </c>
      <c r="W23" s="85">
        <f t="shared" si="28"/>
        <v>15006.009647173873</v>
      </c>
      <c r="X23" s="69">
        <f t="shared" si="28"/>
        <v>6662.9866983684788</v>
      </c>
      <c r="Y23" s="69">
        <f t="shared" si="28"/>
        <v>6686.2959732187301</v>
      </c>
      <c r="Z23" s="69">
        <f t="shared" si="28"/>
        <v>14178.061568859059</v>
      </c>
      <c r="AA23" s="69">
        <f t="shared" si="28"/>
        <v>7585.0256000432601</v>
      </c>
      <c r="AB23" s="69">
        <f t="shared" si="28"/>
        <v>12997.782805881965</v>
      </c>
      <c r="AC23" s="69">
        <f t="shared" si="28"/>
        <v>9603.9428580942895</v>
      </c>
      <c r="AD23" s="69">
        <f t="shared" si="28"/>
        <v>9004.2009698630445</v>
      </c>
      <c r="AE23" s="69"/>
      <c r="AF23" s="69">
        <f>AF7+AF16</f>
        <v>110083.46460475714</v>
      </c>
      <c r="AH23" s="85">
        <f t="shared" si="29"/>
        <v>3990</v>
      </c>
      <c r="AI23" s="85">
        <f t="shared" si="29"/>
        <v>11970</v>
      </c>
      <c r="AJ23" s="85">
        <f t="shared" si="29"/>
        <v>3990</v>
      </c>
      <c r="AK23" s="85">
        <f t="shared" si="29"/>
        <v>14615.116407417156</v>
      </c>
      <c r="AL23" s="85">
        <f t="shared" si="29"/>
        <v>22140.310129532565</v>
      </c>
      <c r="AM23" s="69">
        <f t="shared" si="29"/>
        <v>13380.136033286904</v>
      </c>
      <c r="AN23" s="69">
        <f t="shared" si="29"/>
        <v>11808.610771879668</v>
      </c>
      <c r="AO23" s="69">
        <f t="shared" si="29"/>
        <v>21270.964647302011</v>
      </c>
      <c r="AP23" s="69">
        <f t="shared" si="29"/>
        <v>14348.276880045425</v>
      </c>
      <c r="AQ23" s="69">
        <f t="shared" si="29"/>
        <v>18435.671946176062</v>
      </c>
      <c r="AR23" s="69">
        <f t="shared" si="29"/>
        <v>14872.140000999005</v>
      </c>
      <c r="AS23" s="69">
        <f t="shared" si="29"/>
        <v>15838.411018356195</v>
      </c>
      <c r="AT23" s="69"/>
      <c r="AU23" s="69">
        <f>AU7+AU16</f>
        <v>166659.637834995</v>
      </c>
    </row>
    <row r="24" spans="1:47" hidden="1" outlineLevel="1">
      <c r="B24" s="67" t="s">
        <v>96</v>
      </c>
      <c r="C24" s="52"/>
      <c r="D24" s="68">
        <f t="shared" ref="D24:K24" si="31">D8+D17</f>
        <v>0</v>
      </c>
      <c r="E24" s="68">
        <f t="shared" si="31"/>
        <v>0</v>
      </c>
      <c r="F24" s="68">
        <f t="shared" si="31"/>
        <v>0</v>
      </c>
      <c r="G24" s="68">
        <f t="shared" si="31"/>
        <v>0</v>
      </c>
      <c r="H24" s="68">
        <f t="shared" si="31"/>
        <v>0</v>
      </c>
      <c r="I24" s="68">
        <f t="shared" si="31"/>
        <v>0</v>
      </c>
      <c r="J24" s="68">
        <f t="shared" si="31"/>
        <v>0</v>
      </c>
      <c r="K24" s="68">
        <f t="shared" si="31"/>
        <v>0</v>
      </c>
      <c r="L24" s="68">
        <f t="shared" ca="1" si="27"/>
        <v>0</v>
      </c>
      <c r="M24" s="69">
        <f t="shared" si="27"/>
        <v>0</v>
      </c>
      <c r="N24" s="69">
        <f t="shared" si="27"/>
        <v>0</v>
      </c>
      <c r="O24" s="69">
        <f t="shared" si="27"/>
        <v>0</v>
      </c>
      <c r="P24" s="69"/>
      <c r="Q24" s="69">
        <f ca="1">Q8+Q17</f>
        <v>0</v>
      </c>
      <c r="S24" s="85">
        <f t="shared" ca="1" si="28"/>
        <v>0</v>
      </c>
      <c r="T24" s="85">
        <f t="shared" ca="1" si="28"/>
        <v>0</v>
      </c>
      <c r="U24" s="85">
        <f t="shared" ca="1" si="28"/>
        <v>0</v>
      </c>
      <c r="V24" s="85">
        <f t="shared" ca="1" si="28"/>
        <v>0</v>
      </c>
      <c r="W24" s="85">
        <f t="shared" ca="1" si="28"/>
        <v>0</v>
      </c>
      <c r="X24" s="69">
        <f t="shared" ca="1" si="28"/>
        <v>0</v>
      </c>
      <c r="Y24" s="69">
        <f t="shared" ca="1" si="28"/>
        <v>0</v>
      </c>
      <c r="Z24" s="69">
        <f t="shared" ca="1" si="28"/>
        <v>0</v>
      </c>
      <c r="AA24" s="69">
        <f t="shared" ca="1" si="28"/>
        <v>0</v>
      </c>
      <c r="AB24" s="69">
        <f t="shared" ca="1" si="28"/>
        <v>0</v>
      </c>
      <c r="AC24" s="69">
        <f t="shared" ca="1" si="28"/>
        <v>0</v>
      </c>
      <c r="AD24" s="69">
        <f t="shared" ca="1" si="28"/>
        <v>0</v>
      </c>
      <c r="AE24" s="69"/>
      <c r="AF24" s="69">
        <f ca="1">AF8+AF17</f>
        <v>0</v>
      </c>
      <c r="AH24" s="85">
        <f t="shared" ca="1" si="29"/>
        <v>0</v>
      </c>
      <c r="AI24" s="85">
        <f t="shared" ca="1" si="29"/>
        <v>0</v>
      </c>
      <c r="AJ24" s="85">
        <f t="shared" ca="1" si="29"/>
        <v>0</v>
      </c>
      <c r="AK24" s="85">
        <f t="shared" ca="1" si="29"/>
        <v>0</v>
      </c>
      <c r="AL24" s="85">
        <f t="shared" ca="1" si="29"/>
        <v>0</v>
      </c>
      <c r="AM24" s="69">
        <f t="shared" ca="1" si="29"/>
        <v>0</v>
      </c>
      <c r="AN24" s="69">
        <f t="shared" ca="1" si="29"/>
        <v>0</v>
      </c>
      <c r="AO24" s="69">
        <f t="shared" ca="1" si="29"/>
        <v>0</v>
      </c>
      <c r="AP24" s="69">
        <f t="shared" ca="1" si="29"/>
        <v>0</v>
      </c>
      <c r="AQ24" s="69">
        <f t="shared" ca="1" si="29"/>
        <v>0</v>
      </c>
      <c r="AR24" s="69">
        <f t="shared" ca="1" si="29"/>
        <v>0</v>
      </c>
      <c r="AS24" s="69">
        <f t="shared" ca="1" si="29"/>
        <v>0</v>
      </c>
      <c r="AT24" s="69"/>
      <c r="AU24" s="69">
        <f ca="1">AU8+AU17</f>
        <v>0</v>
      </c>
    </row>
    <row r="25" spans="1:47" hidden="1" outlineLevel="1">
      <c r="B25" s="67" t="s">
        <v>97</v>
      </c>
      <c r="C25" s="52"/>
      <c r="D25" s="68">
        <f t="shared" ref="D25:K25" si="32">D9+D18</f>
        <v>0</v>
      </c>
      <c r="E25" s="68">
        <f t="shared" si="32"/>
        <v>0</v>
      </c>
      <c r="F25" s="68">
        <f t="shared" si="32"/>
        <v>0</v>
      </c>
      <c r="G25" s="68">
        <f t="shared" si="32"/>
        <v>0</v>
      </c>
      <c r="H25" s="68">
        <f t="shared" si="32"/>
        <v>0</v>
      </c>
      <c r="I25" s="68">
        <f t="shared" si="32"/>
        <v>0</v>
      </c>
      <c r="J25" s="68">
        <f t="shared" si="32"/>
        <v>0</v>
      </c>
      <c r="K25" s="68">
        <f t="shared" si="32"/>
        <v>0</v>
      </c>
      <c r="L25" s="68">
        <f t="shared" si="27"/>
        <v>0</v>
      </c>
      <c r="M25" s="69">
        <f t="shared" si="27"/>
        <v>0</v>
      </c>
      <c r="N25" s="69">
        <f t="shared" si="27"/>
        <v>0</v>
      </c>
      <c r="O25" s="69">
        <f t="shared" si="27"/>
        <v>0</v>
      </c>
      <c r="P25" s="69"/>
      <c r="Q25" s="69">
        <f>Q9+Q18</f>
        <v>0</v>
      </c>
      <c r="S25" s="85">
        <f t="shared" si="28"/>
        <v>0</v>
      </c>
      <c r="T25" s="85">
        <f t="shared" si="28"/>
        <v>0</v>
      </c>
      <c r="U25" s="85">
        <f t="shared" si="28"/>
        <v>0</v>
      </c>
      <c r="V25" s="85">
        <f t="shared" si="28"/>
        <v>0</v>
      </c>
      <c r="W25" s="85">
        <f t="shared" si="28"/>
        <v>0</v>
      </c>
      <c r="X25" s="69">
        <f t="shared" si="28"/>
        <v>0</v>
      </c>
      <c r="Y25" s="69">
        <f t="shared" si="28"/>
        <v>0</v>
      </c>
      <c r="Z25" s="69">
        <f t="shared" si="28"/>
        <v>0</v>
      </c>
      <c r="AA25" s="69">
        <f t="shared" si="28"/>
        <v>0</v>
      </c>
      <c r="AB25" s="69">
        <f t="shared" si="28"/>
        <v>0</v>
      </c>
      <c r="AC25" s="69">
        <f t="shared" si="28"/>
        <v>0</v>
      </c>
      <c r="AD25" s="69">
        <f t="shared" si="28"/>
        <v>0</v>
      </c>
      <c r="AE25" s="69"/>
      <c r="AF25" s="69">
        <f>AF9+AF18</f>
        <v>0</v>
      </c>
      <c r="AH25" s="85">
        <f t="shared" si="29"/>
        <v>0</v>
      </c>
      <c r="AI25" s="85">
        <f t="shared" si="29"/>
        <v>0</v>
      </c>
      <c r="AJ25" s="85">
        <f t="shared" si="29"/>
        <v>0</v>
      </c>
      <c r="AK25" s="85">
        <f t="shared" si="29"/>
        <v>0</v>
      </c>
      <c r="AL25" s="85">
        <f t="shared" si="29"/>
        <v>0</v>
      </c>
      <c r="AM25" s="69">
        <f t="shared" si="29"/>
        <v>0</v>
      </c>
      <c r="AN25" s="69">
        <f t="shared" si="29"/>
        <v>0</v>
      </c>
      <c r="AO25" s="69">
        <f t="shared" si="29"/>
        <v>0</v>
      </c>
      <c r="AP25" s="69">
        <f t="shared" si="29"/>
        <v>0</v>
      </c>
      <c r="AQ25" s="69">
        <f t="shared" si="29"/>
        <v>0</v>
      </c>
      <c r="AR25" s="69">
        <f t="shared" si="29"/>
        <v>0</v>
      </c>
      <c r="AS25" s="69">
        <f t="shared" si="29"/>
        <v>0</v>
      </c>
      <c r="AT25" s="69"/>
      <c r="AU25" s="69">
        <f>AU9+AU18</f>
        <v>0</v>
      </c>
    </row>
    <row r="26" spans="1:47" collapsed="1">
      <c r="B26" s="67" t="s">
        <v>98</v>
      </c>
      <c r="C26" s="52"/>
      <c r="D26" s="68">
        <f t="shared" ref="D26:K26" si="33">D11+D20</f>
        <v>23325.27</v>
      </c>
      <c r="E26" s="68">
        <f t="shared" si="33"/>
        <v>133513.60000000001</v>
      </c>
      <c r="F26" s="68">
        <f t="shared" si="33"/>
        <v>88406.98</v>
      </c>
      <c r="G26" s="68">
        <f t="shared" si="33"/>
        <v>37414.11</v>
      </c>
      <c r="H26" s="68">
        <f t="shared" si="33"/>
        <v>38115.050000000003</v>
      </c>
      <c r="I26" s="68">
        <f t="shared" si="33"/>
        <v>117036.81</v>
      </c>
      <c r="J26" s="68">
        <f t="shared" si="33"/>
        <v>157959.98000000004</v>
      </c>
      <c r="K26" s="68">
        <f t="shared" si="33"/>
        <v>38163.65</v>
      </c>
      <c r="L26" s="68">
        <f t="shared" ref="L26:O26" ca="1" si="34">L11+L20</f>
        <v>274287</v>
      </c>
      <c r="M26" s="69">
        <f t="shared" si="34"/>
        <v>219730</v>
      </c>
      <c r="N26" s="69">
        <f t="shared" si="34"/>
        <v>64600</v>
      </c>
      <c r="O26" s="69">
        <f t="shared" si="34"/>
        <v>50050</v>
      </c>
      <c r="P26" s="69"/>
      <c r="Q26" s="69">
        <f ca="1">Q11+Q20</f>
        <v>1242602.45</v>
      </c>
      <c r="S26" s="85">
        <f t="shared" ref="S26:AD26" ca="1" si="35">S11+S20</f>
        <v>67229.405391360007</v>
      </c>
      <c r="T26" s="85">
        <f t="shared" ca="1" si="35"/>
        <v>153772.63925674665</v>
      </c>
      <c r="U26" s="85">
        <f t="shared" ca="1" si="35"/>
        <v>129144.53870329601</v>
      </c>
      <c r="V26" s="85">
        <f t="shared" ca="1" si="35"/>
        <v>67721.679065721983</v>
      </c>
      <c r="W26" s="85">
        <f t="shared" ca="1" si="35"/>
        <v>70467.402897520544</v>
      </c>
      <c r="X26" s="69">
        <f t="shared" ca="1" si="35"/>
        <v>236598.88225836848</v>
      </c>
      <c r="Y26" s="69">
        <f t="shared" ca="1" si="35"/>
        <v>78676.24645817696</v>
      </c>
      <c r="Z26" s="69">
        <f t="shared" ca="1" si="35"/>
        <v>87132.023532208375</v>
      </c>
      <c r="AA26" s="69">
        <f t="shared" ca="1" si="35"/>
        <v>305379.60938670998</v>
      </c>
      <c r="AB26" s="69">
        <f t="shared" ca="1" si="35"/>
        <v>312054.8610375619</v>
      </c>
      <c r="AC26" s="69">
        <f t="shared" ca="1" si="35"/>
        <v>89484.983840490037</v>
      </c>
      <c r="AD26" s="69">
        <f t="shared" ca="1" si="35"/>
        <v>88102.400372635806</v>
      </c>
      <c r="AE26" s="69"/>
      <c r="AF26" s="69">
        <f ca="1">AF11+AF20</f>
        <v>1685764.6722007967</v>
      </c>
      <c r="AH26" s="85">
        <f t="shared" ref="AH26:AS26" ca="1" si="36">AH11+AH20</f>
        <v>81712.474008981124</v>
      </c>
      <c r="AI26" s="85">
        <f t="shared" ca="1" si="36"/>
        <v>184583.73685438291</v>
      </c>
      <c r="AJ26" s="85">
        <f t="shared" ca="1" si="36"/>
        <v>149257.8935721491</v>
      </c>
      <c r="AK26" s="85">
        <f t="shared" ca="1" si="36"/>
        <v>104779.88292486839</v>
      </c>
      <c r="AL26" s="85">
        <f t="shared" ca="1" si="36"/>
        <v>97092.052292244465</v>
      </c>
      <c r="AM26" s="69">
        <f t="shared" ca="1" si="36"/>
        <v>251151.76861885493</v>
      </c>
      <c r="AN26" s="69">
        <f t="shared" ca="1" si="36"/>
        <v>142981.00646041956</v>
      </c>
      <c r="AO26" s="69">
        <f t="shared" ca="1" si="36"/>
        <v>105507.0150397816</v>
      </c>
      <c r="AP26" s="69">
        <f t="shared" ca="1" si="36"/>
        <v>365874.0407854676</v>
      </c>
      <c r="AQ26" s="69">
        <f t="shared" ca="1" si="36"/>
        <v>365067.70096879371</v>
      </c>
      <c r="AR26" s="69">
        <f t="shared" ca="1" si="36"/>
        <v>112976.48399065952</v>
      </c>
      <c r="AS26" s="69">
        <f t="shared" ca="1" si="36"/>
        <v>113213.99132061875</v>
      </c>
      <c r="AT26" s="69"/>
      <c r="AU26" s="69">
        <f ca="1">AU11+AU20</f>
        <v>2074198.0468372211</v>
      </c>
    </row>
    <row r="27" spans="1:47">
      <c r="B27" s="52"/>
      <c r="C27" s="52"/>
      <c r="D27" s="70"/>
      <c r="E27" s="70"/>
      <c r="F27" s="70"/>
      <c r="G27" s="70"/>
      <c r="H27" s="70"/>
      <c r="I27" s="70"/>
      <c r="J27" s="70"/>
      <c r="K27" s="70"/>
      <c r="L27" s="70"/>
      <c r="M27" s="52"/>
      <c r="N27" s="52"/>
      <c r="O27" s="52"/>
      <c r="P27" s="52"/>
      <c r="S27" s="10"/>
      <c r="T27" s="10"/>
      <c r="U27" s="10"/>
      <c r="V27" s="10"/>
      <c r="W27" s="10"/>
      <c r="X27" s="52"/>
      <c r="Y27" s="52"/>
      <c r="Z27" s="52"/>
      <c r="AA27" s="52"/>
      <c r="AB27" s="52"/>
      <c r="AC27" s="52"/>
      <c r="AD27" s="52"/>
      <c r="AE27" s="52"/>
      <c r="AH27" s="10"/>
      <c r="AI27" s="10"/>
      <c r="AJ27" s="10"/>
      <c r="AK27" s="10"/>
      <c r="AL27" s="10"/>
      <c r="AM27" s="52"/>
      <c r="AN27" s="52"/>
      <c r="AO27" s="52"/>
      <c r="AP27" s="52"/>
      <c r="AQ27" s="52"/>
      <c r="AR27" s="52"/>
      <c r="AS27" s="52"/>
      <c r="AT27" s="52"/>
    </row>
    <row r="28" spans="1:47" outlineLevel="1">
      <c r="B28" s="67" t="s">
        <v>99</v>
      </c>
      <c r="C28" s="52"/>
      <c r="D28" s="97">
        <f t="shared" ref="D28:K28" si="37">IFERROR(D22/D6,0)</f>
        <v>0.74700265651245867</v>
      </c>
      <c r="E28" s="97">
        <f t="shared" si="37"/>
        <v>0.7646907425551509</v>
      </c>
      <c r="F28" s="97">
        <f t="shared" si="37"/>
        <v>0.76689690287251411</v>
      </c>
      <c r="G28" s="97">
        <f t="shared" si="37"/>
        <v>0.8395502067005397</v>
      </c>
      <c r="H28" s="97">
        <f t="shared" si="37"/>
        <v>0.81969400711239271</v>
      </c>
      <c r="I28" s="97">
        <f t="shared" si="37"/>
        <v>0.74022765656725498</v>
      </c>
      <c r="J28" s="97">
        <f t="shared" si="37"/>
        <v>0.7320183673082834</v>
      </c>
      <c r="K28" s="97">
        <f t="shared" si="37"/>
        <v>0.83755582622817704</v>
      </c>
      <c r="L28" s="97">
        <f t="shared" ref="L28:O31" si="38">IFERROR(L22/L6,0)</f>
        <v>0.71971481593183406</v>
      </c>
      <c r="M28" s="91">
        <f t="shared" si="38"/>
        <v>0.73</v>
      </c>
      <c r="N28" s="91">
        <f t="shared" si="38"/>
        <v>0.76</v>
      </c>
      <c r="O28" s="91">
        <f t="shared" si="38"/>
        <v>0.77</v>
      </c>
      <c r="P28" s="91"/>
      <c r="Q28" s="91">
        <f>IFERROR(Q22/Q6,0)</f>
        <v>0.74701913090762895</v>
      </c>
      <c r="S28" s="423">
        <f t="shared" ref="S28:AD31" si="39">IFERROR(S22/S6,0)</f>
        <v>0.76</v>
      </c>
      <c r="T28" s="423">
        <f t="shared" si="39"/>
        <v>0.76</v>
      </c>
      <c r="U28" s="423">
        <f t="shared" si="39"/>
        <v>0.76</v>
      </c>
      <c r="V28" s="423">
        <f t="shared" si="39"/>
        <v>0.76</v>
      </c>
      <c r="W28" s="423">
        <f t="shared" si="39"/>
        <v>0.76</v>
      </c>
      <c r="X28" s="423">
        <f t="shared" si="39"/>
        <v>0.76</v>
      </c>
      <c r="Y28" s="423">
        <f t="shared" si="39"/>
        <v>0.76</v>
      </c>
      <c r="Z28" s="423">
        <f t="shared" si="39"/>
        <v>0.76</v>
      </c>
      <c r="AA28" s="423">
        <f t="shared" si="39"/>
        <v>0.76</v>
      </c>
      <c r="AB28" s="91">
        <f t="shared" si="39"/>
        <v>0.76</v>
      </c>
      <c r="AC28" s="91">
        <f t="shared" si="39"/>
        <v>0.7599999999999999</v>
      </c>
      <c r="AD28" s="91">
        <f t="shared" si="39"/>
        <v>0.7599999999999999</v>
      </c>
      <c r="AE28" s="91"/>
      <c r="AF28" s="91">
        <f>IFERROR(AF22/AF6,0)</f>
        <v>0.76</v>
      </c>
      <c r="AH28" s="91">
        <f t="shared" ref="AH28:AS31" si="40">IFERROR(AH22/AH6,0)</f>
        <v>0.76</v>
      </c>
      <c r="AI28" s="91">
        <f t="shared" si="40"/>
        <v>0.76</v>
      </c>
      <c r="AJ28" s="91">
        <f t="shared" si="40"/>
        <v>0.7599999999999999</v>
      </c>
      <c r="AK28" s="91">
        <f t="shared" si="40"/>
        <v>0.76000000000000012</v>
      </c>
      <c r="AL28" s="91">
        <f t="shared" si="40"/>
        <v>0.76</v>
      </c>
      <c r="AM28" s="91">
        <f t="shared" si="40"/>
        <v>0.76</v>
      </c>
      <c r="AN28" s="91">
        <f t="shared" si="40"/>
        <v>0.76</v>
      </c>
      <c r="AO28" s="91">
        <f t="shared" si="40"/>
        <v>0.76</v>
      </c>
      <c r="AP28" s="91">
        <f t="shared" si="40"/>
        <v>0.76</v>
      </c>
      <c r="AQ28" s="91">
        <f t="shared" si="40"/>
        <v>0.76</v>
      </c>
      <c r="AR28" s="91">
        <f t="shared" si="40"/>
        <v>0.76</v>
      </c>
      <c r="AS28" s="91">
        <f t="shared" si="40"/>
        <v>0.76</v>
      </c>
      <c r="AT28" s="91"/>
      <c r="AU28" s="91">
        <f>IFERROR(AU22/AU6,0)</f>
        <v>0.76</v>
      </c>
    </row>
    <row r="29" spans="1:47" outlineLevel="1">
      <c r="B29" s="67" t="s">
        <v>100</v>
      </c>
      <c r="C29" s="52"/>
      <c r="D29" s="97">
        <f t="shared" ref="D29:K29" si="41">IFERROR(D23/D7,0)</f>
        <v>0</v>
      </c>
      <c r="E29" s="97">
        <f t="shared" si="41"/>
        <v>1</v>
      </c>
      <c r="F29" s="97">
        <f t="shared" si="41"/>
        <v>1</v>
      </c>
      <c r="G29" s="97">
        <f t="shared" si="41"/>
        <v>0</v>
      </c>
      <c r="H29" s="97">
        <f t="shared" si="41"/>
        <v>0</v>
      </c>
      <c r="I29" s="97">
        <f t="shared" si="41"/>
        <v>0</v>
      </c>
      <c r="J29" s="97">
        <f t="shared" si="41"/>
        <v>0.62127371778166618</v>
      </c>
      <c r="K29" s="97">
        <f t="shared" si="41"/>
        <v>0</v>
      </c>
      <c r="L29" s="97">
        <f t="shared" si="38"/>
        <v>0.63009383378016082</v>
      </c>
      <c r="M29" s="91">
        <f t="shared" si="38"/>
        <v>0</v>
      </c>
      <c r="N29" s="91">
        <f t="shared" si="38"/>
        <v>0</v>
      </c>
      <c r="O29" s="91">
        <f t="shared" si="38"/>
        <v>0</v>
      </c>
      <c r="P29" s="91"/>
      <c r="Q29" s="91">
        <f>IFERROR(Q23/Q7,0)</f>
        <v>0.74942293440379282</v>
      </c>
      <c r="S29" s="423">
        <f t="shared" si="39"/>
        <v>0.76</v>
      </c>
      <c r="T29" s="423">
        <f t="shared" si="39"/>
        <v>0.76</v>
      </c>
      <c r="U29" s="423">
        <f t="shared" si="39"/>
        <v>0.76</v>
      </c>
      <c r="V29" s="423">
        <f t="shared" si="39"/>
        <v>0.76000000000000012</v>
      </c>
      <c r="W29" s="423">
        <f t="shared" si="39"/>
        <v>0.76</v>
      </c>
      <c r="X29" s="423">
        <f t="shared" si="39"/>
        <v>0.76</v>
      </c>
      <c r="Y29" s="423">
        <f t="shared" si="39"/>
        <v>0.7599999999999999</v>
      </c>
      <c r="Z29" s="423">
        <f t="shared" si="39"/>
        <v>0.76</v>
      </c>
      <c r="AA29" s="423">
        <f t="shared" si="39"/>
        <v>0.76</v>
      </c>
      <c r="AB29" s="91">
        <f t="shared" si="39"/>
        <v>0.76</v>
      </c>
      <c r="AC29" s="91">
        <f t="shared" si="39"/>
        <v>0.76</v>
      </c>
      <c r="AD29" s="91">
        <f t="shared" si="39"/>
        <v>0.76</v>
      </c>
      <c r="AE29" s="91"/>
      <c r="AF29" s="91">
        <f>IFERROR(AF23/AF7,0)</f>
        <v>0.76</v>
      </c>
      <c r="AH29" s="91">
        <f t="shared" si="40"/>
        <v>0.76</v>
      </c>
      <c r="AI29" s="91">
        <f t="shared" si="40"/>
        <v>0.76</v>
      </c>
      <c r="AJ29" s="91">
        <f t="shared" si="40"/>
        <v>0.76</v>
      </c>
      <c r="AK29" s="91">
        <f t="shared" si="40"/>
        <v>0.76</v>
      </c>
      <c r="AL29" s="91">
        <f t="shared" si="40"/>
        <v>0.76</v>
      </c>
      <c r="AM29" s="91">
        <f t="shared" si="40"/>
        <v>0.76</v>
      </c>
      <c r="AN29" s="91">
        <f t="shared" si="40"/>
        <v>0.76</v>
      </c>
      <c r="AO29" s="91">
        <f t="shared" si="40"/>
        <v>0.76</v>
      </c>
      <c r="AP29" s="91">
        <f t="shared" si="40"/>
        <v>0.76</v>
      </c>
      <c r="AQ29" s="91">
        <f t="shared" si="40"/>
        <v>0.76</v>
      </c>
      <c r="AR29" s="91">
        <f t="shared" si="40"/>
        <v>0.76</v>
      </c>
      <c r="AS29" s="91">
        <f t="shared" si="40"/>
        <v>0.76</v>
      </c>
      <c r="AT29" s="91"/>
      <c r="AU29" s="91">
        <f>IFERROR(AU23/AU7,0)</f>
        <v>0.76</v>
      </c>
    </row>
    <row r="30" spans="1:47" outlineLevel="1">
      <c r="B30" s="67" t="s">
        <v>101</v>
      </c>
      <c r="C30" s="52"/>
      <c r="D30" s="97">
        <f t="shared" ref="D30:K30" si="42">IFERROR(D24/D8,0)</f>
        <v>0</v>
      </c>
      <c r="E30" s="97">
        <f t="shared" si="42"/>
        <v>0</v>
      </c>
      <c r="F30" s="97">
        <f t="shared" si="42"/>
        <v>0</v>
      </c>
      <c r="G30" s="97">
        <f t="shared" si="42"/>
        <v>0</v>
      </c>
      <c r="H30" s="97">
        <f t="shared" si="42"/>
        <v>0</v>
      </c>
      <c r="I30" s="97">
        <f t="shared" si="42"/>
        <v>0</v>
      </c>
      <c r="J30" s="97">
        <f t="shared" si="42"/>
        <v>0</v>
      </c>
      <c r="K30" s="97">
        <f t="shared" si="42"/>
        <v>0</v>
      </c>
      <c r="L30" s="97">
        <f t="shared" ca="1" si="38"/>
        <v>0</v>
      </c>
      <c r="M30" s="91">
        <f t="shared" si="38"/>
        <v>0</v>
      </c>
      <c r="N30" s="91">
        <f t="shared" si="38"/>
        <v>0</v>
      </c>
      <c r="O30" s="91">
        <f t="shared" si="38"/>
        <v>0</v>
      </c>
      <c r="P30" s="91"/>
      <c r="Q30" s="91">
        <f ca="1">IFERROR(Q24/Q8,0)</f>
        <v>0</v>
      </c>
      <c r="S30" s="423">
        <f t="shared" ca="1" si="39"/>
        <v>0</v>
      </c>
      <c r="T30" s="423">
        <f t="shared" ca="1" si="39"/>
        <v>0</v>
      </c>
      <c r="U30" s="423">
        <f t="shared" ca="1" si="39"/>
        <v>0</v>
      </c>
      <c r="V30" s="423">
        <f t="shared" ca="1" si="39"/>
        <v>0</v>
      </c>
      <c r="W30" s="423">
        <f t="shared" ca="1" si="39"/>
        <v>0</v>
      </c>
      <c r="X30" s="423">
        <f t="shared" ca="1" si="39"/>
        <v>0</v>
      </c>
      <c r="Y30" s="423">
        <f t="shared" ca="1" si="39"/>
        <v>0</v>
      </c>
      <c r="Z30" s="423">
        <f t="shared" ca="1" si="39"/>
        <v>0</v>
      </c>
      <c r="AA30" s="423">
        <f t="shared" ca="1" si="39"/>
        <v>0</v>
      </c>
      <c r="AB30" s="91">
        <f t="shared" ca="1" si="39"/>
        <v>0</v>
      </c>
      <c r="AC30" s="91">
        <f t="shared" ca="1" si="39"/>
        <v>0</v>
      </c>
      <c r="AD30" s="91">
        <f t="shared" ca="1" si="39"/>
        <v>0</v>
      </c>
      <c r="AE30" s="91"/>
      <c r="AF30" s="91">
        <f ca="1">IFERROR(AF24/AF8,0)</f>
        <v>0</v>
      </c>
      <c r="AH30" s="91">
        <f t="shared" ca="1" si="40"/>
        <v>0</v>
      </c>
      <c r="AI30" s="91">
        <f t="shared" ca="1" si="40"/>
        <v>0</v>
      </c>
      <c r="AJ30" s="91">
        <f t="shared" ca="1" si="40"/>
        <v>0</v>
      </c>
      <c r="AK30" s="91">
        <f t="shared" ca="1" si="40"/>
        <v>0</v>
      </c>
      <c r="AL30" s="91">
        <f t="shared" ca="1" si="40"/>
        <v>0</v>
      </c>
      <c r="AM30" s="91">
        <f t="shared" ca="1" si="40"/>
        <v>0</v>
      </c>
      <c r="AN30" s="91">
        <f t="shared" ca="1" si="40"/>
        <v>0</v>
      </c>
      <c r="AO30" s="91">
        <f t="shared" ca="1" si="40"/>
        <v>0</v>
      </c>
      <c r="AP30" s="91">
        <f t="shared" ca="1" si="40"/>
        <v>0</v>
      </c>
      <c r="AQ30" s="91">
        <f t="shared" ca="1" si="40"/>
        <v>0</v>
      </c>
      <c r="AR30" s="91">
        <f t="shared" ca="1" si="40"/>
        <v>0</v>
      </c>
      <c r="AS30" s="91">
        <f t="shared" ca="1" si="40"/>
        <v>0</v>
      </c>
      <c r="AT30" s="91"/>
      <c r="AU30" s="91">
        <f ca="1">IFERROR(AU24/AU8,0)</f>
        <v>0</v>
      </c>
    </row>
    <row r="31" spans="1:47" outlineLevel="1">
      <c r="B31" s="67" t="s">
        <v>102</v>
      </c>
      <c r="C31" s="52"/>
      <c r="D31" s="97">
        <f t="shared" ref="D31:K31" si="43">IFERROR(D25/D9,0)</f>
        <v>0</v>
      </c>
      <c r="E31" s="97">
        <f t="shared" si="43"/>
        <v>0</v>
      </c>
      <c r="F31" s="97">
        <f t="shared" si="43"/>
        <v>0</v>
      </c>
      <c r="G31" s="97">
        <f t="shared" si="43"/>
        <v>0</v>
      </c>
      <c r="H31" s="97">
        <f t="shared" si="43"/>
        <v>0</v>
      </c>
      <c r="I31" s="97">
        <f t="shared" si="43"/>
        <v>0</v>
      </c>
      <c r="J31" s="97">
        <f t="shared" si="43"/>
        <v>0</v>
      </c>
      <c r="K31" s="97">
        <f t="shared" si="43"/>
        <v>0</v>
      </c>
      <c r="L31" s="97">
        <f t="shared" si="38"/>
        <v>0</v>
      </c>
      <c r="M31" s="91">
        <f t="shared" si="38"/>
        <v>0</v>
      </c>
      <c r="N31" s="91">
        <f t="shared" si="38"/>
        <v>0</v>
      </c>
      <c r="O31" s="91">
        <f t="shared" si="38"/>
        <v>0</v>
      </c>
      <c r="P31" s="91"/>
      <c r="Q31" s="91">
        <f>IFERROR(Q25/Q9,0)</f>
        <v>0</v>
      </c>
      <c r="S31" s="423">
        <f t="shared" si="39"/>
        <v>0</v>
      </c>
      <c r="T31" s="423">
        <f t="shared" si="39"/>
        <v>0</v>
      </c>
      <c r="U31" s="423">
        <f t="shared" si="39"/>
        <v>0</v>
      </c>
      <c r="V31" s="423">
        <f t="shared" si="39"/>
        <v>0</v>
      </c>
      <c r="W31" s="423">
        <f t="shared" si="39"/>
        <v>0</v>
      </c>
      <c r="X31" s="423">
        <f t="shared" si="39"/>
        <v>0</v>
      </c>
      <c r="Y31" s="423">
        <f t="shared" si="39"/>
        <v>0</v>
      </c>
      <c r="Z31" s="423">
        <f t="shared" si="39"/>
        <v>0</v>
      </c>
      <c r="AA31" s="423">
        <f t="shared" si="39"/>
        <v>0</v>
      </c>
      <c r="AB31" s="91">
        <f t="shared" si="39"/>
        <v>0</v>
      </c>
      <c r="AC31" s="91">
        <f t="shared" si="39"/>
        <v>0</v>
      </c>
      <c r="AD31" s="91">
        <f t="shared" si="39"/>
        <v>0</v>
      </c>
      <c r="AE31" s="91"/>
      <c r="AF31" s="91">
        <f>IFERROR(AF25/AF9,0)</f>
        <v>0</v>
      </c>
      <c r="AH31" s="91">
        <f t="shared" si="40"/>
        <v>0</v>
      </c>
      <c r="AI31" s="91">
        <f t="shared" si="40"/>
        <v>0</v>
      </c>
      <c r="AJ31" s="91">
        <f t="shared" si="40"/>
        <v>0</v>
      </c>
      <c r="AK31" s="91">
        <f t="shared" si="40"/>
        <v>0</v>
      </c>
      <c r="AL31" s="91">
        <f t="shared" si="40"/>
        <v>0</v>
      </c>
      <c r="AM31" s="91">
        <f t="shared" si="40"/>
        <v>0</v>
      </c>
      <c r="AN31" s="91">
        <f t="shared" si="40"/>
        <v>0</v>
      </c>
      <c r="AO31" s="91">
        <f t="shared" si="40"/>
        <v>0</v>
      </c>
      <c r="AP31" s="91">
        <f t="shared" si="40"/>
        <v>0</v>
      </c>
      <c r="AQ31" s="91">
        <f t="shared" si="40"/>
        <v>0</v>
      </c>
      <c r="AR31" s="91">
        <f t="shared" si="40"/>
        <v>0</v>
      </c>
      <c r="AS31" s="91">
        <f t="shared" si="40"/>
        <v>0</v>
      </c>
      <c r="AT31" s="91"/>
      <c r="AU31" s="91">
        <f>IFERROR(AU25/AU9,0)</f>
        <v>0</v>
      </c>
    </row>
    <row r="32" spans="1:47">
      <c r="B32" s="72" t="s">
        <v>103</v>
      </c>
      <c r="C32" s="73"/>
      <c r="D32" s="97">
        <f t="shared" ref="D32:K32" si="44">IFERROR(D26/D11,0)</f>
        <v>0.74700265651245867</v>
      </c>
      <c r="E32" s="97">
        <f t="shared" si="44"/>
        <v>0.81065201173315959</v>
      </c>
      <c r="F32" s="97">
        <f t="shared" si="44"/>
        <v>0.76621517852964172</v>
      </c>
      <c r="G32" s="97">
        <f t="shared" si="44"/>
        <v>0.8395502067005397</v>
      </c>
      <c r="H32" s="97">
        <f t="shared" si="44"/>
        <v>0.81969400711239271</v>
      </c>
      <c r="I32" s="97">
        <f t="shared" si="44"/>
        <v>0.74022765656725498</v>
      </c>
      <c r="J32" s="97">
        <f t="shared" si="44"/>
        <v>0.70801817234919762</v>
      </c>
      <c r="K32" s="97">
        <f t="shared" si="44"/>
        <v>0.83755582622817704</v>
      </c>
      <c r="L32" s="97">
        <f t="shared" ref="L32:O32" ca="1" si="45">IFERROR(L26/L11,0)</f>
        <v>0.71622323827628254</v>
      </c>
      <c r="M32" s="91">
        <f t="shared" si="45"/>
        <v>0.73</v>
      </c>
      <c r="N32" s="91">
        <f t="shared" si="45"/>
        <v>0.76</v>
      </c>
      <c r="O32" s="91">
        <f t="shared" si="45"/>
        <v>0.77</v>
      </c>
      <c r="P32" s="91"/>
      <c r="Q32" s="91">
        <f ca="1">IFERROR(Q26/Q11,0)</f>
        <v>0.7471565880486436</v>
      </c>
      <c r="S32" s="423">
        <f t="shared" ref="S32:AD32" ca="1" si="46">IFERROR(S26/S11,0)</f>
        <v>0.76</v>
      </c>
      <c r="T32" s="423">
        <f t="shared" ca="1" si="46"/>
        <v>0.76</v>
      </c>
      <c r="U32" s="423">
        <f t="shared" ca="1" si="46"/>
        <v>0.76</v>
      </c>
      <c r="V32" s="423">
        <f t="shared" ca="1" si="46"/>
        <v>0.76</v>
      </c>
      <c r="W32" s="423">
        <f t="shared" ca="1" si="46"/>
        <v>0.76000000000000012</v>
      </c>
      <c r="X32" s="423">
        <f t="shared" ca="1" si="46"/>
        <v>0.76</v>
      </c>
      <c r="Y32" s="423">
        <f t="shared" ca="1" si="46"/>
        <v>0.76000000000000012</v>
      </c>
      <c r="Z32" s="423">
        <f t="shared" ca="1" si="46"/>
        <v>0.7599999999999999</v>
      </c>
      <c r="AA32" s="423">
        <f t="shared" ca="1" si="46"/>
        <v>0.76000000000000012</v>
      </c>
      <c r="AB32" s="91">
        <f t="shared" ca="1" si="46"/>
        <v>0.7599999999999999</v>
      </c>
      <c r="AC32" s="91">
        <f t="shared" ca="1" si="46"/>
        <v>0.76</v>
      </c>
      <c r="AD32" s="91">
        <f t="shared" ca="1" si="46"/>
        <v>0.7599999999999999</v>
      </c>
      <c r="AE32" s="91"/>
      <c r="AF32" s="91">
        <f ca="1">IFERROR(AF26/AF11,0)</f>
        <v>0.7599999999999999</v>
      </c>
      <c r="AH32" s="91">
        <f t="shared" ref="AH32:AS32" ca="1" si="47">IFERROR(AH26/AH11,0)</f>
        <v>0.76</v>
      </c>
      <c r="AI32" s="91">
        <f t="shared" ca="1" si="47"/>
        <v>0.76</v>
      </c>
      <c r="AJ32" s="91">
        <f t="shared" ca="1" si="47"/>
        <v>0.7599999999999999</v>
      </c>
      <c r="AK32" s="91">
        <f t="shared" ca="1" si="47"/>
        <v>0.76</v>
      </c>
      <c r="AL32" s="91">
        <f t="shared" ca="1" si="47"/>
        <v>0.76</v>
      </c>
      <c r="AM32" s="91">
        <f t="shared" ca="1" si="47"/>
        <v>0.76</v>
      </c>
      <c r="AN32" s="91">
        <f t="shared" ca="1" si="47"/>
        <v>0.76000000000000012</v>
      </c>
      <c r="AO32" s="91">
        <f t="shared" ca="1" si="47"/>
        <v>0.76000000000000012</v>
      </c>
      <c r="AP32" s="91">
        <f t="shared" ca="1" si="47"/>
        <v>0.76</v>
      </c>
      <c r="AQ32" s="91">
        <f t="shared" ca="1" si="47"/>
        <v>0.76</v>
      </c>
      <c r="AR32" s="91">
        <f t="shared" ca="1" si="47"/>
        <v>0.76</v>
      </c>
      <c r="AS32" s="91">
        <f t="shared" ca="1" si="47"/>
        <v>0.76</v>
      </c>
      <c r="AT32" s="91"/>
      <c r="AU32" s="91">
        <f ca="1">IFERROR(AU26/AU11,0)</f>
        <v>0.7599999999999999</v>
      </c>
    </row>
    <row r="33" spans="1:47">
      <c r="D33" s="71"/>
      <c r="E33" s="71"/>
      <c r="F33" s="71"/>
      <c r="G33" s="71"/>
      <c r="H33" s="71"/>
      <c r="I33" s="71"/>
      <c r="J33" s="71"/>
      <c r="K33" s="71"/>
      <c r="L33" s="71"/>
      <c r="S33" s="423"/>
      <c r="T33" s="423"/>
      <c r="U33" s="423"/>
      <c r="V33" s="423"/>
      <c r="W33" s="423"/>
      <c r="X33" s="423"/>
      <c r="Y33" s="423"/>
      <c r="Z33" s="423"/>
      <c r="AA33" s="423"/>
      <c r="AB33" s="91"/>
      <c r="AC33" s="91"/>
      <c r="AD33" s="91"/>
      <c r="AE33" s="91"/>
      <c r="AF33" s="91"/>
      <c r="AH33" s="86"/>
      <c r="AI33" s="86"/>
      <c r="AJ33" s="86"/>
      <c r="AK33" s="86"/>
      <c r="AL33" s="86"/>
    </row>
    <row r="34" spans="1:47" outlineLevel="1">
      <c r="B34" s="58" t="s">
        <v>104</v>
      </c>
      <c r="D34" s="74"/>
      <c r="E34" s="74"/>
      <c r="F34" s="74"/>
      <c r="G34" s="74"/>
      <c r="H34" s="74"/>
      <c r="I34" s="74"/>
      <c r="J34" s="74"/>
      <c r="K34" s="74"/>
      <c r="L34" s="74"/>
      <c r="S34" s="87"/>
      <c r="T34" s="87"/>
      <c r="U34" s="87"/>
      <c r="V34" s="87"/>
      <c r="W34" s="87"/>
      <c r="AH34" s="87"/>
      <c r="AI34" s="87"/>
      <c r="AJ34" s="87"/>
      <c r="AK34" s="87"/>
      <c r="AL34" s="87"/>
    </row>
    <row r="35" spans="1:47" outlineLevel="1">
      <c r="D35" s="53"/>
      <c r="E35" s="53"/>
      <c r="F35" s="53"/>
      <c r="G35" s="53"/>
      <c r="H35" s="53"/>
      <c r="I35" s="53"/>
      <c r="J35" s="53"/>
      <c r="K35" s="53"/>
      <c r="L35" s="53"/>
    </row>
    <row r="36" spans="1:47" outlineLevel="1">
      <c r="D36" s="59"/>
      <c r="E36" s="59"/>
      <c r="F36" s="59"/>
      <c r="G36" s="59"/>
      <c r="H36" s="59"/>
      <c r="I36" s="59"/>
      <c r="J36" s="59"/>
      <c r="K36" s="59"/>
      <c r="L36" s="59"/>
      <c r="M36" s="60"/>
      <c r="N36" s="60"/>
      <c r="O36" s="60"/>
      <c r="P36" s="60"/>
      <c r="Q36" s="61">
        <f>SUM(D36:O36)</f>
        <v>0</v>
      </c>
      <c r="R36" s="62"/>
      <c r="S36" s="83"/>
      <c r="T36" s="83"/>
      <c r="U36" s="83"/>
      <c r="V36" s="83"/>
      <c r="W36" s="83"/>
      <c r="X36" s="83"/>
      <c r="Y36" s="83"/>
      <c r="Z36" s="83"/>
      <c r="AA36" s="83"/>
      <c r="AB36" s="83"/>
      <c r="AC36" s="83"/>
      <c r="AD36" s="83"/>
      <c r="AE36" s="60"/>
      <c r="AF36" s="61">
        <f>SUM(S36:AD36)</f>
        <v>0</v>
      </c>
      <c r="AH36" s="83"/>
      <c r="AI36" s="83"/>
      <c r="AJ36" s="83"/>
      <c r="AK36" s="83"/>
      <c r="AL36" s="83"/>
      <c r="AM36" s="83"/>
      <c r="AN36" s="83"/>
      <c r="AO36" s="83"/>
      <c r="AP36" s="83"/>
      <c r="AQ36" s="83"/>
      <c r="AR36" s="83"/>
      <c r="AS36" s="83"/>
      <c r="AT36" s="60"/>
      <c r="AU36" s="61">
        <f>SUM(AH36:AS36)</f>
        <v>0</v>
      </c>
    </row>
    <row r="37" spans="1:47" outlineLevel="1">
      <c r="B37" s="51" t="s">
        <v>106</v>
      </c>
      <c r="C37" s="75">
        <f>SUMIFS(Fulfilment!E:E,Fulfilment!A:A,"CZ",Fulfilment!B:B,"DTC")</f>
        <v>-0.15911378896009457</v>
      </c>
      <c r="D37" s="59">
        <v>-5044.71</v>
      </c>
      <c r="E37" s="59">
        <v>-17039.09</v>
      </c>
      <c r="F37" s="59">
        <v>-18483.91</v>
      </c>
      <c r="G37" s="59">
        <v>-7285.34</v>
      </c>
      <c r="H37" s="59">
        <v>-6899.31</v>
      </c>
      <c r="I37" s="59">
        <v>-24746.57</v>
      </c>
      <c r="J37" s="59">
        <v>-27538.59</v>
      </c>
      <c r="K37" s="59">
        <v>-8980.75</v>
      </c>
      <c r="L37" s="59">
        <v>-60620</v>
      </c>
      <c r="M37" s="60">
        <v>-45265</v>
      </c>
      <c r="N37" s="60">
        <v>-12782</v>
      </c>
      <c r="O37" s="60">
        <v>-9775</v>
      </c>
      <c r="P37" s="60"/>
      <c r="Q37" s="61">
        <f>SUM(D37:O37)</f>
        <v>-244460.27</v>
      </c>
      <c r="R37" s="62"/>
      <c r="S37" s="60">
        <f>$C$37*S6</f>
        <v>-13279.596083296239</v>
      </c>
      <c r="T37" s="60">
        <f t="shared" ref="T37:AD37" si="48">$C$37*T6</f>
        <v>-29807.171153144292</v>
      </c>
      <c r="U37" s="60">
        <f t="shared" si="48"/>
        <v>-26242.163787548219</v>
      </c>
      <c r="V37" s="60">
        <f t="shared" si="48"/>
        <v>-12218.791819918313</v>
      </c>
      <c r="W37" s="60">
        <f t="shared" si="48"/>
        <v>-11611.411080353253</v>
      </c>
      <c r="X37" s="60">
        <f t="shared" si="48"/>
        <v>-48139.436263794982</v>
      </c>
      <c r="Y37" s="60">
        <f t="shared" si="48"/>
        <v>-15071.833932514868</v>
      </c>
      <c r="Z37" s="60">
        <f t="shared" si="48"/>
        <v>-15273.659615314646</v>
      </c>
      <c r="AA37" s="60">
        <f t="shared" si="48"/>
        <v>-62346.348102751159</v>
      </c>
      <c r="AB37" s="60">
        <f t="shared" si="48"/>
        <v>-62610.66425365529</v>
      </c>
      <c r="AC37" s="60">
        <f t="shared" si="48"/>
        <v>-16723.914601033659</v>
      </c>
      <c r="AD37" s="60">
        <f t="shared" si="48"/>
        <v>-16560.018693284557</v>
      </c>
      <c r="AE37" s="60"/>
      <c r="AF37" s="61">
        <f>SUM(S37:AD37)</f>
        <v>-329885.00938660948</v>
      </c>
      <c r="AH37" s="60">
        <f t="shared" ref="AH37:AS37" si="49">$C$37*AH6</f>
        <v>-16271.996482791392</v>
      </c>
      <c r="AI37" s="60">
        <f t="shared" si="49"/>
        <v>-36138.454865081025</v>
      </c>
      <c r="AJ37" s="60">
        <f t="shared" si="49"/>
        <v>-30413.322316468963</v>
      </c>
      <c r="AK37" s="60">
        <f t="shared" si="49"/>
        <v>-18876.917935913072</v>
      </c>
      <c r="AL37" s="60">
        <f t="shared" si="49"/>
        <v>-15691.915374564687</v>
      </c>
      <c r="AM37" s="60">
        <f t="shared" si="49"/>
        <v>-49779.928115680545</v>
      </c>
      <c r="AN37" s="60">
        <f t="shared" si="49"/>
        <v>-27462.285374968887</v>
      </c>
      <c r="AO37" s="60">
        <f t="shared" si="49"/>
        <v>-17635.680453922218</v>
      </c>
      <c r="AP37" s="60">
        <f t="shared" si="49"/>
        <v>-73595.521331688651</v>
      </c>
      <c r="AQ37" s="60">
        <f t="shared" si="49"/>
        <v>-72570.96777988704</v>
      </c>
      <c r="AR37" s="60">
        <f t="shared" si="49"/>
        <v>-20539.149849525482</v>
      </c>
      <c r="AS37" s="60">
        <f t="shared" si="49"/>
        <v>-20386.575702738082</v>
      </c>
      <c r="AT37" s="60"/>
      <c r="AU37" s="61">
        <f>SUM(AH37:AS37)</f>
        <v>-399362.71558323002</v>
      </c>
    </row>
    <row r="38" spans="1:47" outlineLevel="1">
      <c r="B38" s="51" t="s">
        <v>107</v>
      </c>
      <c r="C38" s="75">
        <f>SUMIFS(Fulfilment!E:E,Fulfilment!A:A,"CZ",Fulfilment!B:B,"B2B")</f>
        <v>-9.1563002295781681E-2</v>
      </c>
      <c r="D38" s="59">
        <v>-610.59</v>
      </c>
      <c r="E38" s="59">
        <v>-880.39</v>
      </c>
      <c r="F38" s="59">
        <v>-198.08</v>
      </c>
      <c r="G38" s="59">
        <v>0</v>
      </c>
      <c r="H38" s="59">
        <v>-43.37</v>
      </c>
      <c r="I38" s="59">
        <v>0</v>
      </c>
      <c r="J38" s="59">
        <v>-2668.77</v>
      </c>
      <c r="K38" s="59">
        <v>-2940.49</v>
      </c>
      <c r="L38" s="59">
        <v>-2375</v>
      </c>
      <c r="M38" s="60">
        <f t="shared" ref="M38:O38" si="50">$C$38*M7</f>
        <v>0</v>
      </c>
      <c r="N38" s="60">
        <f t="shared" si="50"/>
        <v>0</v>
      </c>
      <c r="O38" s="60">
        <f t="shared" si="50"/>
        <v>0</v>
      </c>
      <c r="P38" s="60"/>
      <c r="Q38" s="61">
        <f>SUM(D38:O38)</f>
        <v>-9716.6899999999987</v>
      </c>
      <c r="R38" s="62"/>
      <c r="S38" s="60">
        <f t="shared" ref="S38:AD38" si="51">$C$38*S7</f>
        <v>-457.81501147890839</v>
      </c>
      <c r="T38" s="60">
        <f t="shared" si="51"/>
        <v>-1373.4450344367251</v>
      </c>
      <c r="U38" s="60">
        <f t="shared" si="51"/>
        <v>-457.81501147890839</v>
      </c>
      <c r="V38" s="60">
        <f t="shared" si="51"/>
        <v>-1127.5692759063295</v>
      </c>
      <c r="W38" s="60">
        <f t="shared" si="51"/>
        <v>-1807.8885470719779</v>
      </c>
      <c r="X38" s="60">
        <f t="shared" si="51"/>
        <v>-802.74087678878402</v>
      </c>
      <c r="Y38" s="60">
        <f t="shared" si="51"/>
        <v>-805.54912308697692</v>
      </c>
      <c r="Z38" s="60">
        <f t="shared" si="51"/>
        <v>-1708.1393210252318</v>
      </c>
      <c r="AA38" s="60">
        <f t="shared" si="51"/>
        <v>-913.82594267147874</v>
      </c>
      <c r="AB38" s="60">
        <f t="shared" si="51"/>
        <v>-1565.9421274934762</v>
      </c>
      <c r="AC38" s="60">
        <f t="shared" si="51"/>
        <v>-1157.0603183740045</v>
      </c>
      <c r="AD38" s="60">
        <f t="shared" si="51"/>
        <v>-1084.8048343095388</v>
      </c>
      <c r="AE38" s="60"/>
      <c r="AF38" s="61">
        <f>SUM(S38:AD38)</f>
        <v>-13262.595424122341</v>
      </c>
      <c r="AH38" s="60">
        <f t="shared" ref="AH38:AS38" si="52">$C$38*AH7</f>
        <v>-480.7057620528538</v>
      </c>
      <c r="AI38" s="60">
        <f t="shared" si="52"/>
        <v>-1442.1172861585615</v>
      </c>
      <c r="AJ38" s="60">
        <f t="shared" si="52"/>
        <v>-480.7057620528538</v>
      </c>
      <c r="AK38" s="60">
        <f t="shared" si="52"/>
        <v>-1760.7946541650704</v>
      </c>
      <c r="AL38" s="60">
        <f t="shared" si="52"/>
        <v>-2667.4121937101431</v>
      </c>
      <c r="AM38" s="60">
        <f t="shared" si="52"/>
        <v>-1612.0071399127896</v>
      </c>
      <c r="AN38" s="60">
        <f t="shared" si="52"/>
        <v>-1422.6734937047504</v>
      </c>
      <c r="AO38" s="60">
        <f t="shared" si="52"/>
        <v>-2562.6755063610594</v>
      </c>
      <c r="AP38" s="60">
        <f t="shared" si="52"/>
        <v>-1728.6464590896189</v>
      </c>
      <c r="AQ38" s="60">
        <f t="shared" si="52"/>
        <v>-2221.0861483315748</v>
      </c>
      <c r="AR38" s="60">
        <f t="shared" si="52"/>
        <v>-1791.7602487561296</v>
      </c>
      <c r="AS38" s="60">
        <f t="shared" si="52"/>
        <v>-1908.1742953095818</v>
      </c>
      <c r="AT38" s="60"/>
      <c r="AU38" s="61">
        <f>SUM(AH38:AS38)</f>
        <v>-20078.758949604988</v>
      </c>
    </row>
    <row r="39" spans="1:47" outlineLevel="1">
      <c r="B39" s="51" t="s">
        <v>108</v>
      </c>
      <c r="C39" s="75">
        <f>SUMIFS(Fulfilment!E:E,Fulfilment!A:A,"CZ",Fulfilment!B:B,"Marketplace")</f>
        <v>0</v>
      </c>
      <c r="D39" s="59"/>
      <c r="E39" s="59"/>
      <c r="F39" s="59"/>
      <c r="G39" s="59"/>
      <c r="H39" s="59"/>
      <c r="I39" s="59"/>
      <c r="J39" s="59"/>
      <c r="K39" s="59"/>
      <c r="L39" s="59">
        <f ca="1">$C$39*L8</f>
        <v>0</v>
      </c>
      <c r="M39" s="60">
        <f t="shared" ref="M39:O39" si="53">$C$39*M8</f>
        <v>0</v>
      </c>
      <c r="N39" s="60">
        <f t="shared" si="53"/>
        <v>0</v>
      </c>
      <c r="O39" s="60">
        <f t="shared" si="53"/>
        <v>0</v>
      </c>
      <c r="P39" s="60"/>
      <c r="Q39" s="61">
        <f ca="1">SUM(D39:O39)</f>
        <v>0</v>
      </c>
      <c r="R39" s="62"/>
      <c r="S39" s="60">
        <f t="shared" ref="S39:AD39" ca="1" si="54">$C$39*S8</f>
        <v>0</v>
      </c>
      <c r="T39" s="60">
        <f t="shared" ca="1" si="54"/>
        <v>0</v>
      </c>
      <c r="U39" s="60">
        <f t="shared" ca="1" si="54"/>
        <v>0</v>
      </c>
      <c r="V39" s="60">
        <f t="shared" ca="1" si="54"/>
        <v>0</v>
      </c>
      <c r="W39" s="60">
        <f t="shared" ca="1" si="54"/>
        <v>0</v>
      </c>
      <c r="X39" s="60">
        <f t="shared" ca="1" si="54"/>
        <v>0</v>
      </c>
      <c r="Y39" s="60">
        <f t="shared" ca="1" si="54"/>
        <v>0</v>
      </c>
      <c r="Z39" s="60">
        <f t="shared" ca="1" si="54"/>
        <v>0</v>
      </c>
      <c r="AA39" s="60">
        <f t="shared" ca="1" si="54"/>
        <v>0</v>
      </c>
      <c r="AB39" s="60">
        <f t="shared" ca="1" si="54"/>
        <v>0</v>
      </c>
      <c r="AC39" s="60">
        <f t="shared" ca="1" si="54"/>
        <v>0</v>
      </c>
      <c r="AD39" s="60">
        <f t="shared" ca="1" si="54"/>
        <v>0</v>
      </c>
      <c r="AE39" s="60"/>
      <c r="AF39" s="61">
        <f ca="1">SUM(S39:AD39)</f>
        <v>0</v>
      </c>
      <c r="AH39" s="60">
        <f t="shared" ref="AH39:AS39" ca="1" si="55">$C$39*AH8</f>
        <v>0</v>
      </c>
      <c r="AI39" s="60">
        <f t="shared" ca="1" si="55"/>
        <v>0</v>
      </c>
      <c r="AJ39" s="60">
        <f t="shared" ca="1" si="55"/>
        <v>0</v>
      </c>
      <c r="AK39" s="60">
        <f t="shared" ca="1" si="55"/>
        <v>0</v>
      </c>
      <c r="AL39" s="60">
        <f t="shared" ca="1" si="55"/>
        <v>0</v>
      </c>
      <c r="AM39" s="60">
        <f t="shared" ca="1" si="55"/>
        <v>0</v>
      </c>
      <c r="AN39" s="60">
        <f t="shared" ca="1" si="55"/>
        <v>0</v>
      </c>
      <c r="AO39" s="60">
        <f t="shared" ca="1" si="55"/>
        <v>0</v>
      </c>
      <c r="AP39" s="60">
        <f t="shared" ca="1" si="55"/>
        <v>0</v>
      </c>
      <c r="AQ39" s="60">
        <f t="shared" ca="1" si="55"/>
        <v>0</v>
      </c>
      <c r="AR39" s="60">
        <f t="shared" ca="1" si="55"/>
        <v>0</v>
      </c>
      <c r="AS39" s="60">
        <f t="shared" ca="1" si="55"/>
        <v>0</v>
      </c>
      <c r="AT39" s="60"/>
      <c r="AU39" s="61">
        <f ca="1">SUM(AH39:AS39)</f>
        <v>0</v>
      </c>
    </row>
    <row r="40" spans="1:47" outlineLevel="1">
      <c r="B40" s="51" t="s">
        <v>109</v>
      </c>
      <c r="C40" s="75">
        <f>SUMIFS(Fulfilment!E:E,Fulfilment!A:A,"CZ",Fulfilment!B:B,"TikTok")</f>
        <v>0</v>
      </c>
      <c r="D40" s="59"/>
      <c r="E40" s="59"/>
      <c r="F40" s="59"/>
      <c r="G40" s="59"/>
      <c r="H40" s="59"/>
      <c r="I40" s="59"/>
      <c r="J40" s="59"/>
      <c r="K40" s="59"/>
      <c r="L40" s="59">
        <f>$C$40*L9</f>
        <v>0</v>
      </c>
      <c r="M40" s="60">
        <f t="shared" ref="M40:O40" si="56">$C$40*M9</f>
        <v>0</v>
      </c>
      <c r="N40" s="60">
        <f t="shared" si="56"/>
        <v>0</v>
      </c>
      <c r="O40" s="60">
        <f t="shared" si="56"/>
        <v>0</v>
      </c>
      <c r="P40" s="60"/>
      <c r="Q40" s="61">
        <f>SUM(D40:O40)</f>
        <v>0</v>
      </c>
      <c r="R40" s="66"/>
      <c r="S40" s="60">
        <f t="shared" ref="S40:AD40" si="57">$C$40*S9</f>
        <v>0</v>
      </c>
      <c r="T40" s="60">
        <f t="shared" si="57"/>
        <v>0</v>
      </c>
      <c r="U40" s="60">
        <f t="shared" si="57"/>
        <v>0</v>
      </c>
      <c r="V40" s="60">
        <f t="shared" si="57"/>
        <v>0</v>
      </c>
      <c r="W40" s="60">
        <f t="shared" si="57"/>
        <v>0</v>
      </c>
      <c r="X40" s="60">
        <f t="shared" si="57"/>
        <v>0</v>
      </c>
      <c r="Y40" s="60">
        <f t="shared" si="57"/>
        <v>0</v>
      </c>
      <c r="Z40" s="60">
        <f t="shared" si="57"/>
        <v>0</v>
      </c>
      <c r="AA40" s="60">
        <f t="shared" si="57"/>
        <v>0</v>
      </c>
      <c r="AB40" s="60">
        <f t="shared" si="57"/>
        <v>0</v>
      </c>
      <c r="AC40" s="60">
        <f t="shared" si="57"/>
        <v>0</v>
      </c>
      <c r="AD40" s="60">
        <f t="shared" si="57"/>
        <v>0</v>
      </c>
      <c r="AE40" s="60"/>
      <c r="AF40" s="61">
        <f>SUM(S40:AD40)</f>
        <v>0</v>
      </c>
      <c r="AH40" s="60">
        <f t="shared" ref="AH40:AS40" si="58">$C$40*AH9</f>
        <v>0</v>
      </c>
      <c r="AI40" s="60">
        <f t="shared" si="58"/>
        <v>0</v>
      </c>
      <c r="AJ40" s="60">
        <f t="shared" si="58"/>
        <v>0</v>
      </c>
      <c r="AK40" s="60">
        <f t="shared" si="58"/>
        <v>0</v>
      </c>
      <c r="AL40" s="60">
        <f t="shared" si="58"/>
        <v>0</v>
      </c>
      <c r="AM40" s="60">
        <f t="shared" si="58"/>
        <v>0</v>
      </c>
      <c r="AN40" s="60">
        <f t="shared" si="58"/>
        <v>0</v>
      </c>
      <c r="AO40" s="60">
        <f t="shared" si="58"/>
        <v>0</v>
      </c>
      <c r="AP40" s="60">
        <f t="shared" si="58"/>
        <v>0</v>
      </c>
      <c r="AQ40" s="60">
        <f t="shared" si="58"/>
        <v>0</v>
      </c>
      <c r="AR40" s="60">
        <f t="shared" si="58"/>
        <v>0</v>
      </c>
      <c r="AS40" s="60">
        <f t="shared" si="58"/>
        <v>0</v>
      </c>
      <c r="AT40" s="60"/>
      <c r="AU40" s="61">
        <f>SUM(AH40:AS40)</f>
        <v>0</v>
      </c>
    </row>
    <row r="41" spans="1:47" outlineLevel="1">
      <c r="D41" s="53"/>
      <c r="E41" s="53"/>
      <c r="F41" s="53"/>
      <c r="G41" s="53"/>
      <c r="H41" s="53"/>
      <c r="I41" s="53"/>
      <c r="J41" s="53"/>
      <c r="K41" s="53"/>
      <c r="L41" s="53"/>
    </row>
    <row r="42" spans="1:47" s="10" customFormat="1">
      <c r="A42" s="52"/>
      <c r="B42" s="63" t="s">
        <v>110</v>
      </c>
      <c r="C42" s="52"/>
      <c r="D42" s="64">
        <f t="shared" ref="D42:K42" si="59">SUM(D36:D41)</f>
        <v>-5655.3</v>
      </c>
      <c r="E42" s="64">
        <f t="shared" si="59"/>
        <v>-17919.48</v>
      </c>
      <c r="F42" s="64">
        <f t="shared" si="59"/>
        <v>-18681.990000000002</v>
      </c>
      <c r="G42" s="64">
        <f t="shared" si="59"/>
        <v>-7285.34</v>
      </c>
      <c r="H42" s="64">
        <f t="shared" si="59"/>
        <v>-6942.68</v>
      </c>
      <c r="I42" s="64">
        <f t="shared" si="59"/>
        <v>-24746.57</v>
      </c>
      <c r="J42" s="64">
        <f t="shared" si="59"/>
        <v>-30207.360000000001</v>
      </c>
      <c r="K42" s="64">
        <f t="shared" si="59"/>
        <v>-11921.24</v>
      </c>
      <c r="L42" s="64">
        <f ca="1">SUM(L36:L41)</f>
        <v>-62995</v>
      </c>
      <c r="M42" s="65">
        <f>SUM(M36:M41)</f>
        <v>-45265</v>
      </c>
      <c r="N42" s="65">
        <f>SUM(N36:N41)</f>
        <v>-12782</v>
      </c>
      <c r="O42" s="65">
        <f>SUM(O36:O41)</f>
        <v>-9775</v>
      </c>
      <c r="P42" s="61"/>
      <c r="Q42" s="65">
        <f ca="1">SUM(D42:O42)</f>
        <v>-254176.96000000002</v>
      </c>
      <c r="R42" s="52"/>
      <c r="S42" s="84">
        <f ca="1">SUM(S36:S41)</f>
        <v>-13737.411094775147</v>
      </c>
      <c r="T42" s="84">
        <f t="shared" ref="T42:Z42" ca="1" si="60">SUM(T36:T41)</f>
        <v>-31180.616187581018</v>
      </c>
      <c r="U42" s="84">
        <f t="shared" ca="1" si="60"/>
        <v>-26699.978799027129</v>
      </c>
      <c r="V42" s="84">
        <f t="shared" ca="1" si="60"/>
        <v>-13346.361095824643</v>
      </c>
      <c r="W42" s="84">
        <f t="shared" ca="1" si="60"/>
        <v>-13419.299627425231</v>
      </c>
      <c r="X42" s="65">
        <f t="shared" ca="1" si="60"/>
        <v>-48942.177140583764</v>
      </c>
      <c r="Y42" s="65">
        <f t="shared" ca="1" si="60"/>
        <v>-15877.383055601846</v>
      </c>
      <c r="Z42" s="65">
        <f t="shared" ca="1" si="60"/>
        <v>-16981.798936339877</v>
      </c>
      <c r="AA42" s="65">
        <f ca="1">SUM(AA36:AA41)</f>
        <v>-63260.174045422638</v>
      </c>
      <c r="AB42" s="65">
        <f ca="1">SUM(AB36:AB41)</f>
        <v>-64176.606381148769</v>
      </c>
      <c r="AC42" s="65">
        <f ca="1">SUM(AC36:AC41)</f>
        <v>-17880.974919407665</v>
      </c>
      <c r="AD42" s="65">
        <f ca="1">SUM(AD36:AD41)</f>
        <v>-17644.823527594097</v>
      </c>
      <c r="AE42" s="61"/>
      <c r="AF42" s="65">
        <f ca="1">SUM(S42:AD42)</f>
        <v>-343147.60481073189</v>
      </c>
      <c r="AG42" s="7"/>
      <c r="AH42" s="84">
        <f ca="1">SUM(AH36:AH41)</f>
        <v>-16752.702244844244</v>
      </c>
      <c r="AI42" s="84">
        <f t="shared" ref="AI42:AO42" ca="1" si="61">SUM(AI36:AI41)</f>
        <v>-37580.572151239583</v>
      </c>
      <c r="AJ42" s="84">
        <f t="shared" ca="1" si="61"/>
        <v>-30894.028078521816</v>
      </c>
      <c r="AK42" s="84">
        <f t="shared" ca="1" si="61"/>
        <v>-20637.712590078143</v>
      </c>
      <c r="AL42" s="84">
        <f t="shared" ca="1" si="61"/>
        <v>-18359.327568274832</v>
      </c>
      <c r="AM42" s="65">
        <f t="shared" ca="1" si="61"/>
        <v>-51391.935255593336</v>
      </c>
      <c r="AN42" s="65">
        <f t="shared" ca="1" si="61"/>
        <v>-28884.958868673639</v>
      </c>
      <c r="AO42" s="65">
        <f t="shared" ca="1" si="61"/>
        <v>-20198.355960283276</v>
      </c>
      <c r="AP42" s="65">
        <f ca="1">SUM(AP36:AP41)</f>
        <v>-75324.167790778272</v>
      </c>
      <c r="AQ42" s="65">
        <f ca="1">SUM(AQ36:AQ41)</f>
        <v>-74792.053928218607</v>
      </c>
      <c r="AR42" s="65">
        <f ca="1">SUM(AR36:AR41)</f>
        <v>-22330.910098281613</v>
      </c>
      <c r="AS42" s="65">
        <f ca="1">SUM(AS36:AS41)</f>
        <v>-22294.749998047664</v>
      </c>
      <c r="AT42" s="61"/>
      <c r="AU42" s="65">
        <f ca="1">SUM(AH42:AS42)</f>
        <v>-419441.47453283501</v>
      </c>
    </row>
    <row r="43" spans="1:47">
      <c r="D43" s="53"/>
      <c r="E43" s="53"/>
      <c r="F43" s="53"/>
      <c r="G43" s="53"/>
      <c r="H43" s="53"/>
      <c r="I43" s="53"/>
      <c r="J43" s="53"/>
      <c r="K43" s="53"/>
      <c r="L43" s="53"/>
      <c r="Q43" s="91">
        <f ca="1">-Q42/Q11</f>
        <v>0.15283246077148535</v>
      </c>
      <c r="AF43" s="91">
        <f ca="1">-AF42/AF11</f>
        <v>0.15470260111435793</v>
      </c>
      <c r="AU43" s="91">
        <f ca="1">-AU42/AU11</f>
        <v>0.15368615409267689</v>
      </c>
    </row>
    <row r="44" spans="1:47" outlineLevel="1">
      <c r="B44" s="67" t="s">
        <v>111</v>
      </c>
      <c r="C44" s="52"/>
      <c r="D44" s="68">
        <f t="shared" ref="D44:K44" si="62">D22+D37</f>
        <v>18280.560000000001</v>
      </c>
      <c r="E44" s="68">
        <f t="shared" si="62"/>
        <v>84305.03</v>
      </c>
      <c r="F44" s="68">
        <f t="shared" si="62"/>
        <v>70260.509999999995</v>
      </c>
      <c r="G44" s="68">
        <f t="shared" si="62"/>
        <v>30128.77</v>
      </c>
      <c r="H44" s="68">
        <f t="shared" si="62"/>
        <v>31215.74</v>
      </c>
      <c r="I44" s="68">
        <f t="shared" si="62"/>
        <v>92290.239999999991</v>
      </c>
      <c r="J44" s="68">
        <f t="shared" si="62"/>
        <v>100382.93000000002</v>
      </c>
      <c r="K44" s="68">
        <f t="shared" si="62"/>
        <v>29182.9</v>
      </c>
      <c r="L44" s="68">
        <f t="shared" ref="L44:O47" si="63">L22+L37</f>
        <v>204266</v>
      </c>
      <c r="M44" s="69">
        <f t="shared" si="63"/>
        <v>174465</v>
      </c>
      <c r="N44" s="69">
        <f t="shared" si="63"/>
        <v>51818</v>
      </c>
      <c r="O44" s="69">
        <f t="shared" si="63"/>
        <v>40275</v>
      </c>
      <c r="P44" s="69"/>
      <c r="Q44" s="69">
        <f>Q22+Q37</f>
        <v>926870.67999999993</v>
      </c>
      <c r="S44" s="85">
        <f t="shared" ref="S44:AD47" si="64">S22+S37</f>
        <v>50149.80930806377</v>
      </c>
      <c r="T44" s="85">
        <f t="shared" si="64"/>
        <v>112565.46810360235</v>
      </c>
      <c r="U44" s="85">
        <f t="shared" si="64"/>
        <v>99102.374915747787</v>
      </c>
      <c r="V44" s="85">
        <f t="shared" si="64"/>
        <v>46143.728762549239</v>
      </c>
      <c r="W44" s="85">
        <f t="shared" si="64"/>
        <v>43849.982169993411</v>
      </c>
      <c r="X44" s="69">
        <f t="shared" si="64"/>
        <v>181796.45929620505</v>
      </c>
      <c r="Y44" s="69">
        <f t="shared" si="64"/>
        <v>56918.116552443345</v>
      </c>
      <c r="Z44" s="69">
        <f t="shared" si="64"/>
        <v>57680.302348034682</v>
      </c>
      <c r="AA44" s="69">
        <f t="shared" si="64"/>
        <v>235448.23568391553</v>
      </c>
      <c r="AB44" s="69">
        <f t="shared" si="64"/>
        <v>236446.41397802468</v>
      </c>
      <c r="AC44" s="69">
        <f t="shared" si="64"/>
        <v>63157.126381362075</v>
      </c>
      <c r="AD44" s="69">
        <f t="shared" si="64"/>
        <v>62538.18070948821</v>
      </c>
      <c r="AE44" s="69"/>
      <c r="AF44" s="69">
        <f>AF22+AF37</f>
        <v>1245796.1982094301</v>
      </c>
      <c r="AH44" s="85">
        <f t="shared" ref="AH44:AS47" si="65">AH22+AH37</f>
        <v>61450.47752618973</v>
      </c>
      <c r="AI44" s="85">
        <f t="shared" si="65"/>
        <v>136475.28198930188</v>
      </c>
      <c r="AJ44" s="85">
        <f t="shared" si="65"/>
        <v>114854.57125568014</v>
      </c>
      <c r="AK44" s="85">
        <f t="shared" si="65"/>
        <v>71287.848581538157</v>
      </c>
      <c r="AL44" s="85">
        <f t="shared" si="65"/>
        <v>59259.826788147198</v>
      </c>
      <c r="AM44" s="69">
        <f t="shared" si="65"/>
        <v>187991.70446988745</v>
      </c>
      <c r="AN44" s="69">
        <f t="shared" si="65"/>
        <v>103710.110313571</v>
      </c>
      <c r="AO44" s="69">
        <f t="shared" si="65"/>
        <v>66600.369938557356</v>
      </c>
      <c r="AP44" s="69">
        <f t="shared" si="65"/>
        <v>277930.24257373356</v>
      </c>
      <c r="AQ44" s="69">
        <f t="shared" si="65"/>
        <v>274061.06124273059</v>
      </c>
      <c r="AR44" s="69">
        <f t="shared" si="65"/>
        <v>77565.194140135049</v>
      </c>
      <c r="AS44" s="69">
        <f t="shared" si="65"/>
        <v>76989.004599524458</v>
      </c>
      <c r="AT44" s="69"/>
      <c r="AU44" s="69">
        <f>AU22+AU37</f>
        <v>1508175.6934189964</v>
      </c>
    </row>
    <row r="45" spans="1:47" outlineLevel="1">
      <c r="B45" s="67" t="s">
        <v>112</v>
      </c>
      <c r="C45" s="52"/>
      <c r="D45" s="68">
        <f t="shared" ref="D45:K45" si="66">D23+D38</f>
        <v>-610.59</v>
      </c>
      <c r="E45" s="68">
        <f t="shared" si="66"/>
        <v>31289.09</v>
      </c>
      <c r="F45" s="68">
        <f t="shared" si="66"/>
        <v>-535.52</v>
      </c>
      <c r="G45" s="68">
        <f t="shared" si="66"/>
        <v>0</v>
      </c>
      <c r="H45" s="68">
        <f t="shared" si="66"/>
        <v>-43.37</v>
      </c>
      <c r="I45" s="68">
        <f t="shared" si="66"/>
        <v>0</v>
      </c>
      <c r="J45" s="68">
        <f t="shared" si="66"/>
        <v>27369.690000000002</v>
      </c>
      <c r="K45" s="68">
        <f t="shared" si="66"/>
        <v>-2940.49</v>
      </c>
      <c r="L45" s="68">
        <f t="shared" si="63"/>
        <v>7026</v>
      </c>
      <c r="M45" s="69">
        <f t="shared" si="63"/>
        <v>0</v>
      </c>
      <c r="N45" s="69">
        <f t="shared" si="63"/>
        <v>0</v>
      </c>
      <c r="O45" s="69">
        <f t="shared" si="63"/>
        <v>0</v>
      </c>
      <c r="P45" s="69"/>
      <c r="Q45" s="69">
        <f>Q23+Q38</f>
        <v>61554.81</v>
      </c>
      <c r="S45" s="85">
        <f t="shared" si="64"/>
        <v>3342.1849885210918</v>
      </c>
      <c r="T45" s="85">
        <f t="shared" si="64"/>
        <v>10026.554965563275</v>
      </c>
      <c r="U45" s="85">
        <f t="shared" si="64"/>
        <v>3342.1849885210918</v>
      </c>
      <c r="V45" s="85">
        <f t="shared" si="64"/>
        <v>8231.5892073481064</v>
      </c>
      <c r="W45" s="85">
        <f t="shared" si="64"/>
        <v>13198.121100101895</v>
      </c>
      <c r="X45" s="69">
        <f t="shared" si="64"/>
        <v>5860.2458215796951</v>
      </c>
      <c r="Y45" s="69">
        <f t="shared" si="64"/>
        <v>5880.7468501317535</v>
      </c>
      <c r="Z45" s="69">
        <f t="shared" si="64"/>
        <v>12469.922247833827</v>
      </c>
      <c r="AA45" s="69">
        <f t="shared" si="64"/>
        <v>6671.1996573717815</v>
      </c>
      <c r="AB45" s="69">
        <f t="shared" si="64"/>
        <v>11431.840678388489</v>
      </c>
      <c r="AC45" s="69">
        <f t="shared" si="64"/>
        <v>8446.8825397202854</v>
      </c>
      <c r="AD45" s="69">
        <f t="shared" si="64"/>
        <v>7919.3961355535057</v>
      </c>
      <c r="AE45" s="69"/>
      <c r="AF45" s="69">
        <f>AF23+AF38</f>
        <v>96820.869180634807</v>
      </c>
      <c r="AH45" s="85">
        <f t="shared" si="65"/>
        <v>3509.294237947146</v>
      </c>
      <c r="AI45" s="85">
        <f t="shared" si="65"/>
        <v>10527.882713841438</v>
      </c>
      <c r="AJ45" s="85">
        <f t="shared" si="65"/>
        <v>3509.294237947146</v>
      </c>
      <c r="AK45" s="85">
        <f t="shared" si="65"/>
        <v>12854.321753252085</v>
      </c>
      <c r="AL45" s="85">
        <f t="shared" si="65"/>
        <v>19472.897935822421</v>
      </c>
      <c r="AM45" s="69">
        <f t="shared" si="65"/>
        <v>11768.128893374114</v>
      </c>
      <c r="AN45" s="69">
        <f t="shared" si="65"/>
        <v>10385.937278174919</v>
      </c>
      <c r="AO45" s="69">
        <f t="shared" si="65"/>
        <v>18708.289140940953</v>
      </c>
      <c r="AP45" s="69">
        <f t="shared" si="65"/>
        <v>12619.630420955806</v>
      </c>
      <c r="AQ45" s="69">
        <f t="shared" si="65"/>
        <v>16214.585797844487</v>
      </c>
      <c r="AR45" s="69">
        <f t="shared" si="65"/>
        <v>13080.379752242876</v>
      </c>
      <c r="AS45" s="69">
        <f t="shared" si="65"/>
        <v>13930.236723046613</v>
      </c>
      <c r="AT45" s="69"/>
      <c r="AU45" s="69">
        <f>AU23+AU38</f>
        <v>146580.87888539</v>
      </c>
    </row>
    <row r="46" spans="1:47" outlineLevel="1">
      <c r="B46" s="67" t="s">
        <v>113</v>
      </c>
      <c r="C46" s="52"/>
      <c r="D46" s="68">
        <f t="shared" ref="D46:K46" si="67">D24+D39</f>
        <v>0</v>
      </c>
      <c r="E46" s="68">
        <f t="shared" si="67"/>
        <v>0</v>
      </c>
      <c r="F46" s="68">
        <f t="shared" si="67"/>
        <v>0</v>
      </c>
      <c r="G46" s="68">
        <f t="shared" si="67"/>
        <v>0</v>
      </c>
      <c r="H46" s="68">
        <f t="shared" si="67"/>
        <v>0</v>
      </c>
      <c r="I46" s="68">
        <f t="shared" si="67"/>
        <v>0</v>
      </c>
      <c r="J46" s="68">
        <f t="shared" si="67"/>
        <v>0</v>
      </c>
      <c r="K46" s="68">
        <f t="shared" si="67"/>
        <v>0</v>
      </c>
      <c r="L46" s="68">
        <f t="shared" ca="1" si="63"/>
        <v>0</v>
      </c>
      <c r="M46" s="69">
        <f t="shared" si="63"/>
        <v>0</v>
      </c>
      <c r="N46" s="69">
        <f t="shared" si="63"/>
        <v>0</v>
      </c>
      <c r="O46" s="69">
        <f t="shared" si="63"/>
        <v>0</v>
      </c>
      <c r="P46" s="69"/>
      <c r="Q46" s="69">
        <f ca="1">Q24+Q39</f>
        <v>0</v>
      </c>
      <c r="S46" s="85">
        <f t="shared" ca="1" si="64"/>
        <v>0</v>
      </c>
      <c r="T46" s="85">
        <f t="shared" ca="1" si="64"/>
        <v>0</v>
      </c>
      <c r="U46" s="85">
        <f t="shared" ca="1" si="64"/>
        <v>0</v>
      </c>
      <c r="V46" s="85">
        <f t="shared" ca="1" si="64"/>
        <v>0</v>
      </c>
      <c r="W46" s="85">
        <f t="shared" ca="1" si="64"/>
        <v>0</v>
      </c>
      <c r="X46" s="69">
        <f t="shared" ca="1" si="64"/>
        <v>0</v>
      </c>
      <c r="Y46" s="69">
        <f t="shared" ca="1" si="64"/>
        <v>0</v>
      </c>
      <c r="Z46" s="69">
        <f t="shared" ca="1" si="64"/>
        <v>0</v>
      </c>
      <c r="AA46" s="69">
        <f t="shared" ca="1" si="64"/>
        <v>0</v>
      </c>
      <c r="AB46" s="69">
        <f t="shared" ca="1" si="64"/>
        <v>0</v>
      </c>
      <c r="AC46" s="69">
        <f t="shared" ca="1" si="64"/>
        <v>0</v>
      </c>
      <c r="AD46" s="69">
        <f t="shared" ca="1" si="64"/>
        <v>0</v>
      </c>
      <c r="AE46" s="69"/>
      <c r="AF46" s="69">
        <f ca="1">AF24+AF39</f>
        <v>0</v>
      </c>
      <c r="AH46" s="85">
        <f t="shared" ca="1" si="65"/>
        <v>0</v>
      </c>
      <c r="AI46" s="85">
        <f t="shared" ca="1" si="65"/>
        <v>0</v>
      </c>
      <c r="AJ46" s="85">
        <f t="shared" ca="1" si="65"/>
        <v>0</v>
      </c>
      <c r="AK46" s="85">
        <f t="shared" ca="1" si="65"/>
        <v>0</v>
      </c>
      <c r="AL46" s="85">
        <f t="shared" ca="1" si="65"/>
        <v>0</v>
      </c>
      <c r="AM46" s="69">
        <f t="shared" ca="1" si="65"/>
        <v>0</v>
      </c>
      <c r="AN46" s="69">
        <f t="shared" ca="1" si="65"/>
        <v>0</v>
      </c>
      <c r="AO46" s="69">
        <f t="shared" ca="1" si="65"/>
        <v>0</v>
      </c>
      <c r="AP46" s="69">
        <f t="shared" ca="1" si="65"/>
        <v>0</v>
      </c>
      <c r="AQ46" s="69">
        <f t="shared" ca="1" si="65"/>
        <v>0</v>
      </c>
      <c r="AR46" s="69">
        <f t="shared" ca="1" si="65"/>
        <v>0</v>
      </c>
      <c r="AS46" s="69">
        <f t="shared" ca="1" si="65"/>
        <v>0</v>
      </c>
      <c r="AT46" s="69"/>
      <c r="AU46" s="69">
        <f ca="1">AU24+AU39</f>
        <v>0</v>
      </c>
    </row>
    <row r="47" spans="1:47" outlineLevel="1">
      <c r="B47" s="67" t="s">
        <v>114</v>
      </c>
      <c r="C47" s="52"/>
      <c r="D47" s="68">
        <f t="shared" ref="D47:K47" si="68">D25+D40</f>
        <v>0</v>
      </c>
      <c r="E47" s="68">
        <f t="shared" si="68"/>
        <v>0</v>
      </c>
      <c r="F47" s="68">
        <f t="shared" si="68"/>
        <v>0</v>
      </c>
      <c r="G47" s="68">
        <f t="shared" si="68"/>
        <v>0</v>
      </c>
      <c r="H47" s="68">
        <f t="shared" si="68"/>
        <v>0</v>
      </c>
      <c r="I47" s="68">
        <f t="shared" si="68"/>
        <v>0</v>
      </c>
      <c r="J47" s="68">
        <f t="shared" si="68"/>
        <v>0</v>
      </c>
      <c r="K47" s="68">
        <f t="shared" si="68"/>
        <v>0</v>
      </c>
      <c r="L47" s="68">
        <f t="shared" si="63"/>
        <v>0</v>
      </c>
      <c r="M47" s="69">
        <f t="shared" si="63"/>
        <v>0</v>
      </c>
      <c r="N47" s="69">
        <f t="shared" si="63"/>
        <v>0</v>
      </c>
      <c r="O47" s="69">
        <f t="shared" si="63"/>
        <v>0</v>
      </c>
      <c r="P47" s="69"/>
      <c r="Q47" s="69">
        <f>Q25+Q40</f>
        <v>0</v>
      </c>
      <c r="S47" s="85">
        <f t="shared" si="64"/>
        <v>0</v>
      </c>
      <c r="T47" s="85">
        <f t="shared" si="64"/>
        <v>0</v>
      </c>
      <c r="U47" s="85">
        <f t="shared" si="64"/>
        <v>0</v>
      </c>
      <c r="V47" s="85">
        <f t="shared" si="64"/>
        <v>0</v>
      </c>
      <c r="W47" s="85">
        <f t="shared" si="64"/>
        <v>0</v>
      </c>
      <c r="X47" s="69">
        <f t="shared" si="64"/>
        <v>0</v>
      </c>
      <c r="Y47" s="69">
        <f t="shared" si="64"/>
        <v>0</v>
      </c>
      <c r="Z47" s="69">
        <f t="shared" si="64"/>
        <v>0</v>
      </c>
      <c r="AA47" s="69">
        <f t="shared" si="64"/>
        <v>0</v>
      </c>
      <c r="AB47" s="69">
        <f t="shared" si="64"/>
        <v>0</v>
      </c>
      <c r="AC47" s="69">
        <f t="shared" si="64"/>
        <v>0</v>
      </c>
      <c r="AD47" s="69">
        <f t="shared" si="64"/>
        <v>0</v>
      </c>
      <c r="AE47" s="69"/>
      <c r="AF47" s="69">
        <f>AF25+AF40</f>
        <v>0</v>
      </c>
      <c r="AH47" s="85">
        <f t="shared" si="65"/>
        <v>0</v>
      </c>
      <c r="AI47" s="85">
        <f t="shared" si="65"/>
        <v>0</v>
      </c>
      <c r="AJ47" s="85">
        <f t="shared" si="65"/>
        <v>0</v>
      </c>
      <c r="AK47" s="85">
        <f t="shared" si="65"/>
        <v>0</v>
      </c>
      <c r="AL47" s="85">
        <f t="shared" si="65"/>
        <v>0</v>
      </c>
      <c r="AM47" s="69">
        <f t="shared" si="65"/>
        <v>0</v>
      </c>
      <c r="AN47" s="69">
        <f t="shared" si="65"/>
        <v>0</v>
      </c>
      <c r="AO47" s="69">
        <f t="shared" si="65"/>
        <v>0</v>
      </c>
      <c r="AP47" s="69">
        <f t="shared" si="65"/>
        <v>0</v>
      </c>
      <c r="AQ47" s="69">
        <f t="shared" si="65"/>
        <v>0</v>
      </c>
      <c r="AR47" s="69">
        <f t="shared" si="65"/>
        <v>0</v>
      </c>
      <c r="AS47" s="69">
        <f t="shared" si="65"/>
        <v>0</v>
      </c>
      <c r="AT47" s="69"/>
      <c r="AU47" s="69">
        <f>AU25+AU40</f>
        <v>0</v>
      </c>
    </row>
    <row r="48" spans="1:47">
      <c r="B48" s="67" t="s">
        <v>115</v>
      </c>
      <c r="C48" s="52"/>
      <c r="D48" s="68">
        <f t="shared" ref="D48:K48" si="69">D26+D42</f>
        <v>17669.97</v>
      </c>
      <c r="E48" s="68">
        <f t="shared" si="69"/>
        <v>115594.12000000001</v>
      </c>
      <c r="F48" s="68">
        <f t="shared" si="69"/>
        <v>69724.989999999991</v>
      </c>
      <c r="G48" s="68">
        <f t="shared" si="69"/>
        <v>30128.77</v>
      </c>
      <c r="H48" s="68">
        <f t="shared" si="69"/>
        <v>31172.370000000003</v>
      </c>
      <c r="I48" s="68">
        <f t="shared" si="69"/>
        <v>92290.239999999991</v>
      </c>
      <c r="J48" s="68">
        <f t="shared" si="69"/>
        <v>127752.62000000004</v>
      </c>
      <c r="K48" s="68">
        <f t="shared" si="69"/>
        <v>26242.410000000003</v>
      </c>
      <c r="L48" s="68">
        <f t="shared" ref="L48:Q48" ca="1" si="70">L26+L42</f>
        <v>211292</v>
      </c>
      <c r="M48" s="69">
        <f t="shared" si="70"/>
        <v>174465</v>
      </c>
      <c r="N48" s="69">
        <f t="shared" si="70"/>
        <v>51818</v>
      </c>
      <c r="O48" s="69">
        <f t="shared" si="70"/>
        <v>40275</v>
      </c>
      <c r="P48" s="69"/>
      <c r="Q48" s="69">
        <f t="shared" ca="1" si="70"/>
        <v>988425.49</v>
      </c>
      <c r="S48" s="85">
        <f ca="1">S26+S42</f>
        <v>53491.99429658486</v>
      </c>
      <c r="T48" s="85">
        <f t="shared" ref="T48:AD48" ca="1" si="71">T26+T42</f>
        <v>122592.02306916563</v>
      </c>
      <c r="U48" s="85">
        <f t="shared" ca="1" si="71"/>
        <v>102444.55990426888</v>
      </c>
      <c r="V48" s="85">
        <f t="shared" ca="1" si="71"/>
        <v>54375.31796989734</v>
      </c>
      <c r="W48" s="85">
        <f t="shared" ca="1" si="71"/>
        <v>57048.103270095315</v>
      </c>
      <c r="X48" s="69">
        <f t="shared" ca="1" si="71"/>
        <v>187656.70511778473</v>
      </c>
      <c r="Y48" s="69">
        <f t="shared" ca="1" si="71"/>
        <v>62798.863402575116</v>
      </c>
      <c r="Z48" s="69">
        <f t="shared" ca="1" si="71"/>
        <v>70150.224595868494</v>
      </c>
      <c r="AA48" s="69">
        <f t="shared" ca="1" si="71"/>
        <v>242119.43534128735</v>
      </c>
      <c r="AB48" s="69">
        <f t="shared" ca="1" si="71"/>
        <v>247878.25465641313</v>
      </c>
      <c r="AC48" s="69">
        <f t="shared" ca="1" si="71"/>
        <v>71604.008921082364</v>
      </c>
      <c r="AD48" s="69">
        <f t="shared" ca="1" si="71"/>
        <v>70457.576845041709</v>
      </c>
      <c r="AE48" s="69"/>
      <c r="AF48" s="69">
        <f t="shared" ref="AF48" ca="1" si="72">AF26+AF42</f>
        <v>1342617.0673900647</v>
      </c>
      <c r="AH48" s="85">
        <f ca="1">AH26+AH42</f>
        <v>64959.77176413688</v>
      </c>
      <c r="AI48" s="85">
        <f t="shared" ref="AI48:AS48" ca="1" si="73">AI26+AI42</f>
        <v>147003.16470314332</v>
      </c>
      <c r="AJ48" s="85">
        <f t="shared" ca="1" si="73"/>
        <v>118363.86549362728</v>
      </c>
      <c r="AK48" s="85">
        <f t="shared" ca="1" si="73"/>
        <v>84142.170334790251</v>
      </c>
      <c r="AL48" s="85">
        <f t="shared" ca="1" si="73"/>
        <v>78732.72472396963</v>
      </c>
      <c r="AM48" s="69">
        <f t="shared" ca="1" si="73"/>
        <v>199759.8333632616</v>
      </c>
      <c r="AN48" s="69">
        <f t="shared" ca="1" si="73"/>
        <v>114096.04759174593</v>
      </c>
      <c r="AO48" s="69">
        <f t="shared" ca="1" si="73"/>
        <v>85308.65907949832</v>
      </c>
      <c r="AP48" s="69">
        <f t="shared" ca="1" si="73"/>
        <v>290549.87299468933</v>
      </c>
      <c r="AQ48" s="69">
        <f t="shared" ca="1" si="73"/>
        <v>290275.6470405751</v>
      </c>
      <c r="AR48" s="69">
        <f t="shared" ca="1" si="73"/>
        <v>90645.573892377899</v>
      </c>
      <c r="AS48" s="69">
        <f t="shared" ca="1" si="73"/>
        <v>90919.241322571092</v>
      </c>
      <c r="AT48" s="69"/>
      <c r="AU48" s="69">
        <f t="shared" ref="AU48" ca="1" si="74">AU26+AU42</f>
        <v>1654756.5723043862</v>
      </c>
    </row>
    <row r="49" spans="2:47">
      <c r="B49" s="52"/>
      <c r="C49" s="52"/>
      <c r="D49" s="70"/>
      <c r="E49" s="70"/>
      <c r="F49" s="70"/>
      <c r="G49" s="70"/>
      <c r="H49" s="70"/>
      <c r="I49" s="70"/>
      <c r="J49" s="70"/>
      <c r="K49" s="70"/>
      <c r="L49" s="70"/>
      <c r="M49" s="52"/>
      <c r="N49" s="52"/>
      <c r="O49" s="52"/>
      <c r="P49" s="52"/>
      <c r="S49" s="10"/>
      <c r="T49" s="10"/>
      <c r="U49" s="10"/>
      <c r="V49" s="10"/>
      <c r="W49" s="10"/>
      <c r="X49" s="52"/>
      <c r="Y49" s="52"/>
      <c r="Z49" s="52"/>
      <c r="AA49" s="52"/>
      <c r="AB49" s="52"/>
      <c r="AC49" s="52"/>
      <c r="AD49" s="52"/>
      <c r="AE49" s="52"/>
      <c r="AH49" s="10"/>
      <c r="AI49" s="10"/>
      <c r="AJ49" s="10"/>
      <c r="AK49" s="10"/>
      <c r="AL49" s="10"/>
      <c r="AM49" s="52"/>
      <c r="AN49" s="52"/>
      <c r="AO49" s="52"/>
      <c r="AP49" s="52"/>
      <c r="AQ49" s="52"/>
      <c r="AR49" s="52"/>
      <c r="AS49" s="52"/>
      <c r="AT49" s="52"/>
    </row>
    <row r="50" spans="2:47" outlineLevel="1">
      <c r="B50" s="67" t="s">
        <v>116</v>
      </c>
      <c r="C50" s="52"/>
      <c r="D50" s="97">
        <f t="shared" ref="D50:K50" si="75">IFERROR(D44/D6,0)</f>
        <v>0.58544346464308417</v>
      </c>
      <c r="E50" s="97">
        <f t="shared" si="75"/>
        <v>0.63612251003644094</v>
      </c>
      <c r="F50" s="97">
        <f t="shared" si="75"/>
        <v>0.60716569575014745</v>
      </c>
      <c r="G50" s="97">
        <f t="shared" si="75"/>
        <v>0.67607154309251294</v>
      </c>
      <c r="H50" s="97">
        <f t="shared" si="75"/>
        <v>0.67131894108963786</v>
      </c>
      <c r="I50" s="97">
        <f t="shared" si="75"/>
        <v>0.58371197983975753</v>
      </c>
      <c r="J50" s="97">
        <f t="shared" si="75"/>
        <v>0.57443148364889429</v>
      </c>
      <c r="K50" s="97">
        <f t="shared" si="75"/>
        <v>0.6404604360755396</v>
      </c>
      <c r="L50" s="97">
        <f t="shared" ref="L50:O53" si="76">IFERROR(L44/L6,0)</f>
        <v>0.5550058009526061</v>
      </c>
      <c r="M50" s="91">
        <f t="shared" si="76"/>
        <v>0.57961794019933555</v>
      </c>
      <c r="N50" s="91">
        <f t="shared" si="76"/>
        <v>0.60962352941176468</v>
      </c>
      <c r="O50" s="91">
        <f t="shared" si="76"/>
        <v>0.61961538461538457</v>
      </c>
      <c r="P50" s="91"/>
      <c r="Q50" s="91">
        <f>IFERROR(Q44/Q6,0)</f>
        <v>0.59111400568503969</v>
      </c>
      <c r="S50" s="423">
        <f t="shared" ref="S50:AD53" si="77">IFERROR(S44/S6,0)</f>
        <v>0.60088621103990536</v>
      </c>
      <c r="T50" s="423">
        <f t="shared" si="77"/>
        <v>0.60088621103990536</v>
      </c>
      <c r="U50" s="423">
        <f t="shared" si="77"/>
        <v>0.60088621103990536</v>
      </c>
      <c r="V50" s="423">
        <f t="shared" si="77"/>
        <v>0.60088621103990547</v>
      </c>
      <c r="W50" s="423">
        <f t="shared" si="77"/>
        <v>0.60088621103990547</v>
      </c>
      <c r="X50" s="423">
        <f t="shared" si="77"/>
        <v>0.60088621103990547</v>
      </c>
      <c r="Y50" s="423">
        <f t="shared" si="77"/>
        <v>0.60088621103990536</v>
      </c>
      <c r="Z50" s="423">
        <f t="shared" si="77"/>
        <v>0.60088621103990547</v>
      </c>
      <c r="AA50" s="423">
        <f t="shared" si="77"/>
        <v>0.60088621103990547</v>
      </c>
      <c r="AB50" s="91">
        <f t="shared" si="77"/>
        <v>0.60088621103990536</v>
      </c>
      <c r="AC50" s="91">
        <f t="shared" si="77"/>
        <v>0.60088621103990536</v>
      </c>
      <c r="AD50" s="91">
        <f t="shared" si="77"/>
        <v>0.60088621103990547</v>
      </c>
      <c r="AE50" s="91"/>
      <c r="AF50" s="91">
        <f>IFERROR(AF44/AF6,0)</f>
        <v>0.60088621103990547</v>
      </c>
      <c r="AH50" s="91">
        <f t="shared" ref="AH50:AS53" si="78">IFERROR(AH44/AH6,0)</f>
        <v>0.60088621103990547</v>
      </c>
      <c r="AI50" s="91">
        <f t="shared" si="78"/>
        <v>0.60088621103990536</v>
      </c>
      <c r="AJ50" s="91">
        <f t="shared" si="78"/>
        <v>0.60088621103990536</v>
      </c>
      <c r="AK50" s="91">
        <f t="shared" si="78"/>
        <v>0.60088621103990547</v>
      </c>
      <c r="AL50" s="91">
        <f t="shared" si="78"/>
        <v>0.60088621103990536</v>
      </c>
      <c r="AM50" s="91">
        <f t="shared" si="78"/>
        <v>0.60088621103990536</v>
      </c>
      <c r="AN50" s="91">
        <f t="shared" si="78"/>
        <v>0.60088621103990547</v>
      </c>
      <c r="AO50" s="91">
        <f t="shared" si="78"/>
        <v>0.60088621103990547</v>
      </c>
      <c r="AP50" s="91">
        <f t="shared" si="78"/>
        <v>0.60088621103990547</v>
      </c>
      <c r="AQ50" s="91">
        <f t="shared" si="78"/>
        <v>0.60088621103990547</v>
      </c>
      <c r="AR50" s="91">
        <f t="shared" si="78"/>
        <v>0.60088621103990547</v>
      </c>
      <c r="AS50" s="91">
        <f t="shared" si="78"/>
        <v>0.60088621103990547</v>
      </c>
      <c r="AT50" s="91"/>
      <c r="AU50" s="91">
        <f>IFERROR(AU44/AU6,0)</f>
        <v>0.60088621103990547</v>
      </c>
    </row>
    <row r="51" spans="2:47" outlineLevel="1">
      <c r="B51" s="67" t="s">
        <v>117</v>
      </c>
      <c r="C51" s="52"/>
      <c r="D51" s="97">
        <f t="shared" ref="D51:K51" si="79">IFERROR(D45/D7,0)</f>
        <v>0</v>
      </c>
      <c r="E51" s="97">
        <f t="shared" si="79"/>
        <v>0.97263275626463341</v>
      </c>
      <c r="F51" s="97">
        <f t="shared" si="79"/>
        <v>1.5870080606922712</v>
      </c>
      <c r="G51" s="97">
        <f t="shared" si="79"/>
        <v>0</v>
      </c>
      <c r="H51" s="97">
        <f t="shared" si="79"/>
        <v>0</v>
      </c>
      <c r="I51" s="97">
        <f t="shared" si="79"/>
        <v>0</v>
      </c>
      <c r="J51" s="97">
        <f t="shared" si="79"/>
        <v>0.566076591836988</v>
      </c>
      <c r="K51" s="97">
        <f t="shared" si="79"/>
        <v>0</v>
      </c>
      <c r="L51" s="97">
        <f t="shared" si="76"/>
        <v>0.47091152815013404</v>
      </c>
      <c r="M51" s="91">
        <f t="shared" si="76"/>
        <v>0</v>
      </c>
      <c r="N51" s="91">
        <f t="shared" si="76"/>
        <v>0</v>
      </c>
      <c r="O51" s="91">
        <f t="shared" si="76"/>
        <v>0</v>
      </c>
      <c r="P51" s="91"/>
      <c r="Q51" s="91">
        <f>IFERROR(Q45/Q7,0)</f>
        <v>0.64725151479719001</v>
      </c>
      <c r="S51" s="423">
        <f t="shared" si="77"/>
        <v>0.66843699770421838</v>
      </c>
      <c r="T51" s="423">
        <f t="shared" si="77"/>
        <v>0.66843699770421827</v>
      </c>
      <c r="U51" s="423">
        <f t="shared" si="77"/>
        <v>0.66843699770421838</v>
      </c>
      <c r="V51" s="423">
        <f t="shared" si="77"/>
        <v>0.66843699770421838</v>
      </c>
      <c r="W51" s="423">
        <f t="shared" si="77"/>
        <v>0.66843699770421838</v>
      </c>
      <c r="X51" s="423">
        <f t="shared" si="77"/>
        <v>0.66843699770421838</v>
      </c>
      <c r="Y51" s="423">
        <f t="shared" si="77"/>
        <v>0.66843699770421827</v>
      </c>
      <c r="Z51" s="423">
        <f t="shared" si="77"/>
        <v>0.66843699770421827</v>
      </c>
      <c r="AA51" s="423">
        <f t="shared" si="77"/>
        <v>0.66843699770421838</v>
      </c>
      <c r="AB51" s="91">
        <f t="shared" si="77"/>
        <v>0.66843699770421838</v>
      </c>
      <c r="AC51" s="91">
        <f t="shared" si="77"/>
        <v>0.66843699770421838</v>
      </c>
      <c r="AD51" s="91">
        <f t="shared" si="77"/>
        <v>0.66843699770421838</v>
      </c>
      <c r="AE51" s="91"/>
      <c r="AF51" s="91">
        <f>IFERROR(AF45/AF7,0)</f>
        <v>0.66843699770421838</v>
      </c>
      <c r="AH51" s="91">
        <f t="shared" si="78"/>
        <v>0.66843699770421827</v>
      </c>
      <c r="AI51" s="91">
        <f t="shared" si="78"/>
        <v>0.66843699770421827</v>
      </c>
      <c r="AJ51" s="91">
        <f t="shared" si="78"/>
        <v>0.66843699770421827</v>
      </c>
      <c r="AK51" s="91">
        <f t="shared" si="78"/>
        <v>0.66843699770421827</v>
      </c>
      <c r="AL51" s="91">
        <f t="shared" si="78"/>
        <v>0.66843699770421827</v>
      </c>
      <c r="AM51" s="91">
        <f t="shared" si="78"/>
        <v>0.66843699770421827</v>
      </c>
      <c r="AN51" s="91">
        <f t="shared" si="78"/>
        <v>0.66843699770421838</v>
      </c>
      <c r="AO51" s="91">
        <f t="shared" si="78"/>
        <v>0.66843699770421838</v>
      </c>
      <c r="AP51" s="91">
        <f t="shared" si="78"/>
        <v>0.66843699770421838</v>
      </c>
      <c r="AQ51" s="91">
        <f t="shared" si="78"/>
        <v>0.66843699770421827</v>
      </c>
      <c r="AR51" s="91">
        <f t="shared" si="78"/>
        <v>0.66843699770421838</v>
      </c>
      <c r="AS51" s="91">
        <f t="shared" si="78"/>
        <v>0.66843699770421827</v>
      </c>
      <c r="AT51" s="91"/>
      <c r="AU51" s="91">
        <f>IFERROR(AU45/AU7,0)</f>
        <v>0.66843699770421838</v>
      </c>
    </row>
    <row r="52" spans="2:47" outlineLevel="1">
      <c r="B52" s="67" t="s">
        <v>118</v>
      </c>
      <c r="C52" s="52"/>
      <c r="D52" s="97">
        <f t="shared" ref="D52:K52" si="80">IFERROR(D46/D8,0)</f>
        <v>0</v>
      </c>
      <c r="E52" s="97">
        <f t="shared" si="80"/>
        <v>0</v>
      </c>
      <c r="F52" s="97">
        <f t="shared" si="80"/>
        <v>0</v>
      </c>
      <c r="G52" s="97">
        <f t="shared" si="80"/>
        <v>0</v>
      </c>
      <c r="H52" s="97">
        <f t="shared" si="80"/>
        <v>0</v>
      </c>
      <c r="I52" s="97">
        <f t="shared" si="80"/>
        <v>0</v>
      </c>
      <c r="J52" s="97">
        <f t="shared" si="80"/>
        <v>0</v>
      </c>
      <c r="K52" s="97">
        <f t="shared" si="80"/>
        <v>0</v>
      </c>
      <c r="L52" s="97">
        <f t="shared" ca="1" si="76"/>
        <v>0</v>
      </c>
      <c r="M52" s="91">
        <f t="shared" si="76"/>
        <v>0</v>
      </c>
      <c r="N52" s="91">
        <f t="shared" si="76"/>
        <v>0</v>
      </c>
      <c r="O52" s="91">
        <f t="shared" si="76"/>
        <v>0</v>
      </c>
      <c r="P52" s="91"/>
      <c r="Q52" s="91">
        <f ca="1">IFERROR(Q46/Q8,0)</f>
        <v>0</v>
      </c>
      <c r="S52" s="423">
        <f t="shared" ca="1" si="77"/>
        <v>0</v>
      </c>
      <c r="T52" s="423">
        <f t="shared" ca="1" si="77"/>
        <v>0</v>
      </c>
      <c r="U52" s="423">
        <f t="shared" ca="1" si="77"/>
        <v>0</v>
      </c>
      <c r="V52" s="423">
        <f t="shared" ca="1" si="77"/>
        <v>0</v>
      </c>
      <c r="W52" s="423">
        <f t="shared" ca="1" si="77"/>
        <v>0</v>
      </c>
      <c r="X52" s="423">
        <f t="shared" ca="1" si="77"/>
        <v>0</v>
      </c>
      <c r="Y52" s="423">
        <f t="shared" ca="1" si="77"/>
        <v>0</v>
      </c>
      <c r="Z52" s="423">
        <f t="shared" ca="1" si="77"/>
        <v>0</v>
      </c>
      <c r="AA52" s="423">
        <f t="shared" ca="1" si="77"/>
        <v>0</v>
      </c>
      <c r="AB52" s="91">
        <f t="shared" ca="1" si="77"/>
        <v>0</v>
      </c>
      <c r="AC52" s="91">
        <f t="shared" ca="1" si="77"/>
        <v>0</v>
      </c>
      <c r="AD52" s="91">
        <f t="shared" ca="1" si="77"/>
        <v>0</v>
      </c>
      <c r="AE52" s="91"/>
      <c r="AF52" s="91">
        <f ca="1">IFERROR(AF46/AF8,0)</f>
        <v>0</v>
      </c>
      <c r="AH52" s="91">
        <f t="shared" ca="1" si="78"/>
        <v>0</v>
      </c>
      <c r="AI52" s="91">
        <f t="shared" ca="1" si="78"/>
        <v>0</v>
      </c>
      <c r="AJ52" s="91">
        <f t="shared" ca="1" si="78"/>
        <v>0</v>
      </c>
      <c r="AK52" s="91">
        <f t="shared" ca="1" si="78"/>
        <v>0</v>
      </c>
      <c r="AL52" s="91">
        <f t="shared" ca="1" si="78"/>
        <v>0</v>
      </c>
      <c r="AM52" s="91">
        <f t="shared" ca="1" si="78"/>
        <v>0</v>
      </c>
      <c r="AN52" s="91">
        <f t="shared" ca="1" si="78"/>
        <v>0</v>
      </c>
      <c r="AO52" s="91">
        <f t="shared" ca="1" si="78"/>
        <v>0</v>
      </c>
      <c r="AP52" s="91">
        <f t="shared" ca="1" si="78"/>
        <v>0</v>
      </c>
      <c r="AQ52" s="91">
        <f t="shared" ca="1" si="78"/>
        <v>0</v>
      </c>
      <c r="AR52" s="91">
        <f t="shared" ca="1" si="78"/>
        <v>0</v>
      </c>
      <c r="AS52" s="91">
        <f t="shared" ca="1" si="78"/>
        <v>0</v>
      </c>
      <c r="AT52" s="91"/>
      <c r="AU52" s="91">
        <f ca="1">IFERROR(AU46/AU8,0)</f>
        <v>0</v>
      </c>
    </row>
    <row r="53" spans="2:47" outlineLevel="1">
      <c r="B53" s="67" t="s">
        <v>119</v>
      </c>
      <c r="C53" s="52"/>
      <c r="D53" s="97">
        <f t="shared" ref="D53:K53" si="81">IFERROR(D47/D9,0)</f>
        <v>0</v>
      </c>
      <c r="E53" s="97">
        <f t="shared" si="81"/>
        <v>0</v>
      </c>
      <c r="F53" s="97">
        <f t="shared" si="81"/>
        <v>0</v>
      </c>
      <c r="G53" s="97">
        <f t="shared" si="81"/>
        <v>0</v>
      </c>
      <c r="H53" s="97">
        <f t="shared" si="81"/>
        <v>0</v>
      </c>
      <c r="I53" s="97">
        <f t="shared" si="81"/>
        <v>0</v>
      </c>
      <c r="J53" s="97">
        <f t="shared" si="81"/>
        <v>0</v>
      </c>
      <c r="K53" s="97">
        <f t="shared" si="81"/>
        <v>0</v>
      </c>
      <c r="L53" s="97">
        <f t="shared" si="76"/>
        <v>0</v>
      </c>
      <c r="M53" s="91">
        <f t="shared" si="76"/>
        <v>0</v>
      </c>
      <c r="N53" s="91">
        <f t="shared" si="76"/>
        <v>0</v>
      </c>
      <c r="O53" s="91">
        <f t="shared" si="76"/>
        <v>0</v>
      </c>
      <c r="P53" s="91"/>
      <c r="Q53" s="91">
        <f>IFERROR(Q47/Q9,0)</f>
        <v>0</v>
      </c>
      <c r="S53" s="423">
        <f t="shared" si="77"/>
        <v>0</v>
      </c>
      <c r="T53" s="423">
        <f t="shared" si="77"/>
        <v>0</v>
      </c>
      <c r="U53" s="423">
        <f t="shared" si="77"/>
        <v>0</v>
      </c>
      <c r="V53" s="423">
        <f t="shared" si="77"/>
        <v>0</v>
      </c>
      <c r="W53" s="423">
        <f t="shared" si="77"/>
        <v>0</v>
      </c>
      <c r="X53" s="423">
        <f t="shared" si="77"/>
        <v>0</v>
      </c>
      <c r="Y53" s="423">
        <f t="shared" si="77"/>
        <v>0</v>
      </c>
      <c r="Z53" s="423">
        <f t="shared" si="77"/>
        <v>0</v>
      </c>
      <c r="AA53" s="423">
        <f t="shared" si="77"/>
        <v>0</v>
      </c>
      <c r="AB53" s="91">
        <f t="shared" si="77"/>
        <v>0</v>
      </c>
      <c r="AC53" s="91">
        <f t="shared" si="77"/>
        <v>0</v>
      </c>
      <c r="AD53" s="91">
        <f t="shared" si="77"/>
        <v>0</v>
      </c>
      <c r="AE53" s="91"/>
      <c r="AF53" s="91">
        <f>IFERROR(AF47/AF9,0)</f>
        <v>0</v>
      </c>
      <c r="AH53" s="91">
        <f t="shared" si="78"/>
        <v>0</v>
      </c>
      <c r="AI53" s="91">
        <f t="shared" si="78"/>
        <v>0</v>
      </c>
      <c r="AJ53" s="91">
        <f t="shared" si="78"/>
        <v>0</v>
      </c>
      <c r="AK53" s="91">
        <f t="shared" si="78"/>
        <v>0</v>
      </c>
      <c r="AL53" s="91">
        <f t="shared" si="78"/>
        <v>0</v>
      </c>
      <c r="AM53" s="91">
        <f t="shared" si="78"/>
        <v>0</v>
      </c>
      <c r="AN53" s="91">
        <f t="shared" si="78"/>
        <v>0</v>
      </c>
      <c r="AO53" s="91">
        <f t="shared" si="78"/>
        <v>0</v>
      </c>
      <c r="AP53" s="91">
        <f t="shared" si="78"/>
        <v>0</v>
      </c>
      <c r="AQ53" s="91">
        <f t="shared" si="78"/>
        <v>0</v>
      </c>
      <c r="AR53" s="91">
        <f t="shared" si="78"/>
        <v>0</v>
      </c>
      <c r="AS53" s="91">
        <f t="shared" si="78"/>
        <v>0</v>
      </c>
      <c r="AT53" s="91"/>
      <c r="AU53" s="91">
        <f>IFERROR(AU47/AU9,0)</f>
        <v>0</v>
      </c>
    </row>
    <row r="54" spans="2:47">
      <c r="B54" s="72" t="s">
        <v>120</v>
      </c>
      <c r="C54" s="73"/>
      <c r="D54" s="97">
        <f t="shared" ref="D54:K54" si="82">IFERROR(D48/D11,0)</f>
        <v>0.56588903496060072</v>
      </c>
      <c r="E54" s="97">
        <f t="shared" si="82"/>
        <v>0.70185064235047412</v>
      </c>
      <c r="F54" s="97">
        <f t="shared" si="82"/>
        <v>0.60430008649574363</v>
      </c>
      <c r="G54" s="97">
        <f t="shared" si="82"/>
        <v>0.67607154309251294</v>
      </c>
      <c r="H54" s="97">
        <f t="shared" si="82"/>
        <v>0.67038623526638785</v>
      </c>
      <c r="I54" s="97">
        <f t="shared" si="82"/>
        <v>0.58371197983975753</v>
      </c>
      <c r="J54" s="97">
        <f t="shared" si="82"/>
        <v>0.57262084057760421</v>
      </c>
      <c r="K54" s="97">
        <f t="shared" si="82"/>
        <v>0.57592718174934987</v>
      </c>
      <c r="L54" s="97">
        <f t="shared" ref="L54:O54" ca="1" si="83">IFERROR(L48/L11,0)</f>
        <v>0.55172954045168854</v>
      </c>
      <c r="M54" s="91">
        <f t="shared" si="83"/>
        <v>0.57961794019933555</v>
      </c>
      <c r="N54" s="91">
        <f t="shared" si="83"/>
        <v>0.60962352941176468</v>
      </c>
      <c r="O54" s="91">
        <f t="shared" si="83"/>
        <v>0.61961538461538457</v>
      </c>
      <c r="P54" s="91"/>
      <c r="Q54" s="91">
        <f ca="1">IFERROR(Q48/Q11,0)</f>
        <v>0.59432412727715833</v>
      </c>
      <c r="S54" s="423">
        <f t="shared" ref="S54:AD54" ca="1" si="84">IFERROR(S48/S11,0)</f>
        <v>0.6047043764368788</v>
      </c>
      <c r="T54" s="423">
        <f t="shared" ca="1" si="84"/>
        <v>0.60589411733386844</v>
      </c>
      <c r="U54" s="423">
        <f t="shared" ca="1" si="84"/>
        <v>0.60287385211169808</v>
      </c>
      <c r="V54" s="423">
        <f t="shared" ca="1" si="84"/>
        <v>0.61022175213666796</v>
      </c>
      <c r="W54" s="423">
        <f t="shared" ca="1" si="84"/>
        <v>0.61527112824528374</v>
      </c>
      <c r="X54" s="423">
        <f t="shared" ca="1" si="84"/>
        <v>0.60278854459580589</v>
      </c>
      <c r="Y54" s="423">
        <f t="shared" ca="1" si="84"/>
        <v>0.6066270104958309</v>
      </c>
      <c r="Z54" s="423">
        <f t="shared" ca="1" si="84"/>
        <v>0.61187802752167753</v>
      </c>
      <c r="AA54" s="423">
        <f t="shared" ca="1" si="84"/>
        <v>0.60256403899698774</v>
      </c>
      <c r="AB54" s="91">
        <f t="shared" ca="1" si="84"/>
        <v>0.60369985236729851</v>
      </c>
      <c r="AC54" s="91">
        <f t="shared" ca="1" si="84"/>
        <v>0.60813607428288041</v>
      </c>
      <c r="AD54" s="91">
        <f t="shared" ca="1" si="84"/>
        <v>0.60779000544533834</v>
      </c>
      <c r="AE54" s="91"/>
      <c r="AF54" s="91">
        <f ca="1">IFERROR(AF48/AF11,0)</f>
        <v>0.60529739888564194</v>
      </c>
      <c r="AH54" s="91">
        <f t="shared" ref="AH54:AS54" ca="1" si="85">IFERROR(AH48/AH11,0)</f>
        <v>0.60418469933143593</v>
      </c>
      <c r="AI54" s="91">
        <f t="shared" ca="1" si="85"/>
        <v>0.60526678611196449</v>
      </c>
      <c r="AJ54" s="91">
        <f t="shared" ca="1" si="85"/>
        <v>0.6026919958620014</v>
      </c>
      <c r="AK54" s="91">
        <f t="shared" ca="1" si="85"/>
        <v>0.61030846446253473</v>
      </c>
      <c r="AL54" s="91">
        <f t="shared" ca="1" si="85"/>
        <v>0.61629010179030463</v>
      </c>
      <c r="AM54" s="91">
        <f t="shared" ca="1" si="85"/>
        <v>0.60448498607419843</v>
      </c>
      <c r="AN54" s="91">
        <f t="shared" ca="1" si="85"/>
        <v>0.60646514048515299</v>
      </c>
      <c r="AO54" s="91">
        <f t="shared" ca="1" si="85"/>
        <v>0.61450493008424834</v>
      </c>
      <c r="AP54" s="91">
        <f t="shared" ca="1" si="85"/>
        <v>0.6035353123219851</v>
      </c>
      <c r="AQ54" s="91">
        <f t="shared" ca="1" si="85"/>
        <v>0.60429748007122375</v>
      </c>
      <c r="AR54" s="91">
        <f t="shared" ca="1" si="85"/>
        <v>0.6097785461610119</v>
      </c>
      <c r="AS54" s="91">
        <f t="shared" ca="1" si="85"/>
        <v>0.61033643102881807</v>
      </c>
      <c r="AT54" s="91"/>
      <c r="AU54" s="91">
        <f ca="1">IFERROR(AU48/AU11,0)</f>
        <v>0.60631384590732307</v>
      </c>
    </row>
    <row r="55" spans="2:47">
      <c r="D55" s="53"/>
      <c r="E55" s="53"/>
      <c r="F55" s="53"/>
      <c r="G55" s="53"/>
      <c r="H55" s="53"/>
      <c r="I55" s="53"/>
      <c r="J55" s="53"/>
      <c r="K55" s="53"/>
      <c r="L55" s="53"/>
      <c r="Q55" s="51"/>
      <c r="S55" s="423"/>
      <c r="T55" s="423"/>
      <c r="U55" s="423"/>
      <c r="V55" s="423"/>
      <c r="W55" s="423"/>
      <c r="X55" s="423"/>
      <c r="Y55" s="423"/>
      <c r="Z55" s="423"/>
      <c r="AA55" s="423"/>
      <c r="AB55" s="91"/>
      <c r="AC55" s="91"/>
      <c r="AD55" s="91"/>
      <c r="AE55" s="91"/>
      <c r="AF55" s="91"/>
      <c r="AU55" s="51"/>
    </row>
    <row r="56" spans="2:47" outlineLevel="1">
      <c r="B56" s="58" t="s">
        <v>121</v>
      </c>
      <c r="D56" s="53"/>
      <c r="E56" s="53"/>
      <c r="F56" s="53"/>
      <c r="G56" s="53"/>
      <c r="H56" s="53"/>
      <c r="I56" s="53"/>
      <c r="J56" s="53"/>
      <c r="K56" s="53"/>
      <c r="L56" s="53"/>
      <c r="Q56" s="51"/>
      <c r="AF56" s="51"/>
      <c r="AU56" s="51"/>
    </row>
    <row r="57" spans="2:47" outlineLevel="1">
      <c r="D57" s="53"/>
      <c r="E57" s="53"/>
      <c r="F57" s="53"/>
      <c r="G57" s="53"/>
      <c r="H57" s="53"/>
      <c r="I57" s="53"/>
      <c r="J57" s="53"/>
      <c r="K57" s="53"/>
      <c r="L57" s="53"/>
      <c r="Q57" s="51"/>
      <c r="AF57" s="51"/>
      <c r="AU57" s="51"/>
    </row>
    <row r="58" spans="2:47" outlineLevel="1">
      <c r="B58" s="51" t="s">
        <v>122</v>
      </c>
      <c r="D58" s="59">
        <v>0</v>
      </c>
      <c r="E58" s="59">
        <v>0</v>
      </c>
      <c r="F58" s="59">
        <v>-837.32</v>
      </c>
      <c r="G58" s="59">
        <v>-370.98</v>
      </c>
      <c r="H58" s="59">
        <v>-1278.27</v>
      </c>
      <c r="I58" s="59">
        <v>-389.98</v>
      </c>
      <c r="J58" s="59">
        <v>-5686.42</v>
      </c>
      <c r="K58" s="59">
        <v>-971.33</v>
      </c>
      <c r="L58" s="59">
        <v>-2752</v>
      </c>
      <c r="M58" s="60">
        <v>-2408</v>
      </c>
      <c r="N58" s="60">
        <v>-1275</v>
      </c>
      <c r="O58" s="60">
        <v>-1105</v>
      </c>
      <c r="P58" s="60"/>
      <c r="Q58" s="61">
        <f t="shared" ref="Q58:Q67" si="86">SUM(D58:O58)</f>
        <v>-17074.300000000003</v>
      </c>
      <c r="R58" s="60"/>
      <c r="S58" s="60">
        <f>-SUMIF(CZ!$C$4:$C$42,"Marketing Budget",CZ!Q$4:Q$42)</f>
        <v>-20685.600000000002</v>
      </c>
      <c r="T58" s="60">
        <f>-SUMIF(CZ!$C$4:$C$42,"Marketing Budget",CZ!R$4:R$42)</f>
        <v>-43323</v>
      </c>
      <c r="U58" s="60">
        <f>-SUMIF(CZ!$C$4:$C$42,"Marketing Budget",CZ!S$4:S$42)</f>
        <v>-40283.100000000006</v>
      </c>
      <c r="V58" s="60">
        <f>-SUMIF(CZ!$C$4:$C$42,"Marketing Budget",CZ!T$4:T$42)</f>
        <v>-21085.9</v>
      </c>
      <c r="W58" s="60">
        <f>-SUMIF(CZ!$C$4:$C$42,"Marketing Budget",CZ!U$4:U$42)</f>
        <v>-20842.800000000003</v>
      </c>
      <c r="X58" s="60">
        <f>-SUMIF(CZ!$C$4:$C$42,"Marketing Budget",CZ!V$4:V$42)</f>
        <v>-64215</v>
      </c>
      <c r="Y58" s="60">
        <f>-SUMIF(CZ!$C$4:$C$42,"Marketing Budget",CZ!W$4:W$42)</f>
        <v>-24301.600000000002</v>
      </c>
      <c r="Z58" s="60">
        <f>-SUMIF(CZ!$C$4:$C$42,"Marketing Budget",CZ!X$4:X$42)</f>
        <v>-26041.200000000001</v>
      </c>
      <c r="AA58" s="60">
        <f>-SUMIF(CZ!$C$4:$C$42,"Marketing Budget",CZ!Y$4:Y$42)</f>
        <v>-91000</v>
      </c>
      <c r="AB58" s="60">
        <f>-SUMIF(CZ!$C$4:$C$42,"Marketing Budget",CZ!Z$4:Z$42)</f>
        <v>-117000</v>
      </c>
      <c r="AC58" s="60">
        <f>-SUMIF(CZ!$C$4:$C$42,"Marketing Budget",CZ!AA$4:AA$42)</f>
        <v>-19500</v>
      </c>
      <c r="AD58" s="60">
        <f>-SUMIF(CZ!$C$4:$C$42,"Marketing Budget",CZ!AB$4:AB$42)</f>
        <v>-26000</v>
      </c>
      <c r="AE58" s="60"/>
      <c r="AF58" s="61">
        <f>SUM(S58:AD58)</f>
        <v>-514278.20000000007</v>
      </c>
      <c r="AH58" s="60">
        <f>-SUMIF(CZ!$C$4:$C$42,"Marketing Budget",CZ!AC$4:AC$42)</f>
        <v>-26891.280000000002</v>
      </c>
      <c r="AI58" s="60">
        <f>-SUMIF(CZ!$C$4:$C$42,"Marketing Budget",CZ!AD$4:AD$42)</f>
        <v>-56319.9</v>
      </c>
      <c r="AJ58" s="60">
        <f>-SUMIF(CZ!$C$4:$C$42,"Marketing Budget",CZ!AE$4:AE$42)</f>
        <v>-52368.030000000006</v>
      </c>
      <c r="AK58" s="60">
        <f>-SUMIF(CZ!$C$4:$C$42,"Marketing Budget",CZ!AF$4:AF$42)</f>
        <v>-27411.670000000002</v>
      </c>
      <c r="AL58" s="60">
        <f>-SUMIF(CZ!$C$4:$C$42,"Marketing Budget",CZ!AG$4:AG$42)</f>
        <v>-27095.640000000003</v>
      </c>
      <c r="AM58" s="60">
        <f>-SUMIF(CZ!$C$4:$C$42,"Marketing Budget",CZ!AH$4:AH$42)</f>
        <v>-83479.5</v>
      </c>
      <c r="AN58" s="60">
        <f>-SUMIF(CZ!$C$4:$C$42,"Marketing Budget",CZ!AI$4:AI$42)</f>
        <v>-31592.080000000005</v>
      </c>
      <c r="AO58" s="60">
        <f>-SUMIF(CZ!$C$4:$C$42,"Marketing Budget",CZ!AJ$4:AJ$42)</f>
        <v>-33853.560000000005</v>
      </c>
      <c r="AP58" s="60">
        <f>-SUMIF(CZ!$C$4:$C$42,"Marketing Budget",CZ!AK$4:AK$42)</f>
        <v>-118300</v>
      </c>
      <c r="AQ58" s="60">
        <f>-SUMIF(CZ!$C$4:$C$42,"Marketing Budget",CZ!AL$4:AL$42)</f>
        <v>-152100</v>
      </c>
      <c r="AR58" s="60">
        <f>-SUMIF(CZ!$C$4:$C$42,"Marketing Budget",CZ!AM$4:AM$42)</f>
        <v>-25350</v>
      </c>
      <c r="AS58" s="60">
        <f>-SUMIF(CZ!$C$4:$C$42,"Marketing Budget",CZ!AN$4:AN$42)</f>
        <v>-33800</v>
      </c>
      <c r="AT58" s="60"/>
      <c r="AU58" s="61">
        <f t="shared" ref="AU58" si="87">SUM(AH58:AS58)</f>
        <v>-668561.66</v>
      </c>
    </row>
    <row r="59" spans="2:47" outlineLevel="1">
      <c r="B59" s="51" t="s">
        <v>123</v>
      </c>
      <c r="D59" s="59">
        <v>0</v>
      </c>
      <c r="E59" s="59">
        <v>-562.79</v>
      </c>
      <c r="F59" s="59">
        <v>-688.05</v>
      </c>
      <c r="G59" s="59">
        <v>-168.53</v>
      </c>
      <c r="H59" s="59">
        <v>-215.55</v>
      </c>
      <c r="I59" s="59">
        <v>0</v>
      </c>
      <c r="J59" s="59">
        <v>-1118.1199999999999</v>
      </c>
      <c r="K59" s="59">
        <v>-178.06</v>
      </c>
      <c r="L59" s="59">
        <v>-614</v>
      </c>
      <c r="M59" s="60">
        <v>-2000</v>
      </c>
      <c r="N59" s="60">
        <v>-1500</v>
      </c>
      <c r="O59" s="60" t="s">
        <v>184</v>
      </c>
      <c r="P59" s="60"/>
      <c r="Q59" s="61">
        <f>SUM(D59:O59)</f>
        <v>-7045.1</v>
      </c>
      <c r="S59" s="60">
        <f>-SUMIF(CZ!$C$4:$C$42,"Brand Spend",CZ!Q$4:Q$42)</f>
        <v>-1500</v>
      </c>
      <c r="T59" s="60">
        <f>-SUMIF(CZ!$C$4:$C$42,"Brand Spend",CZ!R$4:R$42)</f>
        <v>-1500</v>
      </c>
      <c r="U59" s="60">
        <f>-SUMIF(CZ!$C$4:$C$42,"Brand Spend",CZ!S$4:S$42)</f>
        <v>-1500</v>
      </c>
      <c r="V59" s="60">
        <f>-SUMIF(CZ!$C$4:$C$42,"Brand Spend",CZ!T$4:T$42)</f>
        <v>-1500</v>
      </c>
      <c r="W59" s="60">
        <f>-SUMIF(CZ!$C$4:$C$42,"Brand Spend",CZ!U$4:U$42)</f>
        <v>-1500</v>
      </c>
      <c r="X59" s="60">
        <f>-SUMIF(CZ!$C$4:$C$42,"Brand Spend",CZ!V$4:V$42)</f>
        <v>-1500</v>
      </c>
      <c r="Y59" s="60">
        <f>-SUMIF(CZ!$C$4:$C$42,"Brand Spend",CZ!W$4:W$42)</f>
        <v>-1500</v>
      </c>
      <c r="Z59" s="60">
        <f>-SUMIF(CZ!$C$4:$C$42,"Brand Spend",CZ!X$4:X$42)</f>
        <v>-2000</v>
      </c>
      <c r="AA59" s="60">
        <f>-SUMIF(CZ!$C$4:$C$42,"Brand Spend",CZ!Y$4:Y$42)</f>
        <v>-3000</v>
      </c>
      <c r="AB59" s="60">
        <f>-SUMIF(CZ!$C$4:$C$42,"Brand Spend",CZ!Z$4:Z$42)</f>
        <v>-3000</v>
      </c>
      <c r="AC59" s="60">
        <f>-SUMIF(CZ!$C$4:$C$42,"Brand Spend",CZ!AA$4:AA$42)</f>
        <v>-1500</v>
      </c>
      <c r="AD59" s="60">
        <f>-SUMIF(CZ!$C$4:$C$42,"Brand Spend",CZ!AB$4:AB$42)</f>
        <v>-1500</v>
      </c>
      <c r="AE59" s="60"/>
      <c r="AF59" s="61">
        <f t="shared" ref="AF59:AF65" si="88">SUM(S59:AD59)</f>
        <v>-21500</v>
      </c>
      <c r="AH59" s="60">
        <f>-SUMIF(CZ!$C$4:$C$42,"Brand Spend",CZ!AC$4:AC$42)</f>
        <v>-1500</v>
      </c>
      <c r="AI59" s="60">
        <f>-SUMIF(CZ!$C$4:$C$42,"Brand Spend",CZ!AD$4:AD$42)</f>
        <v>-1500</v>
      </c>
      <c r="AJ59" s="60">
        <f>-SUMIF(CZ!$C$4:$C$42,"Brand Spend",CZ!AE$4:AE$42)</f>
        <v>-1500</v>
      </c>
      <c r="AK59" s="60">
        <f>-SUMIF(CZ!$C$4:$C$42,"Brand Spend",CZ!AF$4:AF$42)</f>
        <v>-1500</v>
      </c>
      <c r="AL59" s="60">
        <f>-SUMIF(CZ!$C$4:$C$42,"Brand Spend",CZ!AG$4:AG$42)</f>
        <v>-1500</v>
      </c>
      <c r="AM59" s="60">
        <f>-SUMIF(CZ!$C$4:$C$42,"Brand Spend",CZ!AH$4:AH$42)</f>
        <v>-1500</v>
      </c>
      <c r="AN59" s="60">
        <f>-SUMIF(CZ!$C$4:$C$42,"Brand Spend",CZ!AI$4:AI$42)</f>
        <v>-1500</v>
      </c>
      <c r="AO59" s="60">
        <f>-SUMIF(CZ!$C$4:$C$42,"Brand Spend",CZ!AJ$4:AJ$42)</f>
        <v>-1500</v>
      </c>
      <c r="AP59" s="60">
        <f>-SUMIF(CZ!$C$4:$C$42,"Brand Spend",CZ!AK$4:AK$42)</f>
        <v>-1500</v>
      </c>
      <c r="AQ59" s="60">
        <f>-SUMIF(CZ!$C$4:$C$42,"Brand Spend",CZ!AL$4:AL$42)</f>
        <v>-1500</v>
      </c>
      <c r="AR59" s="60">
        <f>-SUMIF(CZ!$C$4:$C$42,"Brand Spend",CZ!AM$4:AM$42)</f>
        <v>-1500</v>
      </c>
      <c r="AS59" s="60">
        <f>-SUMIF(CZ!$C$4:$C$42,"Brand Spend",CZ!AN$4:AN$42)</f>
        <v>-1500</v>
      </c>
      <c r="AT59" s="60"/>
      <c r="AU59" s="61">
        <f>SUM(AH59:AS59)</f>
        <v>-18000</v>
      </c>
    </row>
    <row r="60" spans="2:47" outlineLevel="2">
      <c r="B60" s="51" t="s">
        <v>124</v>
      </c>
      <c r="D60" s="59">
        <v>-6627.48</v>
      </c>
      <c r="E60" s="59">
        <v>-14639.52</v>
      </c>
      <c r="F60" s="59">
        <v>-17398.66</v>
      </c>
      <c r="G60" s="59">
        <v>-10893.75</v>
      </c>
      <c r="H60" s="59">
        <v>-10346.49</v>
      </c>
      <c r="I60" s="59">
        <v>-15579.26</v>
      </c>
      <c r="J60" s="59">
        <v>-11017.92</v>
      </c>
      <c r="K60" s="59">
        <v>-5392.92</v>
      </c>
      <c r="L60" s="59">
        <v>-23610</v>
      </c>
      <c r="M60" s="60">
        <v>-31500</v>
      </c>
      <c r="N60" s="60">
        <v>-11900</v>
      </c>
      <c r="O60" s="60">
        <v>-9000</v>
      </c>
      <c r="P60" s="60"/>
      <c r="Q60" s="61">
        <f t="shared" si="86"/>
        <v>-167906</v>
      </c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1">
        <f t="shared" si="88"/>
        <v>0</v>
      </c>
      <c r="AH60" s="60"/>
      <c r="AI60" s="60"/>
      <c r="AJ60" s="60"/>
      <c r="AK60" s="60"/>
      <c r="AL60" s="60"/>
      <c r="AM60" s="60"/>
      <c r="AN60" s="60"/>
      <c r="AO60" s="60"/>
      <c r="AP60" s="60"/>
      <c r="AQ60" s="60"/>
      <c r="AR60" s="60"/>
      <c r="AS60" s="60"/>
      <c r="AT60" s="60"/>
      <c r="AU60" s="61">
        <f t="shared" ref="AU60:AU67" si="89">SUM(AH60:AS60)</f>
        <v>0</v>
      </c>
    </row>
    <row r="61" spans="2:47" outlineLevel="2">
      <c r="B61" s="51" t="s">
        <v>125</v>
      </c>
      <c r="D61" s="59">
        <v>-1726.18</v>
      </c>
      <c r="E61" s="59">
        <v>-3494.64</v>
      </c>
      <c r="F61" s="59">
        <v>-5006.51</v>
      </c>
      <c r="G61" s="59">
        <v>-1941.75</v>
      </c>
      <c r="H61" s="59">
        <v>-2186.6999999999998</v>
      </c>
      <c r="I61" s="59">
        <v>-4601.79</v>
      </c>
      <c r="J61" s="59">
        <v>-6696</v>
      </c>
      <c r="K61" s="59">
        <v>-4694.6499999999996</v>
      </c>
      <c r="L61" s="59">
        <v>-13468</v>
      </c>
      <c r="M61" s="60">
        <v>-12000</v>
      </c>
      <c r="N61" s="60">
        <v>-5100</v>
      </c>
      <c r="O61" s="60">
        <v>-4100</v>
      </c>
      <c r="P61" s="60"/>
      <c r="Q61" s="61">
        <f t="shared" si="86"/>
        <v>-65016.22</v>
      </c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1">
        <f t="shared" si="88"/>
        <v>0</v>
      </c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1">
        <f t="shared" si="89"/>
        <v>0</v>
      </c>
    </row>
    <row r="62" spans="2:47" outlineLevel="2">
      <c r="B62" s="51" t="s">
        <v>126</v>
      </c>
      <c r="D62" s="59">
        <v>-3121.34</v>
      </c>
      <c r="E62" s="59">
        <v>-10840.08</v>
      </c>
      <c r="F62" s="59">
        <v>-14119</v>
      </c>
      <c r="G62" s="59">
        <v>-6616.57</v>
      </c>
      <c r="H62" s="59">
        <v>-6415.3</v>
      </c>
      <c r="I62" s="59">
        <v>-12121.81</v>
      </c>
      <c r="J62" s="59">
        <v>-13533.98</v>
      </c>
      <c r="K62" s="59">
        <v>-11437.53</v>
      </c>
      <c r="L62" s="59">
        <v>-40284</v>
      </c>
      <c r="M62" s="60">
        <v>-18000</v>
      </c>
      <c r="N62" s="60">
        <v>-8500</v>
      </c>
      <c r="O62" s="60">
        <v>-7500</v>
      </c>
      <c r="P62" s="60"/>
      <c r="Q62" s="61">
        <f t="shared" si="86"/>
        <v>-152489.60999999999</v>
      </c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1">
        <f t="shared" si="88"/>
        <v>0</v>
      </c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1">
        <f t="shared" si="89"/>
        <v>0</v>
      </c>
    </row>
    <row r="63" spans="2:47" outlineLevel="2">
      <c r="B63" s="51" t="s">
        <v>127</v>
      </c>
      <c r="D63" s="59"/>
      <c r="E63" s="59"/>
      <c r="F63" s="59"/>
      <c r="G63" s="59"/>
      <c r="H63" s="59"/>
      <c r="I63" s="59"/>
      <c r="J63" s="59"/>
      <c r="K63" s="59"/>
      <c r="L63" s="59"/>
      <c r="M63" s="60">
        <f>-SUMIFS(B2B!O:O,B2B!$B:$B,"CZ",B2B!$D:$D,$B63)</f>
        <v>0</v>
      </c>
      <c r="N63" s="60">
        <f>-SUMIFS(B2B!P:P,B2B!$B:$B,"CZ",B2B!$D:$D,$B63)</f>
        <v>0</v>
      </c>
      <c r="O63" s="60">
        <f>-SUMIFS(B2B!Q:Q,B2B!$B:$B,"CZ",B2B!$D:$D,$B63)</f>
        <v>0</v>
      </c>
      <c r="P63" s="60"/>
      <c r="Q63" s="61">
        <f t="shared" si="86"/>
        <v>0</v>
      </c>
      <c r="S63" s="60">
        <f>-SUMIFS(B2B!V:V,B2B!$B:$B,"CZ",B2B!$D:$D,$B63)</f>
        <v>-500</v>
      </c>
      <c r="T63" s="60">
        <f>-SUMIFS(B2B!W:W,B2B!$B:$B,"CZ",B2B!$D:$D,$B63)</f>
        <v>-1500</v>
      </c>
      <c r="U63" s="60">
        <f>-SUMIFS(B2B!X:X,B2B!$B:$B,"CZ",B2B!$D:$D,$B63)</f>
        <v>-500</v>
      </c>
      <c r="V63" s="60">
        <f>-SUMIFS(B2B!Y:Y,B2B!$B:$B,"CZ",B2B!$D:$D,$B63)</f>
        <v>-1231.4682214808468</v>
      </c>
      <c r="W63" s="60">
        <f>-SUMIFS(B2B!Z:Z,B2B!$B:$B,"CZ",B2B!$D:$D,$B63)</f>
        <v>-1974.4749535755095</v>
      </c>
      <c r="X63" s="60">
        <f>-SUMIFS(B2B!AA:AA,B2B!$B:$B,"CZ",B2B!$D:$D,$B63)</f>
        <v>-876.70877610111575</v>
      </c>
      <c r="Y63" s="60">
        <f>-SUMIFS(B2B!AB:AB,B2B!$B:$B,"CZ",B2B!$D:$D,$B63)</f>
        <v>-879.77578594983299</v>
      </c>
      <c r="Z63" s="60">
        <f>-SUMIFS(B2B!AC:AC,B2B!$B:$B,"CZ",B2B!$D:$D,$B63)</f>
        <v>-1865.5344169551395</v>
      </c>
      <c r="AA63" s="60">
        <f>-SUMIFS(B2B!AD:AD,B2B!$B:$B,"CZ",B2B!$D:$D,$B63)</f>
        <v>-998.02968421621858</v>
      </c>
      <c r="AB63" s="60">
        <f>-SUMIFS(B2B!AE:AE,B2B!$B:$B,"CZ",B2B!$D:$D,$B63)</f>
        <v>-1710.2345797213113</v>
      </c>
      <c r="AC63" s="60">
        <f>-SUMIFS(B2B!AF:AF,B2B!$B:$B,"CZ",B2B!$D:$D,$B63)</f>
        <v>-1263.6766918545118</v>
      </c>
      <c r="AD63" s="60">
        <f>-SUMIFS(B2B!AG:AG,B2B!$B:$B,"CZ",B2B!$D:$D,$B63)</f>
        <v>-1184.7632855082952</v>
      </c>
      <c r="AE63" s="60"/>
      <c r="AF63" s="61">
        <f t="shared" si="88"/>
        <v>-14484.666395362783</v>
      </c>
      <c r="AH63" s="60">
        <f>-SUMIFS(B2B!AK:AK,B2B!$B:$B,"CZ",B2B!$D:$D,$B63)</f>
        <v>-262.5</v>
      </c>
      <c r="AI63" s="60">
        <f>-SUMIFS(B2B!AL:AL,B2B!$B:$B,"CZ",B2B!$D:$D,$B63)</f>
        <v>-787.5</v>
      </c>
      <c r="AJ63" s="60">
        <f>-SUMIFS(B2B!AM:AM,B2B!$B:$B,"CZ",B2B!$D:$D,$B63)</f>
        <v>-262.5</v>
      </c>
      <c r="AK63" s="60">
        <f>-SUMIFS(B2B!AN:AN,B2B!$B:$B,"CZ",B2B!$D:$D,$B63)</f>
        <v>-904.54163255488902</v>
      </c>
      <c r="AL63" s="60">
        <f>-SUMIFS(B2B!AO:AO,B2B!$B:$B,"CZ",B2B!$D:$D,$B63)</f>
        <v>-1285.698701254285</v>
      </c>
      <c r="AM63" s="60">
        <f>-SUMIFS(B2B!AP:AP,B2B!$B:$B,"CZ",B2B!$D:$D,$B63)</f>
        <v>-658.04421490617142</v>
      </c>
      <c r="AN63" s="60">
        <f>-SUMIFS(B2B!AQ:AQ,B2B!$B:$B,"CZ",B2B!$D:$D,$B63)</f>
        <v>-535.26457524732461</v>
      </c>
      <c r="AO63" s="60">
        <f>-SUMIFS(B2B!AR:AR,B2B!$B:$B,"CZ",B2B!$D:$D,$B63)</f>
        <v>-1171.3111378028966</v>
      </c>
      <c r="AP63" s="60">
        <f>-SUMIFS(B2B!AS:AS,B2B!$B:$B,"CZ",B2B!$D:$D,$B63)</f>
        <v>-785.43116842702955</v>
      </c>
      <c r="AQ63" s="60">
        <f>-SUMIFS(B2B!AT:AT,B2B!$B:$B,"CZ",B2B!$D:$D,$B63)</f>
        <v>-1008.2463087073768</v>
      </c>
      <c r="AR63" s="60">
        <f>-SUMIFS(B2B!AU:AU,B2B!$B:$B,"CZ",B2B!$D:$D,$B63)</f>
        <v>-801.86052644723736</v>
      </c>
      <c r="AS63" s="60">
        <f>-SUMIFS(B2B!AV:AV,B2B!$B:$B,"CZ",B2B!$D:$D,$B63)</f>
        <v>-719.00144978370997</v>
      </c>
      <c r="AT63" s="60"/>
      <c r="AU63" s="61">
        <f t="shared" si="89"/>
        <v>-9181.8997151309195</v>
      </c>
    </row>
    <row r="64" spans="2:47" outlineLevel="2">
      <c r="B64" s="51" t="s">
        <v>128</v>
      </c>
      <c r="D64" s="59"/>
      <c r="E64" s="59"/>
      <c r="F64" s="59"/>
      <c r="G64" s="59"/>
      <c r="H64" s="59"/>
      <c r="I64" s="59"/>
      <c r="J64" s="59"/>
      <c r="K64" s="59"/>
      <c r="L64" s="59"/>
      <c r="M64" s="60">
        <f>-SUMIFS(B2B!O:O,B2B!$B:$B,"CZ",B2B!$D:$D,$B64)</f>
        <v>0</v>
      </c>
      <c r="N64" s="60">
        <f>-SUMIFS(B2B!P:P,B2B!$B:$B,"CZ",B2B!$D:$D,$B64)</f>
        <v>0</v>
      </c>
      <c r="O64" s="60">
        <f>-SUMIFS(B2B!Q:Q,B2B!$B:$B,"CZ",B2B!$D:$D,$B64)</f>
        <v>0</v>
      </c>
      <c r="P64" s="60"/>
      <c r="Q64" s="61">
        <f t="shared" si="86"/>
        <v>0</v>
      </c>
      <c r="S64" s="60">
        <f>-SUMIFS(B2B!V:V,B2B!$B:$B,"CZ",B2B!$D:$D,$B64)</f>
        <v>-500</v>
      </c>
      <c r="T64" s="60">
        <f>-SUMIFS(B2B!W:W,B2B!$B:$B,"CZ",B2B!$D:$D,$B64)</f>
        <v>-1500</v>
      </c>
      <c r="U64" s="60">
        <f>-SUMIFS(B2B!X:X,B2B!$B:$B,"CZ",B2B!$D:$D,$B64)</f>
        <v>-500</v>
      </c>
      <c r="V64" s="60">
        <f>-SUMIFS(B2B!Y:Y,B2B!$B:$B,"CZ",B2B!$D:$D,$B64)</f>
        <v>-1231.4682214808468</v>
      </c>
      <c r="W64" s="60">
        <f>-SUMIFS(B2B!Z:Z,B2B!$B:$B,"CZ",B2B!$D:$D,$B64)</f>
        <v>-1974.4749535755095</v>
      </c>
      <c r="X64" s="60">
        <f>-SUMIFS(B2B!AA:AA,B2B!$B:$B,"CZ",B2B!$D:$D,$B64)</f>
        <v>-876.70877610111575</v>
      </c>
      <c r="Y64" s="60">
        <f>-SUMIFS(B2B!AB:AB,B2B!$B:$B,"CZ",B2B!$D:$D,$B64)</f>
        <v>-879.77578594983299</v>
      </c>
      <c r="Z64" s="60">
        <f>-SUMIFS(B2B!AC:AC,B2B!$B:$B,"CZ",B2B!$D:$D,$B64)</f>
        <v>-1865.5344169551395</v>
      </c>
      <c r="AA64" s="60">
        <f>-SUMIFS(B2B!AD:AD,B2B!$B:$B,"CZ",B2B!$D:$D,$B64)</f>
        <v>-998.02968421621858</v>
      </c>
      <c r="AB64" s="60">
        <f>-SUMIFS(B2B!AE:AE,B2B!$B:$B,"CZ",B2B!$D:$D,$B64)</f>
        <v>-1710.2345797213113</v>
      </c>
      <c r="AC64" s="60">
        <f>-SUMIFS(B2B!AF:AF,B2B!$B:$B,"CZ",B2B!$D:$D,$B64)</f>
        <v>-1263.6766918545118</v>
      </c>
      <c r="AD64" s="60">
        <f>-SUMIFS(B2B!AG:AG,B2B!$B:$B,"CZ",B2B!$D:$D,$B64)</f>
        <v>-1184.7632855082952</v>
      </c>
      <c r="AE64" s="60"/>
      <c r="AF64" s="61">
        <f t="shared" si="88"/>
        <v>-14484.666395362783</v>
      </c>
      <c r="AH64" s="60">
        <f>-SUMIFS(B2B!AK:AK,B2B!$B:$B,"CZ",B2B!$D:$D,$B64)</f>
        <v>-262.5</v>
      </c>
      <c r="AI64" s="60">
        <f>-SUMIFS(B2B!AL:AL,B2B!$B:$B,"CZ",B2B!$D:$D,$B64)</f>
        <v>-787.5</v>
      </c>
      <c r="AJ64" s="60">
        <f>-SUMIFS(B2B!AM:AM,B2B!$B:$B,"CZ",B2B!$D:$D,$B64)</f>
        <v>-262.5</v>
      </c>
      <c r="AK64" s="60">
        <f>-SUMIFS(B2B!AN:AN,B2B!$B:$B,"CZ",B2B!$D:$D,$B64)</f>
        <v>-646.52081627744451</v>
      </c>
      <c r="AL64" s="60">
        <f>-SUMIFS(B2B!AO:AO,B2B!$B:$B,"CZ",B2B!$D:$D,$B64)</f>
        <v>-1036.5993506271425</v>
      </c>
      <c r="AM64" s="60">
        <f>-SUMIFS(B2B!AP:AP,B2B!$B:$B,"CZ",B2B!$D:$D,$B64)</f>
        <v>-460.27210745308571</v>
      </c>
      <c r="AN64" s="60">
        <f>-SUMIFS(B2B!AQ:AQ,B2B!$B:$B,"CZ",B2B!$D:$D,$B64)</f>
        <v>-461.88228762366231</v>
      </c>
      <c r="AO64" s="60">
        <f>-SUMIFS(B2B!AR:AR,B2B!$B:$B,"CZ",B2B!$D:$D,$B64)</f>
        <v>-979.40556890144831</v>
      </c>
      <c r="AP64" s="60">
        <f>-SUMIFS(B2B!AS:AS,B2B!$B:$B,"CZ",B2B!$D:$D,$B64)</f>
        <v>-523.96558421351483</v>
      </c>
      <c r="AQ64" s="60">
        <f>-SUMIFS(B2B!AT:AT,B2B!$B:$B,"CZ",B2B!$D:$D,$B64)</f>
        <v>-897.87315435368839</v>
      </c>
      <c r="AR64" s="60">
        <f>-SUMIFS(B2B!AU:AU,B2B!$B:$B,"CZ",B2B!$D:$D,$B64)</f>
        <v>-663.43026322361868</v>
      </c>
      <c r="AS64" s="60">
        <f>-SUMIFS(B2B!AV:AV,B2B!$B:$B,"CZ",B2B!$D:$D,$B64)</f>
        <v>-622.00072489185504</v>
      </c>
      <c r="AT64" s="60"/>
      <c r="AU64" s="61">
        <f t="shared" si="89"/>
        <v>-7604.4498575654598</v>
      </c>
    </row>
    <row r="65" spans="2:47" outlineLevel="2">
      <c r="B65" s="51" t="s">
        <v>185</v>
      </c>
      <c r="D65" s="59"/>
      <c r="E65" s="59"/>
      <c r="F65" s="59"/>
      <c r="G65" s="59"/>
      <c r="H65" s="59"/>
      <c r="I65" s="59"/>
      <c r="J65" s="59"/>
      <c r="K65" s="59"/>
      <c r="L65" s="59"/>
      <c r="M65" s="60"/>
      <c r="N65" s="60"/>
      <c r="O65" s="60"/>
      <c r="P65" s="60"/>
      <c r="Q65" s="61">
        <f t="shared" si="86"/>
        <v>0</v>
      </c>
      <c r="S65" s="60">
        <f>-SUMIFS(B2B!V:V,B2B!$A:$A,"Trade Shows",B2B!$B:$B,"CZ")</f>
        <v>0</v>
      </c>
      <c r="T65" s="60">
        <f>-SUMIFS(B2B!W:W,B2B!$A:$A,"Trade Shows",B2B!$B:$B,"CZ")</f>
        <v>0</v>
      </c>
      <c r="U65" s="60">
        <f>-SUMIFS(B2B!X:X,B2B!$A:$A,"Trade Shows",B2B!$B:$B,"CZ")</f>
        <v>0</v>
      </c>
      <c r="V65" s="60">
        <f>-SUMIFS(B2B!Y:Y,B2B!$A:$A,"Trade Shows",B2B!$B:$B,"CZ")</f>
        <v>0</v>
      </c>
      <c r="W65" s="60">
        <f>-SUMIFS(B2B!Z:Z,B2B!$A:$A,"Trade Shows",B2B!$B:$B,"CZ")</f>
        <v>0</v>
      </c>
      <c r="X65" s="60">
        <f>-SUMIFS(B2B!AA:AA,B2B!$A:$A,"Trade Shows",B2B!$B:$B,"CZ")</f>
        <v>0</v>
      </c>
      <c r="Y65" s="60">
        <f>-SUMIFS(B2B!AB:AB,B2B!$A:$A,"Trade Shows",B2B!$B:$B,"CZ")</f>
        <v>0</v>
      </c>
      <c r="Z65" s="60">
        <f>-SUMIFS(B2B!AC:AC,B2B!$A:$A,"Trade Shows",B2B!$B:$B,"CZ")</f>
        <v>0</v>
      </c>
      <c r="AA65" s="60">
        <f>-SUMIFS(B2B!AD:AD,B2B!$A:$A,"Trade Shows",B2B!$B:$B,"CZ")</f>
        <v>0</v>
      </c>
      <c r="AB65" s="60">
        <f>-SUMIFS(B2B!AE:AE,B2B!$A:$A,"Trade Shows",B2B!$B:$B,"CZ")</f>
        <v>0</v>
      </c>
      <c r="AC65" s="60">
        <f>-SUMIFS(B2B!AF:AF,B2B!$A:$A,"Trade Shows",B2B!$B:$B,"CZ")</f>
        <v>0</v>
      </c>
      <c r="AD65" s="60">
        <f>-SUMIFS(B2B!AG:AG,B2B!$A:$A,"Trade Shows",B2B!$B:$B,"CZ")</f>
        <v>0</v>
      </c>
      <c r="AE65" s="60"/>
      <c r="AF65" s="61">
        <f t="shared" si="88"/>
        <v>0</v>
      </c>
      <c r="AH65" s="60">
        <f>-SUMIFS(B2B!AK:AK,B2B!$A:$A,"Trade Shows",B2B!$B:$B,"CZ")</f>
        <v>0</v>
      </c>
      <c r="AI65" s="60">
        <f>-SUMIFS(B2B!AL:AL,B2B!$A:$A,"Trade Shows",B2B!$B:$B,"CZ")</f>
        <v>0</v>
      </c>
      <c r="AJ65" s="60">
        <f>-SUMIFS(B2B!AM:AM,B2B!$A:$A,"Trade Shows",B2B!$B:$B,"CZ")</f>
        <v>0</v>
      </c>
      <c r="AK65" s="60">
        <f>-SUMIFS(B2B!AN:AN,B2B!$A:$A,"Trade Shows",B2B!$B:$B,"CZ")</f>
        <v>0</v>
      </c>
      <c r="AL65" s="60">
        <f>-SUMIFS(B2B!AO:AO,B2B!$A:$A,"Trade Shows",B2B!$B:$B,"CZ")</f>
        <v>0</v>
      </c>
      <c r="AM65" s="60">
        <f>-SUMIFS(B2B!AP:AP,B2B!$A:$A,"Trade Shows",B2B!$B:$B,"CZ")</f>
        <v>0</v>
      </c>
      <c r="AN65" s="60">
        <f>-SUMIFS(B2B!AQ:AQ,B2B!$A:$A,"Trade Shows",B2B!$B:$B,"CZ")</f>
        <v>0</v>
      </c>
      <c r="AO65" s="60">
        <f>-SUMIFS(B2B!AR:AR,B2B!$A:$A,"Trade Shows",B2B!$B:$B,"CZ")</f>
        <v>0</v>
      </c>
      <c r="AP65" s="60">
        <f>-SUMIFS(B2B!AS:AS,B2B!$A:$A,"Trade Shows",B2B!$B:$B,"CZ")</f>
        <v>0</v>
      </c>
      <c r="AQ65" s="60">
        <f>-SUMIFS(B2B!AT:AT,B2B!$A:$A,"Trade Shows",B2B!$B:$B,"CZ")</f>
        <v>0</v>
      </c>
      <c r="AR65" s="60">
        <f>-SUMIFS(B2B!AU:AU,B2B!$A:$A,"Trade Shows",B2B!$B:$B,"CZ")</f>
        <v>0</v>
      </c>
      <c r="AS65" s="60">
        <f>-SUMIFS(B2B!AV:AV,B2B!$A:$A,"Trade Shows",B2B!$B:$B,"CZ")</f>
        <v>0</v>
      </c>
      <c r="AT65" s="60"/>
      <c r="AU65" s="61">
        <f t="shared" si="89"/>
        <v>0</v>
      </c>
    </row>
    <row r="66" spans="2:47" outlineLevel="2">
      <c r="B66" s="51" t="s">
        <v>130</v>
      </c>
      <c r="D66" s="59"/>
      <c r="E66" s="59"/>
      <c r="F66" s="59"/>
      <c r="G66" s="59"/>
      <c r="H66" s="59"/>
      <c r="I66" s="59"/>
      <c r="J66" s="59"/>
      <c r="K66" s="59"/>
      <c r="L66" s="59"/>
      <c r="M66" s="60">
        <f>-SUMIF(Amazon!$A$53:$A$58,"CZ",Amazon!H53:H58)</f>
        <v>0</v>
      </c>
      <c r="N66" s="60">
        <f>-SUMIF(Amazon!$A$53:$A$58,"CZ",Amazon!I53:I58)</f>
        <v>0</v>
      </c>
      <c r="O66" s="60">
        <f>-SUMIF(Amazon!$A$53:$A$58,"CZ",Amazon!J53:J58)</f>
        <v>0</v>
      </c>
      <c r="P66" s="60"/>
      <c r="Q66" s="61">
        <f>SUM(D66:O66)</f>
        <v>0</v>
      </c>
      <c r="S66" s="60">
        <f>-SUMIF(Amazon!$A$53:$A$58,"CZ",Amazon!Q53:Q58)</f>
        <v>0</v>
      </c>
      <c r="T66" s="60">
        <f>-SUMIF(Amazon!$A$53:$A$58,"CZ",Amazon!R53:R58)</f>
        <v>0</v>
      </c>
      <c r="U66" s="60">
        <f>-SUMIF(Amazon!$A$53:$A$58,"CZ",Amazon!S53:S58)</f>
        <v>0</v>
      </c>
      <c r="V66" s="60">
        <f>-SUMIF(Amazon!$A$53:$A$58,"CZ",Amazon!T53:T58)</f>
        <v>0</v>
      </c>
      <c r="W66" s="60">
        <f>-SUMIF(Amazon!$A$53:$A$58,"CZ",Amazon!U53:U58)</f>
        <v>0</v>
      </c>
      <c r="X66" s="60">
        <f>-SUMIF(Amazon!$A$53:$A$58,"CZ",Amazon!V53:V58)</f>
        <v>0</v>
      </c>
      <c r="Y66" s="60">
        <f>-SUMIF(Amazon!$A$53:$A$58,"CZ",Amazon!W53:W58)</f>
        <v>0</v>
      </c>
      <c r="Z66" s="60">
        <f>-SUMIF(Amazon!$A$53:$A$58,"CZ",Amazon!X53:X58)</f>
        <v>0</v>
      </c>
      <c r="AA66" s="60">
        <f>-SUMIF(Amazon!$A$53:$A$58,"CZ",Amazon!Y53:Y58)</f>
        <v>0</v>
      </c>
      <c r="AB66" s="60">
        <f>-SUMIF(Amazon!$A$53:$A$58,"CZ",Amazon!Z53:Z58)</f>
        <v>0</v>
      </c>
      <c r="AC66" s="60">
        <f>-SUMIF(Amazon!$A$53:$A$58,"CZ",Amazon!AA53:AA58)</f>
        <v>0</v>
      </c>
      <c r="AD66" s="60">
        <f>-SUMIF(Amazon!$A$53:$A$58,"CZ",Amazon!AB53:AB58)</f>
        <v>0</v>
      </c>
      <c r="AE66" s="60"/>
      <c r="AF66" s="61">
        <f>SUM(S66:AD66)</f>
        <v>0</v>
      </c>
      <c r="AH66" s="60">
        <f>-SUMIF(Amazon!$A$53:$A$58,"CZ",Amazon!AE53:AE58)</f>
        <v>0</v>
      </c>
      <c r="AI66" s="60">
        <f>-SUMIF(Amazon!$A$53:$A$58,"CZ",Amazon!AF53:AF58)</f>
        <v>0</v>
      </c>
      <c r="AJ66" s="60">
        <f>-SUMIF(Amazon!$A$53:$A$58,"CZ",Amazon!AG53:AG58)</f>
        <v>0</v>
      </c>
      <c r="AK66" s="60">
        <f>-SUMIF(Amazon!$A$53:$A$58,"CZ",Amazon!AH53:AH58)</f>
        <v>0</v>
      </c>
      <c r="AL66" s="60">
        <f>-SUMIF(Amazon!$A$53:$A$58,"CZ",Amazon!AI53:AI58)</f>
        <v>0</v>
      </c>
      <c r="AM66" s="60">
        <f>-SUMIF(Amazon!$A$53:$A$58,"CZ",Amazon!AJ53:AJ58)</f>
        <v>0</v>
      </c>
      <c r="AN66" s="60">
        <f>-SUMIF(Amazon!$A$53:$A$58,"CZ",Amazon!AK53:AK58)</f>
        <v>0</v>
      </c>
      <c r="AO66" s="60">
        <f>-SUMIF(Amazon!$A$53:$A$58,"CZ",Amazon!AL53:AL58)</f>
        <v>0</v>
      </c>
      <c r="AP66" s="60">
        <f>-SUMIF(Amazon!$A$53:$A$58,"CZ",Amazon!AM53:AM58)</f>
        <v>0</v>
      </c>
      <c r="AQ66" s="60">
        <f>-SUMIF(Amazon!$A$53:$A$58,"CZ",Amazon!AN53:AN58)</f>
        <v>0</v>
      </c>
      <c r="AR66" s="60">
        <f>-SUMIF(Amazon!$A$53:$A$58,"CZ",Amazon!AO53:AO58)</f>
        <v>0</v>
      </c>
      <c r="AS66" s="60">
        <f>-SUMIF(Amazon!$A$53:$A$58,"CZ",Amazon!AP53:AP58)</f>
        <v>0</v>
      </c>
      <c r="AT66" s="60"/>
      <c r="AU66" s="61">
        <f t="shared" si="89"/>
        <v>0</v>
      </c>
    </row>
    <row r="67" spans="2:47" outlineLevel="2">
      <c r="B67" s="51" t="s">
        <v>131</v>
      </c>
      <c r="D67" s="59"/>
      <c r="E67" s="59"/>
      <c r="F67" s="59"/>
      <c r="G67" s="59"/>
      <c r="H67" s="59"/>
      <c r="I67" s="59"/>
      <c r="J67" s="59"/>
      <c r="K67" s="59"/>
      <c r="L67" s="59"/>
      <c r="M67" s="60"/>
      <c r="N67" s="60"/>
      <c r="O67" s="60"/>
      <c r="P67" s="60"/>
      <c r="Q67" s="61">
        <f t="shared" si="86"/>
        <v>0</v>
      </c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1">
        <f t="shared" ref="AF67" si="90">SUM(S67:AD67)</f>
        <v>0</v>
      </c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1">
        <f t="shared" si="89"/>
        <v>0</v>
      </c>
    </row>
    <row r="68" spans="2:47" outlineLevel="1">
      <c r="D68" s="59"/>
      <c r="E68" s="59"/>
      <c r="F68" s="59"/>
      <c r="G68" s="59"/>
      <c r="H68" s="59"/>
      <c r="I68" s="59"/>
      <c r="J68" s="59"/>
      <c r="K68" s="59"/>
      <c r="L68" s="59"/>
      <c r="M68" s="60"/>
      <c r="N68" s="60"/>
      <c r="O68" s="60"/>
      <c r="Q68" s="61"/>
      <c r="S68" s="83"/>
      <c r="T68" s="83"/>
      <c r="U68" s="83"/>
      <c r="V68" s="83"/>
      <c r="W68" s="83"/>
      <c r="AH68" s="83"/>
      <c r="AI68" s="83"/>
      <c r="AJ68" s="83"/>
      <c r="AK68" s="83"/>
      <c r="AL68" s="83"/>
    </row>
    <row r="69" spans="2:47">
      <c r="B69" s="63" t="s">
        <v>132</v>
      </c>
      <c r="C69" s="52"/>
      <c r="D69" s="64">
        <f t="shared" ref="D69:K69" si="91">SUM(D58:D68)</f>
        <v>-11475</v>
      </c>
      <c r="E69" s="64">
        <f t="shared" si="91"/>
        <v>-29537.03</v>
      </c>
      <c r="F69" s="64">
        <f t="shared" si="91"/>
        <v>-38049.54</v>
      </c>
      <c r="G69" s="64">
        <f t="shared" si="91"/>
        <v>-19991.580000000002</v>
      </c>
      <c r="H69" s="64">
        <f t="shared" si="91"/>
        <v>-20442.309999999998</v>
      </c>
      <c r="I69" s="64">
        <f t="shared" si="91"/>
        <v>-32692.839999999997</v>
      </c>
      <c r="J69" s="64">
        <f t="shared" si="91"/>
        <v>-38052.44</v>
      </c>
      <c r="K69" s="64">
        <f t="shared" si="91"/>
        <v>-22674.489999999998</v>
      </c>
      <c r="L69" s="64">
        <f t="shared" ref="L69:O69" si="92">SUM(L58:L68)</f>
        <v>-80728</v>
      </c>
      <c r="M69" s="65">
        <f t="shared" si="92"/>
        <v>-65908</v>
      </c>
      <c r="N69" s="65">
        <f t="shared" si="92"/>
        <v>-28275</v>
      </c>
      <c r="O69" s="65">
        <f t="shared" si="92"/>
        <v>-21705</v>
      </c>
      <c r="P69" s="61"/>
      <c r="Q69" s="65">
        <f>SUM(D69:O69)</f>
        <v>-409531.23</v>
      </c>
      <c r="R69" s="75"/>
      <c r="S69" s="84">
        <f t="shared" ref="S69" si="93">SUM(S58:S68)</f>
        <v>-23185.600000000002</v>
      </c>
      <c r="T69" s="84">
        <f>SUM(T58:T68)</f>
        <v>-47823</v>
      </c>
      <c r="U69" s="84">
        <f>SUM(U58:U68)</f>
        <v>-42783.100000000006</v>
      </c>
      <c r="V69" s="84">
        <f>SUM(V58:V68)</f>
        <v>-25048.836442961692</v>
      </c>
      <c r="W69" s="84">
        <f>SUM(W58:W68)</f>
        <v>-26291.749907151025</v>
      </c>
      <c r="X69" s="65">
        <f t="shared" ref="X69:AD69" si="94">SUM(X58:X68)</f>
        <v>-67468.417552202241</v>
      </c>
      <c r="Y69" s="65">
        <f t="shared" si="94"/>
        <v>-27561.151571899671</v>
      </c>
      <c r="Z69" s="65">
        <f t="shared" si="94"/>
        <v>-31772.268833910279</v>
      </c>
      <c r="AA69" s="65">
        <f t="shared" si="94"/>
        <v>-95996.059368432441</v>
      </c>
      <c r="AB69" s="65">
        <f t="shared" si="94"/>
        <v>-123420.46915944261</v>
      </c>
      <c r="AC69" s="65">
        <f t="shared" si="94"/>
        <v>-23527.353383709022</v>
      </c>
      <c r="AD69" s="65">
        <f t="shared" si="94"/>
        <v>-29869.526571016591</v>
      </c>
      <c r="AE69" s="61"/>
      <c r="AF69" s="65">
        <f>SUM(S69:AD69)</f>
        <v>-564747.53279072559</v>
      </c>
      <c r="AH69" s="84">
        <f t="shared" ref="AH69" si="95">SUM(AH58:AH68)</f>
        <v>-28916.280000000002</v>
      </c>
      <c r="AI69" s="84">
        <f>SUM(AI58:AI68)</f>
        <v>-59394.9</v>
      </c>
      <c r="AJ69" s="84">
        <f>SUM(AJ58:AJ68)</f>
        <v>-54393.030000000006</v>
      </c>
      <c r="AK69" s="84">
        <f>SUM(AK58:AK68)</f>
        <v>-30462.732448832336</v>
      </c>
      <c r="AL69" s="84">
        <f>SUM(AL58:AL68)</f>
        <v>-30917.938051881429</v>
      </c>
      <c r="AM69" s="65">
        <f t="shared" ref="AM69:AS69" si="96">SUM(AM58:AM68)</f>
        <v>-86097.816322359256</v>
      </c>
      <c r="AN69" s="65">
        <f t="shared" si="96"/>
        <v>-34089.226862870986</v>
      </c>
      <c r="AO69" s="65">
        <f t="shared" si="96"/>
        <v>-37504.276706704353</v>
      </c>
      <c r="AP69" s="65">
        <f t="shared" si="96"/>
        <v>-121109.39675264055</v>
      </c>
      <c r="AQ69" s="65">
        <f t="shared" si="96"/>
        <v>-155506.11946306107</v>
      </c>
      <c r="AR69" s="65">
        <f t="shared" si="96"/>
        <v>-28315.290789670857</v>
      </c>
      <c r="AS69" s="65">
        <f t="shared" si="96"/>
        <v>-36641.002174675566</v>
      </c>
      <c r="AT69" s="61"/>
      <c r="AU69" s="65">
        <f>SUM(AH69:AS69)</f>
        <v>-703348.00957269641</v>
      </c>
    </row>
    <row r="70" spans="2:47">
      <c r="D70" s="53"/>
      <c r="E70" s="53"/>
      <c r="F70" s="53"/>
      <c r="G70" s="53"/>
      <c r="H70" s="53"/>
      <c r="I70" s="53"/>
      <c r="J70" s="53"/>
      <c r="K70" s="53"/>
      <c r="L70" s="53"/>
      <c r="S70" s="92"/>
      <c r="T70" s="92"/>
      <c r="U70" s="92"/>
      <c r="V70" s="92"/>
      <c r="W70" s="92"/>
      <c r="AF70" s="141">
        <f ca="1">AF69/AF11</f>
        <v>-0.25460737907184422</v>
      </c>
      <c r="AH70" s="88"/>
      <c r="AI70" s="88"/>
      <c r="AJ70" s="88"/>
      <c r="AK70" s="88"/>
      <c r="AL70" s="88"/>
    </row>
    <row r="71" spans="2:47" hidden="1" outlineLevel="1">
      <c r="B71" s="67" t="s">
        <v>133</v>
      </c>
      <c r="C71" s="52"/>
      <c r="D71" s="68">
        <f t="shared" ref="D71:K71" si="97">D44+SUM(D58:D62)</f>
        <v>6805.5600000000013</v>
      </c>
      <c r="E71" s="68">
        <f t="shared" si="97"/>
        <v>54768</v>
      </c>
      <c r="F71" s="68">
        <f t="shared" si="97"/>
        <v>32210.969999999994</v>
      </c>
      <c r="G71" s="68">
        <f t="shared" si="97"/>
        <v>10137.189999999999</v>
      </c>
      <c r="H71" s="68">
        <f t="shared" si="97"/>
        <v>10773.430000000004</v>
      </c>
      <c r="I71" s="68">
        <f t="shared" si="97"/>
        <v>59597.399999999994</v>
      </c>
      <c r="J71" s="68">
        <f t="shared" si="97"/>
        <v>62330.49000000002</v>
      </c>
      <c r="K71" s="68">
        <f t="shared" si="97"/>
        <v>6508.4100000000035</v>
      </c>
      <c r="L71" s="68">
        <f t="shared" ref="L71:O71" si="98">L44+SUM(L58:L62)</f>
        <v>123538</v>
      </c>
      <c r="M71" s="69">
        <f>M44+SUM(M58:M62)</f>
        <v>108557</v>
      </c>
      <c r="N71" s="69">
        <f>N44+SUM(N58:N62)</f>
        <v>23543</v>
      </c>
      <c r="O71" s="69">
        <f t="shared" si="98"/>
        <v>18570</v>
      </c>
      <c r="P71" s="69"/>
      <c r="Q71" s="69">
        <f>Q44+SUM(Q58:Q62)</f>
        <v>517339.44999999995</v>
      </c>
      <c r="S71" s="85">
        <f>S44+SUM(S58:S62)</f>
        <v>27964.209308063768</v>
      </c>
      <c r="T71" s="85">
        <f t="shared" ref="T71:AD71" si="99">T44+SUM(T58:T62)</f>
        <v>67742.468103602354</v>
      </c>
      <c r="U71" s="85">
        <f t="shared" si="99"/>
        <v>57319.274915747781</v>
      </c>
      <c r="V71" s="85">
        <f t="shared" si="99"/>
        <v>23557.828762549238</v>
      </c>
      <c r="W71" s="85">
        <f t="shared" si="99"/>
        <v>21507.182169993408</v>
      </c>
      <c r="X71" s="69">
        <f t="shared" si="99"/>
        <v>116081.45929620505</v>
      </c>
      <c r="Y71" s="69">
        <f t="shared" si="99"/>
        <v>31116.516552443343</v>
      </c>
      <c r="Z71" s="69">
        <f t="shared" si="99"/>
        <v>29639.102348034681</v>
      </c>
      <c r="AA71" s="69">
        <f t="shared" si="99"/>
        <v>141448.23568391553</v>
      </c>
      <c r="AB71" s="69">
        <f t="shared" si="99"/>
        <v>116446.41397802468</v>
      </c>
      <c r="AC71" s="69">
        <f t="shared" si="99"/>
        <v>42157.126381362075</v>
      </c>
      <c r="AD71" s="69">
        <f t="shared" si="99"/>
        <v>35038.18070948821</v>
      </c>
      <c r="AE71" s="69"/>
      <c r="AF71" s="69">
        <f>AF44+SUM(AF58:AF62)</f>
        <v>710017.99820943002</v>
      </c>
      <c r="AH71" s="85">
        <f>AH44+SUM(AH58:AH62)</f>
        <v>33059.197526189731</v>
      </c>
      <c r="AI71" s="85">
        <f t="shared" ref="AI71:AS71" si="100">AI44+SUM(AI58:AI62)</f>
        <v>78655.381989301881</v>
      </c>
      <c r="AJ71" s="85">
        <f t="shared" si="100"/>
        <v>60986.541255680138</v>
      </c>
      <c r="AK71" s="85">
        <f t="shared" si="100"/>
        <v>42376.178581538159</v>
      </c>
      <c r="AL71" s="85">
        <f t="shared" si="100"/>
        <v>30664.186788147195</v>
      </c>
      <c r="AM71" s="69">
        <f t="shared" si="100"/>
        <v>103012.20446988745</v>
      </c>
      <c r="AN71" s="69">
        <f t="shared" si="100"/>
        <v>70618.030313570998</v>
      </c>
      <c r="AO71" s="69">
        <f t="shared" si="100"/>
        <v>31246.809938557351</v>
      </c>
      <c r="AP71" s="69">
        <f t="shared" si="100"/>
        <v>158130.24257373356</v>
      </c>
      <c r="AQ71" s="69">
        <f t="shared" si="100"/>
        <v>120461.06124273059</v>
      </c>
      <c r="AR71" s="69">
        <f t="shared" si="100"/>
        <v>50715.194140135049</v>
      </c>
      <c r="AS71" s="69">
        <f t="shared" si="100"/>
        <v>41689.004599524458</v>
      </c>
      <c r="AT71" s="69"/>
      <c r="AU71" s="69">
        <f>AU44+SUM(AU58:AU62)</f>
        <v>821614.03341899638</v>
      </c>
    </row>
    <row r="72" spans="2:47" hidden="1" outlineLevel="1">
      <c r="B72" s="67" t="s">
        <v>134</v>
      </c>
      <c r="C72" s="52"/>
      <c r="D72" s="68">
        <f t="shared" ref="D72:K72" si="101">D45+SUM(D63:D65)</f>
        <v>-610.59</v>
      </c>
      <c r="E72" s="68">
        <f t="shared" si="101"/>
        <v>31289.09</v>
      </c>
      <c r="F72" s="68">
        <f t="shared" si="101"/>
        <v>-535.52</v>
      </c>
      <c r="G72" s="68">
        <f t="shared" si="101"/>
        <v>0</v>
      </c>
      <c r="H72" s="68">
        <f t="shared" si="101"/>
        <v>-43.37</v>
      </c>
      <c r="I72" s="68">
        <f t="shared" si="101"/>
        <v>0</v>
      </c>
      <c r="J72" s="68">
        <f t="shared" si="101"/>
        <v>27369.690000000002</v>
      </c>
      <c r="K72" s="68">
        <f t="shared" si="101"/>
        <v>-2940.49</v>
      </c>
      <c r="L72" s="68">
        <f t="shared" ref="L72:O72" si="102">L45+SUM(L63:L65)</f>
        <v>7026</v>
      </c>
      <c r="M72" s="69">
        <f t="shared" si="102"/>
        <v>0</v>
      </c>
      <c r="N72" s="69">
        <f t="shared" si="102"/>
        <v>0</v>
      </c>
      <c r="O72" s="69">
        <f t="shared" si="102"/>
        <v>0</v>
      </c>
      <c r="P72" s="69"/>
      <c r="Q72" s="69">
        <f>Q45+SUM(Q63:Q65)</f>
        <v>61554.81</v>
      </c>
      <c r="S72" s="85">
        <f>S45+SUM(S63:S65)</f>
        <v>2342.1849885210918</v>
      </c>
      <c r="T72" s="85">
        <f t="shared" ref="T72:AD72" si="103">T45+SUM(T63:T65)</f>
        <v>7026.5549655632749</v>
      </c>
      <c r="U72" s="85">
        <f t="shared" si="103"/>
        <v>2342.1849885210918</v>
      </c>
      <c r="V72" s="85">
        <f t="shared" si="103"/>
        <v>5768.6527643864129</v>
      </c>
      <c r="W72" s="85">
        <f t="shared" si="103"/>
        <v>9249.1711929508747</v>
      </c>
      <c r="X72" s="69">
        <f t="shared" si="103"/>
        <v>4106.8282693774636</v>
      </c>
      <c r="Y72" s="69">
        <f t="shared" si="103"/>
        <v>4121.1952782320877</v>
      </c>
      <c r="Z72" s="69">
        <f t="shared" si="103"/>
        <v>8738.8534139235489</v>
      </c>
      <c r="AA72" s="69">
        <f t="shared" si="103"/>
        <v>4675.1402889393448</v>
      </c>
      <c r="AB72" s="69">
        <f t="shared" si="103"/>
        <v>8011.3715189458671</v>
      </c>
      <c r="AC72" s="69">
        <f t="shared" si="103"/>
        <v>5919.5291560112619</v>
      </c>
      <c r="AD72" s="69">
        <f t="shared" si="103"/>
        <v>5549.8695645369153</v>
      </c>
      <c r="AE72" s="69"/>
      <c r="AF72" s="69">
        <f>AF45+SUM(AF63:AF65)</f>
        <v>67851.536389909248</v>
      </c>
      <c r="AH72" s="85">
        <f>AH45+SUM(AH63:AH65)</f>
        <v>2984.294237947146</v>
      </c>
      <c r="AI72" s="85">
        <f t="shared" ref="AI72:AS72" si="104">AI45+SUM(AI63:AI65)</f>
        <v>8952.8827138414381</v>
      </c>
      <c r="AJ72" s="85">
        <f t="shared" si="104"/>
        <v>2984.294237947146</v>
      </c>
      <c r="AK72" s="85">
        <f t="shared" si="104"/>
        <v>11303.259304419751</v>
      </c>
      <c r="AL72" s="85">
        <f t="shared" si="104"/>
        <v>17150.599883940995</v>
      </c>
      <c r="AM72" s="69">
        <f t="shared" si="104"/>
        <v>10649.812571014858</v>
      </c>
      <c r="AN72" s="69">
        <f t="shared" si="104"/>
        <v>9388.7904153039326</v>
      </c>
      <c r="AO72" s="69">
        <f t="shared" si="104"/>
        <v>16557.572434236608</v>
      </c>
      <c r="AP72" s="69">
        <f t="shared" si="104"/>
        <v>11310.233668315261</v>
      </c>
      <c r="AQ72" s="69">
        <f t="shared" si="104"/>
        <v>14308.466334783421</v>
      </c>
      <c r="AR72" s="69">
        <f t="shared" si="104"/>
        <v>11615.088962572019</v>
      </c>
      <c r="AS72" s="69">
        <f t="shared" si="104"/>
        <v>12589.234548371049</v>
      </c>
      <c r="AT72" s="69"/>
      <c r="AU72" s="69">
        <f>AU45+SUM(AU63:AU65)</f>
        <v>129794.52931269363</v>
      </c>
    </row>
    <row r="73" spans="2:47" hidden="1" outlineLevel="1">
      <c r="B73" s="67" t="s">
        <v>135</v>
      </c>
      <c r="C73" s="52"/>
      <c r="D73" s="68">
        <f t="shared" ref="D73:K73" si="105">D46+D66</f>
        <v>0</v>
      </c>
      <c r="E73" s="68">
        <f t="shared" si="105"/>
        <v>0</v>
      </c>
      <c r="F73" s="68">
        <f t="shared" si="105"/>
        <v>0</v>
      </c>
      <c r="G73" s="68">
        <f t="shared" si="105"/>
        <v>0</v>
      </c>
      <c r="H73" s="68">
        <f t="shared" si="105"/>
        <v>0</v>
      </c>
      <c r="I73" s="68">
        <f t="shared" si="105"/>
        <v>0</v>
      </c>
      <c r="J73" s="68">
        <f t="shared" si="105"/>
        <v>0</v>
      </c>
      <c r="K73" s="68">
        <f t="shared" si="105"/>
        <v>0</v>
      </c>
      <c r="L73" s="68">
        <f t="shared" ref="L73:O74" ca="1" si="106">L46+L66</f>
        <v>0</v>
      </c>
      <c r="M73" s="69">
        <f t="shared" si="106"/>
        <v>0</v>
      </c>
      <c r="N73" s="69">
        <f t="shared" si="106"/>
        <v>0</v>
      </c>
      <c r="O73" s="69">
        <f t="shared" si="106"/>
        <v>0</v>
      </c>
      <c r="P73" s="69"/>
      <c r="Q73" s="69">
        <f ca="1">Q46+Q66</f>
        <v>0</v>
      </c>
      <c r="S73" s="85">
        <f t="shared" ref="S73:AD74" ca="1" si="107">S46+S66</f>
        <v>0</v>
      </c>
      <c r="T73" s="85">
        <f t="shared" ca="1" si="107"/>
        <v>0</v>
      </c>
      <c r="U73" s="85">
        <f t="shared" ca="1" si="107"/>
        <v>0</v>
      </c>
      <c r="V73" s="85">
        <f t="shared" ca="1" si="107"/>
        <v>0</v>
      </c>
      <c r="W73" s="85">
        <f t="shared" ca="1" si="107"/>
        <v>0</v>
      </c>
      <c r="X73" s="69">
        <f t="shared" ca="1" si="107"/>
        <v>0</v>
      </c>
      <c r="Y73" s="69">
        <f t="shared" ca="1" si="107"/>
        <v>0</v>
      </c>
      <c r="Z73" s="69">
        <f t="shared" ca="1" si="107"/>
        <v>0</v>
      </c>
      <c r="AA73" s="69">
        <f t="shared" ca="1" si="107"/>
        <v>0</v>
      </c>
      <c r="AB73" s="69">
        <f t="shared" ca="1" si="107"/>
        <v>0</v>
      </c>
      <c r="AC73" s="69">
        <f t="shared" ca="1" si="107"/>
        <v>0</v>
      </c>
      <c r="AD73" s="69">
        <f t="shared" ca="1" si="107"/>
        <v>0</v>
      </c>
      <c r="AE73" s="69"/>
      <c r="AF73" s="69">
        <f ca="1">AF46+AF66</f>
        <v>0</v>
      </c>
      <c r="AH73" s="85">
        <f t="shared" ref="AH73:AS74" ca="1" si="108">AH46+AH66</f>
        <v>0</v>
      </c>
      <c r="AI73" s="85">
        <f t="shared" ca="1" si="108"/>
        <v>0</v>
      </c>
      <c r="AJ73" s="85">
        <f t="shared" ca="1" si="108"/>
        <v>0</v>
      </c>
      <c r="AK73" s="85">
        <f t="shared" ca="1" si="108"/>
        <v>0</v>
      </c>
      <c r="AL73" s="85">
        <f t="shared" ca="1" si="108"/>
        <v>0</v>
      </c>
      <c r="AM73" s="69">
        <f t="shared" ca="1" si="108"/>
        <v>0</v>
      </c>
      <c r="AN73" s="69">
        <f t="shared" ca="1" si="108"/>
        <v>0</v>
      </c>
      <c r="AO73" s="69">
        <f t="shared" ca="1" si="108"/>
        <v>0</v>
      </c>
      <c r="AP73" s="69">
        <f t="shared" ca="1" si="108"/>
        <v>0</v>
      </c>
      <c r="AQ73" s="69">
        <f t="shared" ca="1" si="108"/>
        <v>0</v>
      </c>
      <c r="AR73" s="69">
        <f t="shared" ca="1" si="108"/>
        <v>0</v>
      </c>
      <c r="AS73" s="69">
        <f t="shared" ca="1" si="108"/>
        <v>0</v>
      </c>
      <c r="AT73" s="69"/>
      <c r="AU73" s="69">
        <f ca="1">AU46+AU66</f>
        <v>0</v>
      </c>
    </row>
    <row r="74" spans="2:47" hidden="1" outlineLevel="1">
      <c r="B74" s="67" t="s">
        <v>136</v>
      </c>
      <c r="C74" s="52"/>
      <c r="D74" s="68">
        <f t="shared" ref="D74:K74" si="109">D47+D67</f>
        <v>0</v>
      </c>
      <c r="E74" s="68">
        <f t="shared" si="109"/>
        <v>0</v>
      </c>
      <c r="F74" s="68">
        <f t="shared" si="109"/>
        <v>0</v>
      </c>
      <c r="G74" s="68">
        <f t="shared" si="109"/>
        <v>0</v>
      </c>
      <c r="H74" s="68">
        <f t="shared" si="109"/>
        <v>0</v>
      </c>
      <c r="I74" s="68">
        <f t="shared" si="109"/>
        <v>0</v>
      </c>
      <c r="J74" s="68">
        <f t="shared" si="109"/>
        <v>0</v>
      </c>
      <c r="K74" s="68">
        <f t="shared" si="109"/>
        <v>0</v>
      </c>
      <c r="L74" s="68">
        <f t="shared" si="106"/>
        <v>0</v>
      </c>
      <c r="M74" s="69">
        <f t="shared" si="106"/>
        <v>0</v>
      </c>
      <c r="N74" s="69">
        <f t="shared" si="106"/>
        <v>0</v>
      </c>
      <c r="O74" s="69">
        <f t="shared" si="106"/>
        <v>0</v>
      </c>
      <c r="P74" s="69"/>
      <c r="Q74" s="69">
        <f>Q47+Q67</f>
        <v>0</v>
      </c>
      <c r="S74" s="85">
        <f t="shared" si="107"/>
        <v>0</v>
      </c>
      <c r="T74" s="85">
        <f t="shared" si="107"/>
        <v>0</v>
      </c>
      <c r="U74" s="85">
        <f t="shared" si="107"/>
        <v>0</v>
      </c>
      <c r="V74" s="85">
        <f t="shared" si="107"/>
        <v>0</v>
      </c>
      <c r="W74" s="85">
        <f t="shared" si="107"/>
        <v>0</v>
      </c>
      <c r="X74" s="69">
        <f t="shared" si="107"/>
        <v>0</v>
      </c>
      <c r="Y74" s="69">
        <f t="shared" si="107"/>
        <v>0</v>
      </c>
      <c r="Z74" s="69">
        <f t="shared" si="107"/>
        <v>0</v>
      </c>
      <c r="AA74" s="69">
        <f t="shared" si="107"/>
        <v>0</v>
      </c>
      <c r="AB74" s="69">
        <f t="shared" si="107"/>
        <v>0</v>
      </c>
      <c r="AC74" s="69">
        <f t="shared" si="107"/>
        <v>0</v>
      </c>
      <c r="AD74" s="69">
        <f t="shared" si="107"/>
        <v>0</v>
      </c>
      <c r="AE74" s="69"/>
      <c r="AF74" s="69">
        <f>AF47+AF67</f>
        <v>0</v>
      </c>
      <c r="AH74" s="85">
        <f t="shared" si="108"/>
        <v>0</v>
      </c>
      <c r="AI74" s="85">
        <f t="shared" si="108"/>
        <v>0</v>
      </c>
      <c r="AJ74" s="85">
        <f t="shared" si="108"/>
        <v>0</v>
      </c>
      <c r="AK74" s="85">
        <f t="shared" si="108"/>
        <v>0</v>
      </c>
      <c r="AL74" s="85">
        <f t="shared" si="108"/>
        <v>0</v>
      </c>
      <c r="AM74" s="69">
        <f t="shared" si="108"/>
        <v>0</v>
      </c>
      <c r="AN74" s="69">
        <f t="shared" si="108"/>
        <v>0</v>
      </c>
      <c r="AO74" s="69">
        <f t="shared" si="108"/>
        <v>0</v>
      </c>
      <c r="AP74" s="69">
        <f t="shared" si="108"/>
        <v>0</v>
      </c>
      <c r="AQ74" s="69">
        <f t="shared" si="108"/>
        <v>0</v>
      </c>
      <c r="AR74" s="69">
        <f t="shared" si="108"/>
        <v>0</v>
      </c>
      <c r="AS74" s="69">
        <f t="shared" si="108"/>
        <v>0</v>
      </c>
      <c r="AT74" s="69"/>
      <c r="AU74" s="69">
        <f>AU47+AU67</f>
        <v>0</v>
      </c>
    </row>
    <row r="75" spans="2:47" collapsed="1">
      <c r="B75" s="67" t="s">
        <v>137</v>
      </c>
      <c r="C75" s="52"/>
      <c r="D75" s="68">
        <f t="shared" ref="D75:K75" si="110">D48+D69</f>
        <v>6194.9700000000012</v>
      </c>
      <c r="E75" s="68">
        <f t="shared" si="110"/>
        <v>86057.090000000011</v>
      </c>
      <c r="F75" s="68">
        <f t="shared" si="110"/>
        <v>31675.44999999999</v>
      </c>
      <c r="G75" s="68">
        <f t="shared" si="110"/>
        <v>10137.189999999999</v>
      </c>
      <c r="H75" s="68">
        <f t="shared" si="110"/>
        <v>10730.060000000005</v>
      </c>
      <c r="I75" s="68">
        <f t="shared" si="110"/>
        <v>59597.399999999994</v>
      </c>
      <c r="J75" s="68">
        <f t="shared" si="110"/>
        <v>89700.180000000037</v>
      </c>
      <c r="K75" s="68">
        <f t="shared" si="110"/>
        <v>3567.9200000000055</v>
      </c>
      <c r="L75" s="68">
        <f t="shared" ref="L75:O75" ca="1" si="111">L48+L69</f>
        <v>130564</v>
      </c>
      <c r="M75" s="69">
        <f t="shared" si="111"/>
        <v>108557</v>
      </c>
      <c r="N75" s="69">
        <f t="shared" si="111"/>
        <v>23543</v>
      </c>
      <c r="O75" s="69">
        <f t="shared" si="111"/>
        <v>18570</v>
      </c>
      <c r="P75" s="69"/>
      <c r="Q75" s="69">
        <f ca="1">Q48+Q69</f>
        <v>578894.26</v>
      </c>
      <c r="S75" s="85">
        <f t="shared" ref="S75:AD75" ca="1" si="112">S48+S69</f>
        <v>30306.394296584858</v>
      </c>
      <c r="T75" s="85">
        <f t="shared" ca="1" si="112"/>
        <v>74769.023069165632</v>
      </c>
      <c r="U75" s="85">
        <f t="shared" ca="1" si="112"/>
        <v>59661.459904268879</v>
      </c>
      <c r="V75" s="85">
        <f t="shared" ca="1" si="112"/>
        <v>29326.481526935648</v>
      </c>
      <c r="W75" s="85">
        <f t="shared" ca="1" si="112"/>
        <v>30756.35336294429</v>
      </c>
      <c r="X75" s="69">
        <f t="shared" ca="1" si="112"/>
        <v>120188.28756558249</v>
      </c>
      <c r="Y75" s="69">
        <f t="shared" ca="1" si="112"/>
        <v>35237.711830675442</v>
      </c>
      <c r="Z75" s="69">
        <f t="shared" ca="1" si="112"/>
        <v>38377.955761958219</v>
      </c>
      <c r="AA75" s="69">
        <f t="shared" ca="1" si="112"/>
        <v>146123.3759728549</v>
      </c>
      <c r="AB75" s="69">
        <f t="shared" ca="1" si="112"/>
        <v>124457.78549697052</v>
      </c>
      <c r="AC75" s="69">
        <f t="shared" ca="1" si="112"/>
        <v>48076.655537373343</v>
      </c>
      <c r="AD75" s="69">
        <f t="shared" ca="1" si="112"/>
        <v>40588.050274025118</v>
      </c>
      <c r="AE75" s="69"/>
      <c r="AF75" s="69">
        <f ca="1">AF48+AF69</f>
        <v>777869.53459933912</v>
      </c>
      <c r="AH75" s="85">
        <f t="shared" ref="AH75:AS75" ca="1" si="113">AH48+AH69</f>
        <v>36043.491764136881</v>
      </c>
      <c r="AI75" s="85">
        <f t="shared" ca="1" si="113"/>
        <v>87608.26470314333</v>
      </c>
      <c r="AJ75" s="85">
        <f t="shared" ca="1" si="113"/>
        <v>63970.835493627274</v>
      </c>
      <c r="AK75" s="85">
        <f t="shared" ca="1" si="113"/>
        <v>53679.437885957916</v>
      </c>
      <c r="AL75" s="85">
        <f t="shared" ca="1" si="113"/>
        <v>47814.786672088201</v>
      </c>
      <c r="AM75" s="69">
        <f t="shared" ca="1" si="113"/>
        <v>113662.01704090234</v>
      </c>
      <c r="AN75" s="69">
        <f t="shared" ca="1" si="113"/>
        <v>80006.82072887494</v>
      </c>
      <c r="AO75" s="69">
        <f t="shared" ca="1" si="113"/>
        <v>47804.382372793967</v>
      </c>
      <c r="AP75" s="69">
        <f t="shared" ca="1" si="113"/>
        <v>169440.47624204878</v>
      </c>
      <c r="AQ75" s="69">
        <f t="shared" ca="1" si="113"/>
        <v>134769.52757751403</v>
      </c>
      <c r="AR75" s="69">
        <f t="shared" ca="1" si="113"/>
        <v>62330.283102707042</v>
      </c>
      <c r="AS75" s="69">
        <f t="shared" ca="1" si="113"/>
        <v>54278.239147895525</v>
      </c>
      <c r="AT75" s="69"/>
      <c r="AU75" s="69">
        <f ca="1">AU48+AU69</f>
        <v>951408.56273168977</v>
      </c>
    </row>
    <row r="76" spans="2:47">
      <c r="B76" s="52"/>
      <c r="C76" s="52"/>
      <c r="D76" s="70"/>
      <c r="E76" s="70"/>
      <c r="F76" s="70"/>
      <c r="G76" s="70"/>
      <c r="H76" s="70"/>
      <c r="I76" s="70"/>
      <c r="J76" s="70"/>
      <c r="K76" s="70"/>
      <c r="L76" s="70"/>
      <c r="M76" s="52"/>
      <c r="N76" s="52"/>
      <c r="O76" s="52"/>
      <c r="P76" s="52"/>
      <c r="S76" s="10"/>
      <c r="T76" s="10"/>
      <c r="U76" s="10"/>
      <c r="V76" s="10"/>
      <c r="W76" s="10"/>
      <c r="X76" s="52"/>
      <c r="Y76" s="52"/>
      <c r="Z76" s="52"/>
      <c r="AA76" s="52"/>
      <c r="AB76" s="52"/>
      <c r="AC76" s="52"/>
      <c r="AD76" s="52"/>
      <c r="AE76" s="52"/>
      <c r="AH76" s="10"/>
      <c r="AI76" s="10"/>
      <c r="AJ76" s="10"/>
      <c r="AK76" s="10"/>
      <c r="AL76" s="10"/>
      <c r="AM76" s="52"/>
      <c r="AN76" s="52"/>
      <c r="AO76" s="52"/>
      <c r="AP76" s="52"/>
      <c r="AQ76" s="52"/>
      <c r="AR76" s="52"/>
      <c r="AS76" s="52"/>
      <c r="AT76" s="52"/>
    </row>
    <row r="77" spans="2:47" outlineLevel="1">
      <c r="B77" s="67" t="s">
        <v>138</v>
      </c>
      <c r="C77" s="52"/>
      <c r="D77" s="97">
        <f t="shared" ref="D77:K77" si="114">IFERROR(D71/D6,0)</f>
        <v>0.21795123482193043</v>
      </c>
      <c r="E77" s="97">
        <f t="shared" si="114"/>
        <v>0.41325123340417291</v>
      </c>
      <c r="F77" s="97">
        <f t="shared" si="114"/>
        <v>0.27835545188665906</v>
      </c>
      <c r="G77" s="97">
        <f t="shared" si="114"/>
        <v>0.22747246853827721</v>
      </c>
      <c r="H77" s="97">
        <f t="shared" si="114"/>
        <v>0.23169105135753115</v>
      </c>
      <c r="I77" s="97">
        <f t="shared" si="114"/>
        <v>0.37693819354356395</v>
      </c>
      <c r="J77" s="97">
        <f t="shared" si="114"/>
        <v>0.35668012327656279</v>
      </c>
      <c r="K77" s="97">
        <f t="shared" si="114"/>
        <v>0.14283635645389611</v>
      </c>
      <c r="L77" s="97">
        <f t="shared" ref="L77:O80" si="115">IFERROR(L71/L6,0)</f>
        <v>0.33566186559722644</v>
      </c>
      <c r="M77" s="91">
        <f t="shared" si="115"/>
        <v>0.36065448504983388</v>
      </c>
      <c r="N77" s="91">
        <f t="shared" si="115"/>
        <v>0.27697647058823527</v>
      </c>
      <c r="O77" s="91">
        <f t="shared" si="115"/>
        <v>0.28569230769230769</v>
      </c>
      <c r="P77" s="91"/>
      <c r="Q77" s="91">
        <f>IFERROR(Q71/Q6,0)</f>
        <v>0.32993447865714698</v>
      </c>
      <c r="S77" s="423">
        <f t="shared" ref="S77:AD80" si="116">IFERROR(S71/S6,0)</f>
        <v>0.33506224665040607</v>
      </c>
      <c r="T77" s="423">
        <f t="shared" si="116"/>
        <v>0.3616163613142972</v>
      </c>
      <c r="U77" s="423">
        <f t="shared" si="116"/>
        <v>0.34754325466932218</v>
      </c>
      <c r="V77" s="423">
        <f t="shared" si="116"/>
        <v>0.30677136081260808</v>
      </c>
      <c r="W77" s="423">
        <f t="shared" si="116"/>
        <v>0.29471777557793</v>
      </c>
      <c r="X77" s="423">
        <f t="shared" si="116"/>
        <v>0.38368045515579363</v>
      </c>
      <c r="Y77" s="423">
        <f t="shared" si="116"/>
        <v>0.32849796979368856</v>
      </c>
      <c r="Z77" s="423">
        <f t="shared" si="116"/>
        <v>0.30876620238696356</v>
      </c>
      <c r="AA77" s="423">
        <f t="shared" si="116"/>
        <v>0.3609893026019132</v>
      </c>
      <c r="AB77" s="91">
        <f t="shared" si="116"/>
        <v>0.29592770432518645</v>
      </c>
      <c r="AC77" s="91">
        <f t="shared" si="116"/>
        <v>0.40108911521190688</v>
      </c>
      <c r="AD77" s="91">
        <f t="shared" si="116"/>
        <v>0.33665769309885912</v>
      </c>
      <c r="AE77" s="91"/>
      <c r="AF77" s="91">
        <f>IFERROR(AF71/AF6,0)</f>
        <v>0.34246373951646991</v>
      </c>
      <c r="AH77" s="91">
        <f t="shared" ref="AH77:AS80" si="117">IFERROR(AH71/AH6,0)</f>
        <v>0.32326544465119456</v>
      </c>
      <c r="AI77" s="91">
        <f t="shared" si="117"/>
        <v>0.3463113156648609</v>
      </c>
      <c r="AJ77" s="91">
        <f t="shared" si="117"/>
        <v>0.31906411124008427</v>
      </c>
      <c r="AK77" s="91">
        <f t="shared" si="117"/>
        <v>0.35718936526870071</v>
      </c>
      <c r="AL77" s="91">
        <f t="shared" si="117"/>
        <v>0.31093049056017646</v>
      </c>
      <c r="AM77" s="91">
        <f t="shared" si="117"/>
        <v>0.32926247149747828</v>
      </c>
      <c r="AN77" s="91">
        <f t="shared" si="117"/>
        <v>0.40915394398794919</v>
      </c>
      <c r="AO77" s="91">
        <f t="shared" si="117"/>
        <v>0.28191701109746858</v>
      </c>
      <c r="AP77" s="91">
        <f t="shared" si="117"/>
        <v>0.34187816853268144</v>
      </c>
      <c r="AQ77" s="91">
        <f t="shared" si="117"/>
        <v>0.26411410048464279</v>
      </c>
      <c r="AR77" s="91">
        <f t="shared" si="117"/>
        <v>0.39288318925576676</v>
      </c>
      <c r="AS77" s="91">
        <f t="shared" si="117"/>
        <v>0.32537565781163735</v>
      </c>
      <c r="AT77" s="91"/>
      <c r="AU77" s="91">
        <f>IFERROR(AU71/AU6,0)</f>
        <v>0.32734683739608439</v>
      </c>
    </row>
    <row r="78" spans="2:47" outlineLevel="1">
      <c r="B78" s="67" t="s">
        <v>139</v>
      </c>
      <c r="C78" s="52"/>
      <c r="D78" s="97">
        <f t="shared" ref="D78:K78" si="118">IFERROR(D72/D7,0)</f>
        <v>0</v>
      </c>
      <c r="E78" s="97">
        <f t="shared" si="118"/>
        <v>0.97263275626463341</v>
      </c>
      <c r="F78" s="97">
        <f t="shared" si="118"/>
        <v>1.5870080606922712</v>
      </c>
      <c r="G78" s="97">
        <f t="shared" si="118"/>
        <v>0</v>
      </c>
      <c r="H78" s="97">
        <f t="shared" si="118"/>
        <v>0</v>
      </c>
      <c r="I78" s="97">
        <f t="shared" si="118"/>
        <v>0</v>
      </c>
      <c r="J78" s="97">
        <f t="shared" si="118"/>
        <v>0.566076591836988</v>
      </c>
      <c r="K78" s="97">
        <f t="shared" si="118"/>
        <v>0</v>
      </c>
      <c r="L78" s="97">
        <f t="shared" si="115"/>
        <v>0.47091152815013404</v>
      </c>
      <c r="M78" s="91">
        <f t="shared" si="115"/>
        <v>0</v>
      </c>
      <c r="N78" s="91">
        <f t="shared" si="115"/>
        <v>0</v>
      </c>
      <c r="O78" s="91">
        <f t="shared" si="115"/>
        <v>0</v>
      </c>
      <c r="P78" s="91"/>
      <c r="Q78" s="91">
        <f>IFERROR(Q72/Q7,0)</f>
        <v>0.64725151479719001</v>
      </c>
      <c r="S78" s="423">
        <f t="shared" si="116"/>
        <v>0.46843699770421837</v>
      </c>
      <c r="T78" s="423">
        <f t="shared" si="116"/>
        <v>0.46843699770421832</v>
      </c>
      <c r="U78" s="423">
        <f t="shared" si="116"/>
        <v>0.46843699770421837</v>
      </c>
      <c r="V78" s="423">
        <f t="shared" si="116"/>
        <v>0.46843699770421843</v>
      </c>
      <c r="W78" s="423">
        <f t="shared" si="116"/>
        <v>0.46843699770421832</v>
      </c>
      <c r="X78" s="423">
        <f t="shared" si="116"/>
        <v>0.46843699770421832</v>
      </c>
      <c r="Y78" s="423">
        <f t="shared" si="116"/>
        <v>0.46843699770421832</v>
      </c>
      <c r="Z78" s="423">
        <f t="shared" si="116"/>
        <v>0.46843699770421832</v>
      </c>
      <c r="AA78" s="423">
        <f t="shared" si="116"/>
        <v>0.46843699770421837</v>
      </c>
      <c r="AB78" s="91">
        <f t="shared" si="116"/>
        <v>0.46843699770421837</v>
      </c>
      <c r="AC78" s="91">
        <f t="shared" si="116"/>
        <v>0.46843699770421837</v>
      </c>
      <c r="AD78" s="91">
        <f t="shared" si="116"/>
        <v>0.46843699770421837</v>
      </c>
      <c r="AE78" s="91"/>
      <c r="AF78" s="91">
        <f>IFERROR(AF72/AF7,0)</f>
        <v>0.46843699770421843</v>
      </c>
      <c r="AH78" s="91">
        <f t="shared" si="117"/>
        <v>0.56843699770421829</v>
      </c>
      <c r="AI78" s="91">
        <f t="shared" si="117"/>
        <v>0.56843699770421829</v>
      </c>
      <c r="AJ78" s="91">
        <f t="shared" si="117"/>
        <v>0.56843699770421829</v>
      </c>
      <c r="AK78" s="91">
        <f t="shared" si="117"/>
        <v>0.58778027022756751</v>
      </c>
      <c r="AL78" s="91">
        <f t="shared" si="117"/>
        <v>0.58872056604160783</v>
      </c>
      <c r="AM78" s="91">
        <f t="shared" si="117"/>
        <v>0.60491593910820585</v>
      </c>
      <c r="AN78" s="91">
        <f t="shared" si="117"/>
        <v>0.60426081047763924</v>
      </c>
      <c r="AO78" s="91">
        <f t="shared" si="117"/>
        <v>0.5915930593028339</v>
      </c>
      <c r="AP78" s="91">
        <f t="shared" si="117"/>
        <v>0.59908082759916648</v>
      </c>
      <c r="AQ78" s="91">
        <f t="shared" si="117"/>
        <v>0.58985831632195973</v>
      </c>
      <c r="AR78" s="91">
        <f t="shared" si="117"/>
        <v>0.59355732335506306</v>
      </c>
      <c r="AS78" s="91">
        <f t="shared" si="117"/>
        <v>0.60408952928884163</v>
      </c>
      <c r="AT78" s="91"/>
      <c r="AU78" s="91">
        <f>IFERROR(AU72/AU7,0)</f>
        <v>0.59188801535325342</v>
      </c>
    </row>
    <row r="79" spans="2:47" outlineLevel="1">
      <c r="B79" s="67" t="s">
        <v>140</v>
      </c>
      <c r="C79" s="52"/>
      <c r="D79" s="97">
        <f t="shared" ref="D79:K79" si="119">IFERROR(D73/D8,0)</f>
        <v>0</v>
      </c>
      <c r="E79" s="97">
        <f t="shared" si="119"/>
        <v>0</v>
      </c>
      <c r="F79" s="97">
        <f t="shared" si="119"/>
        <v>0</v>
      </c>
      <c r="G79" s="97">
        <f t="shared" si="119"/>
        <v>0</v>
      </c>
      <c r="H79" s="97">
        <f t="shared" si="119"/>
        <v>0</v>
      </c>
      <c r="I79" s="97">
        <f t="shared" si="119"/>
        <v>0</v>
      </c>
      <c r="J79" s="97">
        <f t="shared" si="119"/>
        <v>0</v>
      </c>
      <c r="K79" s="97">
        <f t="shared" si="119"/>
        <v>0</v>
      </c>
      <c r="L79" s="97">
        <f t="shared" ca="1" si="115"/>
        <v>0</v>
      </c>
      <c r="M79" s="91">
        <f t="shared" si="115"/>
        <v>0</v>
      </c>
      <c r="N79" s="91">
        <f t="shared" si="115"/>
        <v>0</v>
      </c>
      <c r="O79" s="91">
        <f t="shared" si="115"/>
        <v>0</v>
      </c>
      <c r="P79" s="91"/>
      <c r="Q79" s="91">
        <f ca="1">IFERROR(Q73/Q8,0)</f>
        <v>0</v>
      </c>
      <c r="S79" s="423">
        <f t="shared" ca="1" si="116"/>
        <v>0</v>
      </c>
      <c r="T79" s="423">
        <f t="shared" ca="1" si="116"/>
        <v>0</v>
      </c>
      <c r="U79" s="423">
        <f t="shared" ca="1" si="116"/>
        <v>0</v>
      </c>
      <c r="V79" s="423">
        <f t="shared" ca="1" si="116"/>
        <v>0</v>
      </c>
      <c r="W79" s="423">
        <f t="shared" ca="1" si="116"/>
        <v>0</v>
      </c>
      <c r="X79" s="423">
        <f t="shared" ca="1" si="116"/>
        <v>0</v>
      </c>
      <c r="Y79" s="423">
        <f t="shared" ca="1" si="116"/>
        <v>0</v>
      </c>
      <c r="Z79" s="423">
        <f t="shared" ca="1" si="116"/>
        <v>0</v>
      </c>
      <c r="AA79" s="423">
        <f t="shared" ca="1" si="116"/>
        <v>0</v>
      </c>
      <c r="AB79" s="91">
        <f t="shared" ca="1" si="116"/>
        <v>0</v>
      </c>
      <c r="AC79" s="91">
        <f t="shared" ca="1" si="116"/>
        <v>0</v>
      </c>
      <c r="AD79" s="91">
        <f t="shared" ca="1" si="116"/>
        <v>0</v>
      </c>
      <c r="AE79" s="91"/>
      <c r="AF79" s="91">
        <f ca="1">IFERROR(AF73/AF8,0)</f>
        <v>0</v>
      </c>
      <c r="AH79" s="91">
        <f t="shared" ca="1" si="117"/>
        <v>0</v>
      </c>
      <c r="AI79" s="91">
        <f t="shared" ca="1" si="117"/>
        <v>0</v>
      </c>
      <c r="AJ79" s="91">
        <f t="shared" ca="1" si="117"/>
        <v>0</v>
      </c>
      <c r="AK79" s="91">
        <f t="shared" ca="1" si="117"/>
        <v>0</v>
      </c>
      <c r="AL79" s="91">
        <f t="shared" ca="1" si="117"/>
        <v>0</v>
      </c>
      <c r="AM79" s="91">
        <f t="shared" ca="1" si="117"/>
        <v>0</v>
      </c>
      <c r="AN79" s="91">
        <f t="shared" ca="1" si="117"/>
        <v>0</v>
      </c>
      <c r="AO79" s="91">
        <f t="shared" ca="1" si="117"/>
        <v>0</v>
      </c>
      <c r="AP79" s="91">
        <f t="shared" ca="1" si="117"/>
        <v>0</v>
      </c>
      <c r="AQ79" s="91">
        <f t="shared" ca="1" si="117"/>
        <v>0</v>
      </c>
      <c r="AR79" s="91">
        <f t="shared" ca="1" si="117"/>
        <v>0</v>
      </c>
      <c r="AS79" s="91">
        <f t="shared" ca="1" si="117"/>
        <v>0</v>
      </c>
      <c r="AT79" s="91"/>
      <c r="AU79" s="91">
        <f ca="1">IFERROR(AU73/AU8,0)</f>
        <v>0</v>
      </c>
    </row>
    <row r="80" spans="2:47" outlineLevel="1">
      <c r="B80" s="67" t="s">
        <v>141</v>
      </c>
      <c r="C80" s="52"/>
      <c r="D80" s="97">
        <f t="shared" ref="D80:K80" si="120">IFERROR(D74/D9,0)</f>
        <v>0</v>
      </c>
      <c r="E80" s="97">
        <f t="shared" si="120"/>
        <v>0</v>
      </c>
      <c r="F80" s="97">
        <f t="shared" si="120"/>
        <v>0</v>
      </c>
      <c r="G80" s="97">
        <f t="shared" si="120"/>
        <v>0</v>
      </c>
      <c r="H80" s="97">
        <f t="shared" si="120"/>
        <v>0</v>
      </c>
      <c r="I80" s="97">
        <f t="shared" si="120"/>
        <v>0</v>
      </c>
      <c r="J80" s="97">
        <f t="shared" si="120"/>
        <v>0</v>
      </c>
      <c r="K80" s="97">
        <f t="shared" si="120"/>
        <v>0</v>
      </c>
      <c r="L80" s="97">
        <f t="shared" si="115"/>
        <v>0</v>
      </c>
      <c r="M80" s="91">
        <f t="shared" si="115"/>
        <v>0</v>
      </c>
      <c r="N80" s="91">
        <f t="shared" si="115"/>
        <v>0</v>
      </c>
      <c r="O80" s="91">
        <f t="shared" si="115"/>
        <v>0</v>
      </c>
      <c r="P80" s="91"/>
      <c r="Q80" s="91">
        <f>IFERROR(Q74/Q9,0)</f>
        <v>0</v>
      </c>
      <c r="S80" s="423">
        <f t="shared" si="116"/>
        <v>0</v>
      </c>
      <c r="T80" s="423">
        <f t="shared" si="116"/>
        <v>0</v>
      </c>
      <c r="U80" s="423">
        <f t="shared" si="116"/>
        <v>0</v>
      </c>
      <c r="V80" s="423">
        <f t="shared" si="116"/>
        <v>0</v>
      </c>
      <c r="W80" s="423">
        <f t="shared" si="116"/>
        <v>0</v>
      </c>
      <c r="X80" s="423">
        <f t="shared" si="116"/>
        <v>0</v>
      </c>
      <c r="Y80" s="423">
        <f t="shared" si="116"/>
        <v>0</v>
      </c>
      <c r="Z80" s="423">
        <f t="shared" si="116"/>
        <v>0</v>
      </c>
      <c r="AA80" s="423">
        <f t="shared" si="116"/>
        <v>0</v>
      </c>
      <c r="AB80" s="91">
        <f t="shared" si="116"/>
        <v>0</v>
      </c>
      <c r="AC80" s="91">
        <f t="shared" si="116"/>
        <v>0</v>
      </c>
      <c r="AD80" s="91">
        <f t="shared" si="116"/>
        <v>0</v>
      </c>
      <c r="AE80" s="91"/>
      <c r="AF80" s="91">
        <f>IFERROR(AF74/AF9,0)</f>
        <v>0</v>
      </c>
      <c r="AH80" s="91">
        <f t="shared" si="117"/>
        <v>0</v>
      </c>
      <c r="AI80" s="91">
        <f t="shared" si="117"/>
        <v>0</v>
      </c>
      <c r="AJ80" s="91">
        <f t="shared" si="117"/>
        <v>0</v>
      </c>
      <c r="AK80" s="91">
        <f t="shared" si="117"/>
        <v>0</v>
      </c>
      <c r="AL80" s="91">
        <f t="shared" si="117"/>
        <v>0</v>
      </c>
      <c r="AM80" s="91">
        <f t="shared" si="117"/>
        <v>0</v>
      </c>
      <c r="AN80" s="91">
        <f t="shared" si="117"/>
        <v>0</v>
      </c>
      <c r="AO80" s="91">
        <f t="shared" si="117"/>
        <v>0</v>
      </c>
      <c r="AP80" s="91">
        <f t="shared" si="117"/>
        <v>0</v>
      </c>
      <c r="AQ80" s="91">
        <f t="shared" si="117"/>
        <v>0</v>
      </c>
      <c r="AR80" s="91">
        <f t="shared" si="117"/>
        <v>0</v>
      </c>
      <c r="AS80" s="91">
        <f t="shared" si="117"/>
        <v>0</v>
      </c>
      <c r="AT80" s="91"/>
      <c r="AU80" s="91">
        <f>IFERROR(AU74/AU9,0)</f>
        <v>0</v>
      </c>
    </row>
    <row r="81" spans="2:47">
      <c r="B81" s="72" t="s">
        <v>142</v>
      </c>
      <c r="C81" s="73"/>
      <c r="D81" s="97">
        <f t="shared" ref="D81:K81" si="121">IFERROR(D75/D11,0)</f>
        <v>0.19839680513944691</v>
      </c>
      <c r="E81" s="97">
        <f t="shared" si="121"/>
        <v>0.52251121333258621</v>
      </c>
      <c r="F81" s="97">
        <f t="shared" si="121"/>
        <v>0.27452821685297624</v>
      </c>
      <c r="G81" s="97">
        <f t="shared" si="121"/>
        <v>0.22747246853827721</v>
      </c>
      <c r="H81" s="97">
        <f t="shared" si="121"/>
        <v>0.23075834553428118</v>
      </c>
      <c r="I81" s="97">
        <f t="shared" si="121"/>
        <v>0.37693819354356395</v>
      </c>
      <c r="J81" s="97">
        <f t="shared" si="121"/>
        <v>0.40205979706375033</v>
      </c>
      <c r="K81" s="97">
        <f t="shared" si="121"/>
        <v>7.8303102127706387E-2</v>
      </c>
      <c r="L81" s="97">
        <f t="shared" ref="L81:O81" ca="1" si="122">IFERROR(L75/L11,0)</f>
        <v>0.34093110822716555</v>
      </c>
      <c r="M81" s="91">
        <f t="shared" si="122"/>
        <v>0.36065448504983388</v>
      </c>
      <c r="N81" s="91">
        <f t="shared" si="122"/>
        <v>0.27697647058823527</v>
      </c>
      <c r="O81" s="91">
        <f t="shared" si="122"/>
        <v>0.28569230769230769</v>
      </c>
      <c r="P81" s="91"/>
      <c r="Q81" s="91">
        <f ca="1">IFERROR(Q75/Q11,0)</f>
        <v>0.34807967756907643</v>
      </c>
      <c r="S81" s="423">
        <f t="shared" ref="S81:AD81" ca="1" si="123">IFERROR(S75/S11,0)</f>
        <v>0.34260097246620241</v>
      </c>
      <c r="T81" s="423">
        <f t="shared" ca="1" si="123"/>
        <v>0.3695355546163766</v>
      </c>
      <c r="U81" s="423">
        <f t="shared" ca="1" si="123"/>
        <v>0.3511004799933295</v>
      </c>
      <c r="V81" s="423">
        <f t="shared" ca="1" si="123"/>
        <v>0.32911360539128237</v>
      </c>
      <c r="W81" s="423">
        <f t="shared" ca="1" si="123"/>
        <v>0.33171122525731861</v>
      </c>
      <c r="X81" s="423">
        <f t="shared" ca="1" si="123"/>
        <v>0.38606732913511849</v>
      </c>
      <c r="Y81" s="423">
        <f t="shared" ca="1" si="123"/>
        <v>0.34039067948608237</v>
      </c>
      <c r="Z81" s="423">
        <f t="shared" ca="1" si="123"/>
        <v>0.33474772186722557</v>
      </c>
      <c r="AA81" s="423">
        <f t="shared" ca="1" si="123"/>
        <v>0.36365809086729012</v>
      </c>
      <c r="AB81" s="91">
        <f t="shared" ca="1" si="123"/>
        <v>0.30311310217440285</v>
      </c>
      <c r="AC81" s="91">
        <f t="shared" ca="1" si="123"/>
        <v>0.40831720183952208</v>
      </c>
      <c r="AD81" s="91">
        <f t="shared" ca="1" si="123"/>
        <v>0.35012574093089066</v>
      </c>
      <c r="AE81" s="91"/>
      <c r="AF81" s="91">
        <f ca="1">IFERROR(AF75/AF11,0)</f>
        <v>0.35069001981379777</v>
      </c>
      <c r="AH81" s="91">
        <f t="shared" ref="AH81:AS81" ca="1" si="124">IFERROR(AH75/AH11,0)</f>
        <v>0.33523711126079997</v>
      </c>
      <c r="AI81" s="91">
        <f t="shared" ca="1" si="124"/>
        <v>0.36071585887826796</v>
      </c>
      <c r="AJ81" s="91">
        <f t="shared" ca="1" si="124"/>
        <v>0.3257304107112805</v>
      </c>
      <c r="AK81" s="91">
        <f t="shared" ca="1" si="124"/>
        <v>0.3893531053339766</v>
      </c>
      <c r="AL81" s="91">
        <f t="shared" ca="1" si="124"/>
        <v>0.37427613293626655</v>
      </c>
      <c r="AM81" s="91">
        <f t="shared" ca="1" si="124"/>
        <v>0.34394793803813439</v>
      </c>
      <c r="AN81" s="91">
        <f t="shared" ca="1" si="124"/>
        <v>0.42526756007118494</v>
      </c>
      <c r="AO81" s="91">
        <f t="shared" ca="1" si="124"/>
        <v>0.34434990497669399</v>
      </c>
      <c r="AP81" s="91">
        <f t="shared" ca="1" si="124"/>
        <v>0.35196474083676499</v>
      </c>
      <c r="AQ81" s="91">
        <f t="shared" ca="1" si="124"/>
        <v>0.28056396303234188</v>
      </c>
      <c r="AR81" s="91">
        <f t="shared" ca="1" si="124"/>
        <v>0.41929978243944832</v>
      </c>
      <c r="AS81" s="91">
        <f t="shared" ca="1" si="124"/>
        <v>0.36436717115270367</v>
      </c>
      <c r="AT81" s="91"/>
      <c r="AU81" s="91">
        <f ca="1">IFERROR(AU75/AU11,0)</f>
        <v>0.3486024436184561</v>
      </c>
    </row>
    <row r="82" spans="2:47" ht="10.5" customHeight="1">
      <c r="D82" s="53"/>
      <c r="E82" s="53"/>
      <c r="F82" s="53"/>
      <c r="G82" s="53"/>
      <c r="H82" s="53"/>
      <c r="I82" s="53"/>
      <c r="J82" s="53"/>
      <c r="K82" s="53"/>
      <c r="L82" s="53"/>
      <c r="M82" s="60"/>
      <c r="N82" s="60"/>
      <c r="O82" s="60"/>
      <c r="X82" s="60"/>
      <c r="Y82" s="60"/>
      <c r="Z82" s="60"/>
      <c r="AA82" s="60"/>
      <c r="AB82" s="60"/>
      <c r="AC82" s="60"/>
      <c r="AD82" s="60"/>
      <c r="AM82" s="60"/>
      <c r="AN82" s="60"/>
      <c r="AO82" s="60"/>
      <c r="AP82" s="60"/>
      <c r="AQ82" s="60"/>
      <c r="AR82" s="60"/>
      <c r="AS82" s="60"/>
    </row>
    <row r="83" spans="2:47" outlineLevel="1">
      <c r="B83" s="58" t="s">
        <v>143</v>
      </c>
      <c r="D83" s="53"/>
      <c r="E83" s="53"/>
      <c r="F83" s="53"/>
      <c r="G83" s="53"/>
      <c r="H83" s="53"/>
      <c r="I83" s="53"/>
      <c r="J83" s="53"/>
      <c r="K83" s="53"/>
      <c r="L83" s="53"/>
      <c r="M83" s="60"/>
      <c r="N83" s="60"/>
      <c r="O83" s="60"/>
      <c r="X83" s="60"/>
      <c r="Y83" s="60"/>
      <c r="Z83" s="60"/>
      <c r="AA83" s="60"/>
      <c r="AB83" s="60"/>
      <c r="AC83" s="60"/>
      <c r="AD83" s="60"/>
      <c r="AM83" s="60"/>
      <c r="AN83" s="60"/>
      <c r="AO83" s="60"/>
      <c r="AP83" s="60"/>
      <c r="AQ83" s="60"/>
      <c r="AR83" s="60"/>
      <c r="AS83" s="60"/>
    </row>
    <row r="84" spans="2:47" outlineLevel="1">
      <c r="B84" s="58"/>
      <c r="D84" s="53"/>
      <c r="E84" s="53"/>
      <c r="F84" s="53"/>
      <c r="G84" s="53"/>
      <c r="H84" s="53"/>
      <c r="I84" s="53"/>
      <c r="J84" s="53"/>
      <c r="K84" s="53"/>
      <c r="L84" s="53"/>
    </row>
    <row r="85" spans="2:47" outlineLevel="1">
      <c r="B85" s="51" t="s">
        <v>144</v>
      </c>
      <c r="D85" s="59">
        <v>0</v>
      </c>
      <c r="E85" s="59">
        <v>0</v>
      </c>
      <c r="F85" s="59">
        <v>0</v>
      </c>
      <c r="G85" s="59">
        <v>0</v>
      </c>
      <c r="H85" s="59">
        <v>0</v>
      </c>
      <c r="I85" s="59">
        <v>0</v>
      </c>
      <c r="J85" s="59"/>
      <c r="K85" s="59">
        <v>0</v>
      </c>
      <c r="L85" s="59">
        <v>0</v>
      </c>
      <c r="M85" s="60">
        <f>SUMIFS(Payroll!F:F,Payroll!$C:$C,"Permanent",Payroll!$D:$D,"Czech Republic")</f>
        <v>-1873.9830508474577</v>
      </c>
      <c r="N85" s="60">
        <f>SUMIFS(Payroll!G:G,Payroll!$C:$C,"Permanent",Payroll!$D:$D,"Czech Republic")</f>
        <v>-1873.9830508474577</v>
      </c>
      <c r="O85" s="60">
        <f>SUMIFS(Payroll!H:H,Payroll!$C:$C,"Permanent",Payroll!$D:$D,"Czech Republic")</f>
        <v>-4945.2330508474579</v>
      </c>
      <c r="P85" s="60"/>
      <c r="Q85" s="61">
        <f>SUM(D85:O85)</f>
        <v>-8693.1991525423728</v>
      </c>
      <c r="R85" s="61"/>
      <c r="S85" s="60">
        <f>SUMIFS(Payroll!I:I,Payroll!$C:$C,"Permanent",Payroll!$D:$D,"Czech Republic")</f>
        <v>-2706.4512709999999</v>
      </c>
      <c r="T85" s="60">
        <f>SUMIFS(Payroll!J:J,Payroll!$C:$C,"Permanent",Payroll!$D:$D,"Czech Republic")</f>
        <v>-5631.4512709999999</v>
      </c>
      <c r="U85" s="60">
        <f>SUMIFS(Payroll!K:K,Payroll!$C:$C,"Permanent",Payroll!$D:$D,"Czech Republic")</f>
        <v>-5631.4512709999999</v>
      </c>
      <c r="V85" s="60">
        <f>SUMIFS(Payroll!L:L,Payroll!$C:$C,"Permanent",Payroll!$D:$D,"Czech Republic")</f>
        <v>-5631.4512709999999</v>
      </c>
      <c r="W85" s="60">
        <f>SUMIFS(Payroll!M:M,Payroll!$C:$C,"Permanent",Payroll!$D:$D,"Czech Republic")</f>
        <v>-5631.4512709999999</v>
      </c>
      <c r="X85" s="60">
        <f>SUMIFS(Payroll!N:N,Payroll!$C:$C,"Permanent",Payroll!$D:$D,"Czech Republic")</f>
        <v>-5631.4512709999999</v>
      </c>
      <c r="Y85" s="60">
        <f>SUMIFS(Payroll!O:O,Payroll!$C:$C,"Permanent",Payroll!$D:$D,"Czech Republic")</f>
        <v>-5631.4512709999999</v>
      </c>
      <c r="Z85" s="60">
        <f>SUMIFS(Payroll!P:P,Payroll!$C:$C,"Permanent",Payroll!$D:$D,"Czech Republic")</f>
        <v>-5631.4512709999999</v>
      </c>
      <c r="AA85" s="60">
        <f>SUMIFS(Payroll!Q:Q,Payroll!$C:$C,"Permanent",Payroll!$D:$D,"Czech Republic")</f>
        <v>-5631.4512709999999</v>
      </c>
      <c r="AB85" s="60">
        <f>SUMIFS(Payroll!R:R,Payroll!$C:$C,"Permanent",Payroll!$D:$D,"Czech Republic")</f>
        <v>-5631.4512709999999</v>
      </c>
      <c r="AC85" s="60">
        <f>SUMIFS(Payroll!S:S,Payroll!$C:$C,"Permanent",Payroll!$D:$D,"Czech Republic")</f>
        <v>-5631.4512709999999</v>
      </c>
      <c r="AD85" s="60">
        <f>SUMIFS(Payroll!T:T,Payroll!$C:$C,"Permanent",Payroll!$D:$D,"Czech Republic")</f>
        <v>-5631.4512709999999</v>
      </c>
      <c r="AE85" s="60"/>
      <c r="AF85" s="61">
        <f>SUM(S85:AD85)</f>
        <v>-64652.415251999984</v>
      </c>
      <c r="AH85" s="60">
        <f>SUMIFS(Payroll!U:U,Payroll!$C:$C,"Permanent",Payroll!$D:$D,"Czech Republic")</f>
        <v>-5631.4512709999999</v>
      </c>
      <c r="AI85" s="60">
        <f>SUMIFS(Payroll!V:V,Payroll!$C:$C,"Permanent",Payroll!$D:$D,"Czech Republic")</f>
        <v>-5631.4512709999999</v>
      </c>
      <c r="AJ85" s="60">
        <f>SUMIFS(Payroll!W:W,Payroll!$C:$C,"Permanent",Payroll!$D:$D,"Czech Republic")</f>
        <v>-5631.4512709999999</v>
      </c>
      <c r="AK85" s="60">
        <f>SUMIFS(Payroll!X:X,Payroll!$C:$C,"Permanent",Payroll!$D:$D,"Czech Republic")</f>
        <v>-5631.4512709999999</v>
      </c>
      <c r="AL85" s="60">
        <f>SUMIFS(Payroll!Y:Y,Payroll!$C:$C,"Permanent",Payroll!$D:$D,"Czech Republic")</f>
        <v>-5631.4512709999999</v>
      </c>
      <c r="AM85" s="60">
        <f>SUMIFS(Payroll!Z:Z,Payroll!$C:$C,"Permanent",Payroll!$D:$D,"Czech Republic")</f>
        <v>-5631.4512709999999</v>
      </c>
      <c r="AN85" s="60">
        <f>SUMIFS(Payroll!AA:AA,Payroll!$C:$C,"Permanent",Payroll!$D:$D,"Czech Republic")</f>
        <v>-5631.4512709999999</v>
      </c>
      <c r="AO85" s="60">
        <f>SUMIFS(Payroll!AB:AB,Payroll!$C:$C,"Permanent",Payroll!$D:$D,"Czech Republic")</f>
        <v>-5631.4512709999999</v>
      </c>
      <c r="AP85" s="60">
        <f>SUMIFS(Payroll!AC:AC,Payroll!$C:$C,"Permanent",Payroll!$D:$D,"Czech Republic")</f>
        <v>-5631.4512709999999</v>
      </c>
      <c r="AQ85" s="60">
        <f>SUMIFS(Payroll!AD:AD,Payroll!$C:$C,"Permanent",Payroll!$D:$D,"Czech Republic")</f>
        <v>-5631.4512709999999</v>
      </c>
      <c r="AR85" s="60">
        <f>SUMIFS(Payroll!AE:AE,Payroll!$C:$C,"Permanent",Payroll!$D:$D,"Czech Republic")</f>
        <v>-5631.4512709999999</v>
      </c>
      <c r="AS85" s="60">
        <f>SUMIFS(Payroll!AF:AF,Payroll!$C:$C,"Permanent",Payroll!$D:$D,"Czech Republic")</f>
        <v>-5631.4512709999999</v>
      </c>
      <c r="AT85" s="60"/>
      <c r="AU85" s="61">
        <f>SUM(AH85:AS85)</f>
        <v>-67577.415251999992</v>
      </c>
    </row>
    <row r="86" spans="2:47" outlineLevel="1">
      <c r="B86" s="51" t="s">
        <v>145</v>
      </c>
      <c r="D86" s="59">
        <v>-1934.29</v>
      </c>
      <c r="E86" s="59">
        <v>-2512.75</v>
      </c>
      <c r="F86" s="59">
        <v>-1982.79</v>
      </c>
      <c r="G86" s="59">
        <v>-2348.31</v>
      </c>
      <c r="H86" s="59">
        <v>-2353.73</v>
      </c>
      <c r="I86" s="59">
        <v>-2385.77</v>
      </c>
      <c r="J86" s="59">
        <v>-2375.5</v>
      </c>
      <c r="K86" s="59">
        <v>-2400.59</v>
      </c>
      <c r="L86" s="59">
        <v>-2911</v>
      </c>
      <c r="M86" s="60">
        <f>SUMIFS(Payroll!F:F,Payroll!$C:$C,"Freelancer",Payroll!$D:$D,"Czech Republic")</f>
        <v>-2930.7909604519778</v>
      </c>
      <c r="N86" s="60">
        <f>SUMIFS(Payroll!G:G,Payroll!$C:$C,"Freelancer",Payroll!$D:$D,"Czech Republic")</f>
        <v>-2930.7909604519778</v>
      </c>
      <c r="O86" s="60">
        <f>SUMIFS(Payroll!H:H,Payroll!$C:$C,"Freelancer",Payroll!$D:$D,"Czech Republic")</f>
        <v>-2930.7909604519778</v>
      </c>
      <c r="P86" s="60"/>
      <c r="Q86" s="61">
        <f t="shared" ref="Q86:Q93" si="125">SUM(D86:O86)</f>
        <v>-29997.102881355931</v>
      </c>
      <c r="R86" s="61"/>
      <c r="S86" s="60">
        <f>SUMIFS(Payroll!I:I,Payroll!$C:$C,"Freelancer",Payroll!$D:$D,"Czech Republic")</f>
        <v>-3416.3135590000002</v>
      </c>
      <c r="T86" s="60">
        <f>SUMIFS(Payroll!J:J,Payroll!$C:$C,"Freelancer",Payroll!$D:$D,"Czech Republic")</f>
        <v>-3416.3135590000002</v>
      </c>
      <c r="U86" s="60">
        <f>SUMIFS(Payroll!K:K,Payroll!$C:$C,"Freelancer",Payroll!$D:$D,"Czech Republic")</f>
        <v>-3416.3135590000002</v>
      </c>
      <c r="V86" s="60">
        <f>SUMIFS(Payroll!L:L,Payroll!$C:$C,"Freelancer",Payroll!$D:$D,"Czech Republic")</f>
        <v>-3416.3135590000002</v>
      </c>
      <c r="W86" s="60">
        <f>SUMIFS(Payroll!M:M,Payroll!$C:$C,"Freelancer",Payroll!$D:$D,"Czech Republic")</f>
        <v>-3416.3135590000002</v>
      </c>
      <c r="X86" s="60">
        <f>SUMIFS(Payroll!N:N,Payroll!$C:$C,"Freelancer",Payroll!$D:$D,"Czech Republic")</f>
        <v>-3416.3135590000002</v>
      </c>
      <c r="Y86" s="60">
        <f>SUMIFS(Payroll!O:O,Payroll!$C:$C,"Freelancer",Payroll!$D:$D,"Czech Republic")</f>
        <v>-3416.3135590000002</v>
      </c>
      <c r="Z86" s="60">
        <f>SUMIFS(Payroll!P:P,Payroll!$C:$C,"Freelancer",Payroll!$D:$D,"Czech Republic")</f>
        <v>-3416.3135590000002</v>
      </c>
      <c r="AA86" s="60">
        <f>SUMIFS(Payroll!Q:Q,Payroll!$C:$C,"Freelancer",Payroll!$D:$D,"Czech Republic")</f>
        <v>-3416.3135590000002</v>
      </c>
      <c r="AB86" s="60">
        <f>SUMIFS(Payroll!R:R,Payroll!$C:$C,"Freelancer",Payroll!$D:$D,"Czech Republic")</f>
        <v>-3416.3135590000002</v>
      </c>
      <c r="AC86" s="60">
        <f>SUMIFS(Payroll!S:S,Payroll!$C:$C,"Freelancer",Payroll!$D:$D,"Czech Republic")</f>
        <v>-3416.3135590000002</v>
      </c>
      <c r="AD86" s="60">
        <f>SUMIFS(Payroll!T:T,Payroll!$C:$C,"Freelancer",Payroll!$D:$D,"Czech Republic")</f>
        <v>-3416.3135590000002</v>
      </c>
      <c r="AE86" s="60"/>
      <c r="AF86" s="61">
        <f t="shared" ref="AF86:AF93" si="126">SUM(S86:AD86)</f>
        <v>-40995.762708000017</v>
      </c>
      <c r="AH86" s="60">
        <f>SUMIFS(Payroll!U:U,Payroll!$C:$C,"Freelancer",Payroll!$D:$D,"Czech Republic")</f>
        <v>-3416.3135590000002</v>
      </c>
      <c r="AI86" s="60">
        <f>SUMIFS(Payroll!V:V,Payroll!$C:$C,"Freelancer",Payroll!$D:$D,"Czech Republic")</f>
        <v>-3416.3135590000002</v>
      </c>
      <c r="AJ86" s="60">
        <f>SUMIFS(Payroll!W:W,Payroll!$C:$C,"Freelancer",Payroll!$D:$D,"Czech Republic")</f>
        <v>-3416.3135590000002</v>
      </c>
      <c r="AK86" s="60">
        <f>SUMIFS(Payroll!X:X,Payroll!$C:$C,"Freelancer",Payroll!$D:$D,"Czech Republic")</f>
        <v>-3416.3135590000002</v>
      </c>
      <c r="AL86" s="60">
        <f>SUMIFS(Payroll!Y:Y,Payroll!$C:$C,"Freelancer",Payroll!$D:$D,"Czech Republic")</f>
        <v>-3416.3135590000002</v>
      </c>
      <c r="AM86" s="60">
        <f>SUMIFS(Payroll!Z:Z,Payroll!$C:$C,"Freelancer",Payroll!$D:$D,"Czech Republic")</f>
        <v>-3416.3135590000002</v>
      </c>
      <c r="AN86" s="60">
        <f>SUMIFS(Payroll!AA:AA,Payroll!$C:$C,"Freelancer",Payroll!$D:$D,"Czech Republic")</f>
        <v>-3416.3135590000002</v>
      </c>
      <c r="AO86" s="60">
        <f>SUMIFS(Payroll!AB:AB,Payroll!$C:$C,"Freelancer",Payroll!$D:$D,"Czech Republic")</f>
        <v>-3416.3135590000002</v>
      </c>
      <c r="AP86" s="60">
        <f>SUMIFS(Payroll!AC:AC,Payroll!$C:$C,"Freelancer",Payroll!$D:$D,"Czech Republic")</f>
        <v>-3416.3135590000002</v>
      </c>
      <c r="AQ86" s="60">
        <f>SUMIFS(Payroll!AD:AD,Payroll!$C:$C,"Freelancer",Payroll!$D:$D,"Czech Republic")</f>
        <v>-3416.3135590000002</v>
      </c>
      <c r="AR86" s="60">
        <f>SUMIFS(Payroll!AE:AE,Payroll!$C:$C,"Freelancer",Payroll!$D:$D,"Czech Republic")</f>
        <v>-3416.3135590000002</v>
      </c>
      <c r="AS86" s="60">
        <f>SUMIFS(Payroll!AF:AF,Payroll!$C:$C,"Freelancer",Payroll!$D:$D,"Czech Republic")</f>
        <v>-3416.3135590000002</v>
      </c>
      <c r="AT86" s="60"/>
      <c r="AU86" s="61">
        <f t="shared" ref="AU86:AU93" si="127">SUM(AH86:AS86)</f>
        <v>-40995.762708000017</v>
      </c>
    </row>
    <row r="87" spans="2:47" outlineLevel="1">
      <c r="B87" s="51" t="s">
        <v>146</v>
      </c>
      <c r="D87" s="59">
        <v>0</v>
      </c>
      <c r="E87" s="59">
        <v>0</v>
      </c>
      <c r="F87" s="59">
        <v>0</v>
      </c>
      <c r="G87" s="59">
        <v>0</v>
      </c>
      <c r="H87" s="59">
        <v>0</v>
      </c>
      <c r="I87" s="59">
        <v>0</v>
      </c>
      <c r="J87" s="59">
        <v>0</v>
      </c>
      <c r="K87" s="59">
        <v>0</v>
      </c>
      <c r="L87" s="59"/>
      <c r="M87" s="60"/>
      <c r="N87" s="60"/>
      <c r="O87" s="60"/>
      <c r="P87" s="60"/>
      <c r="Q87" s="61">
        <f t="shared" si="125"/>
        <v>0</v>
      </c>
      <c r="R87" s="61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1">
        <f t="shared" si="126"/>
        <v>0</v>
      </c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1">
        <f t="shared" si="127"/>
        <v>0</v>
      </c>
    </row>
    <row r="88" spans="2:47" outlineLevel="1">
      <c r="B88" s="51" t="s">
        <v>147</v>
      </c>
      <c r="D88" s="59">
        <v>-81.89</v>
      </c>
      <c r="E88" s="59">
        <v>-49.35</v>
      </c>
      <c r="F88" s="59">
        <v>-162.91</v>
      </c>
      <c r="G88" s="59">
        <v>-162.51</v>
      </c>
      <c r="H88" s="59">
        <v>-158.86000000000001</v>
      </c>
      <c r="I88" s="59">
        <v>-163.16</v>
      </c>
      <c r="J88" s="59">
        <v>-161.11000000000001</v>
      </c>
      <c r="K88" s="59">
        <v>-1252.71</v>
      </c>
      <c r="L88" s="59">
        <v>0</v>
      </c>
      <c r="M88" s="60">
        <v>-300</v>
      </c>
      <c r="N88" s="60">
        <v>-300</v>
      </c>
      <c r="O88" s="60">
        <v>-300</v>
      </c>
      <c r="P88" s="60"/>
      <c r="Q88" s="61">
        <f t="shared" si="125"/>
        <v>-3092.5</v>
      </c>
      <c r="R88" s="61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1">
        <f t="shared" si="126"/>
        <v>0</v>
      </c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1">
        <f t="shared" si="127"/>
        <v>0</v>
      </c>
    </row>
    <row r="89" spans="2:47" outlineLevel="1">
      <c r="B89" s="51" t="s">
        <v>148</v>
      </c>
      <c r="D89" s="59">
        <v>0</v>
      </c>
      <c r="E89" s="59">
        <v>0</v>
      </c>
      <c r="F89" s="59">
        <v>0</v>
      </c>
      <c r="G89" s="59">
        <v>0</v>
      </c>
      <c r="H89" s="59">
        <v>0</v>
      </c>
      <c r="I89" s="59">
        <v>0</v>
      </c>
      <c r="J89" s="59"/>
      <c r="K89" s="59"/>
      <c r="L89" s="59"/>
      <c r="M89" s="60"/>
      <c r="N89" s="60"/>
      <c r="O89" s="60"/>
      <c r="P89" s="60"/>
      <c r="Q89" s="61">
        <f t="shared" si="125"/>
        <v>0</v>
      </c>
      <c r="R89" s="61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1">
        <f t="shared" si="126"/>
        <v>0</v>
      </c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1">
        <f t="shared" si="127"/>
        <v>0</v>
      </c>
    </row>
    <row r="90" spans="2:47" outlineLevel="1">
      <c r="B90" s="51" t="s">
        <v>149</v>
      </c>
      <c r="D90" s="59">
        <v>0</v>
      </c>
      <c r="E90" s="59">
        <v>0</v>
      </c>
      <c r="F90" s="59">
        <v>0</v>
      </c>
      <c r="G90" s="59">
        <v>0</v>
      </c>
      <c r="H90" s="59">
        <v>0</v>
      </c>
      <c r="I90" s="59">
        <v>0</v>
      </c>
      <c r="J90" s="59"/>
      <c r="K90" s="59"/>
      <c r="L90" s="59"/>
      <c r="M90" s="60"/>
      <c r="N90" s="60"/>
      <c r="O90" s="60"/>
      <c r="P90" s="60"/>
      <c r="Q90" s="61">
        <f t="shared" si="125"/>
        <v>0</v>
      </c>
      <c r="R90" s="61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1">
        <f t="shared" si="126"/>
        <v>0</v>
      </c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1">
        <f t="shared" si="127"/>
        <v>0</v>
      </c>
    </row>
    <row r="91" spans="2:47" outlineLevel="1">
      <c r="B91" s="51" t="s">
        <v>150</v>
      </c>
      <c r="D91" s="59">
        <v>0</v>
      </c>
      <c r="E91" s="59">
        <v>0</v>
      </c>
      <c r="F91" s="59">
        <v>0</v>
      </c>
      <c r="G91" s="59">
        <v>0</v>
      </c>
      <c r="H91" s="59">
        <v>0</v>
      </c>
      <c r="I91" s="59">
        <v>0</v>
      </c>
      <c r="J91" s="59"/>
      <c r="K91" s="59"/>
      <c r="L91" s="59"/>
      <c r="M91" s="60"/>
      <c r="N91" s="60"/>
      <c r="O91" s="60"/>
      <c r="P91" s="60"/>
      <c r="Q91" s="61">
        <f t="shared" si="125"/>
        <v>0</v>
      </c>
      <c r="R91" s="61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1">
        <f t="shared" si="126"/>
        <v>0</v>
      </c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1">
        <f t="shared" si="127"/>
        <v>0</v>
      </c>
    </row>
    <row r="92" spans="2:47" outlineLevel="1">
      <c r="B92" s="51" t="s">
        <v>151</v>
      </c>
      <c r="D92" s="59">
        <v>0</v>
      </c>
      <c r="E92" s="59">
        <v>0</v>
      </c>
      <c r="F92" s="59">
        <v>0</v>
      </c>
      <c r="G92" s="59">
        <v>0</v>
      </c>
      <c r="H92" s="59">
        <v>0</v>
      </c>
      <c r="I92" s="59">
        <v>0</v>
      </c>
      <c r="J92" s="59"/>
      <c r="K92" s="59"/>
      <c r="L92" s="59"/>
      <c r="M92" s="60"/>
      <c r="N92" s="60"/>
      <c r="O92" s="60"/>
      <c r="P92" s="60"/>
      <c r="Q92" s="61">
        <f t="shared" si="125"/>
        <v>0</v>
      </c>
      <c r="R92" s="61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1">
        <f t="shared" si="126"/>
        <v>0</v>
      </c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1">
        <f t="shared" si="127"/>
        <v>0</v>
      </c>
    </row>
    <row r="93" spans="2:47" outlineLevel="1">
      <c r="B93" s="51" t="s">
        <v>143</v>
      </c>
      <c r="D93" s="59">
        <v>0</v>
      </c>
      <c r="E93" s="59">
        <v>0</v>
      </c>
      <c r="F93" s="59">
        <v>-51.23</v>
      </c>
      <c r="G93" s="59">
        <v>0</v>
      </c>
      <c r="H93" s="59">
        <v>0</v>
      </c>
      <c r="I93" s="59">
        <v>0</v>
      </c>
      <c r="J93" s="59"/>
      <c r="K93" s="59"/>
      <c r="L93" s="59"/>
      <c r="M93" s="60"/>
      <c r="N93" s="60"/>
      <c r="O93" s="60"/>
      <c r="P93" s="60"/>
      <c r="Q93" s="61">
        <f t="shared" si="125"/>
        <v>-51.23</v>
      </c>
      <c r="R93" s="61"/>
      <c r="S93" s="60">
        <f>SUMIF('OH Matrix'!$A$58:$A$70,"CZ",'OH Matrix'!P58:P70)</f>
        <v>-4972.9644691015883</v>
      </c>
      <c r="T93" s="60">
        <f>SUMIF('OH Matrix'!$A$58:$A$70,"CZ",'OH Matrix'!Q58:Q70)</f>
        <v>-8957.9013815287799</v>
      </c>
      <c r="U93" s="60">
        <f>SUMIF('OH Matrix'!$A$58:$A$70,"CZ",'OH Matrix'!R58:R70)</f>
        <v>-11816.590194364133</v>
      </c>
      <c r="V93" s="60">
        <f>SUMIF('OH Matrix'!$A$58:$A$70,"CZ",'OH Matrix'!S58:S70)</f>
        <v>-7478.8382899487615</v>
      </c>
      <c r="W93" s="60">
        <f>SUMIF('OH Matrix'!$A$58:$A$70,"CZ",'OH Matrix'!T58:T70)</f>
        <v>-9089.1912298585103</v>
      </c>
      <c r="X93" s="60">
        <f>SUMIF('OH Matrix'!$A$58:$A$70,"CZ",'OH Matrix'!U58:U70)</f>
        <v>-10348.589555715755</v>
      </c>
      <c r="Y93" s="60">
        <f>SUMIF('OH Matrix'!$A$58:$A$70,"CZ",'OH Matrix'!V58:V70)</f>
        <v>-14985.657399328411</v>
      </c>
      <c r="Z93" s="60">
        <f>SUMIF('OH Matrix'!$A$58:$A$70,"CZ",'OH Matrix'!W58:W70)</f>
        <v>-10174.859134476757</v>
      </c>
      <c r="AA93" s="60">
        <f>SUMIF('OH Matrix'!$A$58:$A$70,"CZ",'OH Matrix'!X58:X70)</f>
        <v>-13427.604726455629</v>
      </c>
      <c r="AB93" s="60">
        <f>SUMIF('OH Matrix'!$A$58:$A$70,"CZ",'OH Matrix'!Y58:Y70)</f>
        <v>-10198.159330418035</v>
      </c>
      <c r="AC93" s="60">
        <f>SUMIF('OH Matrix'!$A$58:$A$70,"CZ",'OH Matrix'!Z58:Z70)</f>
        <v>-5161.9320789669882</v>
      </c>
      <c r="AD93" s="60">
        <f>SUMIF('OH Matrix'!$A$58:$A$70,"CZ",'OH Matrix'!AA58:AA70)</f>
        <v>-6223.7331450316406</v>
      </c>
      <c r="AE93" s="60"/>
      <c r="AF93" s="61">
        <f t="shared" si="126"/>
        <v>-112836.020935195</v>
      </c>
      <c r="AH93" s="60">
        <f>SUMIF('OH Matrix'!$A$58:$A$70,"CZ",'OH Matrix'!AD58:AD70)</f>
        <v>-4427.2709150129058</v>
      </c>
      <c r="AI93" s="60">
        <f>SUMIF('OH Matrix'!$A$58:$A$70,"CZ",'OH Matrix'!AE58:AE70)</f>
        <v>-8199.0449680770307</v>
      </c>
      <c r="AJ93" s="60">
        <f>SUMIF('OH Matrix'!$A$58:$A$70,"CZ",'OH Matrix'!AF58:AF70)</f>
        <v>-7982.7757018779039</v>
      </c>
      <c r="AK93" s="60">
        <f>SUMIF('OH Matrix'!$A$58:$A$70,"CZ",'OH Matrix'!AG58:AG70)</f>
        <v>-5109.5138606570772</v>
      </c>
      <c r="AL93" s="60">
        <f>SUMIF('OH Matrix'!$A$58:$A$70,"CZ",'OH Matrix'!AH58:AH70)</f>
        <v>-7536.687804233432</v>
      </c>
      <c r="AM93" s="60">
        <f>SUMIF('OH Matrix'!$A$58:$A$70,"CZ",'OH Matrix'!AI58:AI70)</f>
        <v>-8975.6021958546335</v>
      </c>
      <c r="AN93" s="60">
        <f>SUMIF('OH Matrix'!$A$58:$A$70,"CZ",'OH Matrix'!AJ58:AJ70)</f>
        <v>-12758.28214421906</v>
      </c>
      <c r="AO93" s="60">
        <f>SUMIF('OH Matrix'!$A$58:$A$70,"CZ",'OH Matrix'!AK58:AK70)</f>
        <v>-7469.232074071524</v>
      </c>
      <c r="AP93" s="60">
        <f>SUMIF('OH Matrix'!$A$58:$A$70,"CZ",'OH Matrix'!AL58:AL70)</f>
        <v>-10862.997011838621</v>
      </c>
      <c r="AQ93" s="60">
        <f>SUMIF('OH Matrix'!$A$58:$A$70,"CZ",'OH Matrix'!AM58:AM70)</f>
        <v>-9049.3618121564032</v>
      </c>
      <c r="AR93" s="60">
        <f>SUMIF('OH Matrix'!$A$58:$A$70,"CZ",'OH Matrix'!AN58:AN70)</f>
        <v>-3533.9317318060571</v>
      </c>
      <c r="AS93" s="60">
        <f>SUMIF('OH Matrix'!$A$58:$A$70,"CZ",'OH Matrix'!AO58:AO70)</f>
        <v>-4207.3581863149257</v>
      </c>
      <c r="AT93" s="60"/>
      <c r="AU93" s="61">
        <f t="shared" si="127"/>
        <v>-90112.058406119599</v>
      </c>
    </row>
    <row r="94" spans="2:47" outlineLevel="1">
      <c r="D94" s="53"/>
      <c r="E94" s="53"/>
      <c r="F94" s="53"/>
      <c r="G94" s="53"/>
      <c r="H94" s="53"/>
      <c r="I94" s="53"/>
      <c r="J94" s="53"/>
      <c r="K94" s="53"/>
      <c r="L94" s="53"/>
    </row>
    <row r="95" spans="2:47">
      <c r="B95" s="65" t="s">
        <v>152</v>
      </c>
      <c r="C95" s="61"/>
      <c r="D95" s="64">
        <f>SUM(D85:D94)</f>
        <v>-2016.18</v>
      </c>
      <c r="E95" s="64">
        <f t="shared" ref="E95:K95" si="128">SUM(E85:E94)</f>
        <v>-2562.1</v>
      </c>
      <c r="F95" s="64">
        <f t="shared" si="128"/>
        <v>-2196.9299999999998</v>
      </c>
      <c r="G95" s="64">
        <f t="shared" si="128"/>
        <v>-2510.8199999999997</v>
      </c>
      <c r="H95" s="64">
        <f t="shared" si="128"/>
        <v>-2512.59</v>
      </c>
      <c r="I95" s="64">
        <f t="shared" si="128"/>
        <v>-2548.9299999999998</v>
      </c>
      <c r="J95" s="64">
        <f t="shared" si="128"/>
        <v>-2536.61</v>
      </c>
      <c r="K95" s="64">
        <f t="shared" si="128"/>
        <v>-3653.3</v>
      </c>
      <c r="L95" s="64">
        <f>SUM(L85:L94)</f>
        <v>-2911</v>
      </c>
      <c r="M95" s="65">
        <f>SUM(M85:M94)</f>
        <v>-5104.7740112994352</v>
      </c>
      <c r="N95" s="65">
        <f>SUM(N85:N94)</f>
        <v>-5104.7740112994352</v>
      </c>
      <c r="O95" s="65">
        <f>SUM(O85:O94)</f>
        <v>-8176.0240112994361</v>
      </c>
      <c r="P95" s="61"/>
      <c r="Q95" s="65">
        <f>SUM(D95:O95)</f>
        <v>-41834.032033898307</v>
      </c>
      <c r="S95" s="84">
        <f>SUM(S85:S94)</f>
        <v>-11095.729299101589</v>
      </c>
      <c r="T95" s="84">
        <f t="shared" ref="T95:Z95" si="129">SUM(T85:T94)</f>
        <v>-18005.66621152878</v>
      </c>
      <c r="U95" s="84">
        <f t="shared" si="129"/>
        <v>-20864.355024364133</v>
      </c>
      <c r="V95" s="84">
        <f t="shared" si="129"/>
        <v>-16526.603119948762</v>
      </c>
      <c r="W95" s="84">
        <f t="shared" si="129"/>
        <v>-18136.956059858509</v>
      </c>
      <c r="X95" s="84">
        <f t="shared" si="129"/>
        <v>-19396.354385715757</v>
      </c>
      <c r="Y95" s="84">
        <f t="shared" si="129"/>
        <v>-24033.422229328411</v>
      </c>
      <c r="Z95" s="84">
        <f t="shared" si="129"/>
        <v>-19222.623964476756</v>
      </c>
      <c r="AA95" s="65">
        <f>SUM(AA85:AA94)</f>
        <v>-22475.369556455629</v>
      </c>
      <c r="AB95" s="65">
        <f>SUM(AB85:AB94)</f>
        <v>-19245.924160418035</v>
      </c>
      <c r="AC95" s="65">
        <f>SUM(AC85:AC94)</f>
        <v>-14209.696908966987</v>
      </c>
      <c r="AD95" s="65">
        <f>SUM(AD85:AD94)</f>
        <v>-15271.497975031642</v>
      </c>
      <c r="AE95" s="61"/>
      <c r="AF95" s="65">
        <f>SUM(S95:AD95)</f>
        <v>-218484.198895195</v>
      </c>
      <c r="AH95" s="84">
        <f>SUM(AH85:AH94)</f>
        <v>-13475.035745012905</v>
      </c>
      <c r="AI95" s="84">
        <f t="shared" ref="AI95:AO95" si="130">SUM(AI85:AI94)</f>
        <v>-17246.809798077033</v>
      </c>
      <c r="AJ95" s="84">
        <f t="shared" si="130"/>
        <v>-17030.540531877905</v>
      </c>
      <c r="AK95" s="84">
        <f t="shared" si="130"/>
        <v>-14157.278690657076</v>
      </c>
      <c r="AL95" s="84">
        <f t="shared" si="130"/>
        <v>-16584.452634233432</v>
      </c>
      <c r="AM95" s="84">
        <f t="shared" si="130"/>
        <v>-18023.367025854634</v>
      </c>
      <c r="AN95" s="84">
        <f t="shared" si="130"/>
        <v>-21806.046974219062</v>
      </c>
      <c r="AO95" s="84">
        <f t="shared" si="130"/>
        <v>-16516.996904071522</v>
      </c>
      <c r="AP95" s="65">
        <f>SUM(AP85:AP94)</f>
        <v>-19910.761841838619</v>
      </c>
      <c r="AQ95" s="65">
        <f>SUM(AQ85:AQ94)</f>
        <v>-18097.126642156403</v>
      </c>
      <c r="AR95" s="65">
        <f>SUM(AR85:AR94)</f>
        <v>-12581.696561806057</v>
      </c>
      <c r="AS95" s="65">
        <f>SUM(AS85:AS94)</f>
        <v>-13255.123016314927</v>
      </c>
      <c r="AT95" s="61"/>
      <c r="AU95" s="65">
        <f>SUM(AH95:AS95)</f>
        <v>-198685.23636611958</v>
      </c>
    </row>
    <row r="96" spans="2:47">
      <c r="D96" s="76"/>
      <c r="E96" s="76"/>
      <c r="F96" s="76"/>
      <c r="G96" s="76"/>
      <c r="H96" s="76"/>
      <c r="I96" s="76"/>
      <c r="J96" s="76"/>
      <c r="K96" s="76"/>
      <c r="L96" s="76"/>
      <c r="M96" s="77"/>
      <c r="N96" s="77"/>
      <c r="O96" s="77"/>
      <c r="Q96" s="91">
        <f ca="1">-Q95/Q11</f>
        <v>2.5154121206476875E-2</v>
      </c>
      <c r="S96" s="89"/>
      <c r="T96" s="89"/>
      <c r="U96" s="89"/>
      <c r="V96" s="89"/>
      <c r="W96" s="89"/>
      <c r="X96" s="77"/>
      <c r="Y96" s="77"/>
      <c r="Z96" s="77"/>
      <c r="AA96" s="77"/>
      <c r="AB96" s="77"/>
      <c r="AC96" s="77"/>
      <c r="AD96" s="77"/>
      <c r="AF96" s="91">
        <f ca="1">-AF95/AF11</f>
        <v>9.8500101407137386E-2</v>
      </c>
      <c r="AH96" s="89"/>
      <c r="AI96" s="89"/>
      <c r="AJ96" s="89"/>
      <c r="AK96" s="89"/>
      <c r="AL96" s="89"/>
      <c r="AM96" s="77"/>
      <c r="AN96" s="77"/>
      <c r="AO96" s="77"/>
      <c r="AP96" s="77"/>
      <c r="AQ96" s="77"/>
      <c r="AR96" s="77"/>
      <c r="AS96" s="77"/>
      <c r="AU96" s="91">
        <f ca="1">-AU95/AU11</f>
        <v>7.2799595905752537E-2</v>
      </c>
    </row>
    <row r="97" spans="2:47">
      <c r="B97" s="52" t="s">
        <v>153</v>
      </c>
      <c r="C97" s="52"/>
      <c r="D97" s="78">
        <f>D75+D95</f>
        <v>4178.7900000000009</v>
      </c>
      <c r="E97" s="78">
        <f t="shared" ref="E97:O97" si="131">E75+E95</f>
        <v>83494.990000000005</v>
      </c>
      <c r="F97" s="78">
        <f t="shared" si="131"/>
        <v>29478.51999999999</v>
      </c>
      <c r="G97" s="78">
        <f t="shared" si="131"/>
        <v>7626.369999999999</v>
      </c>
      <c r="H97" s="78">
        <f t="shared" si="131"/>
        <v>8217.4700000000048</v>
      </c>
      <c r="I97" s="78">
        <f t="shared" si="131"/>
        <v>57048.469999999994</v>
      </c>
      <c r="J97" s="78">
        <f t="shared" si="131"/>
        <v>87163.570000000036</v>
      </c>
      <c r="K97" s="78">
        <f t="shared" si="131"/>
        <v>-85.379999999994652</v>
      </c>
      <c r="L97" s="78">
        <f t="shared" ca="1" si="131"/>
        <v>127653</v>
      </c>
      <c r="M97" s="61">
        <f t="shared" si="131"/>
        <v>103452.22598870056</v>
      </c>
      <c r="N97" s="61">
        <f t="shared" si="131"/>
        <v>18438.225988700564</v>
      </c>
      <c r="O97" s="61">
        <f t="shared" si="131"/>
        <v>10393.975988700564</v>
      </c>
      <c r="P97" s="61"/>
      <c r="Q97" s="79">
        <f ca="1">Q75+Q95</f>
        <v>537060.22796610172</v>
      </c>
      <c r="S97" s="61">
        <f t="shared" ref="S97:AD97" ca="1" si="132">S75+S95</f>
        <v>19210.664997483269</v>
      </c>
      <c r="T97" s="61">
        <f t="shared" ca="1" si="132"/>
        <v>56763.356857636856</v>
      </c>
      <c r="U97" s="61">
        <f t="shared" ca="1" si="132"/>
        <v>38797.104879904742</v>
      </c>
      <c r="V97" s="61">
        <f t="shared" ca="1" si="132"/>
        <v>12799.878406986885</v>
      </c>
      <c r="W97" s="61">
        <f t="shared" ca="1" si="132"/>
        <v>12619.397303085781</v>
      </c>
      <c r="X97" s="61">
        <f t="shared" ca="1" si="132"/>
        <v>100791.93317986673</v>
      </c>
      <c r="Y97" s="61">
        <f t="shared" ca="1" si="132"/>
        <v>11204.289601347031</v>
      </c>
      <c r="Z97" s="61">
        <f t="shared" ca="1" si="132"/>
        <v>19155.331797481464</v>
      </c>
      <c r="AA97" s="61">
        <f t="shared" ca="1" si="132"/>
        <v>123648.00641639928</v>
      </c>
      <c r="AB97" s="61">
        <f t="shared" ca="1" si="132"/>
        <v>105211.86133655248</v>
      </c>
      <c r="AC97" s="61">
        <f t="shared" ca="1" si="132"/>
        <v>33866.958628406355</v>
      </c>
      <c r="AD97" s="61">
        <f t="shared" ca="1" si="132"/>
        <v>25316.552298993476</v>
      </c>
      <c r="AE97" s="61"/>
      <c r="AF97" s="79">
        <f ca="1">AF75+AF95</f>
        <v>559385.33570414409</v>
      </c>
      <c r="AH97" s="61">
        <f t="shared" ref="AH97:AS97" ca="1" si="133">AH75+AH95</f>
        <v>22568.456019123976</v>
      </c>
      <c r="AI97" s="61">
        <f t="shared" ca="1" si="133"/>
        <v>70361.45490506629</v>
      </c>
      <c r="AJ97" s="61">
        <f t="shared" ca="1" si="133"/>
        <v>46940.294961749372</v>
      </c>
      <c r="AK97" s="61">
        <f t="shared" ca="1" si="133"/>
        <v>39522.159195300839</v>
      </c>
      <c r="AL97" s="61">
        <f t="shared" ca="1" si="133"/>
        <v>31230.334037854769</v>
      </c>
      <c r="AM97" s="61">
        <f t="shared" ca="1" si="133"/>
        <v>95638.650015047708</v>
      </c>
      <c r="AN97" s="61">
        <f t="shared" ca="1" si="133"/>
        <v>58200.773754655878</v>
      </c>
      <c r="AO97" s="61">
        <f t="shared" ca="1" si="133"/>
        <v>31287.385468722445</v>
      </c>
      <c r="AP97" s="61">
        <f t="shared" ca="1" si="133"/>
        <v>149529.71440021016</v>
      </c>
      <c r="AQ97" s="61">
        <f t="shared" ca="1" si="133"/>
        <v>116672.40093535763</v>
      </c>
      <c r="AR97" s="61">
        <f t="shared" ca="1" si="133"/>
        <v>49748.586540900986</v>
      </c>
      <c r="AS97" s="61">
        <f t="shared" ca="1" si="133"/>
        <v>41023.116131580595</v>
      </c>
      <c r="AT97" s="61"/>
      <c r="AU97" s="79">
        <f ca="1">AU75+AU95</f>
        <v>752723.32636557019</v>
      </c>
    </row>
    <row r="98" spans="2:47">
      <c r="B98" s="72" t="s">
        <v>186</v>
      </c>
      <c r="C98" s="73"/>
      <c r="D98" s="97">
        <f>IFERROR(D97/D11,0)</f>
        <v>0.13382769978687054</v>
      </c>
      <c r="E98" s="97">
        <f t="shared" ref="E98:O98" si="134">IFERROR(E97/E11,0)</f>
        <v>0.50695495899399046</v>
      </c>
      <c r="F98" s="97">
        <f t="shared" si="134"/>
        <v>0.2554876262551849</v>
      </c>
      <c r="G98" s="97">
        <f t="shared" si="134"/>
        <v>0.17113117243400403</v>
      </c>
      <c r="H98" s="97">
        <f t="shared" si="134"/>
        <v>0.17672312938395401</v>
      </c>
      <c r="I98" s="97">
        <f t="shared" si="134"/>
        <v>0.36081686828996234</v>
      </c>
      <c r="J98" s="97">
        <f t="shared" si="134"/>
        <v>0.390690043939176</v>
      </c>
      <c r="K98" s="97">
        <f t="shared" si="134"/>
        <v>-1.8737860881586871E-3</v>
      </c>
      <c r="L98" s="97">
        <f t="shared" ca="1" si="134"/>
        <v>0.33332985170891183</v>
      </c>
      <c r="M98" s="91">
        <f t="shared" si="134"/>
        <v>0.34369510295249356</v>
      </c>
      <c r="N98" s="91">
        <f t="shared" si="134"/>
        <v>0.2169203057494184</v>
      </c>
      <c r="O98" s="91">
        <f t="shared" si="134"/>
        <v>0.1599073229030856</v>
      </c>
      <c r="P98" s="91"/>
      <c r="Q98" s="91">
        <f ca="1">IFERROR(Q97/Q11,0)</f>
        <v>0.32292555636259956</v>
      </c>
      <c r="S98" s="423">
        <f t="shared" ref="S98" ca="1" si="135">IFERROR(S97/S11,0)</f>
        <v>0.21716844456821</v>
      </c>
      <c r="T98" s="423">
        <f t="shared" ref="T98" ca="1" si="136">IFERROR(T97/T11,0)</f>
        <v>0.2805450398739337</v>
      </c>
      <c r="U98" s="423">
        <f t="shared" ref="U98" ca="1" si="137">IFERROR(U97/U11,0)</f>
        <v>0.22831627264138479</v>
      </c>
      <c r="V98" s="423">
        <f t="shared" ref="V98" ca="1" si="138">IFERROR(V97/V11,0)</f>
        <v>0.14364539868938236</v>
      </c>
      <c r="W98" s="423">
        <f t="shared" ref="W98" ca="1" si="139">IFERROR(W97/W11,0)</f>
        <v>0.13610182234604043</v>
      </c>
      <c r="X98" s="423">
        <f t="shared" ref="X98" ca="1" si="140">IFERROR(X97/X11,0)</f>
        <v>0.32376259974486549</v>
      </c>
      <c r="Y98" s="423">
        <f t="shared" ref="Y98" ca="1" si="141">IFERROR(Y97/Y11,0)</f>
        <v>0.10823165161482788</v>
      </c>
      <c r="Z98" s="423">
        <f t="shared" ref="Z98" ca="1" si="142">IFERROR(Z97/Z11,0)</f>
        <v>0.16708038647472159</v>
      </c>
      <c r="AA98" s="423">
        <f t="shared" ref="AA98" ca="1" si="143">IFERROR(AA97/AA11,0)</f>
        <v>0.30772350866905362</v>
      </c>
      <c r="AB98" s="91">
        <f t="shared" ref="AB98" ca="1" si="144">IFERROR(AB97/AB11,0)</f>
        <v>0.25624024682683921</v>
      </c>
      <c r="AC98" s="91">
        <f t="shared" ref="AC98" ca="1" si="145">IFERROR(AC97/AC11,0)</f>
        <v>0.28763360569488683</v>
      </c>
      <c r="AD98" s="91">
        <f t="shared" ref="AD98" ca="1" si="146">IFERROR(AD97/AD11,0)</f>
        <v>0.21838882556951394</v>
      </c>
      <c r="AE98" s="91"/>
      <c r="AF98" s="91">
        <f ca="1">IFERROR(AF97/AF11,0)</f>
        <v>0.25218991840666038</v>
      </c>
      <c r="AH98" s="91">
        <f t="shared" ref="AH98" ca="1" si="147">IFERROR(AH97/AH11,0)</f>
        <v>0.20990707701065348</v>
      </c>
      <c r="AI98" s="91">
        <f t="shared" ref="AI98" ca="1" si="148">IFERROR(AI97/AI11,0)</f>
        <v>0.28970431869648561</v>
      </c>
      <c r="AJ98" s="91">
        <f t="shared" ref="AJ98" ca="1" si="149">IFERROR(AJ97/AJ11,0)</f>
        <v>0.23901331659678637</v>
      </c>
      <c r="AK98" s="91">
        <f t="shared" ref="AK98" ca="1" si="150">IFERROR(AK97/AK11,0)</f>
        <v>0.28666610564898537</v>
      </c>
      <c r="AL98" s="91">
        <f t="shared" ref="AL98" ca="1" si="151">IFERROR(AL97/AL11,0)</f>
        <v>0.24445928691802446</v>
      </c>
      <c r="AM98" s="91">
        <f t="shared" ref="AM98" ca="1" si="152">IFERROR(AM97/AM11,0)</f>
        <v>0.28940817104793221</v>
      </c>
      <c r="AN98" s="91">
        <f t="shared" ref="AN98" ca="1" si="153">IFERROR(AN97/AN11,0)</f>
        <v>0.30935988736226355</v>
      </c>
      <c r="AO98" s="91">
        <f t="shared" ref="AO98" ca="1" si="154">IFERROR(AO97/AO11,0)</f>
        <v>0.22537281475798901</v>
      </c>
      <c r="AP98" s="91">
        <f t="shared" ref="AP98" ca="1" si="155">IFERROR(AP97/AP11,0)</f>
        <v>0.31060575574093469</v>
      </c>
      <c r="AQ98" s="91">
        <f t="shared" ref="AQ98" ca="1" si="156">IFERROR(AQ97/AQ11,0)</f>
        <v>0.24288926266432834</v>
      </c>
      <c r="AR98" s="91">
        <f t="shared" ref="AR98" ca="1" si="157">IFERROR(AR97/AR11,0)</f>
        <v>0.33466190870491819</v>
      </c>
      <c r="AS98" s="91">
        <f t="shared" ref="AS98" ca="1" si="158">IFERROR(AS97/AS11,0)</f>
        <v>0.27538617706452273</v>
      </c>
      <c r="AT98" s="91"/>
      <c r="AU98" s="91">
        <f ca="1">IFERROR(AU97/AU11,0)</f>
        <v>0.27580284771270358</v>
      </c>
    </row>
  </sheetData>
  <mergeCells count="2">
    <mergeCell ref="S1:AF1"/>
    <mergeCell ref="AH1:AU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CB652-06D7-4291-A971-CDA0C992012B}">
  <sheetPr codeName="Sheet11">
    <tabColor rgb="FF00B0F0"/>
  </sheetPr>
  <dimension ref="A1:AW100"/>
  <sheetViews>
    <sheetView showGridLines="0" zoomScale="150" zoomScaleNormal="100" workbookViewId="0">
      <pane xSplit="2" ySplit="5" topLeftCell="C63" activePane="bottomRight" state="frozen"/>
      <selection pane="topRight"/>
      <selection pane="bottomLeft"/>
      <selection pane="bottomRight" activeCell="M64" sqref="M64:O68"/>
    </sheetView>
  </sheetViews>
  <sheetFormatPr baseColWidth="10" defaultColWidth="8.5" defaultRowHeight="11" outlineLevelRow="2" outlineLevelCol="1"/>
  <cols>
    <col min="1" max="1" width="9.5" style="51" customWidth="1"/>
    <col min="2" max="2" width="22.5" style="51" bestFit="1" customWidth="1"/>
    <col min="3" max="3" width="5" style="51" customWidth="1"/>
    <col min="4" max="4" width="8.5" style="7" customWidth="1" outlineLevel="1"/>
    <col min="5" max="5" width="9.1640625" style="7" customWidth="1" outlineLevel="1"/>
    <col min="6" max="6" width="8.5" style="7" customWidth="1" outlineLevel="1"/>
    <col min="7" max="7" width="9.1640625" style="7" customWidth="1" outlineLevel="1"/>
    <col min="8" max="8" width="8.5" style="7" customWidth="1" outlineLevel="1"/>
    <col min="9" max="11" width="8.83203125" style="51" customWidth="1" outlineLevel="1"/>
    <col min="12" max="12" width="9.5" style="51" bestFit="1" customWidth="1"/>
    <col min="13" max="15" width="8.83203125" style="51" bestFit="1" customWidth="1"/>
    <col min="16" max="16" width="3.1640625" style="51" customWidth="1"/>
    <col min="17" max="17" width="9.5" style="52" bestFit="1" customWidth="1"/>
    <col min="18" max="18" width="11.1640625" style="51" bestFit="1" customWidth="1"/>
    <col min="19" max="19" width="8.5" style="7"/>
    <col min="20" max="22" width="8.83203125" style="7" bestFit="1" customWidth="1"/>
    <col min="23" max="23" width="9.1640625" style="7" bestFit="1" customWidth="1"/>
    <col min="24" max="30" width="8.83203125" style="51" bestFit="1" customWidth="1"/>
    <col min="31" max="31" width="3.1640625" style="51" customWidth="1"/>
    <col min="32" max="32" width="9.5" style="52" bestFit="1" customWidth="1"/>
    <col min="33" max="33" width="11" style="7" bestFit="1" customWidth="1"/>
    <col min="34" max="35" width="8.83203125" style="7" bestFit="1" customWidth="1"/>
    <col min="36" max="36" width="8.5" style="7"/>
    <col min="37" max="37" width="8.83203125" style="7" bestFit="1" customWidth="1"/>
    <col min="38" max="38" width="9.1640625" style="7" bestFit="1" customWidth="1"/>
    <col min="39" max="45" width="8.83203125" style="51" bestFit="1" customWidth="1"/>
    <col min="46" max="46" width="3.1640625" style="51" customWidth="1"/>
    <col min="47" max="47" width="9.5" style="52" bestFit="1" customWidth="1"/>
    <col min="48" max="48" width="8.5" style="7"/>
    <col min="49" max="49" width="12.5" style="7" bestFit="1" customWidth="1"/>
    <col min="50" max="16384" width="8.5" style="7"/>
  </cols>
  <sheetData>
    <row r="1" spans="1:49" hidden="1">
      <c r="S1" s="7">
        <f>S8*$C$17</f>
        <v>-3465</v>
      </c>
      <c r="T1" s="7">
        <f t="shared" ref="T1:AD1" si="0">T8*$C$17</f>
        <v>-5115</v>
      </c>
      <c r="U1" s="7">
        <f t="shared" si="0"/>
        <v>-6765</v>
      </c>
      <c r="V1" s="7">
        <f t="shared" si="0"/>
        <v>-2640</v>
      </c>
      <c r="W1" s="7">
        <f t="shared" si="0"/>
        <v>-3465</v>
      </c>
      <c r="X1" s="7">
        <f t="shared" si="0"/>
        <v>-5115</v>
      </c>
      <c r="Y1" s="7">
        <f t="shared" si="0"/>
        <v>-3465</v>
      </c>
      <c r="Z1" s="7">
        <f t="shared" si="0"/>
        <v>-7590</v>
      </c>
      <c r="AA1" s="7">
        <f t="shared" si="0"/>
        <v>-2640</v>
      </c>
      <c r="AB1" s="7">
        <f t="shared" si="0"/>
        <v>-5115</v>
      </c>
      <c r="AC1" s="7">
        <f t="shared" si="0"/>
        <v>-5115</v>
      </c>
      <c r="AD1" s="7">
        <f t="shared" si="0"/>
        <v>-3465</v>
      </c>
      <c r="AF1" s="61">
        <f>SUM(S1:AD1)</f>
        <v>-53955</v>
      </c>
      <c r="AH1" s="7">
        <f>AH8*$C$17</f>
        <v>-3638.25</v>
      </c>
      <c r="AI1" s="7">
        <f t="shared" ref="AI1:AS1" si="1">AI8*$C$17</f>
        <v>-5370.75</v>
      </c>
      <c r="AJ1" s="7">
        <f t="shared" si="1"/>
        <v>-7103.25</v>
      </c>
      <c r="AK1" s="7">
        <f t="shared" si="1"/>
        <v>-2772</v>
      </c>
      <c r="AL1" s="7">
        <f t="shared" si="1"/>
        <v>-3638.25</v>
      </c>
      <c r="AM1" s="7">
        <f t="shared" si="1"/>
        <v>-5370.75</v>
      </c>
      <c r="AN1" s="7">
        <f t="shared" si="1"/>
        <v>-3638.25</v>
      </c>
      <c r="AO1" s="7">
        <f t="shared" si="1"/>
        <v>-7969.5</v>
      </c>
      <c r="AP1" s="7">
        <f t="shared" si="1"/>
        <v>-2772</v>
      </c>
      <c r="AQ1" s="7">
        <f t="shared" si="1"/>
        <v>-5370.75</v>
      </c>
      <c r="AR1" s="7">
        <f t="shared" si="1"/>
        <v>-5370.75</v>
      </c>
      <c r="AS1" s="7">
        <f t="shared" si="1"/>
        <v>-3638.25</v>
      </c>
      <c r="AU1" s="61">
        <f>SUM(AH1:AS1)</f>
        <v>-56652.75</v>
      </c>
    </row>
    <row r="2" spans="1:49" ht="16">
      <c r="B2" s="143" t="s">
        <v>204</v>
      </c>
      <c r="D2" s="399" t="s">
        <v>174</v>
      </c>
      <c r="E2" s="399"/>
      <c r="F2" s="399"/>
      <c r="G2" s="399"/>
      <c r="H2" s="399"/>
      <c r="I2" s="399"/>
      <c r="J2" s="399"/>
      <c r="K2" s="399"/>
      <c r="L2" s="399"/>
      <c r="M2" s="399"/>
      <c r="N2" s="399"/>
      <c r="O2" s="399"/>
      <c r="P2" s="399"/>
      <c r="Q2" s="399"/>
      <c r="S2" s="546" t="s">
        <v>75</v>
      </c>
      <c r="T2" s="546"/>
      <c r="U2" s="546"/>
      <c r="V2" s="546"/>
      <c r="W2" s="546"/>
      <c r="X2" s="546"/>
      <c r="Y2" s="546"/>
      <c r="Z2" s="546"/>
      <c r="AA2" s="546"/>
      <c r="AB2" s="546"/>
      <c r="AC2" s="546"/>
      <c r="AD2" s="546"/>
      <c r="AE2" s="546"/>
      <c r="AF2" s="546"/>
      <c r="AH2" s="546" t="s">
        <v>81</v>
      </c>
      <c r="AI2" s="546"/>
      <c r="AJ2" s="546"/>
      <c r="AK2" s="546"/>
      <c r="AL2" s="546"/>
      <c r="AM2" s="546"/>
      <c r="AN2" s="546"/>
      <c r="AO2" s="546"/>
      <c r="AP2" s="546"/>
      <c r="AQ2" s="546"/>
      <c r="AR2" s="546"/>
      <c r="AS2" s="546"/>
      <c r="AT2" s="546"/>
      <c r="AU2" s="546"/>
    </row>
    <row r="3" spans="1:49">
      <c r="B3" s="52"/>
      <c r="D3" s="54" t="s">
        <v>175</v>
      </c>
      <c r="E3" s="54" t="s">
        <v>175</v>
      </c>
      <c r="F3" s="54" t="s">
        <v>175</v>
      </c>
      <c r="G3" s="54" t="s">
        <v>176</v>
      </c>
      <c r="H3" s="54" t="s">
        <v>176</v>
      </c>
      <c r="I3" s="54" t="s">
        <v>176</v>
      </c>
      <c r="J3" s="54" t="s">
        <v>177</v>
      </c>
      <c r="K3" s="54" t="s">
        <v>177</v>
      </c>
      <c r="L3" s="54" t="s">
        <v>177</v>
      </c>
      <c r="M3" s="55" t="s">
        <v>178</v>
      </c>
      <c r="N3" s="55" t="s">
        <v>178</v>
      </c>
      <c r="O3" s="55" t="s">
        <v>178</v>
      </c>
      <c r="S3" s="80" t="s">
        <v>175</v>
      </c>
      <c r="T3" s="80" t="s">
        <v>175</v>
      </c>
      <c r="U3" s="80" t="s">
        <v>175</v>
      </c>
      <c r="V3" s="80" t="s">
        <v>176</v>
      </c>
      <c r="W3" s="80" t="s">
        <v>176</v>
      </c>
      <c r="X3" s="55" t="s">
        <v>176</v>
      </c>
      <c r="Y3" s="55" t="s">
        <v>177</v>
      </c>
      <c r="Z3" s="55" t="s">
        <v>177</v>
      </c>
      <c r="AA3" s="55" t="s">
        <v>177</v>
      </c>
      <c r="AB3" s="55" t="s">
        <v>178</v>
      </c>
      <c r="AC3" s="55" t="s">
        <v>178</v>
      </c>
      <c r="AD3" s="55" t="s">
        <v>178</v>
      </c>
      <c r="AH3" s="80" t="s">
        <v>175</v>
      </c>
      <c r="AI3" s="80" t="s">
        <v>175</v>
      </c>
      <c r="AJ3" s="80" t="s">
        <v>175</v>
      </c>
      <c r="AK3" s="80" t="s">
        <v>176</v>
      </c>
      <c r="AL3" s="80" t="s">
        <v>176</v>
      </c>
      <c r="AM3" s="55" t="s">
        <v>176</v>
      </c>
      <c r="AN3" s="55" t="s">
        <v>177</v>
      </c>
      <c r="AO3" s="55" t="s">
        <v>177</v>
      </c>
      <c r="AP3" s="55" t="s">
        <v>177</v>
      </c>
      <c r="AQ3" s="55" t="s">
        <v>178</v>
      </c>
      <c r="AR3" s="55" t="s">
        <v>178</v>
      </c>
      <c r="AS3" s="55" t="s">
        <v>178</v>
      </c>
    </row>
    <row r="4" spans="1:49">
      <c r="D4" s="56">
        <v>45716</v>
      </c>
      <c r="E4" s="56">
        <v>45747</v>
      </c>
      <c r="F4" s="56">
        <v>45777</v>
      </c>
      <c r="G4" s="56">
        <v>45808</v>
      </c>
      <c r="H4" s="56">
        <v>45838</v>
      </c>
      <c r="I4" s="56">
        <f t="shared" ref="I4:O4" si="2">EOMONTH(H4,1)</f>
        <v>45869</v>
      </c>
      <c r="J4" s="56">
        <f t="shared" si="2"/>
        <v>45900</v>
      </c>
      <c r="K4" s="56">
        <f t="shared" si="2"/>
        <v>45930</v>
      </c>
      <c r="L4" s="56">
        <f t="shared" si="2"/>
        <v>45961</v>
      </c>
      <c r="M4" s="57">
        <f t="shared" si="2"/>
        <v>45991</v>
      </c>
      <c r="N4" s="57">
        <f t="shared" si="2"/>
        <v>46022</v>
      </c>
      <c r="O4" s="57">
        <f t="shared" si="2"/>
        <v>46053</v>
      </c>
      <c r="P4" s="57"/>
      <c r="Q4" s="55" t="s">
        <v>174</v>
      </c>
      <c r="S4" s="81">
        <v>46081</v>
      </c>
      <c r="T4" s="81">
        <f>EOMONTH(S4,1)</f>
        <v>46112</v>
      </c>
      <c r="U4" s="81">
        <f>EOMONTH(T4,1)</f>
        <v>46142</v>
      </c>
      <c r="V4" s="81">
        <f>EOMONTH(U4,1)</f>
        <v>46173</v>
      </c>
      <c r="W4" s="81">
        <f>EOMONTH(V4,1)</f>
        <v>46203</v>
      </c>
      <c r="X4" s="57">
        <f t="shared" ref="X4:AD4" si="3">EOMONTH(W4,1)</f>
        <v>46234</v>
      </c>
      <c r="Y4" s="57">
        <f t="shared" si="3"/>
        <v>46265</v>
      </c>
      <c r="Z4" s="57">
        <f t="shared" si="3"/>
        <v>46295</v>
      </c>
      <c r="AA4" s="57">
        <f t="shared" si="3"/>
        <v>46326</v>
      </c>
      <c r="AB4" s="57">
        <f t="shared" si="3"/>
        <v>46356</v>
      </c>
      <c r="AC4" s="57">
        <f t="shared" si="3"/>
        <v>46387</v>
      </c>
      <c r="AD4" s="57">
        <f t="shared" si="3"/>
        <v>46418</v>
      </c>
      <c r="AE4" s="57"/>
      <c r="AF4" s="55" t="s">
        <v>75</v>
      </c>
      <c r="AH4" s="81">
        <v>46446</v>
      </c>
      <c r="AI4" s="81">
        <f>EOMONTH(AH4,1)</f>
        <v>46477</v>
      </c>
      <c r="AJ4" s="81">
        <f>EOMONTH(AI4,1)</f>
        <v>46507</v>
      </c>
      <c r="AK4" s="81">
        <f>EOMONTH(AJ4,1)</f>
        <v>46538</v>
      </c>
      <c r="AL4" s="81">
        <f>EOMONTH(AK4,1)</f>
        <v>46568</v>
      </c>
      <c r="AM4" s="57">
        <f t="shared" ref="AM4:AS4" si="4">EOMONTH(AL4,1)</f>
        <v>46599</v>
      </c>
      <c r="AN4" s="57">
        <f t="shared" si="4"/>
        <v>46630</v>
      </c>
      <c r="AO4" s="57">
        <f t="shared" si="4"/>
        <v>46660</v>
      </c>
      <c r="AP4" s="57">
        <f t="shared" si="4"/>
        <v>46691</v>
      </c>
      <c r="AQ4" s="57">
        <f t="shared" si="4"/>
        <v>46721</v>
      </c>
      <c r="AR4" s="57">
        <f t="shared" si="4"/>
        <v>46752</v>
      </c>
      <c r="AS4" s="57">
        <f t="shared" si="4"/>
        <v>46783</v>
      </c>
      <c r="AT4" s="57"/>
      <c r="AU4" s="55" t="s">
        <v>81</v>
      </c>
    </row>
    <row r="5" spans="1:49">
      <c r="B5" s="58" t="s">
        <v>82</v>
      </c>
      <c r="D5" s="46" t="s">
        <v>180</v>
      </c>
      <c r="E5" s="46" t="s">
        <v>180</v>
      </c>
      <c r="F5" s="46" t="s">
        <v>180</v>
      </c>
      <c r="G5" s="46" t="s">
        <v>180</v>
      </c>
      <c r="H5" s="46" t="s">
        <v>180</v>
      </c>
      <c r="I5" s="46" t="s">
        <v>180</v>
      </c>
      <c r="J5" s="46" t="s">
        <v>180</v>
      </c>
      <c r="K5" s="46" t="s">
        <v>180</v>
      </c>
      <c r="L5" s="46" t="s">
        <v>180</v>
      </c>
      <c r="M5" s="48" t="s">
        <v>42</v>
      </c>
      <c r="N5" s="48" t="s">
        <v>42</v>
      </c>
      <c r="O5" s="48" t="s">
        <v>42</v>
      </c>
      <c r="S5" s="82" t="s">
        <v>42</v>
      </c>
      <c r="T5" s="82" t="s">
        <v>42</v>
      </c>
      <c r="U5" s="82" t="s">
        <v>42</v>
      </c>
      <c r="V5" s="82" t="s">
        <v>42</v>
      </c>
      <c r="W5" s="82" t="s">
        <v>42</v>
      </c>
      <c r="X5" s="48" t="s">
        <v>42</v>
      </c>
      <c r="Y5" s="48" t="s">
        <v>42</v>
      </c>
      <c r="Z5" s="48" t="s">
        <v>42</v>
      </c>
      <c r="AA5" s="48" t="s">
        <v>42</v>
      </c>
      <c r="AB5" s="48" t="s">
        <v>42</v>
      </c>
      <c r="AC5" s="48" t="s">
        <v>42</v>
      </c>
      <c r="AD5" s="48" t="s">
        <v>42</v>
      </c>
      <c r="AH5" s="82" t="s">
        <v>42</v>
      </c>
      <c r="AI5" s="82" t="s">
        <v>42</v>
      </c>
      <c r="AJ5" s="82" t="s">
        <v>42</v>
      </c>
      <c r="AK5" s="82" t="s">
        <v>42</v>
      </c>
      <c r="AL5" s="82" t="s">
        <v>42</v>
      </c>
      <c r="AM5" s="48" t="s">
        <v>42</v>
      </c>
      <c r="AN5" s="48" t="s">
        <v>42</v>
      </c>
      <c r="AO5" s="48" t="s">
        <v>42</v>
      </c>
      <c r="AP5" s="48" t="s">
        <v>42</v>
      </c>
      <c r="AQ5" s="48" t="s">
        <v>42</v>
      </c>
      <c r="AR5" s="48" t="s">
        <v>42</v>
      </c>
      <c r="AS5" s="48" t="s">
        <v>42</v>
      </c>
    </row>
    <row r="6" spans="1:49">
      <c r="D6" s="53"/>
      <c r="E6" s="53"/>
      <c r="F6" s="53"/>
      <c r="G6" s="53"/>
      <c r="H6" s="53"/>
      <c r="I6" s="53"/>
      <c r="J6" s="53"/>
      <c r="K6" s="53"/>
      <c r="L6" s="53"/>
    </row>
    <row r="7" spans="1:49">
      <c r="B7" s="51" t="s">
        <v>83</v>
      </c>
      <c r="D7" s="59">
        <v>29388.53</v>
      </c>
      <c r="E7" s="59">
        <v>138276.51</v>
      </c>
      <c r="F7" s="59">
        <v>125336.16</v>
      </c>
      <c r="G7" s="59">
        <v>29034.62</v>
      </c>
      <c r="H7" s="59">
        <v>29740.14</v>
      </c>
      <c r="I7" s="59">
        <v>181208.25</v>
      </c>
      <c r="J7" s="59">
        <v>148771.10999999999</v>
      </c>
      <c r="K7" s="59">
        <v>25087.03</v>
      </c>
      <c r="L7" s="59">
        <v>249616</v>
      </c>
      <c r="M7" s="60">
        <v>310000</v>
      </c>
      <c r="N7" s="60">
        <v>104774</v>
      </c>
      <c r="O7" s="60">
        <v>40000</v>
      </c>
      <c r="P7" s="60"/>
      <c r="Q7" s="61">
        <f>SUM(D7:O7)</f>
        <v>1411232.35</v>
      </c>
      <c r="R7" s="62"/>
      <c r="S7" s="60">
        <f>HU!Q$25</f>
        <v>69520.813750000001</v>
      </c>
      <c r="T7" s="60">
        <f>HU!R$25</f>
        <v>185914.48596000002</v>
      </c>
      <c r="U7" s="60">
        <f>HU!S$25</f>
        <v>155441.65458</v>
      </c>
      <c r="V7" s="60">
        <f>HU!T$25</f>
        <v>71762.12030000001</v>
      </c>
      <c r="W7" s="60">
        <f>HU!U$25</f>
        <v>65647.833443617012</v>
      </c>
      <c r="X7" s="60">
        <f>HU!V$25</f>
        <v>253924.54621500001</v>
      </c>
      <c r="Y7" s="60">
        <f>HU!W$25</f>
        <v>71701.425865000012</v>
      </c>
      <c r="Z7" s="60">
        <f>HU!X$25</f>
        <v>63625.165937765945</v>
      </c>
      <c r="AA7" s="60">
        <f>HU!Y$25</f>
        <v>315980.59929078014</v>
      </c>
      <c r="AB7" s="60">
        <f>HU!Z$25</f>
        <v>267540.55319148937</v>
      </c>
      <c r="AC7" s="60">
        <f>HU!AA$25</f>
        <v>75523.852005673747</v>
      </c>
      <c r="AD7" s="60">
        <f>HU!AB$25</f>
        <v>77146.222808510633</v>
      </c>
      <c r="AE7" s="60"/>
      <c r="AF7" s="61">
        <f>SUM(S7:AD7)</f>
        <v>1673729.2733478369</v>
      </c>
      <c r="AG7" s="89">
        <f>AF7/Q7-1</f>
        <v>0.18600546065134971</v>
      </c>
      <c r="AH7" s="60">
        <f>HU!AC$25</f>
        <v>74791.967322865254</v>
      </c>
      <c r="AI7" s="60">
        <f>HU!AD$25</f>
        <v>238374.07036065252</v>
      </c>
      <c r="AJ7" s="60">
        <f>HU!AE$25</f>
        <v>171135.82342392195</v>
      </c>
      <c r="AK7" s="60">
        <f>HU!AF$25</f>
        <v>72354.366829999999</v>
      </c>
      <c r="AL7" s="60">
        <f>HU!AG$25</f>
        <v>85303.752122659585</v>
      </c>
      <c r="AM7" s="60">
        <f>HU!AH$25</f>
        <v>339090.70855449996</v>
      </c>
      <c r="AN7" s="60">
        <f>HU!AI$25</f>
        <v>50950.660209499998</v>
      </c>
      <c r="AO7" s="60">
        <f>HU!AJ$25</f>
        <v>80344.847667996466</v>
      </c>
      <c r="AP7" s="60">
        <f>HU!AK$25</f>
        <v>386444.17907801422</v>
      </c>
      <c r="AQ7" s="60">
        <f>HU!AL$25</f>
        <v>329037.06382978725</v>
      </c>
      <c r="AR7" s="60">
        <f>HU!AM$25</f>
        <v>55701.11848397163</v>
      </c>
      <c r="AS7" s="60">
        <f>HU!AN$25</f>
        <v>74850.222808510633</v>
      </c>
      <c r="AT7" s="60"/>
      <c r="AU7" s="61">
        <f>SUM(AH7:AS7)</f>
        <v>1958378.7806923795</v>
      </c>
    </row>
    <row r="8" spans="1:49">
      <c r="B8" s="51" t="s">
        <v>84</v>
      </c>
      <c r="D8" s="59">
        <v>31834.639999999999</v>
      </c>
      <c r="E8" s="59">
        <v>43784.99</v>
      </c>
      <c r="F8" s="59">
        <v>772.32</v>
      </c>
      <c r="G8" s="59">
        <v>500.64</v>
      </c>
      <c r="H8" s="59">
        <v>3230.37</v>
      </c>
      <c r="I8" s="59">
        <v>3122.69</v>
      </c>
      <c r="J8" s="59">
        <v>5197.3999999999996</v>
      </c>
      <c r="K8" s="59">
        <v>20076.259999999998</v>
      </c>
      <c r="L8" s="59">
        <v>12126</v>
      </c>
      <c r="M8" s="60">
        <v>13324</v>
      </c>
      <c r="N8" s="60">
        <v>12017</v>
      </c>
      <c r="O8" s="60">
        <v>9622</v>
      </c>
      <c r="P8" s="60"/>
      <c r="Q8" s="61">
        <f>SUM(D8:O8)</f>
        <v>155608.31</v>
      </c>
      <c r="R8" s="62"/>
      <c r="S8" s="83">
        <f>SUMIF(B2B!$B$7:$B$111,"Hungary",B2B!V7:V111)</f>
        <v>10500</v>
      </c>
      <c r="T8" s="83">
        <f>SUMIF(B2B!$B$7:$B$111,"Hungary",B2B!W7:W111)</f>
        <v>15500</v>
      </c>
      <c r="U8" s="83">
        <f>SUMIF(B2B!$B$7:$B$111,"Hungary",B2B!X7:X111)</f>
        <v>20500</v>
      </c>
      <c r="V8" s="83">
        <f>SUMIF(B2B!$B$7:$B$111,"Hungary",B2B!Y7:Y111)</f>
        <v>8000</v>
      </c>
      <c r="W8" s="83">
        <f>SUMIF(B2B!$B$7:$B$111,"Hungary",B2B!Z7:Z111)</f>
        <v>10500</v>
      </c>
      <c r="X8" s="83">
        <f>SUMIF(B2B!$B$7:$B$111,"Hungary",B2B!AA7:AA111)</f>
        <v>15500</v>
      </c>
      <c r="Y8" s="83">
        <f>SUMIF(B2B!$B$7:$B$111,"Hungary",B2B!AB7:AB111)</f>
        <v>10500</v>
      </c>
      <c r="Z8" s="83">
        <f>SUMIF(B2B!$B$7:$B$111,"Hungary",B2B!AC7:AC111)</f>
        <v>23000</v>
      </c>
      <c r="AA8" s="83">
        <f>SUMIF(B2B!$B$7:$B$111,"Hungary",B2B!AD7:AD111)</f>
        <v>8000</v>
      </c>
      <c r="AB8" s="83">
        <f>SUMIF(B2B!$B$7:$B$111,"Hungary",B2B!AE7:AE111)</f>
        <v>15500</v>
      </c>
      <c r="AC8" s="83">
        <f>SUMIF(B2B!$B$7:$B$111,"Hungary",B2B!AF7:AF111)</f>
        <v>15500</v>
      </c>
      <c r="AD8" s="83">
        <f>SUMIF(B2B!$B$7:$B$111,"Hungary",B2B!AG7:AG111)</f>
        <v>10500</v>
      </c>
      <c r="AE8" s="60"/>
      <c r="AF8" s="61">
        <f>SUM(S8:AD8)</f>
        <v>163500</v>
      </c>
      <c r="AH8" s="83">
        <f>SUMIF(B2B!$B$7:$B$111,"Hungary",B2B!AK7:AK111)</f>
        <v>11025</v>
      </c>
      <c r="AI8" s="83">
        <f>SUMIF(B2B!$B$7:$B$111,"Hungary",B2B!AL7:AL111)</f>
        <v>16275</v>
      </c>
      <c r="AJ8" s="83">
        <f>SUMIF(B2B!$B$7:$B$111,"Hungary",B2B!AM7:AM111)</f>
        <v>21525</v>
      </c>
      <c r="AK8" s="83">
        <f>SUMIF(B2B!$B$7:$B$111,"Hungary",B2B!AN7:AN111)</f>
        <v>8400</v>
      </c>
      <c r="AL8" s="83">
        <f>SUMIF(B2B!$B$7:$B$111,"Hungary",B2B!AO7:AO111)</f>
        <v>11025</v>
      </c>
      <c r="AM8" s="83">
        <f>SUMIF(B2B!$B$7:$B$111,"Hungary",B2B!AP7:AP111)</f>
        <v>16275</v>
      </c>
      <c r="AN8" s="83">
        <f>SUMIF(B2B!$B$7:$B$111,"Hungary",B2B!AQ7:AQ111)</f>
        <v>11025</v>
      </c>
      <c r="AO8" s="83">
        <f>SUMIF(B2B!$B$7:$B$111,"Hungary",B2B!AR7:AR111)</f>
        <v>24150</v>
      </c>
      <c r="AP8" s="83">
        <f>SUMIF(B2B!$B$7:$B$111,"Hungary",B2B!AS7:AS111)</f>
        <v>8400</v>
      </c>
      <c r="AQ8" s="83">
        <f>SUMIF(B2B!$B$7:$B$111,"Hungary",B2B!AT7:AT111)</f>
        <v>16275</v>
      </c>
      <c r="AR8" s="83">
        <f>SUMIF(B2B!$B$7:$B$111,"Hungary",B2B!AU7:AU111)</f>
        <v>16275</v>
      </c>
      <c r="AS8" s="83">
        <f>SUMIF(B2B!$B$7:$B$111,"Hungary",B2B!AV7:AV111)</f>
        <v>11025</v>
      </c>
      <c r="AT8" s="60"/>
      <c r="AU8" s="61">
        <f>SUM(AH8:AS8)</f>
        <v>171675</v>
      </c>
    </row>
    <row r="9" spans="1:49">
      <c r="B9" s="51" t="s">
        <v>85</v>
      </c>
      <c r="D9" s="59">
        <v>0</v>
      </c>
      <c r="E9" s="59">
        <v>0</v>
      </c>
      <c r="F9" s="59">
        <v>0</v>
      </c>
      <c r="G9" s="59">
        <v>0</v>
      </c>
      <c r="H9" s="59">
        <v>0</v>
      </c>
      <c r="I9" s="59">
        <v>0</v>
      </c>
      <c r="J9" s="59"/>
      <c r="K9" s="59"/>
      <c r="L9" s="59">
        <f ca="1">SUMIF(Amazon!$A$25:$A$39,"Hungary",Amazon!K25:K37)</f>
        <v>0</v>
      </c>
      <c r="M9" s="60"/>
      <c r="N9" s="60"/>
      <c r="O9" s="60"/>
      <c r="P9" s="60"/>
      <c r="Q9" s="61">
        <f ca="1">SUM(D9:O9)</f>
        <v>0</v>
      </c>
      <c r="R9" s="62"/>
      <c r="S9" s="60">
        <f ca="1">SUMIF(Amazon!$A$25:$A$39,"Hungary",Amazon!Q25:Q37)</f>
        <v>0</v>
      </c>
      <c r="T9" s="60">
        <f ca="1">SUMIF(Amazon!$A$25:$A$39,"Hungary",Amazon!R25:R37)</f>
        <v>0</v>
      </c>
      <c r="U9" s="60">
        <f ca="1">SUMIF(Amazon!$A$25:$A$39,"Hungary",Amazon!S25:S37)</f>
        <v>0</v>
      </c>
      <c r="V9" s="60">
        <f ca="1">SUMIF(Amazon!$A$25:$A$39,"Hungary",Amazon!T25:T37)</f>
        <v>0</v>
      </c>
      <c r="W9" s="60">
        <f ca="1">SUMIF(Amazon!$A$25:$A$39,"Hungary",Amazon!U25:U37)</f>
        <v>0</v>
      </c>
      <c r="X9" s="60">
        <f ca="1">SUMIF(Amazon!$A$25:$A$39,"Hungary",Amazon!V25:V37)</f>
        <v>0</v>
      </c>
      <c r="Y9" s="60">
        <f ca="1">SUMIF(Amazon!$A$25:$A$39,"Hungary",Amazon!W25:W37)</f>
        <v>0</v>
      </c>
      <c r="Z9" s="60">
        <f ca="1">SUMIF(Amazon!$A$25:$A$39,"Hungary",Amazon!X25:X37)</f>
        <v>0</v>
      </c>
      <c r="AA9" s="60">
        <f ca="1">SUMIF(Amazon!$A$25:$A$39,"Hungary",Amazon!Y25:Y37)</f>
        <v>0</v>
      </c>
      <c r="AB9" s="60">
        <f ca="1">SUMIF(Amazon!$A$25:$A$39,"Hungary",Amazon!Z25:Z37)</f>
        <v>0</v>
      </c>
      <c r="AC9" s="60">
        <f ca="1">SUMIF(Amazon!$A$25:$A$39,"Hungary",Amazon!AA25:AA37)</f>
        <v>0</v>
      </c>
      <c r="AD9" s="60">
        <f ca="1">SUMIF(Amazon!$A$25:$A$39,"Hungary",Amazon!AB25:AB37)</f>
        <v>0</v>
      </c>
      <c r="AE9" s="60"/>
      <c r="AF9" s="61">
        <f ca="1">SUM(S9:AD9)</f>
        <v>0</v>
      </c>
      <c r="AH9" s="60">
        <f ca="1">SUMIF(Amazon!$A$25:$A$39,"Hungary",Amazon!AE25:AE37)</f>
        <v>0</v>
      </c>
      <c r="AI9" s="60">
        <f ca="1">SUMIF(Amazon!$A$25:$A$39,"Hungary",Amazon!AF25:AF37)</f>
        <v>0</v>
      </c>
      <c r="AJ9" s="60">
        <f ca="1">SUMIF(Amazon!$A$25:$A$39,"Hungary",Amazon!AG25:AG37)</f>
        <v>0</v>
      </c>
      <c r="AK9" s="60">
        <f ca="1">SUMIF(Amazon!$A$25:$A$39,"Hungary",Amazon!AH25:AH37)</f>
        <v>0</v>
      </c>
      <c r="AL9" s="60">
        <f ca="1">SUMIF(Amazon!$A$25:$A$39,"Hungary",Amazon!AI25:AI37)</f>
        <v>0</v>
      </c>
      <c r="AM9" s="60">
        <f ca="1">SUMIF(Amazon!$A$25:$A$39,"Hungary",Amazon!AJ25:AJ37)</f>
        <v>0</v>
      </c>
      <c r="AN9" s="60">
        <f ca="1">SUMIF(Amazon!$A$25:$A$39,"Hungary",Amazon!AK25:AK37)</f>
        <v>0</v>
      </c>
      <c r="AO9" s="60">
        <f ca="1">SUMIF(Amazon!$A$25:$A$39,"Hungary",Amazon!AL25:AL37)</f>
        <v>0</v>
      </c>
      <c r="AP9" s="60">
        <f ca="1">SUMIF(Amazon!$A$25:$A$39,"Hungary",Amazon!AM25:AM37)</f>
        <v>0</v>
      </c>
      <c r="AQ9" s="60">
        <f ca="1">SUMIF(Amazon!$A$25:$A$39,"Hungary",Amazon!AN25:AN37)</f>
        <v>0</v>
      </c>
      <c r="AR9" s="60">
        <f ca="1">SUMIF(Amazon!$A$25:$A$39,"Hungary",Amazon!AO25:AO37)</f>
        <v>0</v>
      </c>
      <c r="AS9" s="60">
        <f ca="1">SUMIF(Amazon!$A$25:$A$39,"Hungary",Amazon!AP25:AP37)</f>
        <v>0</v>
      </c>
      <c r="AT9" s="60"/>
      <c r="AU9" s="61">
        <f ca="1">SUM(AH9:AS9)</f>
        <v>0</v>
      </c>
    </row>
    <row r="10" spans="1:49">
      <c r="B10" s="51" t="s">
        <v>86</v>
      </c>
      <c r="D10" s="59">
        <v>0</v>
      </c>
      <c r="E10" s="59">
        <v>0</v>
      </c>
      <c r="F10" s="59">
        <v>0</v>
      </c>
      <c r="G10" s="59">
        <v>0</v>
      </c>
      <c r="H10" s="59">
        <v>0</v>
      </c>
      <c r="I10" s="59">
        <v>0</v>
      </c>
      <c r="J10" s="59"/>
      <c r="K10" s="59"/>
      <c r="L10" s="59"/>
      <c r="M10" s="60"/>
      <c r="N10" s="60"/>
      <c r="O10" s="60"/>
      <c r="P10" s="60"/>
      <c r="Q10" s="61">
        <f>SUM(D10:O10)</f>
        <v>0</v>
      </c>
      <c r="R10" s="62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60"/>
      <c r="AF10" s="61">
        <f>SUM(S10:AD10)</f>
        <v>0</v>
      </c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60"/>
      <c r="AU10" s="61">
        <f>SUM(AH10:AS10)</f>
        <v>0</v>
      </c>
    </row>
    <row r="11" spans="1:49">
      <c r="D11" s="59"/>
      <c r="E11" s="59"/>
      <c r="F11" s="59"/>
      <c r="G11" s="59"/>
      <c r="H11" s="59"/>
      <c r="I11" s="59"/>
      <c r="J11" s="59"/>
      <c r="K11" s="59"/>
      <c r="L11" s="59"/>
      <c r="M11" s="60"/>
      <c r="N11" s="60"/>
      <c r="O11" s="60"/>
      <c r="P11" s="60"/>
      <c r="Q11" s="61"/>
      <c r="S11" s="83"/>
      <c r="T11" s="83"/>
      <c r="U11" s="83"/>
      <c r="V11" s="83"/>
      <c r="W11" s="83"/>
      <c r="X11" s="60"/>
      <c r="Y11" s="60"/>
      <c r="Z11" s="60"/>
      <c r="AA11" s="60"/>
      <c r="AB11" s="60"/>
      <c r="AC11" s="60"/>
      <c r="AD11" s="60"/>
      <c r="AE11" s="60"/>
      <c r="AF11" s="61"/>
      <c r="AH11" s="83"/>
      <c r="AI11" s="83"/>
      <c r="AJ11" s="83"/>
      <c r="AK11" s="83"/>
      <c r="AL11" s="83"/>
      <c r="AM11" s="60"/>
      <c r="AN11" s="60"/>
      <c r="AO11" s="60"/>
      <c r="AP11" s="60"/>
      <c r="AQ11" s="60"/>
      <c r="AR11" s="60"/>
      <c r="AS11" s="60"/>
      <c r="AT11" s="60"/>
      <c r="AU11" s="61"/>
    </row>
    <row r="12" spans="1:49" s="10" customFormat="1">
      <c r="A12" s="52"/>
      <c r="B12" s="63" t="s">
        <v>87</v>
      </c>
      <c r="C12" s="52"/>
      <c r="D12" s="64">
        <f>SUM(D7:D11)</f>
        <v>61223.17</v>
      </c>
      <c r="E12" s="64">
        <f t="shared" ref="E12:K12" si="5">SUM(E7:E11)</f>
        <v>182061.5</v>
      </c>
      <c r="F12" s="64">
        <f t="shared" si="5"/>
        <v>126108.48000000001</v>
      </c>
      <c r="G12" s="64">
        <f t="shared" si="5"/>
        <v>29535.26</v>
      </c>
      <c r="H12" s="64">
        <f t="shared" si="5"/>
        <v>32970.51</v>
      </c>
      <c r="I12" s="64">
        <f t="shared" si="5"/>
        <v>184330.94</v>
      </c>
      <c r="J12" s="64">
        <f t="shared" si="5"/>
        <v>153968.50999999998</v>
      </c>
      <c r="K12" s="64">
        <f t="shared" si="5"/>
        <v>45163.289999999994</v>
      </c>
      <c r="L12" s="64">
        <f t="shared" ref="L12:O12" ca="1" si="6">SUM(L7:L11)</f>
        <v>261742</v>
      </c>
      <c r="M12" s="65">
        <f t="shared" si="6"/>
        <v>323324</v>
      </c>
      <c r="N12" s="65">
        <f t="shared" si="6"/>
        <v>116791</v>
      </c>
      <c r="O12" s="65">
        <f t="shared" si="6"/>
        <v>49622</v>
      </c>
      <c r="P12" s="61"/>
      <c r="Q12" s="65">
        <f ca="1">SUM(D12:O12)</f>
        <v>1566840.6600000001</v>
      </c>
      <c r="R12" s="52"/>
      <c r="S12" s="84">
        <f ca="1">SUM(S7:S11)</f>
        <v>80020.813750000001</v>
      </c>
      <c r="T12" s="84">
        <f t="shared" ref="T12:AD12" ca="1" si="7">SUM(T7:T11)</f>
        <v>201414.48596000002</v>
      </c>
      <c r="U12" s="84">
        <f t="shared" ca="1" si="7"/>
        <v>175941.65458</v>
      </c>
      <c r="V12" s="84">
        <f t="shared" ca="1" si="7"/>
        <v>79762.12030000001</v>
      </c>
      <c r="W12" s="84">
        <f t="shared" ca="1" si="7"/>
        <v>76147.833443617012</v>
      </c>
      <c r="X12" s="65">
        <f t="shared" ca="1" si="7"/>
        <v>269424.54621499998</v>
      </c>
      <c r="Y12" s="65">
        <f t="shared" ca="1" si="7"/>
        <v>82201.425865000012</v>
      </c>
      <c r="Z12" s="65">
        <f t="shared" ca="1" si="7"/>
        <v>86625.165937765938</v>
      </c>
      <c r="AA12" s="65">
        <f t="shared" ca="1" si="7"/>
        <v>323980.59929078014</v>
      </c>
      <c r="AB12" s="65">
        <f t="shared" ca="1" si="7"/>
        <v>283040.55319148937</v>
      </c>
      <c r="AC12" s="65">
        <f t="shared" ca="1" si="7"/>
        <v>91023.852005673747</v>
      </c>
      <c r="AD12" s="65">
        <f t="shared" ca="1" si="7"/>
        <v>87646.222808510633</v>
      </c>
      <c r="AE12" s="61"/>
      <c r="AF12" s="65">
        <f ca="1">SUM(S12:AD12)</f>
        <v>1837229.2733478369</v>
      </c>
      <c r="AG12" s="7"/>
      <c r="AH12" s="84">
        <f ca="1">SUM(AH7:AH11)</f>
        <v>85816.967322865254</v>
      </c>
      <c r="AI12" s="84">
        <f t="shared" ref="AI12:AS12" ca="1" si="8">SUM(AI7:AI11)</f>
        <v>254649.07036065252</v>
      </c>
      <c r="AJ12" s="84">
        <f t="shared" ca="1" si="8"/>
        <v>192660.82342392195</v>
      </c>
      <c r="AK12" s="84">
        <f t="shared" ca="1" si="8"/>
        <v>80754.366829999999</v>
      </c>
      <c r="AL12" s="84">
        <f t="shared" ca="1" si="8"/>
        <v>96328.752122659585</v>
      </c>
      <c r="AM12" s="65">
        <f t="shared" ca="1" si="8"/>
        <v>355365.70855449996</v>
      </c>
      <c r="AN12" s="65">
        <f t="shared" ca="1" si="8"/>
        <v>61975.660209499998</v>
      </c>
      <c r="AO12" s="65">
        <f t="shared" ca="1" si="8"/>
        <v>104494.84766799647</v>
      </c>
      <c r="AP12" s="65">
        <f t="shared" ca="1" si="8"/>
        <v>394844.17907801422</v>
      </c>
      <c r="AQ12" s="65">
        <f t="shared" ca="1" si="8"/>
        <v>345312.06382978725</v>
      </c>
      <c r="AR12" s="65">
        <f t="shared" ca="1" si="8"/>
        <v>71976.11848397163</v>
      </c>
      <c r="AS12" s="65">
        <f t="shared" ca="1" si="8"/>
        <v>85875.222808510633</v>
      </c>
      <c r="AT12" s="61"/>
      <c r="AU12" s="65">
        <f ca="1">SUM(AH12:AS12)</f>
        <v>2130053.7806923795</v>
      </c>
      <c r="AW12" s="140"/>
    </row>
    <row r="13" spans="1:49" outlineLevel="1">
      <c r="D13" s="59"/>
      <c r="E13" s="59"/>
      <c r="F13" s="59"/>
      <c r="G13" s="59"/>
      <c r="H13" s="59"/>
      <c r="I13" s="59"/>
      <c r="J13" s="59"/>
      <c r="K13" s="59"/>
      <c r="L13" s="59"/>
      <c r="M13" s="60"/>
      <c r="N13" s="60"/>
      <c r="O13" s="60"/>
      <c r="P13" s="60"/>
      <c r="Q13" s="61"/>
      <c r="R13" s="66"/>
      <c r="S13" s="83"/>
      <c r="T13" s="83"/>
      <c r="U13" s="83"/>
      <c r="V13" s="83"/>
      <c r="W13" s="83"/>
      <c r="X13" s="60"/>
      <c r="Y13" s="60"/>
      <c r="Z13" s="60"/>
      <c r="AA13" s="60"/>
      <c r="AB13" s="60"/>
      <c r="AC13" s="60"/>
      <c r="AD13" s="60"/>
      <c r="AE13" s="60"/>
      <c r="AF13" s="61"/>
      <c r="AH13" s="83"/>
      <c r="AI13" s="83"/>
      <c r="AJ13" s="83"/>
      <c r="AK13" s="83"/>
      <c r="AL13" s="83"/>
      <c r="AM13" s="60"/>
      <c r="AN13" s="60"/>
      <c r="AO13" s="60"/>
      <c r="AP13" s="60"/>
      <c r="AQ13" s="60"/>
      <c r="AR13" s="60"/>
      <c r="AS13" s="60"/>
      <c r="AT13" s="60"/>
      <c r="AU13" s="61"/>
    </row>
    <row r="14" spans="1:49" outlineLevel="1">
      <c r="B14" s="58" t="s">
        <v>88</v>
      </c>
      <c r="D14" s="59"/>
      <c r="E14" s="59"/>
      <c r="F14" s="59"/>
      <c r="G14" s="59"/>
      <c r="H14" s="59"/>
      <c r="I14" s="59"/>
      <c r="J14" s="59"/>
      <c r="K14" s="59"/>
      <c r="L14" s="59"/>
      <c r="M14" s="60"/>
      <c r="N14" s="60"/>
      <c r="O14" s="60"/>
      <c r="P14" s="60"/>
      <c r="Q14" s="61"/>
      <c r="S14" s="83"/>
      <c r="T14" s="83"/>
      <c r="U14" s="83"/>
      <c r="V14" s="83"/>
      <c r="W14" s="83"/>
      <c r="X14" s="60"/>
      <c r="Y14" s="60"/>
      <c r="Z14" s="60"/>
      <c r="AA14" s="60"/>
      <c r="AB14" s="60"/>
      <c r="AC14" s="60"/>
      <c r="AD14" s="60"/>
      <c r="AE14" s="60"/>
      <c r="AF14" s="61"/>
      <c r="AH14" s="83"/>
      <c r="AI14" s="83"/>
      <c r="AJ14" s="83"/>
      <c r="AK14" s="83"/>
      <c r="AL14" s="83"/>
      <c r="AM14" s="60"/>
      <c r="AN14" s="60"/>
      <c r="AO14" s="60"/>
      <c r="AP14" s="60"/>
      <c r="AQ14" s="60"/>
      <c r="AR14" s="60"/>
      <c r="AS14" s="60"/>
      <c r="AT14" s="60"/>
      <c r="AU14" s="61"/>
    </row>
    <row r="15" spans="1:49">
      <c r="D15" s="59"/>
      <c r="E15" s="59"/>
      <c r="F15" s="59"/>
      <c r="G15" s="59"/>
      <c r="H15" s="59"/>
      <c r="I15" s="59"/>
      <c r="J15" s="59"/>
      <c r="K15" s="59"/>
      <c r="L15" s="59"/>
      <c r="M15" s="60"/>
      <c r="N15" s="60"/>
      <c r="O15" s="60"/>
      <c r="P15" s="60"/>
      <c r="Q15" s="61"/>
      <c r="S15" s="83"/>
      <c r="T15" s="83"/>
      <c r="U15" s="83"/>
      <c r="V15" s="83"/>
      <c r="W15" s="83"/>
      <c r="X15" s="60"/>
      <c r="Y15" s="60"/>
      <c r="Z15" s="60"/>
      <c r="AA15" s="60"/>
      <c r="AB15" s="60"/>
      <c r="AC15" s="60"/>
      <c r="AD15" s="60"/>
      <c r="AE15" s="60"/>
      <c r="AF15" s="61"/>
      <c r="AH15" s="83"/>
      <c r="AI15" s="83"/>
      <c r="AJ15" s="83"/>
      <c r="AK15" s="83"/>
      <c r="AL15" s="83"/>
      <c r="AM15" s="60"/>
      <c r="AN15" s="60"/>
      <c r="AO15" s="60"/>
      <c r="AP15" s="60"/>
      <c r="AQ15" s="60"/>
      <c r="AR15" s="60"/>
      <c r="AS15" s="60"/>
      <c r="AT15" s="60"/>
      <c r="AU15" s="61"/>
    </row>
    <row r="16" spans="1:49" outlineLevel="1">
      <c r="B16" s="51" t="s">
        <v>89</v>
      </c>
      <c r="C16" s="75">
        <v>-0.24</v>
      </c>
      <c r="D16" s="59">
        <v>-7213.4</v>
      </c>
      <c r="E16" s="59">
        <v>-35493.96</v>
      </c>
      <c r="F16" s="59">
        <v>-32885.53</v>
      </c>
      <c r="G16" s="59">
        <v>-5093.8</v>
      </c>
      <c r="H16" s="59">
        <v>-5798.65</v>
      </c>
      <c r="I16" s="59">
        <v>-48321.73</v>
      </c>
      <c r="J16" s="59">
        <v>-41843.75</v>
      </c>
      <c r="K16" s="59">
        <v>-4250.53</v>
      </c>
      <c r="L16" s="59">
        <v>-70872</v>
      </c>
      <c r="M16" s="60">
        <v>-83700</v>
      </c>
      <c r="N16" s="60">
        <v>-25146</v>
      </c>
      <c r="O16" s="60">
        <v>-9200</v>
      </c>
      <c r="P16" s="60"/>
      <c r="Q16" s="61">
        <f>SUM(D16:O16)</f>
        <v>-369819.35</v>
      </c>
      <c r="S16" s="60">
        <f t="shared" ref="S16:Z16" si="9">S7*$C$16</f>
        <v>-16684.995299999999</v>
      </c>
      <c r="T16" s="60">
        <f t="shared" si="9"/>
        <v>-44619.4766304</v>
      </c>
      <c r="U16" s="60">
        <f t="shared" si="9"/>
        <v>-37305.997099200002</v>
      </c>
      <c r="V16" s="60">
        <f t="shared" si="9"/>
        <v>-17222.908872</v>
      </c>
      <c r="W16" s="60">
        <f t="shared" si="9"/>
        <v>-15755.480026468082</v>
      </c>
      <c r="X16" s="60">
        <f t="shared" si="9"/>
        <v>-60941.891091600002</v>
      </c>
      <c r="Y16" s="60">
        <f t="shared" si="9"/>
        <v>-17208.342207600002</v>
      </c>
      <c r="Z16" s="60">
        <f t="shared" si="9"/>
        <v>-15270.039825063826</v>
      </c>
      <c r="AA16" s="60">
        <f t="shared" ref="AA16:AD16" si="10">AA7*$C$16</f>
        <v>-75835.343829787234</v>
      </c>
      <c r="AB16" s="60">
        <f t="shared" si="10"/>
        <v>-64209.732765957444</v>
      </c>
      <c r="AC16" s="60">
        <f t="shared" si="10"/>
        <v>-18125.7244813617</v>
      </c>
      <c r="AD16" s="60">
        <f t="shared" si="10"/>
        <v>-18515.093474042551</v>
      </c>
      <c r="AE16" s="60"/>
      <c r="AF16" s="61">
        <f>SUM(S16:AD16)</f>
        <v>-401695.02560348081</v>
      </c>
      <c r="AH16" s="60">
        <f t="shared" ref="AH16:AS16" si="11">AH7*$C$16</f>
        <v>-17950.072157487659</v>
      </c>
      <c r="AI16" s="60">
        <f t="shared" si="11"/>
        <v>-57209.776886556603</v>
      </c>
      <c r="AJ16" s="60">
        <f t="shared" si="11"/>
        <v>-41072.597621741268</v>
      </c>
      <c r="AK16" s="60">
        <f t="shared" si="11"/>
        <v>-17365.048039199999</v>
      </c>
      <c r="AL16" s="60">
        <f t="shared" si="11"/>
        <v>-20472.900509438299</v>
      </c>
      <c r="AM16" s="60">
        <f t="shared" si="11"/>
        <v>-81381.770053079992</v>
      </c>
      <c r="AN16" s="60">
        <f t="shared" si="11"/>
        <v>-12228.15845028</v>
      </c>
      <c r="AO16" s="60">
        <f t="shared" si="11"/>
        <v>-19282.763440319151</v>
      </c>
      <c r="AP16" s="60">
        <f t="shared" si="11"/>
        <v>-92746.602978723415</v>
      </c>
      <c r="AQ16" s="60">
        <f t="shared" si="11"/>
        <v>-78968.895319148942</v>
      </c>
      <c r="AR16" s="60">
        <f t="shared" si="11"/>
        <v>-13368.26843615319</v>
      </c>
      <c r="AS16" s="60">
        <f t="shared" si="11"/>
        <v>-17964.05347404255</v>
      </c>
      <c r="AT16" s="60"/>
      <c r="AU16" s="61">
        <f>SUM(AH16:AS16)</f>
        <v>-470010.90736617107</v>
      </c>
    </row>
    <row r="17" spans="1:47" outlineLevel="1">
      <c r="B17" s="51" t="s">
        <v>90</v>
      </c>
      <c r="C17" s="75">
        <v>-0.33</v>
      </c>
      <c r="D17" s="59">
        <v>-13648.75</v>
      </c>
      <c r="E17" s="59">
        <v>-16220.6</v>
      </c>
      <c r="F17" s="59">
        <v>-189.88</v>
      </c>
      <c r="G17" s="59">
        <v>-127.64</v>
      </c>
      <c r="H17" s="59">
        <v>-1190.32</v>
      </c>
      <c r="I17" s="59">
        <v>-1163.24</v>
      </c>
      <c r="J17" s="59">
        <v>-2211.6799999999998</v>
      </c>
      <c r="K17" s="59">
        <v>-9629.19</v>
      </c>
      <c r="L17" s="59">
        <v>-172</v>
      </c>
      <c r="M17" s="60">
        <v>-4397</v>
      </c>
      <c r="N17" s="60">
        <v>-3966</v>
      </c>
      <c r="O17" s="60">
        <v>-3175</v>
      </c>
      <c r="P17" s="60"/>
      <c r="Q17" s="61">
        <f>SUM(D17:O17)</f>
        <v>-56091.3</v>
      </c>
      <c r="S17" s="60">
        <f>(S8*$C$17)+(S1/$AF$1)*4276</f>
        <v>-3190.3944954128442</v>
      </c>
      <c r="T17" s="60">
        <f t="shared" ref="T17:AD17" si="12">(T8*$C$17)+(T1/$AF$1)*4276</f>
        <v>-4709.6299694189602</v>
      </c>
      <c r="U17" s="60">
        <f t="shared" si="12"/>
        <v>-6228.8654434250766</v>
      </c>
      <c r="V17" s="60">
        <f t="shared" si="12"/>
        <v>-2430.776758409786</v>
      </c>
      <c r="W17" s="60">
        <f t="shared" si="12"/>
        <v>-3190.3944954128442</v>
      </c>
      <c r="X17" s="60">
        <f t="shared" si="12"/>
        <v>-4709.6299694189602</v>
      </c>
      <c r="Y17" s="60">
        <f t="shared" si="12"/>
        <v>-3190.3944954128442</v>
      </c>
      <c r="Z17" s="60">
        <f t="shared" si="12"/>
        <v>-6988.4831804281348</v>
      </c>
      <c r="AA17" s="60">
        <f t="shared" si="12"/>
        <v>-2430.776758409786</v>
      </c>
      <c r="AB17" s="60">
        <f t="shared" si="12"/>
        <v>-4709.6299694189602</v>
      </c>
      <c r="AC17" s="60">
        <f t="shared" si="12"/>
        <v>-4709.6299694189602</v>
      </c>
      <c r="AD17" s="60">
        <f t="shared" si="12"/>
        <v>-3190.3944954128442</v>
      </c>
      <c r="AE17" s="60"/>
      <c r="AF17" s="61">
        <f>SUM(S17:AD17)</f>
        <v>-49679.000000000007</v>
      </c>
      <c r="AH17" s="60">
        <f t="shared" ref="AH17:AS17" si="13">(AH8*$C$17)+(AH1/$AF$1)*4276</f>
        <v>-3349.9142201834861</v>
      </c>
      <c r="AI17" s="60">
        <f t="shared" si="13"/>
        <v>-4945.1114678899085</v>
      </c>
      <c r="AJ17" s="60">
        <f t="shared" si="13"/>
        <v>-6540.3087155963303</v>
      </c>
      <c r="AK17" s="60">
        <f t="shared" si="13"/>
        <v>-2552.3155963302752</v>
      </c>
      <c r="AL17" s="60">
        <f t="shared" si="13"/>
        <v>-3349.9142201834861</v>
      </c>
      <c r="AM17" s="60">
        <f t="shared" si="13"/>
        <v>-4945.1114678899085</v>
      </c>
      <c r="AN17" s="60">
        <f t="shared" si="13"/>
        <v>-3349.9142201834861</v>
      </c>
      <c r="AO17" s="60">
        <f t="shared" si="13"/>
        <v>-7337.9073394495408</v>
      </c>
      <c r="AP17" s="60">
        <f t="shared" si="13"/>
        <v>-2552.3155963302752</v>
      </c>
      <c r="AQ17" s="60">
        <f t="shared" si="13"/>
        <v>-4945.1114678899085</v>
      </c>
      <c r="AR17" s="60">
        <f t="shared" si="13"/>
        <v>-4945.1114678899085</v>
      </c>
      <c r="AS17" s="60">
        <f t="shared" si="13"/>
        <v>-3349.9142201834861</v>
      </c>
      <c r="AT17" s="60"/>
      <c r="AU17" s="61">
        <f>SUM(AH17:AS17)</f>
        <v>-52162.950000000004</v>
      </c>
    </row>
    <row r="18" spans="1:47" outlineLevel="1">
      <c r="B18" s="51" t="s">
        <v>91</v>
      </c>
      <c r="C18" s="75">
        <v>-0.18</v>
      </c>
      <c r="D18" s="59"/>
      <c r="E18" s="59"/>
      <c r="F18" s="59"/>
      <c r="G18" s="59"/>
      <c r="H18" s="59"/>
      <c r="I18" s="59"/>
      <c r="J18" s="59"/>
      <c r="K18" s="59"/>
      <c r="L18" s="59">
        <f ca="1">L9*$C$18</f>
        <v>0</v>
      </c>
      <c r="M18" s="60"/>
      <c r="N18" s="60"/>
      <c r="O18" s="60"/>
      <c r="P18" s="60"/>
      <c r="Q18" s="61">
        <f ca="1">SUM(D18:O18)</f>
        <v>0</v>
      </c>
      <c r="S18" s="60">
        <f t="shared" ref="S18:Z18" ca="1" si="14">S9*$C$18</f>
        <v>0</v>
      </c>
      <c r="T18" s="60">
        <f t="shared" ca="1" si="14"/>
        <v>0</v>
      </c>
      <c r="U18" s="60">
        <f t="shared" ca="1" si="14"/>
        <v>0</v>
      </c>
      <c r="V18" s="60">
        <f t="shared" ca="1" si="14"/>
        <v>0</v>
      </c>
      <c r="W18" s="60">
        <f t="shared" ca="1" si="14"/>
        <v>0</v>
      </c>
      <c r="X18" s="60">
        <f t="shared" ca="1" si="14"/>
        <v>0</v>
      </c>
      <c r="Y18" s="60">
        <f t="shared" ca="1" si="14"/>
        <v>0</v>
      </c>
      <c r="Z18" s="60">
        <f t="shared" ca="1" si="14"/>
        <v>0</v>
      </c>
      <c r="AA18" s="60">
        <f t="shared" ref="AA18:AD18" ca="1" si="15">AA9*$C$18</f>
        <v>0</v>
      </c>
      <c r="AB18" s="60">
        <f t="shared" ca="1" si="15"/>
        <v>0</v>
      </c>
      <c r="AC18" s="60">
        <f t="shared" ca="1" si="15"/>
        <v>0</v>
      </c>
      <c r="AD18" s="60">
        <f t="shared" ca="1" si="15"/>
        <v>0</v>
      </c>
      <c r="AE18" s="60"/>
      <c r="AF18" s="61">
        <f ca="1">SUM(S18:AD18)</f>
        <v>0</v>
      </c>
      <c r="AH18" s="60">
        <f t="shared" ref="AH18:AS18" ca="1" si="16">AH9*$C$18</f>
        <v>0</v>
      </c>
      <c r="AI18" s="60">
        <f t="shared" ca="1" si="16"/>
        <v>0</v>
      </c>
      <c r="AJ18" s="60">
        <f t="shared" ca="1" si="16"/>
        <v>0</v>
      </c>
      <c r="AK18" s="60">
        <f t="shared" ca="1" si="16"/>
        <v>0</v>
      </c>
      <c r="AL18" s="60">
        <f t="shared" ca="1" si="16"/>
        <v>0</v>
      </c>
      <c r="AM18" s="60">
        <f t="shared" ca="1" si="16"/>
        <v>0</v>
      </c>
      <c r="AN18" s="60">
        <f t="shared" ca="1" si="16"/>
        <v>0</v>
      </c>
      <c r="AO18" s="60">
        <f t="shared" ca="1" si="16"/>
        <v>0</v>
      </c>
      <c r="AP18" s="60">
        <f t="shared" ca="1" si="16"/>
        <v>0</v>
      </c>
      <c r="AQ18" s="60">
        <f t="shared" ca="1" si="16"/>
        <v>0</v>
      </c>
      <c r="AR18" s="60">
        <f t="shared" ca="1" si="16"/>
        <v>0</v>
      </c>
      <c r="AS18" s="60">
        <f t="shared" ca="1" si="16"/>
        <v>0</v>
      </c>
      <c r="AT18" s="60"/>
      <c r="AU18" s="61">
        <f ca="1">SUM(AH18:AS18)</f>
        <v>0</v>
      </c>
    </row>
    <row r="19" spans="1:47" outlineLevel="1">
      <c r="B19" s="51" t="s">
        <v>92</v>
      </c>
      <c r="D19" s="59"/>
      <c r="E19" s="59"/>
      <c r="F19" s="59"/>
      <c r="G19" s="59"/>
      <c r="H19" s="59"/>
      <c r="I19" s="59"/>
      <c r="J19" s="59"/>
      <c r="K19" s="59"/>
      <c r="L19" s="59">
        <f>L10*$C$19</f>
        <v>0</v>
      </c>
      <c r="M19" s="60">
        <f t="shared" ref="M19:O19" si="17">M10*$C$19</f>
        <v>0</v>
      </c>
      <c r="N19" s="60">
        <f t="shared" si="17"/>
        <v>0</v>
      </c>
      <c r="O19" s="60">
        <f t="shared" si="17"/>
        <v>0</v>
      </c>
      <c r="P19" s="60"/>
      <c r="Q19" s="61">
        <f>SUM(D19:O19)</f>
        <v>0</v>
      </c>
      <c r="S19" s="60">
        <f t="shared" ref="S19:Z19" si="18">S10*$C$19</f>
        <v>0</v>
      </c>
      <c r="T19" s="60">
        <f t="shared" si="18"/>
        <v>0</v>
      </c>
      <c r="U19" s="60">
        <f t="shared" si="18"/>
        <v>0</v>
      </c>
      <c r="V19" s="60">
        <f t="shared" si="18"/>
        <v>0</v>
      </c>
      <c r="W19" s="60">
        <f t="shared" si="18"/>
        <v>0</v>
      </c>
      <c r="X19" s="60">
        <f t="shared" si="18"/>
        <v>0</v>
      </c>
      <c r="Y19" s="60">
        <f t="shared" si="18"/>
        <v>0</v>
      </c>
      <c r="Z19" s="60">
        <f t="shared" si="18"/>
        <v>0</v>
      </c>
      <c r="AA19" s="60">
        <f t="shared" ref="AA19:AD19" si="19">AA10*$C$19</f>
        <v>0</v>
      </c>
      <c r="AB19" s="60">
        <f t="shared" si="19"/>
        <v>0</v>
      </c>
      <c r="AC19" s="60">
        <f t="shared" si="19"/>
        <v>0</v>
      </c>
      <c r="AD19" s="60">
        <f t="shared" si="19"/>
        <v>0</v>
      </c>
      <c r="AE19" s="60"/>
      <c r="AF19" s="61">
        <f>SUM(S19:AD19)</f>
        <v>0</v>
      </c>
      <c r="AH19" s="60">
        <f t="shared" ref="AH19:AS19" si="20">AH10*$C$19</f>
        <v>0</v>
      </c>
      <c r="AI19" s="60">
        <f t="shared" si="20"/>
        <v>0</v>
      </c>
      <c r="AJ19" s="60">
        <f t="shared" si="20"/>
        <v>0</v>
      </c>
      <c r="AK19" s="60">
        <f t="shared" si="20"/>
        <v>0</v>
      </c>
      <c r="AL19" s="60">
        <f t="shared" si="20"/>
        <v>0</v>
      </c>
      <c r="AM19" s="60">
        <f t="shared" si="20"/>
        <v>0</v>
      </c>
      <c r="AN19" s="60">
        <f t="shared" si="20"/>
        <v>0</v>
      </c>
      <c r="AO19" s="60">
        <f t="shared" si="20"/>
        <v>0</v>
      </c>
      <c r="AP19" s="60">
        <f t="shared" si="20"/>
        <v>0</v>
      </c>
      <c r="AQ19" s="60">
        <f t="shared" si="20"/>
        <v>0</v>
      </c>
      <c r="AR19" s="60">
        <f t="shared" si="20"/>
        <v>0</v>
      </c>
      <c r="AS19" s="60">
        <f t="shared" si="20"/>
        <v>0</v>
      </c>
      <c r="AT19" s="60"/>
      <c r="AU19" s="61">
        <f>SUM(AH19:AS19)</f>
        <v>0</v>
      </c>
    </row>
    <row r="20" spans="1:47" outlineLevel="1">
      <c r="D20" s="59"/>
      <c r="E20" s="59"/>
      <c r="F20" s="59"/>
      <c r="G20" s="59"/>
      <c r="H20" s="59"/>
      <c r="I20" s="59"/>
      <c r="J20" s="59"/>
      <c r="K20" s="59"/>
      <c r="L20" s="59"/>
      <c r="M20" s="60"/>
      <c r="N20" s="60"/>
      <c r="O20" s="60"/>
      <c r="P20" s="60"/>
      <c r="Q20" s="61"/>
      <c r="S20" s="83"/>
      <c r="T20" s="83"/>
      <c r="U20" s="83"/>
      <c r="V20" s="83"/>
      <c r="W20" s="83"/>
      <c r="X20" s="60"/>
      <c r="Y20" s="60"/>
      <c r="Z20" s="60"/>
      <c r="AA20" s="60"/>
      <c r="AB20" s="60"/>
      <c r="AC20" s="60"/>
      <c r="AD20" s="60"/>
      <c r="AE20" s="60"/>
      <c r="AF20" s="61"/>
      <c r="AH20" s="83"/>
      <c r="AI20" s="83"/>
      <c r="AJ20" s="83"/>
      <c r="AK20" s="83"/>
      <c r="AL20" s="83"/>
      <c r="AM20" s="60"/>
      <c r="AN20" s="60"/>
      <c r="AO20" s="60"/>
      <c r="AP20" s="60"/>
      <c r="AQ20" s="60"/>
      <c r="AR20" s="60"/>
      <c r="AS20" s="60"/>
      <c r="AT20" s="60"/>
      <c r="AU20" s="61"/>
    </row>
    <row r="21" spans="1:47" s="10" customFormat="1">
      <c r="A21" s="52"/>
      <c r="B21" s="63" t="s">
        <v>93</v>
      </c>
      <c r="C21" s="52"/>
      <c r="D21" s="64">
        <f t="shared" ref="D21:K21" si="21">SUM(D16:D20)</f>
        <v>-20862.150000000001</v>
      </c>
      <c r="E21" s="64">
        <f t="shared" si="21"/>
        <v>-51714.559999999998</v>
      </c>
      <c r="F21" s="64">
        <f t="shared" si="21"/>
        <v>-33075.409999999996</v>
      </c>
      <c r="G21" s="64">
        <f t="shared" si="21"/>
        <v>-5221.4400000000005</v>
      </c>
      <c r="H21" s="64">
        <f t="shared" si="21"/>
        <v>-6988.9699999999993</v>
      </c>
      <c r="I21" s="64">
        <f t="shared" si="21"/>
        <v>-49484.97</v>
      </c>
      <c r="J21" s="64">
        <f t="shared" si="21"/>
        <v>-44055.43</v>
      </c>
      <c r="K21" s="64">
        <f t="shared" si="21"/>
        <v>-13879.720000000001</v>
      </c>
      <c r="L21" s="64">
        <f t="shared" ref="L21:O21" ca="1" si="22">SUM(L16:L20)</f>
        <v>-71044</v>
      </c>
      <c r="M21" s="65">
        <f t="shared" si="22"/>
        <v>-88097</v>
      </c>
      <c r="N21" s="65">
        <f t="shared" si="22"/>
        <v>-29112</v>
      </c>
      <c r="O21" s="65">
        <f t="shared" si="22"/>
        <v>-12375</v>
      </c>
      <c r="P21" s="61"/>
      <c r="Q21" s="65">
        <f ca="1">SUM(D21:O21)</f>
        <v>-425910.65</v>
      </c>
      <c r="R21" s="52"/>
      <c r="S21" s="84">
        <f t="shared" ref="S21:AD21" ca="1" si="23">SUM(S16:S20)</f>
        <v>-19875.389795412844</v>
      </c>
      <c r="T21" s="84">
        <f t="shared" ca="1" si="23"/>
        <v>-49329.106599818959</v>
      </c>
      <c r="U21" s="84">
        <f t="shared" ca="1" si="23"/>
        <v>-43534.86254262508</v>
      </c>
      <c r="V21" s="84">
        <f t="shared" ca="1" si="23"/>
        <v>-19653.685630409786</v>
      </c>
      <c r="W21" s="84">
        <f t="shared" ca="1" si="23"/>
        <v>-18945.874521880927</v>
      </c>
      <c r="X21" s="65">
        <f t="shared" ca="1" si="23"/>
        <v>-65651.521061018968</v>
      </c>
      <c r="Y21" s="65">
        <f t="shared" ca="1" si="23"/>
        <v>-20398.736703012848</v>
      </c>
      <c r="Z21" s="65">
        <f t="shared" ca="1" si="23"/>
        <v>-22258.523005491959</v>
      </c>
      <c r="AA21" s="65">
        <f t="shared" ca="1" si="23"/>
        <v>-78266.120588197024</v>
      </c>
      <c r="AB21" s="65">
        <f t="shared" ca="1" si="23"/>
        <v>-68919.362735376402</v>
      </c>
      <c r="AC21" s="65">
        <f t="shared" ca="1" si="23"/>
        <v>-22835.354450780658</v>
      </c>
      <c r="AD21" s="65">
        <f t="shared" ca="1" si="23"/>
        <v>-21705.487969455397</v>
      </c>
      <c r="AE21" s="61"/>
      <c r="AF21" s="65">
        <f ca="1">SUM(S21:AD21)</f>
        <v>-451374.02560348087</v>
      </c>
      <c r="AG21" s="7"/>
      <c r="AH21" s="84">
        <f t="shared" ref="AH21:AS21" ca="1" si="24">SUM(AH16:AH20)</f>
        <v>-21299.986377671146</v>
      </c>
      <c r="AI21" s="84">
        <f t="shared" ca="1" si="24"/>
        <v>-62154.888354446513</v>
      </c>
      <c r="AJ21" s="84">
        <f t="shared" ca="1" si="24"/>
        <v>-47612.906337337598</v>
      </c>
      <c r="AK21" s="84">
        <f t="shared" ca="1" si="24"/>
        <v>-19917.363635530273</v>
      </c>
      <c r="AL21" s="84">
        <f t="shared" ca="1" si="24"/>
        <v>-23822.814729621787</v>
      </c>
      <c r="AM21" s="65">
        <f t="shared" ca="1" si="24"/>
        <v>-86326.881520969895</v>
      </c>
      <c r="AN21" s="65">
        <f t="shared" ca="1" si="24"/>
        <v>-15578.072670463485</v>
      </c>
      <c r="AO21" s="65">
        <f t="shared" ca="1" si="24"/>
        <v>-26620.67077976869</v>
      </c>
      <c r="AP21" s="65">
        <f t="shared" ca="1" si="24"/>
        <v>-95298.918575053685</v>
      </c>
      <c r="AQ21" s="65">
        <f t="shared" ca="1" si="24"/>
        <v>-83914.006787038845</v>
      </c>
      <c r="AR21" s="65">
        <f t="shared" ca="1" si="24"/>
        <v>-18313.379904043097</v>
      </c>
      <c r="AS21" s="65">
        <f t="shared" ca="1" si="24"/>
        <v>-21313.967694226038</v>
      </c>
      <c r="AT21" s="61"/>
      <c r="AU21" s="65">
        <f ca="1">SUM(AH21:AS21)</f>
        <v>-522173.85736617097</v>
      </c>
    </row>
    <row r="22" spans="1:47">
      <c r="D22" s="97">
        <f t="shared" ref="D22:K22" si="25">D21/D12</f>
        <v>-0.34075579555909963</v>
      </c>
      <c r="E22" s="97">
        <f t="shared" si="25"/>
        <v>-0.28404995015420614</v>
      </c>
      <c r="F22" s="97">
        <f t="shared" si="25"/>
        <v>-0.26227744557701427</v>
      </c>
      <c r="G22" s="97">
        <f t="shared" si="25"/>
        <v>-0.17678666109592403</v>
      </c>
      <c r="H22" s="97">
        <f t="shared" si="25"/>
        <v>-0.21197639951580971</v>
      </c>
      <c r="I22" s="97">
        <f t="shared" si="25"/>
        <v>-0.26845721071025841</v>
      </c>
      <c r="J22" s="97">
        <f t="shared" si="25"/>
        <v>-0.28613272934835837</v>
      </c>
      <c r="K22" s="97">
        <f t="shared" si="25"/>
        <v>-0.30732304931726639</v>
      </c>
      <c r="L22" s="97">
        <f t="shared" ref="L22:O22" ca="1" si="26">L21/L12</f>
        <v>-0.27142758899985481</v>
      </c>
      <c r="M22" s="91">
        <f t="shared" si="26"/>
        <v>-0.27247281364822901</v>
      </c>
      <c r="N22" s="91">
        <f t="shared" si="26"/>
        <v>-0.24926578246611469</v>
      </c>
      <c r="O22" s="91">
        <f t="shared" si="26"/>
        <v>-0.2493853532707267</v>
      </c>
      <c r="P22" s="60"/>
      <c r="Q22" s="91">
        <f ca="1">Q21/Q12</f>
        <v>-0.271827672636476</v>
      </c>
      <c r="S22" s="91">
        <f t="shared" ref="S22:AD22" ca="1" si="27">S21/S12</f>
        <v>-0.2483777515373348</v>
      </c>
      <c r="T22" s="91">
        <f t="shared" ca="1" si="27"/>
        <v>-0.24491340016931795</v>
      </c>
      <c r="U22" s="91">
        <f t="shared" ca="1" si="27"/>
        <v>-0.24743920162936711</v>
      </c>
      <c r="V22" s="91">
        <f t="shared" ca="1" si="27"/>
        <v>-0.24640375100973566</v>
      </c>
      <c r="W22" s="91">
        <f t="shared" ca="1" si="27"/>
        <v>-0.24880385514722794</v>
      </c>
      <c r="X22" s="91">
        <f t="shared" ca="1" si="27"/>
        <v>-0.24367312475170413</v>
      </c>
      <c r="Y22" s="91">
        <f t="shared" ca="1" si="27"/>
        <v>-0.24815550932795058</v>
      </c>
      <c r="Z22" s="91">
        <f t="shared" ca="1" si="27"/>
        <v>-0.25695215431371449</v>
      </c>
      <c r="AA22" s="91">
        <f t="shared" ca="1" si="27"/>
        <v>-0.24157656587933946</v>
      </c>
      <c r="AB22" s="91">
        <f t="shared" ca="1" si="27"/>
        <v>-0.24349642465809282</v>
      </c>
      <c r="AC22" s="91">
        <f t="shared" ca="1" si="27"/>
        <v>-0.25087220489589118</v>
      </c>
      <c r="AD22" s="91">
        <f t="shared" ca="1" si="27"/>
        <v>-0.24764886921456411</v>
      </c>
      <c r="AE22" s="60"/>
      <c r="AF22" s="91">
        <f ca="1">AF21/AF12</f>
        <v>-0.24568192557751806</v>
      </c>
      <c r="AH22" s="91">
        <f t="shared" ref="AH22:AS22" ca="1" si="28">AH21/AH12</f>
        <v>-0.24820250635908842</v>
      </c>
      <c r="AI22" s="91">
        <f t="shared" ca="1" si="28"/>
        <v>-0.24408056258135261</v>
      </c>
      <c r="AJ22" s="91">
        <f t="shared" ca="1" si="28"/>
        <v>-0.24713330656005952</v>
      </c>
      <c r="AK22" s="91">
        <f t="shared" ca="1" si="28"/>
        <v>-0.2466413200596235</v>
      </c>
      <c r="AL22" s="91">
        <f t="shared" ca="1" si="28"/>
        <v>-0.24730741553972549</v>
      </c>
      <c r="AM22" s="91">
        <f t="shared" ca="1" si="28"/>
        <v>-0.24292406229097521</v>
      </c>
      <c r="AN22" s="91">
        <f t="shared" ca="1" si="28"/>
        <v>-0.25135791402308588</v>
      </c>
      <c r="AO22" s="91">
        <f t="shared" ca="1" si="28"/>
        <v>-0.2547558216874819</v>
      </c>
      <c r="AP22" s="91">
        <f t="shared" ca="1" si="28"/>
        <v>-0.24135829682884677</v>
      </c>
      <c r="AQ22" s="91">
        <f t="shared" ca="1" si="28"/>
        <v>-0.24300919538218654</v>
      </c>
      <c r="AR22" s="91">
        <f t="shared" ca="1" si="28"/>
        <v>-0.25443689226060873</v>
      </c>
      <c r="AS22" s="91">
        <f t="shared" ca="1" si="28"/>
        <v>-0.24819694199516795</v>
      </c>
      <c r="AT22" s="60"/>
      <c r="AU22" s="91">
        <f ca="1">AU21/AU12</f>
        <v>-0.24514585598699626</v>
      </c>
    </row>
    <row r="23" spans="1:47" outlineLevel="1">
      <c r="B23" s="67" t="s">
        <v>94</v>
      </c>
      <c r="C23" s="52"/>
      <c r="D23" s="68">
        <f t="shared" ref="D23:K23" si="29">D7+D16</f>
        <v>22175.129999999997</v>
      </c>
      <c r="E23" s="68">
        <f t="shared" si="29"/>
        <v>102782.55000000002</v>
      </c>
      <c r="F23" s="68">
        <f t="shared" si="29"/>
        <v>92450.63</v>
      </c>
      <c r="G23" s="68">
        <f t="shared" si="29"/>
        <v>23940.82</v>
      </c>
      <c r="H23" s="68">
        <f t="shared" si="29"/>
        <v>23941.489999999998</v>
      </c>
      <c r="I23" s="68">
        <f t="shared" si="29"/>
        <v>132886.51999999999</v>
      </c>
      <c r="J23" s="68">
        <f t="shared" si="29"/>
        <v>106927.35999999999</v>
      </c>
      <c r="K23" s="68">
        <f t="shared" si="29"/>
        <v>20836.5</v>
      </c>
      <c r="L23" s="68">
        <f t="shared" ref="L23:O26" si="30">L7+L16</f>
        <v>178744</v>
      </c>
      <c r="M23" s="69">
        <f t="shared" si="30"/>
        <v>226300</v>
      </c>
      <c r="N23" s="69">
        <f t="shared" si="30"/>
        <v>79628</v>
      </c>
      <c r="O23" s="69">
        <f t="shared" si="30"/>
        <v>30800</v>
      </c>
      <c r="P23" s="69"/>
      <c r="Q23" s="69">
        <f>Q7+Q16</f>
        <v>1041413.0000000001</v>
      </c>
      <c r="S23" s="85">
        <f t="shared" ref="S23:AD26" si="31">S7+S16</f>
        <v>52835.818450000006</v>
      </c>
      <c r="T23" s="85">
        <f t="shared" si="31"/>
        <v>141295.00932960003</v>
      </c>
      <c r="U23" s="85">
        <f t="shared" si="31"/>
        <v>118135.6574808</v>
      </c>
      <c r="V23" s="85">
        <f t="shared" si="31"/>
        <v>54539.21142800001</v>
      </c>
      <c r="W23" s="85">
        <f t="shared" si="31"/>
        <v>49892.35341714893</v>
      </c>
      <c r="X23" s="69">
        <f t="shared" si="31"/>
        <v>192982.65512340001</v>
      </c>
      <c r="Y23" s="69">
        <f t="shared" si="31"/>
        <v>54493.083657400013</v>
      </c>
      <c r="Z23" s="69">
        <f t="shared" si="31"/>
        <v>48355.126112702121</v>
      </c>
      <c r="AA23" s="69">
        <f t="shared" si="31"/>
        <v>240145.25546099292</v>
      </c>
      <c r="AB23" s="69">
        <f t="shared" si="31"/>
        <v>203330.82042553191</v>
      </c>
      <c r="AC23" s="69">
        <f t="shared" si="31"/>
        <v>57398.127524312047</v>
      </c>
      <c r="AD23" s="69">
        <f t="shared" si="31"/>
        <v>58631.129334468082</v>
      </c>
      <c r="AE23" s="69"/>
      <c r="AF23" s="69">
        <f>AF7+AF16</f>
        <v>1272034.247744356</v>
      </c>
      <c r="AH23" s="85">
        <f t="shared" ref="AH23:AS26" si="32">AH7+AH16</f>
        <v>56841.895165377595</v>
      </c>
      <c r="AI23" s="85">
        <f t="shared" si="32"/>
        <v>181164.29347409593</v>
      </c>
      <c r="AJ23" s="85">
        <f t="shared" si="32"/>
        <v>130063.22580218068</v>
      </c>
      <c r="AK23" s="85">
        <f t="shared" si="32"/>
        <v>54989.318790799996</v>
      </c>
      <c r="AL23" s="85">
        <f t="shared" si="32"/>
        <v>64830.851613221283</v>
      </c>
      <c r="AM23" s="69">
        <f t="shared" si="32"/>
        <v>257708.93850141997</v>
      </c>
      <c r="AN23" s="69">
        <f t="shared" si="32"/>
        <v>38722.501759220002</v>
      </c>
      <c r="AO23" s="69">
        <f t="shared" si="32"/>
        <v>61062.084227677318</v>
      </c>
      <c r="AP23" s="69">
        <f t="shared" si="32"/>
        <v>293697.5760992908</v>
      </c>
      <c r="AQ23" s="69">
        <f t="shared" si="32"/>
        <v>250068.16851063829</v>
      </c>
      <c r="AR23" s="69">
        <f t="shared" si="32"/>
        <v>42332.850047818443</v>
      </c>
      <c r="AS23" s="69">
        <f t="shared" si="32"/>
        <v>56886.169334468083</v>
      </c>
      <c r="AT23" s="69"/>
      <c r="AU23" s="69">
        <f>AU7+AU16</f>
        <v>1488367.8733262084</v>
      </c>
    </row>
    <row r="24" spans="1:47" outlineLevel="1">
      <c r="B24" s="67" t="s">
        <v>95</v>
      </c>
      <c r="C24" s="52"/>
      <c r="D24" s="68">
        <f t="shared" ref="D24:K24" si="33">D8+D17</f>
        <v>18185.89</v>
      </c>
      <c r="E24" s="68">
        <f t="shared" si="33"/>
        <v>27564.39</v>
      </c>
      <c r="F24" s="68">
        <f t="shared" si="33"/>
        <v>582.44000000000005</v>
      </c>
      <c r="G24" s="68">
        <f t="shared" si="33"/>
        <v>373</v>
      </c>
      <c r="H24" s="68">
        <f t="shared" si="33"/>
        <v>2040.05</v>
      </c>
      <c r="I24" s="68">
        <f t="shared" si="33"/>
        <v>1959.45</v>
      </c>
      <c r="J24" s="68">
        <f t="shared" si="33"/>
        <v>2985.72</v>
      </c>
      <c r="K24" s="68">
        <f t="shared" si="33"/>
        <v>10447.069999999998</v>
      </c>
      <c r="L24" s="68">
        <f t="shared" si="30"/>
        <v>11954</v>
      </c>
      <c r="M24" s="69">
        <f t="shared" si="30"/>
        <v>8927</v>
      </c>
      <c r="N24" s="69">
        <f t="shared" si="30"/>
        <v>8051</v>
      </c>
      <c r="O24" s="69">
        <f t="shared" si="30"/>
        <v>6447</v>
      </c>
      <c r="P24" s="69"/>
      <c r="Q24" s="69">
        <f>Q8+Q17</f>
        <v>99517.01</v>
      </c>
      <c r="S24" s="85">
        <f t="shared" si="31"/>
        <v>7309.6055045871562</v>
      </c>
      <c r="T24" s="85">
        <f t="shared" si="31"/>
        <v>10790.37003058104</v>
      </c>
      <c r="U24" s="85">
        <f t="shared" si="31"/>
        <v>14271.134556574923</v>
      </c>
      <c r="V24" s="85">
        <f t="shared" si="31"/>
        <v>5569.2232415902145</v>
      </c>
      <c r="W24" s="85">
        <f t="shared" si="31"/>
        <v>7309.6055045871562</v>
      </c>
      <c r="X24" s="69">
        <f t="shared" si="31"/>
        <v>10790.37003058104</v>
      </c>
      <c r="Y24" s="69">
        <f t="shared" si="31"/>
        <v>7309.6055045871562</v>
      </c>
      <c r="Z24" s="69">
        <f t="shared" si="31"/>
        <v>16011.516819571865</v>
      </c>
      <c r="AA24" s="69">
        <f t="shared" si="31"/>
        <v>5569.2232415902145</v>
      </c>
      <c r="AB24" s="69">
        <f t="shared" si="31"/>
        <v>10790.37003058104</v>
      </c>
      <c r="AC24" s="69">
        <f t="shared" si="31"/>
        <v>10790.37003058104</v>
      </c>
      <c r="AD24" s="69">
        <f t="shared" si="31"/>
        <v>7309.6055045871562</v>
      </c>
      <c r="AE24" s="69"/>
      <c r="AF24" s="69">
        <f>AF8+AF17</f>
        <v>113821</v>
      </c>
      <c r="AH24" s="85">
        <f t="shared" si="32"/>
        <v>7675.0857798165143</v>
      </c>
      <c r="AI24" s="85">
        <f t="shared" si="32"/>
        <v>11329.888532110092</v>
      </c>
      <c r="AJ24" s="85">
        <f t="shared" si="32"/>
        <v>14984.691284403671</v>
      </c>
      <c r="AK24" s="85">
        <f t="shared" si="32"/>
        <v>5847.6844036697248</v>
      </c>
      <c r="AL24" s="85">
        <f t="shared" si="32"/>
        <v>7675.0857798165143</v>
      </c>
      <c r="AM24" s="69">
        <f t="shared" si="32"/>
        <v>11329.888532110092</v>
      </c>
      <c r="AN24" s="69">
        <f t="shared" si="32"/>
        <v>7675.0857798165143</v>
      </c>
      <c r="AO24" s="69">
        <f t="shared" si="32"/>
        <v>16812.092660550457</v>
      </c>
      <c r="AP24" s="69">
        <f t="shared" si="32"/>
        <v>5847.6844036697248</v>
      </c>
      <c r="AQ24" s="69">
        <f t="shared" si="32"/>
        <v>11329.888532110092</v>
      </c>
      <c r="AR24" s="69">
        <f t="shared" si="32"/>
        <v>11329.888532110092</v>
      </c>
      <c r="AS24" s="69">
        <f t="shared" si="32"/>
        <v>7675.0857798165143</v>
      </c>
      <c r="AT24" s="69"/>
      <c r="AU24" s="69">
        <f>AU8+AU17</f>
        <v>119512.04999999999</v>
      </c>
    </row>
    <row r="25" spans="1:47" outlineLevel="1">
      <c r="B25" s="67" t="s">
        <v>96</v>
      </c>
      <c r="C25" s="52"/>
      <c r="D25" s="68">
        <f t="shared" ref="D25:K25" si="34">D9+D18</f>
        <v>0</v>
      </c>
      <c r="E25" s="68">
        <f t="shared" si="34"/>
        <v>0</v>
      </c>
      <c r="F25" s="68">
        <f t="shared" si="34"/>
        <v>0</v>
      </c>
      <c r="G25" s="68">
        <f t="shared" si="34"/>
        <v>0</v>
      </c>
      <c r="H25" s="68">
        <f t="shared" si="34"/>
        <v>0</v>
      </c>
      <c r="I25" s="68">
        <f t="shared" si="34"/>
        <v>0</v>
      </c>
      <c r="J25" s="68">
        <f t="shared" si="34"/>
        <v>0</v>
      </c>
      <c r="K25" s="68">
        <f t="shared" si="34"/>
        <v>0</v>
      </c>
      <c r="L25" s="68">
        <f t="shared" ca="1" si="30"/>
        <v>0</v>
      </c>
      <c r="M25" s="69">
        <f t="shared" si="30"/>
        <v>0</v>
      </c>
      <c r="N25" s="69">
        <f t="shared" si="30"/>
        <v>0</v>
      </c>
      <c r="O25" s="69">
        <f t="shared" si="30"/>
        <v>0</v>
      </c>
      <c r="P25" s="69"/>
      <c r="Q25" s="69">
        <f ca="1">Q9+Q18</f>
        <v>0</v>
      </c>
      <c r="S25" s="85">
        <f t="shared" ca="1" si="31"/>
        <v>0</v>
      </c>
      <c r="T25" s="85">
        <f t="shared" ca="1" si="31"/>
        <v>0</v>
      </c>
      <c r="U25" s="85">
        <f t="shared" ca="1" si="31"/>
        <v>0</v>
      </c>
      <c r="V25" s="85">
        <f t="shared" ca="1" si="31"/>
        <v>0</v>
      </c>
      <c r="W25" s="85">
        <f t="shared" ca="1" si="31"/>
        <v>0</v>
      </c>
      <c r="X25" s="69">
        <f t="shared" ca="1" si="31"/>
        <v>0</v>
      </c>
      <c r="Y25" s="69">
        <f t="shared" ca="1" si="31"/>
        <v>0</v>
      </c>
      <c r="Z25" s="69">
        <f t="shared" ca="1" si="31"/>
        <v>0</v>
      </c>
      <c r="AA25" s="69">
        <f t="shared" ca="1" si="31"/>
        <v>0</v>
      </c>
      <c r="AB25" s="69">
        <f t="shared" ca="1" si="31"/>
        <v>0</v>
      </c>
      <c r="AC25" s="69">
        <f t="shared" ca="1" si="31"/>
        <v>0</v>
      </c>
      <c r="AD25" s="69">
        <f t="shared" ca="1" si="31"/>
        <v>0</v>
      </c>
      <c r="AE25" s="69"/>
      <c r="AF25" s="69">
        <f ca="1">AF9+AF18</f>
        <v>0</v>
      </c>
      <c r="AH25" s="85">
        <f t="shared" ca="1" si="32"/>
        <v>0</v>
      </c>
      <c r="AI25" s="85">
        <f t="shared" ca="1" si="32"/>
        <v>0</v>
      </c>
      <c r="AJ25" s="85">
        <f t="shared" ca="1" si="32"/>
        <v>0</v>
      </c>
      <c r="AK25" s="85">
        <f t="shared" ca="1" si="32"/>
        <v>0</v>
      </c>
      <c r="AL25" s="85">
        <f t="shared" ca="1" si="32"/>
        <v>0</v>
      </c>
      <c r="AM25" s="69">
        <f t="shared" ca="1" si="32"/>
        <v>0</v>
      </c>
      <c r="AN25" s="69">
        <f t="shared" ca="1" si="32"/>
        <v>0</v>
      </c>
      <c r="AO25" s="69">
        <f t="shared" ca="1" si="32"/>
        <v>0</v>
      </c>
      <c r="AP25" s="69">
        <f t="shared" ca="1" si="32"/>
        <v>0</v>
      </c>
      <c r="AQ25" s="69">
        <f t="shared" ca="1" si="32"/>
        <v>0</v>
      </c>
      <c r="AR25" s="69">
        <f t="shared" ca="1" si="32"/>
        <v>0</v>
      </c>
      <c r="AS25" s="69">
        <f t="shared" ca="1" si="32"/>
        <v>0</v>
      </c>
      <c r="AT25" s="69"/>
      <c r="AU25" s="69">
        <f ca="1">AU9+AU18</f>
        <v>0</v>
      </c>
    </row>
    <row r="26" spans="1:47" outlineLevel="1">
      <c r="B26" s="67" t="s">
        <v>97</v>
      </c>
      <c r="C26" s="52"/>
      <c r="D26" s="68">
        <f t="shared" ref="D26:K26" si="35">D10+D19</f>
        <v>0</v>
      </c>
      <c r="E26" s="68">
        <f t="shared" si="35"/>
        <v>0</v>
      </c>
      <c r="F26" s="68">
        <f t="shared" si="35"/>
        <v>0</v>
      </c>
      <c r="G26" s="68">
        <f t="shared" si="35"/>
        <v>0</v>
      </c>
      <c r="H26" s="68">
        <f t="shared" si="35"/>
        <v>0</v>
      </c>
      <c r="I26" s="68">
        <f t="shared" si="35"/>
        <v>0</v>
      </c>
      <c r="J26" s="68">
        <f t="shared" si="35"/>
        <v>0</v>
      </c>
      <c r="K26" s="68">
        <f t="shared" si="35"/>
        <v>0</v>
      </c>
      <c r="L26" s="68">
        <f t="shared" si="30"/>
        <v>0</v>
      </c>
      <c r="M26" s="69">
        <f t="shared" si="30"/>
        <v>0</v>
      </c>
      <c r="N26" s="69">
        <f t="shared" si="30"/>
        <v>0</v>
      </c>
      <c r="O26" s="69">
        <f t="shared" si="30"/>
        <v>0</v>
      </c>
      <c r="P26" s="69"/>
      <c r="Q26" s="69">
        <f>Q10+Q19</f>
        <v>0</v>
      </c>
      <c r="S26" s="85">
        <f t="shared" si="31"/>
        <v>0</v>
      </c>
      <c r="T26" s="85">
        <f t="shared" si="31"/>
        <v>0</v>
      </c>
      <c r="U26" s="85">
        <f t="shared" si="31"/>
        <v>0</v>
      </c>
      <c r="V26" s="85">
        <f t="shared" si="31"/>
        <v>0</v>
      </c>
      <c r="W26" s="85">
        <f t="shared" si="31"/>
        <v>0</v>
      </c>
      <c r="X26" s="69">
        <f t="shared" si="31"/>
        <v>0</v>
      </c>
      <c r="Y26" s="69">
        <f t="shared" si="31"/>
        <v>0</v>
      </c>
      <c r="Z26" s="69">
        <f t="shared" si="31"/>
        <v>0</v>
      </c>
      <c r="AA26" s="69">
        <f t="shared" si="31"/>
        <v>0</v>
      </c>
      <c r="AB26" s="69">
        <f t="shared" si="31"/>
        <v>0</v>
      </c>
      <c r="AC26" s="69">
        <f t="shared" si="31"/>
        <v>0</v>
      </c>
      <c r="AD26" s="69">
        <f t="shared" si="31"/>
        <v>0</v>
      </c>
      <c r="AE26" s="69"/>
      <c r="AF26" s="69">
        <f>AF10+AF19</f>
        <v>0</v>
      </c>
      <c r="AH26" s="85">
        <f t="shared" si="32"/>
        <v>0</v>
      </c>
      <c r="AI26" s="85">
        <f t="shared" si="32"/>
        <v>0</v>
      </c>
      <c r="AJ26" s="85">
        <f t="shared" si="32"/>
        <v>0</v>
      </c>
      <c r="AK26" s="85">
        <f t="shared" si="32"/>
        <v>0</v>
      </c>
      <c r="AL26" s="85">
        <f t="shared" si="32"/>
        <v>0</v>
      </c>
      <c r="AM26" s="69">
        <f t="shared" si="32"/>
        <v>0</v>
      </c>
      <c r="AN26" s="69">
        <f t="shared" si="32"/>
        <v>0</v>
      </c>
      <c r="AO26" s="69">
        <f t="shared" si="32"/>
        <v>0</v>
      </c>
      <c r="AP26" s="69">
        <f t="shared" si="32"/>
        <v>0</v>
      </c>
      <c r="AQ26" s="69">
        <f t="shared" si="32"/>
        <v>0</v>
      </c>
      <c r="AR26" s="69">
        <f t="shared" si="32"/>
        <v>0</v>
      </c>
      <c r="AS26" s="69">
        <f t="shared" si="32"/>
        <v>0</v>
      </c>
      <c r="AT26" s="69"/>
      <c r="AU26" s="69">
        <f>AU10+AU19</f>
        <v>0</v>
      </c>
    </row>
    <row r="27" spans="1:47">
      <c r="B27" s="67" t="s">
        <v>98</v>
      </c>
      <c r="C27" s="52"/>
      <c r="D27" s="68">
        <f t="shared" ref="D27:K27" si="36">D12+D21</f>
        <v>40361.019999999997</v>
      </c>
      <c r="E27" s="68">
        <f t="shared" si="36"/>
        <v>130346.94</v>
      </c>
      <c r="F27" s="68">
        <f t="shared" si="36"/>
        <v>93033.07</v>
      </c>
      <c r="G27" s="68">
        <f t="shared" si="36"/>
        <v>24313.82</v>
      </c>
      <c r="H27" s="68">
        <f t="shared" si="36"/>
        <v>25981.54</v>
      </c>
      <c r="I27" s="68">
        <f t="shared" si="36"/>
        <v>134845.97</v>
      </c>
      <c r="J27" s="68">
        <f t="shared" si="36"/>
        <v>109913.07999999999</v>
      </c>
      <c r="K27" s="68">
        <f t="shared" si="36"/>
        <v>31283.569999999992</v>
      </c>
      <c r="L27" s="68">
        <f t="shared" ref="L27:O27" ca="1" si="37">L12+L21</f>
        <v>190698</v>
      </c>
      <c r="M27" s="69">
        <f t="shared" si="37"/>
        <v>235227</v>
      </c>
      <c r="N27" s="69">
        <f t="shared" si="37"/>
        <v>87679</v>
      </c>
      <c r="O27" s="69">
        <f t="shared" si="37"/>
        <v>37247</v>
      </c>
      <c r="P27" s="69"/>
      <c r="Q27" s="69">
        <f ca="1">Q12+Q21</f>
        <v>1140930.0100000002</v>
      </c>
      <c r="S27" s="85">
        <f t="shared" ref="S27:AD27" ca="1" si="38">S12+S21</f>
        <v>60145.423954587153</v>
      </c>
      <c r="T27" s="85">
        <f t="shared" ca="1" si="38"/>
        <v>152085.37936018105</v>
      </c>
      <c r="U27" s="85">
        <f t="shared" ca="1" si="38"/>
        <v>132406.79203737492</v>
      </c>
      <c r="V27" s="85">
        <f t="shared" ca="1" si="38"/>
        <v>60108.43466959022</v>
      </c>
      <c r="W27" s="85">
        <f t="shared" ca="1" si="38"/>
        <v>57201.958921736084</v>
      </c>
      <c r="X27" s="69">
        <f t="shared" ca="1" si="38"/>
        <v>203773.025153981</v>
      </c>
      <c r="Y27" s="69">
        <f t="shared" ca="1" si="38"/>
        <v>61802.68916198716</v>
      </c>
      <c r="Z27" s="69">
        <f t="shared" ca="1" si="38"/>
        <v>64366.642932273979</v>
      </c>
      <c r="AA27" s="69">
        <f t="shared" ca="1" si="38"/>
        <v>245714.47870258312</v>
      </c>
      <c r="AB27" s="69">
        <f t="shared" ca="1" si="38"/>
        <v>214121.19045611296</v>
      </c>
      <c r="AC27" s="69">
        <f t="shared" ca="1" si="38"/>
        <v>68188.497554893082</v>
      </c>
      <c r="AD27" s="69">
        <f t="shared" ca="1" si="38"/>
        <v>65940.734839055236</v>
      </c>
      <c r="AE27" s="69"/>
      <c r="AF27" s="69">
        <f ca="1">AF12+AF21</f>
        <v>1385855.247744356</v>
      </c>
      <c r="AH27" s="85">
        <f t="shared" ref="AH27:AS27" ca="1" si="39">AH12+AH21</f>
        <v>64516.980945194111</v>
      </c>
      <c r="AI27" s="85">
        <f t="shared" ca="1" si="39"/>
        <v>192494.18200620601</v>
      </c>
      <c r="AJ27" s="85">
        <f t="shared" ca="1" si="39"/>
        <v>145047.91708658435</v>
      </c>
      <c r="AK27" s="85">
        <f t="shared" ca="1" si="39"/>
        <v>60837.003194469726</v>
      </c>
      <c r="AL27" s="85">
        <f t="shared" ca="1" si="39"/>
        <v>72505.937393037806</v>
      </c>
      <c r="AM27" s="69">
        <f t="shared" ca="1" si="39"/>
        <v>269038.82703353005</v>
      </c>
      <c r="AN27" s="69">
        <f t="shared" ca="1" si="39"/>
        <v>46397.587539036511</v>
      </c>
      <c r="AO27" s="69">
        <f t="shared" ca="1" si="39"/>
        <v>77874.176888227783</v>
      </c>
      <c r="AP27" s="69">
        <f t="shared" ca="1" si="39"/>
        <v>299545.26050296053</v>
      </c>
      <c r="AQ27" s="69">
        <f t="shared" ca="1" si="39"/>
        <v>261398.05704274841</v>
      </c>
      <c r="AR27" s="69">
        <f t="shared" ca="1" si="39"/>
        <v>53662.738579928533</v>
      </c>
      <c r="AS27" s="69">
        <f t="shared" ca="1" si="39"/>
        <v>64561.255114284591</v>
      </c>
      <c r="AT27" s="69"/>
      <c r="AU27" s="69">
        <f ca="1">AU12+AU21</f>
        <v>1607879.9233262085</v>
      </c>
    </row>
    <row r="28" spans="1:47">
      <c r="B28" s="52"/>
      <c r="C28" s="52"/>
      <c r="D28" s="70"/>
      <c r="E28" s="70"/>
      <c r="F28" s="70"/>
      <c r="G28" s="70"/>
      <c r="H28" s="70"/>
      <c r="I28" s="70"/>
      <c r="J28" s="70"/>
      <c r="K28" s="70"/>
      <c r="L28" s="70"/>
      <c r="M28" s="52"/>
      <c r="N28" s="52"/>
      <c r="O28" s="52"/>
      <c r="P28" s="52"/>
      <c r="S28" s="10"/>
      <c r="T28" s="10"/>
      <c r="U28" s="10"/>
      <c r="V28" s="10"/>
      <c r="W28" s="10"/>
      <c r="X28" s="52"/>
      <c r="Y28" s="52"/>
      <c r="Z28" s="52"/>
      <c r="AA28" s="52"/>
      <c r="AB28" s="52"/>
      <c r="AC28" s="52"/>
      <c r="AD28" s="52"/>
      <c r="AE28" s="52"/>
      <c r="AH28" s="10"/>
      <c r="AI28" s="10"/>
      <c r="AJ28" s="10"/>
      <c r="AK28" s="10"/>
      <c r="AL28" s="10"/>
      <c r="AM28" s="52"/>
      <c r="AN28" s="52"/>
      <c r="AO28" s="52"/>
      <c r="AP28" s="52"/>
      <c r="AQ28" s="52"/>
      <c r="AR28" s="52"/>
      <c r="AS28" s="52"/>
      <c r="AT28" s="52"/>
    </row>
    <row r="29" spans="1:47" outlineLevel="1">
      <c r="B29" s="67" t="s">
        <v>99</v>
      </c>
      <c r="C29" s="52"/>
      <c r="D29" s="97">
        <f t="shared" ref="D29:K32" si="40">IFERROR(D23/D7,0)</f>
        <v>0.75455049980383493</v>
      </c>
      <c r="E29" s="97">
        <f t="shared" si="40"/>
        <v>0.74331171650195693</v>
      </c>
      <c r="F29" s="97">
        <f t="shared" si="40"/>
        <v>0.73762136960315361</v>
      </c>
      <c r="G29" s="97">
        <f t="shared" si="40"/>
        <v>0.82456116181303563</v>
      </c>
      <c r="H29" s="97">
        <f t="shared" si="40"/>
        <v>0.80502277393448718</v>
      </c>
      <c r="I29" s="97">
        <f t="shared" si="40"/>
        <v>0.73333592703422712</v>
      </c>
      <c r="J29" s="97">
        <f t="shared" si="40"/>
        <v>0.7187373946460438</v>
      </c>
      <c r="K29" s="97">
        <f t="shared" si="40"/>
        <v>0.83056862450437541</v>
      </c>
      <c r="L29" s="97">
        <f t="shared" ref="L29:O32" si="41">IFERROR(L23/L7,0)</f>
        <v>0.71607589257098903</v>
      </c>
      <c r="M29" s="91">
        <f t="shared" si="41"/>
        <v>0.73</v>
      </c>
      <c r="N29" s="91">
        <f t="shared" si="41"/>
        <v>0.75999770935537447</v>
      </c>
      <c r="O29" s="91">
        <f t="shared" si="41"/>
        <v>0.77</v>
      </c>
      <c r="P29" s="91"/>
      <c r="Q29" s="91">
        <f>IFERROR(Q23/Q7,0)</f>
        <v>0.73794581027000983</v>
      </c>
      <c r="S29" s="91">
        <f t="shared" ref="S29:AD32" si="42">IFERROR(S23/S7,0)</f>
        <v>0.76000000000000012</v>
      </c>
      <c r="T29" s="91">
        <f t="shared" si="42"/>
        <v>0.76</v>
      </c>
      <c r="U29" s="91">
        <f t="shared" si="42"/>
        <v>0.76</v>
      </c>
      <c r="V29" s="91">
        <f t="shared" si="42"/>
        <v>0.76</v>
      </c>
      <c r="W29" s="91">
        <f t="shared" si="42"/>
        <v>0.76</v>
      </c>
      <c r="X29" s="91">
        <f t="shared" si="42"/>
        <v>0.76</v>
      </c>
      <c r="Y29" s="91">
        <f t="shared" si="42"/>
        <v>0.76</v>
      </c>
      <c r="Z29" s="91">
        <f t="shared" si="42"/>
        <v>0.76</v>
      </c>
      <c r="AA29" s="91">
        <f t="shared" si="42"/>
        <v>0.76</v>
      </c>
      <c r="AB29" s="91">
        <f t="shared" si="42"/>
        <v>0.76</v>
      </c>
      <c r="AC29" s="91">
        <f t="shared" si="42"/>
        <v>0.76</v>
      </c>
      <c r="AD29" s="91">
        <f t="shared" si="42"/>
        <v>0.76</v>
      </c>
      <c r="AE29" s="91"/>
      <c r="AF29" s="91">
        <f>IFERROR(AF23/AF7,0)</f>
        <v>0.76</v>
      </c>
      <c r="AH29" s="91">
        <f t="shared" ref="AH29:AS32" si="43">IFERROR(AH23/AH7,0)</f>
        <v>0.76</v>
      </c>
      <c r="AI29" s="91">
        <f t="shared" si="43"/>
        <v>0.76000000000000012</v>
      </c>
      <c r="AJ29" s="91">
        <f t="shared" si="43"/>
        <v>0.76</v>
      </c>
      <c r="AK29" s="91">
        <f t="shared" si="43"/>
        <v>0.76</v>
      </c>
      <c r="AL29" s="91">
        <f t="shared" si="43"/>
        <v>0.76</v>
      </c>
      <c r="AM29" s="91">
        <f t="shared" si="43"/>
        <v>0.76</v>
      </c>
      <c r="AN29" s="91">
        <f t="shared" si="43"/>
        <v>0.76000000000000012</v>
      </c>
      <c r="AO29" s="91">
        <f t="shared" si="43"/>
        <v>0.76</v>
      </c>
      <c r="AP29" s="91">
        <f t="shared" si="43"/>
        <v>0.76</v>
      </c>
      <c r="AQ29" s="91">
        <f t="shared" si="43"/>
        <v>0.7599999999999999</v>
      </c>
      <c r="AR29" s="91">
        <f t="shared" si="43"/>
        <v>0.76000000000000012</v>
      </c>
      <c r="AS29" s="91">
        <f t="shared" si="43"/>
        <v>0.76</v>
      </c>
      <c r="AT29" s="91"/>
      <c r="AU29" s="91">
        <f>IFERROR(AU23/AU7,0)</f>
        <v>0.76</v>
      </c>
    </row>
    <row r="30" spans="1:47" outlineLevel="1">
      <c r="B30" s="67" t="s">
        <v>100</v>
      </c>
      <c r="C30" s="52"/>
      <c r="D30" s="97">
        <f t="shared" si="40"/>
        <v>0.57126105399652705</v>
      </c>
      <c r="E30" s="97">
        <f t="shared" si="40"/>
        <v>0.6295397121250913</v>
      </c>
      <c r="F30" s="97">
        <f t="shared" si="40"/>
        <v>0.75414336026517503</v>
      </c>
      <c r="G30" s="97">
        <f t="shared" si="40"/>
        <v>0.74504634068392461</v>
      </c>
      <c r="H30" s="97">
        <f t="shared" si="40"/>
        <v>0.63152208570535262</v>
      </c>
      <c r="I30" s="97">
        <f t="shared" si="40"/>
        <v>0.62748783901059668</v>
      </c>
      <c r="J30" s="97">
        <f t="shared" si="40"/>
        <v>0.57446415515450033</v>
      </c>
      <c r="K30" s="97">
        <f t="shared" si="40"/>
        <v>0.52036933173808264</v>
      </c>
      <c r="L30" s="97">
        <f t="shared" si="41"/>
        <v>0.98581560283687941</v>
      </c>
      <c r="M30" s="91">
        <f t="shared" si="41"/>
        <v>0.66999399579705798</v>
      </c>
      <c r="N30" s="91">
        <f t="shared" si="41"/>
        <v>0.6699675459765333</v>
      </c>
      <c r="O30" s="91">
        <f t="shared" si="41"/>
        <v>0.6700270214092704</v>
      </c>
      <c r="P30" s="91"/>
      <c r="Q30" s="91">
        <f>IFERROR(Q24/Q8,0)</f>
        <v>0.63953531787601825</v>
      </c>
      <c r="S30" s="91">
        <f t="shared" si="42"/>
        <v>0.69615290519877682</v>
      </c>
      <c r="T30" s="91">
        <f t="shared" si="42"/>
        <v>0.69615290519877682</v>
      </c>
      <c r="U30" s="91">
        <f t="shared" si="42"/>
        <v>0.69615290519877671</v>
      </c>
      <c r="V30" s="91">
        <f t="shared" si="42"/>
        <v>0.69615290519877682</v>
      </c>
      <c r="W30" s="91">
        <f t="shared" si="42"/>
        <v>0.69615290519877682</v>
      </c>
      <c r="X30" s="91">
        <f t="shared" si="42"/>
        <v>0.69615290519877682</v>
      </c>
      <c r="Y30" s="91">
        <f t="shared" si="42"/>
        <v>0.69615290519877682</v>
      </c>
      <c r="Z30" s="91">
        <f t="shared" si="42"/>
        <v>0.69615290519877671</v>
      </c>
      <c r="AA30" s="91">
        <f t="shared" si="42"/>
        <v>0.69615290519877682</v>
      </c>
      <c r="AB30" s="91">
        <f t="shared" si="42"/>
        <v>0.69615290519877682</v>
      </c>
      <c r="AC30" s="91">
        <f t="shared" si="42"/>
        <v>0.69615290519877682</v>
      </c>
      <c r="AD30" s="91">
        <f t="shared" si="42"/>
        <v>0.69615290519877682</v>
      </c>
      <c r="AE30" s="91"/>
      <c r="AF30" s="91">
        <f>IFERROR(AF24/AF8,0)</f>
        <v>0.69615290519877671</v>
      </c>
      <c r="AH30" s="91">
        <f t="shared" si="43"/>
        <v>0.69615290519877682</v>
      </c>
      <c r="AI30" s="91">
        <f t="shared" si="43"/>
        <v>0.69615290519877671</v>
      </c>
      <c r="AJ30" s="91">
        <f t="shared" si="43"/>
        <v>0.69615290519877682</v>
      </c>
      <c r="AK30" s="91">
        <f t="shared" si="43"/>
        <v>0.69615290519877682</v>
      </c>
      <c r="AL30" s="91">
        <f t="shared" si="43"/>
        <v>0.69615290519877682</v>
      </c>
      <c r="AM30" s="91">
        <f t="shared" si="43"/>
        <v>0.69615290519877671</v>
      </c>
      <c r="AN30" s="91">
        <f t="shared" si="43"/>
        <v>0.69615290519877682</v>
      </c>
      <c r="AO30" s="91">
        <f t="shared" si="43"/>
        <v>0.69615290519877671</v>
      </c>
      <c r="AP30" s="91">
        <f t="shared" si="43"/>
        <v>0.69615290519877682</v>
      </c>
      <c r="AQ30" s="91">
        <f t="shared" si="43"/>
        <v>0.69615290519877671</v>
      </c>
      <c r="AR30" s="91">
        <f t="shared" si="43"/>
        <v>0.69615290519877671</v>
      </c>
      <c r="AS30" s="91">
        <f t="shared" si="43"/>
        <v>0.69615290519877682</v>
      </c>
      <c r="AT30" s="91"/>
      <c r="AU30" s="91">
        <f>IFERROR(AU24/AU8,0)</f>
        <v>0.69615290519877671</v>
      </c>
    </row>
    <row r="31" spans="1:47" outlineLevel="1">
      <c r="B31" s="67" t="s">
        <v>101</v>
      </c>
      <c r="C31" s="52"/>
      <c r="D31" s="97">
        <f t="shared" si="40"/>
        <v>0</v>
      </c>
      <c r="E31" s="97">
        <f t="shared" si="40"/>
        <v>0</v>
      </c>
      <c r="F31" s="97">
        <f t="shared" si="40"/>
        <v>0</v>
      </c>
      <c r="G31" s="97">
        <f t="shared" si="40"/>
        <v>0</v>
      </c>
      <c r="H31" s="97">
        <f t="shared" si="40"/>
        <v>0</v>
      </c>
      <c r="I31" s="97">
        <f t="shared" si="40"/>
        <v>0</v>
      </c>
      <c r="J31" s="97">
        <f t="shared" si="40"/>
        <v>0</v>
      </c>
      <c r="K31" s="97">
        <f t="shared" si="40"/>
        <v>0</v>
      </c>
      <c r="L31" s="97">
        <f t="shared" ca="1" si="41"/>
        <v>0</v>
      </c>
      <c r="M31" s="91">
        <f t="shared" si="41"/>
        <v>0</v>
      </c>
      <c r="N31" s="91">
        <f t="shared" si="41"/>
        <v>0</v>
      </c>
      <c r="O31" s="91">
        <f t="shared" si="41"/>
        <v>0</v>
      </c>
      <c r="P31" s="91"/>
      <c r="Q31" s="91">
        <f ca="1">IFERROR(Q25/Q9,0)</f>
        <v>0</v>
      </c>
      <c r="S31" s="91">
        <f t="shared" ca="1" si="42"/>
        <v>0</v>
      </c>
      <c r="T31" s="91">
        <f t="shared" ca="1" si="42"/>
        <v>0</v>
      </c>
      <c r="U31" s="91">
        <f t="shared" ca="1" si="42"/>
        <v>0</v>
      </c>
      <c r="V31" s="91">
        <f t="shared" ca="1" si="42"/>
        <v>0</v>
      </c>
      <c r="W31" s="91">
        <f t="shared" ca="1" si="42"/>
        <v>0</v>
      </c>
      <c r="X31" s="91">
        <f t="shared" ca="1" si="42"/>
        <v>0</v>
      </c>
      <c r="Y31" s="91">
        <f t="shared" ca="1" si="42"/>
        <v>0</v>
      </c>
      <c r="Z31" s="91">
        <f t="shared" ca="1" si="42"/>
        <v>0</v>
      </c>
      <c r="AA31" s="91">
        <f t="shared" ca="1" si="42"/>
        <v>0</v>
      </c>
      <c r="AB31" s="91">
        <f t="shared" ca="1" si="42"/>
        <v>0</v>
      </c>
      <c r="AC31" s="91">
        <f t="shared" ca="1" si="42"/>
        <v>0</v>
      </c>
      <c r="AD31" s="91">
        <f t="shared" ca="1" si="42"/>
        <v>0</v>
      </c>
      <c r="AE31" s="91"/>
      <c r="AF31" s="91">
        <f ca="1">IFERROR(AF25/AF9,0)</f>
        <v>0</v>
      </c>
      <c r="AH31" s="91">
        <f t="shared" ca="1" si="43"/>
        <v>0</v>
      </c>
      <c r="AI31" s="91">
        <f t="shared" ca="1" si="43"/>
        <v>0</v>
      </c>
      <c r="AJ31" s="91">
        <f t="shared" ca="1" si="43"/>
        <v>0</v>
      </c>
      <c r="AK31" s="91">
        <f t="shared" ca="1" si="43"/>
        <v>0</v>
      </c>
      <c r="AL31" s="91">
        <f t="shared" ca="1" si="43"/>
        <v>0</v>
      </c>
      <c r="AM31" s="91">
        <f t="shared" ca="1" si="43"/>
        <v>0</v>
      </c>
      <c r="AN31" s="91">
        <f t="shared" ca="1" si="43"/>
        <v>0</v>
      </c>
      <c r="AO31" s="91">
        <f t="shared" ca="1" si="43"/>
        <v>0</v>
      </c>
      <c r="AP31" s="91">
        <f t="shared" ca="1" si="43"/>
        <v>0</v>
      </c>
      <c r="AQ31" s="91">
        <f t="shared" ca="1" si="43"/>
        <v>0</v>
      </c>
      <c r="AR31" s="91">
        <f t="shared" ca="1" si="43"/>
        <v>0</v>
      </c>
      <c r="AS31" s="91">
        <f t="shared" ca="1" si="43"/>
        <v>0</v>
      </c>
      <c r="AT31" s="91"/>
      <c r="AU31" s="91">
        <f ca="1">IFERROR(AU25/AU9,0)</f>
        <v>0</v>
      </c>
    </row>
    <row r="32" spans="1:47" outlineLevel="1">
      <c r="B32" s="67" t="s">
        <v>102</v>
      </c>
      <c r="C32" s="52"/>
      <c r="D32" s="97">
        <f t="shared" si="40"/>
        <v>0</v>
      </c>
      <c r="E32" s="97">
        <f t="shared" si="40"/>
        <v>0</v>
      </c>
      <c r="F32" s="97">
        <f t="shared" si="40"/>
        <v>0</v>
      </c>
      <c r="G32" s="97">
        <f t="shared" si="40"/>
        <v>0</v>
      </c>
      <c r="H32" s="97">
        <f t="shared" si="40"/>
        <v>0</v>
      </c>
      <c r="I32" s="97">
        <f t="shared" si="40"/>
        <v>0</v>
      </c>
      <c r="J32" s="97">
        <f t="shared" si="40"/>
        <v>0</v>
      </c>
      <c r="K32" s="97">
        <f t="shared" si="40"/>
        <v>0</v>
      </c>
      <c r="L32" s="97">
        <f t="shared" si="41"/>
        <v>0</v>
      </c>
      <c r="M32" s="91">
        <f t="shared" si="41"/>
        <v>0</v>
      </c>
      <c r="N32" s="91">
        <f t="shared" si="41"/>
        <v>0</v>
      </c>
      <c r="O32" s="91">
        <f t="shared" si="41"/>
        <v>0</v>
      </c>
      <c r="P32" s="91"/>
      <c r="Q32" s="91">
        <f>IFERROR(Q26/Q10,0)</f>
        <v>0</v>
      </c>
      <c r="S32" s="91">
        <f t="shared" si="42"/>
        <v>0</v>
      </c>
      <c r="T32" s="91">
        <f t="shared" si="42"/>
        <v>0</v>
      </c>
      <c r="U32" s="91">
        <f t="shared" si="42"/>
        <v>0</v>
      </c>
      <c r="V32" s="91">
        <f t="shared" si="42"/>
        <v>0</v>
      </c>
      <c r="W32" s="91">
        <f t="shared" si="42"/>
        <v>0</v>
      </c>
      <c r="X32" s="91">
        <f t="shared" si="42"/>
        <v>0</v>
      </c>
      <c r="Y32" s="91">
        <f t="shared" si="42"/>
        <v>0</v>
      </c>
      <c r="Z32" s="91">
        <f t="shared" si="42"/>
        <v>0</v>
      </c>
      <c r="AA32" s="91">
        <f t="shared" si="42"/>
        <v>0</v>
      </c>
      <c r="AB32" s="91">
        <f t="shared" si="42"/>
        <v>0</v>
      </c>
      <c r="AC32" s="91">
        <f t="shared" si="42"/>
        <v>0</v>
      </c>
      <c r="AD32" s="91">
        <f t="shared" si="42"/>
        <v>0</v>
      </c>
      <c r="AE32" s="91"/>
      <c r="AF32" s="91">
        <f>IFERROR(AF26/AF10,0)</f>
        <v>0</v>
      </c>
      <c r="AH32" s="91">
        <f t="shared" si="43"/>
        <v>0</v>
      </c>
      <c r="AI32" s="91">
        <f t="shared" si="43"/>
        <v>0</v>
      </c>
      <c r="AJ32" s="91">
        <f t="shared" si="43"/>
        <v>0</v>
      </c>
      <c r="AK32" s="91">
        <f t="shared" si="43"/>
        <v>0</v>
      </c>
      <c r="AL32" s="91">
        <f t="shared" si="43"/>
        <v>0</v>
      </c>
      <c r="AM32" s="91">
        <f t="shared" si="43"/>
        <v>0</v>
      </c>
      <c r="AN32" s="91">
        <f t="shared" si="43"/>
        <v>0</v>
      </c>
      <c r="AO32" s="91">
        <f t="shared" si="43"/>
        <v>0</v>
      </c>
      <c r="AP32" s="91">
        <f t="shared" si="43"/>
        <v>0</v>
      </c>
      <c r="AQ32" s="91">
        <f t="shared" si="43"/>
        <v>0</v>
      </c>
      <c r="AR32" s="91">
        <f t="shared" si="43"/>
        <v>0</v>
      </c>
      <c r="AS32" s="91">
        <f t="shared" si="43"/>
        <v>0</v>
      </c>
      <c r="AT32" s="91"/>
      <c r="AU32" s="91">
        <f>IFERROR(AU26/AU10,0)</f>
        <v>0</v>
      </c>
    </row>
    <row r="33" spans="1:47">
      <c r="B33" s="72" t="s">
        <v>103</v>
      </c>
      <c r="C33" s="73"/>
      <c r="D33" s="97">
        <f t="shared" ref="D33:K33" si="44">IFERROR(D27/D12,0)</f>
        <v>0.65924420444090037</v>
      </c>
      <c r="E33" s="97">
        <f t="shared" si="44"/>
        <v>0.71595004984579391</v>
      </c>
      <c r="F33" s="97">
        <f t="shared" si="44"/>
        <v>0.73772255442298562</v>
      </c>
      <c r="G33" s="97">
        <f t="shared" si="44"/>
        <v>0.823213338904076</v>
      </c>
      <c r="H33" s="97">
        <f t="shared" si="44"/>
        <v>0.78802360048419029</v>
      </c>
      <c r="I33" s="97">
        <f t="shared" si="44"/>
        <v>0.73154278928974159</v>
      </c>
      <c r="J33" s="97">
        <f t="shared" si="44"/>
        <v>0.71386727065164168</v>
      </c>
      <c r="K33" s="97">
        <f t="shared" si="44"/>
        <v>0.69267695068273361</v>
      </c>
      <c r="L33" s="97">
        <f t="shared" ref="L33:O33" ca="1" si="45">IFERROR(L27/L12,0)</f>
        <v>0.72857241100014514</v>
      </c>
      <c r="M33" s="91">
        <f t="shared" si="45"/>
        <v>0.72752718635177094</v>
      </c>
      <c r="N33" s="91">
        <f t="shared" si="45"/>
        <v>0.75073421753388536</v>
      </c>
      <c r="O33" s="91">
        <f t="shared" si="45"/>
        <v>0.75061464672927336</v>
      </c>
      <c r="P33" s="91"/>
      <c r="Q33" s="91">
        <f ca="1">IFERROR(Q27/Q12,0)</f>
        <v>0.72817232736352411</v>
      </c>
      <c r="S33" s="91">
        <f t="shared" ref="S33:AD33" ca="1" si="46">IFERROR(S27/S12,0)</f>
        <v>0.75162224846266512</v>
      </c>
      <c r="T33" s="91">
        <f t="shared" ca="1" si="46"/>
        <v>0.75508659983068194</v>
      </c>
      <c r="U33" s="91">
        <f t="shared" ca="1" si="46"/>
        <v>0.75256079837063294</v>
      </c>
      <c r="V33" s="91">
        <f t="shared" ca="1" si="46"/>
        <v>0.75359624899026423</v>
      </c>
      <c r="W33" s="91">
        <f t="shared" ca="1" si="46"/>
        <v>0.75119614485277209</v>
      </c>
      <c r="X33" s="91">
        <f t="shared" ca="1" si="46"/>
        <v>0.75632687524829578</v>
      </c>
      <c r="Y33" s="91">
        <f t="shared" ca="1" si="46"/>
        <v>0.75184449067204939</v>
      </c>
      <c r="Z33" s="91">
        <f t="shared" ca="1" si="46"/>
        <v>0.74304784568628546</v>
      </c>
      <c r="AA33" s="91">
        <f t="shared" ca="1" si="46"/>
        <v>0.7584234341206606</v>
      </c>
      <c r="AB33" s="91">
        <f t="shared" ca="1" si="46"/>
        <v>0.75650357534190715</v>
      </c>
      <c r="AC33" s="91">
        <f t="shared" ca="1" si="46"/>
        <v>0.74912779510410876</v>
      </c>
      <c r="AD33" s="91">
        <f t="shared" ca="1" si="46"/>
        <v>0.75235113078543592</v>
      </c>
      <c r="AE33" s="91"/>
      <c r="AF33" s="91">
        <f ca="1">IFERROR(AF27/AF12,0)</f>
        <v>0.75431807442248189</v>
      </c>
      <c r="AH33" s="91">
        <f t="shared" ref="AH33:AS33" ca="1" si="47">IFERROR(AH27/AH12,0)</f>
        <v>0.75179749364091164</v>
      </c>
      <c r="AI33" s="91">
        <f t="shared" ca="1" si="47"/>
        <v>0.75591943741864742</v>
      </c>
      <c r="AJ33" s="91">
        <f t="shared" ca="1" si="47"/>
        <v>0.7528666934399405</v>
      </c>
      <c r="AK33" s="91">
        <f t="shared" ca="1" si="47"/>
        <v>0.75335867994037653</v>
      </c>
      <c r="AL33" s="91">
        <f t="shared" ca="1" si="47"/>
        <v>0.75269258446027465</v>
      </c>
      <c r="AM33" s="91">
        <f t="shared" ca="1" si="47"/>
        <v>0.7570759377090247</v>
      </c>
      <c r="AN33" s="91">
        <f t="shared" ca="1" si="47"/>
        <v>0.74864208597691406</v>
      </c>
      <c r="AO33" s="91">
        <f t="shared" ca="1" si="47"/>
        <v>0.74524417831251821</v>
      </c>
      <c r="AP33" s="91">
        <f t="shared" ca="1" si="47"/>
        <v>0.7586417031711532</v>
      </c>
      <c r="AQ33" s="91">
        <f t="shared" ca="1" si="47"/>
        <v>0.75699080461781343</v>
      </c>
      <c r="AR33" s="91">
        <f t="shared" ca="1" si="47"/>
        <v>0.74556310773939127</v>
      </c>
      <c r="AS33" s="91">
        <f t="shared" ca="1" si="47"/>
        <v>0.75180305800483205</v>
      </c>
      <c r="AT33" s="91"/>
      <c r="AU33" s="91">
        <f ca="1">IFERROR(AU27/AU12,0)</f>
        <v>0.75485414401300377</v>
      </c>
    </row>
    <row r="34" spans="1:47">
      <c r="D34" s="71"/>
      <c r="E34" s="71"/>
      <c r="F34" s="71"/>
      <c r="G34" s="71"/>
      <c r="H34" s="71"/>
      <c r="I34" s="71"/>
      <c r="J34" s="71"/>
      <c r="K34" s="71"/>
      <c r="L34" s="7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H34" s="86"/>
      <c r="AI34" s="86"/>
      <c r="AJ34" s="86"/>
      <c r="AK34" s="86"/>
      <c r="AL34" s="86"/>
    </row>
    <row r="35" spans="1:47" outlineLevel="1">
      <c r="B35" s="58" t="s">
        <v>104</v>
      </c>
      <c r="D35" s="74"/>
      <c r="E35" s="74"/>
      <c r="F35" s="74"/>
      <c r="G35" s="74"/>
      <c r="H35" s="74"/>
      <c r="I35" s="74"/>
      <c r="J35" s="74"/>
      <c r="K35" s="74"/>
      <c r="L35" s="74"/>
      <c r="S35" s="87"/>
      <c r="T35" s="87"/>
      <c r="U35" s="87"/>
      <c r="V35" s="87"/>
      <c r="W35" s="87"/>
      <c r="AH35" s="87"/>
      <c r="AI35" s="87"/>
      <c r="AJ35" s="87"/>
      <c r="AK35" s="87"/>
      <c r="AL35" s="87"/>
    </row>
    <row r="36" spans="1:47" outlineLevel="1">
      <c r="D36" s="53"/>
      <c r="E36" s="53"/>
      <c r="F36" s="53"/>
      <c r="G36" s="53"/>
      <c r="H36" s="53"/>
      <c r="I36" s="53"/>
      <c r="J36" s="53"/>
      <c r="K36" s="53"/>
      <c r="L36" s="53"/>
    </row>
    <row r="37" spans="1:47" outlineLevel="1">
      <c r="D37" s="59"/>
      <c r="E37" s="59"/>
      <c r="F37" s="59"/>
      <c r="G37" s="59"/>
      <c r="H37" s="59"/>
      <c r="I37" s="59"/>
      <c r="J37" s="59"/>
      <c r="K37" s="59"/>
      <c r="L37" s="59"/>
      <c r="M37" s="60"/>
      <c r="N37" s="60"/>
      <c r="O37" s="60"/>
      <c r="P37" s="60"/>
      <c r="Q37" s="61">
        <f>SUM(D37:O37)</f>
        <v>0</v>
      </c>
      <c r="R37" s="62"/>
      <c r="S37" s="83"/>
      <c r="T37" s="83"/>
      <c r="U37" s="83"/>
      <c r="V37" s="83"/>
      <c r="W37" s="83"/>
      <c r="X37" s="83"/>
      <c r="Y37" s="83"/>
      <c r="Z37" s="83"/>
      <c r="AA37" s="83"/>
      <c r="AB37" s="83"/>
      <c r="AC37" s="83"/>
      <c r="AD37" s="83"/>
      <c r="AE37" s="60"/>
      <c r="AF37" s="61">
        <f>SUM(S37:AD37)</f>
        <v>0</v>
      </c>
      <c r="AH37" s="83"/>
      <c r="AI37" s="83"/>
      <c r="AJ37" s="83"/>
      <c r="AK37" s="83"/>
      <c r="AL37" s="83"/>
      <c r="AM37" s="83"/>
      <c r="AN37" s="83"/>
      <c r="AO37" s="83"/>
      <c r="AP37" s="83"/>
      <c r="AQ37" s="83"/>
      <c r="AR37" s="83"/>
      <c r="AS37" s="83"/>
      <c r="AT37" s="60"/>
      <c r="AU37" s="61">
        <f>SUM(AH37:AS37)</f>
        <v>0</v>
      </c>
    </row>
    <row r="38" spans="1:47" outlineLevel="1">
      <c r="B38" s="51" t="s">
        <v>106</v>
      </c>
      <c r="C38" s="75">
        <f>SUMIFS(Fulfilment!E:E,Fulfilment!A:A,"HU",Fulfilment!B:B,"DTC")</f>
        <v>-0.19288201625359633</v>
      </c>
      <c r="D38" s="59">
        <v>-5279.82</v>
      </c>
      <c r="E38" s="59">
        <v>-21223.14</v>
      </c>
      <c r="F38" s="59">
        <v>-23738.38</v>
      </c>
      <c r="G38" s="59">
        <v>-5638.42</v>
      </c>
      <c r="H38" s="59">
        <v>-5470.38</v>
      </c>
      <c r="I38" s="59">
        <v>-31107.39</v>
      </c>
      <c r="J38" s="59">
        <v>-26600.639999999999</v>
      </c>
      <c r="K38" s="59">
        <v>-7323.27</v>
      </c>
      <c r="L38" s="59">
        <v>-50055</v>
      </c>
      <c r="M38" s="60">
        <v>-53776</v>
      </c>
      <c r="N38" s="60">
        <v>-18175</v>
      </c>
      <c r="O38" s="60">
        <v>-6939</v>
      </c>
      <c r="P38" s="60"/>
      <c r="Q38" s="61">
        <f>SUM(D38:O38)</f>
        <v>-255326.44</v>
      </c>
      <c r="R38" s="62"/>
      <c r="S38" s="60">
        <f>$C$38*S7</f>
        <v>-13409.314727690744</v>
      </c>
      <c r="T38" s="60">
        <f t="shared" ref="T38:AD38" si="48">$C$38*T7</f>
        <v>-35859.560902715733</v>
      </c>
      <c r="U38" s="60">
        <f t="shared" si="48"/>
        <v>-29981.899745185467</v>
      </c>
      <c r="V38" s="60">
        <f t="shared" si="48"/>
        <v>-13841.622454097136</v>
      </c>
      <c r="W38" s="60">
        <f t="shared" si="48"/>
        <v>-12662.286477285121</v>
      </c>
      <c r="X38" s="60">
        <f t="shared" si="48"/>
        <v>-48977.4784502287</v>
      </c>
      <c r="Y38" s="60">
        <f t="shared" si="48"/>
        <v>-13829.915589098964</v>
      </c>
      <c r="Z38" s="60">
        <f t="shared" si="48"/>
        <v>-12272.150290545935</v>
      </c>
      <c r="AA38" s="60">
        <f t="shared" si="48"/>
        <v>-60946.975088225365</v>
      </c>
      <c r="AB38" s="60">
        <f t="shared" si="48"/>
        <v>-51603.761329177003</v>
      </c>
      <c r="AC38" s="60">
        <f t="shared" si="48"/>
        <v>-14567.192850092568</v>
      </c>
      <c r="AD38" s="60">
        <f t="shared" si="48"/>
        <v>-14880.119001654712</v>
      </c>
      <c r="AE38" s="60"/>
      <c r="AF38" s="61">
        <f>SUM(S38:AD38)</f>
        <v>-322832.27690599742</v>
      </c>
      <c r="AH38" s="60">
        <f t="shared" ref="AH38:AS38" si="49">$C$38*AH7</f>
        <v>-14426.025456807341</v>
      </c>
      <c r="AI38" s="60">
        <f t="shared" si="49"/>
        <v>-45978.071313739296</v>
      </c>
      <c r="AJ38" s="60">
        <f t="shared" si="49"/>
        <v>-33009.022675225504</v>
      </c>
      <c r="AK38" s="60">
        <f t="shared" si="49"/>
        <v>-13955.85615892273</v>
      </c>
      <c r="AL38" s="60">
        <f t="shared" si="49"/>
        <v>-16453.55970341558</v>
      </c>
      <c r="AM38" s="60">
        <f t="shared" si="49"/>
        <v>-65404.499558852556</v>
      </c>
      <c r="AN38" s="60">
        <f t="shared" si="49"/>
        <v>-9827.4660706602426</v>
      </c>
      <c r="AO38" s="60">
        <f t="shared" si="49"/>
        <v>-15497.076213791215</v>
      </c>
      <c r="AP38" s="60">
        <f t="shared" si="49"/>
        <v>-74538.132430033234</v>
      </c>
      <c r="AQ38" s="60">
        <f t="shared" si="49"/>
        <v>-63465.332293652638</v>
      </c>
      <c r="AR38" s="60">
        <f t="shared" si="49"/>
        <v>-10743.74404076891</v>
      </c>
      <c r="AS38" s="60">
        <f t="shared" si="49"/>
        <v>-14437.261892336455</v>
      </c>
      <c r="AT38" s="60"/>
      <c r="AU38" s="61">
        <f>SUM(AH38:AS38)</f>
        <v>-377736.04780820571</v>
      </c>
    </row>
    <row r="39" spans="1:47" outlineLevel="1">
      <c r="B39" s="51" t="s">
        <v>107</v>
      </c>
      <c r="C39" s="75">
        <f>SUMIFS(Fulfilment!E:E,Fulfilment!A:A,"HU",Fulfilment!B:B,"B2B")</f>
        <v>-0.10232415607337406</v>
      </c>
      <c r="D39" s="59">
        <v>-507.31</v>
      </c>
      <c r="E39" s="59">
        <v>-481.65</v>
      </c>
      <c r="F39" s="59">
        <v>0</v>
      </c>
      <c r="G39" s="59">
        <v>-92.43</v>
      </c>
      <c r="H39" s="59">
        <v>-274.31</v>
      </c>
      <c r="I39" s="59">
        <v>-269.95</v>
      </c>
      <c r="J39" s="59">
        <v>-1222.8900000000001</v>
      </c>
      <c r="K39" s="59">
        <v>-1968.61</v>
      </c>
      <c r="L39" s="59">
        <v>-21</v>
      </c>
      <c r="M39" s="60">
        <v>-1066</v>
      </c>
      <c r="N39" s="60">
        <v>-961</v>
      </c>
      <c r="O39" s="60">
        <v>-770</v>
      </c>
      <c r="P39" s="60"/>
      <c r="Q39" s="61">
        <f>SUM(D39:O39)</f>
        <v>-7635.15</v>
      </c>
      <c r="R39" s="62"/>
      <c r="S39" s="60">
        <f t="shared" ref="S39:AD39" si="50">$C$39*S8</f>
        <v>-1074.4036387704275</v>
      </c>
      <c r="T39" s="60">
        <f t="shared" si="50"/>
        <v>-1586.0244191372979</v>
      </c>
      <c r="U39" s="60">
        <f t="shared" si="50"/>
        <v>-2097.645199504168</v>
      </c>
      <c r="V39" s="60">
        <f t="shared" si="50"/>
        <v>-818.59324858699244</v>
      </c>
      <c r="W39" s="60">
        <f t="shared" si="50"/>
        <v>-1074.4036387704275</v>
      </c>
      <c r="X39" s="60">
        <f t="shared" si="50"/>
        <v>-1586.0244191372979</v>
      </c>
      <c r="Y39" s="60">
        <f t="shared" si="50"/>
        <v>-1074.4036387704275</v>
      </c>
      <c r="Z39" s="60">
        <f t="shared" si="50"/>
        <v>-2353.4555896876032</v>
      </c>
      <c r="AA39" s="60">
        <f t="shared" si="50"/>
        <v>-818.59324858699244</v>
      </c>
      <c r="AB39" s="60">
        <f t="shared" si="50"/>
        <v>-1586.0244191372979</v>
      </c>
      <c r="AC39" s="60">
        <f t="shared" si="50"/>
        <v>-1586.0244191372979</v>
      </c>
      <c r="AD39" s="60">
        <f t="shared" si="50"/>
        <v>-1074.4036387704275</v>
      </c>
      <c r="AE39" s="60"/>
      <c r="AF39" s="61">
        <f>SUM(S39:AD39)</f>
        <v>-16729.999517996661</v>
      </c>
      <c r="AH39" s="60">
        <f t="shared" ref="AH39:AS39" si="51">$C$39*AH8</f>
        <v>-1128.1238207089489</v>
      </c>
      <c r="AI39" s="60">
        <f t="shared" si="51"/>
        <v>-1665.3256400941627</v>
      </c>
      <c r="AJ39" s="60">
        <f t="shared" si="51"/>
        <v>-2202.5274594793764</v>
      </c>
      <c r="AK39" s="60">
        <f t="shared" si="51"/>
        <v>-859.52291101634205</v>
      </c>
      <c r="AL39" s="60">
        <f t="shared" si="51"/>
        <v>-1128.1238207089489</v>
      </c>
      <c r="AM39" s="60">
        <f t="shared" si="51"/>
        <v>-1665.3256400941627</v>
      </c>
      <c r="AN39" s="60">
        <f t="shared" si="51"/>
        <v>-1128.1238207089489</v>
      </c>
      <c r="AO39" s="60">
        <f t="shared" si="51"/>
        <v>-2471.1283691719836</v>
      </c>
      <c r="AP39" s="60">
        <f t="shared" si="51"/>
        <v>-859.52291101634205</v>
      </c>
      <c r="AQ39" s="60">
        <f t="shared" si="51"/>
        <v>-1665.3256400941627</v>
      </c>
      <c r="AR39" s="60">
        <f t="shared" si="51"/>
        <v>-1665.3256400941627</v>
      </c>
      <c r="AS39" s="60">
        <f t="shared" si="51"/>
        <v>-1128.1238207089489</v>
      </c>
      <c r="AT39" s="60"/>
      <c r="AU39" s="61">
        <f>SUM(AH39:AS39)</f>
        <v>-17566.499493896488</v>
      </c>
    </row>
    <row r="40" spans="1:47" outlineLevel="1">
      <c r="B40" s="51" t="s">
        <v>108</v>
      </c>
      <c r="C40" s="75">
        <f>SUMIFS(Fulfilment!E:E,Fulfilment!A:A,"HU",Fulfilment!B:B,"Marketplace")</f>
        <v>0</v>
      </c>
      <c r="D40" s="59"/>
      <c r="E40" s="59"/>
      <c r="F40" s="59"/>
      <c r="G40" s="59"/>
      <c r="H40" s="59"/>
      <c r="I40" s="59"/>
      <c r="J40" s="59"/>
      <c r="K40" s="59"/>
      <c r="L40" s="59">
        <f ca="1">$C$40*L9</f>
        <v>0</v>
      </c>
      <c r="M40" s="60">
        <f t="shared" ref="M40:O40" si="52">$C$40*M9</f>
        <v>0</v>
      </c>
      <c r="N40" s="60">
        <f t="shared" si="52"/>
        <v>0</v>
      </c>
      <c r="O40" s="60">
        <f t="shared" si="52"/>
        <v>0</v>
      </c>
      <c r="P40" s="60"/>
      <c r="Q40" s="61">
        <f ca="1">SUM(D40:O40)</f>
        <v>0</v>
      </c>
      <c r="R40" s="62"/>
      <c r="S40" s="60">
        <f t="shared" ref="S40:AD40" ca="1" si="53">$C$40*S9</f>
        <v>0</v>
      </c>
      <c r="T40" s="60">
        <f t="shared" ca="1" si="53"/>
        <v>0</v>
      </c>
      <c r="U40" s="60">
        <f t="shared" ca="1" si="53"/>
        <v>0</v>
      </c>
      <c r="V40" s="60">
        <f t="shared" ca="1" si="53"/>
        <v>0</v>
      </c>
      <c r="W40" s="60">
        <f t="shared" ca="1" si="53"/>
        <v>0</v>
      </c>
      <c r="X40" s="60">
        <f t="shared" ca="1" si="53"/>
        <v>0</v>
      </c>
      <c r="Y40" s="60">
        <f t="shared" ca="1" si="53"/>
        <v>0</v>
      </c>
      <c r="Z40" s="60">
        <f t="shared" ca="1" si="53"/>
        <v>0</v>
      </c>
      <c r="AA40" s="60">
        <f t="shared" ca="1" si="53"/>
        <v>0</v>
      </c>
      <c r="AB40" s="60">
        <f t="shared" ca="1" si="53"/>
        <v>0</v>
      </c>
      <c r="AC40" s="60">
        <f t="shared" ca="1" si="53"/>
        <v>0</v>
      </c>
      <c r="AD40" s="60">
        <f t="shared" ca="1" si="53"/>
        <v>0</v>
      </c>
      <c r="AE40" s="60"/>
      <c r="AF40" s="61">
        <f ca="1">SUM(S40:AD40)</f>
        <v>0</v>
      </c>
      <c r="AH40" s="60">
        <f t="shared" ref="AH40:AS40" ca="1" si="54">$C$40*AH9</f>
        <v>0</v>
      </c>
      <c r="AI40" s="60">
        <f t="shared" ca="1" si="54"/>
        <v>0</v>
      </c>
      <c r="AJ40" s="60">
        <f t="shared" ca="1" si="54"/>
        <v>0</v>
      </c>
      <c r="AK40" s="60">
        <f t="shared" ca="1" si="54"/>
        <v>0</v>
      </c>
      <c r="AL40" s="60">
        <f t="shared" ca="1" si="54"/>
        <v>0</v>
      </c>
      <c r="AM40" s="60">
        <f t="shared" ca="1" si="54"/>
        <v>0</v>
      </c>
      <c r="AN40" s="60">
        <f t="shared" ca="1" si="54"/>
        <v>0</v>
      </c>
      <c r="AO40" s="60">
        <f t="shared" ca="1" si="54"/>
        <v>0</v>
      </c>
      <c r="AP40" s="60">
        <f t="shared" ca="1" si="54"/>
        <v>0</v>
      </c>
      <c r="AQ40" s="60">
        <f t="shared" ca="1" si="54"/>
        <v>0</v>
      </c>
      <c r="AR40" s="60">
        <f t="shared" ca="1" si="54"/>
        <v>0</v>
      </c>
      <c r="AS40" s="60">
        <f t="shared" ca="1" si="54"/>
        <v>0</v>
      </c>
      <c r="AT40" s="60"/>
      <c r="AU40" s="61">
        <f ca="1">SUM(AH40:AS40)</f>
        <v>0</v>
      </c>
    </row>
    <row r="41" spans="1:47" outlineLevel="1">
      <c r="B41" s="51" t="s">
        <v>109</v>
      </c>
      <c r="C41" s="75">
        <f>SUMIFS(Fulfilment!E:E,Fulfilment!A:A,"HU",Fulfilment!B:B,"TikTok")</f>
        <v>0</v>
      </c>
      <c r="D41" s="59"/>
      <c r="E41" s="59"/>
      <c r="F41" s="59"/>
      <c r="G41" s="59"/>
      <c r="H41" s="59"/>
      <c r="I41" s="59"/>
      <c r="J41" s="59"/>
      <c r="K41" s="59"/>
      <c r="L41" s="59">
        <f>$C$41*L10</f>
        <v>0</v>
      </c>
      <c r="M41" s="60">
        <f t="shared" ref="M41:O41" si="55">$C$41*M10</f>
        <v>0</v>
      </c>
      <c r="N41" s="60">
        <f t="shared" si="55"/>
        <v>0</v>
      </c>
      <c r="O41" s="60">
        <f t="shared" si="55"/>
        <v>0</v>
      </c>
      <c r="P41" s="60"/>
      <c r="Q41" s="61">
        <f>SUM(D41:O41)</f>
        <v>0</v>
      </c>
      <c r="R41" s="66"/>
      <c r="S41" s="60">
        <f t="shared" ref="S41:AD41" si="56">$C$41*S10</f>
        <v>0</v>
      </c>
      <c r="T41" s="60">
        <f t="shared" si="56"/>
        <v>0</v>
      </c>
      <c r="U41" s="60">
        <f t="shared" si="56"/>
        <v>0</v>
      </c>
      <c r="V41" s="60">
        <f t="shared" si="56"/>
        <v>0</v>
      </c>
      <c r="W41" s="60">
        <f t="shared" si="56"/>
        <v>0</v>
      </c>
      <c r="X41" s="60">
        <f t="shared" si="56"/>
        <v>0</v>
      </c>
      <c r="Y41" s="60">
        <f t="shared" si="56"/>
        <v>0</v>
      </c>
      <c r="Z41" s="60">
        <f t="shared" si="56"/>
        <v>0</v>
      </c>
      <c r="AA41" s="60">
        <f t="shared" si="56"/>
        <v>0</v>
      </c>
      <c r="AB41" s="60">
        <f t="shared" si="56"/>
        <v>0</v>
      </c>
      <c r="AC41" s="60">
        <f t="shared" si="56"/>
        <v>0</v>
      </c>
      <c r="AD41" s="60">
        <f t="shared" si="56"/>
        <v>0</v>
      </c>
      <c r="AE41" s="60"/>
      <c r="AF41" s="61">
        <f>SUM(S41:AD41)</f>
        <v>0</v>
      </c>
      <c r="AH41" s="60">
        <f t="shared" ref="AH41:AS41" si="57">$C$41*AH10</f>
        <v>0</v>
      </c>
      <c r="AI41" s="60">
        <f t="shared" si="57"/>
        <v>0</v>
      </c>
      <c r="AJ41" s="60">
        <f t="shared" si="57"/>
        <v>0</v>
      </c>
      <c r="AK41" s="60">
        <f t="shared" si="57"/>
        <v>0</v>
      </c>
      <c r="AL41" s="60">
        <f t="shared" si="57"/>
        <v>0</v>
      </c>
      <c r="AM41" s="60">
        <f t="shared" si="57"/>
        <v>0</v>
      </c>
      <c r="AN41" s="60">
        <f t="shared" si="57"/>
        <v>0</v>
      </c>
      <c r="AO41" s="60">
        <f t="shared" si="57"/>
        <v>0</v>
      </c>
      <c r="AP41" s="60">
        <f t="shared" si="57"/>
        <v>0</v>
      </c>
      <c r="AQ41" s="60">
        <f t="shared" si="57"/>
        <v>0</v>
      </c>
      <c r="AR41" s="60">
        <f t="shared" si="57"/>
        <v>0</v>
      </c>
      <c r="AS41" s="60">
        <f t="shared" si="57"/>
        <v>0</v>
      </c>
      <c r="AT41" s="60"/>
      <c r="AU41" s="61">
        <f>SUM(AH41:AS41)</f>
        <v>0</v>
      </c>
    </row>
    <row r="42" spans="1:47" outlineLevel="1">
      <c r="D42" s="53"/>
      <c r="E42" s="53"/>
      <c r="F42" s="53"/>
      <c r="G42" s="53"/>
      <c r="H42" s="53"/>
      <c r="I42" s="53"/>
      <c r="J42" s="53"/>
      <c r="K42" s="53"/>
      <c r="L42" s="53"/>
    </row>
    <row r="43" spans="1:47" s="10" customFormat="1">
      <c r="A43" s="52"/>
      <c r="B43" s="63" t="s">
        <v>110</v>
      </c>
      <c r="C43" s="52"/>
      <c r="D43" s="64">
        <f t="shared" ref="D43:K43" si="58">SUM(D37:D42)</f>
        <v>-5787.13</v>
      </c>
      <c r="E43" s="64">
        <f t="shared" si="58"/>
        <v>-21704.79</v>
      </c>
      <c r="F43" s="64">
        <f t="shared" si="58"/>
        <v>-23738.38</v>
      </c>
      <c r="G43" s="64">
        <f t="shared" si="58"/>
        <v>-5730.85</v>
      </c>
      <c r="H43" s="64">
        <f t="shared" si="58"/>
        <v>-5744.6900000000005</v>
      </c>
      <c r="I43" s="64">
        <f t="shared" si="58"/>
        <v>-31377.34</v>
      </c>
      <c r="J43" s="64">
        <f t="shared" si="58"/>
        <v>-27823.53</v>
      </c>
      <c r="K43" s="64">
        <f t="shared" si="58"/>
        <v>-9291.880000000001</v>
      </c>
      <c r="L43" s="64">
        <f ca="1">SUM(L37:L42)</f>
        <v>-50076</v>
      </c>
      <c r="M43" s="65">
        <f>SUM(M37:M42)</f>
        <v>-54842</v>
      </c>
      <c r="N43" s="65">
        <f>SUM(N37:N42)</f>
        <v>-19136</v>
      </c>
      <c r="O43" s="65">
        <f>SUM(O37:O42)</f>
        <v>-7709</v>
      </c>
      <c r="P43" s="61"/>
      <c r="Q43" s="65">
        <f ca="1">SUM(D43:O43)</f>
        <v>-262961.58999999997</v>
      </c>
      <c r="R43" s="52"/>
      <c r="S43" s="84">
        <f ca="1">SUM(S37:S42)</f>
        <v>-14483.718366461171</v>
      </c>
      <c r="T43" s="84">
        <f t="shared" ref="T43:Z43" ca="1" si="59">SUM(T37:T42)</f>
        <v>-37445.585321853032</v>
      </c>
      <c r="U43" s="84">
        <f t="shared" ca="1" si="59"/>
        <v>-32079.544944689635</v>
      </c>
      <c r="V43" s="84">
        <f t="shared" ca="1" si="59"/>
        <v>-14660.215702684129</v>
      </c>
      <c r="W43" s="84">
        <f t="shared" ca="1" si="59"/>
        <v>-13736.690116055548</v>
      </c>
      <c r="X43" s="65">
        <f t="shared" ca="1" si="59"/>
        <v>-50563.502869365999</v>
      </c>
      <c r="Y43" s="65">
        <f t="shared" ca="1" si="59"/>
        <v>-14904.319227869391</v>
      </c>
      <c r="Z43" s="65">
        <f t="shared" ca="1" si="59"/>
        <v>-14625.605880233537</v>
      </c>
      <c r="AA43" s="65">
        <f ca="1">SUM(AA37:AA42)</f>
        <v>-61765.568336812357</v>
      </c>
      <c r="AB43" s="65">
        <f ca="1">SUM(AB37:AB42)</f>
        <v>-53189.785748314302</v>
      </c>
      <c r="AC43" s="65">
        <f ca="1">SUM(AC37:AC42)</f>
        <v>-16153.217269229866</v>
      </c>
      <c r="AD43" s="65">
        <f ca="1">SUM(AD37:AD42)</f>
        <v>-15954.522640425139</v>
      </c>
      <c r="AE43" s="61"/>
      <c r="AF43" s="65">
        <f ca="1">SUM(S43:AD43)</f>
        <v>-339562.2764239941</v>
      </c>
      <c r="AG43" s="7"/>
      <c r="AH43" s="84">
        <f ca="1">SUM(AH37:AH42)</f>
        <v>-15554.14927751629</v>
      </c>
      <c r="AI43" s="84">
        <f t="shared" ref="AI43:AO43" ca="1" si="60">SUM(AI37:AI42)</f>
        <v>-47643.396953833457</v>
      </c>
      <c r="AJ43" s="84">
        <f t="shared" ca="1" si="60"/>
        <v>-35211.550134704878</v>
      </c>
      <c r="AK43" s="84">
        <f t="shared" ca="1" si="60"/>
        <v>-14815.379069939072</v>
      </c>
      <c r="AL43" s="84">
        <f t="shared" ca="1" si="60"/>
        <v>-17581.683524124528</v>
      </c>
      <c r="AM43" s="65">
        <f t="shared" ca="1" si="60"/>
        <v>-67069.825198946724</v>
      </c>
      <c r="AN43" s="65">
        <f t="shared" ca="1" si="60"/>
        <v>-10955.589891369191</v>
      </c>
      <c r="AO43" s="65">
        <f t="shared" ca="1" si="60"/>
        <v>-17968.204582963197</v>
      </c>
      <c r="AP43" s="65">
        <f ca="1">SUM(AP37:AP42)</f>
        <v>-75397.655341049584</v>
      </c>
      <c r="AQ43" s="65">
        <f ca="1">SUM(AQ37:AQ42)</f>
        <v>-65130.657933746799</v>
      </c>
      <c r="AR43" s="65">
        <f ca="1">SUM(AR37:AR42)</f>
        <v>-12409.069680863073</v>
      </c>
      <c r="AS43" s="65">
        <f ca="1">SUM(AS37:AS42)</f>
        <v>-15565.385713045403</v>
      </c>
      <c r="AT43" s="61"/>
      <c r="AU43" s="65">
        <f ca="1">SUM(AH43:AS43)</f>
        <v>-395302.5473021022</v>
      </c>
    </row>
    <row r="44" spans="1:47">
      <c r="D44" s="53"/>
      <c r="E44" s="53"/>
      <c r="F44" s="53"/>
      <c r="G44" s="53"/>
      <c r="H44" s="53"/>
      <c r="I44" s="53"/>
      <c r="J44" s="53"/>
      <c r="K44" s="53"/>
      <c r="L44" s="53"/>
      <c r="Q44" s="91">
        <f ca="1">-Q43/Q12</f>
        <v>0.16782918436645622</v>
      </c>
      <c r="AF44" s="91">
        <f ca="1">-AF43/AF12</f>
        <v>0.18482302745222251</v>
      </c>
      <c r="AU44" s="91">
        <f ca="1">-AU43/AU12</f>
        <v>0.18558336455411378</v>
      </c>
    </row>
    <row r="45" spans="1:47" outlineLevel="1">
      <c r="B45" s="67" t="s">
        <v>111</v>
      </c>
      <c r="C45" s="52"/>
      <c r="D45" s="68">
        <f t="shared" ref="D45:K45" si="61">D23+D38</f>
        <v>16895.309999999998</v>
      </c>
      <c r="E45" s="68">
        <f t="shared" si="61"/>
        <v>81559.410000000018</v>
      </c>
      <c r="F45" s="68">
        <f t="shared" si="61"/>
        <v>68712.25</v>
      </c>
      <c r="G45" s="68">
        <f t="shared" si="61"/>
        <v>18302.400000000001</v>
      </c>
      <c r="H45" s="68">
        <f t="shared" si="61"/>
        <v>18471.109999999997</v>
      </c>
      <c r="I45" s="68">
        <f t="shared" si="61"/>
        <v>101779.12999999999</v>
      </c>
      <c r="J45" s="68">
        <f t="shared" si="61"/>
        <v>80326.719999999987</v>
      </c>
      <c r="K45" s="68">
        <f t="shared" si="61"/>
        <v>13513.23</v>
      </c>
      <c r="L45" s="68">
        <f t="shared" ref="L45:O48" si="62">L23+L38</f>
        <v>128689</v>
      </c>
      <c r="M45" s="69">
        <f t="shared" si="62"/>
        <v>172524</v>
      </c>
      <c r="N45" s="69">
        <f t="shared" si="62"/>
        <v>61453</v>
      </c>
      <c r="O45" s="69">
        <f t="shared" si="62"/>
        <v>23861</v>
      </c>
      <c r="P45" s="69"/>
      <c r="Q45" s="69">
        <f>Q23+Q38</f>
        <v>786086.56</v>
      </c>
      <c r="S45" s="85">
        <f t="shared" ref="S45:AD48" si="63">S23+S38</f>
        <v>39426.503722309266</v>
      </c>
      <c r="T45" s="85">
        <f t="shared" si="63"/>
        <v>105435.44842688429</v>
      </c>
      <c r="U45" s="85">
        <f t="shared" si="63"/>
        <v>88153.757735614534</v>
      </c>
      <c r="V45" s="85">
        <f t="shared" si="63"/>
        <v>40697.588973902872</v>
      </c>
      <c r="W45" s="85">
        <f t="shared" si="63"/>
        <v>37230.066939863813</v>
      </c>
      <c r="X45" s="69">
        <f t="shared" si="63"/>
        <v>144005.17667317131</v>
      </c>
      <c r="Y45" s="69">
        <f t="shared" si="63"/>
        <v>40663.168068301049</v>
      </c>
      <c r="Z45" s="69">
        <f t="shared" si="63"/>
        <v>36082.975822156186</v>
      </c>
      <c r="AA45" s="69">
        <f t="shared" si="63"/>
        <v>179198.28037276756</v>
      </c>
      <c r="AB45" s="69">
        <f t="shared" si="63"/>
        <v>151727.0590963549</v>
      </c>
      <c r="AC45" s="69">
        <f t="shared" si="63"/>
        <v>42830.934674219476</v>
      </c>
      <c r="AD45" s="69">
        <f t="shared" si="63"/>
        <v>43751.01033281337</v>
      </c>
      <c r="AE45" s="69"/>
      <c r="AF45" s="69">
        <f>AF23+AF38</f>
        <v>949201.97083835863</v>
      </c>
      <c r="AH45" s="85">
        <f t="shared" ref="AH45:AS48" si="64">AH23+AH38</f>
        <v>42415.869708570252</v>
      </c>
      <c r="AI45" s="85">
        <f t="shared" si="64"/>
        <v>135186.22216035664</v>
      </c>
      <c r="AJ45" s="85">
        <f t="shared" si="64"/>
        <v>97054.203126955166</v>
      </c>
      <c r="AK45" s="85">
        <f t="shared" si="64"/>
        <v>41033.462631877264</v>
      </c>
      <c r="AL45" s="85">
        <f t="shared" si="64"/>
        <v>48377.291909805703</v>
      </c>
      <c r="AM45" s="69">
        <f t="shared" si="64"/>
        <v>192304.43894256742</v>
      </c>
      <c r="AN45" s="69">
        <f t="shared" si="64"/>
        <v>28895.035688559758</v>
      </c>
      <c r="AO45" s="69">
        <f t="shared" si="64"/>
        <v>45565.008013886101</v>
      </c>
      <c r="AP45" s="69">
        <f t="shared" si="64"/>
        <v>219159.44366925757</v>
      </c>
      <c r="AQ45" s="69">
        <f t="shared" si="64"/>
        <v>186602.83621698566</v>
      </c>
      <c r="AR45" s="69">
        <f t="shared" si="64"/>
        <v>31589.106007049533</v>
      </c>
      <c r="AS45" s="69">
        <f t="shared" si="64"/>
        <v>42448.907442131625</v>
      </c>
      <c r="AT45" s="69"/>
      <c r="AU45" s="69">
        <f>AU23+AU38</f>
        <v>1110631.8255180027</v>
      </c>
    </row>
    <row r="46" spans="1:47" outlineLevel="1">
      <c r="B46" s="67" t="s">
        <v>112</v>
      </c>
      <c r="C46" s="52"/>
      <c r="D46" s="68">
        <f t="shared" ref="D46:K46" si="65">D24+D39</f>
        <v>17678.579999999998</v>
      </c>
      <c r="E46" s="68">
        <f t="shared" si="65"/>
        <v>27082.739999999998</v>
      </c>
      <c r="F46" s="68">
        <f t="shared" si="65"/>
        <v>582.44000000000005</v>
      </c>
      <c r="G46" s="68">
        <f t="shared" si="65"/>
        <v>280.57</v>
      </c>
      <c r="H46" s="68">
        <f t="shared" si="65"/>
        <v>1765.74</v>
      </c>
      <c r="I46" s="68">
        <f t="shared" si="65"/>
        <v>1689.5</v>
      </c>
      <c r="J46" s="68">
        <f t="shared" si="65"/>
        <v>1762.8299999999997</v>
      </c>
      <c r="K46" s="68">
        <f t="shared" si="65"/>
        <v>8478.4599999999973</v>
      </c>
      <c r="L46" s="68">
        <f t="shared" si="62"/>
        <v>11933</v>
      </c>
      <c r="M46" s="69">
        <f t="shared" si="62"/>
        <v>7861</v>
      </c>
      <c r="N46" s="69">
        <f t="shared" si="62"/>
        <v>7090</v>
      </c>
      <c r="O46" s="69">
        <f t="shared" si="62"/>
        <v>5677</v>
      </c>
      <c r="P46" s="69"/>
      <c r="Q46" s="69">
        <f>Q24+Q39</f>
        <v>91881.86</v>
      </c>
      <c r="S46" s="85">
        <f t="shared" si="63"/>
        <v>6235.201865816729</v>
      </c>
      <c r="T46" s="85">
        <f t="shared" si="63"/>
        <v>9204.3456114437413</v>
      </c>
      <c r="U46" s="85">
        <f t="shared" si="63"/>
        <v>12173.489357070755</v>
      </c>
      <c r="V46" s="85">
        <f t="shared" si="63"/>
        <v>4750.6299930032219</v>
      </c>
      <c r="W46" s="85">
        <f t="shared" si="63"/>
        <v>6235.201865816729</v>
      </c>
      <c r="X46" s="69">
        <f t="shared" si="63"/>
        <v>9204.3456114437413</v>
      </c>
      <c r="Y46" s="69">
        <f t="shared" si="63"/>
        <v>6235.201865816729</v>
      </c>
      <c r="Z46" s="69">
        <f t="shared" si="63"/>
        <v>13658.061229884263</v>
      </c>
      <c r="AA46" s="69">
        <f t="shared" si="63"/>
        <v>4750.6299930032219</v>
      </c>
      <c r="AB46" s="69">
        <f t="shared" si="63"/>
        <v>9204.3456114437413</v>
      </c>
      <c r="AC46" s="69">
        <f t="shared" si="63"/>
        <v>9204.3456114437413</v>
      </c>
      <c r="AD46" s="69">
        <f t="shared" si="63"/>
        <v>6235.201865816729</v>
      </c>
      <c r="AE46" s="69"/>
      <c r="AF46" s="69">
        <f>AF24+AF39</f>
        <v>97091.000482003335</v>
      </c>
      <c r="AH46" s="85">
        <f t="shared" si="64"/>
        <v>6546.9619591075652</v>
      </c>
      <c r="AI46" s="85">
        <f t="shared" si="64"/>
        <v>9664.5628920159288</v>
      </c>
      <c r="AJ46" s="85">
        <f t="shared" si="64"/>
        <v>12782.163824924293</v>
      </c>
      <c r="AK46" s="85">
        <f t="shared" si="64"/>
        <v>4988.161492653383</v>
      </c>
      <c r="AL46" s="85">
        <f t="shared" si="64"/>
        <v>6546.9619591075652</v>
      </c>
      <c r="AM46" s="69">
        <f t="shared" si="64"/>
        <v>9664.5628920159288</v>
      </c>
      <c r="AN46" s="69">
        <f t="shared" si="64"/>
        <v>6546.9619591075652</v>
      </c>
      <c r="AO46" s="69">
        <f t="shared" si="64"/>
        <v>14340.964291378474</v>
      </c>
      <c r="AP46" s="69">
        <f t="shared" si="64"/>
        <v>4988.161492653383</v>
      </c>
      <c r="AQ46" s="69">
        <f t="shared" si="64"/>
        <v>9664.5628920159288</v>
      </c>
      <c r="AR46" s="69">
        <f t="shared" si="64"/>
        <v>9664.5628920159288</v>
      </c>
      <c r="AS46" s="69">
        <f t="shared" si="64"/>
        <v>6546.9619591075652</v>
      </c>
      <c r="AT46" s="69"/>
      <c r="AU46" s="69">
        <f>AU24+AU39</f>
        <v>101945.55050610349</v>
      </c>
    </row>
    <row r="47" spans="1:47" outlineLevel="1">
      <c r="B47" s="67" t="s">
        <v>113</v>
      </c>
      <c r="C47" s="52"/>
      <c r="D47" s="68">
        <f t="shared" ref="D47:K47" si="66">D25+D40</f>
        <v>0</v>
      </c>
      <c r="E47" s="68">
        <f t="shared" si="66"/>
        <v>0</v>
      </c>
      <c r="F47" s="68">
        <f t="shared" si="66"/>
        <v>0</v>
      </c>
      <c r="G47" s="68">
        <f t="shared" si="66"/>
        <v>0</v>
      </c>
      <c r="H47" s="68">
        <f t="shared" si="66"/>
        <v>0</v>
      </c>
      <c r="I47" s="68">
        <f t="shared" si="66"/>
        <v>0</v>
      </c>
      <c r="J47" s="68">
        <f t="shared" si="66"/>
        <v>0</v>
      </c>
      <c r="K47" s="68">
        <f t="shared" si="66"/>
        <v>0</v>
      </c>
      <c r="L47" s="68">
        <f t="shared" ca="1" si="62"/>
        <v>0</v>
      </c>
      <c r="M47" s="69">
        <f t="shared" si="62"/>
        <v>0</v>
      </c>
      <c r="N47" s="69">
        <f t="shared" si="62"/>
        <v>0</v>
      </c>
      <c r="O47" s="69">
        <f t="shared" si="62"/>
        <v>0</v>
      </c>
      <c r="P47" s="69"/>
      <c r="Q47" s="69">
        <f ca="1">Q25+Q40</f>
        <v>0</v>
      </c>
      <c r="S47" s="85">
        <f t="shared" ca="1" si="63"/>
        <v>0</v>
      </c>
      <c r="T47" s="85">
        <f t="shared" ca="1" si="63"/>
        <v>0</v>
      </c>
      <c r="U47" s="85">
        <f t="shared" ca="1" si="63"/>
        <v>0</v>
      </c>
      <c r="V47" s="85">
        <f t="shared" ca="1" si="63"/>
        <v>0</v>
      </c>
      <c r="W47" s="85">
        <f t="shared" ca="1" si="63"/>
        <v>0</v>
      </c>
      <c r="X47" s="69">
        <f t="shared" ca="1" si="63"/>
        <v>0</v>
      </c>
      <c r="Y47" s="69">
        <f t="shared" ca="1" si="63"/>
        <v>0</v>
      </c>
      <c r="Z47" s="69">
        <f t="shared" ca="1" si="63"/>
        <v>0</v>
      </c>
      <c r="AA47" s="69">
        <f t="shared" ca="1" si="63"/>
        <v>0</v>
      </c>
      <c r="AB47" s="69">
        <f t="shared" ca="1" si="63"/>
        <v>0</v>
      </c>
      <c r="AC47" s="69">
        <f t="shared" ca="1" si="63"/>
        <v>0</v>
      </c>
      <c r="AD47" s="69">
        <f t="shared" ca="1" si="63"/>
        <v>0</v>
      </c>
      <c r="AE47" s="69"/>
      <c r="AF47" s="69">
        <f ca="1">AF25+AF40</f>
        <v>0</v>
      </c>
      <c r="AH47" s="85">
        <f t="shared" ca="1" si="64"/>
        <v>0</v>
      </c>
      <c r="AI47" s="85">
        <f t="shared" ca="1" si="64"/>
        <v>0</v>
      </c>
      <c r="AJ47" s="85">
        <f t="shared" ca="1" si="64"/>
        <v>0</v>
      </c>
      <c r="AK47" s="85">
        <f t="shared" ca="1" si="64"/>
        <v>0</v>
      </c>
      <c r="AL47" s="85">
        <f t="shared" ca="1" si="64"/>
        <v>0</v>
      </c>
      <c r="AM47" s="69">
        <f t="shared" ca="1" si="64"/>
        <v>0</v>
      </c>
      <c r="AN47" s="69">
        <f t="shared" ca="1" si="64"/>
        <v>0</v>
      </c>
      <c r="AO47" s="69">
        <f t="shared" ca="1" si="64"/>
        <v>0</v>
      </c>
      <c r="AP47" s="69">
        <f t="shared" ca="1" si="64"/>
        <v>0</v>
      </c>
      <c r="AQ47" s="69">
        <f t="shared" ca="1" si="64"/>
        <v>0</v>
      </c>
      <c r="AR47" s="69">
        <f t="shared" ca="1" si="64"/>
        <v>0</v>
      </c>
      <c r="AS47" s="69">
        <f t="shared" ca="1" si="64"/>
        <v>0</v>
      </c>
      <c r="AT47" s="69"/>
      <c r="AU47" s="69">
        <f ca="1">AU25+AU40</f>
        <v>0</v>
      </c>
    </row>
    <row r="48" spans="1:47" outlineLevel="1">
      <c r="B48" s="67" t="s">
        <v>114</v>
      </c>
      <c r="C48" s="52"/>
      <c r="D48" s="68">
        <f t="shared" ref="D48:K48" si="67">D26+D41</f>
        <v>0</v>
      </c>
      <c r="E48" s="68">
        <f t="shared" si="67"/>
        <v>0</v>
      </c>
      <c r="F48" s="68">
        <f t="shared" si="67"/>
        <v>0</v>
      </c>
      <c r="G48" s="68">
        <f t="shared" si="67"/>
        <v>0</v>
      </c>
      <c r="H48" s="68">
        <f t="shared" si="67"/>
        <v>0</v>
      </c>
      <c r="I48" s="68">
        <f t="shared" si="67"/>
        <v>0</v>
      </c>
      <c r="J48" s="68">
        <f t="shared" si="67"/>
        <v>0</v>
      </c>
      <c r="K48" s="68">
        <f t="shared" si="67"/>
        <v>0</v>
      </c>
      <c r="L48" s="68">
        <f t="shared" si="62"/>
        <v>0</v>
      </c>
      <c r="M48" s="69">
        <f t="shared" si="62"/>
        <v>0</v>
      </c>
      <c r="N48" s="69">
        <f t="shared" si="62"/>
        <v>0</v>
      </c>
      <c r="O48" s="69">
        <f t="shared" si="62"/>
        <v>0</v>
      </c>
      <c r="P48" s="69"/>
      <c r="Q48" s="69">
        <f>Q26+Q41</f>
        <v>0</v>
      </c>
      <c r="S48" s="85">
        <f t="shared" si="63"/>
        <v>0</v>
      </c>
      <c r="T48" s="85">
        <f t="shared" si="63"/>
        <v>0</v>
      </c>
      <c r="U48" s="85">
        <f t="shared" si="63"/>
        <v>0</v>
      </c>
      <c r="V48" s="85">
        <f t="shared" si="63"/>
        <v>0</v>
      </c>
      <c r="W48" s="85">
        <f t="shared" si="63"/>
        <v>0</v>
      </c>
      <c r="X48" s="69">
        <f t="shared" si="63"/>
        <v>0</v>
      </c>
      <c r="Y48" s="69">
        <f t="shared" si="63"/>
        <v>0</v>
      </c>
      <c r="Z48" s="69">
        <f t="shared" si="63"/>
        <v>0</v>
      </c>
      <c r="AA48" s="69">
        <f t="shared" si="63"/>
        <v>0</v>
      </c>
      <c r="AB48" s="69">
        <f t="shared" si="63"/>
        <v>0</v>
      </c>
      <c r="AC48" s="69">
        <f t="shared" si="63"/>
        <v>0</v>
      </c>
      <c r="AD48" s="69">
        <f t="shared" si="63"/>
        <v>0</v>
      </c>
      <c r="AE48" s="69"/>
      <c r="AF48" s="69">
        <f>AF26+AF41</f>
        <v>0</v>
      </c>
      <c r="AH48" s="85">
        <f t="shared" si="64"/>
        <v>0</v>
      </c>
      <c r="AI48" s="85">
        <f t="shared" si="64"/>
        <v>0</v>
      </c>
      <c r="AJ48" s="85">
        <f t="shared" si="64"/>
        <v>0</v>
      </c>
      <c r="AK48" s="85">
        <f t="shared" si="64"/>
        <v>0</v>
      </c>
      <c r="AL48" s="85">
        <f t="shared" si="64"/>
        <v>0</v>
      </c>
      <c r="AM48" s="69">
        <f t="shared" si="64"/>
        <v>0</v>
      </c>
      <c r="AN48" s="69">
        <f t="shared" si="64"/>
        <v>0</v>
      </c>
      <c r="AO48" s="69">
        <f t="shared" si="64"/>
        <v>0</v>
      </c>
      <c r="AP48" s="69">
        <f t="shared" si="64"/>
        <v>0</v>
      </c>
      <c r="AQ48" s="69">
        <f t="shared" si="64"/>
        <v>0</v>
      </c>
      <c r="AR48" s="69">
        <f t="shared" si="64"/>
        <v>0</v>
      </c>
      <c r="AS48" s="69">
        <f t="shared" si="64"/>
        <v>0</v>
      </c>
      <c r="AT48" s="69"/>
      <c r="AU48" s="69">
        <f>AU26+AU41</f>
        <v>0</v>
      </c>
    </row>
    <row r="49" spans="2:47">
      <c r="B49" s="67" t="s">
        <v>115</v>
      </c>
      <c r="C49" s="52"/>
      <c r="D49" s="68">
        <f t="shared" ref="D49:K49" si="68">D27+D43</f>
        <v>34573.89</v>
      </c>
      <c r="E49" s="68">
        <f t="shared" si="68"/>
        <v>108642.15</v>
      </c>
      <c r="F49" s="68">
        <f t="shared" si="68"/>
        <v>69294.69</v>
      </c>
      <c r="G49" s="68">
        <f t="shared" si="68"/>
        <v>18582.97</v>
      </c>
      <c r="H49" s="68">
        <f t="shared" si="68"/>
        <v>20236.849999999999</v>
      </c>
      <c r="I49" s="68">
        <f t="shared" si="68"/>
        <v>103468.63</v>
      </c>
      <c r="J49" s="68">
        <f t="shared" si="68"/>
        <v>82089.549999999988</v>
      </c>
      <c r="K49" s="68">
        <f t="shared" si="68"/>
        <v>21991.689999999991</v>
      </c>
      <c r="L49" s="68">
        <f t="shared" ref="L49:Q49" ca="1" si="69">L27+L43</f>
        <v>140622</v>
      </c>
      <c r="M49" s="69">
        <f t="shared" si="69"/>
        <v>180385</v>
      </c>
      <c r="N49" s="69">
        <f t="shared" si="69"/>
        <v>68543</v>
      </c>
      <c r="O49" s="69">
        <f t="shared" si="69"/>
        <v>29538</v>
      </c>
      <c r="P49" s="69"/>
      <c r="Q49" s="69">
        <f t="shared" ca="1" si="69"/>
        <v>877968.42000000027</v>
      </c>
      <c r="S49" s="85">
        <f ca="1">S27+S43</f>
        <v>45661.70558812598</v>
      </c>
      <c r="T49" s="85">
        <f t="shared" ref="T49:AD49" ca="1" si="70">T27+T43</f>
        <v>114639.79403832802</v>
      </c>
      <c r="U49" s="85">
        <f t="shared" ca="1" si="70"/>
        <v>100327.24709268528</v>
      </c>
      <c r="V49" s="85">
        <f t="shared" ca="1" si="70"/>
        <v>45448.21896690609</v>
      </c>
      <c r="W49" s="85">
        <f t="shared" ca="1" si="70"/>
        <v>43465.268805680535</v>
      </c>
      <c r="X49" s="69">
        <f t="shared" ca="1" si="70"/>
        <v>153209.522284615</v>
      </c>
      <c r="Y49" s="69">
        <f t="shared" ca="1" si="70"/>
        <v>46898.369934117771</v>
      </c>
      <c r="Z49" s="69">
        <f t="shared" ca="1" si="70"/>
        <v>49741.037052040439</v>
      </c>
      <c r="AA49" s="69">
        <f t="shared" ca="1" si="70"/>
        <v>183948.91036577075</v>
      </c>
      <c r="AB49" s="69">
        <f t="shared" ca="1" si="70"/>
        <v>160931.40470779868</v>
      </c>
      <c r="AC49" s="69">
        <f t="shared" ca="1" si="70"/>
        <v>52035.280285663219</v>
      </c>
      <c r="AD49" s="69">
        <f t="shared" ca="1" si="70"/>
        <v>49986.212198630099</v>
      </c>
      <c r="AE49" s="69"/>
      <c r="AF49" s="69">
        <f t="shared" ref="AF49" ca="1" si="71">AF27+AF43</f>
        <v>1046292.9713203619</v>
      </c>
      <c r="AH49" s="85">
        <f ca="1">AH27+AH43</f>
        <v>48962.831667677819</v>
      </c>
      <c r="AI49" s="85">
        <f t="shared" ref="AI49:AS49" ca="1" si="72">AI27+AI43</f>
        <v>144850.78505237255</v>
      </c>
      <c r="AJ49" s="85">
        <f t="shared" ca="1" si="72"/>
        <v>109836.36695187946</v>
      </c>
      <c r="AK49" s="85">
        <f t="shared" ca="1" si="72"/>
        <v>46021.624124530652</v>
      </c>
      <c r="AL49" s="85">
        <f t="shared" ca="1" si="72"/>
        <v>54924.253868913278</v>
      </c>
      <c r="AM49" s="69">
        <f t="shared" ca="1" si="72"/>
        <v>201969.00183458332</v>
      </c>
      <c r="AN49" s="69">
        <f t="shared" ca="1" si="72"/>
        <v>35441.997647667318</v>
      </c>
      <c r="AO49" s="69">
        <f t="shared" ca="1" si="72"/>
        <v>59905.972305264586</v>
      </c>
      <c r="AP49" s="69">
        <f t="shared" ca="1" si="72"/>
        <v>224147.60516191093</v>
      </c>
      <c r="AQ49" s="69">
        <f t="shared" ca="1" si="72"/>
        <v>196267.39910900162</v>
      </c>
      <c r="AR49" s="69">
        <f t="shared" ca="1" si="72"/>
        <v>41253.668899065458</v>
      </c>
      <c r="AS49" s="69">
        <f t="shared" ca="1" si="72"/>
        <v>48995.869401239186</v>
      </c>
      <c r="AT49" s="69"/>
      <c r="AU49" s="69">
        <f t="shared" ref="AU49" ca="1" si="73">AU27+AU43</f>
        <v>1212577.3760241063</v>
      </c>
    </row>
    <row r="50" spans="2:47">
      <c r="B50" s="52"/>
      <c r="C50" s="52"/>
      <c r="D50" s="70"/>
      <c r="E50" s="70"/>
      <c r="F50" s="70"/>
      <c r="G50" s="70"/>
      <c r="H50" s="70"/>
      <c r="I50" s="70"/>
      <c r="J50" s="70"/>
      <c r="K50" s="70"/>
      <c r="L50" s="70"/>
      <c r="M50" s="52"/>
      <c r="N50" s="52"/>
      <c r="O50" s="52"/>
      <c r="P50" s="52"/>
      <c r="S50" s="10"/>
      <c r="T50" s="10"/>
      <c r="U50" s="10"/>
      <c r="V50" s="10"/>
      <c r="W50" s="10"/>
      <c r="X50" s="52"/>
      <c r="Y50" s="52"/>
      <c r="Z50" s="52"/>
      <c r="AA50" s="52"/>
      <c r="AB50" s="52"/>
      <c r="AC50" s="52"/>
      <c r="AD50" s="52"/>
      <c r="AE50" s="52"/>
      <c r="AH50" s="10"/>
      <c r="AI50" s="10"/>
      <c r="AJ50" s="10"/>
      <c r="AK50" s="10"/>
      <c r="AL50" s="10"/>
      <c r="AM50" s="52"/>
      <c r="AN50" s="52"/>
      <c r="AO50" s="52"/>
      <c r="AP50" s="52"/>
      <c r="AQ50" s="52"/>
      <c r="AR50" s="52"/>
      <c r="AS50" s="52"/>
      <c r="AT50" s="52"/>
    </row>
    <row r="51" spans="2:47" outlineLevel="1">
      <c r="B51" s="67" t="s">
        <v>116</v>
      </c>
      <c r="C51" s="52"/>
      <c r="D51" s="97">
        <f t="shared" ref="D51:K51" si="74">IFERROR(D45/D7,0)</f>
        <v>0.57489469531140203</v>
      </c>
      <c r="E51" s="97">
        <f t="shared" si="74"/>
        <v>0.58982838082910838</v>
      </c>
      <c r="F51" s="97">
        <f t="shared" si="74"/>
        <v>0.54822367304056541</v>
      </c>
      <c r="G51" s="97">
        <f t="shared" si="74"/>
        <v>0.6303647163283006</v>
      </c>
      <c r="H51" s="97">
        <f t="shared" si="74"/>
        <v>0.62108349187327283</v>
      </c>
      <c r="I51" s="97">
        <f t="shared" si="74"/>
        <v>0.56166940522851461</v>
      </c>
      <c r="J51" s="97">
        <f t="shared" si="74"/>
        <v>0.53993493763674949</v>
      </c>
      <c r="K51" s="97">
        <f t="shared" si="74"/>
        <v>0.53865403756443075</v>
      </c>
      <c r="L51" s="97">
        <f t="shared" ref="L51:O54" si="75">IFERROR(L45/L7,0)</f>
        <v>0.51554788154605469</v>
      </c>
      <c r="M51" s="91">
        <f t="shared" si="75"/>
        <v>0.55652903225806449</v>
      </c>
      <c r="N51" s="91">
        <f t="shared" si="75"/>
        <v>0.58652910073109743</v>
      </c>
      <c r="O51" s="91">
        <f t="shared" si="75"/>
        <v>0.59652499999999997</v>
      </c>
      <c r="P51" s="91"/>
      <c r="Q51" s="91">
        <f>IFERROR(Q45/Q7,0)</f>
        <v>0.5570213579641935</v>
      </c>
      <c r="S51" s="91">
        <f t="shared" ref="S51:AD54" si="76">IFERROR(S45/S7,0)</f>
        <v>0.56711798374640376</v>
      </c>
      <c r="T51" s="91">
        <f t="shared" si="76"/>
        <v>0.56711798374640376</v>
      </c>
      <c r="U51" s="91">
        <f t="shared" si="76"/>
        <v>0.56711798374640365</v>
      </c>
      <c r="V51" s="91">
        <f t="shared" si="76"/>
        <v>0.56711798374640365</v>
      </c>
      <c r="W51" s="91">
        <f t="shared" si="76"/>
        <v>0.56711798374640376</v>
      </c>
      <c r="X51" s="91">
        <f t="shared" si="76"/>
        <v>0.56711798374640376</v>
      </c>
      <c r="Y51" s="91">
        <f t="shared" si="76"/>
        <v>0.56711798374640376</v>
      </c>
      <c r="Z51" s="91">
        <f t="shared" si="76"/>
        <v>0.56711798374640365</v>
      </c>
      <c r="AA51" s="91">
        <f t="shared" si="76"/>
        <v>0.56711798374640376</v>
      </c>
      <c r="AB51" s="91">
        <f t="shared" si="76"/>
        <v>0.56711798374640365</v>
      </c>
      <c r="AC51" s="91">
        <f t="shared" si="76"/>
        <v>0.56711798374640365</v>
      </c>
      <c r="AD51" s="91">
        <f t="shared" si="76"/>
        <v>0.56711798374640365</v>
      </c>
      <c r="AE51" s="91"/>
      <c r="AF51" s="91">
        <f>IFERROR(AF45/AF7,0)</f>
        <v>0.56711798374640365</v>
      </c>
      <c r="AH51" s="91">
        <f t="shared" ref="AH51:AS54" si="77">IFERROR(AH45/AH7,0)</f>
        <v>0.56711798374640365</v>
      </c>
      <c r="AI51" s="91">
        <f t="shared" si="77"/>
        <v>0.56711798374640376</v>
      </c>
      <c r="AJ51" s="91">
        <f t="shared" si="77"/>
        <v>0.56711798374640365</v>
      </c>
      <c r="AK51" s="91">
        <f t="shared" si="77"/>
        <v>0.56711798374640365</v>
      </c>
      <c r="AL51" s="91">
        <f t="shared" si="77"/>
        <v>0.56711798374640365</v>
      </c>
      <c r="AM51" s="91">
        <f t="shared" si="77"/>
        <v>0.56711798374640365</v>
      </c>
      <c r="AN51" s="91">
        <f t="shared" si="77"/>
        <v>0.56711798374640365</v>
      </c>
      <c r="AO51" s="91">
        <f t="shared" si="77"/>
        <v>0.56711798374640365</v>
      </c>
      <c r="AP51" s="91">
        <f t="shared" si="77"/>
        <v>0.56711798374640365</v>
      </c>
      <c r="AQ51" s="91">
        <f t="shared" si="77"/>
        <v>0.56711798374640365</v>
      </c>
      <c r="AR51" s="91">
        <f t="shared" si="77"/>
        <v>0.56711798374640376</v>
      </c>
      <c r="AS51" s="91">
        <f t="shared" si="77"/>
        <v>0.56711798374640365</v>
      </c>
      <c r="AT51" s="91"/>
      <c r="AU51" s="91">
        <f>IFERROR(AU45/AU7,0)</f>
        <v>0.56711798374640365</v>
      </c>
    </row>
    <row r="52" spans="2:47" outlineLevel="1">
      <c r="B52" s="67" t="s">
        <v>117</v>
      </c>
      <c r="C52" s="52"/>
      <c r="D52" s="97">
        <f t="shared" ref="D52:K52" si="78">IFERROR(D46/D8,0)</f>
        <v>0.55532526832406459</v>
      </c>
      <c r="E52" s="97">
        <f t="shared" si="78"/>
        <v>0.61853936702966017</v>
      </c>
      <c r="F52" s="97">
        <f t="shared" si="78"/>
        <v>0.75414336026517503</v>
      </c>
      <c r="G52" s="97">
        <f t="shared" si="78"/>
        <v>0.56042265899648447</v>
      </c>
      <c r="H52" s="97">
        <f t="shared" si="78"/>
        <v>0.54660611632723188</v>
      </c>
      <c r="I52" s="97">
        <f t="shared" si="78"/>
        <v>0.5410399367212243</v>
      </c>
      <c r="J52" s="97">
        <f t="shared" si="78"/>
        <v>0.33917535690922379</v>
      </c>
      <c r="K52" s="97">
        <f t="shared" si="78"/>
        <v>0.42231272159256744</v>
      </c>
      <c r="L52" s="97">
        <f t="shared" si="75"/>
        <v>0.98408378690417286</v>
      </c>
      <c r="M52" s="91">
        <f t="shared" si="75"/>
        <v>0.58998799159411586</v>
      </c>
      <c r="N52" s="91">
        <f t="shared" si="75"/>
        <v>0.58999750353665636</v>
      </c>
      <c r="O52" s="91">
        <f t="shared" si="75"/>
        <v>0.59000207856994391</v>
      </c>
      <c r="P52" s="91"/>
      <c r="Q52" s="91">
        <f>IFERROR(Q46/Q8,0)</f>
        <v>0.59046885092447832</v>
      </c>
      <c r="S52" s="91">
        <f t="shared" si="76"/>
        <v>0.59382874912540273</v>
      </c>
      <c r="T52" s="91">
        <f t="shared" si="76"/>
        <v>0.59382874912540262</v>
      </c>
      <c r="U52" s="91">
        <f t="shared" si="76"/>
        <v>0.59382874912540273</v>
      </c>
      <c r="V52" s="91">
        <f t="shared" si="76"/>
        <v>0.59382874912540273</v>
      </c>
      <c r="W52" s="91">
        <f t="shared" si="76"/>
        <v>0.59382874912540273</v>
      </c>
      <c r="X52" s="91">
        <f t="shared" si="76"/>
        <v>0.59382874912540262</v>
      </c>
      <c r="Y52" s="91">
        <f t="shared" si="76"/>
        <v>0.59382874912540273</v>
      </c>
      <c r="Z52" s="91">
        <f t="shared" si="76"/>
        <v>0.59382874912540273</v>
      </c>
      <c r="AA52" s="91">
        <f t="shared" si="76"/>
        <v>0.59382874912540273</v>
      </c>
      <c r="AB52" s="91">
        <f t="shared" si="76"/>
        <v>0.59382874912540262</v>
      </c>
      <c r="AC52" s="91">
        <f t="shared" si="76"/>
        <v>0.59382874912540262</v>
      </c>
      <c r="AD52" s="91">
        <f t="shared" si="76"/>
        <v>0.59382874912540273</v>
      </c>
      <c r="AE52" s="91"/>
      <c r="AF52" s="91">
        <f>IFERROR(AF46/AF8,0)</f>
        <v>0.59382874912540262</v>
      </c>
      <c r="AH52" s="91">
        <f t="shared" si="77"/>
        <v>0.59382874912540273</v>
      </c>
      <c r="AI52" s="91">
        <f t="shared" si="77"/>
        <v>0.59382874912540273</v>
      </c>
      <c r="AJ52" s="91">
        <f t="shared" si="77"/>
        <v>0.59382874912540273</v>
      </c>
      <c r="AK52" s="91">
        <f t="shared" si="77"/>
        <v>0.59382874912540273</v>
      </c>
      <c r="AL52" s="91">
        <f t="shared" si="77"/>
        <v>0.59382874912540273</v>
      </c>
      <c r="AM52" s="91">
        <f t="shared" si="77"/>
        <v>0.59382874912540273</v>
      </c>
      <c r="AN52" s="91">
        <f t="shared" si="77"/>
        <v>0.59382874912540273</v>
      </c>
      <c r="AO52" s="91">
        <f t="shared" si="77"/>
        <v>0.59382874912540262</v>
      </c>
      <c r="AP52" s="91">
        <f t="shared" si="77"/>
        <v>0.59382874912540273</v>
      </c>
      <c r="AQ52" s="91">
        <f t="shared" si="77"/>
        <v>0.59382874912540273</v>
      </c>
      <c r="AR52" s="91">
        <f t="shared" si="77"/>
        <v>0.59382874912540273</v>
      </c>
      <c r="AS52" s="91">
        <f t="shared" si="77"/>
        <v>0.59382874912540273</v>
      </c>
      <c r="AT52" s="91"/>
      <c r="AU52" s="91">
        <f>IFERROR(AU46/AU8,0)</f>
        <v>0.59382874912540262</v>
      </c>
    </row>
    <row r="53" spans="2:47" outlineLevel="1">
      <c r="B53" s="67" t="s">
        <v>118</v>
      </c>
      <c r="C53" s="52"/>
      <c r="D53" s="97">
        <f t="shared" ref="D53:K53" si="79">IFERROR(D47/D9,0)</f>
        <v>0</v>
      </c>
      <c r="E53" s="97">
        <f t="shared" si="79"/>
        <v>0</v>
      </c>
      <c r="F53" s="97">
        <f t="shared" si="79"/>
        <v>0</v>
      </c>
      <c r="G53" s="97">
        <f t="shared" si="79"/>
        <v>0</v>
      </c>
      <c r="H53" s="97">
        <f t="shared" si="79"/>
        <v>0</v>
      </c>
      <c r="I53" s="97">
        <f t="shared" si="79"/>
        <v>0</v>
      </c>
      <c r="J53" s="97">
        <f t="shared" si="79"/>
        <v>0</v>
      </c>
      <c r="K53" s="97">
        <f t="shared" si="79"/>
        <v>0</v>
      </c>
      <c r="L53" s="97">
        <f t="shared" ca="1" si="75"/>
        <v>0</v>
      </c>
      <c r="M53" s="91">
        <f t="shared" si="75"/>
        <v>0</v>
      </c>
      <c r="N53" s="91">
        <f t="shared" si="75"/>
        <v>0</v>
      </c>
      <c r="O53" s="91">
        <f t="shared" si="75"/>
        <v>0</v>
      </c>
      <c r="P53" s="91"/>
      <c r="Q53" s="91">
        <f ca="1">IFERROR(Q47/Q9,0)</f>
        <v>0</v>
      </c>
      <c r="S53" s="91">
        <f t="shared" ca="1" si="76"/>
        <v>0</v>
      </c>
      <c r="T53" s="91">
        <f t="shared" ca="1" si="76"/>
        <v>0</v>
      </c>
      <c r="U53" s="91">
        <f t="shared" ca="1" si="76"/>
        <v>0</v>
      </c>
      <c r="V53" s="91">
        <f t="shared" ca="1" si="76"/>
        <v>0</v>
      </c>
      <c r="W53" s="91">
        <f t="shared" ca="1" si="76"/>
        <v>0</v>
      </c>
      <c r="X53" s="91">
        <f t="shared" ca="1" si="76"/>
        <v>0</v>
      </c>
      <c r="Y53" s="91">
        <f t="shared" ca="1" si="76"/>
        <v>0</v>
      </c>
      <c r="Z53" s="91">
        <f t="shared" ca="1" si="76"/>
        <v>0</v>
      </c>
      <c r="AA53" s="91">
        <f t="shared" ca="1" si="76"/>
        <v>0</v>
      </c>
      <c r="AB53" s="91">
        <f t="shared" ca="1" si="76"/>
        <v>0</v>
      </c>
      <c r="AC53" s="91">
        <f t="shared" ca="1" si="76"/>
        <v>0</v>
      </c>
      <c r="AD53" s="91">
        <f t="shared" ca="1" si="76"/>
        <v>0</v>
      </c>
      <c r="AE53" s="91"/>
      <c r="AF53" s="91">
        <f ca="1">IFERROR(AF47/AF9,0)</f>
        <v>0</v>
      </c>
      <c r="AH53" s="91">
        <f t="shared" ca="1" si="77"/>
        <v>0</v>
      </c>
      <c r="AI53" s="91">
        <f t="shared" ca="1" si="77"/>
        <v>0</v>
      </c>
      <c r="AJ53" s="91">
        <f t="shared" ca="1" si="77"/>
        <v>0</v>
      </c>
      <c r="AK53" s="91">
        <f t="shared" ca="1" si="77"/>
        <v>0</v>
      </c>
      <c r="AL53" s="91">
        <f t="shared" ca="1" si="77"/>
        <v>0</v>
      </c>
      <c r="AM53" s="91">
        <f t="shared" ca="1" si="77"/>
        <v>0</v>
      </c>
      <c r="AN53" s="91">
        <f t="shared" ca="1" si="77"/>
        <v>0</v>
      </c>
      <c r="AO53" s="91">
        <f t="shared" ca="1" si="77"/>
        <v>0</v>
      </c>
      <c r="AP53" s="91">
        <f t="shared" ca="1" si="77"/>
        <v>0</v>
      </c>
      <c r="AQ53" s="91">
        <f t="shared" ca="1" si="77"/>
        <v>0</v>
      </c>
      <c r="AR53" s="91">
        <f t="shared" ca="1" si="77"/>
        <v>0</v>
      </c>
      <c r="AS53" s="91">
        <f t="shared" ca="1" si="77"/>
        <v>0</v>
      </c>
      <c r="AT53" s="91"/>
      <c r="AU53" s="91">
        <f ca="1">IFERROR(AU47/AU9,0)</f>
        <v>0</v>
      </c>
    </row>
    <row r="54" spans="2:47" outlineLevel="1">
      <c r="B54" s="67" t="s">
        <v>119</v>
      </c>
      <c r="C54" s="52"/>
      <c r="D54" s="97">
        <f t="shared" ref="D54:K54" si="80">IFERROR(D48/D10,0)</f>
        <v>0</v>
      </c>
      <c r="E54" s="97">
        <f t="shared" si="80"/>
        <v>0</v>
      </c>
      <c r="F54" s="97">
        <f t="shared" si="80"/>
        <v>0</v>
      </c>
      <c r="G54" s="97">
        <f t="shared" si="80"/>
        <v>0</v>
      </c>
      <c r="H54" s="97">
        <f t="shared" si="80"/>
        <v>0</v>
      </c>
      <c r="I54" s="97">
        <f t="shared" si="80"/>
        <v>0</v>
      </c>
      <c r="J54" s="97">
        <f t="shared" si="80"/>
        <v>0</v>
      </c>
      <c r="K54" s="97">
        <f t="shared" si="80"/>
        <v>0</v>
      </c>
      <c r="L54" s="97">
        <f t="shared" si="75"/>
        <v>0</v>
      </c>
      <c r="M54" s="91">
        <f t="shared" si="75"/>
        <v>0</v>
      </c>
      <c r="N54" s="91">
        <f t="shared" si="75"/>
        <v>0</v>
      </c>
      <c r="O54" s="91">
        <f t="shared" si="75"/>
        <v>0</v>
      </c>
      <c r="P54" s="91"/>
      <c r="Q54" s="91">
        <f>IFERROR(Q48/Q10,0)</f>
        <v>0</v>
      </c>
      <c r="S54" s="91">
        <f t="shared" si="76"/>
        <v>0</v>
      </c>
      <c r="T54" s="91">
        <f t="shared" si="76"/>
        <v>0</v>
      </c>
      <c r="U54" s="91">
        <f t="shared" si="76"/>
        <v>0</v>
      </c>
      <c r="V54" s="91">
        <f t="shared" si="76"/>
        <v>0</v>
      </c>
      <c r="W54" s="91">
        <f t="shared" si="76"/>
        <v>0</v>
      </c>
      <c r="X54" s="91">
        <f t="shared" si="76"/>
        <v>0</v>
      </c>
      <c r="Y54" s="91">
        <f t="shared" si="76"/>
        <v>0</v>
      </c>
      <c r="Z54" s="91">
        <f t="shared" si="76"/>
        <v>0</v>
      </c>
      <c r="AA54" s="91">
        <f t="shared" si="76"/>
        <v>0</v>
      </c>
      <c r="AB54" s="91">
        <f t="shared" si="76"/>
        <v>0</v>
      </c>
      <c r="AC54" s="91">
        <f t="shared" si="76"/>
        <v>0</v>
      </c>
      <c r="AD54" s="91">
        <f t="shared" si="76"/>
        <v>0</v>
      </c>
      <c r="AE54" s="91"/>
      <c r="AF54" s="91">
        <f>IFERROR(AF48/AF10,0)</f>
        <v>0</v>
      </c>
      <c r="AH54" s="91">
        <f t="shared" si="77"/>
        <v>0</v>
      </c>
      <c r="AI54" s="91">
        <f t="shared" si="77"/>
        <v>0</v>
      </c>
      <c r="AJ54" s="91">
        <f t="shared" si="77"/>
        <v>0</v>
      </c>
      <c r="AK54" s="91">
        <f t="shared" si="77"/>
        <v>0</v>
      </c>
      <c r="AL54" s="91">
        <f t="shared" si="77"/>
        <v>0</v>
      </c>
      <c r="AM54" s="91">
        <f t="shared" si="77"/>
        <v>0</v>
      </c>
      <c r="AN54" s="91">
        <f t="shared" si="77"/>
        <v>0</v>
      </c>
      <c r="AO54" s="91">
        <f t="shared" si="77"/>
        <v>0</v>
      </c>
      <c r="AP54" s="91">
        <f t="shared" si="77"/>
        <v>0</v>
      </c>
      <c r="AQ54" s="91">
        <f t="shared" si="77"/>
        <v>0</v>
      </c>
      <c r="AR54" s="91">
        <f t="shared" si="77"/>
        <v>0</v>
      </c>
      <c r="AS54" s="91">
        <f t="shared" si="77"/>
        <v>0</v>
      </c>
      <c r="AT54" s="91"/>
      <c r="AU54" s="91">
        <f>IFERROR(AU48/AU10,0)</f>
        <v>0</v>
      </c>
    </row>
    <row r="55" spans="2:47">
      <c r="B55" s="72" t="s">
        <v>120</v>
      </c>
      <c r="C55" s="73"/>
      <c r="D55" s="97">
        <f t="shared" ref="D55:K55" si="81">IFERROR(D49/D12,0)</f>
        <v>0.5647190434601802</v>
      </c>
      <c r="E55" s="97">
        <f t="shared" si="81"/>
        <v>0.59673324673256012</v>
      </c>
      <c r="F55" s="97">
        <f t="shared" si="81"/>
        <v>0.54948477691587427</v>
      </c>
      <c r="G55" s="97">
        <f t="shared" si="81"/>
        <v>0.62917915738679808</v>
      </c>
      <c r="H55" s="97">
        <f t="shared" si="81"/>
        <v>0.61378638061710289</v>
      </c>
      <c r="I55" s="97">
        <f t="shared" si="81"/>
        <v>0.56131992816832599</v>
      </c>
      <c r="J55" s="97">
        <f t="shared" si="81"/>
        <v>0.53315804640832076</v>
      </c>
      <c r="K55" s="97">
        <f t="shared" si="81"/>
        <v>0.4869372891124627</v>
      </c>
      <c r="L55" s="97">
        <f t="shared" ref="L55:O55" ca="1" si="82">IFERROR(L49/L12,0)</f>
        <v>0.53725424272757138</v>
      </c>
      <c r="M55" s="91">
        <f t="shared" si="82"/>
        <v>0.55790785713402036</v>
      </c>
      <c r="N55" s="91">
        <f t="shared" si="82"/>
        <v>0.58688597580293</v>
      </c>
      <c r="O55" s="91">
        <f t="shared" si="82"/>
        <v>0.59526016686147276</v>
      </c>
      <c r="P55" s="91"/>
      <c r="Q55" s="91">
        <f ca="1">IFERROR(Q49/Q12,0)</f>
        <v>0.56034314299706789</v>
      </c>
      <c r="S55" s="91">
        <f t="shared" ref="S55:AD55" ca="1" si="83">IFERROR(S49/S12,0)</f>
        <v>0.57062285983221439</v>
      </c>
      <c r="T55" s="91">
        <f t="shared" ca="1" si="83"/>
        <v>0.56917353035419183</v>
      </c>
      <c r="U55" s="91">
        <f t="shared" ca="1" si="83"/>
        <v>0.57023021257917561</v>
      </c>
      <c r="V55" s="91">
        <f t="shared" ca="1" si="83"/>
        <v>0.56979702640761021</v>
      </c>
      <c r="W55" s="91">
        <f t="shared" ca="1" si="83"/>
        <v>0.57080112250158777</v>
      </c>
      <c r="X55" s="91">
        <f t="shared" ca="1" si="83"/>
        <v>0.56865465465924647</v>
      </c>
      <c r="Y55" s="91">
        <f t="shared" ca="1" si="83"/>
        <v>0.57052988364385915</v>
      </c>
      <c r="Z55" s="91">
        <f t="shared" ca="1" si="83"/>
        <v>0.57421000599035921</v>
      </c>
      <c r="AA55" s="91">
        <f t="shared" ca="1" si="83"/>
        <v>0.56777754831137994</v>
      </c>
      <c r="AB55" s="91">
        <f t="shared" ca="1" si="83"/>
        <v>0.56858073125274566</v>
      </c>
      <c r="AC55" s="91">
        <f t="shared" ca="1" si="83"/>
        <v>0.57166642741530793</v>
      </c>
      <c r="AD55" s="91">
        <f t="shared" ca="1" si="83"/>
        <v>0.57031792810786519</v>
      </c>
      <c r="AE55" s="91"/>
      <c r="AF55" s="91">
        <f ca="1">IFERROR(AF49/AF12,0)</f>
        <v>0.56949504697025943</v>
      </c>
      <c r="AH55" s="91">
        <f t="shared" ref="AH55:AS55" ca="1" si="84">IFERROR(AH49/AH12,0)</f>
        <v>0.57054954509715072</v>
      </c>
      <c r="AI55" s="91">
        <f t="shared" ca="1" si="84"/>
        <v>0.56882510840202294</v>
      </c>
      <c r="AJ55" s="91">
        <f t="shared" ca="1" si="84"/>
        <v>0.57010223978022045</v>
      </c>
      <c r="AK55" s="91">
        <f t="shared" ca="1" si="84"/>
        <v>0.56989641465969321</v>
      </c>
      <c r="AL55" s="91">
        <f t="shared" ca="1" si="84"/>
        <v>0.57017507918067745</v>
      </c>
      <c r="AM55" s="91">
        <f t="shared" ca="1" si="84"/>
        <v>0.56834128046884624</v>
      </c>
      <c r="AN55" s="91">
        <f t="shared" ca="1" si="84"/>
        <v>0.57186962636397309</v>
      </c>
      <c r="AO55" s="91">
        <f t="shared" ca="1" si="84"/>
        <v>0.57329115877176329</v>
      </c>
      <c r="AP55" s="91">
        <f t="shared" ca="1" si="84"/>
        <v>0.56768623431478604</v>
      </c>
      <c r="AQ55" s="91">
        <f t="shared" ca="1" si="84"/>
        <v>0.56837689634193211</v>
      </c>
      <c r="AR55" s="91">
        <f t="shared" ca="1" si="84"/>
        <v>0.57315773298128381</v>
      </c>
      <c r="AS55" s="91">
        <f t="shared" ca="1" si="84"/>
        <v>0.57054721721645962</v>
      </c>
      <c r="AT55" s="91"/>
      <c r="AU55" s="91">
        <f ca="1">IFERROR(AU49/AU12,0)</f>
        <v>0.56927077945888993</v>
      </c>
    </row>
    <row r="56" spans="2:47">
      <c r="D56" s="53"/>
      <c r="E56" s="53"/>
      <c r="F56" s="53"/>
      <c r="G56" s="53"/>
      <c r="H56" s="53"/>
      <c r="I56" s="53"/>
      <c r="J56" s="53"/>
      <c r="K56" s="53"/>
      <c r="L56" s="53"/>
      <c r="Q56" s="51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1"/>
      <c r="AE56" s="91"/>
      <c r="AF56" s="91"/>
      <c r="AU56" s="51"/>
    </row>
    <row r="57" spans="2:47" outlineLevel="1">
      <c r="B57" s="58" t="s">
        <v>121</v>
      </c>
      <c r="D57" s="53"/>
      <c r="E57" s="53"/>
      <c r="F57" s="53"/>
      <c r="G57" s="53"/>
      <c r="H57" s="53"/>
      <c r="I57" s="53"/>
      <c r="J57" s="53"/>
      <c r="K57" s="53"/>
      <c r="L57" s="53"/>
      <c r="Q57" s="51"/>
      <c r="AF57" s="51"/>
      <c r="AU57" s="51"/>
    </row>
    <row r="58" spans="2:47" outlineLevel="1">
      <c r="D58" s="53"/>
      <c r="E58" s="53"/>
      <c r="F58" s="53"/>
      <c r="G58" s="53"/>
      <c r="H58" s="53"/>
      <c r="I58" s="53"/>
      <c r="J58" s="53"/>
      <c r="K58" s="53"/>
      <c r="L58" s="53"/>
      <c r="Q58" s="51"/>
      <c r="AF58" s="51"/>
      <c r="AU58" s="51"/>
    </row>
    <row r="59" spans="2:47" outlineLevel="1">
      <c r="B59" s="51" t="s">
        <v>122</v>
      </c>
      <c r="D59" s="59"/>
      <c r="E59" s="59"/>
      <c r="F59" s="59"/>
      <c r="G59" s="59"/>
      <c r="H59" s="59"/>
      <c r="I59" s="59"/>
      <c r="J59" s="59"/>
      <c r="K59" s="59">
        <v>-17.55</v>
      </c>
      <c r="L59" s="59">
        <v>-122</v>
      </c>
      <c r="M59" s="60">
        <v>-2790</v>
      </c>
      <c r="N59" s="60">
        <v>-1572</v>
      </c>
      <c r="O59" s="60">
        <v>-640</v>
      </c>
      <c r="P59" s="60"/>
      <c r="Q59" s="61">
        <f t="shared" ref="Q59:Q69" si="85">SUM(D59:O59)</f>
        <v>-5141.55</v>
      </c>
      <c r="R59" s="60"/>
      <c r="S59" s="60">
        <f>-SUMIF(HU!$C$4:$C$42,"Marketing Budget",HU!Q$4:Q$42)</f>
        <v>-19386.8</v>
      </c>
      <c r="T59" s="60">
        <f>-SUMIF(HU!$C$4:$C$42,"Marketing Budget",HU!R$4:R$42)</f>
        <v>-41722.799999999996</v>
      </c>
      <c r="U59" s="60">
        <f>-SUMIF(HU!$C$4:$C$42,"Marketing Budget",HU!S$4:S$42)</f>
        <v>-41784.600000000006</v>
      </c>
      <c r="V59" s="60">
        <f>-SUMIF(HU!$C$4:$C$42,"Marketing Budget",HU!T$4:T$42)</f>
        <v>-26324.199999999997</v>
      </c>
      <c r="W59" s="60">
        <f>-SUMIF(HU!$C$4:$C$42,"Marketing Budget",HU!U$4:U$42)</f>
        <v>-23503.5</v>
      </c>
      <c r="X59" s="60">
        <f>-SUMIF(HU!$C$4:$C$42,"Marketing Budget",HU!V$4:V$42)</f>
        <v>-57079.5</v>
      </c>
      <c r="Y59" s="60">
        <f>-SUMIF(HU!$C$4:$C$42,"Marketing Budget",HU!W$4:W$42)</f>
        <v>-22495.899999999998</v>
      </c>
      <c r="Z59" s="60">
        <f>-SUMIF(HU!$C$4:$C$42,"Marketing Budget",HU!X$4:X$42)</f>
        <v>-22588.5</v>
      </c>
      <c r="AA59" s="60">
        <f>-SUMIF(HU!$C$4:$C$42,"Marketing Budget",HU!Y$4:Y$42)</f>
        <v>-78000</v>
      </c>
      <c r="AB59" s="60">
        <f>-SUMIF(HU!$C$4:$C$42,"Marketing Budget",HU!Z$4:Z$42)</f>
        <v>-72000</v>
      </c>
      <c r="AC59" s="60">
        <f>-SUMIF(HU!$C$4:$C$42,"Marketing Budget",HU!AA$4:AA$42)</f>
        <v>-24000</v>
      </c>
      <c r="AD59" s="60">
        <f>-SUMIF(HU!$C$4:$C$42,"Marketing Budget",HU!AB$4:AB$42)</f>
        <v>-24000</v>
      </c>
      <c r="AE59" s="60"/>
      <c r="AF59" s="61">
        <f t="shared" ref="AF59" si="86">SUM(S59:AD59)</f>
        <v>-452885.8</v>
      </c>
      <c r="AH59" s="60">
        <f>-SUMIF(HU!$C$4:$C$42,"Marketing Budget",HU!AC$4:AC$42)</f>
        <v>-23264.16</v>
      </c>
      <c r="AI59" s="60">
        <f>-SUMIF(HU!$C$4:$C$42,"Marketing Budget",HU!AD$4:AD$42)</f>
        <v>-58411.919999999991</v>
      </c>
      <c r="AJ59" s="60">
        <f>-SUMIF(HU!$C$4:$C$42,"Marketing Budget",HU!AE$4:AE$42)</f>
        <v>-45963.060000000012</v>
      </c>
      <c r="AK59" s="60">
        <f>-SUMIF(HU!$C$4:$C$42,"Marketing Budget",HU!AF$4:AF$42)</f>
        <v>-28956.62</v>
      </c>
      <c r="AL59" s="60">
        <f>-SUMIF(HU!$C$4:$C$42,"Marketing Budget",HU!AG$4:AG$42)</f>
        <v>-35255.25</v>
      </c>
      <c r="AM59" s="60">
        <f>-SUMIF(HU!$C$4:$C$42,"Marketing Budget",HU!AH$4:AH$42)</f>
        <v>-85619.25</v>
      </c>
      <c r="AN59" s="60">
        <f>-SUMIF(HU!$C$4:$C$42,"Marketing Budget",HU!AI$4:AI$42)</f>
        <v>-15747.129999999997</v>
      </c>
      <c r="AO59" s="60">
        <f>-SUMIF(HU!$C$4:$C$42,"Marketing Budget",HU!AJ$4:AJ$42)</f>
        <v>-29365.05</v>
      </c>
      <c r="AP59" s="60">
        <f>-SUMIF(HU!$C$4:$C$42,"Marketing Budget",HU!AK$4:AK$42)</f>
        <v>-101400</v>
      </c>
      <c r="AQ59" s="60">
        <f>-SUMIF(HU!$C$4:$C$42,"Marketing Budget",HU!AL$4:AL$42)</f>
        <v>-86400</v>
      </c>
      <c r="AR59" s="60">
        <f>-SUMIF(HU!$C$4:$C$42,"Marketing Budget",HU!AM$4:AM$42)</f>
        <v>-16800</v>
      </c>
      <c r="AS59" s="60">
        <f>-SUMIF(HU!$C$4:$C$42,"Marketing Budget",HU!AN$4:AN$42)</f>
        <v>-24000</v>
      </c>
      <c r="AT59" s="60"/>
      <c r="AU59" s="61">
        <f t="shared" ref="AU59" si="87">SUM(AH59:AS59)</f>
        <v>-551182.43999999994</v>
      </c>
    </row>
    <row r="60" spans="2:47" outlineLevel="1">
      <c r="B60" s="51" t="s">
        <v>123</v>
      </c>
      <c r="D60" s="59">
        <v>0</v>
      </c>
      <c r="E60" s="59">
        <v>0</v>
      </c>
      <c r="F60" s="59">
        <v>-353</v>
      </c>
      <c r="G60" s="59">
        <v>0</v>
      </c>
      <c r="H60" s="59">
        <v>-27.75</v>
      </c>
      <c r="I60" s="59">
        <v>0</v>
      </c>
      <c r="J60" s="59">
        <v>-50.55</v>
      </c>
      <c r="K60" s="59">
        <v>-109.08</v>
      </c>
      <c r="L60" s="59">
        <v>-1013</v>
      </c>
      <c r="M60" s="60" t="s">
        <v>184</v>
      </c>
      <c r="N60" s="60">
        <v>-2000</v>
      </c>
      <c r="O60" s="60">
        <v>-3000</v>
      </c>
      <c r="P60" s="60"/>
      <c r="Q60" s="61">
        <f>SUM(D60:O60)</f>
        <v>-6553.38</v>
      </c>
      <c r="S60" s="60">
        <f>-SUMIF(HU!$C$4:$C$42,"Brand Spend",HU!Q$4:Q$42)</f>
        <v>-1000</v>
      </c>
      <c r="T60" s="60">
        <f>-SUMIF(HU!$C$4:$C$42,"Brand Spend",HU!R$4:R$42)</f>
        <v>-1000</v>
      </c>
      <c r="U60" s="60">
        <f>-SUMIF(HU!$C$4:$C$42,"Brand Spend",HU!S$4:S$42)</f>
        <v>-1500</v>
      </c>
      <c r="V60" s="60">
        <f>-SUMIF(HU!$C$4:$C$42,"Brand Spend",HU!T$4:T$42)</f>
        <v>-1000</v>
      </c>
      <c r="W60" s="60">
        <f>-SUMIF(HU!$C$4:$C$42,"Brand Spend",HU!U$4:U$42)</f>
        <v>-1000</v>
      </c>
      <c r="X60" s="60">
        <f>-SUMIF(HU!$C$4:$C$42,"Brand Spend",HU!V$4:V$42)</f>
        <v>-1000</v>
      </c>
      <c r="Y60" s="60">
        <f>-SUMIF(HU!$C$4:$C$42,"Brand Spend",HU!W$4:W$42)</f>
        <v>-1000</v>
      </c>
      <c r="Z60" s="60">
        <f>-SUMIF(HU!$C$4:$C$42,"Brand Spend",HU!X$4:X$42)</f>
        <v>-1000</v>
      </c>
      <c r="AA60" s="60">
        <f>-SUMIF(HU!$C$4:$C$42,"Brand Spend",HU!Y$4:Y$42)</f>
        <v>-1000</v>
      </c>
      <c r="AB60" s="60">
        <f>-SUMIF(HU!$C$4:$C$42,"Brand Spend",HU!Z$4:Z$42)</f>
        <v>-1500</v>
      </c>
      <c r="AC60" s="60">
        <f>-SUMIF(HU!$C$4:$C$42,"Brand Spend",HU!AA$4:AA$42)</f>
        <v>-2000</v>
      </c>
      <c r="AD60" s="60">
        <f>-SUMIF(HU!$C$4:$C$42,"Brand Spend",HU!AB$4:AB$42)</f>
        <v>-1000</v>
      </c>
      <c r="AE60" s="60"/>
      <c r="AF60" s="61">
        <f>SUM(S60:AD60)</f>
        <v>-14000</v>
      </c>
      <c r="AH60" s="60">
        <f>-SUMIF(HU!$C$4:$C$42,"Brand Spend",HU!AC$4:AC$42)</f>
        <v>0</v>
      </c>
      <c r="AI60" s="60">
        <f>-SUMIF(HU!$C$4:$C$42,"Brand Spend",HU!AD$4:AD$42)</f>
        <v>0</v>
      </c>
      <c r="AJ60" s="60">
        <f>-SUMIF(HU!$C$4:$C$42,"Brand Spend",HU!AE$4:AE$42)</f>
        <v>0</v>
      </c>
      <c r="AK60" s="60">
        <f>-SUMIF(HU!$C$4:$C$42,"Brand Spend",HU!AF$4:AF$42)</f>
        <v>0</v>
      </c>
      <c r="AL60" s="60">
        <f>-SUMIF(HU!$C$4:$C$42,"Brand Spend",HU!AG$4:AG$42)</f>
        <v>0</v>
      </c>
      <c r="AM60" s="60">
        <f>-SUMIF(HU!$C$4:$C$42,"Brand Spend",HU!AH$4:AH$42)</f>
        <v>0</v>
      </c>
      <c r="AN60" s="60">
        <f>-SUMIF(HU!$C$4:$C$42,"Brand Spend",HU!AI$4:AI$42)</f>
        <v>0</v>
      </c>
      <c r="AO60" s="60">
        <f>-SUMIF(HU!$C$4:$C$42,"Brand Spend",HU!AJ$4:AJ$42)</f>
        <v>0</v>
      </c>
      <c r="AP60" s="60">
        <f>-SUMIF(HU!$C$4:$C$42,"Brand Spend",HU!AK$4:AK$42)</f>
        <v>0</v>
      </c>
      <c r="AQ60" s="60">
        <f>-SUMIF(HU!$C$4:$C$42,"Brand Spend",HU!AL$4:AL$42)</f>
        <v>0</v>
      </c>
      <c r="AR60" s="60">
        <f>-SUMIF(HU!$C$4:$C$42,"Brand Spend",HU!AM$4:AM$42)</f>
        <v>0</v>
      </c>
      <c r="AS60" s="60">
        <f>-SUMIF(HU!$C$4:$C$42,"Brand Spend",HU!AN$4:AN$42)</f>
        <v>0</v>
      </c>
      <c r="AT60" s="60"/>
      <c r="AU60" s="61">
        <f>SUM(AH60:AS60)</f>
        <v>0</v>
      </c>
    </row>
    <row r="61" spans="2:47" outlineLevel="2">
      <c r="B61" s="51" t="s">
        <v>124</v>
      </c>
      <c r="D61" s="59">
        <v>0</v>
      </c>
      <c r="E61" s="59">
        <v>0</v>
      </c>
      <c r="F61" s="59">
        <v>0</v>
      </c>
      <c r="G61" s="59">
        <v>-1372.44</v>
      </c>
      <c r="H61" s="59">
        <v>-3720.85</v>
      </c>
      <c r="I61" s="59">
        <v>0</v>
      </c>
      <c r="J61" s="59">
        <v>0</v>
      </c>
      <c r="K61" s="59">
        <v>-7205.1</v>
      </c>
      <c r="L61" s="59">
        <v>-29923</v>
      </c>
      <c r="M61" s="60">
        <v>-38000</v>
      </c>
      <c r="N61" s="60">
        <v>-13621</v>
      </c>
      <c r="O61" s="60">
        <v>-6000</v>
      </c>
      <c r="P61" s="60"/>
      <c r="Q61" s="61">
        <f t="shared" si="85"/>
        <v>-99842.39</v>
      </c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1">
        <f t="shared" ref="AF61:AF69" si="88">SUM(S61:AD61)</f>
        <v>0</v>
      </c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1">
        <f t="shared" ref="AU61:AU69" si="89">SUM(AH61:AS61)</f>
        <v>0</v>
      </c>
    </row>
    <row r="62" spans="2:47" outlineLevel="2">
      <c r="B62" s="51" t="s">
        <v>125</v>
      </c>
      <c r="D62" s="59">
        <v>-7148.28</v>
      </c>
      <c r="E62" s="59">
        <v>-21105.48</v>
      </c>
      <c r="F62" s="59">
        <v>-19287.240000000002</v>
      </c>
      <c r="G62" s="59">
        <v>-11597.86</v>
      </c>
      <c r="H62" s="59">
        <v>-9150.66</v>
      </c>
      <c r="I62" s="59">
        <v>-13914.95</v>
      </c>
      <c r="J62" s="59">
        <v>-13930.05</v>
      </c>
      <c r="K62" s="59">
        <v>-3517.48</v>
      </c>
      <c r="L62" s="59">
        <v>-12036</v>
      </c>
      <c r="M62" s="60">
        <v>-12000</v>
      </c>
      <c r="N62" s="60">
        <v>-6286</v>
      </c>
      <c r="O62" s="60">
        <v>-2000</v>
      </c>
      <c r="P62" s="60"/>
      <c r="Q62" s="61">
        <f t="shared" si="85"/>
        <v>-131974</v>
      </c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1">
        <f t="shared" si="88"/>
        <v>0</v>
      </c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1">
        <f t="shared" si="89"/>
        <v>0</v>
      </c>
    </row>
    <row r="63" spans="2:47" outlineLevel="2">
      <c r="B63" s="51" t="s">
        <v>126</v>
      </c>
      <c r="D63" s="59">
        <v>-1200.56</v>
      </c>
      <c r="E63" s="59">
        <v>-2606.4499999999998</v>
      </c>
      <c r="F63" s="59">
        <v>-4647.59</v>
      </c>
      <c r="G63" s="59">
        <v>-1894.6</v>
      </c>
      <c r="H63" s="59">
        <v>-1998.01</v>
      </c>
      <c r="I63" s="59">
        <v>-4703.68</v>
      </c>
      <c r="J63" s="59">
        <v>-5017</v>
      </c>
      <c r="K63" s="59">
        <v>-11576.77</v>
      </c>
      <c r="L63" s="59">
        <v>-25891</v>
      </c>
      <c r="M63" s="60">
        <v>-19000</v>
      </c>
      <c r="N63" s="60">
        <v>-9358</v>
      </c>
      <c r="O63" s="60">
        <v>-3600</v>
      </c>
      <c r="P63" s="60"/>
      <c r="Q63" s="61">
        <f t="shared" si="85"/>
        <v>-91493.66</v>
      </c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1">
        <f t="shared" si="88"/>
        <v>0</v>
      </c>
      <c r="AH63" s="60"/>
      <c r="AI63" s="60"/>
      <c r="AJ63" s="60"/>
      <c r="AK63" s="60"/>
      <c r="AL63" s="60"/>
      <c r="AM63" s="60"/>
      <c r="AN63" s="60"/>
      <c r="AO63" s="60"/>
      <c r="AP63" s="60"/>
      <c r="AQ63" s="60"/>
      <c r="AR63" s="60"/>
      <c r="AS63" s="60"/>
      <c r="AT63" s="60"/>
      <c r="AU63" s="61">
        <f t="shared" si="89"/>
        <v>0</v>
      </c>
    </row>
    <row r="64" spans="2:47" outlineLevel="2">
      <c r="B64" s="51" t="s">
        <v>127</v>
      </c>
      <c r="D64" s="59">
        <v>-3340.89</v>
      </c>
      <c r="E64" s="59">
        <v>-10471.959999999999</v>
      </c>
      <c r="F64" s="59">
        <v>-13733.86</v>
      </c>
      <c r="G64" s="59">
        <v>-5589.5</v>
      </c>
      <c r="H64" s="59">
        <v>-5000.6099999999997</v>
      </c>
      <c r="I64" s="59">
        <v>-12592.71</v>
      </c>
      <c r="J64" s="59">
        <v>-14566.68</v>
      </c>
      <c r="K64" s="59"/>
      <c r="L64" s="59"/>
      <c r="M64" s="60"/>
      <c r="N64" s="60"/>
      <c r="O64" s="60"/>
      <c r="P64" s="60"/>
      <c r="Q64" s="61">
        <f t="shared" si="85"/>
        <v>-65296.21</v>
      </c>
      <c r="S64" s="60">
        <f>-SUMIFS(B2B!V:V,B2B!$B:$B,"HU",B2B!$D:$D,$B64)</f>
        <v>-500</v>
      </c>
      <c r="T64" s="60">
        <f>-SUMIFS(B2B!W:W,B2B!$B:$B,"HU",B2B!$D:$D,$B64)</f>
        <v>-750</v>
      </c>
      <c r="U64" s="60">
        <f>-SUMIFS(B2B!X:X,B2B!$B:$B,"HU",B2B!$D:$D,$B64)</f>
        <v>-1000</v>
      </c>
      <c r="V64" s="60">
        <f>-SUMIFS(B2B!Y:Y,B2B!$B:$B,"HU",B2B!$D:$D,$B64)</f>
        <v>-375</v>
      </c>
      <c r="W64" s="60">
        <f>-SUMIFS(B2B!Z:Z,B2B!$B:$B,"HU",B2B!$D:$D,$B64)</f>
        <v>-500</v>
      </c>
      <c r="X64" s="60">
        <f>-SUMIFS(B2B!AA:AA,B2B!$B:$B,"HU",B2B!$D:$D,$B64)</f>
        <v>-750</v>
      </c>
      <c r="Y64" s="60">
        <f>-SUMIFS(B2B!AB:AB,B2B!$B:$B,"HU",B2B!$D:$D,$B64)</f>
        <v>-500</v>
      </c>
      <c r="Z64" s="60">
        <f>-SUMIFS(B2B!AC:AC,B2B!$B:$B,"HU",B2B!$D:$D,$B64)</f>
        <v>-1125</v>
      </c>
      <c r="AA64" s="60">
        <f>-SUMIFS(B2B!AD:AD,B2B!$B:$B,"HU",B2B!$D:$D,$B64)</f>
        <v>-375</v>
      </c>
      <c r="AB64" s="60">
        <f>-SUMIFS(B2B!AE:AE,B2B!$B:$B,"HU",B2B!$D:$D,$B64)</f>
        <v>-750</v>
      </c>
      <c r="AC64" s="60">
        <f>-SUMIFS(B2B!AF:AF,B2B!$B:$B,"HU",B2B!$D:$D,$B64)</f>
        <v>-750</v>
      </c>
      <c r="AD64" s="60">
        <f>-SUMIFS(B2B!AG:AG,B2B!$B:$B,"HU",B2B!$D:$D,$B64)</f>
        <v>-500</v>
      </c>
      <c r="AE64" s="60"/>
      <c r="AF64" s="61">
        <f t="shared" si="88"/>
        <v>-7875</v>
      </c>
      <c r="AH64" s="60">
        <f>-SUMIFS(B2B!AK:AK,B2B!$B:$B,"HU",B2B!$D:$D,$B64)</f>
        <v>-525</v>
      </c>
      <c r="AI64" s="60">
        <f>-SUMIFS(B2B!AL:AL,B2B!$B:$B,"HU",B2B!$D:$D,$B64)</f>
        <v>-787.5</v>
      </c>
      <c r="AJ64" s="60">
        <f>-SUMIFS(B2B!AM:AM,B2B!$B:$B,"HU",B2B!$D:$D,$B64)</f>
        <v>-1050</v>
      </c>
      <c r="AK64" s="60">
        <f>-SUMIFS(B2B!AN:AN,B2B!$B:$B,"HU",B2B!$D:$D,$B64)</f>
        <v>-393.75</v>
      </c>
      <c r="AL64" s="60">
        <f>-SUMIFS(B2B!AO:AO,B2B!$B:$B,"HU",B2B!$D:$D,$B64)</f>
        <v>-525</v>
      </c>
      <c r="AM64" s="60">
        <f>-SUMIFS(B2B!AP:AP,B2B!$B:$B,"HU",B2B!$D:$D,$B64)</f>
        <v>-787.5</v>
      </c>
      <c r="AN64" s="60">
        <f>-SUMIFS(B2B!AQ:AQ,B2B!$B:$B,"HU",B2B!$D:$D,$B64)</f>
        <v>-525</v>
      </c>
      <c r="AO64" s="60">
        <f>-SUMIFS(B2B!AR:AR,B2B!$B:$B,"HU",B2B!$D:$D,$B64)</f>
        <v>-1181.25</v>
      </c>
      <c r="AP64" s="60">
        <f>-SUMIFS(B2B!AS:AS,B2B!$B:$B,"HU",B2B!$D:$D,$B64)</f>
        <v>-393.75</v>
      </c>
      <c r="AQ64" s="60">
        <f>-SUMIFS(B2B!AT:AT,B2B!$B:$B,"HU",B2B!$D:$D,$B64)</f>
        <v>-787.5</v>
      </c>
      <c r="AR64" s="60">
        <f>-SUMIFS(B2B!AU:AU,B2B!$B:$B,"HU",B2B!$D:$D,$B64)</f>
        <v>-787.5</v>
      </c>
      <c r="AS64" s="60">
        <f>-SUMIFS(B2B!AV:AV,B2B!$B:$B,"HU",B2B!$D:$D,$B64)</f>
        <v>-525</v>
      </c>
      <c r="AT64" s="60"/>
      <c r="AU64" s="61">
        <f t="shared" si="89"/>
        <v>-8268.75</v>
      </c>
    </row>
    <row r="65" spans="2:47" outlineLevel="2">
      <c r="B65" s="51" t="s">
        <v>128</v>
      </c>
      <c r="D65" s="59">
        <v>0</v>
      </c>
      <c r="E65" s="59">
        <v>0</v>
      </c>
      <c r="F65" s="59">
        <v>0</v>
      </c>
      <c r="G65" s="59">
        <v>0</v>
      </c>
      <c r="H65" s="59">
        <v>0</v>
      </c>
      <c r="I65" s="59">
        <v>0</v>
      </c>
      <c r="J65" s="59"/>
      <c r="K65" s="59"/>
      <c r="L65" s="59">
        <f>-SUMIFS(B2B!N:N,B2B!$A:$A,"Retros",B2B!$B:$B,"HU")</f>
        <v>0</v>
      </c>
      <c r="M65" s="60"/>
      <c r="N65" s="60"/>
      <c r="O65" s="60"/>
      <c r="P65" s="60"/>
      <c r="Q65" s="61">
        <f t="shared" si="85"/>
        <v>0</v>
      </c>
      <c r="S65" s="60">
        <f>-SUMIFS(B2B!V:V,B2B!$B:$B,"HU",B2B!$D:$D,$B65)</f>
        <v>-500</v>
      </c>
      <c r="T65" s="60">
        <f>-SUMIFS(B2B!W:W,B2B!$B:$B,"HU",B2B!$D:$D,$B65)</f>
        <v>-750</v>
      </c>
      <c r="U65" s="60">
        <f>-SUMIFS(B2B!X:X,B2B!$B:$B,"HU",B2B!$D:$D,$B65)</f>
        <v>-1000</v>
      </c>
      <c r="V65" s="60">
        <f>-SUMIFS(B2B!Y:Y,B2B!$B:$B,"HU",B2B!$D:$D,$B65)</f>
        <v>-375</v>
      </c>
      <c r="W65" s="60">
        <f>-SUMIFS(B2B!Z:Z,B2B!$B:$B,"HU",B2B!$D:$D,$B65)</f>
        <v>-500</v>
      </c>
      <c r="X65" s="60">
        <f>-SUMIFS(B2B!AA:AA,B2B!$B:$B,"HU",B2B!$D:$D,$B65)</f>
        <v>-750</v>
      </c>
      <c r="Y65" s="60">
        <f>-SUMIFS(B2B!AB:AB,B2B!$B:$B,"HU",B2B!$D:$D,$B65)</f>
        <v>-500</v>
      </c>
      <c r="Z65" s="60">
        <f>-SUMIFS(B2B!AC:AC,B2B!$B:$B,"HU",B2B!$D:$D,$B65)</f>
        <v>-1125</v>
      </c>
      <c r="AA65" s="60">
        <f>-SUMIFS(B2B!AD:AD,B2B!$B:$B,"HU",B2B!$D:$D,$B65)</f>
        <v>-375</v>
      </c>
      <c r="AB65" s="60">
        <f>-SUMIFS(B2B!AE:AE,B2B!$B:$B,"HU",B2B!$D:$D,$B65)</f>
        <v>-750</v>
      </c>
      <c r="AC65" s="60">
        <f>-SUMIFS(B2B!AF:AF,B2B!$B:$B,"HU",B2B!$D:$D,$B65)</f>
        <v>-750</v>
      </c>
      <c r="AD65" s="60">
        <f>-SUMIFS(B2B!AG:AG,B2B!$B:$B,"HU",B2B!$D:$D,$B65)</f>
        <v>-500</v>
      </c>
      <c r="AE65" s="60"/>
      <c r="AF65" s="61">
        <f>SUM(S65:AD65)</f>
        <v>-7875</v>
      </c>
      <c r="AH65" s="60">
        <f>-SUMIFS(B2B!AK:AK,B2B!$B:$B,"HU",B2B!$D:$D,$B65)</f>
        <v>-525</v>
      </c>
      <c r="AI65" s="60">
        <f>-SUMIFS(B2B!AL:AL,B2B!$B:$B,"HU",B2B!$D:$D,$B65)</f>
        <v>-787.5</v>
      </c>
      <c r="AJ65" s="60">
        <f>-SUMIFS(B2B!AM:AM,B2B!$B:$B,"HU",B2B!$D:$D,$B65)</f>
        <v>-1050</v>
      </c>
      <c r="AK65" s="60">
        <f>-SUMIFS(B2B!AN:AN,B2B!$B:$B,"HU",B2B!$D:$D,$B65)</f>
        <v>-393.75</v>
      </c>
      <c r="AL65" s="60">
        <f>-SUMIFS(B2B!AO:AO,B2B!$B:$B,"HU",B2B!$D:$D,$B65)</f>
        <v>-525</v>
      </c>
      <c r="AM65" s="60">
        <f>-SUMIFS(B2B!AP:AP,B2B!$B:$B,"HU",B2B!$D:$D,$B65)</f>
        <v>-787.5</v>
      </c>
      <c r="AN65" s="60">
        <f>-SUMIFS(B2B!AQ:AQ,B2B!$B:$B,"HU",B2B!$D:$D,$B65)</f>
        <v>-525</v>
      </c>
      <c r="AO65" s="60">
        <f>-SUMIFS(B2B!AR:AR,B2B!$B:$B,"HU",B2B!$D:$D,$B65)</f>
        <v>-1181.25</v>
      </c>
      <c r="AP65" s="60">
        <f>-SUMIFS(B2B!AS:AS,B2B!$B:$B,"HU",B2B!$D:$D,$B65)</f>
        <v>-393.75</v>
      </c>
      <c r="AQ65" s="60">
        <f>-SUMIFS(B2B!AT:AT,B2B!$B:$B,"HU",B2B!$D:$D,$B65)</f>
        <v>-787.5</v>
      </c>
      <c r="AR65" s="60">
        <f>-SUMIFS(B2B!AU:AU,B2B!$B:$B,"HU",B2B!$D:$D,$B65)</f>
        <v>-787.5</v>
      </c>
      <c r="AS65" s="60">
        <f>-SUMIFS(B2B!AV:AV,B2B!$B:$B,"HU",B2B!$D:$D,$B65)</f>
        <v>-525</v>
      </c>
      <c r="AT65" s="60"/>
      <c r="AU65" s="61">
        <f t="shared" si="89"/>
        <v>-8268.75</v>
      </c>
    </row>
    <row r="66" spans="2:47" outlineLevel="2">
      <c r="B66" s="51" t="s">
        <v>166</v>
      </c>
      <c r="D66" s="59"/>
      <c r="E66" s="59"/>
      <c r="F66" s="59"/>
      <c r="G66" s="59"/>
      <c r="H66" s="59"/>
      <c r="I66" s="59"/>
      <c r="J66" s="59"/>
      <c r="K66" s="59"/>
      <c r="L66" s="59"/>
      <c r="M66" s="60"/>
      <c r="N66" s="60"/>
      <c r="O66" s="60"/>
      <c r="P66" s="60"/>
      <c r="Q66" s="61"/>
      <c r="S66" s="60">
        <f>-SUMIFS(B2B!V:V,B2B!$B:$B,"SK",B2B!$D:$D,$B66)</f>
        <v>0</v>
      </c>
      <c r="T66" s="60">
        <f>-SUMIFS(B2B!W:W,B2B!$B:$B,"SK",B2B!$D:$D,$B66)</f>
        <v>-595.48500000000001</v>
      </c>
      <c r="U66" s="60">
        <f>-SUMIFS(B2B!X:X,B2B!$B:$B,"SK",B2B!$D:$D,$B66)</f>
        <v>-758.46500000000003</v>
      </c>
      <c r="V66" s="60">
        <f>-SUMIFS(B2B!Y:Y,B2B!$B:$B,"SK",B2B!$D:$D,$B66)</f>
        <v>-630.67500000000018</v>
      </c>
      <c r="W66" s="60">
        <f>-SUMIFS(B2B!Z:Z,B2B!$B:$B,"SK",B2B!$D:$D,$B66)</f>
        <v>-250</v>
      </c>
      <c r="X66" s="60">
        <f>-SUMIFS(B2B!AA:AA,B2B!$B:$B,"SK",B2B!$D:$D,$B66)</f>
        <v>-376.06500000000005</v>
      </c>
      <c r="Y66" s="60">
        <f>-SUMIFS(B2B!AB:AB,B2B!$B:$B,"SK",B2B!$D:$D,$B66)</f>
        <v>-598.72000000000014</v>
      </c>
      <c r="Z66" s="60">
        <f>-SUMIFS(B2B!AC:AC,B2B!$B:$B,"SK",B2B!$D:$D,$B66)</f>
        <v>0</v>
      </c>
      <c r="AA66" s="60">
        <f>-SUMIFS(B2B!AD:AD,B2B!$B:$B,"SK",B2B!$D:$D,$B66)</f>
        <v>-653.10250000000008</v>
      </c>
      <c r="AB66" s="60">
        <f>-SUMIFS(B2B!AE:AE,B2B!$B:$B,"SK",B2B!$D:$D,$B66)</f>
        <v>-1750</v>
      </c>
      <c r="AC66" s="60">
        <f>-SUMIFS(B2B!AF:AF,B2B!$B:$B,"SK",B2B!$D:$D,$B66)</f>
        <v>-250</v>
      </c>
      <c r="AD66" s="60">
        <f>-SUMIFS(B2B!AG:AG,B2B!$B:$B,"SK",B2B!$D:$D,$B66)</f>
        <v>-750</v>
      </c>
      <c r="AE66" s="60"/>
      <c r="AF66" s="61">
        <f>SUM(S66:AD66)</f>
        <v>-6612.5125000000007</v>
      </c>
      <c r="AH66" s="60">
        <f>-SUMIFS(B2B!AK:AK,B2B!$B:$B,"SK",B2B!$D:$D,$B66)</f>
        <v>0</v>
      </c>
      <c r="AI66" s="60">
        <f>-SUMIFS(B2B!AL:AL,B2B!$B:$B,"SK",B2B!$D:$D,$B66)</f>
        <v>-625.25925000000007</v>
      </c>
      <c r="AJ66" s="60">
        <f>-SUMIFS(B2B!AM:AM,B2B!$B:$B,"SK",B2B!$D:$D,$B66)</f>
        <v>-796.38824999999997</v>
      </c>
      <c r="AK66" s="60">
        <f>-SUMIFS(B2B!AN:AN,B2B!$B:$B,"SK",B2B!$D:$D,$B66)</f>
        <v>-662.20875000000024</v>
      </c>
      <c r="AL66" s="60">
        <f>-SUMIFS(B2B!AO:AO,B2B!$B:$B,"SK",B2B!$D:$D,$B66)</f>
        <v>-262.5</v>
      </c>
      <c r="AM66" s="60">
        <f>-SUMIFS(B2B!AP:AP,B2B!$B:$B,"SK",B2B!$D:$D,$B66)</f>
        <v>-394.86825000000005</v>
      </c>
      <c r="AN66" s="60">
        <f>-SUMIFS(B2B!AQ:AQ,B2B!$B:$B,"SK",B2B!$D:$D,$B66)</f>
        <v>-628.65600000000018</v>
      </c>
      <c r="AO66" s="60">
        <f>-SUMIFS(B2B!AR:AR,B2B!$B:$B,"SK",B2B!$D:$D,$B66)</f>
        <v>0</v>
      </c>
      <c r="AP66" s="60">
        <f>-SUMIFS(B2B!AS:AS,B2B!$B:$B,"SK",B2B!$D:$D,$B66)</f>
        <v>-685.75762500000019</v>
      </c>
      <c r="AQ66" s="60">
        <f>-SUMIFS(B2B!AT:AT,B2B!$B:$B,"SK",B2B!$D:$D,$B66)</f>
        <v>-1837.5</v>
      </c>
      <c r="AR66" s="60">
        <f>-SUMIFS(B2B!AU:AU,B2B!$B:$B,"SK",B2B!$D:$D,$B66)</f>
        <v>-262.5</v>
      </c>
      <c r="AS66" s="60">
        <f>-SUMIFS(B2B!AV:AV,B2B!$B:$B,"SK",B2B!$D:$D,$B66)</f>
        <v>-787.5</v>
      </c>
      <c r="AT66" s="60"/>
      <c r="AU66" s="61">
        <f>SUM(AH66:AS66)</f>
        <v>-6943.1381250000004</v>
      </c>
    </row>
    <row r="67" spans="2:47" outlineLevel="2">
      <c r="B67" s="51" t="s">
        <v>185</v>
      </c>
      <c r="D67" s="59">
        <v>0</v>
      </c>
      <c r="E67" s="59">
        <v>0</v>
      </c>
      <c r="F67" s="59">
        <v>0</v>
      </c>
      <c r="G67" s="59">
        <v>0</v>
      </c>
      <c r="H67" s="59">
        <v>0</v>
      </c>
      <c r="I67" s="59">
        <v>0</v>
      </c>
      <c r="J67" s="59"/>
      <c r="K67" s="59"/>
      <c r="L67" s="59">
        <f>-SUMIFS(B2B!N:N,B2B!$A:$A,"Trade Shows",B2B!$B:$B,"HU")</f>
        <v>0</v>
      </c>
      <c r="M67" s="60"/>
      <c r="N67" s="60"/>
      <c r="O67" s="60"/>
      <c r="P67" s="60"/>
      <c r="Q67" s="61">
        <f t="shared" si="85"/>
        <v>0</v>
      </c>
      <c r="S67" s="60">
        <f>-SUMIFS(B2B!V:V,B2B!$B:$B,"HU",B2B!$A:$A,"Trade Shows")</f>
        <v>0</v>
      </c>
      <c r="T67" s="60">
        <f>-SUMIFS(B2B!W:W,B2B!$B:$B,"HU",B2B!$A:$A,"Trade Shows")</f>
        <v>0</v>
      </c>
      <c r="U67" s="60">
        <f>-SUMIFS(B2B!X:X,B2B!$B:$B,"HU",B2B!$A:$A,"Trade Shows")</f>
        <v>0</v>
      </c>
      <c r="V67" s="60">
        <f>-SUMIFS(B2B!Y:Y,B2B!$B:$B,"HU",B2B!$A:$A,"Trade Shows")</f>
        <v>0</v>
      </c>
      <c r="W67" s="60">
        <f>-SUMIFS(B2B!Z:Z,B2B!$B:$B,"HU",B2B!$A:$A,"Trade Shows")</f>
        <v>0</v>
      </c>
      <c r="X67" s="60">
        <f>-SUMIFS(B2B!AA:AA,B2B!$B:$B,"HU",B2B!$A:$A,"Trade Shows")</f>
        <v>0</v>
      </c>
      <c r="Y67" s="60">
        <f>-SUMIFS(B2B!AB:AB,B2B!$B:$B,"HU",B2B!$A:$A,"Trade Shows")</f>
        <v>0</v>
      </c>
      <c r="Z67" s="60">
        <f>-SUMIFS(B2B!AC:AC,B2B!$B:$B,"HU",B2B!$A:$A,"Trade Shows")</f>
        <v>0</v>
      </c>
      <c r="AA67" s="60">
        <f>-SUMIFS(B2B!AD:AD,B2B!$B:$B,"HU",B2B!$A:$A,"Trade Shows")</f>
        <v>0</v>
      </c>
      <c r="AB67" s="60">
        <f>-SUMIFS(B2B!AE:AE,B2B!$B:$B,"HU",B2B!$A:$A,"Trade Shows")</f>
        <v>0</v>
      </c>
      <c r="AC67" s="60">
        <f>-SUMIFS(B2B!AF:AF,B2B!$B:$B,"HU",B2B!$A:$A,"Trade Shows")</f>
        <v>0</v>
      </c>
      <c r="AD67" s="60">
        <f>-SUMIFS(B2B!AG:AG,B2B!$B:$B,"HU",B2B!$A:$A,"Trade Shows")</f>
        <v>0</v>
      </c>
      <c r="AE67" s="60"/>
      <c r="AF67" s="61">
        <f t="shared" si="88"/>
        <v>0</v>
      </c>
      <c r="AH67" s="60">
        <f>-SUMIFS(B2B!AK:AK,B2B!$B:$B,"HU",B2B!$A:$A,"Trade Shows")</f>
        <v>0</v>
      </c>
      <c r="AI67" s="60">
        <f>-SUMIFS(B2B!AL:AL,B2B!$B:$B,"HU",B2B!$A:$A,"Trade Shows")</f>
        <v>0</v>
      </c>
      <c r="AJ67" s="60">
        <f>-SUMIFS(B2B!AM:AM,B2B!$B:$B,"HU",B2B!$A:$A,"Trade Shows")</f>
        <v>0</v>
      </c>
      <c r="AK67" s="60">
        <f>-SUMIFS(B2B!AN:AN,B2B!$B:$B,"HU",B2B!$A:$A,"Trade Shows")</f>
        <v>0</v>
      </c>
      <c r="AL67" s="60">
        <f>-SUMIFS(B2B!AO:AO,B2B!$B:$B,"HU",B2B!$A:$A,"Trade Shows")</f>
        <v>0</v>
      </c>
      <c r="AM67" s="60">
        <f>-SUMIFS(B2B!AP:AP,B2B!$B:$B,"HU",B2B!$A:$A,"Trade Shows")</f>
        <v>0</v>
      </c>
      <c r="AN67" s="60">
        <f>-SUMIFS(B2B!AQ:AQ,B2B!$B:$B,"HU",B2B!$A:$A,"Trade Shows")</f>
        <v>0</v>
      </c>
      <c r="AO67" s="60">
        <f>-SUMIFS(B2B!AR:AR,B2B!$B:$B,"HU",B2B!$A:$A,"Trade Shows")</f>
        <v>0</v>
      </c>
      <c r="AP67" s="60">
        <f>-SUMIFS(B2B!AS:AS,B2B!$B:$B,"HU",B2B!$A:$A,"Trade Shows")</f>
        <v>0</v>
      </c>
      <c r="AQ67" s="60">
        <f>-SUMIFS(B2B!AT:AT,B2B!$B:$B,"HU",B2B!$A:$A,"Trade Shows")</f>
        <v>0</v>
      </c>
      <c r="AR67" s="60">
        <f>-SUMIFS(B2B!AU:AU,B2B!$B:$B,"HU",B2B!$A:$A,"Trade Shows")</f>
        <v>0</v>
      </c>
      <c r="AS67" s="60">
        <f>-SUMIFS(B2B!AV:AV,B2B!$B:$B,"HU",B2B!$A:$A,"Trade Shows")</f>
        <v>0</v>
      </c>
      <c r="AT67" s="60"/>
      <c r="AU67" s="61">
        <f t="shared" si="89"/>
        <v>0</v>
      </c>
    </row>
    <row r="68" spans="2:47" outlineLevel="2">
      <c r="B68" s="51" t="s">
        <v>130</v>
      </c>
      <c r="D68" s="59">
        <v>0</v>
      </c>
      <c r="E68" s="59">
        <v>0</v>
      </c>
      <c r="F68" s="59">
        <v>0</v>
      </c>
      <c r="G68" s="59">
        <v>0</v>
      </c>
      <c r="H68" s="59">
        <v>-18.34</v>
      </c>
      <c r="I68" s="59">
        <v>0</v>
      </c>
      <c r="J68" s="59"/>
      <c r="K68" s="59"/>
      <c r="L68" s="59"/>
      <c r="M68" s="60"/>
      <c r="N68" s="60"/>
      <c r="O68" s="60"/>
      <c r="P68" s="60"/>
      <c r="Q68" s="61">
        <f>SUM(D68:O68)</f>
        <v>-18.34</v>
      </c>
      <c r="S68" s="60">
        <f>-SUMIF(Amazon!$A$53:$A$58,"HU",Amazon!Q53:Q58)</f>
        <v>0</v>
      </c>
      <c r="T68" s="60">
        <f>-SUMIF(Amazon!$A$53:$A$58,"HU",Amazon!R53:R58)</f>
        <v>0</v>
      </c>
      <c r="U68" s="60">
        <f>-SUMIF(Amazon!$A$53:$A$58,"HU",Amazon!S53:S58)</f>
        <v>0</v>
      </c>
      <c r="V68" s="60">
        <f>-SUMIF(Amazon!$A$53:$A$58,"HU",Amazon!T53:T58)</f>
        <v>0</v>
      </c>
      <c r="W68" s="60">
        <f>-SUMIF(Amazon!$A$53:$A$58,"HU",Amazon!U53:U58)</f>
        <v>0</v>
      </c>
      <c r="X68" s="60">
        <f>-SUMIF(Amazon!$A$53:$A$58,"HU",Amazon!V53:V58)</f>
        <v>0</v>
      </c>
      <c r="Y68" s="60">
        <f>-SUMIF(Amazon!$A$53:$A$58,"HU",Amazon!W53:W58)</f>
        <v>0</v>
      </c>
      <c r="Z68" s="60">
        <f>-SUMIF(Amazon!$A$53:$A$58,"HU",Amazon!X53:X58)</f>
        <v>0</v>
      </c>
      <c r="AA68" s="60">
        <f>-SUMIF(Amazon!$A$53:$A$58,"HU",Amazon!Y53:Y58)</f>
        <v>0</v>
      </c>
      <c r="AB68" s="60">
        <f>-SUMIF(Amazon!$A$53:$A$58,"HU",Amazon!Z53:Z58)</f>
        <v>0</v>
      </c>
      <c r="AC68" s="60">
        <f>-SUMIF(Amazon!$A$53:$A$58,"HU",Amazon!AA53:AA58)</f>
        <v>0</v>
      </c>
      <c r="AD68" s="60">
        <f>-SUMIF(Amazon!$A$53:$A$58,"HU",Amazon!AB53:AB58)</f>
        <v>0</v>
      </c>
      <c r="AE68" s="60"/>
      <c r="AF68" s="61">
        <f>SUM(S68:AD68)</f>
        <v>0</v>
      </c>
      <c r="AH68" s="60">
        <f>-SUMIF(Amazon!$A$53:$A$58,"HU",Amazon!AE53:AE58)</f>
        <v>0</v>
      </c>
      <c r="AI68" s="60">
        <f>-SUMIF(Amazon!$A$53:$A$58,"HU",Amazon!AF53:AF58)</f>
        <v>0</v>
      </c>
      <c r="AJ68" s="60">
        <f>-SUMIF(Amazon!$A$53:$A$58,"HU",Amazon!AG53:AG58)</f>
        <v>0</v>
      </c>
      <c r="AK68" s="60">
        <f>-SUMIF(Amazon!$A$53:$A$58,"HU",Amazon!AH53:AH58)</f>
        <v>0</v>
      </c>
      <c r="AL68" s="60">
        <f>-SUMIF(Amazon!$A$53:$A$58,"HU",Amazon!AI53:AI58)</f>
        <v>0</v>
      </c>
      <c r="AM68" s="60">
        <f>-SUMIF(Amazon!$A$53:$A$58,"HU",Amazon!AJ53:AJ58)</f>
        <v>0</v>
      </c>
      <c r="AN68" s="60">
        <f>-SUMIF(Amazon!$A$53:$A$58,"HU",Amazon!AK53:AK58)</f>
        <v>0</v>
      </c>
      <c r="AO68" s="60">
        <f>-SUMIF(Amazon!$A$53:$A$58,"HU",Amazon!AL53:AL58)</f>
        <v>0</v>
      </c>
      <c r="AP68" s="60">
        <f>-SUMIF(Amazon!$A$53:$A$58,"HU",Amazon!AM53:AM58)</f>
        <v>0</v>
      </c>
      <c r="AQ68" s="60">
        <f>-SUMIF(Amazon!$A$53:$A$58,"HU",Amazon!AN53:AN58)</f>
        <v>0</v>
      </c>
      <c r="AR68" s="60">
        <f>-SUMIF(Amazon!$A$53:$A$58,"HU",Amazon!AO53:AO58)</f>
        <v>0</v>
      </c>
      <c r="AS68" s="60">
        <f>-SUMIF(Amazon!$A$53:$A$58,"HU",Amazon!AP53:AP58)</f>
        <v>0</v>
      </c>
      <c r="AT68" s="60"/>
      <c r="AU68" s="61">
        <f t="shared" si="89"/>
        <v>0</v>
      </c>
    </row>
    <row r="69" spans="2:47" outlineLevel="2">
      <c r="B69" s="51" t="s">
        <v>131</v>
      </c>
      <c r="D69" s="59"/>
      <c r="E69" s="59"/>
      <c r="F69" s="59"/>
      <c r="G69" s="59"/>
      <c r="H69" s="59"/>
      <c r="I69" s="59"/>
      <c r="J69" s="59"/>
      <c r="K69" s="59"/>
      <c r="L69" s="59"/>
      <c r="M69" s="60"/>
      <c r="N69" s="60"/>
      <c r="O69" s="60"/>
      <c r="P69" s="60"/>
      <c r="Q69" s="61">
        <f t="shared" si="85"/>
        <v>0</v>
      </c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1">
        <f t="shared" si="88"/>
        <v>0</v>
      </c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1">
        <f t="shared" si="89"/>
        <v>0</v>
      </c>
    </row>
    <row r="70" spans="2:47" outlineLevel="1">
      <c r="D70" s="59"/>
      <c r="E70" s="59"/>
      <c r="F70" s="59"/>
      <c r="G70" s="59"/>
      <c r="H70" s="59"/>
      <c r="I70" s="59"/>
      <c r="J70" s="59"/>
      <c r="K70" s="59"/>
      <c r="L70" s="59"/>
      <c r="M70" s="60"/>
      <c r="N70" s="60"/>
      <c r="O70" s="60"/>
      <c r="Q70" s="61"/>
      <c r="S70" s="83"/>
      <c r="T70" s="83"/>
      <c r="U70" s="83"/>
      <c r="V70" s="83"/>
      <c r="W70" s="83"/>
      <c r="AH70" s="83"/>
      <c r="AI70" s="83"/>
      <c r="AJ70" s="83"/>
      <c r="AK70" s="83"/>
      <c r="AL70" s="83"/>
    </row>
    <row r="71" spans="2:47">
      <c r="B71" s="63" t="s">
        <v>132</v>
      </c>
      <c r="C71" s="52"/>
      <c r="D71" s="64">
        <f t="shared" ref="D71:K71" si="90">SUM(D59:D70)</f>
        <v>-11689.73</v>
      </c>
      <c r="E71" s="64">
        <f t="shared" si="90"/>
        <v>-34183.89</v>
      </c>
      <c r="F71" s="64">
        <f t="shared" si="90"/>
        <v>-38021.69</v>
      </c>
      <c r="G71" s="64">
        <f t="shared" si="90"/>
        <v>-20454.400000000001</v>
      </c>
      <c r="H71" s="64">
        <f t="shared" si="90"/>
        <v>-19916.22</v>
      </c>
      <c r="I71" s="64">
        <f t="shared" si="90"/>
        <v>-31211.34</v>
      </c>
      <c r="J71" s="64">
        <f t="shared" si="90"/>
        <v>-33564.28</v>
      </c>
      <c r="K71" s="64">
        <f t="shared" si="90"/>
        <v>-22425.980000000003</v>
      </c>
      <c r="L71" s="64">
        <f t="shared" ref="L71:O71" si="91">SUM(L59:L70)</f>
        <v>-68985</v>
      </c>
      <c r="M71" s="65">
        <f t="shared" si="91"/>
        <v>-71790</v>
      </c>
      <c r="N71" s="65">
        <f t="shared" si="91"/>
        <v>-32837</v>
      </c>
      <c r="O71" s="65">
        <f t="shared" si="91"/>
        <v>-15240</v>
      </c>
      <c r="P71" s="61"/>
      <c r="Q71" s="65">
        <f>SUM(D71:O71)</f>
        <v>-400319.53</v>
      </c>
      <c r="R71" s="75"/>
      <c r="S71" s="84">
        <f t="shared" ref="S71" si="92">SUM(S59:S70)</f>
        <v>-21386.799999999999</v>
      </c>
      <c r="T71" s="84">
        <f>SUM(T59:T70)</f>
        <v>-44818.284999999996</v>
      </c>
      <c r="U71" s="84">
        <f>SUM(U59:U70)</f>
        <v>-46043.065000000002</v>
      </c>
      <c r="V71" s="84">
        <f>SUM(V59:V70)</f>
        <v>-28704.874999999996</v>
      </c>
      <c r="W71" s="84">
        <f>SUM(W59:W70)</f>
        <v>-25753.5</v>
      </c>
      <c r="X71" s="65">
        <f t="shared" ref="X71:AD71" si="93">SUM(X59:X70)</f>
        <v>-59955.565000000002</v>
      </c>
      <c r="Y71" s="65">
        <f t="shared" si="93"/>
        <v>-25094.62</v>
      </c>
      <c r="Z71" s="65">
        <f t="shared" si="93"/>
        <v>-25838.5</v>
      </c>
      <c r="AA71" s="65">
        <f t="shared" si="93"/>
        <v>-80403.102499999994</v>
      </c>
      <c r="AB71" s="65">
        <f t="shared" si="93"/>
        <v>-76750</v>
      </c>
      <c r="AC71" s="65">
        <f t="shared" si="93"/>
        <v>-27750</v>
      </c>
      <c r="AD71" s="65">
        <f t="shared" si="93"/>
        <v>-26750</v>
      </c>
      <c r="AE71" s="61"/>
      <c r="AF71" s="65">
        <f>SUM(S71:AD71)</f>
        <v>-489248.31249999994</v>
      </c>
      <c r="AH71" s="84">
        <f t="shared" ref="AH71" si="94">SUM(AH59:AH70)</f>
        <v>-24314.16</v>
      </c>
      <c r="AI71" s="84">
        <f>SUM(AI59:AI70)</f>
        <v>-60612.179249999994</v>
      </c>
      <c r="AJ71" s="84">
        <f>SUM(AJ59:AJ70)</f>
        <v>-48859.448250000016</v>
      </c>
      <c r="AK71" s="84">
        <f>SUM(AK59:AK70)</f>
        <v>-30406.328750000001</v>
      </c>
      <c r="AL71" s="84">
        <f>SUM(AL59:AL70)</f>
        <v>-36567.75</v>
      </c>
      <c r="AM71" s="65">
        <f t="shared" ref="AM71:AS71" si="95">SUM(AM59:AM70)</f>
        <v>-87589.11825</v>
      </c>
      <c r="AN71" s="65">
        <f t="shared" si="95"/>
        <v>-17425.785999999996</v>
      </c>
      <c r="AO71" s="65">
        <f t="shared" si="95"/>
        <v>-31727.55</v>
      </c>
      <c r="AP71" s="65">
        <f t="shared" si="95"/>
        <v>-102873.257625</v>
      </c>
      <c r="AQ71" s="65">
        <f t="shared" si="95"/>
        <v>-89812.5</v>
      </c>
      <c r="AR71" s="65">
        <f t="shared" si="95"/>
        <v>-18637.5</v>
      </c>
      <c r="AS71" s="65">
        <f t="shared" si="95"/>
        <v>-25837.5</v>
      </c>
      <c r="AT71" s="61"/>
      <c r="AU71" s="65">
        <f>SUM(AH71:AS71)</f>
        <v>-574663.078125</v>
      </c>
    </row>
    <row r="72" spans="2:47">
      <c r="D72" s="53"/>
      <c r="E72" s="53"/>
      <c r="F72" s="53"/>
      <c r="G72" s="53"/>
      <c r="H72" s="53"/>
      <c r="I72" s="53"/>
      <c r="J72" s="53"/>
      <c r="K72" s="53"/>
      <c r="L72" s="53"/>
      <c r="S72" s="88"/>
      <c r="T72" s="88"/>
      <c r="U72" s="88"/>
      <c r="V72" s="88"/>
      <c r="W72" s="88"/>
      <c r="AF72" s="141">
        <f ca="1">AF71/AF12</f>
        <v>-0.266296819671549</v>
      </c>
      <c r="AH72" s="88"/>
      <c r="AI72" s="88"/>
      <c r="AJ72" s="88"/>
      <c r="AK72" s="88"/>
      <c r="AL72" s="88"/>
    </row>
    <row r="73" spans="2:47" outlineLevel="1">
      <c r="B73" s="67" t="s">
        <v>133</v>
      </c>
      <c r="C73" s="52"/>
      <c r="D73" s="68">
        <f t="shared" ref="D73:K73" si="96">D45+SUM(D59:D63)</f>
        <v>8546.4699999999975</v>
      </c>
      <c r="E73" s="68">
        <f t="shared" si="96"/>
        <v>57847.480000000018</v>
      </c>
      <c r="F73" s="68">
        <f t="shared" si="96"/>
        <v>44424.42</v>
      </c>
      <c r="G73" s="68">
        <f t="shared" si="96"/>
        <v>3437.5</v>
      </c>
      <c r="H73" s="68">
        <f t="shared" si="96"/>
        <v>3573.8399999999965</v>
      </c>
      <c r="I73" s="68">
        <f t="shared" si="96"/>
        <v>83160.499999999985</v>
      </c>
      <c r="J73" s="68">
        <f t="shared" si="96"/>
        <v>61329.119999999988</v>
      </c>
      <c r="K73" s="68">
        <f t="shared" si="96"/>
        <v>-8912.7500000000036</v>
      </c>
      <c r="L73" s="68">
        <f t="shared" ref="L73:O73" si="97">L45+SUM(L59:L63)</f>
        <v>59704</v>
      </c>
      <c r="M73" s="69">
        <f>M45+SUM(M59:M63)</f>
        <v>100734</v>
      </c>
      <c r="N73" s="69">
        <f>N45+SUM(N59:N63)</f>
        <v>28616</v>
      </c>
      <c r="O73" s="69">
        <f t="shared" si="97"/>
        <v>8621</v>
      </c>
      <c r="P73" s="69"/>
      <c r="Q73" s="69">
        <f>Q45+SUM(Q59:Q63)</f>
        <v>451081.58000000007</v>
      </c>
      <c r="S73" s="85">
        <f>S45+SUM(S59:S63)</f>
        <v>19039.703722309267</v>
      </c>
      <c r="T73" s="85">
        <f t="shared" ref="T73:AD73" si="98">T45+SUM(T59:T63)</f>
        <v>62712.648426884298</v>
      </c>
      <c r="U73" s="85">
        <f t="shared" si="98"/>
        <v>44869.157735614528</v>
      </c>
      <c r="V73" s="85">
        <f t="shared" si="98"/>
        <v>13373.388973902875</v>
      </c>
      <c r="W73" s="85">
        <f t="shared" si="98"/>
        <v>12726.566939863813</v>
      </c>
      <c r="X73" s="69">
        <f t="shared" si="98"/>
        <v>85925.676673171314</v>
      </c>
      <c r="Y73" s="69">
        <f t="shared" si="98"/>
        <v>17167.268068301051</v>
      </c>
      <c r="Z73" s="69">
        <f t="shared" si="98"/>
        <v>12494.475822156186</v>
      </c>
      <c r="AA73" s="69">
        <f t="shared" si="98"/>
        <v>100198.28037276756</v>
      </c>
      <c r="AB73" s="69">
        <f t="shared" si="98"/>
        <v>78227.059096354904</v>
      </c>
      <c r="AC73" s="69">
        <f t="shared" si="98"/>
        <v>16830.934674219476</v>
      </c>
      <c r="AD73" s="69">
        <f t="shared" si="98"/>
        <v>18751.01033281337</v>
      </c>
      <c r="AE73" s="69"/>
      <c r="AF73" s="69">
        <f>AF45+SUM(AF59:AF63)</f>
        <v>482316.17083835864</v>
      </c>
      <c r="AH73" s="85">
        <f>AH45+SUM(AH59:AH63)</f>
        <v>19151.709708570252</v>
      </c>
      <c r="AI73" s="85">
        <f t="shared" ref="AI73:AS73" si="99">AI45+SUM(AI59:AI63)</f>
        <v>76774.302160356659</v>
      </c>
      <c r="AJ73" s="85">
        <f t="shared" si="99"/>
        <v>51091.143126955154</v>
      </c>
      <c r="AK73" s="85">
        <f t="shared" si="99"/>
        <v>12076.842631877265</v>
      </c>
      <c r="AL73" s="85">
        <f t="shared" si="99"/>
        <v>13122.041909805703</v>
      </c>
      <c r="AM73" s="69">
        <f t="shared" si="99"/>
        <v>106685.18894256742</v>
      </c>
      <c r="AN73" s="69">
        <f t="shared" si="99"/>
        <v>13147.90568855976</v>
      </c>
      <c r="AO73" s="69">
        <f t="shared" si="99"/>
        <v>16199.958013886102</v>
      </c>
      <c r="AP73" s="69">
        <f t="shared" si="99"/>
        <v>117759.44366925757</v>
      </c>
      <c r="AQ73" s="69">
        <f t="shared" si="99"/>
        <v>100202.83621698566</v>
      </c>
      <c r="AR73" s="69">
        <f t="shared" si="99"/>
        <v>14789.106007049533</v>
      </c>
      <c r="AS73" s="69">
        <f t="shared" si="99"/>
        <v>18448.907442131625</v>
      </c>
      <c r="AT73" s="69"/>
      <c r="AU73" s="69">
        <f>AU45+SUM(AU59:AU63)</f>
        <v>559449.38551800279</v>
      </c>
    </row>
    <row r="74" spans="2:47" outlineLevel="1">
      <c r="B74" s="67" t="s">
        <v>134</v>
      </c>
      <c r="C74" s="52"/>
      <c r="D74" s="68">
        <f t="shared" ref="D74:K74" si="100">D46+SUM(D64:D67)</f>
        <v>14337.689999999999</v>
      </c>
      <c r="E74" s="68">
        <f t="shared" si="100"/>
        <v>16610.78</v>
      </c>
      <c r="F74" s="68">
        <f t="shared" si="100"/>
        <v>-13151.42</v>
      </c>
      <c r="G74" s="68">
        <f t="shared" si="100"/>
        <v>-5308.93</v>
      </c>
      <c r="H74" s="68">
        <f t="shared" si="100"/>
        <v>-3234.87</v>
      </c>
      <c r="I74" s="68">
        <f t="shared" si="100"/>
        <v>-10903.21</v>
      </c>
      <c r="J74" s="68">
        <f t="shared" si="100"/>
        <v>-12803.85</v>
      </c>
      <c r="K74" s="68">
        <f t="shared" si="100"/>
        <v>8478.4599999999973</v>
      </c>
      <c r="L74" s="68">
        <f t="shared" ref="L74:O74" si="101">L46+SUM(L64:L67)</f>
        <v>11933</v>
      </c>
      <c r="M74" s="69">
        <f t="shared" si="101"/>
        <v>7861</v>
      </c>
      <c r="N74" s="69">
        <f t="shared" si="101"/>
        <v>7090</v>
      </c>
      <c r="O74" s="69">
        <f t="shared" si="101"/>
        <v>5677</v>
      </c>
      <c r="P74" s="69"/>
      <c r="Q74" s="69">
        <f>Q46+SUM(Q64:Q67)</f>
        <v>26585.65</v>
      </c>
      <c r="S74" s="85">
        <f>S46+SUM(S64:S67)</f>
        <v>5235.201865816729</v>
      </c>
      <c r="T74" s="85">
        <f t="shared" ref="T74:AD74" si="102">T46+SUM(T64:T67)</f>
        <v>7108.8606114437407</v>
      </c>
      <c r="U74" s="85">
        <f t="shared" si="102"/>
        <v>9415.0243570707553</v>
      </c>
      <c r="V74" s="85">
        <f t="shared" si="102"/>
        <v>3369.9549930032217</v>
      </c>
      <c r="W74" s="85">
        <f t="shared" si="102"/>
        <v>4985.201865816729</v>
      </c>
      <c r="X74" s="69">
        <f t="shared" si="102"/>
        <v>7328.2806114437408</v>
      </c>
      <c r="Y74" s="69">
        <f t="shared" si="102"/>
        <v>4636.4818658167287</v>
      </c>
      <c r="Z74" s="69">
        <f t="shared" si="102"/>
        <v>11408.061229884263</v>
      </c>
      <c r="AA74" s="69">
        <f t="shared" si="102"/>
        <v>3347.5274930032219</v>
      </c>
      <c r="AB74" s="69">
        <f t="shared" si="102"/>
        <v>5954.3456114437413</v>
      </c>
      <c r="AC74" s="69">
        <f t="shared" si="102"/>
        <v>7454.3456114437413</v>
      </c>
      <c r="AD74" s="69">
        <f t="shared" si="102"/>
        <v>4485.201865816729</v>
      </c>
      <c r="AE74" s="69"/>
      <c r="AF74" s="69">
        <f>AF46+SUM(AF64:AF67)</f>
        <v>74728.487982003338</v>
      </c>
      <c r="AH74" s="85">
        <f>AH46+SUM(AH64:AH67)</f>
        <v>5496.9619591075652</v>
      </c>
      <c r="AI74" s="85">
        <f t="shared" ref="AI74:AS74" si="103">AI46+SUM(AI64:AI67)</f>
        <v>7464.3036420159287</v>
      </c>
      <c r="AJ74" s="85">
        <f t="shared" si="103"/>
        <v>9885.7755749242933</v>
      </c>
      <c r="AK74" s="85">
        <f t="shared" si="103"/>
        <v>3538.4527426533828</v>
      </c>
      <c r="AL74" s="85">
        <f t="shared" si="103"/>
        <v>5234.4619591075652</v>
      </c>
      <c r="AM74" s="69">
        <f t="shared" si="103"/>
        <v>7694.6946420159293</v>
      </c>
      <c r="AN74" s="69">
        <f t="shared" si="103"/>
        <v>4868.3059591075653</v>
      </c>
      <c r="AO74" s="69">
        <f t="shared" si="103"/>
        <v>11978.464291378474</v>
      </c>
      <c r="AP74" s="69">
        <f t="shared" si="103"/>
        <v>3514.9038676533828</v>
      </c>
      <c r="AQ74" s="69">
        <f t="shared" si="103"/>
        <v>6252.0628920159288</v>
      </c>
      <c r="AR74" s="69">
        <f t="shared" si="103"/>
        <v>7827.0628920159288</v>
      </c>
      <c r="AS74" s="69">
        <f t="shared" si="103"/>
        <v>4709.4619591075652</v>
      </c>
      <c r="AT74" s="69"/>
      <c r="AU74" s="69">
        <f>AU46+SUM(AU64:AU67)</f>
        <v>78464.912381103495</v>
      </c>
    </row>
    <row r="75" spans="2:47" outlineLevel="1">
      <c r="B75" s="67" t="s">
        <v>135</v>
      </c>
      <c r="C75" s="52"/>
      <c r="D75" s="68">
        <f t="shared" ref="D75:K75" si="104">D47+D68</f>
        <v>0</v>
      </c>
      <c r="E75" s="68">
        <f t="shared" si="104"/>
        <v>0</v>
      </c>
      <c r="F75" s="68">
        <f t="shared" si="104"/>
        <v>0</v>
      </c>
      <c r="G75" s="68">
        <f t="shared" si="104"/>
        <v>0</v>
      </c>
      <c r="H75" s="68">
        <f t="shared" si="104"/>
        <v>-18.34</v>
      </c>
      <c r="I75" s="68">
        <f t="shared" si="104"/>
        <v>0</v>
      </c>
      <c r="J75" s="68">
        <f t="shared" si="104"/>
        <v>0</v>
      </c>
      <c r="K75" s="68">
        <f t="shared" si="104"/>
        <v>0</v>
      </c>
      <c r="L75" s="68">
        <f t="shared" ref="L75:O76" ca="1" si="105">L47+L68</f>
        <v>0</v>
      </c>
      <c r="M75" s="69">
        <f t="shared" si="105"/>
        <v>0</v>
      </c>
      <c r="N75" s="69">
        <f t="shared" si="105"/>
        <v>0</v>
      </c>
      <c r="O75" s="69">
        <f t="shared" si="105"/>
        <v>0</v>
      </c>
      <c r="P75" s="69"/>
      <c r="Q75" s="69">
        <f ca="1">Q47+Q68</f>
        <v>-18.34</v>
      </c>
      <c r="S75" s="85">
        <f t="shared" ref="S75:AD75" ca="1" si="106">S47+S68</f>
        <v>0</v>
      </c>
      <c r="T75" s="85">
        <f t="shared" ca="1" si="106"/>
        <v>0</v>
      </c>
      <c r="U75" s="85">
        <f t="shared" ca="1" si="106"/>
        <v>0</v>
      </c>
      <c r="V75" s="85">
        <f t="shared" ca="1" si="106"/>
        <v>0</v>
      </c>
      <c r="W75" s="85">
        <f t="shared" ca="1" si="106"/>
        <v>0</v>
      </c>
      <c r="X75" s="69">
        <f t="shared" ca="1" si="106"/>
        <v>0</v>
      </c>
      <c r="Y75" s="69">
        <f t="shared" ca="1" si="106"/>
        <v>0</v>
      </c>
      <c r="Z75" s="69">
        <f t="shared" ca="1" si="106"/>
        <v>0</v>
      </c>
      <c r="AA75" s="69">
        <f t="shared" ca="1" si="106"/>
        <v>0</v>
      </c>
      <c r="AB75" s="69">
        <f t="shared" ca="1" si="106"/>
        <v>0</v>
      </c>
      <c r="AC75" s="69">
        <f t="shared" ca="1" si="106"/>
        <v>0</v>
      </c>
      <c r="AD75" s="69">
        <f t="shared" ca="1" si="106"/>
        <v>0</v>
      </c>
      <c r="AE75" s="69"/>
      <c r="AF75" s="69">
        <f ca="1">AF47+AF68</f>
        <v>0</v>
      </c>
      <c r="AH75" s="85">
        <f t="shared" ref="AH75:AS75" ca="1" si="107">AH47+AH68</f>
        <v>0</v>
      </c>
      <c r="AI75" s="85">
        <f t="shared" ca="1" si="107"/>
        <v>0</v>
      </c>
      <c r="AJ75" s="85">
        <f t="shared" ca="1" si="107"/>
        <v>0</v>
      </c>
      <c r="AK75" s="85">
        <f t="shared" ca="1" si="107"/>
        <v>0</v>
      </c>
      <c r="AL75" s="85">
        <f t="shared" ca="1" si="107"/>
        <v>0</v>
      </c>
      <c r="AM75" s="69">
        <f t="shared" ca="1" si="107"/>
        <v>0</v>
      </c>
      <c r="AN75" s="69">
        <f t="shared" ca="1" si="107"/>
        <v>0</v>
      </c>
      <c r="AO75" s="69">
        <f t="shared" ca="1" si="107"/>
        <v>0</v>
      </c>
      <c r="AP75" s="69">
        <f t="shared" ca="1" si="107"/>
        <v>0</v>
      </c>
      <c r="AQ75" s="69">
        <f t="shared" ca="1" si="107"/>
        <v>0</v>
      </c>
      <c r="AR75" s="69">
        <f t="shared" ca="1" si="107"/>
        <v>0</v>
      </c>
      <c r="AS75" s="69">
        <f t="shared" ca="1" si="107"/>
        <v>0</v>
      </c>
      <c r="AT75" s="69"/>
      <c r="AU75" s="69">
        <f ca="1">AU47+AU68</f>
        <v>0</v>
      </c>
    </row>
    <row r="76" spans="2:47" outlineLevel="1">
      <c r="B76" s="67" t="s">
        <v>136</v>
      </c>
      <c r="C76" s="52"/>
      <c r="D76" s="68">
        <f t="shared" ref="D76:K76" si="108">D48+D69</f>
        <v>0</v>
      </c>
      <c r="E76" s="68">
        <f t="shared" si="108"/>
        <v>0</v>
      </c>
      <c r="F76" s="68">
        <f t="shared" si="108"/>
        <v>0</v>
      </c>
      <c r="G76" s="68">
        <f t="shared" si="108"/>
        <v>0</v>
      </c>
      <c r="H76" s="68">
        <f t="shared" si="108"/>
        <v>0</v>
      </c>
      <c r="I76" s="68">
        <f t="shared" si="108"/>
        <v>0</v>
      </c>
      <c r="J76" s="68">
        <f t="shared" si="108"/>
        <v>0</v>
      </c>
      <c r="K76" s="68">
        <f t="shared" si="108"/>
        <v>0</v>
      </c>
      <c r="L76" s="68">
        <f t="shared" si="105"/>
        <v>0</v>
      </c>
      <c r="M76" s="69">
        <f t="shared" si="105"/>
        <v>0</v>
      </c>
      <c r="N76" s="69">
        <f t="shared" si="105"/>
        <v>0</v>
      </c>
      <c r="O76" s="69">
        <f t="shared" si="105"/>
        <v>0</v>
      </c>
      <c r="P76" s="69"/>
      <c r="Q76" s="69">
        <f>Q48+Q69</f>
        <v>0</v>
      </c>
      <c r="S76" s="85">
        <f t="shared" ref="S76:AD76" si="109">S48+S69</f>
        <v>0</v>
      </c>
      <c r="T76" s="85">
        <f t="shared" si="109"/>
        <v>0</v>
      </c>
      <c r="U76" s="85">
        <f t="shared" si="109"/>
        <v>0</v>
      </c>
      <c r="V76" s="85">
        <f t="shared" si="109"/>
        <v>0</v>
      </c>
      <c r="W76" s="85">
        <f t="shared" si="109"/>
        <v>0</v>
      </c>
      <c r="X76" s="69">
        <f t="shared" si="109"/>
        <v>0</v>
      </c>
      <c r="Y76" s="69">
        <f t="shared" si="109"/>
        <v>0</v>
      </c>
      <c r="Z76" s="69">
        <f t="shared" si="109"/>
        <v>0</v>
      </c>
      <c r="AA76" s="69">
        <f t="shared" si="109"/>
        <v>0</v>
      </c>
      <c r="AB76" s="69">
        <f t="shared" si="109"/>
        <v>0</v>
      </c>
      <c r="AC76" s="69">
        <f t="shared" si="109"/>
        <v>0</v>
      </c>
      <c r="AD76" s="69">
        <f t="shared" si="109"/>
        <v>0</v>
      </c>
      <c r="AE76" s="69"/>
      <c r="AF76" s="69">
        <f>AF48+AF69</f>
        <v>0</v>
      </c>
      <c r="AH76" s="85">
        <f t="shared" ref="AH76:AS76" si="110">AH48+AH69</f>
        <v>0</v>
      </c>
      <c r="AI76" s="85">
        <f t="shared" si="110"/>
        <v>0</v>
      </c>
      <c r="AJ76" s="85">
        <f t="shared" si="110"/>
        <v>0</v>
      </c>
      <c r="AK76" s="85">
        <f t="shared" si="110"/>
        <v>0</v>
      </c>
      <c r="AL76" s="85">
        <f t="shared" si="110"/>
        <v>0</v>
      </c>
      <c r="AM76" s="69">
        <f t="shared" si="110"/>
        <v>0</v>
      </c>
      <c r="AN76" s="69">
        <f t="shared" si="110"/>
        <v>0</v>
      </c>
      <c r="AO76" s="69">
        <f t="shared" si="110"/>
        <v>0</v>
      </c>
      <c r="AP76" s="69">
        <f t="shared" si="110"/>
        <v>0</v>
      </c>
      <c r="AQ76" s="69">
        <f t="shared" si="110"/>
        <v>0</v>
      </c>
      <c r="AR76" s="69">
        <f t="shared" si="110"/>
        <v>0</v>
      </c>
      <c r="AS76" s="69">
        <f t="shared" si="110"/>
        <v>0</v>
      </c>
      <c r="AT76" s="69"/>
      <c r="AU76" s="69">
        <f>AU48+AU69</f>
        <v>0</v>
      </c>
    </row>
    <row r="77" spans="2:47">
      <c r="B77" s="67" t="s">
        <v>137</v>
      </c>
      <c r="C77" s="52"/>
      <c r="D77" s="68">
        <f t="shared" ref="D77:K77" si="111">D49+D71</f>
        <v>22884.16</v>
      </c>
      <c r="E77" s="68">
        <f t="shared" si="111"/>
        <v>74458.259999999995</v>
      </c>
      <c r="F77" s="68">
        <f t="shared" si="111"/>
        <v>31273</v>
      </c>
      <c r="G77" s="68">
        <f t="shared" si="111"/>
        <v>-1871.4300000000003</v>
      </c>
      <c r="H77" s="68">
        <f t="shared" si="111"/>
        <v>320.62999999999738</v>
      </c>
      <c r="I77" s="68">
        <f t="shared" si="111"/>
        <v>72257.290000000008</v>
      </c>
      <c r="J77" s="68">
        <f t="shared" si="111"/>
        <v>48525.26999999999</v>
      </c>
      <c r="K77" s="68">
        <f t="shared" si="111"/>
        <v>-434.29000000001179</v>
      </c>
      <c r="L77" s="68">
        <f t="shared" ref="L77:O77" ca="1" si="112">L49+L71</f>
        <v>71637</v>
      </c>
      <c r="M77" s="69">
        <f t="shared" si="112"/>
        <v>108595</v>
      </c>
      <c r="N77" s="69">
        <f t="shared" si="112"/>
        <v>35706</v>
      </c>
      <c r="O77" s="69">
        <f t="shared" si="112"/>
        <v>14298</v>
      </c>
      <c r="P77" s="69"/>
      <c r="Q77" s="69">
        <f ca="1">Q49+Q71</f>
        <v>477648.89000000025</v>
      </c>
      <c r="S77" s="85">
        <f t="shared" ref="S77:AD77" ca="1" si="113">S49+S71</f>
        <v>24274.905588125981</v>
      </c>
      <c r="T77" s="85">
        <f t="shared" ca="1" si="113"/>
        <v>69821.509038328019</v>
      </c>
      <c r="U77" s="85">
        <f t="shared" ca="1" si="113"/>
        <v>54284.182092685282</v>
      </c>
      <c r="V77" s="85">
        <f t="shared" ca="1" si="113"/>
        <v>16743.343966906094</v>
      </c>
      <c r="W77" s="85">
        <f t="shared" ca="1" si="113"/>
        <v>17711.768805680535</v>
      </c>
      <c r="X77" s="69">
        <f t="shared" ca="1" si="113"/>
        <v>93253.957284614997</v>
      </c>
      <c r="Y77" s="69">
        <f t="shared" ca="1" si="113"/>
        <v>21803.749934117772</v>
      </c>
      <c r="Z77" s="69">
        <f t="shared" ca="1" si="113"/>
        <v>23902.537052040439</v>
      </c>
      <c r="AA77" s="69">
        <f t="shared" ca="1" si="113"/>
        <v>103545.80786577075</v>
      </c>
      <c r="AB77" s="69">
        <f t="shared" ca="1" si="113"/>
        <v>84181.404707798676</v>
      </c>
      <c r="AC77" s="69">
        <f t="shared" ca="1" si="113"/>
        <v>24285.280285663219</v>
      </c>
      <c r="AD77" s="69">
        <f t="shared" ca="1" si="113"/>
        <v>23236.212198630099</v>
      </c>
      <c r="AE77" s="69"/>
      <c r="AF77" s="69">
        <f ca="1">AF49+AF71</f>
        <v>557044.65882036206</v>
      </c>
      <c r="AH77" s="85">
        <f t="shared" ref="AH77:AS77" ca="1" si="114">AH49+AH71</f>
        <v>24648.67166767782</v>
      </c>
      <c r="AI77" s="85">
        <f t="shared" ca="1" si="114"/>
        <v>84238.605802372564</v>
      </c>
      <c r="AJ77" s="85">
        <f t="shared" ca="1" si="114"/>
        <v>60976.918701879447</v>
      </c>
      <c r="AK77" s="85">
        <f t="shared" ca="1" si="114"/>
        <v>15615.295374530651</v>
      </c>
      <c r="AL77" s="85">
        <f t="shared" ca="1" si="114"/>
        <v>18356.503868913278</v>
      </c>
      <c r="AM77" s="69">
        <f t="shared" ca="1" si="114"/>
        <v>114379.88358458332</v>
      </c>
      <c r="AN77" s="69">
        <f t="shared" ca="1" si="114"/>
        <v>18016.211647667322</v>
      </c>
      <c r="AO77" s="69">
        <f t="shared" ca="1" si="114"/>
        <v>28178.422305264587</v>
      </c>
      <c r="AP77" s="69">
        <f t="shared" ca="1" si="114"/>
        <v>121274.34753691094</v>
      </c>
      <c r="AQ77" s="69">
        <f t="shared" ca="1" si="114"/>
        <v>106454.89910900162</v>
      </c>
      <c r="AR77" s="69">
        <f t="shared" ca="1" si="114"/>
        <v>22616.168899065458</v>
      </c>
      <c r="AS77" s="69">
        <f t="shared" ca="1" si="114"/>
        <v>23158.369401239186</v>
      </c>
      <c r="AT77" s="69"/>
      <c r="AU77" s="69">
        <f ca="1">AU49+AU71</f>
        <v>637914.29789910628</v>
      </c>
    </row>
    <row r="78" spans="2:47">
      <c r="B78" s="52"/>
      <c r="C78" s="52"/>
      <c r="D78" s="70"/>
      <c r="E78" s="70"/>
      <c r="F78" s="70"/>
      <c r="G78" s="70"/>
      <c r="H78" s="70"/>
      <c r="I78" s="70"/>
      <c r="J78" s="70"/>
      <c r="K78" s="70"/>
      <c r="L78" s="70"/>
      <c r="M78" s="52"/>
      <c r="N78" s="52"/>
      <c r="O78" s="52"/>
      <c r="P78" s="52"/>
      <c r="S78" s="10"/>
      <c r="T78" s="10"/>
      <c r="U78" s="10"/>
      <c r="V78" s="10"/>
      <c r="W78" s="10"/>
      <c r="X78" s="52"/>
      <c r="Y78" s="52"/>
      <c r="Z78" s="52"/>
      <c r="AA78" s="52"/>
      <c r="AB78" s="52"/>
      <c r="AC78" s="52"/>
      <c r="AD78" s="52"/>
      <c r="AE78" s="52"/>
      <c r="AH78" s="10"/>
      <c r="AI78" s="10"/>
      <c r="AJ78" s="10"/>
      <c r="AK78" s="10"/>
      <c r="AL78" s="10"/>
      <c r="AM78" s="52"/>
      <c r="AN78" s="52"/>
      <c r="AO78" s="52"/>
      <c r="AP78" s="52"/>
      <c r="AQ78" s="52"/>
      <c r="AR78" s="52"/>
      <c r="AS78" s="52"/>
      <c r="AT78" s="52"/>
    </row>
    <row r="79" spans="2:47" outlineLevel="1">
      <c r="B79" s="67" t="s">
        <v>138</v>
      </c>
      <c r="C79" s="52"/>
      <c r="D79" s="97">
        <f t="shared" ref="D79:K79" si="115">IFERROR(D73/D7,0)</f>
        <v>0.29080971385775328</v>
      </c>
      <c r="E79" s="97">
        <f t="shared" si="115"/>
        <v>0.41834639882073982</v>
      </c>
      <c r="F79" s="97">
        <f t="shared" si="115"/>
        <v>0.35444216577243148</v>
      </c>
      <c r="G79" s="97">
        <f t="shared" si="115"/>
        <v>0.1183931458376242</v>
      </c>
      <c r="H79" s="97">
        <f t="shared" si="115"/>
        <v>0.12016890303811605</v>
      </c>
      <c r="I79" s="97">
        <f t="shared" si="115"/>
        <v>0.45892226209347525</v>
      </c>
      <c r="J79" s="97">
        <f t="shared" si="115"/>
        <v>0.41223810187340804</v>
      </c>
      <c r="K79" s="97">
        <f t="shared" si="115"/>
        <v>-0.3552732228565918</v>
      </c>
      <c r="L79" s="97">
        <f t="shared" ref="L79:O82" si="116">IFERROR(L73/L7,0)</f>
        <v>0.23918338568040509</v>
      </c>
      <c r="M79" s="91">
        <f t="shared" si="116"/>
        <v>0.3249483870967742</v>
      </c>
      <c r="N79" s="91">
        <f t="shared" si="116"/>
        <v>0.27312119418939812</v>
      </c>
      <c r="O79" s="91">
        <f t="shared" si="116"/>
        <v>0.21552499999999999</v>
      </c>
      <c r="P79" s="91"/>
      <c r="Q79" s="91">
        <f>IFERROR(Q73/Q7,0)</f>
        <v>0.31963664948581999</v>
      </c>
      <c r="S79" s="91">
        <f t="shared" ref="S79:AD79" si="117">IFERROR(S73/S7,0)</f>
        <v>0.27387055322420284</v>
      </c>
      <c r="T79" s="91">
        <f t="shared" si="117"/>
        <v>0.33731986027370175</v>
      </c>
      <c r="U79" s="91">
        <f t="shared" si="117"/>
        <v>0.28865594526029736</v>
      </c>
      <c r="V79" s="91">
        <f t="shared" si="117"/>
        <v>0.18635721628619259</v>
      </c>
      <c r="W79" s="91">
        <f t="shared" si="117"/>
        <v>0.19386118737329369</v>
      </c>
      <c r="X79" s="91">
        <f t="shared" si="117"/>
        <v>0.33839058867675337</v>
      </c>
      <c r="Y79" s="91">
        <f t="shared" si="117"/>
        <v>0.23942715031391026</v>
      </c>
      <c r="Z79" s="91">
        <f t="shared" si="117"/>
        <v>0.19637631804964534</v>
      </c>
      <c r="AA79" s="91">
        <f t="shared" si="117"/>
        <v>0.31710263414166268</v>
      </c>
      <c r="AB79" s="91">
        <f t="shared" si="117"/>
        <v>0.29239327706841028</v>
      </c>
      <c r="AC79" s="91">
        <f t="shared" si="117"/>
        <v>0.22285588231059836</v>
      </c>
      <c r="AD79" s="91">
        <f t="shared" si="117"/>
        <v>0.24305804808300727</v>
      </c>
      <c r="AE79" s="91"/>
      <c r="AF79" s="91">
        <f>IFERROR(AF73/AF7,0)</f>
        <v>0.28816856974343125</v>
      </c>
      <c r="AH79" s="91">
        <f t="shared" ref="AH79:AS79" si="118">IFERROR(AH73/AH7,0)</f>
        <v>0.2560663984929733</v>
      </c>
      <c r="AI79" s="91">
        <f t="shared" si="118"/>
        <v>0.32207488861602918</v>
      </c>
      <c r="AJ79" s="91">
        <f t="shared" si="118"/>
        <v>0.29854148655011209</v>
      </c>
      <c r="AK79" s="91">
        <f t="shared" si="118"/>
        <v>0.16691242230413511</v>
      </c>
      <c r="AL79" s="91">
        <f t="shared" si="118"/>
        <v>0.15382725358829838</v>
      </c>
      <c r="AM79" s="91">
        <f t="shared" si="118"/>
        <v>0.31462138670019196</v>
      </c>
      <c r="AN79" s="91">
        <f t="shared" si="118"/>
        <v>0.25805172365770973</v>
      </c>
      <c r="AO79" s="91">
        <f t="shared" si="118"/>
        <v>0.20163032831710731</v>
      </c>
      <c r="AP79" s="91">
        <f t="shared" si="118"/>
        <v>0.30472562415148874</v>
      </c>
      <c r="AQ79" s="91">
        <f t="shared" si="118"/>
        <v>0.3045335836962767</v>
      </c>
      <c r="AR79" s="91">
        <f t="shared" si="118"/>
        <v>0.26550824129869488</v>
      </c>
      <c r="AS79" s="91">
        <f t="shared" si="118"/>
        <v>0.24647765564211446</v>
      </c>
      <c r="AT79" s="91"/>
      <c r="AU79" s="91">
        <f>IFERROR(AU73/AU7,0)</f>
        <v>0.28566965238471947</v>
      </c>
    </row>
    <row r="80" spans="2:47" outlineLevel="1">
      <c r="B80" s="67" t="s">
        <v>139</v>
      </c>
      <c r="C80" s="52"/>
      <c r="D80" s="97">
        <f t="shared" ref="D80:K80" si="119">IFERROR(D74/D8,0)</f>
        <v>0.45038015193512471</v>
      </c>
      <c r="E80" s="97">
        <f t="shared" si="119"/>
        <v>0.37937156089335639</v>
      </c>
      <c r="F80" s="97">
        <f t="shared" si="119"/>
        <v>-17.028459705821419</v>
      </c>
      <c r="G80" s="97">
        <f t="shared" si="119"/>
        <v>-10.604286513263025</v>
      </c>
      <c r="H80" s="97">
        <f t="shared" si="119"/>
        <v>-1.0013930292814754</v>
      </c>
      <c r="I80" s="97">
        <f t="shared" si="119"/>
        <v>-3.4916081967790586</v>
      </c>
      <c r="J80" s="97">
        <f t="shared" si="119"/>
        <v>-2.4635106014545736</v>
      </c>
      <c r="K80" s="97">
        <f t="shared" si="119"/>
        <v>0.42231272159256744</v>
      </c>
      <c r="L80" s="97">
        <f t="shared" si="116"/>
        <v>0.98408378690417286</v>
      </c>
      <c r="M80" s="91">
        <f t="shared" si="116"/>
        <v>0.58998799159411586</v>
      </c>
      <c r="N80" s="91">
        <f t="shared" si="116"/>
        <v>0.58999750353665636</v>
      </c>
      <c r="O80" s="91">
        <f t="shared" si="116"/>
        <v>0.59000207856994391</v>
      </c>
      <c r="P80" s="91"/>
      <c r="Q80" s="91">
        <f>IFERROR(Q74/Q8,0)</f>
        <v>0.17084980872808145</v>
      </c>
      <c r="S80" s="91">
        <f t="shared" ref="S80:AD80" si="120">IFERROR(S74/S8,0)</f>
        <v>0.4985906538873075</v>
      </c>
      <c r="T80" s="91">
        <f t="shared" si="120"/>
        <v>0.45863616848024136</v>
      </c>
      <c r="U80" s="91">
        <f t="shared" si="120"/>
        <v>0.45926948083271979</v>
      </c>
      <c r="V80" s="91">
        <f t="shared" si="120"/>
        <v>0.42124437412540272</v>
      </c>
      <c r="W80" s="91">
        <f t="shared" si="120"/>
        <v>0.47478113007778372</v>
      </c>
      <c r="X80" s="91">
        <f t="shared" si="120"/>
        <v>0.4727922975124994</v>
      </c>
      <c r="Y80" s="91">
        <f t="shared" si="120"/>
        <v>0.44156970150635511</v>
      </c>
      <c r="Z80" s="91">
        <f t="shared" si="120"/>
        <v>0.496002662168881</v>
      </c>
      <c r="AA80" s="91">
        <f t="shared" si="120"/>
        <v>0.41844093662540272</v>
      </c>
      <c r="AB80" s="91">
        <f t="shared" si="120"/>
        <v>0.38415132977056393</v>
      </c>
      <c r="AC80" s="91">
        <f t="shared" si="120"/>
        <v>0.48092552331895105</v>
      </c>
      <c r="AD80" s="91">
        <f t="shared" si="120"/>
        <v>0.4271620824587361</v>
      </c>
      <c r="AE80" s="91"/>
      <c r="AF80" s="91">
        <f>IFERROR(AF74/AF8,0)</f>
        <v>0.45705497236699288</v>
      </c>
      <c r="AH80" s="91">
        <f t="shared" ref="AH80:AS80" si="121">IFERROR(AH74/AH8,0)</f>
        <v>0.4985906538873075</v>
      </c>
      <c r="AI80" s="91">
        <f t="shared" si="121"/>
        <v>0.45863616848024141</v>
      </c>
      <c r="AJ80" s="91">
        <f t="shared" si="121"/>
        <v>0.45926948083271979</v>
      </c>
      <c r="AK80" s="91">
        <f t="shared" si="121"/>
        <v>0.42124437412540272</v>
      </c>
      <c r="AL80" s="91">
        <f t="shared" si="121"/>
        <v>0.47478113007778372</v>
      </c>
      <c r="AM80" s="91">
        <f t="shared" si="121"/>
        <v>0.47279229751249952</v>
      </c>
      <c r="AN80" s="91">
        <f t="shared" si="121"/>
        <v>0.44156970150635511</v>
      </c>
      <c r="AO80" s="91">
        <f t="shared" si="121"/>
        <v>0.49600266216888089</v>
      </c>
      <c r="AP80" s="91">
        <f t="shared" si="121"/>
        <v>0.41844093662540272</v>
      </c>
      <c r="AQ80" s="91">
        <f t="shared" si="121"/>
        <v>0.38415132977056399</v>
      </c>
      <c r="AR80" s="91">
        <f t="shared" si="121"/>
        <v>0.48092552331895105</v>
      </c>
      <c r="AS80" s="91">
        <f t="shared" si="121"/>
        <v>0.4271620824587361</v>
      </c>
      <c r="AT80" s="91"/>
      <c r="AU80" s="91">
        <f>IFERROR(AU74/AU8,0)</f>
        <v>0.45705497236699283</v>
      </c>
    </row>
    <row r="81" spans="2:47" outlineLevel="1">
      <c r="B81" s="67" t="s">
        <v>140</v>
      </c>
      <c r="C81" s="52"/>
      <c r="D81" s="97">
        <f t="shared" ref="D81:K81" si="122">IFERROR(D75/D9,0)</f>
        <v>0</v>
      </c>
      <c r="E81" s="97">
        <f t="shared" si="122"/>
        <v>0</v>
      </c>
      <c r="F81" s="97">
        <f t="shared" si="122"/>
        <v>0</v>
      </c>
      <c r="G81" s="97">
        <f t="shared" si="122"/>
        <v>0</v>
      </c>
      <c r="H81" s="97">
        <f t="shared" si="122"/>
        <v>0</v>
      </c>
      <c r="I81" s="97">
        <f t="shared" si="122"/>
        <v>0</v>
      </c>
      <c r="J81" s="97">
        <f t="shared" si="122"/>
        <v>0</v>
      </c>
      <c r="K81" s="97">
        <f t="shared" si="122"/>
        <v>0</v>
      </c>
      <c r="L81" s="97">
        <f t="shared" ca="1" si="116"/>
        <v>0</v>
      </c>
      <c r="M81" s="91">
        <f t="shared" si="116"/>
        <v>0</v>
      </c>
      <c r="N81" s="91">
        <f t="shared" si="116"/>
        <v>0</v>
      </c>
      <c r="O81" s="91">
        <f t="shared" si="116"/>
        <v>0</v>
      </c>
      <c r="P81" s="91"/>
      <c r="Q81" s="91">
        <f ca="1">IFERROR(Q75/Q9,0)</f>
        <v>0</v>
      </c>
      <c r="S81" s="91">
        <f t="shared" ref="S81:AD81" ca="1" si="123">IFERROR(S75/S9,0)</f>
        <v>0</v>
      </c>
      <c r="T81" s="91">
        <f t="shared" ca="1" si="123"/>
        <v>0</v>
      </c>
      <c r="U81" s="91">
        <f t="shared" ca="1" si="123"/>
        <v>0</v>
      </c>
      <c r="V81" s="91">
        <f t="shared" ca="1" si="123"/>
        <v>0</v>
      </c>
      <c r="W81" s="91">
        <f t="shared" ca="1" si="123"/>
        <v>0</v>
      </c>
      <c r="X81" s="91">
        <f t="shared" ca="1" si="123"/>
        <v>0</v>
      </c>
      <c r="Y81" s="91">
        <f t="shared" ca="1" si="123"/>
        <v>0</v>
      </c>
      <c r="Z81" s="91">
        <f t="shared" ca="1" si="123"/>
        <v>0</v>
      </c>
      <c r="AA81" s="91">
        <f t="shared" ca="1" si="123"/>
        <v>0</v>
      </c>
      <c r="AB81" s="91">
        <f t="shared" ca="1" si="123"/>
        <v>0</v>
      </c>
      <c r="AC81" s="91">
        <f t="shared" ca="1" si="123"/>
        <v>0</v>
      </c>
      <c r="AD81" s="91">
        <f t="shared" ca="1" si="123"/>
        <v>0</v>
      </c>
      <c r="AE81" s="91"/>
      <c r="AF81" s="91">
        <f ca="1">IFERROR(AF75/AF9,0)</f>
        <v>0</v>
      </c>
      <c r="AH81" s="91">
        <f t="shared" ref="AH81:AS81" ca="1" si="124">IFERROR(AH75/AH9,0)</f>
        <v>0</v>
      </c>
      <c r="AI81" s="91">
        <f t="shared" ca="1" si="124"/>
        <v>0</v>
      </c>
      <c r="AJ81" s="91">
        <f t="shared" ca="1" si="124"/>
        <v>0</v>
      </c>
      <c r="AK81" s="91">
        <f t="shared" ca="1" si="124"/>
        <v>0</v>
      </c>
      <c r="AL81" s="91">
        <f t="shared" ca="1" si="124"/>
        <v>0</v>
      </c>
      <c r="AM81" s="91">
        <f t="shared" ca="1" si="124"/>
        <v>0</v>
      </c>
      <c r="AN81" s="91">
        <f t="shared" ca="1" si="124"/>
        <v>0</v>
      </c>
      <c r="AO81" s="91">
        <f t="shared" ca="1" si="124"/>
        <v>0</v>
      </c>
      <c r="AP81" s="91">
        <f t="shared" ca="1" si="124"/>
        <v>0</v>
      </c>
      <c r="AQ81" s="91">
        <f t="shared" ca="1" si="124"/>
        <v>0</v>
      </c>
      <c r="AR81" s="91">
        <f t="shared" ca="1" si="124"/>
        <v>0</v>
      </c>
      <c r="AS81" s="91">
        <f t="shared" ca="1" si="124"/>
        <v>0</v>
      </c>
      <c r="AT81" s="91"/>
      <c r="AU81" s="91">
        <f ca="1">IFERROR(AU75/AU9,0)</f>
        <v>0</v>
      </c>
    </row>
    <row r="82" spans="2:47" outlineLevel="1">
      <c r="B82" s="67" t="s">
        <v>141</v>
      </c>
      <c r="C82" s="52"/>
      <c r="D82" s="97">
        <f t="shared" ref="D82:K82" si="125">IFERROR(D76/D10,0)</f>
        <v>0</v>
      </c>
      <c r="E82" s="97">
        <f t="shared" si="125"/>
        <v>0</v>
      </c>
      <c r="F82" s="97">
        <f t="shared" si="125"/>
        <v>0</v>
      </c>
      <c r="G82" s="97">
        <f t="shared" si="125"/>
        <v>0</v>
      </c>
      <c r="H82" s="97">
        <f t="shared" si="125"/>
        <v>0</v>
      </c>
      <c r="I82" s="97">
        <f t="shared" si="125"/>
        <v>0</v>
      </c>
      <c r="J82" s="97">
        <f t="shared" si="125"/>
        <v>0</v>
      </c>
      <c r="K82" s="97">
        <f t="shared" si="125"/>
        <v>0</v>
      </c>
      <c r="L82" s="97">
        <f t="shared" si="116"/>
        <v>0</v>
      </c>
      <c r="M82" s="91">
        <f t="shared" si="116"/>
        <v>0</v>
      </c>
      <c r="N82" s="91">
        <f t="shared" si="116"/>
        <v>0</v>
      </c>
      <c r="O82" s="91">
        <f t="shared" si="116"/>
        <v>0</v>
      </c>
      <c r="P82" s="91"/>
      <c r="Q82" s="91">
        <f>IFERROR(Q76/Q10,0)</f>
        <v>0</v>
      </c>
      <c r="S82" s="91">
        <f t="shared" ref="S82:AD82" si="126">IFERROR(S76/S10,0)</f>
        <v>0</v>
      </c>
      <c r="T82" s="91">
        <f t="shared" si="126"/>
        <v>0</v>
      </c>
      <c r="U82" s="91">
        <f t="shared" si="126"/>
        <v>0</v>
      </c>
      <c r="V82" s="91">
        <f t="shared" si="126"/>
        <v>0</v>
      </c>
      <c r="W82" s="91">
        <f t="shared" si="126"/>
        <v>0</v>
      </c>
      <c r="X82" s="91">
        <f t="shared" si="126"/>
        <v>0</v>
      </c>
      <c r="Y82" s="91">
        <f t="shared" si="126"/>
        <v>0</v>
      </c>
      <c r="Z82" s="91">
        <f t="shared" si="126"/>
        <v>0</v>
      </c>
      <c r="AA82" s="91">
        <f t="shared" si="126"/>
        <v>0</v>
      </c>
      <c r="AB82" s="91">
        <f t="shared" si="126"/>
        <v>0</v>
      </c>
      <c r="AC82" s="91">
        <f t="shared" si="126"/>
        <v>0</v>
      </c>
      <c r="AD82" s="91">
        <f t="shared" si="126"/>
        <v>0</v>
      </c>
      <c r="AE82" s="91"/>
      <c r="AF82" s="91">
        <f>IFERROR(AF76/AF10,0)</f>
        <v>0</v>
      </c>
      <c r="AH82" s="91">
        <f t="shared" ref="AH82:AS82" si="127">IFERROR(AH76/AH10,0)</f>
        <v>0</v>
      </c>
      <c r="AI82" s="91">
        <f t="shared" si="127"/>
        <v>0</v>
      </c>
      <c r="AJ82" s="91">
        <f t="shared" si="127"/>
        <v>0</v>
      </c>
      <c r="AK82" s="91">
        <f t="shared" si="127"/>
        <v>0</v>
      </c>
      <c r="AL82" s="91">
        <f t="shared" si="127"/>
        <v>0</v>
      </c>
      <c r="AM82" s="91">
        <f t="shared" si="127"/>
        <v>0</v>
      </c>
      <c r="AN82" s="91">
        <f t="shared" si="127"/>
        <v>0</v>
      </c>
      <c r="AO82" s="91">
        <f t="shared" si="127"/>
        <v>0</v>
      </c>
      <c r="AP82" s="91">
        <f t="shared" si="127"/>
        <v>0</v>
      </c>
      <c r="AQ82" s="91">
        <f t="shared" si="127"/>
        <v>0</v>
      </c>
      <c r="AR82" s="91">
        <f t="shared" si="127"/>
        <v>0</v>
      </c>
      <c r="AS82" s="91">
        <f t="shared" si="127"/>
        <v>0</v>
      </c>
      <c r="AT82" s="91"/>
      <c r="AU82" s="91">
        <f>IFERROR(AU76/AU10,0)</f>
        <v>0</v>
      </c>
    </row>
    <row r="83" spans="2:47">
      <c r="B83" s="72" t="s">
        <v>142</v>
      </c>
      <c r="C83" s="73"/>
      <c r="D83" s="97">
        <f t="shared" ref="D83:K83" si="128">IFERROR(D77/D12,0)</f>
        <v>0.37378267084177447</v>
      </c>
      <c r="E83" s="97">
        <f t="shared" si="128"/>
        <v>0.40897312171985839</v>
      </c>
      <c r="F83" s="97">
        <f t="shared" si="128"/>
        <v>0.24798490950013827</v>
      </c>
      <c r="G83" s="97">
        <f t="shared" si="128"/>
        <v>-6.3362570703626803E-2</v>
      </c>
      <c r="H83" s="97">
        <f t="shared" si="128"/>
        <v>9.7247509971789148E-3</v>
      </c>
      <c r="I83" s="97">
        <f t="shared" si="128"/>
        <v>0.39199762123493759</v>
      </c>
      <c r="J83" s="97">
        <f t="shared" si="128"/>
        <v>0.31516360066094029</v>
      </c>
      <c r="K83" s="97">
        <f t="shared" si="128"/>
        <v>-9.6159956460216221E-3</v>
      </c>
      <c r="L83" s="97">
        <f t="shared" ref="L83:O83" ca="1" si="129">IFERROR(L77/L12,0)</f>
        <v>0.2736931787791031</v>
      </c>
      <c r="M83" s="91">
        <f t="shared" si="129"/>
        <v>0.33587051997377243</v>
      </c>
      <c r="N83" s="91">
        <f t="shared" si="129"/>
        <v>0.30572561241876517</v>
      </c>
      <c r="O83" s="91">
        <f t="shared" si="129"/>
        <v>0.28813832574261417</v>
      </c>
      <c r="P83" s="91"/>
      <c r="Q83" s="91">
        <f ca="1">IFERROR(Q77/Q12,0)</f>
        <v>0.30484841387764355</v>
      </c>
      <c r="S83" s="91">
        <f t="shared" ref="S83:AD83" ca="1" si="130">IFERROR(S77/S12,0)</f>
        <v>0.30335739478937729</v>
      </c>
      <c r="T83" s="91">
        <f t="shared" ca="1" si="130"/>
        <v>0.34665584605565186</v>
      </c>
      <c r="U83" s="91">
        <f t="shared" ca="1" si="130"/>
        <v>0.30853513468581412</v>
      </c>
      <c r="V83" s="91">
        <f t="shared" ca="1" si="130"/>
        <v>0.2099159839774983</v>
      </c>
      <c r="W83" s="91">
        <f t="shared" ca="1" si="130"/>
        <v>0.23259714695356443</v>
      </c>
      <c r="X83" s="91">
        <f t="shared" ca="1" si="130"/>
        <v>0.34612272190744869</v>
      </c>
      <c r="Y83" s="91">
        <f t="shared" ca="1" si="130"/>
        <v>0.26524783122285767</v>
      </c>
      <c r="Z83" s="91">
        <f t="shared" ca="1" si="130"/>
        <v>0.27593063509064703</v>
      </c>
      <c r="AA83" s="91">
        <f t="shared" ca="1" si="130"/>
        <v>0.31960496428625956</v>
      </c>
      <c r="AB83" s="91">
        <f t="shared" ca="1" si="130"/>
        <v>0.29741817474065724</v>
      </c>
      <c r="AC83" s="91">
        <f t="shared" ca="1" si="130"/>
        <v>0.26680128065937547</v>
      </c>
      <c r="AD83" s="91">
        <f t="shared" ca="1" si="130"/>
        <v>0.26511367465768088</v>
      </c>
      <c r="AE83" s="91"/>
      <c r="AF83" s="91">
        <f ca="1">IFERROR(AF77/AF12,0)</f>
        <v>0.30319822729871043</v>
      </c>
      <c r="AH83" s="91">
        <f t="shared" ref="AH83:AS83" ca="1" si="131">IFERROR(AH77/AH12,0)</f>
        <v>0.28722375582142456</v>
      </c>
      <c r="AI83" s="91">
        <f t="shared" ca="1" si="131"/>
        <v>0.33080272267661426</v>
      </c>
      <c r="AJ83" s="91">
        <f t="shared" ca="1" si="131"/>
        <v>0.31649879626907157</v>
      </c>
      <c r="AK83" s="91">
        <f t="shared" ca="1" si="131"/>
        <v>0.19336781387195048</v>
      </c>
      <c r="AL83" s="91">
        <f t="shared" ca="1" si="131"/>
        <v>0.19056100556082303</v>
      </c>
      <c r="AM83" s="91">
        <f t="shared" ca="1" si="131"/>
        <v>0.32186528083939109</v>
      </c>
      <c r="AN83" s="91">
        <f t="shared" ca="1" si="131"/>
        <v>0.29069818033024664</v>
      </c>
      <c r="AO83" s="91">
        <f t="shared" ca="1" si="131"/>
        <v>0.26966326985607697</v>
      </c>
      <c r="AP83" s="91">
        <f t="shared" ca="1" si="131"/>
        <v>0.30714482817017613</v>
      </c>
      <c r="AQ83" s="91">
        <f t="shared" ca="1" si="131"/>
        <v>0.30828607007913816</v>
      </c>
      <c r="AR83" s="91">
        <f t="shared" ca="1" si="131"/>
        <v>0.31421767907784381</v>
      </c>
      <c r="AS83" s="91">
        <f t="shared" ca="1" si="131"/>
        <v>0.2696746354053603</v>
      </c>
      <c r="AT83" s="91"/>
      <c r="AU83" s="91">
        <f ca="1">IFERROR(AU77/AU12,0)</f>
        <v>0.29948271901930601</v>
      </c>
    </row>
    <row r="84" spans="2:47">
      <c r="D84" s="97"/>
      <c r="E84" s="97"/>
      <c r="F84" s="97"/>
      <c r="G84" s="97"/>
      <c r="H84" s="97"/>
      <c r="I84" s="97"/>
      <c r="J84" s="97"/>
      <c r="K84" s="97"/>
      <c r="L84" s="97"/>
      <c r="M84" s="91"/>
      <c r="N84" s="91"/>
      <c r="O84" s="91"/>
      <c r="P84" s="91"/>
      <c r="Q84" s="91"/>
    </row>
    <row r="85" spans="2:47" outlineLevel="1">
      <c r="B85" s="58" t="s">
        <v>143</v>
      </c>
      <c r="D85" s="53"/>
      <c r="E85" s="53"/>
      <c r="F85" s="53"/>
      <c r="G85" s="53"/>
      <c r="H85" s="53"/>
      <c r="I85" s="53"/>
      <c r="J85" s="53"/>
      <c r="K85" s="53"/>
      <c r="L85" s="53"/>
      <c r="M85" s="60"/>
      <c r="N85" s="60"/>
      <c r="O85" s="60"/>
      <c r="X85" s="60"/>
      <c r="Y85" s="60"/>
      <c r="Z85" s="60"/>
      <c r="AA85" s="60"/>
      <c r="AB85" s="60"/>
      <c r="AC85" s="60"/>
      <c r="AD85" s="60"/>
      <c r="AM85" s="60"/>
      <c r="AN85" s="60"/>
      <c r="AO85" s="60"/>
      <c r="AP85" s="60"/>
      <c r="AQ85" s="60"/>
      <c r="AR85" s="60"/>
      <c r="AS85" s="60"/>
    </row>
    <row r="86" spans="2:47" outlineLevel="1">
      <c r="B86" s="58"/>
      <c r="D86" s="53"/>
      <c r="E86" s="53"/>
      <c r="F86" s="53"/>
      <c r="G86" s="53"/>
      <c r="H86" s="53"/>
      <c r="I86" s="53"/>
      <c r="J86" s="53"/>
      <c r="K86" s="53"/>
      <c r="L86" s="53"/>
    </row>
    <row r="87" spans="2:47" outlineLevel="1">
      <c r="B87" s="51" t="s">
        <v>144</v>
      </c>
      <c r="D87" s="59">
        <v>-2316.15</v>
      </c>
      <c r="E87" s="59">
        <v>-513.04</v>
      </c>
      <c r="F87" s="59">
        <v>-1680.91</v>
      </c>
      <c r="G87" s="59">
        <v>-2238.7199999999998</v>
      </c>
      <c r="H87" s="59">
        <v>-2289.33</v>
      </c>
      <c r="I87" s="59">
        <v>-2388.1</v>
      </c>
      <c r="J87" s="59">
        <v>-2344.04</v>
      </c>
      <c r="K87" s="59">
        <v>-2692.7</v>
      </c>
      <c r="L87" s="59">
        <v>-2493</v>
      </c>
      <c r="M87" s="60">
        <f>SUMIFS(Payroll!F:F,Payroll!$C:$C,"Permanent",Payroll!$D:$D,"Hungary")</f>
        <v>-2866.5</v>
      </c>
      <c r="N87" s="60">
        <f>SUMIFS(Payroll!G:G,Payroll!$C:$C,"Permanent",Payroll!$D:$D,"Hungary")</f>
        <v>-2866.5</v>
      </c>
      <c r="O87" s="60">
        <f>SUMIFS(Payroll!H:H,Payroll!$C:$C,"Permanent",Payroll!$D:$D,"Hungary")</f>
        <v>-5937.75</v>
      </c>
      <c r="P87" s="60"/>
      <c r="Q87" s="61">
        <f>SUM(D87:O87)</f>
        <v>-30626.74</v>
      </c>
      <c r="R87" s="61"/>
      <c r="S87" s="60">
        <f>SUMIFS(Payroll!I:I,Payroll!$C:$C,"Permanent",Payroll!$A:$A,"HU")</f>
        <v>-3363.75</v>
      </c>
      <c r="T87" s="60">
        <f>SUMIFS(Payroll!J:J,Payroll!$C:$C,"Permanent",Payroll!$A:$A,"HU")</f>
        <v>-6288.75</v>
      </c>
      <c r="U87" s="60">
        <f>SUMIFS(Payroll!K:K,Payroll!$C:$C,"Permanent",Payroll!$A:$A,"HU")</f>
        <v>-6288.75</v>
      </c>
      <c r="V87" s="60">
        <f>SUMIFS(Payroll!L:L,Payroll!$C:$C,"Permanent",Payroll!$A:$A,"HU")</f>
        <v>-6288.75</v>
      </c>
      <c r="W87" s="60">
        <f>SUMIFS(Payroll!M:M,Payroll!$C:$C,"Permanent",Payroll!$A:$A,"HU")</f>
        <v>-6288.75</v>
      </c>
      <c r="X87" s="60">
        <f>SUMIFS(Payroll!N:N,Payroll!$C:$C,"Permanent",Payroll!$A:$A,"HU")</f>
        <v>-6288.75</v>
      </c>
      <c r="Y87" s="60">
        <f>SUMIFS(Payroll!O:O,Payroll!$C:$C,"Permanent",Payroll!$A:$A,"HU")</f>
        <v>-6288.75</v>
      </c>
      <c r="Z87" s="60">
        <f>SUMIFS(Payroll!P:P,Payroll!$C:$C,"Permanent",Payroll!$A:$A,"HU")</f>
        <v>-6288.75</v>
      </c>
      <c r="AA87" s="60">
        <f>SUMIFS(Payroll!Q:Q,Payroll!$C:$C,"Permanent",Payroll!$A:$A,"HU")</f>
        <v>-6288.75</v>
      </c>
      <c r="AB87" s="60">
        <f>SUMIFS(Payroll!R:R,Payroll!$C:$C,"Permanent",Payroll!$A:$A,"HU")</f>
        <v>-6288.75</v>
      </c>
      <c r="AC87" s="60">
        <f>SUMIFS(Payroll!S:S,Payroll!$C:$C,"Permanent",Payroll!$A:$A,"HU")</f>
        <v>-6288.75</v>
      </c>
      <c r="AD87" s="60">
        <f>SUMIFS(Payroll!T:T,Payroll!$C:$C,"Permanent",Payroll!$A:$A,"HU")</f>
        <v>-6288.75</v>
      </c>
      <c r="AE87" s="60"/>
      <c r="AF87" s="61">
        <f>SUM(S87:AD87)</f>
        <v>-72540</v>
      </c>
      <c r="AH87" s="60">
        <f>SUMIFS(Payroll!U:U,Payroll!$C:$C,"Permanent",Payroll!$A:$A,"HU")</f>
        <v>-6288.75</v>
      </c>
      <c r="AI87" s="60">
        <f>SUMIFS(Payroll!V:V,Payroll!$C:$C,"Permanent",Payroll!$A:$A,"HU")</f>
        <v>-6288.75</v>
      </c>
      <c r="AJ87" s="60">
        <f>SUMIFS(Payroll!W:W,Payroll!$C:$C,"Permanent",Payroll!$A:$A,"HU")</f>
        <v>-6288.75</v>
      </c>
      <c r="AK87" s="60">
        <f>SUMIFS(Payroll!X:X,Payroll!$C:$C,"Permanent",Payroll!$A:$A,"HU")</f>
        <v>-6288.75</v>
      </c>
      <c r="AL87" s="60">
        <f>SUMIFS(Payroll!Y:Y,Payroll!$C:$C,"Permanent",Payroll!$A:$A,"HU")</f>
        <v>-6288.75</v>
      </c>
      <c r="AM87" s="60">
        <f>SUMIFS(Payroll!Z:Z,Payroll!$C:$C,"Permanent",Payroll!$A:$A,"HU")</f>
        <v>-6288.75</v>
      </c>
      <c r="AN87" s="60">
        <f>SUMIFS(Payroll!AA:AA,Payroll!$C:$C,"Permanent",Payroll!$A:$A,"HU")</f>
        <v>-6288.75</v>
      </c>
      <c r="AO87" s="60">
        <f>SUMIFS(Payroll!AB:AB,Payroll!$C:$C,"Permanent",Payroll!$A:$A,"HU")</f>
        <v>-6288.75</v>
      </c>
      <c r="AP87" s="60">
        <f>SUMIFS(Payroll!AC:AC,Payroll!$C:$C,"Permanent",Payroll!$A:$A,"HU")</f>
        <v>-6288.75</v>
      </c>
      <c r="AQ87" s="60">
        <f>SUMIFS(Payroll!AD:AD,Payroll!$C:$C,"Permanent",Payroll!$A:$A,"HU")</f>
        <v>-6288.75</v>
      </c>
      <c r="AR87" s="60">
        <f>SUMIFS(Payroll!AE:AE,Payroll!$C:$C,"Permanent",Payroll!$A:$A,"HU")</f>
        <v>-6288.75</v>
      </c>
      <c r="AS87" s="60">
        <f>SUMIFS(Payroll!AF:AF,Payroll!$C:$C,"Permanent",Payroll!$A:$A,"HU")</f>
        <v>-6288.75</v>
      </c>
      <c r="AT87" s="60"/>
      <c r="AU87" s="61">
        <f>SUM(AH87:AS87)</f>
        <v>-75465</v>
      </c>
    </row>
    <row r="88" spans="2:47" outlineLevel="1">
      <c r="B88" s="51" t="s">
        <v>145</v>
      </c>
      <c r="D88" s="59">
        <v>-2269.88</v>
      </c>
      <c r="E88" s="59">
        <v>-2866.43</v>
      </c>
      <c r="F88" s="59">
        <v>-2337.5</v>
      </c>
      <c r="G88" s="59">
        <v>-2496.16</v>
      </c>
      <c r="H88" s="59">
        <v>-2493.87</v>
      </c>
      <c r="I88" s="59">
        <v>-2101.91</v>
      </c>
      <c r="J88" s="59">
        <v>-2523.8200000000002</v>
      </c>
      <c r="K88" s="59">
        <v>-3179.33</v>
      </c>
      <c r="L88" s="59">
        <v>-3179</v>
      </c>
      <c r="M88" s="60">
        <f>SUMIFS(Payroll!F:F,Payroll!$C:$C,"Freelancer",Payroll!$D:$D,"Hungary")</f>
        <v>-2948.4463276836159</v>
      </c>
      <c r="N88" s="60">
        <f>SUMIFS(Payroll!G:G,Payroll!$C:$C,"Freelancer",Payroll!$D:$D,"Hungary")</f>
        <v>-2948.4463276836159</v>
      </c>
      <c r="O88" s="60">
        <f>SUMIFS(Payroll!H:H,Payroll!$C:$C,"Freelancer",Payroll!$D:$D,"Hungary")</f>
        <v>-2948.4463276836159</v>
      </c>
      <c r="P88" s="60"/>
      <c r="Q88" s="61">
        <f t="shared" ref="Q88:Q95" si="132">SUM(D88:O88)</f>
        <v>-32293.238983050855</v>
      </c>
      <c r="R88" s="61"/>
      <c r="S88" s="60">
        <f>SUMIFS(Payroll!I:I,Payroll!$C:$C,"Freelancer",Payroll!$A:$A,"HU")</f>
        <v>-4555.0847460000005</v>
      </c>
      <c r="T88" s="60">
        <f>SUMIFS(Payroll!J:J,Payroll!$C:$C,"Freelancer",Payroll!$A:$A,"HU")</f>
        <v>-4555.0847460000005</v>
      </c>
      <c r="U88" s="60">
        <f>SUMIFS(Payroll!K:K,Payroll!$C:$C,"Freelancer",Payroll!$A:$A,"HU")</f>
        <v>-4555.0847460000005</v>
      </c>
      <c r="V88" s="60">
        <f>SUMIFS(Payroll!L:L,Payroll!$C:$C,"Freelancer",Payroll!$A:$A,"HU")</f>
        <v>-4555.0847460000005</v>
      </c>
      <c r="W88" s="60">
        <f>SUMIFS(Payroll!M:M,Payroll!$C:$C,"Freelancer",Payroll!$A:$A,"HU")</f>
        <v>-4555.0847460000005</v>
      </c>
      <c r="X88" s="60">
        <f>SUMIFS(Payroll!N:N,Payroll!$C:$C,"Freelancer",Payroll!$A:$A,"HU")</f>
        <v>-4555.0847460000005</v>
      </c>
      <c r="Y88" s="60">
        <f>SUMIFS(Payroll!O:O,Payroll!$C:$C,"Freelancer",Payroll!$A:$A,"HU")</f>
        <v>-4555.0847460000005</v>
      </c>
      <c r="Z88" s="60">
        <f>SUMIFS(Payroll!P:P,Payroll!$C:$C,"Freelancer",Payroll!$A:$A,"HU")</f>
        <v>-4555.0847460000005</v>
      </c>
      <c r="AA88" s="60">
        <f>SUMIFS(Payroll!Q:Q,Payroll!$C:$C,"Freelancer",Payroll!$A:$A,"HU")</f>
        <v>-4555.0847460000005</v>
      </c>
      <c r="AB88" s="60">
        <f>SUMIFS(Payroll!R:R,Payroll!$C:$C,"Freelancer",Payroll!$A:$A,"HU")</f>
        <v>-4555.0847460000005</v>
      </c>
      <c r="AC88" s="60">
        <f>SUMIFS(Payroll!S:S,Payroll!$C:$C,"Freelancer",Payroll!$A:$A,"HU")</f>
        <v>-4555.0847460000005</v>
      </c>
      <c r="AD88" s="60">
        <f>SUMIFS(Payroll!T:T,Payroll!$C:$C,"Freelancer",Payroll!$A:$A,"HU")</f>
        <v>-4555.0847460000005</v>
      </c>
      <c r="AE88" s="60"/>
      <c r="AF88" s="61">
        <f t="shared" ref="AF88:AF95" si="133">SUM(S88:AD88)</f>
        <v>-54661.016952000005</v>
      </c>
      <c r="AH88" s="60">
        <f>SUMIFS(Payroll!U:U,Payroll!$C:$C,"Freelancer",Payroll!$A:$A,"HU")</f>
        <v>-4555.0847460000005</v>
      </c>
      <c r="AI88" s="60">
        <f>SUMIFS(Payroll!V:V,Payroll!$C:$C,"Freelancer",Payroll!$A:$A,"HU")</f>
        <v>-4555.0847460000005</v>
      </c>
      <c r="AJ88" s="60">
        <f>SUMIFS(Payroll!W:W,Payroll!$C:$C,"Freelancer",Payroll!$A:$A,"HU")</f>
        <v>-4555.0847460000005</v>
      </c>
      <c r="AK88" s="60">
        <f>SUMIFS(Payroll!X:X,Payroll!$C:$C,"Freelancer",Payroll!$A:$A,"HU")</f>
        <v>-4555.0847460000005</v>
      </c>
      <c r="AL88" s="60">
        <f>SUMIFS(Payroll!Y:Y,Payroll!$C:$C,"Freelancer",Payroll!$A:$A,"HU")</f>
        <v>-4555.0847460000005</v>
      </c>
      <c r="AM88" s="60">
        <f>SUMIFS(Payroll!Z:Z,Payroll!$C:$C,"Freelancer",Payroll!$A:$A,"HU")</f>
        <v>-4555.0847460000005</v>
      </c>
      <c r="AN88" s="60">
        <f>SUMIFS(Payroll!AA:AA,Payroll!$C:$C,"Freelancer",Payroll!$A:$A,"HU")</f>
        <v>-4555.0847460000005</v>
      </c>
      <c r="AO88" s="60">
        <f>SUMIFS(Payroll!AB:AB,Payroll!$C:$C,"Freelancer",Payroll!$A:$A,"HU")</f>
        <v>-4555.0847460000005</v>
      </c>
      <c r="AP88" s="60">
        <f>SUMIFS(Payroll!AC:AC,Payroll!$C:$C,"Freelancer",Payroll!$A:$A,"HU")</f>
        <v>-4555.0847460000005</v>
      </c>
      <c r="AQ88" s="60">
        <f>SUMIFS(Payroll!AD:AD,Payroll!$C:$C,"Freelancer",Payroll!$A:$A,"HU")</f>
        <v>-4555.0847460000005</v>
      </c>
      <c r="AR88" s="60">
        <f>SUMIFS(Payroll!AE:AE,Payroll!$C:$C,"Freelancer",Payroll!$A:$A,"HU")</f>
        <v>-4555.0847460000005</v>
      </c>
      <c r="AS88" s="60">
        <f>SUMIFS(Payroll!AF:AF,Payroll!$C:$C,"Freelancer",Payroll!$A:$A,"HU")</f>
        <v>-4555.0847460000005</v>
      </c>
      <c r="AT88" s="60"/>
      <c r="AU88" s="61">
        <f t="shared" ref="AU88:AU95" si="134">SUM(AH88:AS88)</f>
        <v>-54661.016952000005</v>
      </c>
    </row>
    <row r="89" spans="2:47" outlineLevel="1">
      <c r="B89" s="51" t="s">
        <v>146</v>
      </c>
      <c r="D89" s="59">
        <v>0</v>
      </c>
      <c r="E89" s="59">
        <v>-437.35</v>
      </c>
      <c r="F89" s="59">
        <v>-651.16</v>
      </c>
      <c r="G89" s="59">
        <v>-467.97</v>
      </c>
      <c r="H89" s="59">
        <v>-465.18</v>
      </c>
      <c r="I89" s="59">
        <v>-3362.06</v>
      </c>
      <c r="J89" s="59">
        <v>-470.58</v>
      </c>
      <c r="K89" s="59">
        <v>-472.12</v>
      </c>
      <c r="L89" s="59">
        <v>-677</v>
      </c>
      <c r="M89" s="60">
        <v>-500</v>
      </c>
      <c r="N89" s="60">
        <v>-500</v>
      </c>
      <c r="O89" s="60">
        <v>-500</v>
      </c>
      <c r="P89" s="60"/>
      <c r="Q89" s="61">
        <f t="shared" si="132"/>
        <v>-8503.42</v>
      </c>
      <c r="R89" s="61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1">
        <f t="shared" si="133"/>
        <v>0</v>
      </c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1">
        <f t="shared" si="134"/>
        <v>0</v>
      </c>
    </row>
    <row r="90" spans="2:47" outlineLevel="1">
      <c r="B90" s="51" t="s">
        <v>147</v>
      </c>
      <c r="D90" s="59">
        <v>-83.28</v>
      </c>
      <c r="E90" s="59">
        <v>-138.04</v>
      </c>
      <c r="F90" s="59">
        <v>-133.15</v>
      </c>
      <c r="G90" s="59">
        <v>-132.84</v>
      </c>
      <c r="H90" s="59">
        <v>-130.35</v>
      </c>
      <c r="I90" s="59">
        <v>-133.63</v>
      </c>
      <c r="J90" s="59">
        <v>-132.22999999999999</v>
      </c>
      <c r="K90" s="59">
        <v>-689.31</v>
      </c>
      <c r="L90" s="59"/>
      <c r="M90" s="60">
        <v>-300</v>
      </c>
      <c r="N90" s="60">
        <v>-300</v>
      </c>
      <c r="O90" s="60">
        <v>-300</v>
      </c>
      <c r="P90" s="60"/>
      <c r="Q90" s="61">
        <f t="shared" si="132"/>
        <v>-2472.83</v>
      </c>
      <c r="R90" s="61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1">
        <f t="shared" si="133"/>
        <v>0</v>
      </c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1">
        <f t="shared" si="134"/>
        <v>0</v>
      </c>
    </row>
    <row r="91" spans="2:47" outlineLevel="1">
      <c r="B91" s="51" t="s">
        <v>148</v>
      </c>
      <c r="D91" s="59">
        <v>0</v>
      </c>
      <c r="E91" s="59">
        <v>0</v>
      </c>
      <c r="F91" s="59">
        <v>0</v>
      </c>
      <c r="G91" s="59">
        <v>0</v>
      </c>
      <c r="H91" s="59">
        <v>0</v>
      </c>
      <c r="I91" s="59">
        <v>0</v>
      </c>
      <c r="J91" s="59"/>
      <c r="K91" s="59"/>
      <c r="L91" s="59"/>
      <c r="M91" s="60"/>
      <c r="N91" s="60"/>
      <c r="O91" s="60"/>
      <c r="P91" s="60"/>
      <c r="Q91" s="61">
        <f t="shared" si="132"/>
        <v>0</v>
      </c>
      <c r="R91" s="61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1">
        <f t="shared" si="133"/>
        <v>0</v>
      </c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1">
        <f t="shared" si="134"/>
        <v>0</v>
      </c>
    </row>
    <row r="92" spans="2:47" outlineLevel="1">
      <c r="B92" s="51" t="s">
        <v>149</v>
      </c>
      <c r="D92" s="59">
        <v>0</v>
      </c>
      <c r="E92" s="59">
        <v>0</v>
      </c>
      <c r="F92" s="59">
        <v>0</v>
      </c>
      <c r="G92" s="59">
        <v>0</v>
      </c>
      <c r="H92" s="59">
        <v>0</v>
      </c>
      <c r="I92" s="59">
        <v>0</v>
      </c>
      <c r="J92" s="59"/>
      <c r="K92" s="59"/>
      <c r="L92" s="59"/>
      <c r="M92" s="60"/>
      <c r="N92" s="60"/>
      <c r="O92" s="60"/>
      <c r="P92" s="60"/>
      <c r="Q92" s="61">
        <f t="shared" si="132"/>
        <v>0</v>
      </c>
      <c r="R92" s="61"/>
      <c r="S92" s="60">
        <f>-SUMIFS(B2B!V:V,B2B!$A:$A,"Retail Partnerships",B2B!$B:$B,"HU")</f>
        <v>0</v>
      </c>
      <c r="T92" s="60">
        <f>-SUMIFS(B2B!W:W,B2B!$A:$A,"Retail Partnerships",B2B!$B:$B,"HU")</f>
        <v>0</v>
      </c>
      <c r="U92" s="60">
        <f>-SUMIFS(B2B!X:X,B2B!$A:$A,"Retail Partnerships",B2B!$B:$B,"HU")</f>
        <v>0</v>
      </c>
      <c r="V92" s="60">
        <f>-SUMIFS(B2B!Y:Y,B2B!$A:$A,"Retail Partnerships",B2B!$B:$B,"HU")</f>
        <v>0</v>
      </c>
      <c r="W92" s="60">
        <f>-SUMIFS(B2B!Z:Z,B2B!$A:$A,"Retail Partnerships",B2B!$B:$B,"HU")</f>
        <v>0</v>
      </c>
      <c r="X92" s="60">
        <f>-SUMIFS(B2B!AA:AA,B2B!$A:$A,"Retail Partnerships",B2B!$B:$B,"HU")</f>
        <v>0</v>
      </c>
      <c r="Y92" s="60">
        <f>-SUMIFS(B2B!AB:AB,B2B!$A:$A,"Retail Partnerships",B2B!$B:$B,"HU")</f>
        <v>0</v>
      </c>
      <c r="Z92" s="60">
        <f>-SUMIFS(B2B!AC:AC,B2B!$A:$A,"Retail Partnerships",B2B!$B:$B,"HU")</f>
        <v>0</v>
      </c>
      <c r="AA92" s="60">
        <f>-SUMIFS(B2B!AD:AD,B2B!$A:$A,"Retail Partnerships",B2B!$B:$B,"HU")</f>
        <v>0</v>
      </c>
      <c r="AB92" s="60">
        <f>-SUMIFS(B2B!AE:AE,B2B!$A:$A,"Retail Partnerships",B2B!$B:$B,"HU")</f>
        <v>0</v>
      </c>
      <c r="AC92" s="60">
        <f>-SUMIFS(B2B!AF:AF,B2B!$A:$A,"Retail Partnerships",B2B!$B:$B,"HU")</f>
        <v>0</v>
      </c>
      <c r="AD92" s="60">
        <f>-SUMIFS(B2B!AG:AG,B2B!$A:$A,"Retail Partnerships",B2B!$B:$B,"HU")</f>
        <v>0</v>
      </c>
      <c r="AE92" s="60"/>
      <c r="AF92" s="61">
        <f t="shared" ref="AF92:AF94" si="135">SUM(S92:AD92)</f>
        <v>0</v>
      </c>
      <c r="AH92" s="60">
        <f>-SUMIFS(B2B!AK:AK,B2B!$A:$A,"Retail Partnerships",B2B!$B:$B,"HU")</f>
        <v>0</v>
      </c>
      <c r="AI92" s="60">
        <f>-SUMIFS(B2B!AL:AL,B2B!$A:$A,"Retail Partnerships",B2B!$B:$B,"HU")</f>
        <v>0</v>
      </c>
      <c r="AJ92" s="60">
        <f>-SUMIFS(B2B!AM:AM,B2B!$A:$A,"Retail Partnerships",B2B!$B:$B,"HU")</f>
        <v>0</v>
      </c>
      <c r="AK92" s="60">
        <f>-SUMIFS(B2B!AN:AN,B2B!$A:$A,"Retail Partnerships",B2B!$B:$B,"HU")</f>
        <v>0</v>
      </c>
      <c r="AL92" s="60">
        <f>-SUMIFS(B2B!AO:AO,B2B!$A:$A,"Retail Partnerships",B2B!$B:$B,"HU")</f>
        <v>0</v>
      </c>
      <c r="AM92" s="60">
        <f>-SUMIFS(B2B!AP:AP,B2B!$A:$A,"Retail Partnerships",B2B!$B:$B,"HU")</f>
        <v>0</v>
      </c>
      <c r="AN92" s="60">
        <f>-SUMIFS(B2B!AQ:AQ,B2B!$A:$A,"Retail Partnerships",B2B!$B:$B,"HU")</f>
        <v>0</v>
      </c>
      <c r="AO92" s="60">
        <f>-SUMIFS(B2B!AR:AR,B2B!$A:$A,"Retail Partnerships",B2B!$B:$B,"HU")</f>
        <v>0</v>
      </c>
      <c r="AP92" s="60">
        <f>-SUMIFS(B2B!AS:AS,B2B!$A:$A,"Retail Partnerships",B2B!$B:$B,"HU")</f>
        <v>0</v>
      </c>
      <c r="AQ92" s="60">
        <f>-SUMIFS(B2B!AT:AT,B2B!$A:$A,"Retail Partnerships",B2B!$B:$B,"HU")</f>
        <v>0</v>
      </c>
      <c r="AR92" s="60">
        <f>-SUMIFS(B2B!AU:AU,B2B!$A:$A,"Retail Partnerships",B2B!$B:$B,"HU")</f>
        <v>0</v>
      </c>
      <c r="AS92" s="60">
        <f>-SUMIFS(B2B!AV:AV,B2B!$A:$A,"Retail Partnerships",B2B!$B:$B,"HU")</f>
        <v>0</v>
      </c>
      <c r="AT92" s="60"/>
      <c r="AU92" s="61">
        <f t="shared" si="134"/>
        <v>0</v>
      </c>
    </row>
    <row r="93" spans="2:47" outlineLevel="1">
      <c r="B93" s="51" t="s">
        <v>150</v>
      </c>
      <c r="D93" s="59">
        <v>0</v>
      </c>
      <c r="E93" s="59">
        <v>0</v>
      </c>
      <c r="F93" s="59">
        <v>0</v>
      </c>
      <c r="G93" s="59">
        <v>0</v>
      </c>
      <c r="H93" s="59">
        <v>0</v>
      </c>
      <c r="I93" s="59">
        <v>0</v>
      </c>
      <c r="J93" s="59"/>
      <c r="K93" s="59"/>
      <c r="L93" s="59"/>
      <c r="M93" s="60"/>
      <c r="N93" s="60"/>
      <c r="O93" s="60"/>
      <c r="P93" s="60"/>
      <c r="Q93" s="61">
        <f t="shared" si="132"/>
        <v>0</v>
      </c>
      <c r="R93" s="61"/>
      <c r="S93" s="60">
        <f>-SUMIFS(B2B!V:V,B2B!$A:$A,"Retros",B2B!$B:$B,"HU")</f>
        <v>0</v>
      </c>
      <c r="T93" s="60">
        <f>-SUMIFS(B2B!W:W,B2B!$A:$A,"Retros",B2B!$B:$B,"HU")</f>
        <v>0</v>
      </c>
      <c r="U93" s="60">
        <f>-SUMIFS(B2B!X:X,B2B!$A:$A,"Retros",B2B!$B:$B,"HU")</f>
        <v>0</v>
      </c>
      <c r="V93" s="60">
        <f>-SUMIFS(B2B!Y:Y,B2B!$A:$A,"Retros",B2B!$B:$B,"HU")</f>
        <v>0</v>
      </c>
      <c r="W93" s="60">
        <f>-SUMIFS(B2B!Z:Z,B2B!$A:$A,"Retros",B2B!$B:$B,"HU")</f>
        <v>0</v>
      </c>
      <c r="X93" s="60">
        <f>-SUMIFS(B2B!AA:AA,B2B!$A:$A,"Retros",B2B!$B:$B,"HU")</f>
        <v>0</v>
      </c>
      <c r="Y93" s="60">
        <f>-SUMIFS(B2B!AB:AB,B2B!$A:$A,"Retros",B2B!$B:$B,"HU")</f>
        <v>0</v>
      </c>
      <c r="Z93" s="60">
        <f>-SUMIFS(B2B!AC:AC,B2B!$A:$A,"Retros",B2B!$B:$B,"HU")</f>
        <v>0</v>
      </c>
      <c r="AA93" s="60">
        <f>-SUMIFS(B2B!AD:AD,B2B!$A:$A,"Retros",B2B!$B:$B,"HU")</f>
        <v>0</v>
      </c>
      <c r="AB93" s="60">
        <f>-SUMIFS(B2B!AE:AE,B2B!$A:$A,"Retros",B2B!$B:$B,"HU")</f>
        <v>0</v>
      </c>
      <c r="AC93" s="60">
        <f>-SUMIFS(B2B!AF:AF,B2B!$A:$A,"Retros",B2B!$B:$B,"HU")</f>
        <v>0</v>
      </c>
      <c r="AD93" s="60">
        <f>-SUMIFS(B2B!AG:AG,B2B!$A:$A,"Retros",B2B!$B:$B,"HU")</f>
        <v>0</v>
      </c>
      <c r="AE93" s="60"/>
      <c r="AF93" s="61">
        <f t="shared" si="135"/>
        <v>0</v>
      </c>
      <c r="AH93" s="60">
        <f>-SUMIFS(B2B!AK:AK,B2B!$A:$A,"Retros",B2B!$B:$B,"HU")</f>
        <v>0</v>
      </c>
      <c r="AI93" s="60">
        <f>-SUMIFS(B2B!AL:AL,B2B!$A:$A,"Retros",B2B!$B:$B,"HU")</f>
        <v>0</v>
      </c>
      <c r="AJ93" s="60">
        <f>-SUMIFS(B2B!AM:AM,B2B!$A:$A,"Retros",B2B!$B:$B,"HU")</f>
        <v>0</v>
      </c>
      <c r="AK93" s="60">
        <f>-SUMIFS(B2B!AN:AN,B2B!$A:$A,"Retros",B2B!$B:$B,"HU")</f>
        <v>0</v>
      </c>
      <c r="AL93" s="60">
        <f>-SUMIFS(B2B!AO:AO,B2B!$A:$A,"Retros",B2B!$B:$B,"HU")</f>
        <v>0</v>
      </c>
      <c r="AM93" s="60">
        <f>-SUMIFS(B2B!AP:AP,B2B!$A:$A,"Retros",B2B!$B:$B,"HU")</f>
        <v>0</v>
      </c>
      <c r="AN93" s="60">
        <f>-SUMIFS(B2B!AQ:AQ,B2B!$A:$A,"Retros",B2B!$B:$B,"HU")</f>
        <v>0</v>
      </c>
      <c r="AO93" s="60">
        <f>-SUMIFS(B2B!AR:AR,B2B!$A:$A,"Retros",B2B!$B:$B,"HU")</f>
        <v>0</v>
      </c>
      <c r="AP93" s="60">
        <f>-SUMIFS(B2B!AS:AS,B2B!$A:$A,"Retros",B2B!$B:$B,"HU")</f>
        <v>0</v>
      </c>
      <c r="AQ93" s="60">
        <f>-SUMIFS(B2B!AT:AT,B2B!$A:$A,"Retros",B2B!$B:$B,"HU")</f>
        <v>0</v>
      </c>
      <c r="AR93" s="60">
        <f>-SUMIFS(B2B!AU:AU,B2B!$A:$A,"Retros",B2B!$B:$B,"HU")</f>
        <v>0</v>
      </c>
      <c r="AS93" s="60">
        <f>-SUMIFS(B2B!AV:AV,B2B!$A:$A,"Retros",B2B!$B:$B,"HU")</f>
        <v>0</v>
      </c>
      <c r="AT93" s="60"/>
      <c r="AU93" s="61">
        <f t="shared" si="134"/>
        <v>0</v>
      </c>
    </row>
    <row r="94" spans="2:47" outlineLevel="1">
      <c r="B94" s="51" t="s">
        <v>151</v>
      </c>
      <c r="D94" s="59">
        <v>0</v>
      </c>
      <c r="E94" s="59">
        <v>0</v>
      </c>
      <c r="F94" s="59">
        <v>0</v>
      </c>
      <c r="G94" s="59">
        <v>0</v>
      </c>
      <c r="H94" s="59">
        <v>-319.76</v>
      </c>
      <c r="I94" s="59">
        <v>0</v>
      </c>
      <c r="J94" s="59"/>
      <c r="K94" s="59"/>
      <c r="L94" s="59">
        <v>-79</v>
      </c>
      <c r="M94" s="60"/>
      <c r="N94" s="60"/>
      <c r="O94" s="60"/>
      <c r="P94" s="60"/>
      <c r="Q94" s="61">
        <f t="shared" si="132"/>
        <v>-398.76</v>
      </c>
      <c r="R94" s="61"/>
      <c r="S94" s="60">
        <f>-SUMIFS(B2B!V:V,B2B!$A:$A,"Trade Shows",B2B!$B:$B,"HU")</f>
        <v>0</v>
      </c>
      <c r="T94" s="60">
        <f>-SUMIFS(B2B!W:W,B2B!$A:$A,"Trade Shows",B2B!$B:$B,"HU")</f>
        <v>0</v>
      </c>
      <c r="U94" s="60">
        <f>-SUMIFS(B2B!X:X,B2B!$A:$A,"Trade Shows",B2B!$B:$B,"HU")</f>
        <v>0</v>
      </c>
      <c r="V94" s="60">
        <f>-SUMIFS(B2B!Y:Y,B2B!$A:$A,"Trade Shows",B2B!$B:$B,"HU")</f>
        <v>0</v>
      </c>
      <c r="W94" s="60">
        <f>-SUMIFS(B2B!Z:Z,B2B!$A:$A,"Trade Shows",B2B!$B:$B,"HU")</f>
        <v>0</v>
      </c>
      <c r="X94" s="60">
        <f>-SUMIFS(B2B!AA:AA,B2B!$A:$A,"Trade Shows",B2B!$B:$B,"HU")</f>
        <v>0</v>
      </c>
      <c r="Y94" s="60">
        <f>-SUMIFS(B2B!AB:AB,B2B!$A:$A,"Trade Shows",B2B!$B:$B,"HU")</f>
        <v>0</v>
      </c>
      <c r="Z94" s="60">
        <f>-SUMIFS(B2B!AC:AC,B2B!$A:$A,"Trade Shows",B2B!$B:$B,"HU")</f>
        <v>0</v>
      </c>
      <c r="AA94" s="60">
        <f>-SUMIFS(B2B!AD:AD,B2B!$A:$A,"Trade Shows",B2B!$B:$B,"HU")</f>
        <v>0</v>
      </c>
      <c r="AB94" s="60">
        <f>-SUMIFS(B2B!AE:AE,B2B!$A:$A,"Trade Shows",B2B!$B:$B,"HU")</f>
        <v>0</v>
      </c>
      <c r="AC94" s="60">
        <f>-SUMIFS(B2B!AF:AF,B2B!$A:$A,"Trade Shows",B2B!$B:$B,"HU")</f>
        <v>0</v>
      </c>
      <c r="AD94" s="60">
        <f>-SUMIFS(B2B!AG:AG,B2B!$A:$A,"Trade Shows",B2B!$B:$B,"HU")</f>
        <v>0</v>
      </c>
      <c r="AE94" s="60"/>
      <c r="AF94" s="61">
        <f t="shared" si="135"/>
        <v>0</v>
      </c>
      <c r="AH94" s="60">
        <f>-SUMIFS(B2B!AK:AK,B2B!$A:$A,"Trade Shows",B2B!$B:$B,"HU")</f>
        <v>0</v>
      </c>
      <c r="AI94" s="60">
        <f>-SUMIFS(B2B!AL:AL,B2B!$A:$A,"Trade Shows",B2B!$B:$B,"HU")</f>
        <v>0</v>
      </c>
      <c r="AJ94" s="60">
        <f>-SUMIFS(B2B!AM:AM,B2B!$A:$A,"Trade Shows",B2B!$B:$B,"HU")</f>
        <v>0</v>
      </c>
      <c r="AK94" s="60">
        <f>-SUMIFS(B2B!AN:AN,B2B!$A:$A,"Trade Shows",B2B!$B:$B,"HU")</f>
        <v>0</v>
      </c>
      <c r="AL94" s="60">
        <f>-SUMIFS(B2B!AO:AO,B2B!$A:$A,"Trade Shows",B2B!$B:$B,"HU")</f>
        <v>0</v>
      </c>
      <c r="AM94" s="60">
        <f>-SUMIFS(B2B!AP:AP,B2B!$A:$A,"Trade Shows",B2B!$B:$B,"HU")</f>
        <v>0</v>
      </c>
      <c r="AN94" s="60">
        <f>-SUMIFS(B2B!AQ:AQ,B2B!$A:$A,"Trade Shows",B2B!$B:$B,"HU")</f>
        <v>0</v>
      </c>
      <c r="AO94" s="60">
        <f>-SUMIFS(B2B!AR:AR,B2B!$A:$A,"Trade Shows",B2B!$B:$B,"HU")</f>
        <v>0</v>
      </c>
      <c r="AP94" s="60">
        <f>-SUMIFS(B2B!AS:AS,B2B!$A:$A,"Trade Shows",B2B!$B:$B,"HU")</f>
        <v>0</v>
      </c>
      <c r="AQ94" s="60">
        <f>-SUMIFS(B2B!AT:AT,B2B!$A:$A,"Trade Shows",B2B!$B:$B,"HU")</f>
        <v>0</v>
      </c>
      <c r="AR94" s="60">
        <f>-SUMIFS(B2B!AU:AU,B2B!$A:$A,"Trade Shows",B2B!$B:$B,"HU")</f>
        <v>0</v>
      </c>
      <c r="AS94" s="60">
        <f>-SUMIFS(B2B!AV:AV,B2B!$A:$A,"Trade Shows",B2B!$B:$B,"HU")</f>
        <v>0</v>
      </c>
      <c r="AT94" s="60"/>
      <c r="AU94" s="61">
        <f t="shared" si="134"/>
        <v>0</v>
      </c>
    </row>
    <row r="95" spans="2:47" outlineLevel="1">
      <c r="B95" s="51" t="s">
        <v>143</v>
      </c>
      <c r="D95" s="59">
        <v>0</v>
      </c>
      <c r="E95" s="59">
        <v>1</v>
      </c>
      <c r="F95" s="59">
        <v>0</v>
      </c>
      <c r="G95" s="59">
        <v>0</v>
      </c>
      <c r="H95" s="59">
        <v>0</v>
      </c>
      <c r="I95" s="59">
        <v>0</v>
      </c>
      <c r="J95" s="59"/>
      <c r="K95" s="59"/>
      <c r="L95" s="59">
        <v>-167</v>
      </c>
      <c r="M95" s="60"/>
      <c r="N95" s="60"/>
      <c r="O95" s="60"/>
      <c r="P95" s="60"/>
      <c r="Q95" s="61">
        <f t="shared" si="132"/>
        <v>-166</v>
      </c>
      <c r="R95" s="61"/>
      <c r="S95" s="60">
        <f>SUMIF('OH Matrix'!$A$58:$A$70,"hu",'OH Matrix'!P58:P70)</f>
        <v>-7551.5921077716903</v>
      </c>
      <c r="T95" s="60">
        <f>SUMIF('OH Matrix'!$A$58:$A$70,"hu",'OH Matrix'!Q58:Q70)</f>
        <v>-12836.878631977812</v>
      </c>
      <c r="U95" s="60">
        <f>SUMIF('OH Matrix'!$A$58:$A$70,"hu",'OH Matrix'!R58:R70)</f>
        <v>-11777.385808334433</v>
      </c>
      <c r="V95" s="60">
        <f>SUMIF('OH Matrix'!$A$58:$A$70,"hu",'OH Matrix'!S58:S70)</f>
        <v>-6448.3978289502584</v>
      </c>
      <c r="W95" s="60">
        <f>SUMIF('OH Matrix'!$A$58:$A$70,"hu",'OH Matrix'!T58:T70)</f>
        <v>-7729.063186942858</v>
      </c>
      <c r="X95" s="60">
        <f>SUMIF('OH Matrix'!$A$58:$A$70,"hu",'OH Matrix'!U58:U70)</f>
        <v>-10897.084906452606</v>
      </c>
      <c r="Y95" s="60">
        <f>SUMIF('OH Matrix'!$A$58:$A$70,"hu",'OH Matrix'!V58:V70)</f>
        <v>-10963.230774804555</v>
      </c>
      <c r="Z95" s="60">
        <f>SUMIF('OH Matrix'!$A$58:$A$70,"hu",'OH Matrix'!W58:W70)</f>
        <v>-8588.2369276171394</v>
      </c>
      <c r="AA95" s="60">
        <f>SUMIF('OH Matrix'!$A$58:$A$70,"hu",'OH Matrix'!X58:X70)</f>
        <v>-9907.1506669501414</v>
      </c>
      <c r="AB95" s="60">
        <f>SUMIF('OH Matrix'!$A$58:$A$70,"hu",'OH Matrix'!Y58:Y70)</f>
        <v>-11397.493140640094</v>
      </c>
      <c r="AC95" s="60">
        <f>SUMIF('OH Matrix'!$A$58:$A$70,"hu",'OH Matrix'!Z58:Z70)</f>
        <v>-7612.3504390033122</v>
      </c>
      <c r="AD95" s="60">
        <f>SUMIF('OH Matrix'!$A$58:$A$70,"hu",'OH Matrix'!AA58:AA70)</f>
        <v>-7944.9675596959469</v>
      </c>
      <c r="AE95" s="60"/>
      <c r="AF95" s="61">
        <f t="shared" si="133"/>
        <v>-113653.83197914084</v>
      </c>
      <c r="AH95" s="60">
        <f>SUMIF('OH Matrix'!$A$58:$A$70,"hu",'OH Matrix'!AD58:AD70)</f>
        <v>-6347.2477681207192</v>
      </c>
      <c r="AI95" s="60">
        <f>SUMIF('OH Matrix'!$A$58:$A$70,"hu",'OH Matrix'!AE58:AE70)</f>
        <v>-10465.723387044431</v>
      </c>
      <c r="AJ95" s="60">
        <f>SUMIF('OH Matrix'!$A$58:$A$70,"hu",'OH Matrix'!AF58:AF70)</f>
        <v>-6885.4116651873546</v>
      </c>
      <c r="AK95" s="60">
        <f>SUMIF('OH Matrix'!$A$58:$A$70,"hu",'OH Matrix'!AG58:AG70)</f>
        <v>-3864.3551278199793</v>
      </c>
      <c r="AL95" s="60">
        <f>SUMIF('OH Matrix'!$A$58:$A$70,"hu",'OH Matrix'!AH58:AH70)</f>
        <v>-5704.0047953324229</v>
      </c>
      <c r="AM95" s="60">
        <f>SUMIF('OH Matrix'!$A$58:$A$70,"hu",'OH Matrix'!AI58:AI70)</f>
        <v>-8319.0382512500437</v>
      </c>
      <c r="AN95" s="60">
        <f>SUMIF('OH Matrix'!$A$58:$A$70,"hu",'OH Matrix'!AJ58:AJ70)</f>
        <v>-8378.5995398192663</v>
      </c>
      <c r="AO95" s="60">
        <f>SUMIF('OH Matrix'!$A$58:$A$70,"hu",'OH Matrix'!AK58:AK70)</f>
        <v>-5416.7367643986599</v>
      </c>
      <c r="AP95" s="60">
        <f>SUMIF('OH Matrix'!$A$58:$A$70,"hu",'OH Matrix'!AL58:AL70)</f>
        <v>-7028.128113373431</v>
      </c>
      <c r="AQ95" s="60">
        <f>SUMIF('OH Matrix'!$A$58:$A$70,"hu",'OH Matrix'!AM58:AM70)</f>
        <v>-8773.7890237027405</v>
      </c>
      <c r="AR95" s="60">
        <f>SUMIF('OH Matrix'!$A$58:$A$70,"hu",'OH Matrix'!AN58:AN70)</f>
        <v>-4716.8115953582001</v>
      </c>
      <c r="AS95" s="60">
        <f>SUMIF('OH Matrix'!$A$58:$A$70,"hu",'OH Matrix'!AO58:AO70)</f>
        <v>-4842.75886977956</v>
      </c>
      <c r="AT95" s="60"/>
      <c r="AU95" s="61">
        <f t="shared" si="134"/>
        <v>-80742.604901186816</v>
      </c>
    </row>
    <row r="96" spans="2:47" outlineLevel="1">
      <c r="D96" s="53"/>
      <c r="E96" s="53"/>
      <c r="F96" s="53"/>
      <c r="G96" s="53"/>
      <c r="H96" s="53"/>
      <c r="I96" s="53"/>
      <c r="J96" s="53"/>
      <c r="K96" s="53"/>
      <c r="L96" s="53"/>
    </row>
    <row r="97" spans="2:47">
      <c r="B97" s="65" t="s">
        <v>152</v>
      </c>
      <c r="C97" s="61"/>
      <c r="D97" s="64">
        <f t="shared" ref="D97:K97" si="136">SUM(D87:D96)</f>
        <v>-4669.3100000000004</v>
      </c>
      <c r="E97" s="64">
        <f t="shared" si="136"/>
        <v>-3953.8599999999997</v>
      </c>
      <c r="F97" s="64">
        <f t="shared" si="136"/>
        <v>-4802.7199999999993</v>
      </c>
      <c r="G97" s="64">
        <f t="shared" si="136"/>
        <v>-5335.69</v>
      </c>
      <c r="H97" s="64">
        <f t="shared" si="136"/>
        <v>-5698.4900000000007</v>
      </c>
      <c r="I97" s="64">
        <f t="shared" si="136"/>
        <v>-7985.7</v>
      </c>
      <c r="J97" s="64">
        <f t="shared" si="136"/>
        <v>-5470.67</v>
      </c>
      <c r="K97" s="64">
        <f t="shared" si="136"/>
        <v>-7033.4599999999991</v>
      </c>
      <c r="L97" s="64">
        <f>SUM(L87:L96)</f>
        <v>-6595</v>
      </c>
      <c r="M97" s="65">
        <f>SUM(M87:M96)</f>
        <v>-6614.9463276836159</v>
      </c>
      <c r="N97" s="65">
        <f>SUM(N87:N96)</f>
        <v>-6614.9463276836159</v>
      </c>
      <c r="O97" s="65">
        <f>SUM(O87:O96)</f>
        <v>-9686.1963276836159</v>
      </c>
      <c r="P97" s="61"/>
      <c r="Q97" s="65">
        <f>SUM(D97:O97)</f>
        <v>-74460.988983050847</v>
      </c>
      <c r="S97" s="84">
        <f>SUM(S87:S96)</f>
        <v>-15470.426853771691</v>
      </c>
      <c r="T97" s="84">
        <f t="shared" ref="T97:Z97" si="137">SUM(T87:T96)</f>
        <v>-23680.713377977812</v>
      </c>
      <c r="U97" s="84">
        <f t="shared" si="137"/>
        <v>-22621.220554334432</v>
      </c>
      <c r="V97" s="84">
        <f t="shared" si="137"/>
        <v>-17292.23257495026</v>
      </c>
      <c r="W97" s="84">
        <f t="shared" si="137"/>
        <v>-18572.897932942858</v>
      </c>
      <c r="X97" s="84">
        <f t="shared" si="137"/>
        <v>-21740.919652452605</v>
      </c>
      <c r="Y97" s="84">
        <f t="shared" si="137"/>
        <v>-21807.065520804557</v>
      </c>
      <c r="Z97" s="84">
        <f t="shared" si="137"/>
        <v>-19432.071673617138</v>
      </c>
      <c r="AA97" s="65">
        <f>SUM(AA87:AA96)</f>
        <v>-20750.98541295014</v>
      </c>
      <c r="AB97" s="65">
        <f>SUM(AB87:AB96)</f>
        <v>-22241.327886640094</v>
      </c>
      <c r="AC97" s="65">
        <f>SUM(AC87:AC96)</f>
        <v>-18456.185185003313</v>
      </c>
      <c r="AD97" s="65">
        <f>SUM(AD87:AD96)</f>
        <v>-18788.802305695946</v>
      </c>
      <c r="AE97" s="61"/>
      <c r="AF97" s="65">
        <f>SUM(S97:AD97)</f>
        <v>-240854.84893114085</v>
      </c>
      <c r="AH97" s="84">
        <f>SUM(AH87:AH96)</f>
        <v>-17191.082514120721</v>
      </c>
      <c r="AI97" s="84">
        <f t="shared" ref="AI97:AO97" si="138">SUM(AI87:AI96)</f>
        <v>-21309.558133044433</v>
      </c>
      <c r="AJ97" s="84">
        <f t="shared" si="138"/>
        <v>-17729.246411187356</v>
      </c>
      <c r="AK97" s="84">
        <f t="shared" si="138"/>
        <v>-14708.18987381998</v>
      </c>
      <c r="AL97" s="84">
        <f t="shared" si="138"/>
        <v>-16547.839541332425</v>
      </c>
      <c r="AM97" s="84">
        <f t="shared" si="138"/>
        <v>-19162.872997250044</v>
      </c>
      <c r="AN97" s="84">
        <f t="shared" si="138"/>
        <v>-19222.434285819269</v>
      </c>
      <c r="AO97" s="84">
        <f t="shared" si="138"/>
        <v>-16260.57151039866</v>
      </c>
      <c r="AP97" s="65">
        <f>SUM(AP87:AP96)</f>
        <v>-17871.962859373431</v>
      </c>
      <c r="AQ97" s="65">
        <f>SUM(AQ87:AQ96)</f>
        <v>-19617.623769702739</v>
      </c>
      <c r="AR97" s="65">
        <f>SUM(AR87:AR96)</f>
        <v>-15560.646341358201</v>
      </c>
      <c r="AS97" s="65">
        <f>SUM(AS87:AS96)</f>
        <v>-15686.59361577956</v>
      </c>
      <c r="AT97" s="61"/>
      <c r="AU97" s="65">
        <f>SUM(AH97:AS97)</f>
        <v>-210868.62185318681</v>
      </c>
    </row>
    <row r="98" spans="2:47">
      <c r="D98" s="76"/>
      <c r="E98" s="76"/>
      <c r="F98" s="76"/>
      <c r="G98" s="76"/>
      <c r="H98" s="76"/>
      <c r="I98" s="76"/>
      <c r="J98" s="76"/>
      <c r="K98" s="76"/>
      <c r="L98" s="76"/>
      <c r="M98" s="77"/>
      <c r="N98" s="77"/>
      <c r="O98" s="77"/>
      <c r="Q98" s="91">
        <f ca="1">-Q97/Q12</f>
        <v>4.752301295464903E-2</v>
      </c>
      <c r="S98" s="89"/>
      <c r="T98" s="89"/>
      <c r="U98" s="89"/>
      <c r="V98" s="89"/>
      <c r="W98" s="89"/>
      <c r="X98" s="77"/>
      <c r="Y98" s="77"/>
      <c r="Z98" s="77"/>
      <c r="AA98" s="77"/>
      <c r="AB98" s="77"/>
      <c r="AC98" s="77"/>
      <c r="AD98" s="77"/>
      <c r="AF98" s="91">
        <f ca="1">-AF97/AF12</f>
        <v>0.13109678385009085</v>
      </c>
      <c r="AH98" s="89"/>
      <c r="AI98" s="89"/>
      <c r="AJ98" s="89"/>
      <c r="AK98" s="89"/>
      <c r="AL98" s="89"/>
      <c r="AM98" s="77"/>
      <c r="AN98" s="77"/>
      <c r="AO98" s="77"/>
      <c r="AP98" s="77"/>
      <c r="AQ98" s="77"/>
      <c r="AR98" s="77"/>
      <c r="AS98" s="77"/>
      <c r="AU98" s="91">
        <f ca="1">-AU97/AU12</f>
        <v>9.8996853396182055E-2</v>
      </c>
    </row>
    <row r="99" spans="2:47">
      <c r="B99" s="52" t="s">
        <v>153</v>
      </c>
      <c r="C99" s="52"/>
      <c r="D99" s="78">
        <f>D77+D97</f>
        <v>18214.849999999999</v>
      </c>
      <c r="E99" s="78">
        <f t="shared" ref="E99:O99" si="139">E77+E97</f>
        <v>70504.399999999994</v>
      </c>
      <c r="F99" s="78">
        <f t="shared" si="139"/>
        <v>26470.28</v>
      </c>
      <c r="G99" s="78">
        <f t="shared" si="139"/>
        <v>-7207.12</v>
      </c>
      <c r="H99" s="78">
        <f t="shared" si="139"/>
        <v>-5377.8600000000033</v>
      </c>
      <c r="I99" s="78">
        <f t="shared" si="139"/>
        <v>64271.590000000011</v>
      </c>
      <c r="J99" s="78">
        <f t="shared" si="139"/>
        <v>43054.599999999991</v>
      </c>
      <c r="K99" s="78">
        <f t="shared" si="139"/>
        <v>-7467.7500000000109</v>
      </c>
      <c r="L99" s="78">
        <f t="shared" ca="1" si="139"/>
        <v>65042</v>
      </c>
      <c r="M99" s="61">
        <f t="shared" si="139"/>
        <v>101980.05367231638</v>
      </c>
      <c r="N99" s="61">
        <f t="shared" si="139"/>
        <v>29091.053672316382</v>
      </c>
      <c r="O99" s="61">
        <f t="shared" si="139"/>
        <v>4611.8036723163841</v>
      </c>
      <c r="P99" s="61"/>
      <c r="Q99" s="79">
        <f ca="1">Q77+Q97</f>
        <v>403187.90101694938</v>
      </c>
      <c r="S99" s="61">
        <f t="shared" ref="S99:AD99" ca="1" si="140">S77+S97</f>
        <v>8804.4787343542903</v>
      </c>
      <c r="T99" s="61">
        <f t="shared" ca="1" si="140"/>
        <v>46140.79566035021</v>
      </c>
      <c r="U99" s="61">
        <f t="shared" ca="1" si="140"/>
        <v>31662.96153835085</v>
      </c>
      <c r="V99" s="61">
        <f t="shared" ca="1" si="140"/>
        <v>-548.88860804416618</v>
      </c>
      <c r="W99" s="61">
        <f t="shared" ca="1" si="140"/>
        <v>-861.12912726232389</v>
      </c>
      <c r="X99" s="61">
        <f t="shared" ca="1" si="140"/>
        <v>71513.037632162392</v>
      </c>
      <c r="Y99" s="61">
        <f t="shared" ca="1" si="140"/>
        <v>-3.3155866867855366</v>
      </c>
      <c r="Z99" s="61">
        <f t="shared" ca="1" si="140"/>
        <v>4470.4653784233014</v>
      </c>
      <c r="AA99" s="61">
        <f t="shared" ca="1" si="140"/>
        <v>82794.822452820605</v>
      </c>
      <c r="AB99" s="61">
        <f t="shared" ca="1" si="140"/>
        <v>61940.076821158582</v>
      </c>
      <c r="AC99" s="61">
        <f t="shared" ca="1" si="140"/>
        <v>5829.0951006599062</v>
      </c>
      <c r="AD99" s="61">
        <f t="shared" ca="1" si="140"/>
        <v>4447.4098929341526</v>
      </c>
      <c r="AE99" s="61"/>
      <c r="AF99" s="79">
        <f ca="1">AF77+AF97</f>
        <v>316189.80988922121</v>
      </c>
      <c r="AH99" s="61">
        <f t="shared" ref="AH99:AS99" ca="1" si="141">AH77+AH97</f>
        <v>7457.5891535570991</v>
      </c>
      <c r="AI99" s="61">
        <f t="shared" ca="1" si="141"/>
        <v>62929.047669328131</v>
      </c>
      <c r="AJ99" s="61">
        <f t="shared" ca="1" si="141"/>
        <v>43247.672290692091</v>
      </c>
      <c r="AK99" s="61">
        <f t="shared" ca="1" si="141"/>
        <v>907.10550071067155</v>
      </c>
      <c r="AL99" s="61">
        <f t="shared" ca="1" si="141"/>
        <v>1808.6643275808528</v>
      </c>
      <c r="AM99" s="61">
        <f t="shared" ca="1" si="141"/>
        <v>95217.01058733328</v>
      </c>
      <c r="AN99" s="61">
        <f t="shared" ca="1" si="141"/>
        <v>-1206.2226381519467</v>
      </c>
      <c r="AO99" s="61">
        <f t="shared" ca="1" si="141"/>
        <v>11917.850794865926</v>
      </c>
      <c r="AP99" s="61">
        <f t="shared" ca="1" si="141"/>
        <v>103402.38467753751</v>
      </c>
      <c r="AQ99" s="61">
        <f t="shared" ca="1" si="141"/>
        <v>86837.275339298882</v>
      </c>
      <c r="AR99" s="61">
        <f t="shared" ca="1" si="141"/>
        <v>7055.5225577072579</v>
      </c>
      <c r="AS99" s="61">
        <f t="shared" ca="1" si="141"/>
        <v>7471.7757854596257</v>
      </c>
      <c r="AT99" s="61"/>
      <c r="AU99" s="79">
        <f ca="1">AU77+AU97</f>
        <v>427045.67604591948</v>
      </c>
    </row>
    <row r="100" spans="2:47">
      <c r="B100" s="72" t="s">
        <v>186</v>
      </c>
      <c r="C100" s="73"/>
      <c r="D100" s="97">
        <f>IFERROR(D99/D12,0)</f>
        <v>0.2975156301119331</v>
      </c>
      <c r="E100" s="97">
        <f t="shared" ref="E100:O100" si="142">IFERROR(E99/E12,0)</f>
        <v>0.38725595471859781</v>
      </c>
      <c r="F100" s="97">
        <f t="shared" si="142"/>
        <v>0.20990087264551913</v>
      </c>
      <c r="G100" s="97">
        <f t="shared" si="142"/>
        <v>-0.24401748960395137</v>
      </c>
      <c r="H100" s="97">
        <f t="shared" si="142"/>
        <v>-0.16311121665997896</v>
      </c>
      <c r="I100" s="97">
        <f t="shared" si="142"/>
        <v>0.34867499726307483</v>
      </c>
      <c r="J100" s="97">
        <f t="shared" si="142"/>
        <v>0.27963250407502155</v>
      </c>
      <c r="K100" s="97">
        <f t="shared" si="142"/>
        <v>-0.16534999996678745</v>
      </c>
      <c r="L100" s="97">
        <f t="shared" ca="1" si="142"/>
        <v>0.24849661116672142</v>
      </c>
      <c r="M100" s="91">
        <f t="shared" si="142"/>
        <v>0.31541133250954578</v>
      </c>
      <c r="N100" s="91">
        <f t="shared" si="142"/>
        <v>0.24908643364913718</v>
      </c>
      <c r="O100" s="91">
        <f t="shared" si="142"/>
        <v>9.2938689942291403E-2</v>
      </c>
      <c r="P100" s="91"/>
      <c r="Q100" s="91">
        <f ca="1">IFERROR(Q99/Q12,0)</f>
        <v>0.2573254009229945</v>
      </c>
      <c r="S100" s="91">
        <f t="shared" ref="S100" ca="1" si="143">IFERROR(S99/S12,0)</f>
        <v>0.11002735815535605</v>
      </c>
      <c r="T100" s="91">
        <f t="shared" ref="T100" ca="1" si="144">IFERROR(T99/T12,0)</f>
        <v>0.22908379921349628</v>
      </c>
      <c r="U100" s="91">
        <f t="shared" ref="U100" ca="1" si="145">IFERROR(U99/U12,0)</f>
        <v>0.17996284969545867</v>
      </c>
      <c r="V100" s="91">
        <f t="shared" ref="V100" ca="1" si="146">IFERROR(V99/V12,0)</f>
        <v>-6.8815699229119679E-3</v>
      </c>
      <c r="W100" s="91">
        <f t="shared" ref="W100" ca="1" si="147">IFERROR(W99/W12,0)</f>
        <v>-1.1308649088485745E-2</v>
      </c>
      <c r="X100" s="91">
        <f t="shared" ref="X100" ca="1" si="148">IFERROR(X99/X12,0)</f>
        <v>0.26542881350942388</v>
      </c>
      <c r="Y100" s="91">
        <f t="shared" ref="Y100" ca="1" si="149">IFERROR(Y99/Y12,0)</f>
        <v>-4.0334904801173991E-5</v>
      </c>
      <c r="Z100" s="91">
        <f t="shared" ref="Z100" ca="1" si="150">IFERROR(Z99/Z12,0)</f>
        <v>5.1607005077889435E-2</v>
      </c>
      <c r="AA100" s="91">
        <f t="shared" ref="AA100" ca="1" si="151">IFERROR(AA99/AA12,0)</f>
        <v>0.25555487777374697</v>
      </c>
      <c r="AB100" s="91">
        <f t="shared" ref="AB100" ca="1" si="152">IFERROR(AB99/AB12,0)</f>
        <v>0.21883817044143988</v>
      </c>
      <c r="AC100" s="91">
        <f t="shared" ref="AC100" ca="1" si="153">IFERROR(AC99/AC12,0)</f>
        <v>6.40392048042151E-2</v>
      </c>
      <c r="AD100" s="91">
        <f t="shared" ref="AD100" ca="1" si="154">IFERROR(AD99/AD12,0)</f>
        <v>5.0742744529343249E-2</v>
      </c>
      <c r="AE100" s="91"/>
      <c r="AF100" s="91">
        <f ca="1">IFERROR(AF99/AF12,0)</f>
        <v>0.17210144344861958</v>
      </c>
      <c r="AH100" s="91">
        <f t="shared" ref="AH100" ca="1" si="155">IFERROR(AH99/AH12,0)</f>
        <v>8.6901103432142413E-2</v>
      </c>
      <c r="AI100" s="91">
        <f t="shared" ref="AI100" ca="1" si="156">IFERROR(AI99/AI12,0)</f>
        <v>0.24712066523629339</v>
      </c>
      <c r="AJ100" s="91">
        <f t="shared" ref="AJ100" ca="1" si="157">IFERROR(AJ99/AJ12,0)</f>
        <v>0.22447569527683331</v>
      </c>
      <c r="AK100" s="91">
        <f t="shared" ref="AK100" ca="1" si="158">IFERROR(AK99/AK12,0)</f>
        <v>1.1232897195767309E-2</v>
      </c>
      <c r="AL100" s="91">
        <f t="shared" ref="AL100" ca="1" si="159">IFERROR(AL99/AL12,0)</f>
        <v>1.8775955129967863E-2</v>
      </c>
      <c r="AM100" s="91">
        <f t="shared" ref="AM100" ca="1" si="160">IFERROR(AM99/AM12,0)</f>
        <v>0.26794090790200853</v>
      </c>
      <c r="AN100" s="91">
        <f t="shared" ref="AN100" ca="1" si="161">IFERROR(AN99/AN12,0)</f>
        <v>-1.946284451144983E-2</v>
      </c>
      <c r="AO100" s="91">
        <f t="shared" ref="AO100" ca="1" si="162">IFERROR(AO99/AO12,0)</f>
        <v>0.11405204238137757</v>
      </c>
      <c r="AP100" s="91">
        <f t="shared" ref="AP100" ca="1" si="163">IFERROR(AP99/AP12,0)</f>
        <v>0.26188149694643725</v>
      </c>
      <c r="AQ100" s="91">
        <f t="shared" ref="AQ100" ca="1" si="164">IFERROR(AQ99/AQ12,0)</f>
        <v>0.25147478016320651</v>
      </c>
      <c r="AR100" s="91">
        <f t="shared" ref="AR100" ca="1" si="165">IFERROR(AR99/AR12,0)</f>
        <v>9.8025882838881528E-2</v>
      </c>
      <c r="AS100" s="91">
        <f t="shared" ref="AS100" ca="1" si="166">IFERROR(AS99/AS12,0)</f>
        <v>8.7007352541263364E-2</v>
      </c>
      <c r="AT100" s="91"/>
      <c r="AU100" s="91">
        <f ca="1">IFERROR(AU99/AU12,0)</f>
        <v>0.20048586562312393</v>
      </c>
    </row>
  </sheetData>
  <sheetProtection sheet="1" objects="1" scenarios="1"/>
  <mergeCells count="2">
    <mergeCell ref="S2:AF2"/>
    <mergeCell ref="AH2:AU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A36EA-A00D-413C-BA01-98254AA131B3}">
  <sheetPr codeName="Sheet12">
    <tabColor theme="4" tint="0.39997558519241921"/>
  </sheetPr>
  <dimension ref="A1:AW100"/>
  <sheetViews>
    <sheetView showGridLines="0" zoomScale="157" zoomScaleNormal="100" workbookViewId="0">
      <pane xSplit="2" ySplit="5" topLeftCell="C74" activePane="bottomRight" state="frozen"/>
      <selection pane="topRight"/>
      <selection pane="bottomLeft"/>
      <selection pane="bottomRight" activeCell="M65" sqref="M65:O69"/>
    </sheetView>
  </sheetViews>
  <sheetFormatPr baseColWidth="10" defaultColWidth="8.5" defaultRowHeight="11" outlineLevelRow="2" outlineLevelCol="1"/>
  <cols>
    <col min="1" max="1" width="9.5" style="51" customWidth="1"/>
    <col min="2" max="2" width="22.5" style="51" bestFit="1" customWidth="1"/>
    <col min="3" max="3" width="5" style="51" customWidth="1"/>
    <col min="4" max="4" width="8.5" style="7" customWidth="1" outlineLevel="1"/>
    <col min="5" max="5" width="9.1640625" style="7" customWidth="1" outlineLevel="1"/>
    <col min="6" max="6" width="8.5" style="7" customWidth="1" outlineLevel="1"/>
    <col min="7" max="7" width="9.1640625" style="7" customWidth="1" outlineLevel="1"/>
    <col min="8" max="8" width="8.5" style="7" customWidth="1" outlineLevel="1"/>
    <col min="9" max="11" width="8.83203125" style="51" customWidth="1" outlineLevel="1"/>
    <col min="12" max="12" width="9.5" style="51" bestFit="1" customWidth="1"/>
    <col min="13" max="15" width="8.83203125" style="51" bestFit="1" customWidth="1"/>
    <col min="16" max="16" width="3.1640625" style="51" customWidth="1"/>
    <col min="17" max="17" width="9.5" style="52" bestFit="1" customWidth="1"/>
    <col min="18" max="18" width="11.1640625" style="51" bestFit="1" customWidth="1"/>
    <col min="19" max="19" width="8.5" style="7"/>
    <col min="20" max="22" width="8.83203125" style="7" bestFit="1" customWidth="1"/>
    <col min="23" max="23" width="9.1640625" style="7" bestFit="1" customWidth="1"/>
    <col min="24" max="30" width="8.83203125" style="51" bestFit="1" customWidth="1"/>
    <col min="31" max="31" width="3.1640625" style="51" customWidth="1"/>
    <col min="32" max="32" width="9.5" style="52" bestFit="1" customWidth="1"/>
    <col min="33" max="33" width="11" style="7" bestFit="1" customWidth="1"/>
    <col min="34" max="35" width="8.83203125" style="7" bestFit="1" customWidth="1"/>
    <col min="36" max="36" width="8.5" style="7"/>
    <col min="37" max="37" width="8.83203125" style="7" bestFit="1" customWidth="1"/>
    <col min="38" max="38" width="9.1640625" style="7" bestFit="1" customWidth="1"/>
    <col min="39" max="45" width="8.83203125" style="51" bestFit="1" customWidth="1"/>
    <col min="46" max="46" width="3.1640625" style="51" customWidth="1"/>
    <col min="47" max="47" width="9.5" style="52" bestFit="1" customWidth="1"/>
    <col min="48" max="48" width="8.5" style="7"/>
    <col min="49" max="49" width="12.5" style="7" bestFit="1" customWidth="1"/>
    <col min="50" max="16384" width="8.5" style="7"/>
  </cols>
  <sheetData>
    <row r="1" spans="1:49" hidden="1">
      <c r="S1" s="7">
        <f>S8*$C$17</f>
        <v>-1200</v>
      </c>
      <c r="T1" s="7">
        <f t="shared" ref="T1:AD1" si="0">T8*$C$17</f>
        <v>-11127.76</v>
      </c>
      <c r="U1" s="7">
        <f t="shared" si="0"/>
        <v>-13735.44</v>
      </c>
      <c r="V1" s="7">
        <f t="shared" si="0"/>
        <v>-11290.800000000003</v>
      </c>
      <c r="W1" s="7">
        <f t="shared" si="0"/>
        <v>-5600</v>
      </c>
      <c r="X1" s="7">
        <f t="shared" si="0"/>
        <v>-7617.04</v>
      </c>
      <c r="Y1" s="7">
        <f t="shared" si="0"/>
        <v>-10779.520000000002</v>
      </c>
      <c r="Z1" s="7">
        <f t="shared" si="0"/>
        <v>-1200</v>
      </c>
      <c r="AA1" s="7">
        <f t="shared" si="0"/>
        <v>-12049.640000000001</v>
      </c>
      <c r="AB1" s="7">
        <f t="shared" si="0"/>
        <v>-30400</v>
      </c>
      <c r="AC1" s="7">
        <f t="shared" si="0"/>
        <v>-6000</v>
      </c>
      <c r="AD1" s="7">
        <f t="shared" si="0"/>
        <v>-13200</v>
      </c>
      <c r="AF1" s="52">
        <f>SUM(S1:AD1)</f>
        <v>-124200.20000000001</v>
      </c>
      <c r="AH1" s="83">
        <f>AH8*$C$17</f>
        <v>-1260</v>
      </c>
      <c r="AI1" s="83">
        <f t="shared" ref="AI1:AS1" si="1">AI8*$C$17</f>
        <v>-11684.148000000001</v>
      </c>
      <c r="AJ1" s="83">
        <f t="shared" si="1"/>
        <v>-14422.212</v>
      </c>
      <c r="AK1" s="83">
        <f t="shared" si="1"/>
        <v>-11855.340000000004</v>
      </c>
      <c r="AL1" s="83">
        <f t="shared" si="1"/>
        <v>-5880</v>
      </c>
      <c r="AM1" s="83">
        <f t="shared" si="1"/>
        <v>-7997.8920000000016</v>
      </c>
      <c r="AN1" s="83">
        <f t="shared" si="1"/>
        <v>-11318.496000000003</v>
      </c>
      <c r="AO1" s="83">
        <f t="shared" si="1"/>
        <v>-1260</v>
      </c>
      <c r="AP1" s="83">
        <f t="shared" si="1"/>
        <v>-12652.122000000003</v>
      </c>
      <c r="AQ1" s="83">
        <f t="shared" si="1"/>
        <v>-31920</v>
      </c>
      <c r="AR1" s="83">
        <f t="shared" si="1"/>
        <v>-6300</v>
      </c>
      <c r="AS1" s="83">
        <f t="shared" si="1"/>
        <v>-13860</v>
      </c>
      <c r="AU1" s="61">
        <f>SUM(AH1:AS1)</f>
        <v>-130410.21</v>
      </c>
    </row>
    <row r="2" spans="1:49" ht="16">
      <c r="B2" s="143" t="s">
        <v>205</v>
      </c>
      <c r="D2" s="399" t="s">
        <v>174</v>
      </c>
      <c r="E2" s="399"/>
      <c r="F2" s="399"/>
      <c r="G2" s="399"/>
      <c r="H2" s="399"/>
      <c r="I2" s="399"/>
      <c r="J2" s="399"/>
      <c r="K2" s="399"/>
      <c r="L2" s="399"/>
      <c r="M2" s="399"/>
      <c r="N2" s="399"/>
      <c r="O2" s="399"/>
      <c r="P2" s="399"/>
      <c r="Q2" s="399"/>
      <c r="S2" s="546" t="s">
        <v>75</v>
      </c>
      <c r="T2" s="546"/>
      <c r="U2" s="546"/>
      <c r="V2" s="546"/>
      <c r="W2" s="546"/>
      <c r="X2" s="546"/>
      <c r="Y2" s="546"/>
      <c r="Z2" s="546"/>
      <c r="AA2" s="546"/>
      <c r="AB2" s="546"/>
      <c r="AC2" s="546"/>
      <c r="AD2" s="546"/>
      <c r="AE2" s="546"/>
      <c r="AF2" s="546"/>
      <c r="AH2" s="546" t="s">
        <v>81</v>
      </c>
      <c r="AI2" s="546"/>
      <c r="AJ2" s="546"/>
      <c r="AK2" s="546"/>
      <c r="AL2" s="546"/>
      <c r="AM2" s="546"/>
      <c r="AN2" s="546"/>
      <c r="AO2" s="546"/>
      <c r="AP2" s="546"/>
      <c r="AQ2" s="546"/>
      <c r="AR2" s="546"/>
      <c r="AS2" s="546"/>
      <c r="AT2" s="546"/>
      <c r="AU2" s="546"/>
    </row>
    <row r="3" spans="1:49">
      <c r="B3" s="52"/>
      <c r="D3" s="54" t="s">
        <v>175</v>
      </c>
      <c r="E3" s="54" t="s">
        <v>175</v>
      </c>
      <c r="F3" s="54" t="s">
        <v>175</v>
      </c>
      <c r="G3" s="54" t="s">
        <v>176</v>
      </c>
      <c r="H3" s="54" t="s">
        <v>176</v>
      </c>
      <c r="I3" s="54" t="s">
        <v>176</v>
      </c>
      <c r="J3" s="54" t="s">
        <v>177</v>
      </c>
      <c r="K3" s="54" t="s">
        <v>177</v>
      </c>
      <c r="L3" s="54" t="s">
        <v>177</v>
      </c>
      <c r="M3" s="55" t="s">
        <v>178</v>
      </c>
      <c r="N3" s="55" t="s">
        <v>178</v>
      </c>
      <c r="O3" s="55" t="s">
        <v>178</v>
      </c>
      <c r="S3" s="80" t="s">
        <v>175</v>
      </c>
      <c r="T3" s="80" t="s">
        <v>175</v>
      </c>
      <c r="U3" s="80" t="s">
        <v>175</v>
      </c>
      <c r="V3" s="80" t="s">
        <v>176</v>
      </c>
      <c r="W3" s="80" t="s">
        <v>176</v>
      </c>
      <c r="X3" s="55" t="s">
        <v>176</v>
      </c>
      <c r="Y3" s="55" t="s">
        <v>177</v>
      </c>
      <c r="Z3" s="55" t="s">
        <v>177</v>
      </c>
      <c r="AA3" s="55" t="s">
        <v>177</v>
      </c>
      <c r="AB3" s="55" t="s">
        <v>178</v>
      </c>
      <c r="AC3" s="55" t="s">
        <v>178</v>
      </c>
      <c r="AD3" s="55" t="s">
        <v>178</v>
      </c>
      <c r="AH3" s="80" t="s">
        <v>175</v>
      </c>
      <c r="AI3" s="80" t="s">
        <v>175</v>
      </c>
      <c r="AJ3" s="80" t="s">
        <v>175</v>
      </c>
      <c r="AK3" s="80" t="s">
        <v>176</v>
      </c>
      <c r="AL3" s="80" t="s">
        <v>176</v>
      </c>
      <c r="AM3" s="55" t="s">
        <v>176</v>
      </c>
      <c r="AN3" s="55" t="s">
        <v>177</v>
      </c>
      <c r="AO3" s="55" t="s">
        <v>177</v>
      </c>
      <c r="AP3" s="55" t="s">
        <v>177</v>
      </c>
      <c r="AQ3" s="55" t="s">
        <v>178</v>
      </c>
      <c r="AR3" s="55" t="s">
        <v>178</v>
      </c>
      <c r="AS3" s="55" t="s">
        <v>178</v>
      </c>
    </row>
    <row r="4" spans="1:49">
      <c r="D4" s="56">
        <v>45716</v>
      </c>
      <c r="E4" s="56">
        <v>45747</v>
      </c>
      <c r="F4" s="56">
        <v>45777</v>
      </c>
      <c r="G4" s="56">
        <v>45808</v>
      </c>
      <c r="H4" s="56">
        <v>45838</v>
      </c>
      <c r="I4" s="56">
        <f t="shared" ref="I4:O4" si="2">EOMONTH(H4,1)</f>
        <v>45869</v>
      </c>
      <c r="J4" s="56">
        <f t="shared" si="2"/>
        <v>45900</v>
      </c>
      <c r="K4" s="56">
        <f t="shared" si="2"/>
        <v>45930</v>
      </c>
      <c r="L4" s="56">
        <f t="shared" si="2"/>
        <v>45961</v>
      </c>
      <c r="M4" s="57">
        <f t="shared" si="2"/>
        <v>45991</v>
      </c>
      <c r="N4" s="57">
        <f t="shared" si="2"/>
        <v>46022</v>
      </c>
      <c r="O4" s="57">
        <f t="shared" si="2"/>
        <v>46053</v>
      </c>
      <c r="P4" s="57"/>
      <c r="Q4" s="55" t="s">
        <v>174</v>
      </c>
      <c r="S4" s="81">
        <v>46081</v>
      </c>
      <c r="T4" s="81">
        <f>EOMONTH(S4,1)</f>
        <v>46112</v>
      </c>
      <c r="U4" s="81">
        <f>EOMONTH(T4,1)</f>
        <v>46142</v>
      </c>
      <c r="V4" s="81">
        <f>EOMONTH(U4,1)</f>
        <v>46173</v>
      </c>
      <c r="W4" s="81">
        <f>EOMONTH(V4,1)</f>
        <v>46203</v>
      </c>
      <c r="X4" s="57">
        <f t="shared" ref="X4:AD4" si="3">EOMONTH(W4,1)</f>
        <v>46234</v>
      </c>
      <c r="Y4" s="57">
        <f t="shared" si="3"/>
        <v>46265</v>
      </c>
      <c r="Z4" s="57">
        <f t="shared" si="3"/>
        <v>46295</v>
      </c>
      <c r="AA4" s="57">
        <f t="shared" si="3"/>
        <v>46326</v>
      </c>
      <c r="AB4" s="57">
        <f t="shared" si="3"/>
        <v>46356</v>
      </c>
      <c r="AC4" s="57">
        <f t="shared" si="3"/>
        <v>46387</v>
      </c>
      <c r="AD4" s="57">
        <f t="shared" si="3"/>
        <v>46418</v>
      </c>
      <c r="AE4" s="57"/>
      <c r="AF4" s="55" t="s">
        <v>75</v>
      </c>
      <c r="AH4" s="81">
        <v>46446</v>
      </c>
      <c r="AI4" s="81">
        <f>EOMONTH(AH4,1)</f>
        <v>46477</v>
      </c>
      <c r="AJ4" s="81">
        <f>EOMONTH(AI4,1)</f>
        <v>46507</v>
      </c>
      <c r="AK4" s="81">
        <f>EOMONTH(AJ4,1)</f>
        <v>46538</v>
      </c>
      <c r="AL4" s="81">
        <f>EOMONTH(AK4,1)</f>
        <v>46568</v>
      </c>
      <c r="AM4" s="57">
        <f t="shared" ref="AM4:AS4" si="4">EOMONTH(AL4,1)</f>
        <v>46599</v>
      </c>
      <c r="AN4" s="57">
        <f t="shared" si="4"/>
        <v>46630</v>
      </c>
      <c r="AO4" s="57">
        <f t="shared" si="4"/>
        <v>46660</v>
      </c>
      <c r="AP4" s="57">
        <f t="shared" si="4"/>
        <v>46691</v>
      </c>
      <c r="AQ4" s="57">
        <f t="shared" si="4"/>
        <v>46721</v>
      </c>
      <c r="AR4" s="57">
        <f t="shared" si="4"/>
        <v>46752</v>
      </c>
      <c r="AS4" s="57">
        <f t="shared" si="4"/>
        <v>46783</v>
      </c>
      <c r="AT4" s="57"/>
      <c r="AU4" s="55" t="s">
        <v>81</v>
      </c>
    </row>
    <row r="5" spans="1:49">
      <c r="B5" s="58" t="s">
        <v>82</v>
      </c>
      <c r="D5" s="46" t="s">
        <v>180</v>
      </c>
      <c r="E5" s="46" t="s">
        <v>180</v>
      </c>
      <c r="F5" s="46" t="s">
        <v>180</v>
      </c>
      <c r="G5" s="46" t="s">
        <v>180</v>
      </c>
      <c r="H5" s="46" t="s">
        <v>180</v>
      </c>
      <c r="I5" s="46" t="s">
        <v>180</v>
      </c>
      <c r="J5" s="46" t="s">
        <v>180</v>
      </c>
      <c r="K5" s="46" t="s">
        <v>180</v>
      </c>
      <c r="L5" s="46" t="s">
        <v>180</v>
      </c>
      <c r="M5" s="48" t="s">
        <v>42</v>
      </c>
      <c r="N5" s="48" t="s">
        <v>42</v>
      </c>
      <c r="O5" s="48" t="s">
        <v>42</v>
      </c>
      <c r="S5" s="82" t="s">
        <v>42</v>
      </c>
      <c r="T5" s="82" t="s">
        <v>42</v>
      </c>
      <c r="U5" s="82" t="s">
        <v>42</v>
      </c>
      <c r="V5" s="82" t="s">
        <v>42</v>
      </c>
      <c r="W5" s="82" t="s">
        <v>42</v>
      </c>
      <c r="X5" s="48" t="s">
        <v>42</v>
      </c>
      <c r="Y5" s="48" t="s">
        <v>42</v>
      </c>
      <c r="Z5" s="48" t="s">
        <v>42</v>
      </c>
      <c r="AA5" s="48" t="s">
        <v>42</v>
      </c>
      <c r="AB5" s="48" t="s">
        <v>42</v>
      </c>
      <c r="AC5" s="48" t="s">
        <v>42</v>
      </c>
      <c r="AD5" s="48" t="s">
        <v>42</v>
      </c>
      <c r="AH5" s="82" t="s">
        <v>42</v>
      </c>
      <c r="AI5" s="82" t="s">
        <v>42</v>
      </c>
      <c r="AJ5" s="82" t="s">
        <v>42</v>
      </c>
      <c r="AK5" s="82" t="s">
        <v>42</v>
      </c>
      <c r="AL5" s="82" t="s">
        <v>42</v>
      </c>
      <c r="AM5" s="48" t="s">
        <v>42</v>
      </c>
      <c r="AN5" s="48" t="s">
        <v>42</v>
      </c>
      <c r="AO5" s="48" t="s">
        <v>42</v>
      </c>
      <c r="AP5" s="48" t="s">
        <v>42</v>
      </c>
      <c r="AQ5" s="48" t="s">
        <v>42</v>
      </c>
      <c r="AR5" s="48" t="s">
        <v>42</v>
      </c>
      <c r="AS5" s="48" t="s">
        <v>42</v>
      </c>
    </row>
    <row r="6" spans="1:49">
      <c r="D6" s="53"/>
      <c r="E6" s="53"/>
      <c r="F6" s="53"/>
      <c r="G6" s="53"/>
      <c r="H6" s="53"/>
      <c r="I6" s="53"/>
      <c r="J6" s="53"/>
      <c r="K6" s="53"/>
      <c r="L6" s="53"/>
    </row>
    <row r="7" spans="1:49">
      <c r="B7" s="51" t="s">
        <v>83</v>
      </c>
      <c r="D7" s="59">
        <v>24410.43</v>
      </c>
      <c r="E7" s="59">
        <v>127159.56</v>
      </c>
      <c r="F7" s="59">
        <v>131683.41</v>
      </c>
      <c r="G7" s="59">
        <v>22302.58</v>
      </c>
      <c r="H7" s="59">
        <v>34808.879999999997</v>
      </c>
      <c r="I7" s="59">
        <v>150148.04999999999</v>
      </c>
      <c r="J7" s="59">
        <v>142950.29</v>
      </c>
      <c r="K7" s="59">
        <v>20013.5</v>
      </c>
      <c r="L7" s="59">
        <v>199788</v>
      </c>
      <c r="M7" s="60">
        <v>274500</v>
      </c>
      <c r="N7" s="60">
        <v>89000</v>
      </c>
      <c r="O7" s="60">
        <v>35000</v>
      </c>
      <c r="P7" s="60"/>
      <c r="Q7" s="61">
        <f>SUM(D7:O7)</f>
        <v>1251764.7000000002</v>
      </c>
      <c r="R7" s="62"/>
      <c r="S7" s="60">
        <f>SK!Q$25</f>
        <v>59600.34054925714</v>
      </c>
      <c r="T7" s="60">
        <f>SK!R$25</f>
        <v>163933.02521160632</v>
      </c>
      <c r="U7" s="60">
        <f>SK!S$25</f>
        <v>150152.08912176508</v>
      </c>
      <c r="V7" s="60">
        <f>SK!T$25</f>
        <v>54788.127068159993</v>
      </c>
      <c r="W7" s="60">
        <f>SK!U$25</f>
        <v>60722.569858756819</v>
      </c>
      <c r="X7" s="60">
        <f>SK!V$25</f>
        <v>175612.14719862858</v>
      </c>
      <c r="Y7" s="60">
        <f>SK!W$25</f>
        <v>73350.763696800001</v>
      </c>
      <c r="Z7" s="60">
        <f>SK!X$25</f>
        <v>63976.694434366669</v>
      </c>
      <c r="AA7" s="60">
        <f>SK!Y$25</f>
        <v>204189.2626984127</v>
      </c>
      <c r="AB7" s="60">
        <f>SK!Z$25</f>
        <v>179792.01944444445</v>
      </c>
      <c r="AC7" s="60">
        <f>SK!AA$25</f>
        <v>60136.559920634922</v>
      </c>
      <c r="AD7" s="60">
        <f>SK!AB$25</f>
        <v>51069.038095238095</v>
      </c>
      <c r="AE7" s="60"/>
      <c r="AF7" s="61">
        <f>SUM(S7:AD7)</f>
        <v>1297322.6372980706</v>
      </c>
      <c r="AG7" s="89">
        <f>AF7/Q7-1</f>
        <v>3.6394968877194289E-2</v>
      </c>
      <c r="AH7" s="60">
        <f>SK!AC$25</f>
        <v>46757.151404134282</v>
      </c>
      <c r="AI7" s="60">
        <f>SK!AD$25</f>
        <v>198188.67912530541</v>
      </c>
      <c r="AJ7" s="60">
        <f>SK!AE$25</f>
        <v>162736.60570398273</v>
      </c>
      <c r="AK7" s="60">
        <f>SK!AF$25</f>
        <v>52696.14436556799</v>
      </c>
      <c r="AL7" s="60">
        <f>SK!AG$25</f>
        <v>57704.953172782793</v>
      </c>
      <c r="AM7" s="60">
        <f>SK!AH$25</f>
        <v>243560.72567425034</v>
      </c>
      <c r="AN7" s="60">
        <f>SK!AI$25</f>
        <v>34273.384402444804</v>
      </c>
      <c r="AO7" s="60">
        <f>SK!AJ$25</f>
        <v>63361.591270488185</v>
      </c>
      <c r="AP7" s="60">
        <f>SK!AK$25</f>
        <v>220763.60782539687</v>
      </c>
      <c r="AQ7" s="60">
        <f>SK!AL$25</f>
        <v>177466.63944444444</v>
      </c>
      <c r="AR7" s="60">
        <f>SK!AM$25</f>
        <v>70164.904269841267</v>
      </c>
      <c r="AS7" s="60">
        <f>SK!AN$25</f>
        <v>61649.723428571429</v>
      </c>
      <c r="AT7" s="60"/>
      <c r="AU7" s="61">
        <f>SUM(AH7:AS7)</f>
        <v>1389324.1100872103</v>
      </c>
    </row>
    <row r="8" spans="1:49">
      <c r="B8" s="51" t="s">
        <v>84</v>
      </c>
      <c r="D8" s="59">
        <v>0</v>
      </c>
      <c r="E8" s="59">
        <v>23819.4</v>
      </c>
      <c r="F8" s="59">
        <v>30338.6</v>
      </c>
      <c r="G8" s="59">
        <v>25227</v>
      </c>
      <c r="H8" s="59">
        <v>0</v>
      </c>
      <c r="I8" s="59">
        <v>15042.6</v>
      </c>
      <c r="J8" s="59">
        <v>23948.799999999999</v>
      </c>
      <c r="K8" s="59"/>
      <c r="L8" s="59">
        <v>25953</v>
      </c>
      <c r="M8" s="60">
        <v>70000</v>
      </c>
      <c r="N8" s="60">
        <v>10000</v>
      </c>
      <c r="O8" s="60">
        <v>30000</v>
      </c>
      <c r="P8" s="60"/>
      <c r="Q8" s="61">
        <f>SUM(D8:O8)</f>
        <v>254329.40000000002</v>
      </c>
      <c r="R8" s="62"/>
      <c r="S8" s="83">
        <f>SUMIF(B2B!$B$7:$B$111,"Slovakia",B2B!V7:V111)</f>
        <v>3000</v>
      </c>
      <c r="T8" s="83">
        <f>SUMIF(B2B!$B$7:$B$111,"Slovakia",B2B!W7:W111)</f>
        <v>27819.399999999998</v>
      </c>
      <c r="U8" s="83">
        <f>SUMIF(B2B!$B$7:$B$111,"Slovakia",B2B!X7:X111)</f>
        <v>34338.6</v>
      </c>
      <c r="V8" s="83">
        <f>SUMIF(B2B!$B$7:$B$111,"Slovakia",B2B!Y7:Y111)</f>
        <v>28227.000000000004</v>
      </c>
      <c r="W8" s="83">
        <f>SUMIF(B2B!$B$7:$B$111,"Slovakia",B2B!Z7:Z111)</f>
        <v>14000</v>
      </c>
      <c r="X8" s="83">
        <f>SUMIF(B2B!$B$7:$B$111,"Slovakia",B2B!AA7:AA111)</f>
        <v>19042.599999999999</v>
      </c>
      <c r="Y8" s="83">
        <f>SUMIF(B2B!$B$7:$B$111,"Slovakia",B2B!AB7:AB111)</f>
        <v>26948.800000000003</v>
      </c>
      <c r="Z8" s="83">
        <f>SUMIF(B2B!$B$7:$B$111,"Slovakia",B2B!AC7:AC111)</f>
        <v>3000</v>
      </c>
      <c r="AA8" s="83">
        <f>SUMIF(B2B!$B$7:$B$111,"Slovakia",B2B!AD7:AD111)</f>
        <v>30124.100000000002</v>
      </c>
      <c r="AB8" s="83">
        <f>SUMIF(B2B!$B$7:$B$111,"Slovakia",B2B!AE7:AE111)</f>
        <v>76000</v>
      </c>
      <c r="AC8" s="83">
        <f>SUMIF(B2B!$B$7:$B$111,"Slovakia",B2B!AF7:AF111)</f>
        <v>15000</v>
      </c>
      <c r="AD8" s="83">
        <f>SUMIF(B2B!$B$7:$B$111,"Slovakia",B2B!AG7:AG111)</f>
        <v>33000</v>
      </c>
      <c r="AE8" s="60"/>
      <c r="AF8" s="61">
        <f>SUM(S8:AD8)</f>
        <v>310500.5</v>
      </c>
      <c r="AH8" s="83">
        <f>SUMIF(B2B!$B$7:$B$111,"Slovakia",B2B!AK7:AK111)</f>
        <v>3150</v>
      </c>
      <c r="AI8" s="83">
        <f>SUMIF(B2B!$B$7:$B$111,"Slovakia",B2B!AL7:AL111)</f>
        <v>29210.37</v>
      </c>
      <c r="AJ8" s="83">
        <f>SUMIF(B2B!$B$7:$B$111,"Slovakia",B2B!AM7:AM111)</f>
        <v>36055.53</v>
      </c>
      <c r="AK8" s="83">
        <f>SUMIF(B2B!$B$7:$B$111,"Slovakia",B2B!AN7:AN111)</f>
        <v>29638.350000000006</v>
      </c>
      <c r="AL8" s="83">
        <f>SUMIF(B2B!$B$7:$B$111,"Slovakia",B2B!AO7:AO111)</f>
        <v>14700</v>
      </c>
      <c r="AM8" s="83">
        <f>SUMIF(B2B!$B$7:$B$111,"Slovakia",B2B!AP7:AP111)</f>
        <v>19994.730000000003</v>
      </c>
      <c r="AN8" s="83">
        <f>SUMIF(B2B!$B$7:$B$111,"Slovakia",B2B!AQ7:AQ111)</f>
        <v>28296.240000000005</v>
      </c>
      <c r="AO8" s="83">
        <f>SUMIF(B2B!$B$7:$B$111,"Slovakia",B2B!AR7:AR111)</f>
        <v>3150</v>
      </c>
      <c r="AP8" s="83">
        <f>SUMIF(B2B!$B$7:$B$111,"Slovakia",B2B!AS7:AS111)</f>
        <v>31630.305000000004</v>
      </c>
      <c r="AQ8" s="83">
        <f>SUMIF(B2B!$B$7:$B$111,"Slovakia",B2B!AT7:AT111)</f>
        <v>79800</v>
      </c>
      <c r="AR8" s="83">
        <f>SUMIF(B2B!$B$7:$B$111,"Slovakia",B2B!AU7:AU111)</f>
        <v>15750</v>
      </c>
      <c r="AS8" s="83">
        <f>SUMIF(B2B!$B$7:$B$111,"Slovakia",B2B!AV7:AV111)</f>
        <v>34650</v>
      </c>
      <c r="AT8" s="60"/>
      <c r="AU8" s="61">
        <f>SUM(AH8:AS8)</f>
        <v>326025.52500000002</v>
      </c>
    </row>
    <row r="9" spans="1:49">
      <c r="B9" s="51" t="s">
        <v>85</v>
      </c>
      <c r="D9" s="59"/>
      <c r="E9" s="59"/>
      <c r="F9" s="59"/>
      <c r="G9" s="59"/>
      <c r="H9" s="59"/>
      <c r="I9" s="59"/>
      <c r="J9" s="59"/>
      <c r="K9" s="59"/>
      <c r="L9" s="59">
        <f ca="1">SUMIF(Amazon!$A$25:$A$39,"Slovakia",Amazon!K25:K37)</f>
        <v>0</v>
      </c>
      <c r="M9" s="60">
        <f ca="1">SUMIF(Amazon!$A$25:$A$39,"Slovakia",Amazon!L25:L37)</f>
        <v>0</v>
      </c>
      <c r="N9" s="60">
        <f ca="1">SUMIF(Amazon!$A$25:$A$39,"Slovakia",Amazon!M25:M37)</f>
        <v>0</v>
      </c>
      <c r="O9" s="60">
        <f ca="1">SUMIF(Amazon!$A$25:$A$39,"Slovakia",Amazon!N25:N37)</f>
        <v>0</v>
      </c>
      <c r="P9" s="60"/>
      <c r="Q9" s="61">
        <f ca="1">SUM(D9:O9)</f>
        <v>0</v>
      </c>
      <c r="R9" s="62"/>
      <c r="S9" s="60">
        <f ca="1">SUMIF(Amazon!$A$25:$A$39,"Slovakia",Amazon!Q25:Q37)</f>
        <v>0</v>
      </c>
      <c r="T9" s="60">
        <f ca="1">SUMIF(Amazon!$A$25:$A$39,"Slovakia",Amazon!R25:R37)</f>
        <v>0</v>
      </c>
      <c r="U9" s="60">
        <f ca="1">SUMIF(Amazon!$A$25:$A$39,"Slovakia",Amazon!S25:S37)</f>
        <v>0</v>
      </c>
      <c r="V9" s="60">
        <f ca="1">SUMIF(Amazon!$A$25:$A$39,"Slovakia",Amazon!T25:T37)</f>
        <v>0</v>
      </c>
      <c r="W9" s="60">
        <f ca="1">SUMIF(Amazon!$A$25:$A$39,"Slovakia",Amazon!U25:U37)</f>
        <v>0</v>
      </c>
      <c r="X9" s="60">
        <f ca="1">SUMIF(Amazon!$A$25:$A$39,"Slovakia",Amazon!V25:V37)</f>
        <v>0</v>
      </c>
      <c r="Y9" s="60">
        <f ca="1">SUMIF(Amazon!$A$25:$A$39,"Slovakia",Amazon!W25:W37)</f>
        <v>0</v>
      </c>
      <c r="Z9" s="60">
        <f ca="1">SUMIF(Amazon!$A$25:$A$39,"Slovakia",Amazon!X25:X37)</f>
        <v>0</v>
      </c>
      <c r="AA9" s="60">
        <f ca="1">SUMIF(Amazon!$A$25:$A$39,"Slovakia",Amazon!Y25:Y37)</f>
        <v>0</v>
      </c>
      <c r="AB9" s="60">
        <f ca="1">SUMIF(Amazon!$A$25:$A$39,"Slovakia",Amazon!Z25:Z37)</f>
        <v>0</v>
      </c>
      <c r="AC9" s="60">
        <f ca="1">SUMIF(Amazon!$A$25:$A$39,"Slovakia",Amazon!AA25:AA37)</f>
        <v>0</v>
      </c>
      <c r="AD9" s="60">
        <f ca="1">SUMIF(Amazon!$A$25:$A$39,"Slovakia",Amazon!AB25:AB37)</f>
        <v>0</v>
      </c>
      <c r="AE9" s="60"/>
      <c r="AF9" s="61">
        <f ca="1">SUM(S9:AD9)</f>
        <v>0</v>
      </c>
      <c r="AH9" s="60">
        <f ca="1">SUMIF(Amazon!$A$25:$A$39,"Slovakia",Amazon!AE25:AE37)</f>
        <v>0</v>
      </c>
      <c r="AI9" s="60">
        <f ca="1">SUMIF(Amazon!$A$25:$A$39,"Slovakia",Amazon!AF25:AF37)</f>
        <v>0</v>
      </c>
      <c r="AJ9" s="60">
        <f ca="1">SUMIF(Amazon!$A$25:$A$39,"Slovakia",Amazon!AG25:AG37)</f>
        <v>0</v>
      </c>
      <c r="AK9" s="60">
        <f ca="1">SUMIF(Amazon!$A$25:$A$39,"Slovakia",Amazon!AH25:AH37)</f>
        <v>0</v>
      </c>
      <c r="AL9" s="60">
        <f ca="1">SUMIF(Amazon!$A$25:$A$39,"Slovakia",Amazon!AI25:AI37)</f>
        <v>0</v>
      </c>
      <c r="AM9" s="60">
        <f ca="1">SUMIF(Amazon!$A$25:$A$39,"Slovakia",Amazon!AJ25:AJ37)</f>
        <v>0</v>
      </c>
      <c r="AN9" s="60">
        <f ca="1">SUMIF(Amazon!$A$25:$A$39,"Slovakia",Amazon!AK25:AK37)</f>
        <v>0</v>
      </c>
      <c r="AO9" s="60">
        <f ca="1">SUMIF(Amazon!$A$25:$A$39,"Slovakia",Amazon!AL25:AL37)</f>
        <v>0</v>
      </c>
      <c r="AP9" s="60">
        <f ca="1">SUMIF(Amazon!$A$25:$A$39,"Slovakia",Amazon!AM25:AM37)</f>
        <v>0</v>
      </c>
      <c r="AQ9" s="60">
        <f ca="1">SUMIF(Amazon!$A$25:$A$39,"Slovakia",Amazon!AN25:AN37)</f>
        <v>0</v>
      </c>
      <c r="AR9" s="60">
        <f ca="1">SUMIF(Amazon!$A$25:$A$39,"Slovakia",Amazon!AO25:AO37)</f>
        <v>0</v>
      </c>
      <c r="AS9" s="60">
        <f ca="1">SUMIF(Amazon!$A$25:$A$39,"Slovakia",Amazon!AP25:AP37)</f>
        <v>0</v>
      </c>
      <c r="AT9" s="60"/>
      <c r="AU9" s="61">
        <f ca="1">SUM(AH9:AS9)</f>
        <v>0</v>
      </c>
    </row>
    <row r="10" spans="1:49">
      <c r="B10" s="51" t="s">
        <v>86</v>
      </c>
      <c r="D10" s="59"/>
      <c r="E10" s="59"/>
      <c r="F10" s="59"/>
      <c r="G10" s="59"/>
      <c r="H10" s="59"/>
      <c r="I10" s="59"/>
      <c r="J10" s="59"/>
      <c r="K10" s="59"/>
      <c r="L10" s="59"/>
      <c r="M10" s="60"/>
      <c r="N10" s="60"/>
      <c r="O10" s="60"/>
      <c r="P10" s="60"/>
      <c r="Q10" s="61">
        <f>SUM(D10:O10)</f>
        <v>0</v>
      </c>
      <c r="R10" s="62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60"/>
      <c r="AF10" s="61">
        <f>SUM(S10:AD10)</f>
        <v>0</v>
      </c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60"/>
      <c r="AU10" s="61">
        <f>SUM(AH10:AS10)</f>
        <v>0</v>
      </c>
    </row>
    <row r="11" spans="1:49">
      <c r="D11" s="59"/>
      <c r="E11" s="59"/>
      <c r="F11" s="59"/>
      <c r="G11" s="59"/>
      <c r="H11" s="59"/>
      <c r="I11" s="59"/>
      <c r="J11" s="59"/>
      <c r="K11" s="59"/>
      <c r="L11" s="59"/>
      <c r="M11" s="60"/>
      <c r="N11" s="60"/>
      <c r="O11" s="60"/>
      <c r="P11" s="60"/>
      <c r="Q11" s="61"/>
      <c r="S11" s="83"/>
      <c r="T11" s="83"/>
      <c r="U11" s="83"/>
      <c r="V11" s="83"/>
      <c r="W11" s="83"/>
      <c r="X11" s="60"/>
      <c r="Y11" s="60"/>
      <c r="Z11" s="60"/>
      <c r="AA11" s="60"/>
      <c r="AB11" s="60"/>
      <c r="AC11" s="60"/>
      <c r="AD11" s="60"/>
      <c r="AE11" s="60"/>
      <c r="AF11" s="61"/>
      <c r="AH11" s="83"/>
      <c r="AI11" s="83"/>
      <c r="AJ11" s="83"/>
      <c r="AK11" s="83"/>
      <c r="AL11" s="83"/>
      <c r="AM11" s="60"/>
      <c r="AN11" s="60"/>
      <c r="AO11" s="60"/>
      <c r="AP11" s="60"/>
      <c r="AQ11" s="60"/>
      <c r="AR11" s="60"/>
      <c r="AS11" s="60"/>
      <c r="AT11" s="60"/>
      <c r="AU11" s="61"/>
    </row>
    <row r="12" spans="1:49" s="10" customFormat="1">
      <c r="A12" s="52"/>
      <c r="B12" s="63" t="s">
        <v>87</v>
      </c>
      <c r="C12" s="52"/>
      <c r="D12" s="64">
        <f t="shared" ref="D12:K12" si="5">SUM(D7:D11)</f>
        <v>24410.43</v>
      </c>
      <c r="E12" s="64">
        <f t="shared" si="5"/>
        <v>150978.96</v>
      </c>
      <c r="F12" s="64">
        <f t="shared" si="5"/>
        <v>162022.01</v>
      </c>
      <c r="G12" s="64">
        <f t="shared" si="5"/>
        <v>47529.58</v>
      </c>
      <c r="H12" s="64">
        <f t="shared" si="5"/>
        <v>34808.879999999997</v>
      </c>
      <c r="I12" s="64">
        <f t="shared" si="5"/>
        <v>165190.65</v>
      </c>
      <c r="J12" s="64">
        <f t="shared" si="5"/>
        <v>166899.09</v>
      </c>
      <c r="K12" s="64">
        <f t="shared" si="5"/>
        <v>20013.5</v>
      </c>
      <c r="L12" s="64">
        <f t="shared" ref="L12:O12" ca="1" si="6">SUM(L7:L11)</f>
        <v>225741</v>
      </c>
      <c r="M12" s="65">
        <f t="shared" ca="1" si="6"/>
        <v>344500</v>
      </c>
      <c r="N12" s="65">
        <f t="shared" ca="1" si="6"/>
        <v>99000</v>
      </c>
      <c r="O12" s="65">
        <f t="shared" ca="1" si="6"/>
        <v>65000</v>
      </c>
      <c r="P12" s="61"/>
      <c r="Q12" s="65">
        <f ca="1">SUM(D12:O12)</f>
        <v>1506094.1</v>
      </c>
      <c r="R12" s="52"/>
      <c r="S12" s="84">
        <f ca="1">SUM(S7:S11)</f>
        <v>62600.34054925714</v>
      </c>
      <c r="T12" s="84">
        <f t="shared" ref="T12:AD12" ca="1" si="7">SUM(T7:T11)</f>
        <v>191752.42521160631</v>
      </c>
      <c r="U12" s="84">
        <f t="shared" ca="1" si="7"/>
        <v>184490.68912176508</v>
      </c>
      <c r="V12" s="84">
        <f t="shared" ca="1" si="7"/>
        <v>83015.12706816</v>
      </c>
      <c r="W12" s="84">
        <f t="shared" ca="1" si="7"/>
        <v>74722.569858756819</v>
      </c>
      <c r="X12" s="65">
        <f t="shared" ca="1" si="7"/>
        <v>194654.74719862858</v>
      </c>
      <c r="Y12" s="65">
        <f t="shared" ca="1" si="7"/>
        <v>100299.5636968</v>
      </c>
      <c r="Z12" s="65">
        <f t="shared" ca="1" si="7"/>
        <v>66976.694434366669</v>
      </c>
      <c r="AA12" s="65">
        <f t="shared" ca="1" si="7"/>
        <v>234313.3626984127</v>
      </c>
      <c r="AB12" s="65">
        <f t="shared" ca="1" si="7"/>
        <v>255792.01944444445</v>
      </c>
      <c r="AC12" s="65">
        <f t="shared" ca="1" si="7"/>
        <v>75136.559920634929</v>
      </c>
      <c r="AD12" s="65">
        <f t="shared" ca="1" si="7"/>
        <v>84069.038095238095</v>
      </c>
      <c r="AE12" s="61"/>
      <c r="AF12" s="65">
        <f ca="1">SUM(S12:AD12)</f>
        <v>1607823.1372980708</v>
      </c>
      <c r="AG12" s="7"/>
      <c r="AH12" s="84">
        <f ca="1">SUM(AH7:AH11)</f>
        <v>49907.151404134282</v>
      </c>
      <c r="AI12" s="84">
        <f t="shared" ref="AI12:AS12" ca="1" si="8">SUM(AI7:AI11)</f>
        <v>227399.04912530541</v>
      </c>
      <c r="AJ12" s="84">
        <f t="shared" ca="1" si="8"/>
        <v>198792.13570398273</v>
      </c>
      <c r="AK12" s="84">
        <f t="shared" ca="1" si="8"/>
        <v>82334.494365567996</v>
      </c>
      <c r="AL12" s="84">
        <f t="shared" ca="1" si="8"/>
        <v>72404.953172782785</v>
      </c>
      <c r="AM12" s="65">
        <f t="shared" ca="1" si="8"/>
        <v>263555.45567425032</v>
      </c>
      <c r="AN12" s="65">
        <f t="shared" ca="1" si="8"/>
        <v>62569.62440244481</v>
      </c>
      <c r="AO12" s="65">
        <f t="shared" ca="1" si="8"/>
        <v>66511.591270488192</v>
      </c>
      <c r="AP12" s="65">
        <f t="shared" ca="1" si="8"/>
        <v>252393.91282539687</v>
      </c>
      <c r="AQ12" s="65">
        <f t="shared" ca="1" si="8"/>
        <v>257266.63944444444</v>
      </c>
      <c r="AR12" s="65">
        <f t="shared" ca="1" si="8"/>
        <v>85914.904269841267</v>
      </c>
      <c r="AS12" s="65">
        <f t="shared" ca="1" si="8"/>
        <v>96299.723428571422</v>
      </c>
      <c r="AT12" s="61"/>
      <c r="AU12" s="65">
        <f ca="1">SUM(AH12:AS12)</f>
        <v>1715349.6350872102</v>
      </c>
      <c r="AW12" s="140"/>
    </row>
    <row r="13" spans="1:49" outlineLevel="1">
      <c r="D13" s="59"/>
      <c r="E13" s="59"/>
      <c r="F13" s="59"/>
      <c r="G13" s="59"/>
      <c r="H13" s="59"/>
      <c r="I13" s="59"/>
      <c r="J13" s="59"/>
      <c r="K13" s="59"/>
      <c r="L13" s="59"/>
      <c r="M13" s="60"/>
      <c r="N13" s="60"/>
      <c r="O13" s="60"/>
      <c r="P13" s="60"/>
      <c r="Q13" s="61"/>
      <c r="R13" s="66"/>
      <c r="S13" s="83"/>
      <c r="T13" s="83"/>
      <c r="U13" s="83"/>
      <c r="V13" s="83"/>
      <c r="W13" s="83"/>
      <c r="X13" s="60"/>
      <c r="Y13" s="60"/>
      <c r="Z13" s="60"/>
      <c r="AA13" s="60"/>
      <c r="AB13" s="60"/>
      <c r="AC13" s="60"/>
      <c r="AD13" s="60"/>
      <c r="AE13" s="60"/>
      <c r="AF13" s="61"/>
      <c r="AH13" s="83"/>
      <c r="AI13" s="83"/>
      <c r="AJ13" s="83"/>
      <c r="AK13" s="83"/>
      <c r="AL13" s="83"/>
      <c r="AM13" s="60"/>
      <c r="AN13" s="60"/>
      <c r="AO13" s="60"/>
      <c r="AP13" s="60"/>
      <c r="AQ13" s="60"/>
      <c r="AR13" s="60"/>
      <c r="AS13" s="60"/>
      <c r="AT13" s="60"/>
      <c r="AU13" s="61"/>
    </row>
    <row r="14" spans="1:49" outlineLevel="1">
      <c r="B14" s="58" t="s">
        <v>88</v>
      </c>
      <c r="D14" s="59"/>
      <c r="E14" s="59"/>
      <c r="F14" s="59"/>
      <c r="G14" s="59"/>
      <c r="H14" s="59"/>
      <c r="I14" s="59"/>
      <c r="J14" s="59"/>
      <c r="K14" s="59"/>
      <c r="L14" s="59"/>
      <c r="M14" s="60"/>
      <c r="N14" s="60"/>
      <c r="O14" s="60"/>
      <c r="P14" s="60"/>
      <c r="Q14" s="61"/>
      <c r="S14" s="83"/>
      <c r="T14" s="83"/>
      <c r="U14" s="83"/>
      <c r="V14" s="83"/>
      <c r="W14" s="83"/>
      <c r="X14" s="60"/>
      <c r="Y14" s="60"/>
      <c r="Z14" s="60"/>
      <c r="AA14" s="60"/>
      <c r="AB14" s="60"/>
      <c r="AC14" s="60"/>
      <c r="AD14" s="60"/>
      <c r="AE14" s="60"/>
      <c r="AF14" s="61"/>
      <c r="AH14" s="83"/>
      <c r="AI14" s="83"/>
      <c r="AJ14" s="83"/>
      <c r="AK14" s="83"/>
      <c r="AL14" s="83"/>
      <c r="AM14" s="60"/>
      <c r="AN14" s="60"/>
      <c r="AO14" s="60"/>
      <c r="AP14" s="60"/>
      <c r="AQ14" s="60"/>
      <c r="AR14" s="60"/>
      <c r="AS14" s="60"/>
      <c r="AT14" s="60"/>
      <c r="AU14" s="61"/>
    </row>
    <row r="15" spans="1:49">
      <c r="D15" s="59"/>
      <c r="E15" s="59"/>
      <c r="F15" s="59"/>
      <c r="G15" s="59"/>
      <c r="H15" s="59"/>
      <c r="I15" s="59"/>
      <c r="J15" s="59"/>
      <c r="K15" s="59"/>
      <c r="L15" s="59"/>
      <c r="M15" s="60"/>
      <c r="N15" s="60"/>
      <c r="O15" s="60"/>
      <c r="P15" s="60"/>
      <c r="Q15" s="61"/>
      <c r="S15" s="83"/>
      <c r="T15" s="83"/>
      <c r="U15" s="83"/>
      <c r="V15" s="83"/>
      <c r="W15" s="83"/>
      <c r="X15" s="60"/>
      <c r="Y15" s="60"/>
      <c r="Z15" s="60"/>
      <c r="AA15" s="60"/>
      <c r="AB15" s="60"/>
      <c r="AC15" s="60"/>
      <c r="AD15" s="60"/>
      <c r="AE15" s="60"/>
      <c r="AF15" s="61"/>
      <c r="AH15" s="83"/>
      <c r="AI15" s="83"/>
      <c r="AJ15" s="83"/>
      <c r="AK15" s="83"/>
      <c r="AL15" s="83"/>
      <c r="AM15" s="60"/>
      <c r="AN15" s="60"/>
      <c r="AO15" s="60"/>
      <c r="AP15" s="60"/>
      <c r="AQ15" s="60"/>
      <c r="AR15" s="60"/>
      <c r="AS15" s="60"/>
      <c r="AT15" s="60"/>
      <c r="AU15" s="61"/>
    </row>
    <row r="16" spans="1:49" outlineLevel="1">
      <c r="B16" s="51" t="s">
        <v>89</v>
      </c>
      <c r="C16" s="75">
        <v>-0.24</v>
      </c>
      <c r="D16" s="59">
        <v>-6493.49</v>
      </c>
      <c r="E16" s="59">
        <v>-31335.15</v>
      </c>
      <c r="F16" s="59">
        <v>-32132.720000000001</v>
      </c>
      <c r="G16" s="59">
        <v>-4129.3900000000003</v>
      </c>
      <c r="H16" s="59">
        <v>-6724.59</v>
      </c>
      <c r="I16" s="59">
        <v>-38607.339999999997</v>
      </c>
      <c r="J16" s="59">
        <v>-40570.120000000003</v>
      </c>
      <c r="K16" s="59">
        <v>-3500.48</v>
      </c>
      <c r="L16" s="59">
        <v>-56386</v>
      </c>
      <c r="M16" s="60">
        <v>-74115</v>
      </c>
      <c r="N16" s="60">
        <v>-21360</v>
      </c>
      <c r="O16" s="60">
        <v>-8050</v>
      </c>
      <c r="P16" s="60"/>
      <c r="Q16" s="61">
        <f>SUM(D16:O16)</f>
        <v>-323404.28000000003</v>
      </c>
      <c r="S16" s="60">
        <f>S7*$C$16</f>
        <v>-14304.081731821712</v>
      </c>
      <c r="T16" s="60">
        <f t="shared" ref="T16:AD16" si="9">T7*$C$16</f>
        <v>-39343.926050785514</v>
      </c>
      <c r="U16" s="60">
        <f t="shared" si="9"/>
        <v>-36036.501389223617</v>
      </c>
      <c r="V16" s="60">
        <f t="shared" si="9"/>
        <v>-13149.150496358398</v>
      </c>
      <c r="W16" s="60">
        <f t="shared" si="9"/>
        <v>-14573.416766101636</v>
      </c>
      <c r="X16" s="60">
        <f t="shared" si="9"/>
        <v>-42146.91532767086</v>
      </c>
      <c r="Y16" s="60">
        <f t="shared" si="9"/>
        <v>-17604.183287232001</v>
      </c>
      <c r="Z16" s="60">
        <f t="shared" si="9"/>
        <v>-15354.406664247999</v>
      </c>
      <c r="AA16" s="60">
        <f t="shared" si="9"/>
        <v>-49005.423047619042</v>
      </c>
      <c r="AB16" s="60">
        <f t="shared" si="9"/>
        <v>-43150.084666666669</v>
      </c>
      <c r="AC16" s="60">
        <f t="shared" si="9"/>
        <v>-14432.77438095238</v>
      </c>
      <c r="AD16" s="60">
        <f t="shared" si="9"/>
        <v>-12256.569142857143</v>
      </c>
      <c r="AE16" s="60"/>
      <c r="AF16" s="61">
        <f>SUM(S16:AD16)</f>
        <v>-311357.43295153702</v>
      </c>
      <c r="AH16" s="60">
        <f t="shared" ref="AH16:AS16" si="10">AH7*$C$16</f>
        <v>-11221.716336992227</v>
      </c>
      <c r="AI16" s="60">
        <f t="shared" si="10"/>
        <v>-47565.282990073298</v>
      </c>
      <c r="AJ16" s="60">
        <f t="shared" si="10"/>
        <v>-39056.785368955854</v>
      </c>
      <c r="AK16" s="60">
        <f t="shared" si="10"/>
        <v>-12647.074647736317</v>
      </c>
      <c r="AL16" s="60">
        <f t="shared" si="10"/>
        <v>-13849.188761467869</v>
      </c>
      <c r="AM16" s="60">
        <f t="shared" si="10"/>
        <v>-58454.574161820077</v>
      </c>
      <c r="AN16" s="60">
        <f t="shared" si="10"/>
        <v>-8225.6122565867536</v>
      </c>
      <c r="AO16" s="60">
        <f t="shared" si="10"/>
        <v>-15206.781904917163</v>
      </c>
      <c r="AP16" s="60">
        <f t="shared" si="10"/>
        <v>-52983.265878095248</v>
      </c>
      <c r="AQ16" s="60">
        <f t="shared" si="10"/>
        <v>-42591.993466666667</v>
      </c>
      <c r="AR16" s="60">
        <f t="shared" si="10"/>
        <v>-16839.577024761904</v>
      </c>
      <c r="AS16" s="60">
        <f t="shared" si="10"/>
        <v>-14795.933622857143</v>
      </c>
      <c r="AT16" s="60"/>
      <c r="AU16" s="61">
        <f>SUM(AH16:AS16)</f>
        <v>-333437.78642093047</v>
      </c>
    </row>
    <row r="17" spans="1:47" outlineLevel="1">
      <c r="B17" s="51" t="s">
        <v>90</v>
      </c>
      <c r="C17" s="75">
        <v>-0.4</v>
      </c>
      <c r="D17" s="59">
        <v>0</v>
      </c>
      <c r="E17" s="59">
        <v>-19595.82</v>
      </c>
      <c r="F17" s="59">
        <v>-11956.02</v>
      </c>
      <c r="G17" s="59">
        <v>-9953.74</v>
      </c>
      <c r="H17" s="59">
        <v>-277.79000000000002</v>
      </c>
      <c r="I17" s="59">
        <v>-5630.68</v>
      </c>
      <c r="J17" s="59">
        <v>-8732.84</v>
      </c>
      <c r="K17" s="59"/>
      <c r="L17" s="59">
        <v>-10966</v>
      </c>
      <c r="M17" s="60">
        <v>-23100</v>
      </c>
      <c r="N17" s="60">
        <v>-3300</v>
      </c>
      <c r="O17" s="60">
        <v>-9900</v>
      </c>
      <c r="P17" s="60"/>
      <c r="Q17" s="61">
        <f>SUM(D17:O17)</f>
        <v>-103412.89</v>
      </c>
      <c r="S17" s="60">
        <f>(S8*$C$17)+(S1/$AF$1)*2400</f>
        <v>-1176.8116315432665</v>
      </c>
      <c r="T17" s="60">
        <f t="shared" ref="T17:AD17" si="11">(T8*$C$17)+(T1/$AF$1)*2400</f>
        <v>-10912.731167518248</v>
      </c>
      <c r="U17" s="60">
        <f t="shared" si="11"/>
        <v>-13470.021296970537</v>
      </c>
      <c r="V17" s="60">
        <f t="shared" si="11"/>
        <v>-11072.620641190597</v>
      </c>
      <c r="W17" s="60">
        <f t="shared" si="11"/>
        <v>-5491.787613868577</v>
      </c>
      <c r="X17" s="60">
        <f t="shared" si="11"/>
        <v>-7469.8510582752688</v>
      </c>
      <c r="Y17" s="60">
        <f t="shared" si="11"/>
        <v>-10571.220432044394</v>
      </c>
      <c r="Z17" s="60">
        <f t="shared" si="11"/>
        <v>-1176.8116315432665</v>
      </c>
      <c r="AA17" s="60">
        <f t="shared" si="11"/>
        <v>-11816.797089924172</v>
      </c>
      <c r="AB17" s="60">
        <f t="shared" si="11"/>
        <v>-29812.561332429417</v>
      </c>
      <c r="AC17" s="60">
        <f t="shared" si="11"/>
        <v>-5884.0581577163321</v>
      </c>
      <c r="AD17" s="60">
        <f t="shared" si="11"/>
        <v>-12944.927946975931</v>
      </c>
      <c r="AE17" s="60"/>
      <c r="AF17" s="61">
        <f>SUM(S17:AD17)</f>
        <v>-121800.2</v>
      </c>
      <c r="AH17" s="60">
        <f t="shared" ref="AH17:AS17" si="12">(AH8*$C$17)+(AH1/$AF$1)*2400</f>
        <v>-1235.6522131204297</v>
      </c>
      <c r="AI17" s="60">
        <f t="shared" si="12"/>
        <v>-11458.367725894163</v>
      </c>
      <c r="AJ17" s="60">
        <f t="shared" si="12"/>
        <v>-14143.522361819063</v>
      </c>
      <c r="AK17" s="60">
        <f t="shared" si="12"/>
        <v>-11626.251673250128</v>
      </c>
      <c r="AL17" s="60">
        <f t="shared" si="12"/>
        <v>-5766.3769945620052</v>
      </c>
      <c r="AM17" s="60">
        <f t="shared" si="12"/>
        <v>-7843.3436111890333</v>
      </c>
      <c r="AN17" s="60">
        <f t="shared" si="12"/>
        <v>-11099.781453646616</v>
      </c>
      <c r="AO17" s="60">
        <f t="shared" si="12"/>
        <v>-1235.6522131204297</v>
      </c>
      <c r="AP17" s="60">
        <f t="shared" si="12"/>
        <v>-12407.636944420383</v>
      </c>
      <c r="AQ17" s="60">
        <f t="shared" si="12"/>
        <v>-31303.189399050887</v>
      </c>
      <c r="AR17" s="60">
        <f t="shared" si="12"/>
        <v>-6178.2610656021488</v>
      </c>
      <c r="AS17" s="60">
        <f t="shared" si="12"/>
        <v>-13592.174344324727</v>
      </c>
      <c r="AT17" s="60"/>
      <c r="AU17" s="61">
        <f>SUM(AH17:AS17)</f>
        <v>-127890.21</v>
      </c>
    </row>
    <row r="18" spans="1:47" outlineLevel="1">
      <c r="B18" s="51" t="s">
        <v>91</v>
      </c>
      <c r="C18" s="75">
        <v>-0.18</v>
      </c>
      <c r="D18" s="59"/>
      <c r="E18" s="59"/>
      <c r="F18" s="59"/>
      <c r="G18" s="59"/>
      <c r="H18" s="59"/>
      <c r="I18" s="59"/>
      <c r="J18" s="59"/>
      <c r="K18" s="59"/>
      <c r="L18" s="59">
        <f ca="1">L9*$C$18</f>
        <v>0</v>
      </c>
      <c r="M18" s="60"/>
      <c r="N18" s="60"/>
      <c r="O18" s="60"/>
      <c r="P18" s="60"/>
      <c r="Q18" s="61">
        <f ca="1">SUM(D18:O18)</f>
        <v>0</v>
      </c>
      <c r="S18" s="60">
        <f t="shared" ref="S18:AD18" ca="1" si="13">S9*$C$18</f>
        <v>0</v>
      </c>
      <c r="T18" s="60">
        <f t="shared" ca="1" si="13"/>
        <v>0</v>
      </c>
      <c r="U18" s="60">
        <f t="shared" ca="1" si="13"/>
        <v>0</v>
      </c>
      <c r="V18" s="60">
        <f t="shared" ca="1" si="13"/>
        <v>0</v>
      </c>
      <c r="W18" s="60">
        <f t="shared" ca="1" si="13"/>
        <v>0</v>
      </c>
      <c r="X18" s="60">
        <f t="shared" ca="1" si="13"/>
        <v>0</v>
      </c>
      <c r="Y18" s="60">
        <f t="shared" ca="1" si="13"/>
        <v>0</v>
      </c>
      <c r="Z18" s="60">
        <f t="shared" ca="1" si="13"/>
        <v>0</v>
      </c>
      <c r="AA18" s="60">
        <f t="shared" ca="1" si="13"/>
        <v>0</v>
      </c>
      <c r="AB18" s="60">
        <f t="shared" ca="1" si="13"/>
        <v>0</v>
      </c>
      <c r="AC18" s="60">
        <f t="shared" ca="1" si="13"/>
        <v>0</v>
      </c>
      <c r="AD18" s="60">
        <f t="shared" ca="1" si="13"/>
        <v>0</v>
      </c>
      <c r="AE18" s="60"/>
      <c r="AF18" s="61">
        <f ca="1">SUM(S18:AD18)</f>
        <v>0</v>
      </c>
      <c r="AH18" s="60">
        <f t="shared" ref="AH18:AS18" ca="1" si="14">AH9*$C$18</f>
        <v>0</v>
      </c>
      <c r="AI18" s="60">
        <f t="shared" ca="1" si="14"/>
        <v>0</v>
      </c>
      <c r="AJ18" s="60">
        <f t="shared" ca="1" si="14"/>
        <v>0</v>
      </c>
      <c r="AK18" s="60">
        <f t="shared" ca="1" si="14"/>
        <v>0</v>
      </c>
      <c r="AL18" s="60">
        <f t="shared" ca="1" si="14"/>
        <v>0</v>
      </c>
      <c r="AM18" s="60">
        <f t="shared" ca="1" si="14"/>
        <v>0</v>
      </c>
      <c r="AN18" s="60">
        <f t="shared" ca="1" si="14"/>
        <v>0</v>
      </c>
      <c r="AO18" s="60">
        <f t="shared" ca="1" si="14"/>
        <v>0</v>
      </c>
      <c r="AP18" s="60">
        <f t="shared" ca="1" si="14"/>
        <v>0</v>
      </c>
      <c r="AQ18" s="60">
        <f t="shared" ca="1" si="14"/>
        <v>0</v>
      </c>
      <c r="AR18" s="60">
        <f t="shared" ca="1" si="14"/>
        <v>0</v>
      </c>
      <c r="AS18" s="60">
        <f t="shared" ca="1" si="14"/>
        <v>0</v>
      </c>
      <c r="AT18" s="60"/>
      <c r="AU18" s="61">
        <f ca="1">SUM(AH18:AS18)</f>
        <v>0</v>
      </c>
    </row>
    <row r="19" spans="1:47" outlineLevel="1">
      <c r="B19" s="51" t="s">
        <v>92</v>
      </c>
      <c r="D19" s="59"/>
      <c r="E19" s="59"/>
      <c r="F19" s="59"/>
      <c r="G19" s="59"/>
      <c r="H19" s="59"/>
      <c r="I19" s="59"/>
      <c r="J19" s="59"/>
      <c r="K19" s="59"/>
      <c r="L19" s="59">
        <f>L10*$C$19</f>
        <v>0</v>
      </c>
      <c r="M19" s="60">
        <f t="shared" ref="M19:O19" si="15">M10*$C$19</f>
        <v>0</v>
      </c>
      <c r="N19" s="60">
        <f t="shared" si="15"/>
        <v>0</v>
      </c>
      <c r="O19" s="60">
        <f t="shared" si="15"/>
        <v>0</v>
      </c>
      <c r="P19" s="60"/>
      <c r="Q19" s="61">
        <f>SUM(D19:O19)</f>
        <v>0</v>
      </c>
      <c r="S19" s="60">
        <f t="shared" ref="S19:AD19" si="16">S10*$C$19</f>
        <v>0</v>
      </c>
      <c r="T19" s="60">
        <f t="shared" si="16"/>
        <v>0</v>
      </c>
      <c r="U19" s="60">
        <f t="shared" si="16"/>
        <v>0</v>
      </c>
      <c r="V19" s="60">
        <f t="shared" si="16"/>
        <v>0</v>
      </c>
      <c r="W19" s="60">
        <f t="shared" si="16"/>
        <v>0</v>
      </c>
      <c r="X19" s="60">
        <f t="shared" si="16"/>
        <v>0</v>
      </c>
      <c r="Y19" s="60">
        <f t="shared" si="16"/>
        <v>0</v>
      </c>
      <c r="Z19" s="60">
        <f t="shared" si="16"/>
        <v>0</v>
      </c>
      <c r="AA19" s="60">
        <f t="shared" si="16"/>
        <v>0</v>
      </c>
      <c r="AB19" s="60">
        <f t="shared" si="16"/>
        <v>0</v>
      </c>
      <c r="AC19" s="60">
        <f t="shared" si="16"/>
        <v>0</v>
      </c>
      <c r="AD19" s="60">
        <f t="shared" si="16"/>
        <v>0</v>
      </c>
      <c r="AE19" s="60"/>
      <c r="AF19" s="61">
        <f>SUM(S19:AD19)</f>
        <v>0</v>
      </c>
      <c r="AH19" s="60">
        <f t="shared" ref="AH19:AS19" si="17">AH10*$C$19</f>
        <v>0</v>
      </c>
      <c r="AI19" s="60">
        <f t="shared" si="17"/>
        <v>0</v>
      </c>
      <c r="AJ19" s="60">
        <f t="shared" si="17"/>
        <v>0</v>
      </c>
      <c r="AK19" s="60">
        <f t="shared" si="17"/>
        <v>0</v>
      </c>
      <c r="AL19" s="60">
        <f t="shared" si="17"/>
        <v>0</v>
      </c>
      <c r="AM19" s="60">
        <f t="shared" si="17"/>
        <v>0</v>
      </c>
      <c r="AN19" s="60">
        <f t="shared" si="17"/>
        <v>0</v>
      </c>
      <c r="AO19" s="60">
        <f t="shared" si="17"/>
        <v>0</v>
      </c>
      <c r="AP19" s="60">
        <f t="shared" si="17"/>
        <v>0</v>
      </c>
      <c r="AQ19" s="60">
        <f t="shared" si="17"/>
        <v>0</v>
      </c>
      <c r="AR19" s="60">
        <f t="shared" si="17"/>
        <v>0</v>
      </c>
      <c r="AS19" s="60">
        <f t="shared" si="17"/>
        <v>0</v>
      </c>
      <c r="AT19" s="60"/>
      <c r="AU19" s="61">
        <f>SUM(AH19:AS19)</f>
        <v>0</v>
      </c>
    </row>
    <row r="20" spans="1:47" outlineLevel="1">
      <c r="D20" s="59"/>
      <c r="E20" s="59"/>
      <c r="F20" s="59"/>
      <c r="G20" s="59"/>
      <c r="H20" s="59"/>
      <c r="I20" s="59"/>
      <c r="J20" s="59"/>
      <c r="K20" s="59"/>
      <c r="L20" s="59"/>
      <c r="M20" s="60"/>
      <c r="N20" s="60"/>
      <c r="O20" s="60"/>
      <c r="P20" s="60"/>
      <c r="Q20" s="61"/>
      <c r="S20" s="83"/>
      <c r="T20" s="83"/>
      <c r="U20" s="83"/>
      <c r="V20" s="83"/>
      <c r="W20" s="83"/>
      <c r="X20" s="60"/>
      <c r="Y20" s="60"/>
      <c r="Z20" s="60"/>
      <c r="AA20" s="60"/>
      <c r="AB20" s="60"/>
      <c r="AC20" s="60"/>
      <c r="AD20" s="60"/>
      <c r="AE20" s="60"/>
      <c r="AF20" s="61"/>
      <c r="AH20" s="83"/>
      <c r="AI20" s="83"/>
      <c r="AJ20" s="83"/>
      <c r="AK20" s="83"/>
      <c r="AL20" s="83"/>
      <c r="AM20" s="60"/>
      <c r="AN20" s="60"/>
      <c r="AO20" s="60"/>
      <c r="AP20" s="60"/>
      <c r="AQ20" s="60"/>
      <c r="AR20" s="60"/>
      <c r="AS20" s="60"/>
      <c r="AT20" s="60"/>
      <c r="AU20" s="61"/>
    </row>
    <row r="21" spans="1:47" s="10" customFormat="1">
      <c r="A21" s="52"/>
      <c r="B21" s="63" t="s">
        <v>93</v>
      </c>
      <c r="C21" s="52"/>
      <c r="D21" s="64">
        <f t="shared" ref="D21:K21" si="18">SUM(D16:D20)</f>
        <v>-6493.49</v>
      </c>
      <c r="E21" s="64">
        <f t="shared" si="18"/>
        <v>-50930.97</v>
      </c>
      <c r="F21" s="64">
        <f t="shared" si="18"/>
        <v>-44088.740000000005</v>
      </c>
      <c r="G21" s="64">
        <f t="shared" si="18"/>
        <v>-14083.130000000001</v>
      </c>
      <c r="H21" s="64">
        <f t="shared" si="18"/>
        <v>-7002.38</v>
      </c>
      <c r="I21" s="64">
        <f t="shared" si="18"/>
        <v>-44238.02</v>
      </c>
      <c r="J21" s="64">
        <f t="shared" si="18"/>
        <v>-49302.960000000006</v>
      </c>
      <c r="K21" s="64">
        <f t="shared" si="18"/>
        <v>-3500.48</v>
      </c>
      <c r="L21" s="64">
        <f t="shared" ref="L21:O21" ca="1" si="19">SUM(L16:L20)</f>
        <v>-67352</v>
      </c>
      <c r="M21" s="65">
        <f t="shared" si="19"/>
        <v>-97215</v>
      </c>
      <c r="N21" s="65">
        <f t="shared" si="19"/>
        <v>-24660</v>
      </c>
      <c r="O21" s="65">
        <f t="shared" si="19"/>
        <v>-17950</v>
      </c>
      <c r="P21" s="61"/>
      <c r="Q21" s="65">
        <f ca="1">SUM(D21:O21)</f>
        <v>-426817.17000000004</v>
      </c>
      <c r="R21" s="52"/>
      <c r="S21" s="84">
        <f t="shared" ref="S21:AD21" ca="1" si="20">SUM(S16:S20)</f>
        <v>-15480.893363364979</v>
      </c>
      <c r="T21" s="84">
        <f t="shared" ca="1" si="20"/>
        <v>-50256.657218303764</v>
      </c>
      <c r="U21" s="84">
        <f t="shared" ca="1" si="20"/>
        <v>-49506.522686194156</v>
      </c>
      <c r="V21" s="84">
        <f t="shared" ca="1" si="20"/>
        <v>-24221.771137548996</v>
      </c>
      <c r="W21" s="84">
        <f t="shared" ca="1" si="20"/>
        <v>-20065.204379970215</v>
      </c>
      <c r="X21" s="65">
        <f t="shared" ca="1" si="20"/>
        <v>-49616.766385946132</v>
      </c>
      <c r="Y21" s="65">
        <f t="shared" ca="1" si="20"/>
        <v>-28175.403719276394</v>
      </c>
      <c r="Z21" s="65">
        <f t="shared" ca="1" si="20"/>
        <v>-16531.218295791266</v>
      </c>
      <c r="AA21" s="65">
        <f t="shared" ca="1" si="20"/>
        <v>-60822.220137543212</v>
      </c>
      <c r="AB21" s="65">
        <f t="shared" ca="1" si="20"/>
        <v>-72962.645999096087</v>
      </c>
      <c r="AC21" s="65">
        <f t="shared" ca="1" si="20"/>
        <v>-20316.832538668714</v>
      </c>
      <c r="AD21" s="65">
        <f t="shared" ca="1" si="20"/>
        <v>-25201.497089833072</v>
      </c>
      <c r="AE21" s="61"/>
      <c r="AF21" s="65">
        <f ca="1">SUM(S21:AD21)</f>
        <v>-433157.63295153697</v>
      </c>
      <c r="AG21" s="7"/>
      <c r="AH21" s="84">
        <f t="shared" ref="AH21:AS21" ca="1" si="21">SUM(AH16:AH20)</f>
        <v>-12457.368550112657</v>
      </c>
      <c r="AI21" s="84">
        <f t="shared" ca="1" si="21"/>
        <v>-59023.650715967458</v>
      </c>
      <c r="AJ21" s="84">
        <f t="shared" ca="1" si="21"/>
        <v>-53200.307730774919</v>
      </c>
      <c r="AK21" s="84">
        <f t="shared" ca="1" si="21"/>
        <v>-24273.326320986445</v>
      </c>
      <c r="AL21" s="84">
        <f t="shared" ca="1" si="21"/>
        <v>-19615.565756029875</v>
      </c>
      <c r="AM21" s="65">
        <f t="shared" ca="1" si="21"/>
        <v>-66297.917773009103</v>
      </c>
      <c r="AN21" s="65">
        <f t="shared" ca="1" si="21"/>
        <v>-19325.393710233369</v>
      </c>
      <c r="AO21" s="65">
        <f t="shared" ca="1" si="21"/>
        <v>-16442.434118037592</v>
      </c>
      <c r="AP21" s="65">
        <f t="shared" ca="1" si="21"/>
        <v>-65390.902822515629</v>
      </c>
      <c r="AQ21" s="65">
        <f t="shared" ca="1" si="21"/>
        <v>-73895.18286571755</v>
      </c>
      <c r="AR21" s="65">
        <f t="shared" ca="1" si="21"/>
        <v>-23017.838090364054</v>
      </c>
      <c r="AS21" s="65">
        <f t="shared" ca="1" si="21"/>
        <v>-28388.10796718187</v>
      </c>
      <c r="AT21" s="61"/>
      <c r="AU21" s="65">
        <f ca="1">SUM(AH21:AS21)</f>
        <v>-461327.99642093055</v>
      </c>
    </row>
    <row r="22" spans="1:47">
      <c r="D22" s="97">
        <f t="shared" ref="D22:K22" si="22">D21/D12</f>
        <v>-0.26601292971897667</v>
      </c>
      <c r="E22" s="97">
        <f t="shared" si="22"/>
        <v>-0.33733819599764103</v>
      </c>
      <c r="F22" s="97">
        <f t="shared" si="22"/>
        <v>-0.27211574526201721</v>
      </c>
      <c r="G22" s="97">
        <f t="shared" si="22"/>
        <v>-0.29630242892952136</v>
      </c>
      <c r="H22" s="97">
        <f t="shared" si="22"/>
        <v>-0.20116648395466905</v>
      </c>
      <c r="I22" s="97">
        <f t="shared" si="22"/>
        <v>-0.26779978164623724</v>
      </c>
      <c r="J22" s="97">
        <f t="shared" si="22"/>
        <v>-0.29540580478898959</v>
      </c>
      <c r="K22" s="97">
        <f t="shared" si="22"/>
        <v>-0.17490593849151823</v>
      </c>
      <c r="L22" s="97">
        <f t="shared" ref="L22:O22" ca="1" si="23">L21/L12</f>
        <v>-0.29835962452545173</v>
      </c>
      <c r="M22" s="91">
        <f t="shared" ca="1" si="23"/>
        <v>-0.28219158200290273</v>
      </c>
      <c r="N22" s="91">
        <f t="shared" ca="1" si="23"/>
        <v>-0.24909090909090909</v>
      </c>
      <c r="O22" s="91">
        <f t="shared" ca="1" si="23"/>
        <v>-0.27615384615384614</v>
      </c>
      <c r="P22" s="60"/>
      <c r="Q22" s="91">
        <f ca="1">Q21/Q12</f>
        <v>-0.28339342807331891</v>
      </c>
      <c r="S22" s="91">
        <f t="shared" ref="S22:AD22" ca="1" si="24">S21/S12</f>
        <v>-0.24729727071027391</v>
      </c>
      <c r="T22" s="91">
        <f t="shared" ca="1" si="24"/>
        <v>-0.26209137726859816</v>
      </c>
      <c r="U22" s="91">
        <f t="shared" ca="1" si="24"/>
        <v>-0.2683415782219748</v>
      </c>
      <c r="V22" s="91">
        <f t="shared" ca="1" si="24"/>
        <v>-0.29177539073886599</v>
      </c>
      <c r="W22" s="91">
        <f t="shared" ca="1" si="24"/>
        <v>-0.26852936693556118</v>
      </c>
      <c r="X22" s="91">
        <f t="shared" ca="1" si="24"/>
        <v>-0.25489625657737724</v>
      </c>
      <c r="Y22" s="91">
        <f t="shared" ca="1" si="24"/>
        <v>-0.28091252524735871</v>
      </c>
      <c r="Z22" s="91">
        <f t="shared" ca="1" si="24"/>
        <v>-0.2468204565095537</v>
      </c>
      <c r="AA22" s="91">
        <f t="shared" ca="1" si="24"/>
        <v>-0.25957640416704769</v>
      </c>
      <c r="AB22" s="91">
        <f t="shared" ca="1" si="24"/>
        <v>-0.28524207345312769</v>
      </c>
      <c r="AC22" s="91">
        <f t="shared" ca="1" si="24"/>
        <v>-0.27039875874180203</v>
      </c>
      <c r="AD22" s="91">
        <f t="shared" ca="1" si="24"/>
        <v>-0.29977144571683345</v>
      </c>
      <c r="AE22" s="60"/>
      <c r="AF22" s="91">
        <f ca="1">AF21/AF12</f>
        <v>-0.2694062691991444</v>
      </c>
      <c r="AH22" s="91">
        <f t="shared" ref="AH22:AS22" ca="1" si="25">AH21/AH12</f>
        <v>-0.24961089141787193</v>
      </c>
      <c r="AI22" s="91">
        <f t="shared" ca="1" si="25"/>
        <v>-0.2595597956236097</v>
      </c>
      <c r="AJ22" s="91">
        <f t="shared" ca="1" si="25"/>
        <v>-0.26761776839097096</v>
      </c>
      <c r="AK22" s="91">
        <f t="shared" ca="1" si="25"/>
        <v>-0.29481357125012558</v>
      </c>
      <c r="AL22" s="91">
        <f t="shared" ca="1" si="25"/>
        <v>-0.27091469431960657</v>
      </c>
      <c r="AM22" s="91">
        <f t="shared" ca="1" si="25"/>
        <v>-0.25155205990101798</v>
      </c>
      <c r="AN22" s="91">
        <f t="shared" ca="1" si="25"/>
        <v>-0.30886222979274047</v>
      </c>
      <c r="AO22" s="91">
        <f t="shared" ca="1" si="25"/>
        <v>-0.24721155822553975</v>
      </c>
      <c r="AP22" s="91">
        <f t="shared" ca="1" si="25"/>
        <v>-0.25908272545286098</v>
      </c>
      <c r="AQ22" s="91">
        <f t="shared" ca="1" si="25"/>
        <v>-0.2872318891609531</v>
      </c>
      <c r="AR22" s="91">
        <f t="shared" ca="1" si="25"/>
        <v>-0.26791437744107471</v>
      </c>
      <c r="AS22" s="91">
        <f t="shared" ca="1" si="25"/>
        <v>-0.29478909135433018</v>
      </c>
      <c r="AT22" s="60"/>
      <c r="AU22" s="91">
        <f ca="1">AU21/AU12</f>
        <v>-0.26894108756870205</v>
      </c>
    </row>
    <row r="23" spans="1:47" outlineLevel="1">
      <c r="B23" s="67" t="s">
        <v>94</v>
      </c>
      <c r="C23" s="52"/>
      <c r="D23" s="68">
        <f t="shared" ref="D23:K23" si="26">D7+D16</f>
        <v>17916.940000000002</v>
      </c>
      <c r="E23" s="68">
        <f t="shared" si="26"/>
        <v>95824.41</v>
      </c>
      <c r="F23" s="68">
        <f t="shared" si="26"/>
        <v>99550.69</v>
      </c>
      <c r="G23" s="68">
        <f t="shared" si="26"/>
        <v>18173.190000000002</v>
      </c>
      <c r="H23" s="68">
        <f t="shared" si="26"/>
        <v>28084.289999999997</v>
      </c>
      <c r="I23" s="68">
        <f t="shared" si="26"/>
        <v>111540.70999999999</v>
      </c>
      <c r="J23" s="68">
        <f t="shared" si="26"/>
        <v>102380.17000000001</v>
      </c>
      <c r="K23" s="68">
        <f t="shared" si="26"/>
        <v>16513.02</v>
      </c>
      <c r="L23" s="68">
        <f t="shared" ref="L23:O26" si="27">L7+L16</f>
        <v>143402</v>
      </c>
      <c r="M23" s="69">
        <f t="shared" si="27"/>
        <v>200385</v>
      </c>
      <c r="N23" s="69">
        <f t="shared" si="27"/>
        <v>67640</v>
      </c>
      <c r="O23" s="69">
        <f t="shared" si="27"/>
        <v>26950</v>
      </c>
      <c r="P23" s="69"/>
      <c r="Q23" s="69">
        <f>Q7+Q16</f>
        <v>928360.42000000016</v>
      </c>
      <c r="S23" s="85">
        <f t="shared" ref="S23:AD26" si="28">S7+S16</f>
        <v>45296.258817435431</v>
      </c>
      <c r="T23" s="85">
        <f t="shared" si="28"/>
        <v>124589.0991608208</v>
      </c>
      <c r="U23" s="85">
        <f t="shared" si="28"/>
        <v>114115.58773254146</v>
      </c>
      <c r="V23" s="85">
        <f t="shared" si="28"/>
        <v>41638.976571801599</v>
      </c>
      <c r="W23" s="85">
        <f t="shared" si="28"/>
        <v>46149.153092655179</v>
      </c>
      <c r="X23" s="69">
        <f t="shared" si="28"/>
        <v>133465.23187095771</v>
      </c>
      <c r="Y23" s="69">
        <f t="shared" si="28"/>
        <v>55746.580409568</v>
      </c>
      <c r="Z23" s="69">
        <f t="shared" si="28"/>
        <v>48622.287770118666</v>
      </c>
      <c r="AA23" s="69">
        <f t="shared" si="28"/>
        <v>155183.83965079364</v>
      </c>
      <c r="AB23" s="69">
        <f t="shared" si="28"/>
        <v>136641.93477777779</v>
      </c>
      <c r="AC23" s="69">
        <f t="shared" si="28"/>
        <v>45703.78553968254</v>
      </c>
      <c r="AD23" s="69">
        <f t="shared" si="28"/>
        <v>38812.46895238095</v>
      </c>
      <c r="AE23" s="69"/>
      <c r="AF23" s="69">
        <f>AF7+AF16</f>
        <v>985965.20434653363</v>
      </c>
      <c r="AH23" s="85">
        <f t="shared" ref="AH23:AS26" si="29">AH7+AH16</f>
        <v>35535.435067142054</v>
      </c>
      <c r="AI23" s="85">
        <f t="shared" si="29"/>
        <v>150623.39613523212</v>
      </c>
      <c r="AJ23" s="85">
        <f t="shared" si="29"/>
        <v>123679.82033502687</v>
      </c>
      <c r="AK23" s="85">
        <f t="shared" si="29"/>
        <v>40049.069717831677</v>
      </c>
      <c r="AL23" s="85">
        <f t="shared" si="29"/>
        <v>43855.764411314922</v>
      </c>
      <c r="AM23" s="69">
        <f t="shared" si="29"/>
        <v>185106.15151243025</v>
      </c>
      <c r="AN23" s="69">
        <f t="shared" si="29"/>
        <v>26047.772145858049</v>
      </c>
      <c r="AO23" s="69">
        <f t="shared" si="29"/>
        <v>48154.809365571025</v>
      </c>
      <c r="AP23" s="69">
        <f t="shared" si="29"/>
        <v>167780.34194730164</v>
      </c>
      <c r="AQ23" s="69">
        <f t="shared" si="29"/>
        <v>134874.64597777778</v>
      </c>
      <c r="AR23" s="69">
        <f t="shared" si="29"/>
        <v>53325.327245079359</v>
      </c>
      <c r="AS23" s="69">
        <f t="shared" si="29"/>
        <v>46853.789805714288</v>
      </c>
      <c r="AT23" s="69"/>
      <c r="AU23" s="69">
        <f>AU7+AU16</f>
        <v>1055886.3236662799</v>
      </c>
    </row>
    <row r="24" spans="1:47" outlineLevel="1">
      <c r="B24" s="67" t="s">
        <v>95</v>
      </c>
      <c r="C24" s="52"/>
      <c r="D24" s="68">
        <f t="shared" ref="D24:K24" si="30">D8+D17</f>
        <v>0</v>
      </c>
      <c r="E24" s="68">
        <f t="shared" si="30"/>
        <v>4223.5800000000017</v>
      </c>
      <c r="F24" s="68">
        <f t="shared" si="30"/>
        <v>18382.579999999998</v>
      </c>
      <c r="G24" s="68">
        <f t="shared" si="30"/>
        <v>15273.26</v>
      </c>
      <c r="H24" s="68">
        <f t="shared" si="30"/>
        <v>-277.79000000000002</v>
      </c>
      <c r="I24" s="68">
        <f t="shared" si="30"/>
        <v>9411.92</v>
      </c>
      <c r="J24" s="68">
        <f t="shared" si="30"/>
        <v>15215.96</v>
      </c>
      <c r="K24" s="68">
        <f t="shared" si="30"/>
        <v>0</v>
      </c>
      <c r="L24" s="68">
        <f t="shared" si="27"/>
        <v>14987</v>
      </c>
      <c r="M24" s="69">
        <f t="shared" si="27"/>
        <v>46900</v>
      </c>
      <c r="N24" s="69">
        <f t="shared" si="27"/>
        <v>6700</v>
      </c>
      <c r="O24" s="69">
        <f t="shared" si="27"/>
        <v>20100</v>
      </c>
      <c r="P24" s="69"/>
      <c r="Q24" s="69">
        <f>Q8+Q17</f>
        <v>150916.51</v>
      </c>
      <c r="S24" s="85">
        <f t="shared" si="28"/>
        <v>1823.1883684567335</v>
      </c>
      <c r="T24" s="85">
        <f t="shared" si="28"/>
        <v>16906.668832481751</v>
      </c>
      <c r="U24" s="85">
        <f t="shared" si="28"/>
        <v>20868.57870302946</v>
      </c>
      <c r="V24" s="85">
        <f t="shared" si="28"/>
        <v>17154.379358809405</v>
      </c>
      <c r="W24" s="85">
        <f t="shared" si="28"/>
        <v>8508.212386131423</v>
      </c>
      <c r="X24" s="69">
        <f t="shared" si="28"/>
        <v>11572.748941724731</v>
      </c>
      <c r="Y24" s="69">
        <f t="shared" si="28"/>
        <v>16377.579567955609</v>
      </c>
      <c r="Z24" s="69">
        <f t="shared" si="28"/>
        <v>1823.1883684567335</v>
      </c>
      <c r="AA24" s="69">
        <f t="shared" si="28"/>
        <v>18307.302910075829</v>
      </c>
      <c r="AB24" s="69">
        <f t="shared" si="28"/>
        <v>46187.438667570583</v>
      </c>
      <c r="AC24" s="69">
        <f t="shared" si="28"/>
        <v>9115.9418422836679</v>
      </c>
      <c r="AD24" s="69">
        <f t="shared" si="28"/>
        <v>20055.072053024069</v>
      </c>
      <c r="AE24" s="69"/>
      <c r="AF24" s="69">
        <f>AF8+AF17</f>
        <v>188700.3</v>
      </c>
      <c r="AH24" s="85">
        <f t="shared" si="29"/>
        <v>1914.3477868795703</v>
      </c>
      <c r="AI24" s="85">
        <f t="shared" si="29"/>
        <v>17752.002274105835</v>
      </c>
      <c r="AJ24" s="85">
        <f t="shared" si="29"/>
        <v>21912.007638180934</v>
      </c>
      <c r="AK24" s="85">
        <f t="shared" si="29"/>
        <v>18012.098326749878</v>
      </c>
      <c r="AL24" s="85">
        <f t="shared" si="29"/>
        <v>8933.6230054379957</v>
      </c>
      <c r="AM24" s="69">
        <f t="shared" si="29"/>
        <v>12151.38638881097</v>
      </c>
      <c r="AN24" s="69">
        <f t="shared" si="29"/>
        <v>17196.458546353388</v>
      </c>
      <c r="AO24" s="69">
        <f t="shared" si="29"/>
        <v>1914.3477868795703</v>
      </c>
      <c r="AP24" s="69">
        <f t="shared" si="29"/>
        <v>19222.668055579619</v>
      </c>
      <c r="AQ24" s="69">
        <f t="shared" si="29"/>
        <v>48496.810600949117</v>
      </c>
      <c r="AR24" s="69">
        <f t="shared" si="29"/>
        <v>9571.7389343978502</v>
      </c>
      <c r="AS24" s="69">
        <f t="shared" si="29"/>
        <v>21057.825655675275</v>
      </c>
      <c r="AT24" s="69"/>
      <c r="AU24" s="69">
        <f>AU8+AU17</f>
        <v>198135.315</v>
      </c>
    </row>
    <row r="25" spans="1:47" outlineLevel="1">
      <c r="B25" s="67" t="s">
        <v>96</v>
      </c>
      <c r="C25" s="52"/>
      <c r="D25" s="68">
        <f t="shared" ref="D25:K25" si="31">D9+D18</f>
        <v>0</v>
      </c>
      <c r="E25" s="68">
        <f t="shared" si="31"/>
        <v>0</v>
      </c>
      <c r="F25" s="68">
        <f t="shared" si="31"/>
        <v>0</v>
      </c>
      <c r="G25" s="68">
        <f t="shared" si="31"/>
        <v>0</v>
      </c>
      <c r="H25" s="68">
        <f t="shared" si="31"/>
        <v>0</v>
      </c>
      <c r="I25" s="68">
        <f t="shared" si="31"/>
        <v>0</v>
      </c>
      <c r="J25" s="68">
        <f t="shared" si="31"/>
        <v>0</v>
      </c>
      <c r="K25" s="68">
        <f t="shared" si="31"/>
        <v>0</v>
      </c>
      <c r="L25" s="68">
        <f t="shared" ca="1" si="27"/>
        <v>0</v>
      </c>
      <c r="M25" s="69">
        <f t="shared" ca="1" si="27"/>
        <v>0</v>
      </c>
      <c r="N25" s="69">
        <f t="shared" ca="1" si="27"/>
        <v>0</v>
      </c>
      <c r="O25" s="69">
        <f t="shared" ca="1" si="27"/>
        <v>0</v>
      </c>
      <c r="P25" s="69"/>
      <c r="Q25" s="69">
        <f ca="1">Q9+Q18</f>
        <v>0</v>
      </c>
      <c r="S25" s="85">
        <f t="shared" ca="1" si="28"/>
        <v>0</v>
      </c>
      <c r="T25" s="85">
        <f t="shared" ca="1" si="28"/>
        <v>0</v>
      </c>
      <c r="U25" s="85">
        <f t="shared" ca="1" si="28"/>
        <v>0</v>
      </c>
      <c r="V25" s="85">
        <f t="shared" ca="1" si="28"/>
        <v>0</v>
      </c>
      <c r="W25" s="85">
        <f t="shared" ca="1" si="28"/>
        <v>0</v>
      </c>
      <c r="X25" s="69">
        <f t="shared" ca="1" si="28"/>
        <v>0</v>
      </c>
      <c r="Y25" s="69">
        <f t="shared" ca="1" si="28"/>
        <v>0</v>
      </c>
      <c r="Z25" s="69">
        <f t="shared" ca="1" si="28"/>
        <v>0</v>
      </c>
      <c r="AA25" s="69">
        <f t="shared" ca="1" si="28"/>
        <v>0</v>
      </c>
      <c r="AB25" s="69">
        <f t="shared" ca="1" si="28"/>
        <v>0</v>
      </c>
      <c r="AC25" s="69">
        <f t="shared" ca="1" si="28"/>
        <v>0</v>
      </c>
      <c r="AD25" s="69">
        <f t="shared" ca="1" si="28"/>
        <v>0</v>
      </c>
      <c r="AE25" s="69"/>
      <c r="AF25" s="69">
        <f ca="1">AF9+AF18</f>
        <v>0</v>
      </c>
      <c r="AH25" s="85">
        <f t="shared" ca="1" si="29"/>
        <v>0</v>
      </c>
      <c r="AI25" s="85">
        <f t="shared" ca="1" si="29"/>
        <v>0</v>
      </c>
      <c r="AJ25" s="85">
        <f t="shared" ca="1" si="29"/>
        <v>0</v>
      </c>
      <c r="AK25" s="85">
        <f t="shared" ca="1" si="29"/>
        <v>0</v>
      </c>
      <c r="AL25" s="85">
        <f t="shared" ca="1" si="29"/>
        <v>0</v>
      </c>
      <c r="AM25" s="69">
        <f t="shared" ca="1" si="29"/>
        <v>0</v>
      </c>
      <c r="AN25" s="69">
        <f t="shared" ca="1" si="29"/>
        <v>0</v>
      </c>
      <c r="AO25" s="69">
        <f t="shared" ca="1" si="29"/>
        <v>0</v>
      </c>
      <c r="AP25" s="69">
        <f t="shared" ca="1" si="29"/>
        <v>0</v>
      </c>
      <c r="AQ25" s="69">
        <f t="shared" ca="1" si="29"/>
        <v>0</v>
      </c>
      <c r="AR25" s="69">
        <f t="shared" ca="1" si="29"/>
        <v>0</v>
      </c>
      <c r="AS25" s="69">
        <f t="shared" ca="1" si="29"/>
        <v>0</v>
      </c>
      <c r="AT25" s="69"/>
      <c r="AU25" s="69">
        <f ca="1">AU9+AU18</f>
        <v>0</v>
      </c>
    </row>
    <row r="26" spans="1:47" outlineLevel="1">
      <c r="B26" s="67" t="s">
        <v>97</v>
      </c>
      <c r="C26" s="52"/>
      <c r="D26" s="68">
        <f t="shared" ref="D26:K26" si="32">D10+D19</f>
        <v>0</v>
      </c>
      <c r="E26" s="68">
        <f t="shared" si="32"/>
        <v>0</v>
      </c>
      <c r="F26" s="68">
        <f t="shared" si="32"/>
        <v>0</v>
      </c>
      <c r="G26" s="68">
        <f t="shared" si="32"/>
        <v>0</v>
      </c>
      <c r="H26" s="68">
        <f t="shared" si="32"/>
        <v>0</v>
      </c>
      <c r="I26" s="68">
        <f t="shared" si="32"/>
        <v>0</v>
      </c>
      <c r="J26" s="68">
        <f t="shared" si="32"/>
        <v>0</v>
      </c>
      <c r="K26" s="68">
        <f t="shared" si="32"/>
        <v>0</v>
      </c>
      <c r="L26" s="68">
        <f t="shared" si="27"/>
        <v>0</v>
      </c>
      <c r="M26" s="69">
        <f t="shared" si="27"/>
        <v>0</v>
      </c>
      <c r="N26" s="69">
        <f t="shared" si="27"/>
        <v>0</v>
      </c>
      <c r="O26" s="69">
        <f t="shared" si="27"/>
        <v>0</v>
      </c>
      <c r="P26" s="69"/>
      <c r="Q26" s="69">
        <f>Q10+Q19</f>
        <v>0</v>
      </c>
      <c r="S26" s="85">
        <f t="shared" si="28"/>
        <v>0</v>
      </c>
      <c r="T26" s="85">
        <f t="shared" si="28"/>
        <v>0</v>
      </c>
      <c r="U26" s="85">
        <f t="shared" si="28"/>
        <v>0</v>
      </c>
      <c r="V26" s="85">
        <f t="shared" si="28"/>
        <v>0</v>
      </c>
      <c r="W26" s="85">
        <f t="shared" si="28"/>
        <v>0</v>
      </c>
      <c r="X26" s="69">
        <f t="shared" si="28"/>
        <v>0</v>
      </c>
      <c r="Y26" s="69">
        <f t="shared" si="28"/>
        <v>0</v>
      </c>
      <c r="Z26" s="69">
        <f t="shared" si="28"/>
        <v>0</v>
      </c>
      <c r="AA26" s="69">
        <f t="shared" si="28"/>
        <v>0</v>
      </c>
      <c r="AB26" s="69">
        <f t="shared" si="28"/>
        <v>0</v>
      </c>
      <c r="AC26" s="69">
        <f t="shared" si="28"/>
        <v>0</v>
      </c>
      <c r="AD26" s="69">
        <f t="shared" si="28"/>
        <v>0</v>
      </c>
      <c r="AE26" s="69"/>
      <c r="AF26" s="69">
        <f>AF10+AF19</f>
        <v>0</v>
      </c>
      <c r="AH26" s="85">
        <f t="shared" si="29"/>
        <v>0</v>
      </c>
      <c r="AI26" s="85">
        <f t="shared" si="29"/>
        <v>0</v>
      </c>
      <c r="AJ26" s="85">
        <f t="shared" si="29"/>
        <v>0</v>
      </c>
      <c r="AK26" s="85">
        <f t="shared" si="29"/>
        <v>0</v>
      </c>
      <c r="AL26" s="85">
        <f t="shared" si="29"/>
        <v>0</v>
      </c>
      <c r="AM26" s="69">
        <f t="shared" si="29"/>
        <v>0</v>
      </c>
      <c r="AN26" s="69">
        <f t="shared" si="29"/>
        <v>0</v>
      </c>
      <c r="AO26" s="69">
        <f t="shared" si="29"/>
        <v>0</v>
      </c>
      <c r="AP26" s="69">
        <f t="shared" si="29"/>
        <v>0</v>
      </c>
      <c r="AQ26" s="69">
        <f t="shared" si="29"/>
        <v>0</v>
      </c>
      <c r="AR26" s="69">
        <f t="shared" si="29"/>
        <v>0</v>
      </c>
      <c r="AS26" s="69">
        <f t="shared" si="29"/>
        <v>0</v>
      </c>
      <c r="AT26" s="69"/>
      <c r="AU26" s="69">
        <f>AU10+AU19</f>
        <v>0</v>
      </c>
    </row>
    <row r="27" spans="1:47">
      <c r="B27" s="67" t="s">
        <v>98</v>
      </c>
      <c r="C27" s="52"/>
      <c r="D27" s="68">
        <f t="shared" ref="D27:K27" si="33">D12+D21</f>
        <v>17916.940000000002</v>
      </c>
      <c r="E27" s="68">
        <f t="shared" si="33"/>
        <v>100047.98999999999</v>
      </c>
      <c r="F27" s="68">
        <f t="shared" si="33"/>
        <v>117933.27</v>
      </c>
      <c r="G27" s="68">
        <f t="shared" si="33"/>
        <v>33446.449999999997</v>
      </c>
      <c r="H27" s="68">
        <f t="shared" si="33"/>
        <v>27806.499999999996</v>
      </c>
      <c r="I27" s="68">
        <f t="shared" si="33"/>
        <v>120952.63</v>
      </c>
      <c r="J27" s="68">
        <f t="shared" si="33"/>
        <v>117596.12999999999</v>
      </c>
      <c r="K27" s="68">
        <f t="shared" si="33"/>
        <v>16513.02</v>
      </c>
      <c r="L27" s="68">
        <f t="shared" ref="L27:O27" ca="1" si="34">L12+L21</f>
        <v>158389</v>
      </c>
      <c r="M27" s="69">
        <f t="shared" ca="1" si="34"/>
        <v>247285</v>
      </c>
      <c r="N27" s="69">
        <f t="shared" ca="1" si="34"/>
        <v>74340</v>
      </c>
      <c r="O27" s="69">
        <f t="shared" ca="1" si="34"/>
        <v>47050</v>
      </c>
      <c r="P27" s="69"/>
      <c r="Q27" s="69">
        <f ca="1">Q12+Q21</f>
        <v>1079276.9300000002</v>
      </c>
      <c r="S27" s="85">
        <f t="shared" ref="S27:AD27" ca="1" si="35">S12+S21</f>
        <v>47119.447185892161</v>
      </c>
      <c r="T27" s="85">
        <f t="shared" ca="1" si="35"/>
        <v>141495.76799330255</v>
      </c>
      <c r="U27" s="85">
        <f t="shared" ca="1" si="35"/>
        <v>134984.16643557092</v>
      </c>
      <c r="V27" s="85">
        <f t="shared" ca="1" si="35"/>
        <v>58793.355930611004</v>
      </c>
      <c r="W27" s="85">
        <f t="shared" ca="1" si="35"/>
        <v>54657.365478786603</v>
      </c>
      <c r="X27" s="69">
        <f t="shared" ca="1" si="35"/>
        <v>145037.98081268245</v>
      </c>
      <c r="Y27" s="69">
        <f t="shared" ca="1" si="35"/>
        <v>72124.15997752361</v>
      </c>
      <c r="Z27" s="69">
        <f t="shared" ca="1" si="35"/>
        <v>50445.476138575403</v>
      </c>
      <c r="AA27" s="69">
        <f t="shared" ca="1" si="35"/>
        <v>173491.14256086948</v>
      </c>
      <c r="AB27" s="69">
        <f t="shared" ca="1" si="35"/>
        <v>182829.37344534835</v>
      </c>
      <c r="AC27" s="69">
        <f t="shared" ca="1" si="35"/>
        <v>54819.727381966215</v>
      </c>
      <c r="AD27" s="69">
        <f t="shared" ca="1" si="35"/>
        <v>58867.541005405023</v>
      </c>
      <c r="AE27" s="69"/>
      <c r="AF27" s="69">
        <f ca="1">AF12+AF21</f>
        <v>1174665.5043465339</v>
      </c>
      <c r="AH27" s="85">
        <f t="shared" ref="AH27:AS27" ca="1" si="36">AH12+AH21</f>
        <v>37449.782854021629</v>
      </c>
      <c r="AI27" s="85">
        <f t="shared" ca="1" si="36"/>
        <v>168375.39840933794</v>
      </c>
      <c r="AJ27" s="85">
        <f t="shared" ca="1" si="36"/>
        <v>145591.82797320781</v>
      </c>
      <c r="AK27" s="85">
        <f t="shared" ca="1" si="36"/>
        <v>58061.168044581551</v>
      </c>
      <c r="AL27" s="85">
        <f t="shared" ca="1" si="36"/>
        <v>52789.387416752914</v>
      </c>
      <c r="AM27" s="69">
        <f t="shared" ca="1" si="36"/>
        <v>197257.53790124122</v>
      </c>
      <c r="AN27" s="69">
        <f t="shared" ca="1" si="36"/>
        <v>43244.230692211437</v>
      </c>
      <c r="AO27" s="69">
        <f t="shared" ca="1" si="36"/>
        <v>50069.1571524506</v>
      </c>
      <c r="AP27" s="69">
        <f t="shared" ca="1" si="36"/>
        <v>187003.01000288123</v>
      </c>
      <c r="AQ27" s="69">
        <f t="shared" ca="1" si="36"/>
        <v>183371.45657872688</v>
      </c>
      <c r="AR27" s="69">
        <f t="shared" ca="1" si="36"/>
        <v>62897.066179477217</v>
      </c>
      <c r="AS27" s="69">
        <f t="shared" ca="1" si="36"/>
        <v>67911.615461389549</v>
      </c>
      <c r="AT27" s="69"/>
      <c r="AU27" s="69">
        <f ca="1">AU12+AU21</f>
        <v>1254021.6386662796</v>
      </c>
    </row>
    <row r="28" spans="1:47">
      <c r="B28" s="52"/>
      <c r="C28" s="52"/>
      <c r="D28" s="70"/>
      <c r="E28" s="70"/>
      <c r="F28" s="70"/>
      <c r="G28" s="70"/>
      <c r="H28" s="70"/>
      <c r="I28" s="70"/>
      <c r="J28" s="70"/>
      <c r="K28" s="70"/>
      <c r="L28" s="70"/>
      <c r="M28" s="52"/>
      <c r="N28" s="52"/>
      <c r="O28" s="52"/>
      <c r="P28" s="52"/>
      <c r="S28" s="10"/>
      <c r="T28" s="10"/>
      <c r="U28" s="10"/>
      <c r="V28" s="10"/>
      <c r="W28" s="10"/>
      <c r="X28" s="52"/>
      <c r="Y28" s="52"/>
      <c r="Z28" s="52"/>
      <c r="AA28" s="52"/>
      <c r="AB28" s="52"/>
      <c r="AC28" s="52"/>
      <c r="AD28" s="52"/>
      <c r="AE28" s="52"/>
      <c r="AH28" s="10"/>
      <c r="AI28" s="10"/>
      <c r="AJ28" s="10"/>
      <c r="AK28" s="10"/>
      <c r="AL28" s="10"/>
      <c r="AM28" s="52"/>
      <c r="AN28" s="52"/>
      <c r="AO28" s="52"/>
      <c r="AP28" s="52"/>
      <c r="AQ28" s="52"/>
      <c r="AR28" s="52"/>
      <c r="AS28" s="52"/>
      <c r="AT28" s="52"/>
    </row>
    <row r="29" spans="1:47" outlineLevel="1">
      <c r="B29" s="67" t="s">
        <v>99</v>
      </c>
      <c r="C29" s="52"/>
      <c r="D29" s="97">
        <f t="shared" ref="D29:K29" si="37">IFERROR(D23/D7,0)</f>
        <v>0.73398707028102339</v>
      </c>
      <c r="E29" s="97">
        <f t="shared" si="37"/>
        <v>0.75357613694165038</v>
      </c>
      <c r="F29" s="97">
        <f t="shared" si="37"/>
        <v>0.7559850553687818</v>
      </c>
      <c r="G29" s="97">
        <f t="shared" si="37"/>
        <v>0.81484698182900817</v>
      </c>
      <c r="H29" s="97">
        <f t="shared" si="37"/>
        <v>0.8068139509228679</v>
      </c>
      <c r="I29" s="97">
        <f t="shared" si="37"/>
        <v>0.74287151914393823</v>
      </c>
      <c r="J29" s="97">
        <f t="shared" si="37"/>
        <v>0.71619420988932592</v>
      </c>
      <c r="K29" s="97">
        <f t="shared" si="37"/>
        <v>0.82509406150848175</v>
      </c>
      <c r="L29" s="97">
        <f t="shared" ref="L29:O32" si="38">IFERROR(L23/L7,0)</f>
        <v>0.7177708370873126</v>
      </c>
      <c r="M29" s="91">
        <f t="shared" si="38"/>
        <v>0.73</v>
      </c>
      <c r="N29" s="91">
        <f t="shared" si="38"/>
        <v>0.76</v>
      </c>
      <c r="O29" s="91">
        <f t="shared" si="38"/>
        <v>0.77</v>
      </c>
      <c r="P29" s="91"/>
      <c r="Q29" s="91">
        <f>IFERROR(Q23/Q7,0)</f>
        <v>0.74164131645508136</v>
      </c>
      <c r="S29" s="91">
        <f t="shared" ref="S29:AD32" si="39">IFERROR(S23/S7,0)</f>
        <v>0.76000000000000012</v>
      </c>
      <c r="T29" s="91">
        <f t="shared" si="39"/>
        <v>0.76</v>
      </c>
      <c r="U29" s="91">
        <f t="shared" si="39"/>
        <v>0.76</v>
      </c>
      <c r="V29" s="91">
        <f t="shared" si="39"/>
        <v>0.76000000000000012</v>
      </c>
      <c r="W29" s="91">
        <f t="shared" si="39"/>
        <v>0.7599999999999999</v>
      </c>
      <c r="X29" s="91">
        <f t="shared" si="39"/>
        <v>0.7599999999999999</v>
      </c>
      <c r="Y29" s="91">
        <f t="shared" si="39"/>
        <v>0.76</v>
      </c>
      <c r="Z29" s="91">
        <f t="shared" si="39"/>
        <v>0.76</v>
      </c>
      <c r="AA29" s="91">
        <f t="shared" si="39"/>
        <v>0.76</v>
      </c>
      <c r="AB29" s="91">
        <f t="shared" si="39"/>
        <v>0.76</v>
      </c>
      <c r="AC29" s="91">
        <f t="shared" si="39"/>
        <v>0.76</v>
      </c>
      <c r="AD29" s="91">
        <f t="shared" si="39"/>
        <v>0.76</v>
      </c>
      <c r="AE29" s="91"/>
      <c r="AF29" s="91">
        <f>IFERROR(AF23/AF7,0)</f>
        <v>0.76</v>
      </c>
      <c r="AH29" s="91">
        <f t="shared" ref="AH29:AS32" si="40">IFERROR(AH23/AH7,0)</f>
        <v>0.76</v>
      </c>
      <c r="AI29" s="91">
        <f t="shared" si="40"/>
        <v>0.76</v>
      </c>
      <c r="AJ29" s="91">
        <f t="shared" si="40"/>
        <v>0.76</v>
      </c>
      <c r="AK29" s="91">
        <f t="shared" si="40"/>
        <v>0.76000000000000012</v>
      </c>
      <c r="AL29" s="91">
        <f t="shared" si="40"/>
        <v>0.76</v>
      </c>
      <c r="AM29" s="91">
        <f t="shared" si="40"/>
        <v>0.76</v>
      </c>
      <c r="AN29" s="91">
        <f t="shared" si="40"/>
        <v>0.7599999999999999</v>
      </c>
      <c r="AO29" s="91">
        <f t="shared" si="40"/>
        <v>0.76000000000000012</v>
      </c>
      <c r="AP29" s="91">
        <f t="shared" si="40"/>
        <v>0.76000000000000012</v>
      </c>
      <c r="AQ29" s="91">
        <f t="shared" si="40"/>
        <v>0.76</v>
      </c>
      <c r="AR29" s="91">
        <f t="shared" si="40"/>
        <v>0.7599999999999999</v>
      </c>
      <c r="AS29" s="91">
        <f t="shared" si="40"/>
        <v>0.76</v>
      </c>
      <c r="AT29" s="91"/>
      <c r="AU29" s="91">
        <f>IFERROR(AU23/AU7,0)</f>
        <v>0.76</v>
      </c>
    </row>
    <row r="30" spans="1:47" outlineLevel="1">
      <c r="B30" s="67" t="s">
        <v>100</v>
      </c>
      <c r="C30" s="52"/>
      <c r="D30" s="97">
        <f t="shared" ref="D30:K30" si="41">IFERROR(D24/D8,0)</f>
        <v>0</v>
      </c>
      <c r="E30" s="97">
        <f t="shared" si="41"/>
        <v>0.177316808987632</v>
      </c>
      <c r="F30" s="97">
        <f t="shared" si="41"/>
        <v>0.60591391824276664</v>
      </c>
      <c r="G30" s="97">
        <f t="shared" si="41"/>
        <v>0.60543306774487649</v>
      </c>
      <c r="H30" s="97">
        <f t="shared" si="41"/>
        <v>0</v>
      </c>
      <c r="I30" s="97">
        <f t="shared" si="41"/>
        <v>0.62568438966667994</v>
      </c>
      <c r="J30" s="97">
        <f t="shared" si="41"/>
        <v>0.63535375467664346</v>
      </c>
      <c r="K30" s="97">
        <f t="shared" si="41"/>
        <v>0</v>
      </c>
      <c r="L30" s="97">
        <f t="shared" si="38"/>
        <v>0.57746695950371829</v>
      </c>
      <c r="M30" s="91">
        <f t="shared" si="38"/>
        <v>0.67</v>
      </c>
      <c r="N30" s="91">
        <f t="shared" si="38"/>
        <v>0.67</v>
      </c>
      <c r="O30" s="91">
        <f t="shared" si="38"/>
        <v>0.67</v>
      </c>
      <c r="P30" s="91"/>
      <c r="Q30" s="91">
        <f>IFERROR(Q24/Q8,0)</f>
        <v>0.59338995019844343</v>
      </c>
      <c r="S30" s="91">
        <f t="shared" si="39"/>
        <v>0.6077294561522445</v>
      </c>
      <c r="T30" s="91">
        <f t="shared" si="39"/>
        <v>0.60772945615224461</v>
      </c>
      <c r="U30" s="91">
        <f t="shared" si="39"/>
        <v>0.60772945615224438</v>
      </c>
      <c r="V30" s="91">
        <f t="shared" si="39"/>
        <v>0.60772945615224438</v>
      </c>
      <c r="W30" s="91">
        <f t="shared" si="39"/>
        <v>0.6077294561522445</v>
      </c>
      <c r="X30" s="91">
        <f t="shared" si="39"/>
        <v>0.6077294561522445</v>
      </c>
      <c r="Y30" s="91">
        <f t="shared" si="39"/>
        <v>0.6077294561522445</v>
      </c>
      <c r="Z30" s="91">
        <f t="shared" si="39"/>
        <v>0.6077294561522445</v>
      </c>
      <c r="AA30" s="91">
        <f t="shared" si="39"/>
        <v>0.6077294561522445</v>
      </c>
      <c r="AB30" s="91">
        <f t="shared" si="39"/>
        <v>0.6077294561522445</v>
      </c>
      <c r="AC30" s="91">
        <f t="shared" si="39"/>
        <v>0.6077294561522445</v>
      </c>
      <c r="AD30" s="91">
        <f t="shared" si="39"/>
        <v>0.6077294561522445</v>
      </c>
      <c r="AE30" s="91"/>
      <c r="AF30" s="91">
        <f>IFERROR(AF24/AF8,0)</f>
        <v>0.6077294561522445</v>
      </c>
      <c r="AH30" s="91">
        <f t="shared" si="40"/>
        <v>0.6077294561522445</v>
      </c>
      <c r="AI30" s="91">
        <f t="shared" si="40"/>
        <v>0.60772945615224438</v>
      </c>
      <c r="AJ30" s="91">
        <f t="shared" si="40"/>
        <v>0.6077294561522445</v>
      </c>
      <c r="AK30" s="91">
        <f t="shared" si="40"/>
        <v>0.6077294561522445</v>
      </c>
      <c r="AL30" s="91">
        <f t="shared" si="40"/>
        <v>0.60772945615224461</v>
      </c>
      <c r="AM30" s="91">
        <f t="shared" si="40"/>
        <v>0.6077294561522445</v>
      </c>
      <c r="AN30" s="91">
        <f t="shared" si="40"/>
        <v>0.60772945615224438</v>
      </c>
      <c r="AO30" s="91">
        <f t="shared" si="40"/>
        <v>0.6077294561522445</v>
      </c>
      <c r="AP30" s="91">
        <f t="shared" si="40"/>
        <v>0.60772945615224438</v>
      </c>
      <c r="AQ30" s="91">
        <f t="shared" si="40"/>
        <v>0.60772945615224461</v>
      </c>
      <c r="AR30" s="91">
        <f t="shared" si="40"/>
        <v>0.6077294561522445</v>
      </c>
      <c r="AS30" s="91">
        <f t="shared" si="40"/>
        <v>0.60772945615224461</v>
      </c>
      <c r="AT30" s="91"/>
      <c r="AU30" s="91">
        <f>IFERROR(AU24/AU8,0)</f>
        <v>0.6077294561522445</v>
      </c>
    </row>
    <row r="31" spans="1:47" outlineLevel="1">
      <c r="B31" s="67" t="s">
        <v>101</v>
      </c>
      <c r="C31" s="52"/>
      <c r="D31" s="97">
        <f t="shared" ref="D31:K31" si="42">IFERROR(D25/D9,0)</f>
        <v>0</v>
      </c>
      <c r="E31" s="97">
        <f t="shared" si="42"/>
        <v>0</v>
      </c>
      <c r="F31" s="97">
        <f t="shared" si="42"/>
        <v>0</v>
      </c>
      <c r="G31" s="97">
        <f t="shared" si="42"/>
        <v>0</v>
      </c>
      <c r="H31" s="97">
        <f t="shared" si="42"/>
        <v>0</v>
      </c>
      <c r="I31" s="97">
        <f t="shared" si="42"/>
        <v>0</v>
      </c>
      <c r="J31" s="97">
        <f t="shared" si="42"/>
        <v>0</v>
      </c>
      <c r="K31" s="97">
        <f t="shared" si="42"/>
        <v>0</v>
      </c>
      <c r="L31" s="97">
        <f t="shared" ca="1" si="38"/>
        <v>0</v>
      </c>
      <c r="M31" s="91">
        <f t="shared" ca="1" si="38"/>
        <v>0</v>
      </c>
      <c r="N31" s="91">
        <f t="shared" ca="1" si="38"/>
        <v>0</v>
      </c>
      <c r="O31" s="91">
        <f t="shared" ca="1" si="38"/>
        <v>0</v>
      </c>
      <c r="P31" s="91"/>
      <c r="Q31" s="91">
        <f ca="1">IFERROR(Q25/Q9,0)</f>
        <v>0</v>
      </c>
      <c r="S31" s="91">
        <f t="shared" ca="1" si="39"/>
        <v>0</v>
      </c>
      <c r="T31" s="91">
        <f t="shared" ca="1" si="39"/>
        <v>0</v>
      </c>
      <c r="U31" s="91">
        <f t="shared" ca="1" si="39"/>
        <v>0</v>
      </c>
      <c r="V31" s="91">
        <f t="shared" ca="1" si="39"/>
        <v>0</v>
      </c>
      <c r="W31" s="91">
        <f t="shared" ca="1" si="39"/>
        <v>0</v>
      </c>
      <c r="X31" s="91">
        <f t="shared" ca="1" si="39"/>
        <v>0</v>
      </c>
      <c r="Y31" s="91">
        <f t="shared" ca="1" si="39"/>
        <v>0</v>
      </c>
      <c r="Z31" s="91">
        <f t="shared" ca="1" si="39"/>
        <v>0</v>
      </c>
      <c r="AA31" s="91">
        <f t="shared" ca="1" si="39"/>
        <v>0</v>
      </c>
      <c r="AB31" s="91">
        <f t="shared" ca="1" si="39"/>
        <v>0</v>
      </c>
      <c r="AC31" s="91">
        <f t="shared" ca="1" si="39"/>
        <v>0</v>
      </c>
      <c r="AD31" s="91">
        <f t="shared" ca="1" si="39"/>
        <v>0</v>
      </c>
      <c r="AE31" s="91"/>
      <c r="AF31" s="91">
        <f ca="1">IFERROR(AF25/AF9,0)</f>
        <v>0</v>
      </c>
      <c r="AH31" s="91">
        <f t="shared" ca="1" si="40"/>
        <v>0</v>
      </c>
      <c r="AI31" s="91">
        <f t="shared" ca="1" si="40"/>
        <v>0</v>
      </c>
      <c r="AJ31" s="91">
        <f t="shared" ca="1" si="40"/>
        <v>0</v>
      </c>
      <c r="AK31" s="91">
        <f t="shared" ca="1" si="40"/>
        <v>0</v>
      </c>
      <c r="AL31" s="91">
        <f t="shared" ca="1" si="40"/>
        <v>0</v>
      </c>
      <c r="AM31" s="91">
        <f t="shared" ca="1" si="40"/>
        <v>0</v>
      </c>
      <c r="AN31" s="91">
        <f t="shared" ca="1" si="40"/>
        <v>0</v>
      </c>
      <c r="AO31" s="91">
        <f t="shared" ca="1" si="40"/>
        <v>0</v>
      </c>
      <c r="AP31" s="91">
        <f t="shared" ca="1" si="40"/>
        <v>0</v>
      </c>
      <c r="AQ31" s="91">
        <f t="shared" ca="1" si="40"/>
        <v>0</v>
      </c>
      <c r="AR31" s="91">
        <f t="shared" ca="1" si="40"/>
        <v>0</v>
      </c>
      <c r="AS31" s="91">
        <f t="shared" ca="1" si="40"/>
        <v>0</v>
      </c>
      <c r="AT31" s="91"/>
      <c r="AU31" s="91">
        <f ca="1">IFERROR(AU25/AU9,0)</f>
        <v>0</v>
      </c>
    </row>
    <row r="32" spans="1:47" outlineLevel="1">
      <c r="B32" s="67" t="s">
        <v>102</v>
      </c>
      <c r="C32" s="52"/>
      <c r="D32" s="97">
        <f t="shared" ref="D32:K32" si="43">IFERROR(D26/D10,0)</f>
        <v>0</v>
      </c>
      <c r="E32" s="97">
        <f t="shared" si="43"/>
        <v>0</v>
      </c>
      <c r="F32" s="97">
        <f t="shared" si="43"/>
        <v>0</v>
      </c>
      <c r="G32" s="97">
        <f t="shared" si="43"/>
        <v>0</v>
      </c>
      <c r="H32" s="97">
        <f t="shared" si="43"/>
        <v>0</v>
      </c>
      <c r="I32" s="97">
        <f t="shared" si="43"/>
        <v>0</v>
      </c>
      <c r="J32" s="97">
        <f t="shared" si="43"/>
        <v>0</v>
      </c>
      <c r="K32" s="97">
        <f t="shared" si="43"/>
        <v>0</v>
      </c>
      <c r="L32" s="97">
        <f t="shared" si="38"/>
        <v>0</v>
      </c>
      <c r="M32" s="91">
        <f t="shared" si="38"/>
        <v>0</v>
      </c>
      <c r="N32" s="91">
        <f t="shared" si="38"/>
        <v>0</v>
      </c>
      <c r="O32" s="91">
        <f t="shared" si="38"/>
        <v>0</v>
      </c>
      <c r="P32" s="91"/>
      <c r="Q32" s="91">
        <f>IFERROR(Q26/Q10,0)</f>
        <v>0</v>
      </c>
      <c r="S32" s="91">
        <f t="shared" si="39"/>
        <v>0</v>
      </c>
      <c r="T32" s="91">
        <f t="shared" si="39"/>
        <v>0</v>
      </c>
      <c r="U32" s="91">
        <f t="shared" si="39"/>
        <v>0</v>
      </c>
      <c r="V32" s="91">
        <f t="shared" si="39"/>
        <v>0</v>
      </c>
      <c r="W32" s="91">
        <f t="shared" si="39"/>
        <v>0</v>
      </c>
      <c r="X32" s="91">
        <f t="shared" si="39"/>
        <v>0</v>
      </c>
      <c r="Y32" s="91">
        <f t="shared" si="39"/>
        <v>0</v>
      </c>
      <c r="Z32" s="91">
        <f t="shared" si="39"/>
        <v>0</v>
      </c>
      <c r="AA32" s="91">
        <f t="shared" si="39"/>
        <v>0</v>
      </c>
      <c r="AB32" s="91">
        <f t="shared" si="39"/>
        <v>0</v>
      </c>
      <c r="AC32" s="91">
        <f t="shared" si="39"/>
        <v>0</v>
      </c>
      <c r="AD32" s="91">
        <f t="shared" si="39"/>
        <v>0</v>
      </c>
      <c r="AE32" s="91"/>
      <c r="AF32" s="91">
        <f>IFERROR(AF26/AF10,0)</f>
        <v>0</v>
      </c>
      <c r="AH32" s="91">
        <f t="shared" si="40"/>
        <v>0</v>
      </c>
      <c r="AI32" s="91">
        <f t="shared" si="40"/>
        <v>0</v>
      </c>
      <c r="AJ32" s="91">
        <f t="shared" si="40"/>
        <v>0</v>
      </c>
      <c r="AK32" s="91">
        <f t="shared" si="40"/>
        <v>0</v>
      </c>
      <c r="AL32" s="91">
        <f t="shared" si="40"/>
        <v>0</v>
      </c>
      <c r="AM32" s="91">
        <f t="shared" si="40"/>
        <v>0</v>
      </c>
      <c r="AN32" s="91">
        <f t="shared" si="40"/>
        <v>0</v>
      </c>
      <c r="AO32" s="91">
        <f t="shared" si="40"/>
        <v>0</v>
      </c>
      <c r="AP32" s="91">
        <f t="shared" si="40"/>
        <v>0</v>
      </c>
      <c r="AQ32" s="91">
        <f t="shared" si="40"/>
        <v>0</v>
      </c>
      <c r="AR32" s="91">
        <f t="shared" si="40"/>
        <v>0</v>
      </c>
      <c r="AS32" s="91">
        <f t="shared" si="40"/>
        <v>0</v>
      </c>
      <c r="AT32" s="91"/>
      <c r="AU32" s="91">
        <f>IFERROR(AU26/AU10,0)</f>
        <v>0</v>
      </c>
    </row>
    <row r="33" spans="1:47">
      <c r="B33" s="72" t="s">
        <v>103</v>
      </c>
      <c r="C33" s="73"/>
      <c r="D33" s="97">
        <f t="shared" ref="D33:K33" si="44">IFERROR(D27/D12,0)</f>
        <v>0.73398707028102339</v>
      </c>
      <c r="E33" s="97">
        <f t="shared" si="44"/>
        <v>0.66266180400235897</v>
      </c>
      <c r="F33" s="97">
        <f t="shared" si="44"/>
        <v>0.72788425473798279</v>
      </c>
      <c r="G33" s="97">
        <f t="shared" si="44"/>
        <v>0.70369757107047859</v>
      </c>
      <c r="H33" s="97">
        <f t="shared" si="44"/>
        <v>0.79883351604533093</v>
      </c>
      <c r="I33" s="97">
        <f t="shared" si="44"/>
        <v>0.73220021835376281</v>
      </c>
      <c r="J33" s="97">
        <f t="shared" si="44"/>
        <v>0.70459419521101041</v>
      </c>
      <c r="K33" s="97">
        <f t="shared" si="44"/>
        <v>0.82509406150848175</v>
      </c>
      <c r="L33" s="97">
        <f t="shared" ref="L33:O33" ca="1" si="45">IFERROR(L27/L12,0)</f>
        <v>0.70164037547454827</v>
      </c>
      <c r="M33" s="91">
        <f t="shared" ca="1" si="45"/>
        <v>0.71780841799709727</v>
      </c>
      <c r="N33" s="91">
        <f t="shared" ca="1" si="45"/>
        <v>0.75090909090909086</v>
      </c>
      <c r="O33" s="91">
        <f t="shared" ca="1" si="45"/>
        <v>0.72384615384615381</v>
      </c>
      <c r="P33" s="91"/>
      <c r="Q33" s="91">
        <f ca="1">IFERROR(Q27/Q12,0)</f>
        <v>0.71660657192668109</v>
      </c>
      <c r="S33" s="91">
        <f t="shared" ref="S33:AD33" ca="1" si="46">IFERROR(S27/S12,0)</f>
        <v>0.75270272928972615</v>
      </c>
      <c r="T33" s="91">
        <f t="shared" ca="1" si="46"/>
        <v>0.73790862273140179</v>
      </c>
      <c r="U33" s="91">
        <f t="shared" ca="1" si="46"/>
        <v>0.7316584217780252</v>
      </c>
      <c r="V33" s="91">
        <f t="shared" ca="1" si="46"/>
        <v>0.70822460926113395</v>
      </c>
      <c r="W33" s="91">
        <f t="shared" ca="1" si="46"/>
        <v>0.73147063306443882</v>
      </c>
      <c r="X33" s="91">
        <f t="shared" ca="1" si="46"/>
        <v>0.74510374342262276</v>
      </c>
      <c r="Y33" s="91">
        <f t="shared" ca="1" si="46"/>
        <v>0.71908747475264134</v>
      </c>
      <c r="Z33" s="91">
        <f t="shared" ca="1" si="46"/>
        <v>0.75317954349044625</v>
      </c>
      <c r="AA33" s="91">
        <f t="shared" ca="1" si="46"/>
        <v>0.74042359583295225</v>
      </c>
      <c r="AB33" s="91">
        <f t="shared" ca="1" si="46"/>
        <v>0.71475792654687231</v>
      </c>
      <c r="AC33" s="91">
        <f t="shared" ca="1" si="46"/>
        <v>0.72960124125819803</v>
      </c>
      <c r="AD33" s="91">
        <f t="shared" ca="1" si="46"/>
        <v>0.70022855428316655</v>
      </c>
      <c r="AE33" s="91"/>
      <c r="AF33" s="91">
        <f ca="1">IFERROR(AF27/AF12,0)</f>
        <v>0.73059373080085566</v>
      </c>
      <c r="AH33" s="91">
        <f t="shared" ref="AH33:AS33" ca="1" si="47">IFERROR(AH27/AH12,0)</f>
        <v>0.75038910858212815</v>
      </c>
      <c r="AI33" s="91">
        <f t="shared" ca="1" si="47"/>
        <v>0.74044020437639024</v>
      </c>
      <c r="AJ33" s="91">
        <f t="shared" ca="1" si="47"/>
        <v>0.73238223160902904</v>
      </c>
      <c r="AK33" s="91">
        <f t="shared" ca="1" si="47"/>
        <v>0.70518642874987436</v>
      </c>
      <c r="AL33" s="91">
        <f t="shared" ca="1" si="47"/>
        <v>0.72908530568039354</v>
      </c>
      <c r="AM33" s="91">
        <f t="shared" ca="1" si="47"/>
        <v>0.74844794009898208</v>
      </c>
      <c r="AN33" s="91">
        <f t="shared" ca="1" si="47"/>
        <v>0.69113777020725953</v>
      </c>
      <c r="AO33" s="91">
        <f t="shared" ca="1" si="47"/>
        <v>0.75278844177446025</v>
      </c>
      <c r="AP33" s="91">
        <f t="shared" ca="1" si="47"/>
        <v>0.74091727454713896</v>
      </c>
      <c r="AQ33" s="91">
        <f t="shared" ca="1" si="47"/>
        <v>0.7127681108390469</v>
      </c>
      <c r="AR33" s="91">
        <f t="shared" ca="1" si="47"/>
        <v>0.73208562255892529</v>
      </c>
      <c r="AS33" s="91">
        <f t="shared" ca="1" si="47"/>
        <v>0.70521090864566982</v>
      </c>
      <c r="AT33" s="91"/>
      <c r="AU33" s="91">
        <f ca="1">IFERROR(AU27/AU12,0)</f>
        <v>0.73105891243129795</v>
      </c>
    </row>
    <row r="34" spans="1:47">
      <c r="D34" s="71"/>
      <c r="E34" s="71"/>
      <c r="F34" s="71"/>
      <c r="G34" s="71"/>
      <c r="H34" s="71"/>
      <c r="I34" s="71"/>
      <c r="J34" s="71"/>
      <c r="K34" s="71"/>
      <c r="L34" s="7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H34" s="86"/>
      <c r="AI34" s="86"/>
      <c r="AJ34" s="86"/>
      <c r="AK34" s="86"/>
      <c r="AL34" s="86"/>
    </row>
    <row r="35" spans="1:47" outlineLevel="1">
      <c r="B35" s="58" t="s">
        <v>104</v>
      </c>
      <c r="D35" s="74"/>
      <c r="E35" s="74"/>
      <c r="F35" s="74"/>
      <c r="G35" s="74"/>
      <c r="H35" s="74"/>
      <c r="I35" s="74"/>
      <c r="J35" s="74"/>
      <c r="K35" s="74"/>
      <c r="L35" s="74"/>
      <c r="S35" s="87"/>
      <c r="T35" s="87"/>
      <c r="U35" s="87"/>
      <c r="V35" s="87"/>
      <c r="W35" s="87"/>
      <c r="AH35" s="87"/>
      <c r="AI35" s="87"/>
      <c r="AJ35" s="87"/>
      <c r="AK35" s="87"/>
      <c r="AL35" s="87"/>
    </row>
    <row r="36" spans="1:47" outlineLevel="1">
      <c r="D36" s="53"/>
      <c r="E36" s="53"/>
      <c r="F36" s="53"/>
      <c r="G36" s="53"/>
      <c r="H36" s="53"/>
      <c r="I36" s="53"/>
      <c r="J36" s="53"/>
      <c r="K36" s="53"/>
      <c r="L36" s="53"/>
    </row>
    <row r="37" spans="1:47" outlineLevel="1">
      <c r="D37" s="59"/>
      <c r="E37" s="59"/>
      <c r="F37" s="59"/>
      <c r="G37" s="59"/>
      <c r="H37" s="59"/>
      <c r="I37" s="59"/>
      <c r="J37" s="59"/>
      <c r="K37" s="59"/>
      <c r="L37" s="59"/>
      <c r="M37" s="60"/>
      <c r="N37" s="60"/>
      <c r="O37" s="60"/>
      <c r="P37" s="60"/>
      <c r="Q37" s="61">
        <f>SUM(D37:O37)</f>
        <v>0</v>
      </c>
      <c r="R37" s="62"/>
      <c r="S37" s="83"/>
      <c r="T37" s="83"/>
      <c r="U37" s="83"/>
      <c r="V37" s="83"/>
      <c r="W37" s="83"/>
      <c r="X37" s="83"/>
      <c r="Y37" s="83"/>
      <c r="Z37" s="83"/>
      <c r="AA37" s="83"/>
      <c r="AB37" s="83"/>
      <c r="AC37" s="83"/>
      <c r="AD37" s="83"/>
      <c r="AE37" s="60"/>
      <c r="AF37" s="61">
        <f>SUM(S37:AD37)</f>
        <v>0</v>
      </c>
      <c r="AH37" s="83"/>
      <c r="AI37" s="83"/>
      <c r="AJ37" s="83"/>
      <c r="AK37" s="83"/>
      <c r="AL37" s="83"/>
      <c r="AM37" s="83"/>
      <c r="AN37" s="83"/>
      <c r="AO37" s="83"/>
      <c r="AP37" s="83"/>
      <c r="AQ37" s="83"/>
      <c r="AR37" s="83"/>
      <c r="AS37" s="83"/>
      <c r="AT37" s="60"/>
      <c r="AU37" s="61">
        <f>SUM(AH37:AS37)</f>
        <v>0</v>
      </c>
    </row>
    <row r="38" spans="1:47" outlineLevel="1">
      <c r="B38" s="51" t="s">
        <v>106</v>
      </c>
      <c r="C38" s="75">
        <f>SUMIFS(Fulfilment!E:E,Fulfilment!A:A,"SK",Fulfilment!B:B,"DTC")</f>
        <v>-0.16039958819369121</v>
      </c>
      <c r="D38" s="59">
        <v>-3806.13</v>
      </c>
      <c r="E38" s="59">
        <v>-18221.18</v>
      </c>
      <c r="F38" s="59">
        <v>-22180.32</v>
      </c>
      <c r="G38" s="59">
        <v>-3736.33</v>
      </c>
      <c r="H38" s="59">
        <v>-5410.17</v>
      </c>
      <c r="I38" s="59">
        <v>-23103.67</v>
      </c>
      <c r="J38" s="59">
        <v>-22550.68</v>
      </c>
      <c r="K38" s="59">
        <v>-3621.75</v>
      </c>
      <c r="L38" s="59">
        <v>-32934</v>
      </c>
      <c r="M38" s="60">
        <v>-42787</v>
      </c>
      <c r="N38" s="60">
        <v>-13873</v>
      </c>
      <c r="O38" s="60">
        <v>-5456</v>
      </c>
      <c r="P38" s="60"/>
      <c r="Q38" s="61">
        <f>SUM(D38:O38)</f>
        <v>-197680.23</v>
      </c>
      <c r="R38" s="62"/>
      <c r="S38" s="60">
        <f>$C$38*S7</f>
        <v>-9559.8700803046013</v>
      </c>
      <c r="T38" s="60">
        <f t="shared" ref="T38:AD38" si="48">$C$38*T7</f>
        <v>-26294.789735287653</v>
      </c>
      <c r="U38" s="60">
        <f t="shared" si="48"/>
        <v>-24084.33326155354</v>
      </c>
      <c r="V38" s="60">
        <f t="shared" si="48"/>
        <v>-8787.9930196364894</v>
      </c>
      <c r="W38" s="60">
        <f t="shared" si="48"/>
        <v>-9739.8751994072409</v>
      </c>
      <c r="X38" s="60">
        <f t="shared" si="48"/>
        <v>-28168.116092469907</v>
      </c>
      <c r="Y38" s="60">
        <f t="shared" si="48"/>
        <v>-11765.432290659475</v>
      </c>
      <c r="Z38" s="60">
        <f t="shared" si="48"/>
        <v>-10261.83544126603</v>
      </c>
      <c r="AA38" s="60">
        <f t="shared" si="48"/>
        <v>-32751.873650398829</v>
      </c>
      <c r="AB38" s="60">
        <f t="shared" si="48"/>
        <v>-28838.565879401012</v>
      </c>
      <c r="AC38" s="60">
        <f t="shared" si="48"/>
        <v>-9645.8794466550771</v>
      </c>
      <c r="AD38" s="60">
        <f t="shared" si="48"/>
        <v>-8191.4526799241194</v>
      </c>
      <c r="AE38" s="60"/>
      <c r="AF38" s="61">
        <f>SUM(S38:AD38)</f>
        <v>-208090.01677696398</v>
      </c>
      <c r="AH38" s="60">
        <f t="shared" ref="AH38:AS38" si="49">$C$38*AH7</f>
        <v>-7499.8278303332099</v>
      </c>
      <c r="AI38" s="60">
        <f t="shared" si="49"/>
        <v>-31789.382516350594</v>
      </c>
      <c r="AJ38" s="60">
        <f t="shared" si="49"/>
        <v>-26102.884538957929</v>
      </c>
      <c r="AK38" s="60">
        <f t="shared" si="49"/>
        <v>-8452.4398556324068</v>
      </c>
      <c r="AL38" s="60">
        <f t="shared" si="49"/>
        <v>-9255.8507256505945</v>
      </c>
      <c r="AM38" s="60">
        <f t="shared" si="49"/>
        <v>-39067.040098306352</v>
      </c>
      <c r="AN38" s="60">
        <f t="shared" si="49"/>
        <v>-5497.4367441562263</v>
      </c>
      <c r="AO38" s="60">
        <f t="shared" si="49"/>
        <v>-10163.173147083286</v>
      </c>
      <c r="AP38" s="60">
        <f t="shared" si="49"/>
        <v>-35410.391783347208</v>
      </c>
      <c r="AQ38" s="60">
        <f t="shared" si="49"/>
        <v>-28465.575885007165</v>
      </c>
      <c r="AR38" s="60">
        <f t="shared" si="49"/>
        <v>-11254.421750532305</v>
      </c>
      <c r="AS38" s="60">
        <f t="shared" si="49"/>
        <v>-9888.5902501978144</v>
      </c>
      <c r="AT38" s="60"/>
      <c r="AU38" s="61">
        <f>SUM(AH38:AS38)</f>
        <v>-222847.0151255551</v>
      </c>
    </row>
    <row r="39" spans="1:47" outlineLevel="1">
      <c r="B39" s="51" t="s">
        <v>107</v>
      </c>
      <c r="C39" s="75">
        <f>SUMIFS(Fulfilment!E:E,Fulfilment!A:A,"SK",Fulfilment!B:B,"B2B")</f>
        <v>-3.1458973241287956E-2</v>
      </c>
      <c r="D39" s="59">
        <v>0</v>
      </c>
      <c r="E39" s="59">
        <v>-141.02000000000001</v>
      </c>
      <c r="F39" s="59">
        <v>-979.57</v>
      </c>
      <c r="G39" s="59">
        <v>-283.23</v>
      </c>
      <c r="H39" s="59">
        <v>-180.18</v>
      </c>
      <c r="I39" s="59">
        <v>0</v>
      </c>
      <c r="J39" s="59"/>
      <c r="K39" s="59">
        <v>-293.27999999999997</v>
      </c>
      <c r="L39" s="59">
        <v>-844</v>
      </c>
      <c r="M39" s="60">
        <v>-5600</v>
      </c>
      <c r="N39" s="60">
        <v>-800</v>
      </c>
      <c r="O39" s="60">
        <v>-2400</v>
      </c>
      <c r="P39" s="60"/>
      <c r="Q39" s="61">
        <f>SUM(D39:O39)</f>
        <v>-11521.28</v>
      </c>
      <c r="R39" s="62"/>
      <c r="S39" s="60">
        <f t="shared" ref="S39:AD39" si="50">$C$39*S8</f>
        <v>-94.376919723863864</v>
      </c>
      <c r="T39" s="60">
        <f t="shared" si="50"/>
        <v>-875.16976018868604</v>
      </c>
      <c r="U39" s="60">
        <f t="shared" si="50"/>
        <v>-1080.2570985432906</v>
      </c>
      <c r="V39" s="60">
        <f t="shared" si="50"/>
        <v>-887.99243768183521</v>
      </c>
      <c r="W39" s="60">
        <f t="shared" si="50"/>
        <v>-440.42562537803138</v>
      </c>
      <c r="X39" s="60">
        <f t="shared" si="50"/>
        <v>-599.06064384454999</v>
      </c>
      <c r="Y39" s="60">
        <f t="shared" si="50"/>
        <v>-847.78157808482092</v>
      </c>
      <c r="Z39" s="60">
        <f t="shared" si="50"/>
        <v>-94.376919723863864</v>
      </c>
      <c r="AA39" s="60">
        <f t="shared" si="50"/>
        <v>-947.67325581788259</v>
      </c>
      <c r="AB39" s="60">
        <f t="shared" si="50"/>
        <v>-2390.8819663378845</v>
      </c>
      <c r="AC39" s="60">
        <f t="shared" si="50"/>
        <v>-471.88459861931932</v>
      </c>
      <c r="AD39" s="60">
        <f t="shared" si="50"/>
        <v>-1038.1461169625024</v>
      </c>
      <c r="AE39" s="60"/>
      <c r="AF39" s="61">
        <f>SUM(S39:AD39)</f>
        <v>-9768.0269209065282</v>
      </c>
      <c r="AH39" s="60">
        <f t="shared" ref="AH39:AS39" si="51">$C$39*AH8</f>
        <v>-99.095765710057066</v>
      </c>
      <c r="AI39" s="60">
        <f t="shared" si="51"/>
        <v>-918.9282481981204</v>
      </c>
      <c r="AJ39" s="60">
        <f t="shared" si="51"/>
        <v>-1134.269953470455</v>
      </c>
      <c r="AK39" s="60">
        <f t="shared" si="51"/>
        <v>-932.39205956592707</v>
      </c>
      <c r="AL39" s="60">
        <f t="shared" si="51"/>
        <v>-462.44690664693297</v>
      </c>
      <c r="AM39" s="60">
        <f t="shared" si="51"/>
        <v>-629.01367603677761</v>
      </c>
      <c r="AN39" s="60">
        <f t="shared" si="51"/>
        <v>-890.17065698906208</v>
      </c>
      <c r="AO39" s="60">
        <f t="shared" si="51"/>
        <v>-99.095765710057066</v>
      </c>
      <c r="AP39" s="60">
        <f t="shared" si="51"/>
        <v>-995.05691860877675</v>
      </c>
      <c r="AQ39" s="60">
        <f t="shared" si="51"/>
        <v>-2510.4260646547791</v>
      </c>
      <c r="AR39" s="60">
        <f t="shared" si="51"/>
        <v>-495.4788285502853</v>
      </c>
      <c r="AS39" s="60">
        <f t="shared" si="51"/>
        <v>-1090.0534228106276</v>
      </c>
      <c r="AT39" s="60"/>
      <c r="AU39" s="61">
        <f>SUM(AH39:AS39)</f>
        <v>-10256.428266951858</v>
      </c>
    </row>
    <row r="40" spans="1:47" outlineLevel="1">
      <c r="B40" s="51" t="s">
        <v>108</v>
      </c>
      <c r="C40" s="75">
        <f>SUMIFS(Fulfilment!E:E,Fulfilment!A:A,"SK",Fulfilment!B:B,"Marketplace")</f>
        <v>0</v>
      </c>
      <c r="D40" s="59"/>
      <c r="E40" s="59"/>
      <c r="F40" s="59"/>
      <c r="G40" s="59"/>
      <c r="H40" s="59"/>
      <c r="I40" s="59"/>
      <c r="J40" s="59"/>
      <c r="K40" s="59"/>
      <c r="L40" s="59">
        <f ca="1">$C$40*L9</f>
        <v>0</v>
      </c>
      <c r="M40" s="60">
        <f t="shared" ref="M40:O40" ca="1" si="52">$C$40*M9</f>
        <v>0</v>
      </c>
      <c r="N40" s="60">
        <f t="shared" ca="1" si="52"/>
        <v>0</v>
      </c>
      <c r="O40" s="60">
        <f t="shared" ca="1" si="52"/>
        <v>0</v>
      </c>
      <c r="P40" s="60"/>
      <c r="Q40" s="61">
        <f ca="1">SUM(D40:O40)</f>
        <v>0</v>
      </c>
      <c r="R40" s="62"/>
      <c r="S40" s="60">
        <f t="shared" ref="S40:AD40" ca="1" si="53">$C$40*S9</f>
        <v>0</v>
      </c>
      <c r="T40" s="60">
        <f t="shared" ca="1" si="53"/>
        <v>0</v>
      </c>
      <c r="U40" s="60">
        <f t="shared" ca="1" si="53"/>
        <v>0</v>
      </c>
      <c r="V40" s="60">
        <f t="shared" ca="1" si="53"/>
        <v>0</v>
      </c>
      <c r="W40" s="60">
        <f t="shared" ca="1" si="53"/>
        <v>0</v>
      </c>
      <c r="X40" s="60">
        <f t="shared" ca="1" si="53"/>
        <v>0</v>
      </c>
      <c r="Y40" s="60">
        <f t="shared" ca="1" si="53"/>
        <v>0</v>
      </c>
      <c r="Z40" s="60">
        <f t="shared" ca="1" si="53"/>
        <v>0</v>
      </c>
      <c r="AA40" s="60">
        <f t="shared" ca="1" si="53"/>
        <v>0</v>
      </c>
      <c r="AB40" s="60">
        <f t="shared" ca="1" si="53"/>
        <v>0</v>
      </c>
      <c r="AC40" s="60">
        <f t="shared" ca="1" si="53"/>
        <v>0</v>
      </c>
      <c r="AD40" s="60">
        <f t="shared" ca="1" si="53"/>
        <v>0</v>
      </c>
      <c r="AE40" s="60"/>
      <c r="AF40" s="61">
        <f ca="1">SUM(S40:AD40)</f>
        <v>0</v>
      </c>
      <c r="AH40" s="60">
        <f t="shared" ref="AH40:AS40" ca="1" si="54">$C$40*AH9</f>
        <v>0</v>
      </c>
      <c r="AI40" s="60">
        <f t="shared" ca="1" si="54"/>
        <v>0</v>
      </c>
      <c r="AJ40" s="60">
        <f t="shared" ca="1" si="54"/>
        <v>0</v>
      </c>
      <c r="AK40" s="60">
        <f t="shared" ca="1" si="54"/>
        <v>0</v>
      </c>
      <c r="AL40" s="60">
        <f t="shared" ca="1" si="54"/>
        <v>0</v>
      </c>
      <c r="AM40" s="60">
        <f t="shared" ca="1" si="54"/>
        <v>0</v>
      </c>
      <c r="AN40" s="60">
        <f t="shared" ca="1" si="54"/>
        <v>0</v>
      </c>
      <c r="AO40" s="60">
        <f t="shared" ca="1" si="54"/>
        <v>0</v>
      </c>
      <c r="AP40" s="60">
        <f t="shared" ca="1" si="54"/>
        <v>0</v>
      </c>
      <c r="AQ40" s="60">
        <f t="shared" ca="1" si="54"/>
        <v>0</v>
      </c>
      <c r="AR40" s="60">
        <f t="shared" ca="1" si="54"/>
        <v>0</v>
      </c>
      <c r="AS40" s="60">
        <f t="shared" ca="1" si="54"/>
        <v>0</v>
      </c>
      <c r="AT40" s="60"/>
      <c r="AU40" s="61">
        <f ca="1">SUM(AH40:AS40)</f>
        <v>0</v>
      </c>
    </row>
    <row r="41" spans="1:47" outlineLevel="1">
      <c r="B41" s="51" t="s">
        <v>109</v>
      </c>
      <c r="C41" s="75">
        <f>SUMIFS(Fulfilment!E:E,Fulfilment!A:A,"SK",Fulfilment!B:B,"TikTok")</f>
        <v>0</v>
      </c>
      <c r="D41" s="59"/>
      <c r="E41" s="59"/>
      <c r="F41" s="59"/>
      <c r="G41" s="59"/>
      <c r="H41" s="59"/>
      <c r="I41" s="59"/>
      <c r="J41" s="59"/>
      <c r="K41" s="59"/>
      <c r="L41" s="59">
        <v>-6</v>
      </c>
      <c r="M41" s="60">
        <f t="shared" ref="M41:O41" si="55">$C$41*M10</f>
        <v>0</v>
      </c>
      <c r="N41" s="60">
        <f t="shared" si="55"/>
        <v>0</v>
      </c>
      <c r="O41" s="60">
        <f t="shared" si="55"/>
        <v>0</v>
      </c>
      <c r="P41" s="60"/>
      <c r="Q41" s="61">
        <f>SUM(D41:O41)</f>
        <v>-6</v>
      </c>
      <c r="R41" s="66"/>
      <c r="S41" s="60">
        <f t="shared" ref="S41:AD41" si="56">$C$41*S10</f>
        <v>0</v>
      </c>
      <c r="T41" s="60">
        <f t="shared" si="56"/>
        <v>0</v>
      </c>
      <c r="U41" s="60">
        <f t="shared" si="56"/>
        <v>0</v>
      </c>
      <c r="V41" s="60">
        <f t="shared" si="56"/>
        <v>0</v>
      </c>
      <c r="W41" s="60">
        <f t="shared" si="56"/>
        <v>0</v>
      </c>
      <c r="X41" s="60">
        <f t="shared" si="56"/>
        <v>0</v>
      </c>
      <c r="Y41" s="60">
        <f t="shared" si="56"/>
        <v>0</v>
      </c>
      <c r="Z41" s="60">
        <f t="shared" si="56"/>
        <v>0</v>
      </c>
      <c r="AA41" s="60">
        <f t="shared" si="56"/>
        <v>0</v>
      </c>
      <c r="AB41" s="60">
        <f t="shared" si="56"/>
        <v>0</v>
      </c>
      <c r="AC41" s="60">
        <f t="shared" si="56"/>
        <v>0</v>
      </c>
      <c r="AD41" s="60">
        <f t="shared" si="56"/>
        <v>0</v>
      </c>
      <c r="AE41" s="60"/>
      <c r="AF41" s="61">
        <f>SUM(S41:AD41)</f>
        <v>0</v>
      </c>
      <c r="AH41" s="60">
        <f t="shared" ref="AH41:AS41" si="57">$C$41*AH10</f>
        <v>0</v>
      </c>
      <c r="AI41" s="60">
        <f t="shared" si="57"/>
        <v>0</v>
      </c>
      <c r="AJ41" s="60">
        <f t="shared" si="57"/>
        <v>0</v>
      </c>
      <c r="AK41" s="60">
        <f t="shared" si="57"/>
        <v>0</v>
      </c>
      <c r="AL41" s="60">
        <f t="shared" si="57"/>
        <v>0</v>
      </c>
      <c r="AM41" s="60">
        <f t="shared" si="57"/>
        <v>0</v>
      </c>
      <c r="AN41" s="60">
        <f t="shared" si="57"/>
        <v>0</v>
      </c>
      <c r="AO41" s="60">
        <f t="shared" si="57"/>
        <v>0</v>
      </c>
      <c r="AP41" s="60">
        <f t="shared" si="57"/>
        <v>0</v>
      </c>
      <c r="AQ41" s="60">
        <f t="shared" si="57"/>
        <v>0</v>
      </c>
      <c r="AR41" s="60">
        <f t="shared" si="57"/>
        <v>0</v>
      </c>
      <c r="AS41" s="60">
        <f t="shared" si="57"/>
        <v>0</v>
      </c>
      <c r="AT41" s="60"/>
      <c r="AU41" s="61">
        <f>SUM(AH41:AS41)</f>
        <v>0</v>
      </c>
    </row>
    <row r="42" spans="1:47" outlineLevel="1">
      <c r="D42" s="53"/>
      <c r="E42" s="53"/>
      <c r="F42" s="53"/>
      <c r="G42" s="53"/>
      <c r="H42" s="53"/>
      <c r="I42" s="53"/>
      <c r="J42" s="53"/>
      <c r="K42" s="53"/>
      <c r="L42" s="53"/>
    </row>
    <row r="43" spans="1:47" s="10" customFormat="1">
      <c r="A43" s="52"/>
      <c r="B43" s="63" t="s">
        <v>110</v>
      </c>
      <c r="C43" s="52"/>
      <c r="D43" s="64">
        <f t="shared" ref="D43:K43" si="58">SUM(D37:D42)</f>
        <v>-3806.13</v>
      </c>
      <c r="E43" s="64">
        <f t="shared" si="58"/>
        <v>-18362.2</v>
      </c>
      <c r="F43" s="64">
        <f t="shared" si="58"/>
        <v>-23159.89</v>
      </c>
      <c r="G43" s="64">
        <f t="shared" si="58"/>
        <v>-4019.56</v>
      </c>
      <c r="H43" s="64">
        <f t="shared" si="58"/>
        <v>-5590.35</v>
      </c>
      <c r="I43" s="64">
        <f t="shared" si="58"/>
        <v>-23103.67</v>
      </c>
      <c r="J43" s="64">
        <f t="shared" si="58"/>
        <v>-22550.68</v>
      </c>
      <c r="K43" s="64">
        <f t="shared" si="58"/>
        <v>-3915.0299999999997</v>
      </c>
      <c r="L43" s="64">
        <f ca="1">SUM(L37:L42)</f>
        <v>-33784</v>
      </c>
      <c r="M43" s="65">
        <f ca="1">SUM(M37:M42)</f>
        <v>-48387</v>
      </c>
      <c r="N43" s="65">
        <f ca="1">SUM(N37:N42)</f>
        <v>-14673</v>
      </c>
      <c r="O43" s="65">
        <f ca="1">SUM(O37:O42)</f>
        <v>-7856</v>
      </c>
      <c r="P43" s="61"/>
      <c r="Q43" s="65">
        <f ca="1">SUM(D43:O43)</f>
        <v>-209207.50999999998</v>
      </c>
      <c r="R43" s="52"/>
      <c r="S43" s="84">
        <f ca="1">SUM(S37:S42)</f>
        <v>-9654.2470000284648</v>
      </c>
      <c r="T43" s="84">
        <f t="shared" ref="T43:Z43" ca="1" si="59">SUM(T37:T42)</f>
        <v>-27169.959495476338</v>
      </c>
      <c r="U43" s="84">
        <f t="shared" ca="1" si="59"/>
        <v>-25164.59036009683</v>
      </c>
      <c r="V43" s="84">
        <f t="shared" ca="1" si="59"/>
        <v>-9675.9854573183238</v>
      </c>
      <c r="W43" s="84">
        <f t="shared" ca="1" si="59"/>
        <v>-10180.300824785272</v>
      </c>
      <c r="X43" s="65">
        <f t="shared" ca="1" si="59"/>
        <v>-28767.176736314457</v>
      </c>
      <c r="Y43" s="65">
        <f t="shared" ca="1" si="59"/>
        <v>-12613.213868744297</v>
      </c>
      <c r="Z43" s="65">
        <f t="shared" ca="1" si="59"/>
        <v>-10356.212360989894</v>
      </c>
      <c r="AA43" s="65">
        <f ca="1">SUM(AA37:AA42)</f>
        <v>-33699.54690621671</v>
      </c>
      <c r="AB43" s="65">
        <f ca="1">SUM(AB37:AB42)</f>
        <v>-31229.447845738898</v>
      </c>
      <c r="AC43" s="65">
        <f ca="1">SUM(AC37:AC42)</f>
        <v>-10117.764045274396</v>
      </c>
      <c r="AD43" s="65">
        <f ca="1">SUM(AD37:AD42)</f>
        <v>-9229.5987968866211</v>
      </c>
      <c r="AE43" s="61"/>
      <c r="AF43" s="65">
        <f ca="1">SUM(S43:AD43)</f>
        <v>-217858.04369787051</v>
      </c>
      <c r="AG43" s="7"/>
      <c r="AH43" s="84">
        <f ca="1">SUM(AH37:AH42)</f>
        <v>-7598.923596043267</v>
      </c>
      <c r="AI43" s="84">
        <f t="shared" ref="AI43:AO43" ca="1" si="60">SUM(AI37:AI42)</f>
        <v>-32708.310764548714</v>
      </c>
      <c r="AJ43" s="84">
        <f t="shared" ca="1" si="60"/>
        <v>-27237.154492428384</v>
      </c>
      <c r="AK43" s="84">
        <f t="shared" ca="1" si="60"/>
        <v>-9384.8319151983342</v>
      </c>
      <c r="AL43" s="84">
        <f t="shared" ca="1" si="60"/>
        <v>-9718.2976322975283</v>
      </c>
      <c r="AM43" s="65">
        <f t="shared" ca="1" si="60"/>
        <v>-39696.053774343127</v>
      </c>
      <c r="AN43" s="65">
        <f t="shared" ca="1" si="60"/>
        <v>-6387.6074011452883</v>
      </c>
      <c r="AO43" s="65">
        <f t="shared" ca="1" si="60"/>
        <v>-10262.268912793343</v>
      </c>
      <c r="AP43" s="65">
        <f ca="1">SUM(AP37:AP42)</f>
        <v>-36405.448701955982</v>
      </c>
      <c r="AQ43" s="65">
        <f ca="1">SUM(AQ37:AQ42)</f>
        <v>-30976.001949661942</v>
      </c>
      <c r="AR43" s="65">
        <f ca="1">SUM(AR37:AR42)</f>
        <v>-11749.90057908259</v>
      </c>
      <c r="AS43" s="65">
        <f ca="1">SUM(AS37:AS42)</f>
        <v>-10978.643673008442</v>
      </c>
      <c r="AT43" s="61"/>
      <c r="AU43" s="65">
        <f ca="1">SUM(AH43:AS43)</f>
        <v>-233103.44339250695</v>
      </c>
    </row>
    <row r="44" spans="1:47">
      <c r="D44" s="53"/>
      <c r="E44" s="53"/>
      <c r="F44" s="53"/>
      <c r="G44" s="53"/>
      <c r="H44" s="53"/>
      <c r="I44" s="53"/>
      <c r="J44" s="53"/>
      <c r="K44" s="53"/>
      <c r="L44" s="53"/>
      <c r="Q44" s="91">
        <f ca="1">-Q43/Q12</f>
        <v>0.13890732989392893</v>
      </c>
      <c r="AF44" s="91">
        <f ca="1">-AF43/AF12</f>
        <v>0.13549876142719192</v>
      </c>
      <c r="AU44" s="91">
        <f ca="1">-AU43/AU12</f>
        <v>0.13589267087269688</v>
      </c>
    </row>
    <row r="45" spans="1:47" outlineLevel="1">
      <c r="B45" s="67" t="s">
        <v>111</v>
      </c>
      <c r="C45" s="52"/>
      <c r="D45" s="68">
        <f t="shared" ref="D45:K45" si="61">D23+D38</f>
        <v>14110.810000000001</v>
      </c>
      <c r="E45" s="68">
        <f t="shared" si="61"/>
        <v>77603.23000000001</v>
      </c>
      <c r="F45" s="68">
        <f t="shared" si="61"/>
        <v>77370.37</v>
      </c>
      <c r="G45" s="68">
        <f t="shared" si="61"/>
        <v>14436.860000000002</v>
      </c>
      <c r="H45" s="68">
        <f t="shared" si="61"/>
        <v>22674.119999999995</v>
      </c>
      <c r="I45" s="68">
        <f t="shared" si="61"/>
        <v>88437.04</v>
      </c>
      <c r="J45" s="68">
        <f t="shared" si="61"/>
        <v>79829.49000000002</v>
      </c>
      <c r="K45" s="68">
        <f t="shared" si="61"/>
        <v>12891.27</v>
      </c>
      <c r="L45" s="68">
        <f t="shared" ref="L45:O48" si="62">L23+L38</f>
        <v>110468</v>
      </c>
      <c r="M45" s="69">
        <f t="shared" si="62"/>
        <v>157598</v>
      </c>
      <c r="N45" s="69">
        <f t="shared" si="62"/>
        <v>53767</v>
      </c>
      <c r="O45" s="69">
        <f t="shared" si="62"/>
        <v>21494</v>
      </c>
      <c r="P45" s="69"/>
      <c r="Q45" s="69">
        <f>Q23+Q38</f>
        <v>730680.19000000018</v>
      </c>
      <c r="S45" s="85">
        <f t="shared" ref="S45:AD48" si="63">S23+S38</f>
        <v>35736.38873713083</v>
      </c>
      <c r="T45" s="85">
        <f t="shared" si="63"/>
        <v>98294.309425533138</v>
      </c>
      <c r="U45" s="85">
        <f t="shared" si="63"/>
        <v>90031.254470987915</v>
      </c>
      <c r="V45" s="85">
        <f t="shared" si="63"/>
        <v>32850.983552165111</v>
      </c>
      <c r="W45" s="85">
        <f t="shared" si="63"/>
        <v>36409.277893247941</v>
      </c>
      <c r="X45" s="69">
        <f t="shared" si="63"/>
        <v>105297.1157784878</v>
      </c>
      <c r="Y45" s="69">
        <f t="shared" si="63"/>
        <v>43981.148118908524</v>
      </c>
      <c r="Z45" s="69">
        <f t="shared" si="63"/>
        <v>38360.45232885264</v>
      </c>
      <c r="AA45" s="69">
        <f t="shared" si="63"/>
        <v>122431.96600039481</v>
      </c>
      <c r="AB45" s="69">
        <f t="shared" si="63"/>
        <v>107803.36889837678</v>
      </c>
      <c r="AC45" s="69">
        <f t="shared" si="63"/>
        <v>36057.906093027465</v>
      </c>
      <c r="AD45" s="69">
        <f t="shared" si="63"/>
        <v>30621.016272456829</v>
      </c>
      <c r="AE45" s="69"/>
      <c r="AF45" s="69">
        <f>AF23+AF38</f>
        <v>777875.18756956968</v>
      </c>
      <c r="AH45" s="85">
        <f t="shared" ref="AH45:AS48" si="64">AH23+AH38</f>
        <v>28035.607236808843</v>
      </c>
      <c r="AI45" s="85">
        <f t="shared" si="64"/>
        <v>118834.01361888152</v>
      </c>
      <c r="AJ45" s="85">
        <f t="shared" si="64"/>
        <v>97576.935796068952</v>
      </c>
      <c r="AK45" s="85">
        <f t="shared" si="64"/>
        <v>31596.629862199268</v>
      </c>
      <c r="AL45" s="85">
        <f t="shared" si="64"/>
        <v>34599.913685664331</v>
      </c>
      <c r="AM45" s="69">
        <f t="shared" si="64"/>
        <v>146039.11141412391</v>
      </c>
      <c r="AN45" s="69">
        <f t="shared" si="64"/>
        <v>20550.335401701821</v>
      </c>
      <c r="AO45" s="69">
        <f t="shared" si="64"/>
        <v>37991.636218487736</v>
      </c>
      <c r="AP45" s="69">
        <f t="shared" si="64"/>
        <v>132369.95016395443</v>
      </c>
      <c r="AQ45" s="69">
        <f t="shared" si="64"/>
        <v>106409.07009277062</v>
      </c>
      <c r="AR45" s="69">
        <f t="shared" si="64"/>
        <v>42070.905494547056</v>
      </c>
      <c r="AS45" s="69">
        <f t="shared" si="64"/>
        <v>36965.199555516476</v>
      </c>
      <c r="AT45" s="69"/>
      <c r="AU45" s="69">
        <f>AU23+AU38</f>
        <v>833039.3085407248</v>
      </c>
    </row>
    <row r="46" spans="1:47" outlineLevel="1">
      <c r="B46" s="67" t="s">
        <v>112</v>
      </c>
      <c r="C46" s="52"/>
      <c r="D46" s="68">
        <f t="shared" ref="D46:K46" si="65">D24+D39</f>
        <v>0</v>
      </c>
      <c r="E46" s="68">
        <f t="shared" si="65"/>
        <v>4082.5600000000018</v>
      </c>
      <c r="F46" s="68">
        <f t="shared" si="65"/>
        <v>17403.009999999998</v>
      </c>
      <c r="G46" s="68">
        <f t="shared" si="65"/>
        <v>14990.03</v>
      </c>
      <c r="H46" s="68">
        <f t="shared" si="65"/>
        <v>-457.97</v>
      </c>
      <c r="I46" s="68">
        <f t="shared" si="65"/>
        <v>9411.92</v>
      </c>
      <c r="J46" s="68">
        <f t="shared" si="65"/>
        <v>15215.96</v>
      </c>
      <c r="K46" s="68">
        <f t="shared" si="65"/>
        <v>-293.27999999999997</v>
      </c>
      <c r="L46" s="68">
        <f t="shared" si="62"/>
        <v>14143</v>
      </c>
      <c r="M46" s="69">
        <f t="shared" si="62"/>
        <v>41300</v>
      </c>
      <c r="N46" s="69">
        <f t="shared" si="62"/>
        <v>5900</v>
      </c>
      <c r="O46" s="69">
        <f t="shared" si="62"/>
        <v>17700</v>
      </c>
      <c r="P46" s="69"/>
      <c r="Q46" s="69">
        <f>Q24+Q39</f>
        <v>139395.23000000001</v>
      </c>
      <c r="S46" s="85">
        <f t="shared" si="63"/>
        <v>1728.8114487328696</v>
      </c>
      <c r="T46" s="85">
        <f t="shared" si="63"/>
        <v>16031.499072293065</v>
      </c>
      <c r="U46" s="85">
        <f t="shared" si="63"/>
        <v>19788.321604486169</v>
      </c>
      <c r="V46" s="85">
        <f t="shared" si="63"/>
        <v>16266.386921127571</v>
      </c>
      <c r="W46" s="85">
        <f t="shared" si="63"/>
        <v>8067.7867607533917</v>
      </c>
      <c r="X46" s="69">
        <f t="shared" si="63"/>
        <v>10973.68829788018</v>
      </c>
      <c r="Y46" s="69">
        <f t="shared" si="63"/>
        <v>15529.797989870787</v>
      </c>
      <c r="Z46" s="69">
        <f t="shared" si="63"/>
        <v>1728.8114487328696</v>
      </c>
      <c r="AA46" s="69">
        <f t="shared" si="63"/>
        <v>17359.629654257948</v>
      </c>
      <c r="AB46" s="69">
        <f t="shared" si="63"/>
        <v>43796.556701232701</v>
      </c>
      <c r="AC46" s="69">
        <f t="shared" si="63"/>
        <v>8644.0572436643488</v>
      </c>
      <c r="AD46" s="69">
        <f t="shared" si="63"/>
        <v>19016.925936061565</v>
      </c>
      <c r="AE46" s="69"/>
      <c r="AF46" s="69">
        <f>AF24+AF39</f>
        <v>178932.27307909346</v>
      </c>
      <c r="AH46" s="85">
        <f t="shared" si="64"/>
        <v>1815.2520211695132</v>
      </c>
      <c r="AI46" s="85">
        <f t="shared" si="64"/>
        <v>16833.074025907714</v>
      </c>
      <c r="AJ46" s="85">
        <f t="shared" si="64"/>
        <v>20777.737684710479</v>
      </c>
      <c r="AK46" s="85">
        <f t="shared" si="64"/>
        <v>17079.706267183952</v>
      </c>
      <c r="AL46" s="85">
        <f t="shared" si="64"/>
        <v>8471.176098791062</v>
      </c>
      <c r="AM46" s="69">
        <f t="shared" si="64"/>
        <v>11522.372712774193</v>
      </c>
      <c r="AN46" s="69">
        <f t="shared" si="64"/>
        <v>16306.287889364325</v>
      </c>
      <c r="AO46" s="69">
        <f t="shared" si="64"/>
        <v>1815.2520211695132</v>
      </c>
      <c r="AP46" s="69">
        <f t="shared" si="64"/>
        <v>18227.611136970841</v>
      </c>
      <c r="AQ46" s="69">
        <f t="shared" si="64"/>
        <v>45986.384536294339</v>
      </c>
      <c r="AR46" s="69">
        <f t="shared" si="64"/>
        <v>9076.2601058475648</v>
      </c>
      <c r="AS46" s="69">
        <f t="shared" si="64"/>
        <v>19967.772232864649</v>
      </c>
      <c r="AT46" s="69"/>
      <c r="AU46" s="69">
        <f>AU24+AU39</f>
        <v>187878.88673304813</v>
      </c>
    </row>
    <row r="47" spans="1:47" outlineLevel="1">
      <c r="B47" s="67" t="s">
        <v>113</v>
      </c>
      <c r="C47" s="52"/>
      <c r="D47" s="68">
        <f t="shared" ref="D47:K47" si="66">D25+D40</f>
        <v>0</v>
      </c>
      <c r="E47" s="68">
        <f t="shared" si="66"/>
        <v>0</v>
      </c>
      <c r="F47" s="68">
        <f t="shared" si="66"/>
        <v>0</v>
      </c>
      <c r="G47" s="68">
        <f t="shared" si="66"/>
        <v>0</v>
      </c>
      <c r="H47" s="68">
        <f t="shared" si="66"/>
        <v>0</v>
      </c>
      <c r="I47" s="68">
        <f t="shared" si="66"/>
        <v>0</v>
      </c>
      <c r="J47" s="68">
        <f t="shared" si="66"/>
        <v>0</v>
      </c>
      <c r="K47" s="68">
        <f t="shared" si="66"/>
        <v>0</v>
      </c>
      <c r="L47" s="68">
        <f t="shared" ca="1" si="62"/>
        <v>0</v>
      </c>
      <c r="M47" s="69">
        <f t="shared" ca="1" si="62"/>
        <v>0</v>
      </c>
      <c r="N47" s="69">
        <f t="shared" ca="1" si="62"/>
        <v>0</v>
      </c>
      <c r="O47" s="69">
        <f t="shared" ca="1" si="62"/>
        <v>0</v>
      </c>
      <c r="P47" s="69"/>
      <c r="Q47" s="69">
        <f ca="1">Q25+Q40</f>
        <v>0</v>
      </c>
      <c r="S47" s="85">
        <f t="shared" ca="1" si="63"/>
        <v>0</v>
      </c>
      <c r="T47" s="85">
        <f t="shared" ca="1" si="63"/>
        <v>0</v>
      </c>
      <c r="U47" s="85">
        <f t="shared" ca="1" si="63"/>
        <v>0</v>
      </c>
      <c r="V47" s="85">
        <f t="shared" ca="1" si="63"/>
        <v>0</v>
      </c>
      <c r="W47" s="85">
        <f t="shared" ca="1" si="63"/>
        <v>0</v>
      </c>
      <c r="X47" s="69">
        <f t="shared" ca="1" si="63"/>
        <v>0</v>
      </c>
      <c r="Y47" s="69">
        <f t="shared" ca="1" si="63"/>
        <v>0</v>
      </c>
      <c r="Z47" s="69">
        <f t="shared" ca="1" si="63"/>
        <v>0</v>
      </c>
      <c r="AA47" s="69">
        <f t="shared" ca="1" si="63"/>
        <v>0</v>
      </c>
      <c r="AB47" s="69">
        <f t="shared" ca="1" si="63"/>
        <v>0</v>
      </c>
      <c r="AC47" s="69">
        <f t="shared" ca="1" si="63"/>
        <v>0</v>
      </c>
      <c r="AD47" s="69">
        <f t="shared" ca="1" si="63"/>
        <v>0</v>
      </c>
      <c r="AE47" s="69"/>
      <c r="AF47" s="69">
        <f ca="1">AF25+AF40</f>
        <v>0</v>
      </c>
      <c r="AH47" s="85">
        <f t="shared" ca="1" si="64"/>
        <v>0</v>
      </c>
      <c r="AI47" s="85">
        <f t="shared" ca="1" si="64"/>
        <v>0</v>
      </c>
      <c r="AJ47" s="85">
        <f t="shared" ca="1" si="64"/>
        <v>0</v>
      </c>
      <c r="AK47" s="85">
        <f t="shared" ca="1" si="64"/>
        <v>0</v>
      </c>
      <c r="AL47" s="85">
        <f t="shared" ca="1" si="64"/>
        <v>0</v>
      </c>
      <c r="AM47" s="69">
        <f t="shared" ca="1" si="64"/>
        <v>0</v>
      </c>
      <c r="AN47" s="69">
        <f t="shared" ca="1" si="64"/>
        <v>0</v>
      </c>
      <c r="AO47" s="69">
        <f t="shared" ca="1" si="64"/>
        <v>0</v>
      </c>
      <c r="AP47" s="69">
        <f t="shared" ca="1" si="64"/>
        <v>0</v>
      </c>
      <c r="AQ47" s="69">
        <f t="shared" ca="1" si="64"/>
        <v>0</v>
      </c>
      <c r="AR47" s="69">
        <f t="shared" ca="1" si="64"/>
        <v>0</v>
      </c>
      <c r="AS47" s="69">
        <f t="shared" ca="1" si="64"/>
        <v>0</v>
      </c>
      <c r="AT47" s="69"/>
      <c r="AU47" s="69">
        <f ca="1">AU25+AU40</f>
        <v>0</v>
      </c>
    </row>
    <row r="48" spans="1:47" outlineLevel="1">
      <c r="B48" s="67" t="s">
        <v>114</v>
      </c>
      <c r="C48" s="52"/>
      <c r="D48" s="68">
        <f t="shared" ref="D48:K48" si="67">D26+D41</f>
        <v>0</v>
      </c>
      <c r="E48" s="68">
        <f t="shared" si="67"/>
        <v>0</v>
      </c>
      <c r="F48" s="68">
        <f t="shared" si="67"/>
        <v>0</v>
      </c>
      <c r="G48" s="68">
        <f t="shared" si="67"/>
        <v>0</v>
      </c>
      <c r="H48" s="68">
        <f t="shared" si="67"/>
        <v>0</v>
      </c>
      <c r="I48" s="68">
        <f t="shared" si="67"/>
        <v>0</v>
      </c>
      <c r="J48" s="68">
        <f t="shared" si="67"/>
        <v>0</v>
      </c>
      <c r="K48" s="68">
        <f t="shared" si="67"/>
        <v>0</v>
      </c>
      <c r="L48" s="68">
        <f t="shared" si="62"/>
        <v>-6</v>
      </c>
      <c r="M48" s="69">
        <f t="shared" si="62"/>
        <v>0</v>
      </c>
      <c r="N48" s="69">
        <f t="shared" si="62"/>
        <v>0</v>
      </c>
      <c r="O48" s="69">
        <f t="shared" si="62"/>
        <v>0</v>
      </c>
      <c r="P48" s="69"/>
      <c r="Q48" s="69">
        <f>Q26+Q41</f>
        <v>-6</v>
      </c>
      <c r="S48" s="85">
        <f t="shared" si="63"/>
        <v>0</v>
      </c>
      <c r="T48" s="85">
        <f t="shared" si="63"/>
        <v>0</v>
      </c>
      <c r="U48" s="85">
        <f t="shared" si="63"/>
        <v>0</v>
      </c>
      <c r="V48" s="85">
        <f t="shared" si="63"/>
        <v>0</v>
      </c>
      <c r="W48" s="85">
        <f t="shared" si="63"/>
        <v>0</v>
      </c>
      <c r="X48" s="69">
        <f t="shared" si="63"/>
        <v>0</v>
      </c>
      <c r="Y48" s="69">
        <f t="shared" si="63"/>
        <v>0</v>
      </c>
      <c r="Z48" s="69">
        <f t="shared" si="63"/>
        <v>0</v>
      </c>
      <c r="AA48" s="69">
        <f t="shared" si="63"/>
        <v>0</v>
      </c>
      <c r="AB48" s="69">
        <f t="shared" si="63"/>
        <v>0</v>
      </c>
      <c r="AC48" s="69">
        <f t="shared" si="63"/>
        <v>0</v>
      </c>
      <c r="AD48" s="69">
        <f t="shared" si="63"/>
        <v>0</v>
      </c>
      <c r="AE48" s="69"/>
      <c r="AF48" s="69">
        <f>AF26+AF41</f>
        <v>0</v>
      </c>
      <c r="AH48" s="85">
        <f t="shared" si="64"/>
        <v>0</v>
      </c>
      <c r="AI48" s="85">
        <f t="shared" si="64"/>
        <v>0</v>
      </c>
      <c r="AJ48" s="85">
        <f t="shared" si="64"/>
        <v>0</v>
      </c>
      <c r="AK48" s="85">
        <f t="shared" si="64"/>
        <v>0</v>
      </c>
      <c r="AL48" s="85">
        <f t="shared" si="64"/>
        <v>0</v>
      </c>
      <c r="AM48" s="69">
        <f t="shared" si="64"/>
        <v>0</v>
      </c>
      <c r="AN48" s="69">
        <f t="shared" si="64"/>
        <v>0</v>
      </c>
      <c r="AO48" s="69">
        <f t="shared" si="64"/>
        <v>0</v>
      </c>
      <c r="AP48" s="69">
        <f t="shared" si="64"/>
        <v>0</v>
      </c>
      <c r="AQ48" s="69">
        <f t="shared" si="64"/>
        <v>0</v>
      </c>
      <c r="AR48" s="69">
        <f t="shared" si="64"/>
        <v>0</v>
      </c>
      <c r="AS48" s="69">
        <f t="shared" si="64"/>
        <v>0</v>
      </c>
      <c r="AT48" s="69"/>
      <c r="AU48" s="69">
        <f>AU26+AU41</f>
        <v>0</v>
      </c>
    </row>
    <row r="49" spans="2:47">
      <c r="B49" s="67" t="s">
        <v>115</v>
      </c>
      <c r="C49" s="52"/>
      <c r="D49" s="68">
        <f t="shared" ref="D49:K49" si="68">D27+D43</f>
        <v>14110.810000000001</v>
      </c>
      <c r="E49" s="68">
        <f t="shared" si="68"/>
        <v>81685.789999999994</v>
      </c>
      <c r="F49" s="68">
        <f t="shared" si="68"/>
        <v>94773.38</v>
      </c>
      <c r="G49" s="68">
        <f t="shared" si="68"/>
        <v>29426.889999999996</v>
      </c>
      <c r="H49" s="68">
        <f t="shared" si="68"/>
        <v>22216.149999999994</v>
      </c>
      <c r="I49" s="68">
        <f t="shared" si="68"/>
        <v>97848.960000000006</v>
      </c>
      <c r="J49" s="68">
        <f t="shared" si="68"/>
        <v>95045.449999999983</v>
      </c>
      <c r="K49" s="68">
        <f t="shared" si="68"/>
        <v>12597.990000000002</v>
      </c>
      <c r="L49" s="68">
        <f t="shared" ref="L49:Q49" ca="1" si="69">L27+L43</f>
        <v>124605</v>
      </c>
      <c r="M49" s="69">
        <f t="shared" ca="1" si="69"/>
        <v>198898</v>
      </c>
      <c r="N49" s="69">
        <f t="shared" ca="1" si="69"/>
        <v>59667</v>
      </c>
      <c r="O49" s="69">
        <f t="shared" ca="1" si="69"/>
        <v>39194</v>
      </c>
      <c r="P49" s="69"/>
      <c r="Q49" s="69">
        <f t="shared" ca="1" si="69"/>
        <v>870069.42000000016</v>
      </c>
      <c r="S49" s="85">
        <f ca="1">S27+S43</f>
        <v>37465.200185863694</v>
      </c>
      <c r="T49" s="85">
        <f t="shared" ref="T49:AD49" ca="1" si="70">T27+T43</f>
        <v>114325.80849782622</v>
      </c>
      <c r="U49" s="85">
        <f t="shared" ca="1" si="70"/>
        <v>109819.57607547409</v>
      </c>
      <c r="V49" s="85">
        <f t="shared" ca="1" si="70"/>
        <v>49117.370473292678</v>
      </c>
      <c r="W49" s="85">
        <f t="shared" ca="1" si="70"/>
        <v>44477.064654001333</v>
      </c>
      <c r="X49" s="69">
        <f t="shared" ca="1" si="70"/>
        <v>116270.80407636799</v>
      </c>
      <c r="Y49" s="69">
        <f t="shared" ca="1" si="70"/>
        <v>59510.946108779317</v>
      </c>
      <c r="Z49" s="69">
        <f t="shared" ca="1" si="70"/>
        <v>40089.263777585511</v>
      </c>
      <c r="AA49" s="69">
        <f t="shared" ca="1" si="70"/>
        <v>139791.59565465277</v>
      </c>
      <c r="AB49" s="69">
        <f t="shared" ca="1" si="70"/>
        <v>151599.92559960944</v>
      </c>
      <c r="AC49" s="69">
        <f t="shared" ca="1" si="70"/>
        <v>44701.963336691821</v>
      </c>
      <c r="AD49" s="69">
        <f t="shared" ca="1" si="70"/>
        <v>49637.942208518405</v>
      </c>
      <c r="AE49" s="69"/>
      <c r="AF49" s="69">
        <f t="shared" ref="AF49" ca="1" si="71">AF27+AF43</f>
        <v>956807.46064866334</v>
      </c>
      <c r="AH49" s="85">
        <f ca="1">AH27+AH43</f>
        <v>29850.859257978362</v>
      </c>
      <c r="AI49" s="85">
        <f t="shared" ref="AI49:AS49" ca="1" si="72">AI27+AI43</f>
        <v>135667.08764478922</v>
      </c>
      <c r="AJ49" s="85">
        <f t="shared" ca="1" si="72"/>
        <v>118354.67348077943</v>
      </c>
      <c r="AK49" s="85">
        <f t="shared" ca="1" si="72"/>
        <v>48676.336129383213</v>
      </c>
      <c r="AL49" s="85">
        <f t="shared" ca="1" si="72"/>
        <v>43071.089784455384</v>
      </c>
      <c r="AM49" s="69">
        <f t="shared" ca="1" si="72"/>
        <v>157561.48412689808</v>
      </c>
      <c r="AN49" s="69">
        <f t="shared" ca="1" si="72"/>
        <v>36856.623291066149</v>
      </c>
      <c r="AO49" s="69">
        <f t="shared" ca="1" si="72"/>
        <v>39806.888239657259</v>
      </c>
      <c r="AP49" s="69">
        <f t="shared" ca="1" si="72"/>
        <v>150597.56130092524</v>
      </c>
      <c r="AQ49" s="69">
        <f t="shared" ca="1" si="72"/>
        <v>152395.45462906495</v>
      </c>
      <c r="AR49" s="69">
        <f t="shared" ca="1" si="72"/>
        <v>51147.165600394626</v>
      </c>
      <c r="AS49" s="69">
        <f t="shared" ca="1" si="72"/>
        <v>56932.97178838111</v>
      </c>
      <c r="AT49" s="69"/>
      <c r="AU49" s="69">
        <f t="shared" ref="AU49" ca="1" si="73">AU27+AU43</f>
        <v>1020918.1952737727</v>
      </c>
    </row>
    <row r="50" spans="2:47">
      <c r="B50" s="52"/>
      <c r="C50" s="52"/>
      <c r="D50" s="70"/>
      <c r="E50" s="70"/>
      <c r="F50" s="70"/>
      <c r="G50" s="70"/>
      <c r="H50" s="70"/>
      <c r="I50" s="70"/>
      <c r="J50" s="70"/>
      <c r="K50" s="70"/>
      <c r="L50" s="70"/>
      <c r="M50" s="52"/>
      <c r="N50" s="52"/>
      <c r="O50" s="52"/>
      <c r="P50" s="52"/>
      <c r="S50" s="10"/>
      <c r="T50" s="10"/>
      <c r="U50" s="10"/>
      <c r="V50" s="10"/>
      <c r="W50" s="10"/>
      <c r="X50" s="52"/>
      <c r="Y50" s="52"/>
      <c r="Z50" s="52"/>
      <c r="AA50" s="52"/>
      <c r="AB50" s="52"/>
      <c r="AC50" s="52"/>
      <c r="AD50" s="52"/>
      <c r="AE50" s="52"/>
      <c r="AH50" s="10"/>
      <c r="AI50" s="10"/>
      <c r="AJ50" s="10"/>
      <c r="AK50" s="10"/>
      <c r="AL50" s="10"/>
      <c r="AM50" s="52"/>
      <c r="AN50" s="52"/>
      <c r="AO50" s="52"/>
      <c r="AP50" s="52"/>
      <c r="AQ50" s="52"/>
      <c r="AR50" s="52"/>
      <c r="AS50" s="52"/>
      <c r="AT50" s="52"/>
    </row>
    <row r="51" spans="2:47" outlineLevel="1">
      <c r="B51" s="67" t="s">
        <v>116</v>
      </c>
      <c r="C51" s="52"/>
      <c r="D51" s="97">
        <f t="shared" ref="D51:K51" si="74">IFERROR(D45/D7,0)</f>
        <v>0.57806478624096347</v>
      </c>
      <c r="E51" s="97">
        <f t="shared" si="74"/>
        <v>0.61028230987902143</v>
      </c>
      <c r="F51" s="97">
        <f t="shared" si="74"/>
        <v>0.58754834796577637</v>
      </c>
      <c r="G51" s="97">
        <f t="shared" si="74"/>
        <v>0.64731793362023593</v>
      </c>
      <c r="H51" s="97">
        <f t="shared" si="74"/>
        <v>0.65138895592159229</v>
      </c>
      <c r="I51" s="97">
        <f t="shared" si="74"/>
        <v>0.58899892472796023</v>
      </c>
      <c r="J51" s="97">
        <f t="shared" si="74"/>
        <v>0.55844230886135326</v>
      </c>
      <c r="K51" s="97">
        <f t="shared" si="74"/>
        <v>0.64412871311864495</v>
      </c>
      <c r="L51" s="97">
        <f t="shared" ref="L51:O54" si="75">IFERROR(L45/L7,0)</f>
        <v>0.55292610166776779</v>
      </c>
      <c r="M51" s="91">
        <f t="shared" si="75"/>
        <v>0.57412750455373407</v>
      </c>
      <c r="N51" s="91">
        <f t="shared" si="75"/>
        <v>0.60412359550561801</v>
      </c>
      <c r="O51" s="91">
        <f t="shared" si="75"/>
        <v>0.61411428571428572</v>
      </c>
      <c r="P51" s="91"/>
      <c r="Q51" s="91">
        <f>IFERROR(Q45/Q7,0)</f>
        <v>0.58372007934078995</v>
      </c>
      <c r="S51" s="91">
        <f t="shared" ref="S51:AD54" si="76">IFERROR(S45/S7,0)</f>
        <v>0.59960041180630885</v>
      </c>
      <c r="T51" s="91">
        <f t="shared" si="76"/>
        <v>0.59960041180630874</v>
      </c>
      <c r="U51" s="91">
        <f t="shared" si="76"/>
        <v>0.59960041180630874</v>
      </c>
      <c r="V51" s="91">
        <f t="shared" si="76"/>
        <v>0.59960041180630885</v>
      </c>
      <c r="W51" s="91">
        <f t="shared" si="76"/>
        <v>0.59960041180630874</v>
      </c>
      <c r="X51" s="91">
        <f t="shared" si="76"/>
        <v>0.59960041180630874</v>
      </c>
      <c r="Y51" s="91">
        <f t="shared" si="76"/>
        <v>0.59960041180630874</v>
      </c>
      <c r="Z51" s="91">
        <f t="shared" si="76"/>
        <v>0.59960041180630885</v>
      </c>
      <c r="AA51" s="91">
        <f t="shared" si="76"/>
        <v>0.59960041180630874</v>
      </c>
      <c r="AB51" s="91">
        <f t="shared" si="76"/>
        <v>0.59960041180630885</v>
      </c>
      <c r="AC51" s="91">
        <f t="shared" si="76"/>
        <v>0.59960041180630885</v>
      </c>
      <c r="AD51" s="91">
        <f t="shared" si="76"/>
        <v>0.59960041180630874</v>
      </c>
      <c r="AE51" s="91"/>
      <c r="AF51" s="91">
        <f>IFERROR(AF45/AF7,0)</f>
        <v>0.59960041180630874</v>
      </c>
      <c r="AH51" s="91">
        <f t="shared" ref="AH51:AS54" si="77">IFERROR(AH45/AH7,0)</f>
        <v>0.59960041180630874</v>
      </c>
      <c r="AI51" s="91">
        <f t="shared" si="77"/>
        <v>0.59960041180630885</v>
      </c>
      <c r="AJ51" s="91">
        <f t="shared" si="77"/>
        <v>0.59960041180630885</v>
      </c>
      <c r="AK51" s="91">
        <f t="shared" si="77"/>
        <v>0.59960041180630885</v>
      </c>
      <c r="AL51" s="91">
        <f t="shared" si="77"/>
        <v>0.59960041180630885</v>
      </c>
      <c r="AM51" s="91">
        <f t="shared" si="77"/>
        <v>0.59960041180630874</v>
      </c>
      <c r="AN51" s="91">
        <f t="shared" si="77"/>
        <v>0.59960041180630863</v>
      </c>
      <c r="AO51" s="91">
        <f t="shared" si="77"/>
        <v>0.59960041180630874</v>
      </c>
      <c r="AP51" s="91">
        <f t="shared" si="77"/>
        <v>0.59960041180630885</v>
      </c>
      <c r="AQ51" s="91">
        <f t="shared" si="77"/>
        <v>0.59960041180630885</v>
      </c>
      <c r="AR51" s="91">
        <f t="shared" si="77"/>
        <v>0.59960041180630874</v>
      </c>
      <c r="AS51" s="91">
        <f t="shared" si="77"/>
        <v>0.59960041180630885</v>
      </c>
      <c r="AT51" s="91"/>
      <c r="AU51" s="91">
        <f>IFERROR(AU45/AU7,0)</f>
        <v>0.59960041180630874</v>
      </c>
    </row>
    <row r="52" spans="2:47" outlineLevel="1">
      <c r="B52" s="67" t="s">
        <v>117</v>
      </c>
      <c r="C52" s="52"/>
      <c r="D52" s="97">
        <f t="shared" ref="D52:K52" si="78">IFERROR(D46/D8,0)</f>
        <v>0</v>
      </c>
      <c r="E52" s="97">
        <f t="shared" si="78"/>
        <v>0.17139642476300837</v>
      </c>
      <c r="F52" s="97">
        <f t="shared" si="78"/>
        <v>0.57362600779205364</v>
      </c>
      <c r="G52" s="97">
        <f t="shared" si="78"/>
        <v>0.5942058112339953</v>
      </c>
      <c r="H52" s="97">
        <f t="shared" si="78"/>
        <v>0</v>
      </c>
      <c r="I52" s="97">
        <f t="shared" si="78"/>
        <v>0.62568438966667994</v>
      </c>
      <c r="J52" s="97">
        <f t="shared" si="78"/>
        <v>0.63535375467664346</v>
      </c>
      <c r="K52" s="97">
        <f t="shared" si="78"/>
        <v>0</v>
      </c>
      <c r="L52" s="97">
        <f t="shared" si="75"/>
        <v>0.54494663430046619</v>
      </c>
      <c r="M52" s="91">
        <f t="shared" si="75"/>
        <v>0.59</v>
      </c>
      <c r="N52" s="91">
        <f t="shared" si="75"/>
        <v>0.59</v>
      </c>
      <c r="O52" s="91">
        <f t="shared" si="75"/>
        <v>0.59</v>
      </c>
      <c r="P52" s="91"/>
      <c r="Q52" s="91">
        <f>IFERROR(Q46/Q8,0)</f>
        <v>0.54808932824911316</v>
      </c>
      <c r="S52" s="91">
        <f t="shared" si="76"/>
        <v>0.57627048291095651</v>
      </c>
      <c r="T52" s="91">
        <f t="shared" si="76"/>
        <v>0.57627048291095662</v>
      </c>
      <c r="U52" s="91">
        <f t="shared" si="76"/>
        <v>0.57627048291095651</v>
      </c>
      <c r="V52" s="91">
        <f t="shared" si="76"/>
        <v>0.57627048291095651</v>
      </c>
      <c r="W52" s="91">
        <f t="shared" si="76"/>
        <v>0.57627048291095651</v>
      </c>
      <c r="X52" s="91">
        <f t="shared" si="76"/>
        <v>0.57627048291095651</v>
      </c>
      <c r="Y52" s="91">
        <f t="shared" si="76"/>
        <v>0.57627048291095651</v>
      </c>
      <c r="Z52" s="91">
        <f t="shared" si="76"/>
        <v>0.57627048291095651</v>
      </c>
      <c r="AA52" s="91">
        <f t="shared" si="76"/>
        <v>0.57627048291095651</v>
      </c>
      <c r="AB52" s="91">
        <f t="shared" si="76"/>
        <v>0.57627048291095662</v>
      </c>
      <c r="AC52" s="91">
        <f t="shared" si="76"/>
        <v>0.57627048291095662</v>
      </c>
      <c r="AD52" s="91">
        <f t="shared" si="76"/>
        <v>0.57627048291095651</v>
      </c>
      <c r="AE52" s="91"/>
      <c r="AF52" s="91">
        <f>IFERROR(AF46/AF8,0)</f>
        <v>0.57627048291095651</v>
      </c>
      <c r="AH52" s="91">
        <f t="shared" si="77"/>
        <v>0.57627048291095662</v>
      </c>
      <c r="AI52" s="91">
        <f t="shared" si="77"/>
        <v>0.57627048291095639</v>
      </c>
      <c r="AJ52" s="91">
        <f t="shared" si="77"/>
        <v>0.57627048291095651</v>
      </c>
      <c r="AK52" s="91">
        <f t="shared" si="77"/>
        <v>0.57627048291095651</v>
      </c>
      <c r="AL52" s="91">
        <f t="shared" si="77"/>
        <v>0.57627048291095662</v>
      </c>
      <c r="AM52" s="91">
        <f t="shared" si="77"/>
        <v>0.57627048291095662</v>
      </c>
      <c r="AN52" s="91">
        <f t="shared" si="77"/>
        <v>0.57627048291095639</v>
      </c>
      <c r="AO52" s="91">
        <f t="shared" si="77"/>
        <v>0.57627048291095662</v>
      </c>
      <c r="AP52" s="91">
        <f t="shared" si="77"/>
        <v>0.57627048291095639</v>
      </c>
      <c r="AQ52" s="91">
        <f t="shared" si="77"/>
        <v>0.57627048291095662</v>
      </c>
      <c r="AR52" s="91">
        <f t="shared" si="77"/>
        <v>0.57627048291095651</v>
      </c>
      <c r="AS52" s="91">
        <f t="shared" si="77"/>
        <v>0.57627048291095673</v>
      </c>
      <c r="AT52" s="91"/>
      <c r="AU52" s="91">
        <f>IFERROR(AU46/AU8,0)</f>
        <v>0.57627048291095651</v>
      </c>
    </row>
    <row r="53" spans="2:47" outlineLevel="1">
      <c r="B53" s="67" t="s">
        <v>118</v>
      </c>
      <c r="C53" s="52"/>
      <c r="D53" s="97">
        <f t="shared" ref="D53:K53" si="79">IFERROR(D47/D9,0)</f>
        <v>0</v>
      </c>
      <c r="E53" s="97">
        <f t="shared" si="79"/>
        <v>0</v>
      </c>
      <c r="F53" s="97">
        <f t="shared" si="79"/>
        <v>0</v>
      </c>
      <c r="G53" s="97">
        <f t="shared" si="79"/>
        <v>0</v>
      </c>
      <c r="H53" s="97">
        <f t="shared" si="79"/>
        <v>0</v>
      </c>
      <c r="I53" s="97">
        <f t="shared" si="79"/>
        <v>0</v>
      </c>
      <c r="J53" s="97">
        <f t="shared" si="79"/>
        <v>0</v>
      </c>
      <c r="K53" s="97">
        <f t="shared" si="79"/>
        <v>0</v>
      </c>
      <c r="L53" s="97">
        <f t="shared" ca="1" si="75"/>
        <v>0</v>
      </c>
      <c r="M53" s="91">
        <f t="shared" ca="1" si="75"/>
        <v>0</v>
      </c>
      <c r="N53" s="91">
        <f t="shared" ca="1" si="75"/>
        <v>0</v>
      </c>
      <c r="O53" s="91">
        <f t="shared" ca="1" si="75"/>
        <v>0</v>
      </c>
      <c r="P53" s="91"/>
      <c r="Q53" s="91">
        <f ca="1">IFERROR(Q47/Q9,0)</f>
        <v>0</v>
      </c>
      <c r="S53" s="91">
        <f t="shared" ca="1" si="76"/>
        <v>0</v>
      </c>
      <c r="T53" s="91">
        <f t="shared" ca="1" si="76"/>
        <v>0</v>
      </c>
      <c r="U53" s="91">
        <f t="shared" ca="1" si="76"/>
        <v>0</v>
      </c>
      <c r="V53" s="91">
        <f t="shared" ca="1" si="76"/>
        <v>0</v>
      </c>
      <c r="W53" s="91">
        <f t="shared" ca="1" si="76"/>
        <v>0</v>
      </c>
      <c r="X53" s="91">
        <f t="shared" ca="1" si="76"/>
        <v>0</v>
      </c>
      <c r="Y53" s="91">
        <f t="shared" ca="1" si="76"/>
        <v>0</v>
      </c>
      <c r="Z53" s="91">
        <f t="shared" ca="1" si="76"/>
        <v>0</v>
      </c>
      <c r="AA53" s="91">
        <f t="shared" ca="1" si="76"/>
        <v>0</v>
      </c>
      <c r="AB53" s="91">
        <f t="shared" ca="1" si="76"/>
        <v>0</v>
      </c>
      <c r="AC53" s="91">
        <f t="shared" ca="1" si="76"/>
        <v>0</v>
      </c>
      <c r="AD53" s="91">
        <f t="shared" ca="1" si="76"/>
        <v>0</v>
      </c>
      <c r="AE53" s="91"/>
      <c r="AF53" s="91">
        <f ca="1">IFERROR(AF47/AF9,0)</f>
        <v>0</v>
      </c>
      <c r="AH53" s="91">
        <f t="shared" ca="1" si="77"/>
        <v>0</v>
      </c>
      <c r="AI53" s="91">
        <f t="shared" ca="1" si="77"/>
        <v>0</v>
      </c>
      <c r="AJ53" s="91">
        <f t="shared" ca="1" si="77"/>
        <v>0</v>
      </c>
      <c r="AK53" s="91">
        <f t="shared" ca="1" si="77"/>
        <v>0</v>
      </c>
      <c r="AL53" s="91">
        <f t="shared" ca="1" si="77"/>
        <v>0</v>
      </c>
      <c r="AM53" s="91">
        <f t="shared" ca="1" si="77"/>
        <v>0</v>
      </c>
      <c r="AN53" s="91">
        <f t="shared" ca="1" si="77"/>
        <v>0</v>
      </c>
      <c r="AO53" s="91">
        <f t="shared" ca="1" si="77"/>
        <v>0</v>
      </c>
      <c r="AP53" s="91">
        <f t="shared" ca="1" si="77"/>
        <v>0</v>
      </c>
      <c r="AQ53" s="91">
        <f t="shared" ca="1" si="77"/>
        <v>0</v>
      </c>
      <c r="AR53" s="91">
        <f t="shared" ca="1" si="77"/>
        <v>0</v>
      </c>
      <c r="AS53" s="91">
        <f t="shared" ca="1" si="77"/>
        <v>0</v>
      </c>
      <c r="AT53" s="91"/>
      <c r="AU53" s="91">
        <f ca="1">IFERROR(AU47/AU9,0)</f>
        <v>0</v>
      </c>
    </row>
    <row r="54" spans="2:47" outlineLevel="1">
      <c r="B54" s="67" t="s">
        <v>119</v>
      </c>
      <c r="C54" s="52"/>
      <c r="D54" s="97">
        <f t="shared" ref="D54:K54" si="80">IFERROR(D48/D10,0)</f>
        <v>0</v>
      </c>
      <c r="E54" s="97">
        <f t="shared" si="80"/>
        <v>0</v>
      </c>
      <c r="F54" s="97">
        <f t="shared" si="80"/>
        <v>0</v>
      </c>
      <c r="G54" s="97">
        <f t="shared" si="80"/>
        <v>0</v>
      </c>
      <c r="H54" s="97">
        <f t="shared" si="80"/>
        <v>0</v>
      </c>
      <c r="I54" s="97">
        <f t="shared" si="80"/>
        <v>0</v>
      </c>
      <c r="J54" s="97">
        <f t="shared" si="80"/>
        <v>0</v>
      </c>
      <c r="K54" s="97">
        <f t="shared" si="80"/>
        <v>0</v>
      </c>
      <c r="L54" s="97">
        <f t="shared" si="75"/>
        <v>0</v>
      </c>
      <c r="M54" s="91">
        <f t="shared" si="75"/>
        <v>0</v>
      </c>
      <c r="N54" s="91">
        <f t="shared" si="75"/>
        <v>0</v>
      </c>
      <c r="O54" s="91">
        <f t="shared" si="75"/>
        <v>0</v>
      </c>
      <c r="P54" s="91"/>
      <c r="Q54" s="91">
        <f>IFERROR(Q48/Q10,0)</f>
        <v>0</v>
      </c>
      <c r="S54" s="91">
        <f t="shared" si="76"/>
        <v>0</v>
      </c>
      <c r="T54" s="91">
        <f t="shared" si="76"/>
        <v>0</v>
      </c>
      <c r="U54" s="91">
        <f t="shared" si="76"/>
        <v>0</v>
      </c>
      <c r="V54" s="91">
        <f t="shared" si="76"/>
        <v>0</v>
      </c>
      <c r="W54" s="91">
        <f t="shared" si="76"/>
        <v>0</v>
      </c>
      <c r="X54" s="91">
        <f t="shared" si="76"/>
        <v>0</v>
      </c>
      <c r="Y54" s="91">
        <f t="shared" si="76"/>
        <v>0</v>
      </c>
      <c r="Z54" s="91">
        <f t="shared" si="76"/>
        <v>0</v>
      </c>
      <c r="AA54" s="91">
        <f t="shared" si="76"/>
        <v>0</v>
      </c>
      <c r="AB54" s="91">
        <f t="shared" si="76"/>
        <v>0</v>
      </c>
      <c r="AC54" s="91">
        <f t="shared" si="76"/>
        <v>0</v>
      </c>
      <c r="AD54" s="91">
        <f t="shared" si="76"/>
        <v>0</v>
      </c>
      <c r="AE54" s="91"/>
      <c r="AF54" s="91">
        <f>IFERROR(AF48/AF10,0)</f>
        <v>0</v>
      </c>
      <c r="AH54" s="91">
        <f t="shared" si="77"/>
        <v>0</v>
      </c>
      <c r="AI54" s="91">
        <f t="shared" si="77"/>
        <v>0</v>
      </c>
      <c r="AJ54" s="91">
        <f t="shared" si="77"/>
        <v>0</v>
      </c>
      <c r="AK54" s="91">
        <f t="shared" si="77"/>
        <v>0</v>
      </c>
      <c r="AL54" s="91">
        <f t="shared" si="77"/>
        <v>0</v>
      </c>
      <c r="AM54" s="91">
        <f t="shared" si="77"/>
        <v>0</v>
      </c>
      <c r="AN54" s="91">
        <f t="shared" si="77"/>
        <v>0</v>
      </c>
      <c r="AO54" s="91">
        <f t="shared" si="77"/>
        <v>0</v>
      </c>
      <c r="AP54" s="91">
        <f t="shared" si="77"/>
        <v>0</v>
      </c>
      <c r="AQ54" s="91">
        <f t="shared" si="77"/>
        <v>0</v>
      </c>
      <c r="AR54" s="91">
        <f t="shared" si="77"/>
        <v>0</v>
      </c>
      <c r="AS54" s="91">
        <f t="shared" si="77"/>
        <v>0</v>
      </c>
      <c r="AT54" s="91"/>
      <c r="AU54" s="91">
        <f>IFERROR(AU48/AU10,0)</f>
        <v>0</v>
      </c>
    </row>
    <row r="55" spans="2:47">
      <c r="B55" s="72" t="s">
        <v>120</v>
      </c>
      <c r="C55" s="73"/>
      <c r="D55" s="97">
        <f t="shared" ref="D55:K55" si="81">IFERROR(D49/D12,0)</f>
        <v>0.57806478624096347</v>
      </c>
      <c r="E55" s="97">
        <f t="shared" si="81"/>
        <v>0.54104088410729545</v>
      </c>
      <c r="F55" s="97">
        <f t="shared" si="81"/>
        <v>0.58494139160475789</v>
      </c>
      <c r="G55" s="97">
        <f t="shared" si="81"/>
        <v>0.61912791991850114</v>
      </c>
      <c r="H55" s="97">
        <f t="shared" si="81"/>
        <v>0.63823225567728681</v>
      </c>
      <c r="I55" s="97">
        <f t="shared" si="81"/>
        <v>0.59233957854152164</v>
      </c>
      <c r="J55" s="97">
        <f t="shared" si="81"/>
        <v>0.56947853939766824</v>
      </c>
      <c r="K55" s="97">
        <f t="shared" si="81"/>
        <v>0.62947460464186678</v>
      </c>
      <c r="L55" s="97">
        <f t="shared" ref="L55:O55" ca="1" si="82">IFERROR(L49/L12,0)</f>
        <v>0.55198213882281022</v>
      </c>
      <c r="M55" s="91">
        <f t="shared" ca="1" si="82"/>
        <v>0.57735268505079829</v>
      </c>
      <c r="N55" s="91">
        <f t="shared" ca="1" si="82"/>
        <v>0.60269696969696973</v>
      </c>
      <c r="O55" s="91">
        <f t="shared" ca="1" si="82"/>
        <v>0.60298461538461534</v>
      </c>
      <c r="P55" s="91"/>
      <c r="Q55" s="91">
        <f ca="1">IFERROR(Q49/Q12,0)</f>
        <v>0.57769924203275225</v>
      </c>
      <c r="S55" s="91">
        <f t="shared" ref="S55:AD55" ca="1" si="83">IFERROR(S49/S12,0)</f>
        <v>0.59848237017790928</v>
      </c>
      <c r="T55" s="91">
        <f t="shared" ca="1" si="83"/>
        <v>0.59621571081389568</v>
      </c>
      <c r="U55" s="91">
        <f t="shared" ca="1" si="83"/>
        <v>0.59525809458596823</v>
      </c>
      <c r="V55" s="91">
        <f t="shared" ca="1" si="83"/>
        <v>0.59166771416207808</v>
      </c>
      <c r="W55" s="91">
        <f t="shared" ca="1" si="83"/>
        <v>0.59522932278792628</v>
      </c>
      <c r="X55" s="91">
        <f t="shared" ca="1" si="83"/>
        <v>0.59731810166295884</v>
      </c>
      <c r="Y55" s="91">
        <f t="shared" ca="1" si="83"/>
        <v>0.59333205365356911</v>
      </c>
      <c r="Z55" s="91">
        <f t="shared" ca="1" si="83"/>
        <v>0.59855542463163358</v>
      </c>
      <c r="AA55" s="91">
        <f t="shared" ca="1" si="83"/>
        <v>0.59660103907338857</v>
      </c>
      <c r="AB55" s="91">
        <f t="shared" ca="1" si="83"/>
        <v>0.59266870768239699</v>
      </c>
      <c r="AC55" s="91">
        <f t="shared" ca="1" si="83"/>
        <v>0.59494290640813885</v>
      </c>
      <c r="AD55" s="91">
        <f t="shared" ca="1" si="83"/>
        <v>0.59044260923130554</v>
      </c>
      <c r="AE55" s="91"/>
      <c r="AF55" s="91">
        <f ca="1">IFERROR(AF49/AF12,0)</f>
        <v>0.59509496937366368</v>
      </c>
      <c r="AH55" s="91">
        <f t="shared" ref="AH55:AS55" ca="1" si="84">IFERROR(AH49/AH12,0)</f>
        <v>0.59812789185770943</v>
      </c>
      <c r="AI55" s="91">
        <f t="shared" ca="1" si="84"/>
        <v>0.59660358372928624</v>
      </c>
      <c r="AJ55" s="91">
        <f t="shared" ca="1" si="84"/>
        <v>0.59536899214674632</v>
      </c>
      <c r="AK55" s="91">
        <f t="shared" ca="1" si="84"/>
        <v>0.59120222337503647</v>
      </c>
      <c r="AL55" s="91">
        <f t="shared" ca="1" si="84"/>
        <v>0.59486385802464581</v>
      </c>
      <c r="AM55" s="91">
        <f t="shared" ca="1" si="84"/>
        <v>0.59783047830981417</v>
      </c>
      <c r="AN55" s="91">
        <f t="shared" ca="1" si="84"/>
        <v>0.58904977683749749</v>
      </c>
      <c r="AO55" s="91">
        <f t="shared" ca="1" si="84"/>
        <v>0.59849550250228256</v>
      </c>
      <c r="AP55" s="91">
        <f t="shared" ca="1" si="84"/>
        <v>0.59667667740111807</v>
      </c>
      <c r="AQ55" s="91">
        <f t="shared" ca="1" si="84"/>
        <v>0.59236384071466075</v>
      </c>
      <c r="AR55" s="91">
        <f t="shared" ca="1" si="84"/>
        <v>0.59532354758554773</v>
      </c>
      <c r="AS55" s="91">
        <f t="shared" ca="1" si="84"/>
        <v>0.59120597402971886</v>
      </c>
      <c r="AT55" s="91"/>
      <c r="AU55" s="91">
        <f ca="1">IFERROR(AU49/AU12,0)</f>
        <v>0.59516624155860098</v>
      </c>
    </row>
    <row r="56" spans="2:47">
      <c r="D56" s="53"/>
      <c r="E56" s="53"/>
      <c r="F56" s="53"/>
      <c r="G56" s="53"/>
      <c r="H56" s="53"/>
      <c r="I56" s="53"/>
      <c r="J56" s="53"/>
      <c r="K56" s="53"/>
      <c r="L56" s="53"/>
      <c r="Q56" s="51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1"/>
      <c r="AE56" s="91"/>
      <c r="AF56" s="91"/>
      <c r="AU56" s="51"/>
    </row>
    <row r="57" spans="2:47" outlineLevel="1">
      <c r="B57" s="58" t="s">
        <v>121</v>
      </c>
      <c r="D57" s="53"/>
      <c r="E57" s="53"/>
      <c r="F57" s="53"/>
      <c r="G57" s="53"/>
      <c r="H57" s="53"/>
      <c r="I57" s="53"/>
      <c r="J57" s="53"/>
      <c r="K57" s="53"/>
      <c r="L57" s="53"/>
      <c r="Q57" s="51"/>
      <c r="AF57" s="51"/>
      <c r="AU57" s="51"/>
    </row>
    <row r="58" spans="2:47" outlineLevel="1">
      <c r="D58" s="53"/>
      <c r="E58" s="53"/>
      <c r="F58" s="53"/>
      <c r="G58" s="53"/>
      <c r="H58" s="53"/>
      <c r="I58" s="53"/>
      <c r="J58" s="53"/>
      <c r="K58" s="53"/>
      <c r="L58" s="53"/>
      <c r="Q58" s="51"/>
      <c r="AF58" s="51"/>
      <c r="AU58" s="51"/>
    </row>
    <row r="59" spans="2:47" outlineLevel="1">
      <c r="B59" s="51" t="s">
        <v>122</v>
      </c>
      <c r="D59" s="59">
        <v>0</v>
      </c>
      <c r="E59" s="59">
        <v>0</v>
      </c>
      <c r="F59" s="59">
        <v>-2484.77</v>
      </c>
      <c r="G59" s="59">
        <v>0</v>
      </c>
      <c r="H59" s="59">
        <v>-191.48</v>
      </c>
      <c r="I59" s="59">
        <v>0</v>
      </c>
      <c r="J59" s="59">
        <v>-707.9</v>
      </c>
      <c r="K59" s="59">
        <v>-87.76</v>
      </c>
      <c r="L59" s="59">
        <v>-1688</v>
      </c>
      <c r="M59" s="60">
        <v>-3020</v>
      </c>
      <c r="N59" s="60">
        <v>-1246</v>
      </c>
      <c r="O59" s="60">
        <v>-1000</v>
      </c>
      <c r="P59" s="60"/>
      <c r="Q59" s="61">
        <f t="shared" ref="Q59:Q69" si="85">SUM(D59:O59)</f>
        <v>-10425.91</v>
      </c>
      <c r="R59" s="60"/>
      <c r="S59" s="60">
        <f>-SUMIF(SK!$C$4:$C$42,"Marketing Budget",SK!Q$4:Q$42)</f>
        <v>-18030.150000000001</v>
      </c>
      <c r="T59" s="60">
        <f>-SUMIF(SK!$C$4:$C$42,"Marketing Budget",SK!R$4:R$42)</f>
        <v>-35276.800000000003</v>
      </c>
      <c r="U59" s="60">
        <f>-SUMIF(SK!$C$4:$C$42,"Marketing Budget",SK!S$4:S$42)</f>
        <v>-39419.600000000006</v>
      </c>
      <c r="V59" s="60">
        <f>-SUMIF(SK!$C$4:$C$42,"Marketing Budget",SK!T$4:T$42)</f>
        <v>-23399.599999999999</v>
      </c>
      <c r="W59" s="60">
        <f>-SUMIF(SK!$C$4:$C$42,"Marketing Budget",SK!U$4:U$42)</f>
        <v>-17772.7</v>
      </c>
      <c r="X59" s="60">
        <f>-SUMIF(SK!$C$4:$C$42,"Marketing Budget",SK!V$4:V$42)</f>
        <v>-41824.9</v>
      </c>
      <c r="Y59" s="60">
        <f>-SUMIF(SK!$C$4:$C$42,"Marketing Budget",SK!W$4:W$42)</f>
        <v>-19630.8</v>
      </c>
      <c r="Z59" s="60">
        <f>-SUMIF(SK!$C$4:$C$42,"Marketing Budget",SK!X$4:X$42)</f>
        <v>-20571.599999999999</v>
      </c>
      <c r="AA59" s="60">
        <f>-SUMIF(SK!$C$4:$C$42,"Marketing Budget",SK!Y$4:Y$42)</f>
        <v>-71500</v>
      </c>
      <c r="AB59" s="60">
        <f>-SUMIF(SK!$C$4:$C$42,"Marketing Budget",SK!Z$4:Z$42)</f>
        <v>-70000</v>
      </c>
      <c r="AC59" s="60">
        <f>-SUMIF(SK!$C$4:$C$42,"Marketing Budget",SK!AA$4:AA$42)</f>
        <v>-22000</v>
      </c>
      <c r="AD59" s="60">
        <f>-SUMIF(SK!$C$4:$C$42,"Marketing Budget",SK!AB$4:AB$42)</f>
        <v>-24000</v>
      </c>
      <c r="AE59" s="60"/>
      <c r="AF59" s="61">
        <f>SUM(S59:AD59)</f>
        <v>-403426.15</v>
      </c>
      <c r="AH59" s="60">
        <f>-SUMIF(SK!$C$4:$C$42,"Marketing Budget",SK!AC$4:AC$42)</f>
        <v>-18030.150000000001</v>
      </c>
      <c r="AI59" s="60">
        <f>-SUMIF(SK!$C$4:$C$42,"Marketing Budget",SK!AD$4:AD$42)</f>
        <v>-45859.840000000004</v>
      </c>
      <c r="AJ59" s="60">
        <f>-SUMIF(SK!$C$4:$C$42,"Marketing Budget",SK!AE$4:AE$42)</f>
        <v>-43361.560000000012</v>
      </c>
      <c r="AK59" s="60">
        <f>-SUMIF(SK!$C$4:$C$42,"Marketing Budget",SK!AF$4:AF$42)</f>
        <v>-25739.56</v>
      </c>
      <c r="AL59" s="60">
        <f>-SUMIF(SK!$C$4:$C$42,"Marketing Budget",SK!AG$4:AG$42)</f>
        <v>-19549.97</v>
      </c>
      <c r="AM59" s="60">
        <f>-SUMIF(SK!$C$4:$C$42,"Marketing Budget",SK!AH$4:AH$42)</f>
        <v>-54372.37</v>
      </c>
      <c r="AN59" s="60">
        <f>-SUMIF(SK!$C$4:$C$42,"Marketing Budget",SK!AI$4:AI$42)</f>
        <v>-7852.32</v>
      </c>
      <c r="AO59" s="60">
        <f>-SUMIF(SK!$C$4:$C$42,"Marketing Budget",SK!AJ$4:AJ$42)</f>
        <v>-22628.760000000002</v>
      </c>
      <c r="AP59" s="60">
        <f>-SUMIF(SK!$C$4:$C$42,"Marketing Budget",SK!AK$4:AK$42)</f>
        <v>-78650</v>
      </c>
      <c r="AQ59" s="60">
        <f>-SUMIF(SK!$C$4:$C$42,"Marketing Budget",SK!AL$4:AL$42)</f>
        <v>-70000</v>
      </c>
      <c r="AR59" s="60">
        <f>-SUMIF(SK!$C$4:$C$42,"Marketing Budget",SK!AM$4:AM$42)</f>
        <v>-24200.000000000004</v>
      </c>
      <c r="AS59" s="60">
        <f>-SUMIF(SK!$C$4:$C$42,"Marketing Budget",SK!AN$4:AN$42)</f>
        <v>-28800</v>
      </c>
      <c r="AT59" s="60"/>
      <c r="AU59" s="61">
        <f t="shared" ref="AU59" si="86">SUM(AH59:AS59)</f>
        <v>-439044.53</v>
      </c>
    </row>
    <row r="60" spans="2:47" outlineLevel="1">
      <c r="B60" s="51" t="s">
        <v>123</v>
      </c>
      <c r="D60" s="59">
        <v>-124.96</v>
      </c>
      <c r="E60" s="59">
        <v>-294.81</v>
      </c>
      <c r="F60" s="59">
        <v>-492.34</v>
      </c>
      <c r="G60" s="59">
        <v>0</v>
      </c>
      <c r="H60" s="59">
        <v>-2044.2</v>
      </c>
      <c r="I60" s="59">
        <v>-43.23</v>
      </c>
      <c r="J60" s="59">
        <v>-1991.43</v>
      </c>
      <c r="K60" s="59">
        <v>-320</v>
      </c>
      <c r="L60" s="59">
        <v>-261</v>
      </c>
      <c r="M60" s="60">
        <v>-2300</v>
      </c>
      <c r="N60" s="60">
        <v>-3700</v>
      </c>
      <c r="O60" s="60">
        <v>-1300</v>
      </c>
      <c r="P60" s="60"/>
      <c r="Q60" s="61">
        <f>SUM(D60:O60)</f>
        <v>-12871.970000000001</v>
      </c>
      <c r="S60" s="60">
        <f>-SUMIF(SK!$C$4:$C$42,"Brand Spend",SK!Q$4:Q$42)</f>
        <v>-1500</v>
      </c>
      <c r="T60" s="60">
        <f>-SUMIF(SK!$C$4:$C$42,"Brand Spend",SK!R$4:R$42)</f>
        <v>-2000</v>
      </c>
      <c r="U60" s="60">
        <f>-SUMIF(SK!$C$4:$C$42,"Brand Spend",SK!S$4:S$42)</f>
        <v>-2000</v>
      </c>
      <c r="V60" s="60">
        <f>-SUMIF(SK!$C$4:$C$42,"Brand Spend",SK!T$4:T$42)</f>
        <v>-1500</v>
      </c>
      <c r="W60" s="60">
        <f>-SUMIF(SK!$C$4:$C$42,"Brand Spend",SK!U$4:U$42)</f>
        <v>-1000</v>
      </c>
      <c r="X60" s="60">
        <f>-SUMIF(SK!$C$4:$C$42,"Brand Spend",SK!V$4:V$42)</f>
        <v>-2000</v>
      </c>
      <c r="Y60" s="60">
        <f>-SUMIF(SK!$C$4:$C$42,"Brand Spend",SK!W$4:W$42)</f>
        <v>-2000</v>
      </c>
      <c r="Z60" s="60">
        <f>-SUMIF(SK!$C$4:$C$42,"Brand Spend",SK!X$4:X$42)</f>
        <v>-1500</v>
      </c>
      <c r="AA60" s="60">
        <f>-SUMIF(SK!$C$4:$C$42,"Brand Spend",SK!Y$4:Y$42)</f>
        <v>-2000</v>
      </c>
      <c r="AB60" s="60">
        <f>-SUMIF(SK!$C$4:$C$42,"Brand Spend",SK!Z$4:Z$42)</f>
        <v>-2500</v>
      </c>
      <c r="AC60" s="60">
        <f>-SUMIF(SK!$C$4:$C$42,"Brand Spend",SK!AA$4:AA$42)</f>
        <v>-1500</v>
      </c>
      <c r="AD60" s="60">
        <f>-SUMIF(SK!$C$4:$C$42,"Brand Spend",SK!AB$4:AB$42)</f>
        <v>-1500</v>
      </c>
      <c r="AE60" s="60"/>
      <c r="AF60" s="61">
        <f t="shared" ref="AF60:AF67" si="87">SUM(S60:AD60)</f>
        <v>-21000</v>
      </c>
      <c r="AH60" s="60">
        <f>-SUMIF(SK!$C$4:$C$42,"Brand Spend",SK!AC$4:AC$42)</f>
        <v>-1500</v>
      </c>
      <c r="AI60" s="60">
        <f>-SUMIF(SK!$C$4:$C$42,"Brand Spend",SK!AD$4:AD$42)</f>
        <v>-2000</v>
      </c>
      <c r="AJ60" s="60">
        <f>-SUMIF(SK!$C$4:$C$42,"Brand Spend",SK!AE$4:AE$42)</f>
        <v>-2000</v>
      </c>
      <c r="AK60" s="60">
        <f>-SUMIF(SK!$C$4:$C$42,"Brand Spend",SK!AF$4:AF$42)</f>
        <v>-1500</v>
      </c>
      <c r="AL60" s="60">
        <f>-SUMIF(SK!$C$4:$C$42,"Brand Spend",SK!AG$4:AG$42)</f>
        <v>-1000</v>
      </c>
      <c r="AM60" s="60">
        <f>-SUMIF(SK!$C$4:$C$42,"Brand Spend",SK!AH$4:AH$42)</f>
        <v>-2000</v>
      </c>
      <c r="AN60" s="60">
        <f>-SUMIF(SK!$C$4:$C$42,"Brand Spend",SK!AI$4:AI$42)</f>
        <v>-2000</v>
      </c>
      <c r="AO60" s="60">
        <f>-SUMIF(SK!$C$4:$C$42,"Brand Spend",SK!AJ$4:AJ$42)</f>
        <v>-1500</v>
      </c>
      <c r="AP60" s="60">
        <f>-SUMIF(SK!$C$4:$C$42,"Brand Spend",SK!AK$4:AK$42)</f>
        <v>-2000</v>
      </c>
      <c r="AQ60" s="60">
        <f>-SUMIF(SK!$C$4:$C$42,"Brand Spend",SK!AL$4:AL$42)</f>
        <v>-2500</v>
      </c>
      <c r="AR60" s="60">
        <f>-SUMIF(SK!$C$4:$C$42,"Brand Spend",SK!AM$4:AM$42)</f>
        <v>-1500</v>
      </c>
      <c r="AS60" s="60">
        <f>-SUMIF(SK!$C$4:$C$42,"Brand Spend",SK!AN$4:AN$42)</f>
        <v>-1500</v>
      </c>
      <c r="AT60" s="60"/>
      <c r="AU60" s="61">
        <f>SUM(AH60:AS60)</f>
        <v>-21000</v>
      </c>
    </row>
    <row r="61" spans="2:47" outlineLevel="2">
      <c r="B61" s="51" t="s">
        <v>124</v>
      </c>
      <c r="D61" s="59">
        <v>-5250.59</v>
      </c>
      <c r="E61" s="59">
        <v>-11297.62</v>
      </c>
      <c r="F61" s="59">
        <v>-11087.25</v>
      </c>
      <c r="G61" s="59">
        <v>-9746.66</v>
      </c>
      <c r="H61" s="59">
        <v>-7525.81</v>
      </c>
      <c r="I61" s="59">
        <v>-19851.22</v>
      </c>
      <c r="J61" s="59">
        <v>-17806.48</v>
      </c>
      <c r="K61" s="59">
        <v>-8560.35</v>
      </c>
      <c r="L61" s="59">
        <v>-30446</v>
      </c>
      <c r="M61" s="60">
        <v>-33000</v>
      </c>
      <c r="N61" s="60">
        <v>-13000</v>
      </c>
      <c r="O61" s="60">
        <v>-6400</v>
      </c>
      <c r="P61" s="60"/>
      <c r="Q61" s="61">
        <f t="shared" si="85"/>
        <v>-173971.97999999998</v>
      </c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1">
        <f t="shared" si="87"/>
        <v>0</v>
      </c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1">
        <f t="shared" ref="AU61:AU69" si="88">SUM(AH61:AS61)</f>
        <v>0</v>
      </c>
    </row>
    <row r="62" spans="2:47" outlineLevel="2">
      <c r="B62" s="51" t="s">
        <v>125</v>
      </c>
      <c r="D62" s="59">
        <v>-914.29</v>
      </c>
      <c r="E62" s="59">
        <v>-2383.38</v>
      </c>
      <c r="F62" s="59">
        <v>-4586.8100000000004</v>
      </c>
      <c r="G62" s="59">
        <v>-1211.68</v>
      </c>
      <c r="H62" s="59">
        <v>-2081.52</v>
      </c>
      <c r="I62" s="59">
        <v>-4322.24</v>
      </c>
      <c r="J62" s="59">
        <v>-6017</v>
      </c>
      <c r="K62" s="59">
        <v>-4218.59</v>
      </c>
      <c r="L62" s="59">
        <v>-12501</v>
      </c>
      <c r="M62" s="60">
        <v>-12353</v>
      </c>
      <c r="N62" s="60">
        <v>-4450</v>
      </c>
      <c r="O62" s="60">
        <v>-1500</v>
      </c>
      <c r="P62" s="60"/>
      <c r="Q62" s="61">
        <f t="shared" si="85"/>
        <v>-56539.509999999995</v>
      </c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1">
        <f t="shared" si="87"/>
        <v>0</v>
      </c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1">
        <f t="shared" si="88"/>
        <v>0</v>
      </c>
    </row>
    <row r="63" spans="2:47" outlineLevel="2">
      <c r="B63" s="51" t="s">
        <v>126</v>
      </c>
      <c r="D63" s="59">
        <v>-2702.1</v>
      </c>
      <c r="E63" s="59">
        <v>-11876.53</v>
      </c>
      <c r="F63" s="59">
        <v>-20720.080000000002</v>
      </c>
      <c r="G63" s="59">
        <v>-7389.83</v>
      </c>
      <c r="H63" s="59">
        <v>-7315.36</v>
      </c>
      <c r="I63" s="59">
        <v>-9496.6299999999992</v>
      </c>
      <c r="J63" s="59">
        <v>-10071.540000000001</v>
      </c>
      <c r="K63" s="59">
        <v>-8002.32</v>
      </c>
      <c r="L63" s="59">
        <v>-25444</v>
      </c>
      <c r="M63" s="60">
        <v>-19215</v>
      </c>
      <c r="N63" s="60">
        <v>-7120</v>
      </c>
      <c r="O63" s="60">
        <v>-1000</v>
      </c>
      <c r="P63" s="60"/>
      <c r="Q63" s="61">
        <f t="shared" si="85"/>
        <v>-130353.39000000001</v>
      </c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1">
        <f t="shared" si="87"/>
        <v>0</v>
      </c>
      <c r="AH63" s="60"/>
      <c r="AI63" s="60"/>
      <c r="AJ63" s="60"/>
      <c r="AK63" s="60"/>
      <c r="AL63" s="60"/>
      <c r="AM63" s="60"/>
      <c r="AN63" s="60"/>
      <c r="AO63" s="60"/>
      <c r="AP63" s="60"/>
      <c r="AQ63" s="60"/>
      <c r="AR63" s="60"/>
      <c r="AS63" s="60"/>
      <c r="AT63" s="60"/>
      <c r="AU63" s="61">
        <f t="shared" si="88"/>
        <v>0</v>
      </c>
    </row>
    <row r="64" spans="2:47" outlineLevel="2">
      <c r="B64" s="51" t="s">
        <v>127</v>
      </c>
      <c r="D64" s="59"/>
      <c r="E64" s="59"/>
      <c r="F64" s="59"/>
      <c r="G64" s="59"/>
      <c r="H64" s="59"/>
      <c r="I64" s="59"/>
      <c r="J64" s="59"/>
      <c r="K64" s="59"/>
      <c r="L64" s="59"/>
      <c r="M64" s="60">
        <f>-SUMIFS(B2B!O:O,B2B!$B:$B,"SK",B2B!$D:$D,$B64)</f>
        <v>0</v>
      </c>
      <c r="N64" s="60">
        <f>-SUMIFS(B2B!P:P,B2B!$B:$B,"SK",B2B!$D:$D,$B64)</f>
        <v>0</v>
      </c>
      <c r="O64" s="60">
        <f>-SUMIFS(B2B!Q:Q,B2B!$B:$B,"SK",B2B!$D:$D,$B64)</f>
        <v>0</v>
      </c>
      <c r="P64" s="60"/>
      <c r="Q64" s="61">
        <f t="shared" si="85"/>
        <v>0</v>
      </c>
      <c r="S64" s="60">
        <f>-SUMIFS(B2B!V:V,B2B!$B:$B,"SK",B2B!$D:$D,$B64)</f>
        <v>0</v>
      </c>
      <c r="T64" s="60">
        <f>-SUMIFS(B2B!W:W,B2B!$B:$B,"SK",B2B!$D:$D,$B64)</f>
        <v>0</v>
      </c>
      <c r="U64" s="60">
        <f>-SUMIFS(B2B!X:X,B2B!$B:$B,"SK",B2B!$D:$D,$B64)</f>
        <v>0</v>
      </c>
      <c r="V64" s="60">
        <f>-SUMIFS(B2B!Y:Y,B2B!$B:$B,"SK",B2B!$D:$D,$B64)</f>
        <v>0</v>
      </c>
      <c r="W64" s="60">
        <f>-SUMIFS(B2B!Z:Z,B2B!$B:$B,"SK",B2B!$D:$D,$B64)</f>
        <v>0</v>
      </c>
      <c r="X64" s="60">
        <f>-SUMIFS(B2B!AA:AA,B2B!$B:$B,"SK",B2B!$D:$D,$B64)</f>
        <v>0</v>
      </c>
      <c r="Y64" s="60">
        <f>-SUMIFS(B2B!AB:AB,B2B!$B:$B,"SK",B2B!$D:$D,$B64)</f>
        <v>0</v>
      </c>
      <c r="Z64" s="60">
        <f>-SUMIFS(B2B!AC:AC,B2B!$B:$B,"SK",B2B!$D:$D,$B64)</f>
        <v>0</v>
      </c>
      <c r="AA64" s="60">
        <f>-SUMIFS(B2B!AD:AD,B2B!$B:$B,"SK",B2B!$D:$D,$B64)</f>
        <v>0</v>
      </c>
      <c r="AB64" s="60">
        <f>-SUMIFS(B2B!AE:AE,B2B!$B:$B,"SK",B2B!$D:$D,$B64)</f>
        <v>0</v>
      </c>
      <c r="AC64" s="60">
        <f>-SUMIFS(B2B!AF:AF,B2B!$B:$B,"SK",B2B!$D:$D,$B64)</f>
        <v>0</v>
      </c>
      <c r="AD64" s="60">
        <f>-SUMIFS(B2B!AG:AG,B2B!$B:$B,"SK",B2B!$D:$D,$B64)</f>
        <v>0</v>
      </c>
      <c r="AE64" s="60"/>
      <c r="AF64" s="61">
        <f t="shared" si="87"/>
        <v>0</v>
      </c>
      <c r="AH64" s="60">
        <f>-SUMIFS(B2B!AK:AK,B2B!$B:$B,"SK",B2B!$D:$D,$B64)</f>
        <v>0</v>
      </c>
      <c r="AI64" s="60">
        <f>-SUMIFS(B2B!AL:AL,B2B!$B:$B,"SK",B2B!$D:$D,$B64)</f>
        <v>0</v>
      </c>
      <c r="AJ64" s="60">
        <f>-SUMIFS(B2B!AM:AM,B2B!$B:$B,"SK",B2B!$D:$D,$B64)</f>
        <v>0</v>
      </c>
      <c r="AK64" s="60">
        <f>-SUMIFS(B2B!AN:AN,B2B!$B:$B,"SK",B2B!$D:$D,$B64)</f>
        <v>0</v>
      </c>
      <c r="AL64" s="60">
        <f>-SUMIFS(B2B!AO:AO,B2B!$B:$B,"SK",B2B!$D:$D,$B64)</f>
        <v>0</v>
      </c>
      <c r="AM64" s="60">
        <f>-SUMIFS(B2B!AP:AP,B2B!$B:$B,"SK",B2B!$D:$D,$B64)</f>
        <v>0</v>
      </c>
      <c r="AN64" s="60">
        <f>-SUMIFS(B2B!AQ:AQ,B2B!$B:$B,"SK",B2B!$D:$D,$B64)</f>
        <v>0</v>
      </c>
      <c r="AO64" s="60">
        <f>-SUMIFS(B2B!AR:AR,B2B!$B:$B,"SK",B2B!$D:$D,$B64)</f>
        <v>0</v>
      </c>
      <c r="AP64" s="60">
        <f>-SUMIFS(B2B!AS:AS,B2B!$B:$B,"SK",B2B!$D:$D,$B64)</f>
        <v>0</v>
      </c>
      <c r="AQ64" s="60">
        <f>-SUMIFS(B2B!AT:AT,B2B!$B:$B,"SK",B2B!$D:$D,$B64)</f>
        <v>0</v>
      </c>
      <c r="AR64" s="60">
        <f>-SUMIFS(B2B!AU:AU,B2B!$B:$B,"SK",B2B!$D:$D,$B64)</f>
        <v>0</v>
      </c>
      <c r="AS64" s="60">
        <f>-SUMIFS(B2B!AV:AV,B2B!$B:$B,"SK",B2B!$D:$D,$B64)</f>
        <v>0</v>
      </c>
      <c r="AT64" s="60"/>
      <c r="AU64" s="61">
        <f t="shared" si="88"/>
        <v>0</v>
      </c>
    </row>
    <row r="65" spans="2:47" outlineLevel="2">
      <c r="B65" s="51" t="s">
        <v>128</v>
      </c>
      <c r="D65" s="59"/>
      <c r="E65" s="59"/>
      <c r="F65" s="59"/>
      <c r="G65" s="59"/>
      <c r="H65" s="59"/>
      <c r="I65" s="59"/>
      <c r="J65" s="59"/>
      <c r="K65" s="59"/>
      <c r="L65" s="59"/>
      <c r="M65" s="60"/>
      <c r="N65" s="60"/>
      <c r="O65" s="60"/>
      <c r="P65" s="60"/>
      <c r="Q65" s="61">
        <f t="shared" si="85"/>
        <v>0</v>
      </c>
      <c r="S65" s="60">
        <f>-SUMIFS(B2B!V:V,B2B!$B:$B,"SK",B2B!$D:$D,$B65)</f>
        <v>0</v>
      </c>
      <c r="T65" s="60">
        <f>-SUMIFS(B2B!W:W,B2B!$B:$B,"SK",B2B!$D:$D,$B65)</f>
        <v>0</v>
      </c>
      <c r="U65" s="60">
        <f>-SUMIFS(B2B!X:X,B2B!$B:$B,"SK",B2B!$D:$D,$B65)</f>
        <v>0</v>
      </c>
      <c r="V65" s="60">
        <f>-SUMIFS(B2B!Y:Y,B2B!$B:$B,"SK",B2B!$D:$D,$B65)</f>
        <v>0</v>
      </c>
      <c r="W65" s="60">
        <f>-SUMIFS(B2B!Z:Z,B2B!$B:$B,"SK",B2B!$D:$D,$B65)</f>
        <v>0</v>
      </c>
      <c r="X65" s="60">
        <f>-SUMIFS(B2B!AA:AA,B2B!$B:$B,"SK",B2B!$D:$D,$B65)</f>
        <v>0</v>
      </c>
      <c r="Y65" s="60">
        <f>-SUMIFS(B2B!AB:AB,B2B!$B:$B,"SK",B2B!$D:$D,$B65)</f>
        <v>0</v>
      </c>
      <c r="Z65" s="60">
        <f>-SUMIFS(B2B!AC:AC,B2B!$B:$B,"SK",B2B!$D:$D,$B65)</f>
        <v>0</v>
      </c>
      <c r="AA65" s="60">
        <f>-SUMIFS(B2B!AD:AD,B2B!$B:$B,"SK",B2B!$D:$D,$B65)</f>
        <v>0</v>
      </c>
      <c r="AB65" s="60">
        <f>-SUMIFS(B2B!AE:AE,B2B!$B:$B,"SK",B2B!$D:$D,$B65)</f>
        <v>0</v>
      </c>
      <c r="AC65" s="60">
        <f>-SUMIFS(B2B!AF:AF,B2B!$B:$B,"SK",B2B!$D:$D,$B65)</f>
        <v>0</v>
      </c>
      <c r="AD65" s="60">
        <f>-SUMIFS(B2B!AG:AG,B2B!$B:$B,"SK",B2B!$D:$D,$B65)</f>
        <v>0</v>
      </c>
      <c r="AE65" s="60"/>
      <c r="AF65" s="61">
        <f t="shared" si="87"/>
        <v>0</v>
      </c>
      <c r="AH65" s="60">
        <f>-SUMIFS(B2B!AK:AK,B2B!$B:$B,"SK",B2B!$D:$D,$B65)</f>
        <v>0</v>
      </c>
      <c r="AI65" s="60">
        <f>-SUMIFS(B2B!AL:AL,B2B!$B:$B,"SK",B2B!$D:$D,$B65)</f>
        <v>0</v>
      </c>
      <c r="AJ65" s="60">
        <f>-SUMIFS(B2B!AM:AM,B2B!$B:$B,"SK",B2B!$D:$D,$B65)</f>
        <v>0</v>
      </c>
      <c r="AK65" s="60">
        <f>-SUMIFS(B2B!AN:AN,B2B!$B:$B,"SK",B2B!$D:$D,$B65)</f>
        <v>0</v>
      </c>
      <c r="AL65" s="60">
        <f>-SUMIFS(B2B!AO:AO,B2B!$B:$B,"SK",B2B!$D:$D,$B65)</f>
        <v>0</v>
      </c>
      <c r="AM65" s="60">
        <f>-SUMIFS(B2B!AP:AP,B2B!$B:$B,"SK",B2B!$D:$D,$B65)</f>
        <v>0</v>
      </c>
      <c r="AN65" s="60">
        <f>-SUMIFS(B2B!AQ:AQ,B2B!$B:$B,"SK",B2B!$D:$D,$B65)</f>
        <v>0</v>
      </c>
      <c r="AO65" s="60">
        <f>-SUMIFS(B2B!AR:AR,B2B!$B:$B,"SK",B2B!$D:$D,$B65)</f>
        <v>0</v>
      </c>
      <c r="AP65" s="60">
        <f>-SUMIFS(B2B!AS:AS,B2B!$B:$B,"SK",B2B!$D:$D,$B65)</f>
        <v>0</v>
      </c>
      <c r="AQ65" s="60">
        <f>-SUMIFS(B2B!AT:AT,B2B!$B:$B,"SK",B2B!$D:$D,$B65)</f>
        <v>0</v>
      </c>
      <c r="AR65" s="60">
        <f>-SUMIFS(B2B!AU:AU,B2B!$B:$B,"SK",B2B!$D:$D,$B65)</f>
        <v>0</v>
      </c>
      <c r="AS65" s="60">
        <f>-SUMIFS(B2B!AV:AV,B2B!$B:$B,"SK",B2B!$D:$D,$B65)</f>
        <v>0</v>
      </c>
      <c r="AT65" s="60"/>
      <c r="AU65" s="61">
        <f t="shared" si="88"/>
        <v>0</v>
      </c>
    </row>
    <row r="66" spans="2:47" outlineLevel="2">
      <c r="B66" s="51" t="s">
        <v>166</v>
      </c>
      <c r="D66" s="59"/>
      <c r="E66" s="59"/>
      <c r="F66" s="59"/>
      <c r="G66" s="59"/>
      <c r="H66" s="59"/>
      <c r="I66" s="59"/>
      <c r="J66" s="59"/>
      <c r="K66" s="59"/>
      <c r="L66" s="59"/>
      <c r="M66" s="60"/>
      <c r="N66" s="60"/>
      <c r="O66" s="60"/>
      <c r="P66" s="60"/>
      <c r="Q66" s="61"/>
      <c r="S66" s="60">
        <f>-SUMIFS(B2B!V:V,B2B!$B:$B,"SK",B2B!$D:$D,$B66)</f>
        <v>0</v>
      </c>
      <c r="T66" s="60">
        <f>-SUMIFS(B2B!W:W,B2B!$B:$B,"SK",B2B!$D:$D,$B66)</f>
        <v>-595.48500000000001</v>
      </c>
      <c r="U66" s="60">
        <f>-SUMIFS(B2B!X:X,B2B!$B:$B,"SK",B2B!$D:$D,$B66)</f>
        <v>-758.46500000000003</v>
      </c>
      <c r="V66" s="60">
        <f>-SUMIFS(B2B!Y:Y,B2B!$B:$B,"SK",B2B!$D:$D,$B66)</f>
        <v>-630.67500000000018</v>
      </c>
      <c r="W66" s="60">
        <f>-SUMIFS(B2B!Z:Z,B2B!$B:$B,"SK",B2B!$D:$D,$B66)</f>
        <v>-250</v>
      </c>
      <c r="X66" s="60">
        <f>-SUMIFS(B2B!AA:AA,B2B!$B:$B,"SK",B2B!$D:$D,$B66)</f>
        <v>-376.06500000000005</v>
      </c>
      <c r="Y66" s="60">
        <f>-SUMIFS(B2B!AB:AB,B2B!$B:$B,"SK",B2B!$D:$D,$B66)</f>
        <v>-598.72000000000014</v>
      </c>
      <c r="Z66" s="60">
        <f>-SUMIFS(B2B!AC:AC,B2B!$B:$B,"SK",B2B!$D:$D,$B66)</f>
        <v>0</v>
      </c>
      <c r="AA66" s="60">
        <f>-SUMIFS(B2B!AD:AD,B2B!$B:$B,"SK",B2B!$D:$D,$B66)</f>
        <v>-653.10250000000008</v>
      </c>
      <c r="AB66" s="60">
        <f>-SUMIFS(B2B!AE:AE,B2B!$B:$B,"SK",B2B!$D:$D,$B66)</f>
        <v>-1750</v>
      </c>
      <c r="AC66" s="60">
        <f>-SUMIFS(B2B!AF:AF,B2B!$B:$B,"SK",B2B!$D:$D,$B66)</f>
        <v>-250</v>
      </c>
      <c r="AD66" s="60">
        <f>-SUMIFS(B2B!AG:AG,B2B!$B:$B,"SK",B2B!$D:$D,$B66)</f>
        <v>-750</v>
      </c>
      <c r="AE66" s="60"/>
      <c r="AF66" s="61">
        <f t="shared" si="87"/>
        <v>-6612.5125000000007</v>
      </c>
      <c r="AH66" s="60">
        <f>-SUMIFS(B2B!AK:AK,B2B!$B:$B,"SK",B2B!$D:$D,$B66)</f>
        <v>0</v>
      </c>
      <c r="AI66" s="60">
        <f>-SUMIFS(B2B!AL:AL,B2B!$B:$B,"SK",B2B!$D:$D,$B66)</f>
        <v>-625.25925000000007</v>
      </c>
      <c r="AJ66" s="60">
        <f>-SUMIFS(B2B!AM:AM,B2B!$B:$B,"SK",B2B!$D:$D,$B66)</f>
        <v>-796.38824999999997</v>
      </c>
      <c r="AK66" s="60">
        <f>-SUMIFS(B2B!AN:AN,B2B!$B:$B,"SK",B2B!$D:$D,$B66)</f>
        <v>-662.20875000000024</v>
      </c>
      <c r="AL66" s="60">
        <f>-SUMIFS(B2B!AO:AO,B2B!$B:$B,"SK",B2B!$D:$D,$B66)</f>
        <v>-262.5</v>
      </c>
      <c r="AM66" s="60">
        <f>-SUMIFS(B2B!AP:AP,B2B!$B:$B,"SK",B2B!$D:$D,$B66)</f>
        <v>-394.86825000000005</v>
      </c>
      <c r="AN66" s="60">
        <f>-SUMIFS(B2B!AQ:AQ,B2B!$B:$B,"SK",B2B!$D:$D,$B66)</f>
        <v>-628.65600000000018</v>
      </c>
      <c r="AO66" s="60">
        <f>-SUMIFS(B2B!AR:AR,B2B!$B:$B,"SK",B2B!$D:$D,$B66)</f>
        <v>0</v>
      </c>
      <c r="AP66" s="60">
        <f>-SUMIFS(B2B!AS:AS,B2B!$B:$B,"SK",B2B!$D:$D,$B66)</f>
        <v>-685.75762500000019</v>
      </c>
      <c r="AQ66" s="60">
        <f>-SUMIFS(B2B!AT:AT,B2B!$B:$B,"SK",B2B!$D:$D,$B66)</f>
        <v>-1837.5</v>
      </c>
      <c r="AR66" s="60">
        <f>-SUMIFS(B2B!AU:AU,B2B!$B:$B,"SK",B2B!$D:$D,$B66)</f>
        <v>-262.5</v>
      </c>
      <c r="AS66" s="60">
        <f>-SUMIFS(B2B!AV:AV,B2B!$B:$B,"SK",B2B!$D:$D,$B66)</f>
        <v>-787.5</v>
      </c>
      <c r="AT66" s="60"/>
      <c r="AU66" s="61">
        <f t="shared" ref="AU66" si="89">SUM(AH66:AS66)</f>
        <v>-6943.1381250000004</v>
      </c>
    </row>
    <row r="67" spans="2:47" outlineLevel="2">
      <c r="B67" s="51" t="s">
        <v>185</v>
      </c>
      <c r="D67" s="59"/>
      <c r="E67" s="59"/>
      <c r="F67" s="59"/>
      <c r="G67" s="59"/>
      <c r="H67" s="59"/>
      <c r="I67" s="59"/>
      <c r="J67" s="59"/>
      <c r="K67" s="59"/>
      <c r="L67" s="59"/>
      <c r="M67" s="60"/>
      <c r="N67" s="60"/>
      <c r="O67" s="60"/>
      <c r="P67" s="60"/>
      <c r="Q67" s="61">
        <f t="shared" si="85"/>
        <v>0</v>
      </c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1">
        <f t="shared" si="87"/>
        <v>0</v>
      </c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1">
        <f t="shared" si="88"/>
        <v>0</v>
      </c>
    </row>
    <row r="68" spans="2:47" outlineLevel="2">
      <c r="B68" s="51" t="s">
        <v>130</v>
      </c>
      <c r="D68" s="59"/>
      <c r="E68" s="59"/>
      <c r="F68" s="59"/>
      <c r="G68" s="59"/>
      <c r="H68" s="59"/>
      <c r="I68" s="59"/>
      <c r="J68" s="59"/>
      <c r="K68" s="59"/>
      <c r="L68" s="59"/>
      <c r="M68" s="60"/>
      <c r="N68" s="60"/>
      <c r="O68" s="60"/>
      <c r="P68" s="60"/>
      <c r="Q68" s="61">
        <f>SUM(D68:O68)</f>
        <v>0</v>
      </c>
      <c r="S68" s="60">
        <f>-SUMIF(Amazon!$A$53:$A$58,"SK",Amazon!Q53:Q58)</f>
        <v>0</v>
      </c>
      <c r="T68" s="60">
        <f>-SUMIF(Amazon!$A$53:$A$58,"SK",Amazon!R53:R58)</f>
        <v>0</v>
      </c>
      <c r="U68" s="60">
        <f>-SUMIF(Amazon!$A$53:$A$58,"SK",Amazon!S53:S58)</f>
        <v>0</v>
      </c>
      <c r="V68" s="60">
        <f>-SUMIF(Amazon!$A$53:$A$58,"SK",Amazon!T53:T58)</f>
        <v>0</v>
      </c>
      <c r="W68" s="60">
        <f>-SUMIF(Amazon!$A$53:$A$58,"SK",Amazon!U53:U58)</f>
        <v>0</v>
      </c>
      <c r="X68" s="60">
        <f>-SUMIF(Amazon!$A$53:$A$58,"SK",Amazon!V53:V58)</f>
        <v>0</v>
      </c>
      <c r="Y68" s="60">
        <f>-SUMIF(Amazon!$A$53:$A$58,"SK",Amazon!W53:W58)</f>
        <v>0</v>
      </c>
      <c r="Z68" s="60">
        <f>-SUMIF(Amazon!$A$53:$A$58,"SK",Amazon!X53:X58)</f>
        <v>0</v>
      </c>
      <c r="AA68" s="60">
        <f>-SUMIF(Amazon!$A$53:$A$58,"SK",Amazon!Y53:Y58)</f>
        <v>0</v>
      </c>
      <c r="AB68" s="60">
        <f>-SUMIF(Amazon!$A$53:$A$58,"SK",Amazon!Z53:Z58)</f>
        <v>0</v>
      </c>
      <c r="AC68" s="60">
        <f>-SUMIF(Amazon!$A$53:$A$58,"SK",Amazon!AA53:AA58)</f>
        <v>0</v>
      </c>
      <c r="AD68" s="60">
        <f>-SUMIF(Amazon!$A$53:$A$58,"SK",Amazon!AB53:AB58)</f>
        <v>0</v>
      </c>
      <c r="AE68" s="60"/>
      <c r="AF68" s="61">
        <f>SUM(S68:AD68)</f>
        <v>0</v>
      </c>
      <c r="AH68" s="60">
        <f>-SUMIF(Amazon!$A$53:$A$58,"SK",Amazon!AE53:AE58)</f>
        <v>0</v>
      </c>
      <c r="AI68" s="60">
        <f>-SUMIF(Amazon!$A$53:$A$58,"SK",Amazon!AF53:AF58)</f>
        <v>0</v>
      </c>
      <c r="AJ68" s="60">
        <f>-SUMIF(Amazon!$A$53:$A$58,"SK",Amazon!AG53:AG58)</f>
        <v>0</v>
      </c>
      <c r="AK68" s="60">
        <f>-SUMIF(Amazon!$A$53:$A$58,"SK",Amazon!AH53:AH58)</f>
        <v>0</v>
      </c>
      <c r="AL68" s="60">
        <f>-SUMIF(Amazon!$A$53:$A$58,"SK",Amazon!AI53:AI58)</f>
        <v>0</v>
      </c>
      <c r="AM68" s="60">
        <f>-SUMIF(Amazon!$A$53:$A$58,"SK",Amazon!AJ53:AJ58)</f>
        <v>0</v>
      </c>
      <c r="AN68" s="60">
        <f>-SUMIF(Amazon!$A$53:$A$58,"SK",Amazon!AK53:AK58)</f>
        <v>0</v>
      </c>
      <c r="AO68" s="60">
        <f>-SUMIF(Amazon!$A$53:$A$58,"SK",Amazon!AL53:AL58)</f>
        <v>0</v>
      </c>
      <c r="AP68" s="60">
        <f>-SUMIF(Amazon!$A$53:$A$58,"SK",Amazon!AM53:AM58)</f>
        <v>0</v>
      </c>
      <c r="AQ68" s="60">
        <f>-SUMIF(Amazon!$A$53:$A$58,"SK",Amazon!AN53:AN58)</f>
        <v>0</v>
      </c>
      <c r="AR68" s="60">
        <f>-SUMIF(Amazon!$A$53:$A$58,"SK",Amazon!AO53:AO58)</f>
        <v>0</v>
      </c>
      <c r="AS68" s="60">
        <f>-SUMIF(Amazon!$A$53:$A$58,"SK",Amazon!AP53:AP58)</f>
        <v>0</v>
      </c>
      <c r="AT68" s="60"/>
      <c r="AU68" s="61">
        <f t="shared" si="88"/>
        <v>0</v>
      </c>
    </row>
    <row r="69" spans="2:47" outlineLevel="2">
      <c r="B69" s="51" t="s">
        <v>131</v>
      </c>
      <c r="D69" s="59"/>
      <c r="E69" s="59"/>
      <c r="F69" s="59"/>
      <c r="G69" s="59"/>
      <c r="H69" s="59"/>
      <c r="I69" s="59"/>
      <c r="J69" s="59"/>
      <c r="K69" s="59"/>
      <c r="L69" s="59"/>
      <c r="M69" s="60"/>
      <c r="N69" s="60"/>
      <c r="O69" s="60"/>
      <c r="P69" s="60"/>
      <c r="Q69" s="61">
        <f t="shared" si="85"/>
        <v>0</v>
      </c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1">
        <f t="shared" ref="AF69" si="90">SUM(S69:AD69)</f>
        <v>0</v>
      </c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1">
        <f t="shared" si="88"/>
        <v>0</v>
      </c>
    </row>
    <row r="70" spans="2:47" outlineLevel="1">
      <c r="D70" s="59"/>
      <c r="E70" s="59"/>
      <c r="F70" s="59"/>
      <c r="G70" s="59"/>
      <c r="H70" s="59"/>
      <c r="I70" s="59"/>
      <c r="J70" s="59"/>
      <c r="K70" s="59"/>
      <c r="L70" s="59"/>
      <c r="M70" s="60"/>
      <c r="N70" s="60"/>
      <c r="O70" s="60"/>
      <c r="Q70" s="61"/>
      <c r="S70" s="83"/>
      <c r="T70" s="83"/>
      <c r="U70" s="83"/>
      <c r="V70" s="83"/>
      <c r="W70" s="83"/>
      <c r="AH70" s="83"/>
      <c r="AI70" s="83"/>
      <c r="AJ70" s="83"/>
      <c r="AK70" s="83"/>
      <c r="AL70" s="83"/>
    </row>
    <row r="71" spans="2:47">
      <c r="B71" s="63" t="s">
        <v>132</v>
      </c>
      <c r="C71" s="52"/>
      <c r="D71" s="64">
        <f t="shared" ref="D71:K71" si="91">SUM(D59:D70)</f>
        <v>-8991.94</v>
      </c>
      <c r="E71" s="64">
        <f t="shared" si="91"/>
        <v>-25852.340000000004</v>
      </c>
      <c r="F71" s="64">
        <f t="shared" si="91"/>
        <v>-39371.25</v>
      </c>
      <c r="G71" s="64">
        <f t="shared" si="91"/>
        <v>-18348.169999999998</v>
      </c>
      <c r="H71" s="64">
        <f t="shared" si="91"/>
        <v>-19158.37</v>
      </c>
      <c r="I71" s="64">
        <f t="shared" si="91"/>
        <v>-33713.32</v>
      </c>
      <c r="J71" s="64">
        <f t="shared" si="91"/>
        <v>-36594.35</v>
      </c>
      <c r="K71" s="64">
        <f t="shared" si="91"/>
        <v>-21189.02</v>
      </c>
      <c r="L71" s="64">
        <f t="shared" ref="L71:O71" si="92">SUM(L59:L70)</f>
        <v>-70340</v>
      </c>
      <c r="M71" s="65">
        <f t="shared" si="92"/>
        <v>-69888</v>
      </c>
      <c r="N71" s="65">
        <f t="shared" si="92"/>
        <v>-29516</v>
      </c>
      <c r="O71" s="65">
        <f t="shared" si="92"/>
        <v>-11200</v>
      </c>
      <c r="P71" s="61"/>
      <c r="Q71" s="65">
        <f>SUM(D71:O71)</f>
        <v>-384162.76</v>
      </c>
      <c r="R71" s="75"/>
      <c r="S71" s="84">
        <f t="shared" ref="S71" si="93">SUM(S59:S70)</f>
        <v>-19530.150000000001</v>
      </c>
      <c r="T71" s="84">
        <f>SUM(T59:T70)</f>
        <v>-37872.285000000003</v>
      </c>
      <c r="U71" s="84">
        <f>SUM(U59:U70)</f>
        <v>-42178.065000000002</v>
      </c>
      <c r="V71" s="84">
        <f>SUM(V59:V70)</f>
        <v>-25530.274999999998</v>
      </c>
      <c r="W71" s="84">
        <f>SUM(W59:W70)</f>
        <v>-19022.7</v>
      </c>
      <c r="X71" s="65">
        <f t="shared" ref="X71:AD71" si="94">SUM(X59:X70)</f>
        <v>-44200.965000000004</v>
      </c>
      <c r="Y71" s="65">
        <f t="shared" si="94"/>
        <v>-22229.52</v>
      </c>
      <c r="Z71" s="65">
        <f t="shared" si="94"/>
        <v>-22071.599999999999</v>
      </c>
      <c r="AA71" s="65">
        <f t="shared" si="94"/>
        <v>-74153.102499999994</v>
      </c>
      <c r="AB71" s="65">
        <f t="shared" si="94"/>
        <v>-74250</v>
      </c>
      <c r="AC71" s="65">
        <f t="shared" si="94"/>
        <v>-23750</v>
      </c>
      <c r="AD71" s="65">
        <f t="shared" si="94"/>
        <v>-26250</v>
      </c>
      <c r="AE71" s="61"/>
      <c r="AF71" s="65">
        <f>SUM(S71:AD71)</f>
        <v>-431038.66249999998</v>
      </c>
      <c r="AH71" s="84">
        <f t="shared" ref="AH71" si="95">SUM(AH59:AH70)</f>
        <v>-19530.150000000001</v>
      </c>
      <c r="AI71" s="84">
        <f>SUM(AI59:AI70)</f>
        <v>-48485.099250000007</v>
      </c>
      <c r="AJ71" s="84">
        <f>SUM(AJ59:AJ70)</f>
        <v>-46157.948250000016</v>
      </c>
      <c r="AK71" s="84">
        <f>SUM(AK59:AK70)</f>
        <v>-27901.768750000003</v>
      </c>
      <c r="AL71" s="84">
        <f>SUM(AL59:AL70)</f>
        <v>-20812.47</v>
      </c>
      <c r="AM71" s="65">
        <f t="shared" ref="AM71:AS71" si="96">SUM(AM59:AM70)</f>
        <v>-56767.238250000002</v>
      </c>
      <c r="AN71" s="65">
        <f t="shared" si="96"/>
        <v>-10480.976000000001</v>
      </c>
      <c r="AO71" s="65">
        <f t="shared" si="96"/>
        <v>-24128.760000000002</v>
      </c>
      <c r="AP71" s="65">
        <f t="shared" si="96"/>
        <v>-81335.757624999998</v>
      </c>
      <c r="AQ71" s="65">
        <f t="shared" si="96"/>
        <v>-74337.5</v>
      </c>
      <c r="AR71" s="65">
        <f t="shared" si="96"/>
        <v>-25962.500000000004</v>
      </c>
      <c r="AS71" s="65">
        <f t="shared" si="96"/>
        <v>-31087.5</v>
      </c>
      <c r="AT71" s="61"/>
      <c r="AU71" s="65">
        <f>SUM(AH71:AS71)</f>
        <v>-466987.66812500003</v>
      </c>
    </row>
    <row r="72" spans="2:47">
      <c r="D72" s="53"/>
      <c r="E72" s="53"/>
      <c r="F72" s="53"/>
      <c r="G72" s="53"/>
      <c r="H72" s="53"/>
      <c r="I72" s="53"/>
      <c r="J72" s="53"/>
      <c r="K72" s="53"/>
      <c r="L72" s="53"/>
      <c r="S72" s="88"/>
      <c r="T72" s="88"/>
      <c r="U72" s="88"/>
      <c r="V72" s="88"/>
      <c r="W72" s="88"/>
      <c r="AF72" s="141">
        <f ca="1">AF71/AF12</f>
        <v>-0.26808835654918844</v>
      </c>
      <c r="AH72" s="88"/>
      <c r="AI72" s="88"/>
      <c r="AJ72" s="88"/>
      <c r="AK72" s="88"/>
      <c r="AL72" s="88"/>
    </row>
    <row r="73" spans="2:47" outlineLevel="1">
      <c r="B73" s="67" t="s">
        <v>133</v>
      </c>
      <c r="C73" s="52"/>
      <c r="D73" s="68">
        <f t="shared" ref="D73:K73" si="97">D45+SUM(D59:D63)</f>
        <v>5118.8700000000008</v>
      </c>
      <c r="E73" s="68">
        <f t="shared" si="97"/>
        <v>51750.890000000007</v>
      </c>
      <c r="F73" s="68">
        <f t="shared" si="97"/>
        <v>37999.119999999995</v>
      </c>
      <c r="G73" s="68">
        <f t="shared" si="97"/>
        <v>-3911.3099999999959</v>
      </c>
      <c r="H73" s="68">
        <f t="shared" si="97"/>
        <v>3515.7499999999964</v>
      </c>
      <c r="I73" s="68">
        <f t="shared" si="97"/>
        <v>54723.719999999994</v>
      </c>
      <c r="J73" s="68">
        <f t="shared" si="97"/>
        <v>43235.140000000021</v>
      </c>
      <c r="K73" s="68">
        <f t="shared" si="97"/>
        <v>-8297.75</v>
      </c>
      <c r="L73" s="68">
        <f t="shared" ref="L73:O73" si="98">L45+SUM(L59:L63)</f>
        <v>40128</v>
      </c>
      <c r="M73" s="69">
        <f>M45+SUM(M59:M63)</f>
        <v>87710</v>
      </c>
      <c r="N73" s="69">
        <f>N45+SUM(N59:N63)</f>
        <v>24251</v>
      </c>
      <c r="O73" s="69">
        <f t="shared" si="98"/>
        <v>10294</v>
      </c>
      <c r="P73" s="69"/>
      <c r="Q73" s="69">
        <f>Q45+SUM(Q59:Q63)</f>
        <v>346517.43000000017</v>
      </c>
      <c r="S73" s="85">
        <f>S45+SUM(S59:S63)</f>
        <v>16206.238737130829</v>
      </c>
      <c r="T73" s="85">
        <f t="shared" ref="T73:AD73" si="99">T45+SUM(T59:T63)</f>
        <v>61017.509425533135</v>
      </c>
      <c r="U73" s="85">
        <f t="shared" si="99"/>
        <v>48611.654470987909</v>
      </c>
      <c r="V73" s="85">
        <f t="shared" si="99"/>
        <v>7951.3835521651126</v>
      </c>
      <c r="W73" s="85">
        <f t="shared" si="99"/>
        <v>17636.577893247941</v>
      </c>
      <c r="X73" s="69">
        <f t="shared" si="99"/>
        <v>61472.2157784878</v>
      </c>
      <c r="Y73" s="69">
        <f t="shared" si="99"/>
        <v>22350.348118908525</v>
      </c>
      <c r="Z73" s="69">
        <f t="shared" si="99"/>
        <v>16288.852328852641</v>
      </c>
      <c r="AA73" s="69">
        <f t="shared" si="99"/>
        <v>48931.966000394808</v>
      </c>
      <c r="AB73" s="69">
        <f t="shared" si="99"/>
        <v>35303.368898376779</v>
      </c>
      <c r="AC73" s="69">
        <f t="shared" si="99"/>
        <v>12557.906093027465</v>
      </c>
      <c r="AD73" s="69">
        <f t="shared" si="99"/>
        <v>5121.016272456829</v>
      </c>
      <c r="AE73" s="69"/>
      <c r="AF73" s="69">
        <f>AF45+SUM(AF59:AF63)</f>
        <v>353449.03756956966</v>
      </c>
      <c r="AH73" s="85">
        <f>AH45+SUM(AH59:AH63)</f>
        <v>8505.4572368088411</v>
      </c>
      <c r="AI73" s="85">
        <f t="shared" ref="AI73:AS73" si="100">AI45+SUM(AI59:AI63)</f>
        <v>70974.173618881527</v>
      </c>
      <c r="AJ73" s="85">
        <f t="shared" si="100"/>
        <v>52215.37579606894</v>
      </c>
      <c r="AK73" s="85">
        <f t="shared" si="100"/>
        <v>4357.0698621992669</v>
      </c>
      <c r="AL73" s="85">
        <f t="shared" si="100"/>
        <v>14049.94368566433</v>
      </c>
      <c r="AM73" s="69">
        <f t="shared" si="100"/>
        <v>89666.741414123913</v>
      </c>
      <c r="AN73" s="69">
        <f t="shared" si="100"/>
        <v>10698.015401701821</v>
      </c>
      <c r="AO73" s="69">
        <f t="shared" si="100"/>
        <v>13862.876218487734</v>
      </c>
      <c r="AP73" s="69">
        <f t="shared" si="100"/>
        <v>51719.950163954432</v>
      </c>
      <c r="AQ73" s="69">
        <f t="shared" si="100"/>
        <v>33909.07009277062</v>
      </c>
      <c r="AR73" s="69">
        <f t="shared" si="100"/>
        <v>16370.905494547053</v>
      </c>
      <c r="AS73" s="69">
        <f t="shared" si="100"/>
        <v>6665.1995555164758</v>
      </c>
      <c r="AT73" s="69"/>
      <c r="AU73" s="69">
        <f>AU45+SUM(AU59:AU63)</f>
        <v>372994.77854072477</v>
      </c>
    </row>
    <row r="74" spans="2:47" outlineLevel="1">
      <c r="B74" s="67" t="s">
        <v>134</v>
      </c>
      <c r="C74" s="52"/>
      <c r="D74" s="68">
        <f t="shared" ref="D74:K74" si="101">D46+SUM(D64:D67)</f>
        <v>0</v>
      </c>
      <c r="E74" s="68">
        <f t="shared" si="101"/>
        <v>4082.5600000000018</v>
      </c>
      <c r="F74" s="68">
        <f t="shared" si="101"/>
        <v>17403.009999999998</v>
      </c>
      <c r="G74" s="68">
        <f t="shared" si="101"/>
        <v>14990.03</v>
      </c>
      <c r="H74" s="68">
        <f t="shared" si="101"/>
        <v>-457.97</v>
      </c>
      <c r="I74" s="68">
        <f t="shared" si="101"/>
        <v>9411.92</v>
      </c>
      <c r="J74" s="68">
        <f t="shared" si="101"/>
        <v>15215.96</v>
      </c>
      <c r="K74" s="68">
        <f t="shared" si="101"/>
        <v>-293.27999999999997</v>
      </c>
      <c r="L74" s="68">
        <f t="shared" ref="L74:O74" si="102">L46+SUM(L64:L67)</f>
        <v>14143</v>
      </c>
      <c r="M74" s="69">
        <f t="shared" si="102"/>
        <v>41300</v>
      </c>
      <c r="N74" s="69">
        <f t="shared" si="102"/>
        <v>5900</v>
      </c>
      <c r="O74" s="69">
        <f t="shared" si="102"/>
        <v>17700</v>
      </c>
      <c r="P74" s="69"/>
      <c r="Q74" s="69">
        <f>Q46+SUM(Q64:Q67)</f>
        <v>139395.23000000001</v>
      </c>
      <c r="S74" s="85">
        <f>S46+SUM(S64:S67)</f>
        <v>1728.8114487328696</v>
      </c>
      <c r="T74" s="85">
        <f t="shared" ref="T74:AD74" si="103">T46+SUM(T64:T67)</f>
        <v>15436.014072293065</v>
      </c>
      <c r="U74" s="85">
        <f t="shared" si="103"/>
        <v>19029.856604486169</v>
      </c>
      <c r="V74" s="85">
        <f t="shared" si="103"/>
        <v>15635.711921127571</v>
      </c>
      <c r="W74" s="85">
        <f t="shared" si="103"/>
        <v>7817.7867607533917</v>
      </c>
      <c r="X74" s="69">
        <f t="shared" si="103"/>
        <v>10597.62329788018</v>
      </c>
      <c r="Y74" s="69">
        <f t="shared" si="103"/>
        <v>14931.077989870788</v>
      </c>
      <c r="Z74" s="69">
        <f t="shared" si="103"/>
        <v>1728.8114487328696</v>
      </c>
      <c r="AA74" s="69">
        <f t="shared" si="103"/>
        <v>16706.527154257947</v>
      </c>
      <c r="AB74" s="69">
        <f t="shared" si="103"/>
        <v>42046.556701232701</v>
      </c>
      <c r="AC74" s="69">
        <f t="shared" si="103"/>
        <v>8394.0572436643488</v>
      </c>
      <c r="AD74" s="69">
        <f t="shared" si="103"/>
        <v>18266.925936061565</v>
      </c>
      <c r="AE74" s="69"/>
      <c r="AF74" s="69">
        <f>AF46+SUM(AF64:AF67)</f>
        <v>172319.76057909345</v>
      </c>
      <c r="AH74" s="85">
        <f>AH46+SUM(AH64:AH67)</f>
        <v>1815.2520211695132</v>
      </c>
      <c r="AI74" s="85">
        <f t="shared" ref="AI74:AS74" si="104">AI46+SUM(AI64:AI67)</f>
        <v>16207.814775907715</v>
      </c>
      <c r="AJ74" s="85">
        <f t="shared" si="104"/>
        <v>19981.349434710479</v>
      </c>
      <c r="AK74" s="85">
        <f t="shared" si="104"/>
        <v>16417.497517183951</v>
      </c>
      <c r="AL74" s="85">
        <f t="shared" si="104"/>
        <v>8208.676098791062</v>
      </c>
      <c r="AM74" s="69">
        <f t="shared" si="104"/>
        <v>11127.504462774194</v>
      </c>
      <c r="AN74" s="69">
        <f t="shared" si="104"/>
        <v>15677.631889364324</v>
      </c>
      <c r="AO74" s="69">
        <f t="shared" si="104"/>
        <v>1815.2520211695132</v>
      </c>
      <c r="AP74" s="69">
        <f t="shared" si="104"/>
        <v>17541.853511970839</v>
      </c>
      <c r="AQ74" s="69">
        <f t="shared" si="104"/>
        <v>44148.884536294339</v>
      </c>
      <c r="AR74" s="69">
        <f t="shared" si="104"/>
        <v>8813.7601058475648</v>
      </c>
      <c r="AS74" s="69">
        <f t="shared" si="104"/>
        <v>19180.272232864649</v>
      </c>
      <c r="AT74" s="69"/>
      <c r="AU74" s="69">
        <f>AU46+SUM(AU64:AU67)</f>
        <v>180935.74860804813</v>
      </c>
    </row>
    <row r="75" spans="2:47" outlineLevel="1">
      <c r="B75" s="67" t="s">
        <v>135</v>
      </c>
      <c r="C75" s="52"/>
      <c r="D75" s="68">
        <f t="shared" ref="D75:K75" si="105">D47+D68</f>
        <v>0</v>
      </c>
      <c r="E75" s="68">
        <f t="shared" si="105"/>
        <v>0</v>
      </c>
      <c r="F75" s="68">
        <f t="shared" si="105"/>
        <v>0</v>
      </c>
      <c r="G75" s="68">
        <f t="shared" si="105"/>
        <v>0</v>
      </c>
      <c r="H75" s="68">
        <f t="shared" si="105"/>
        <v>0</v>
      </c>
      <c r="I75" s="68">
        <f t="shared" si="105"/>
        <v>0</v>
      </c>
      <c r="J75" s="68">
        <f t="shared" si="105"/>
        <v>0</v>
      </c>
      <c r="K75" s="68">
        <f t="shared" si="105"/>
        <v>0</v>
      </c>
      <c r="L75" s="68">
        <f t="shared" ref="L75:O76" ca="1" si="106">L47+L68</f>
        <v>0</v>
      </c>
      <c r="M75" s="69">
        <f t="shared" ca="1" si="106"/>
        <v>0</v>
      </c>
      <c r="N75" s="69">
        <f t="shared" ca="1" si="106"/>
        <v>0</v>
      </c>
      <c r="O75" s="69">
        <f t="shared" ca="1" si="106"/>
        <v>0</v>
      </c>
      <c r="P75" s="69"/>
      <c r="Q75" s="69">
        <f ca="1">Q47+Q68</f>
        <v>0</v>
      </c>
      <c r="S75" s="85">
        <f t="shared" ref="S75:AD75" ca="1" si="107">S47+S68</f>
        <v>0</v>
      </c>
      <c r="T75" s="85">
        <f t="shared" ca="1" si="107"/>
        <v>0</v>
      </c>
      <c r="U75" s="85">
        <f t="shared" ca="1" si="107"/>
        <v>0</v>
      </c>
      <c r="V75" s="85">
        <f t="shared" ca="1" si="107"/>
        <v>0</v>
      </c>
      <c r="W75" s="85">
        <f t="shared" ca="1" si="107"/>
        <v>0</v>
      </c>
      <c r="X75" s="69">
        <f t="shared" ca="1" si="107"/>
        <v>0</v>
      </c>
      <c r="Y75" s="69">
        <f t="shared" ca="1" si="107"/>
        <v>0</v>
      </c>
      <c r="Z75" s="69">
        <f t="shared" ca="1" si="107"/>
        <v>0</v>
      </c>
      <c r="AA75" s="69">
        <f t="shared" ca="1" si="107"/>
        <v>0</v>
      </c>
      <c r="AB75" s="69">
        <f t="shared" ca="1" si="107"/>
        <v>0</v>
      </c>
      <c r="AC75" s="69">
        <f t="shared" ca="1" si="107"/>
        <v>0</v>
      </c>
      <c r="AD75" s="69">
        <f t="shared" ca="1" si="107"/>
        <v>0</v>
      </c>
      <c r="AE75" s="69"/>
      <c r="AF75" s="69">
        <f ca="1">AF47+AF68</f>
        <v>0</v>
      </c>
      <c r="AH75" s="85">
        <f t="shared" ref="AH75:AS75" ca="1" si="108">AH47+AH68</f>
        <v>0</v>
      </c>
      <c r="AI75" s="85">
        <f t="shared" ca="1" si="108"/>
        <v>0</v>
      </c>
      <c r="AJ75" s="85">
        <f t="shared" ca="1" si="108"/>
        <v>0</v>
      </c>
      <c r="AK75" s="85">
        <f t="shared" ca="1" si="108"/>
        <v>0</v>
      </c>
      <c r="AL75" s="85">
        <f t="shared" ca="1" si="108"/>
        <v>0</v>
      </c>
      <c r="AM75" s="69">
        <f t="shared" ca="1" si="108"/>
        <v>0</v>
      </c>
      <c r="AN75" s="69">
        <f t="shared" ca="1" si="108"/>
        <v>0</v>
      </c>
      <c r="AO75" s="69">
        <f t="shared" ca="1" si="108"/>
        <v>0</v>
      </c>
      <c r="AP75" s="69">
        <f t="shared" ca="1" si="108"/>
        <v>0</v>
      </c>
      <c r="AQ75" s="69">
        <f t="shared" ca="1" si="108"/>
        <v>0</v>
      </c>
      <c r="AR75" s="69">
        <f t="shared" ca="1" si="108"/>
        <v>0</v>
      </c>
      <c r="AS75" s="69">
        <f t="shared" ca="1" si="108"/>
        <v>0</v>
      </c>
      <c r="AT75" s="69"/>
      <c r="AU75" s="69">
        <f ca="1">AU47+AU68</f>
        <v>0</v>
      </c>
    </row>
    <row r="76" spans="2:47" outlineLevel="1">
      <c r="B76" s="67" t="s">
        <v>136</v>
      </c>
      <c r="C76" s="52"/>
      <c r="D76" s="68">
        <f t="shared" ref="D76:K76" si="109">D48+D69</f>
        <v>0</v>
      </c>
      <c r="E76" s="68">
        <f t="shared" si="109"/>
        <v>0</v>
      </c>
      <c r="F76" s="68">
        <f t="shared" si="109"/>
        <v>0</v>
      </c>
      <c r="G76" s="68">
        <f t="shared" si="109"/>
        <v>0</v>
      </c>
      <c r="H76" s="68">
        <f t="shared" si="109"/>
        <v>0</v>
      </c>
      <c r="I76" s="68">
        <f t="shared" si="109"/>
        <v>0</v>
      </c>
      <c r="J76" s="68">
        <f t="shared" si="109"/>
        <v>0</v>
      </c>
      <c r="K76" s="68">
        <f t="shared" si="109"/>
        <v>0</v>
      </c>
      <c r="L76" s="68">
        <f t="shared" si="106"/>
        <v>-6</v>
      </c>
      <c r="M76" s="69">
        <f t="shared" si="106"/>
        <v>0</v>
      </c>
      <c r="N76" s="69">
        <f t="shared" si="106"/>
        <v>0</v>
      </c>
      <c r="O76" s="69">
        <f t="shared" si="106"/>
        <v>0</v>
      </c>
      <c r="P76" s="69"/>
      <c r="Q76" s="69">
        <f>Q48+Q69</f>
        <v>-6</v>
      </c>
      <c r="S76" s="85">
        <f t="shared" ref="S76:AD76" si="110">S48+S69</f>
        <v>0</v>
      </c>
      <c r="T76" s="85">
        <f t="shared" si="110"/>
        <v>0</v>
      </c>
      <c r="U76" s="85">
        <f t="shared" si="110"/>
        <v>0</v>
      </c>
      <c r="V76" s="85">
        <f t="shared" si="110"/>
        <v>0</v>
      </c>
      <c r="W76" s="85">
        <f t="shared" si="110"/>
        <v>0</v>
      </c>
      <c r="X76" s="69">
        <f t="shared" si="110"/>
        <v>0</v>
      </c>
      <c r="Y76" s="69">
        <f t="shared" si="110"/>
        <v>0</v>
      </c>
      <c r="Z76" s="69">
        <f t="shared" si="110"/>
        <v>0</v>
      </c>
      <c r="AA76" s="69">
        <f t="shared" si="110"/>
        <v>0</v>
      </c>
      <c r="AB76" s="69">
        <f t="shared" si="110"/>
        <v>0</v>
      </c>
      <c r="AC76" s="69">
        <f t="shared" si="110"/>
        <v>0</v>
      </c>
      <c r="AD76" s="69">
        <f t="shared" si="110"/>
        <v>0</v>
      </c>
      <c r="AE76" s="69"/>
      <c r="AF76" s="69">
        <f>AF48+AF69</f>
        <v>0</v>
      </c>
      <c r="AH76" s="85">
        <f t="shared" ref="AH76:AS76" si="111">AH48+AH69</f>
        <v>0</v>
      </c>
      <c r="AI76" s="85">
        <f t="shared" si="111"/>
        <v>0</v>
      </c>
      <c r="AJ76" s="85">
        <f t="shared" si="111"/>
        <v>0</v>
      </c>
      <c r="AK76" s="85">
        <f t="shared" si="111"/>
        <v>0</v>
      </c>
      <c r="AL76" s="85">
        <f t="shared" si="111"/>
        <v>0</v>
      </c>
      <c r="AM76" s="69">
        <f t="shared" si="111"/>
        <v>0</v>
      </c>
      <c r="AN76" s="69">
        <f t="shared" si="111"/>
        <v>0</v>
      </c>
      <c r="AO76" s="69">
        <f t="shared" si="111"/>
        <v>0</v>
      </c>
      <c r="AP76" s="69">
        <f t="shared" si="111"/>
        <v>0</v>
      </c>
      <c r="AQ76" s="69">
        <f t="shared" si="111"/>
        <v>0</v>
      </c>
      <c r="AR76" s="69">
        <f t="shared" si="111"/>
        <v>0</v>
      </c>
      <c r="AS76" s="69">
        <f t="shared" si="111"/>
        <v>0</v>
      </c>
      <c r="AT76" s="69"/>
      <c r="AU76" s="69">
        <f>AU48+AU69</f>
        <v>0</v>
      </c>
    </row>
    <row r="77" spans="2:47">
      <c r="B77" s="67" t="s">
        <v>137</v>
      </c>
      <c r="C77" s="52"/>
      <c r="D77" s="68">
        <f t="shared" ref="D77:K77" si="112">D49+D71</f>
        <v>5118.8700000000008</v>
      </c>
      <c r="E77" s="68">
        <f t="shared" si="112"/>
        <v>55833.44999999999</v>
      </c>
      <c r="F77" s="68">
        <f t="shared" si="112"/>
        <v>55402.130000000005</v>
      </c>
      <c r="G77" s="68">
        <f t="shared" si="112"/>
        <v>11078.719999999998</v>
      </c>
      <c r="H77" s="68">
        <f t="shared" si="112"/>
        <v>3057.7799999999952</v>
      </c>
      <c r="I77" s="68">
        <f t="shared" si="112"/>
        <v>64135.640000000007</v>
      </c>
      <c r="J77" s="68">
        <f t="shared" si="112"/>
        <v>58451.099999999984</v>
      </c>
      <c r="K77" s="68">
        <f t="shared" si="112"/>
        <v>-8591.0299999999988</v>
      </c>
      <c r="L77" s="68">
        <f t="shared" ref="L77:O77" ca="1" si="113">L49+L71</f>
        <v>54265</v>
      </c>
      <c r="M77" s="69">
        <f t="shared" ca="1" si="113"/>
        <v>129010</v>
      </c>
      <c r="N77" s="69">
        <f t="shared" ca="1" si="113"/>
        <v>30151</v>
      </c>
      <c r="O77" s="69">
        <f t="shared" ca="1" si="113"/>
        <v>27994</v>
      </c>
      <c r="P77" s="69"/>
      <c r="Q77" s="69">
        <f ca="1">Q49+Q71</f>
        <v>485906.66000000015</v>
      </c>
      <c r="S77" s="85">
        <f t="shared" ref="S77:AD77" ca="1" si="114">S49+S71</f>
        <v>17935.050185863693</v>
      </c>
      <c r="T77" s="85">
        <f t="shared" ca="1" si="114"/>
        <v>76453.523497826216</v>
      </c>
      <c r="U77" s="85">
        <f t="shared" ca="1" si="114"/>
        <v>67641.511075474089</v>
      </c>
      <c r="V77" s="85">
        <f t="shared" ca="1" si="114"/>
        <v>23587.09547329268</v>
      </c>
      <c r="W77" s="85">
        <f t="shared" ca="1" si="114"/>
        <v>25454.364654001332</v>
      </c>
      <c r="X77" s="69">
        <f t="shared" ca="1" si="114"/>
        <v>72069.839076367993</v>
      </c>
      <c r="Y77" s="69">
        <f t="shared" ca="1" si="114"/>
        <v>37281.426108779313</v>
      </c>
      <c r="Z77" s="69">
        <f t="shared" ca="1" si="114"/>
        <v>18017.663777585512</v>
      </c>
      <c r="AA77" s="69">
        <f t="shared" ca="1" si="114"/>
        <v>65638.493154652781</v>
      </c>
      <c r="AB77" s="69">
        <f t="shared" ca="1" si="114"/>
        <v>77349.925599609443</v>
      </c>
      <c r="AC77" s="69">
        <f t="shared" ca="1" si="114"/>
        <v>20951.963336691821</v>
      </c>
      <c r="AD77" s="69">
        <f t="shared" ca="1" si="114"/>
        <v>23387.942208518405</v>
      </c>
      <c r="AE77" s="69"/>
      <c r="AF77" s="69">
        <f ca="1">AF49+AF71</f>
        <v>525768.79814866337</v>
      </c>
      <c r="AH77" s="85">
        <f t="shared" ref="AH77:AS77" ca="1" si="115">AH49+AH71</f>
        <v>10320.70925797836</v>
      </c>
      <c r="AI77" s="85">
        <f t="shared" ca="1" si="115"/>
        <v>87181.988394789223</v>
      </c>
      <c r="AJ77" s="85">
        <f t="shared" ca="1" si="115"/>
        <v>72196.725230779412</v>
      </c>
      <c r="AK77" s="85">
        <f t="shared" ca="1" si="115"/>
        <v>20774.56737938321</v>
      </c>
      <c r="AL77" s="85">
        <f t="shared" ca="1" si="115"/>
        <v>22258.619784455383</v>
      </c>
      <c r="AM77" s="69">
        <f t="shared" ca="1" si="115"/>
        <v>100794.24587689809</v>
      </c>
      <c r="AN77" s="69">
        <f t="shared" ca="1" si="115"/>
        <v>26375.647291066147</v>
      </c>
      <c r="AO77" s="69">
        <f t="shared" ca="1" si="115"/>
        <v>15678.128239657257</v>
      </c>
      <c r="AP77" s="69">
        <f t="shared" ca="1" si="115"/>
        <v>69261.803675925243</v>
      </c>
      <c r="AQ77" s="69">
        <f t="shared" ca="1" si="115"/>
        <v>78057.954629064945</v>
      </c>
      <c r="AR77" s="69">
        <f t="shared" ca="1" si="115"/>
        <v>25184.665600394623</v>
      </c>
      <c r="AS77" s="69">
        <f t="shared" ca="1" si="115"/>
        <v>25845.47178838111</v>
      </c>
      <c r="AT77" s="69"/>
      <c r="AU77" s="69">
        <f ca="1">AU49+AU71</f>
        <v>553930.52714877273</v>
      </c>
    </row>
    <row r="78" spans="2:47">
      <c r="B78" s="52"/>
      <c r="C78" s="52"/>
      <c r="D78" s="70"/>
      <c r="E78" s="70"/>
      <c r="F78" s="70"/>
      <c r="G78" s="70"/>
      <c r="H78" s="70"/>
      <c r="I78" s="70"/>
      <c r="J78" s="70"/>
      <c r="K78" s="70"/>
      <c r="L78" s="70"/>
      <c r="M78" s="52"/>
      <c r="N78" s="52"/>
      <c r="O78" s="52"/>
      <c r="P78" s="52"/>
      <c r="S78" s="10"/>
      <c r="T78" s="10"/>
      <c r="U78" s="10"/>
      <c r="V78" s="10"/>
      <c r="W78" s="10"/>
      <c r="X78" s="52"/>
      <c r="Y78" s="52"/>
      <c r="Z78" s="52"/>
      <c r="AA78" s="52"/>
      <c r="AB78" s="52"/>
      <c r="AC78" s="52"/>
      <c r="AD78" s="52"/>
      <c r="AE78" s="52"/>
      <c r="AH78" s="10"/>
      <c r="AI78" s="10"/>
      <c r="AJ78" s="10"/>
      <c r="AK78" s="10"/>
      <c r="AL78" s="10"/>
      <c r="AM78" s="52"/>
      <c r="AN78" s="52"/>
      <c r="AO78" s="52"/>
      <c r="AP78" s="52"/>
      <c r="AQ78" s="52"/>
      <c r="AR78" s="52"/>
      <c r="AS78" s="52"/>
      <c r="AT78" s="52"/>
    </row>
    <row r="79" spans="2:47" outlineLevel="1">
      <c r="B79" s="67" t="s">
        <v>138</v>
      </c>
      <c r="C79" s="52"/>
      <c r="D79" s="97">
        <f t="shared" ref="D79:K79" si="116">IFERROR(D73/D7,0)</f>
        <v>0.20970011589308343</v>
      </c>
      <c r="E79" s="97">
        <f t="shared" si="116"/>
        <v>0.40697600715195936</v>
      </c>
      <c r="F79" s="97">
        <f t="shared" si="116"/>
        <v>0.28856421625169026</v>
      </c>
      <c r="G79" s="97">
        <f t="shared" si="116"/>
        <v>-0.17537477726792128</v>
      </c>
      <c r="H79" s="97">
        <f t="shared" si="116"/>
        <v>0.10100152604737632</v>
      </c>
      <c r="I79" s="97">
        <f t="shared" si="116"/>
        <v>0.36446507297297565</v>
      </c>
      <c r="J79" s="97">
        <f t="shared" si="116"/>
        <v>0.30244877432567657</v>
      </c>
      <c r="K79" s="97">
        <f t="shared" si="116"/>
        <v>-0.41460763984310589</v>
      </c>
      <c r="L79" s="97">
        <f t="shared" ref="L79:O82" si="117">IFERROR(L73/L7,0)</f>
        <v>0.20085290407832301</v>
      </c>
      <c r="M79" s="91">
        <f t="shared" si="117"/>
        <v>0.31952641165755918</v>
      </c>
      <c r="N79" s="91">
        <f t="shared" si="117"/>
        <v>0.27248314606741575</v>
      </c>
      <c r="O79" s="91">
        <f t="shared" si="117"/>
        <v>0.29411428571428572</v>
      </c>
      <c r="P79" s="91"/>
      <c r="Q79" s="91">
        <f>IFERROR(Q73/Q7,0)</f>
        <v>0.27682313616928172</v>
      </c>
      <c r="S79" s="91">
        <f t="shared" ref="S79:AD79" si="118">IFERROR(S73/S7,0)</f>
        <v>0.27191520363439975</v>
      </c>
      <c r="T79" s="91">
        <f t="shared" si="118"/>
        <v>0.37220998848018055</v>
      </c>
      <c r="U79" s="91">
        <f t="shared" si="118"/>
        <v>0.3237494380219148</v>
      </c>
      <c r="V79" s="91">
        <f t="shared" si="118"/>
        <v>0.14512968370452003</v>
      </c>
      <c r="W79" s="91">
        <f t="shared" si="118"/>
        <v>0.29044518264413616</v>
      </c>
      <c r="X79" s="91">
        <f t="shared" si="118"/>
        <v>0.3500453514127288</v>
      </c>
      <c r="Y79" s="91">
        <f t="shared" si="118"/>
        <v>0.30470504998823322</v>
      </c>
      <c r="Z79" s="91">
        <f t="shared" si="118"/>
        <v>0.25460603228826212</v>
      </c>
      <c r="AA79" s="91">
        <f t="shared" si="118"/>
        <v>0.23964025019605104</v>
      </c>
      <c r="AB79" s="91">
        <f t="shared" si="118"/>
        <v>0.19635670708557498</v>
      </c>
      <c r="AC79" s="91">
        <f t="shared" si="118"/>
        <v>0.20882315366227683</v>
      </c>
      <c r="AD79" s="91">
        <f t="shared" si="118"/>
        <v>0.10027634088009846</v>
      </c>
      <c r="AE79" s="91"/>
      <c r="AF79" s="91">
        <f>IFERROR(AF73/AF7,0)</f>
        <v>0.27244497814799312</v>
      </c>
      <c r="AH79" s="91">
        <f t="shared" ref="AH79:AS79" si="119">IFERROR(AH73/AH7,0)</f>
        <v>0.18190708760877991</v>
      </c>
      <c r="AI79" s="91">
        <f t="shared" si="119"/>
        <v>0.35811416642021154</v>
      </c>
      <c r="AJ79" s="91">
        <f t="shared" si="119"/>
        <v>0.32085820869982079</v>
      </c>
      <c r="AK79" s="91">
        <f t="shared" si="119"/>
        <v>8.2682896721495341E-2</v>
      </c>
      <c r="AL79" s="91">
        <f t="shared" si="119"/>
        <v>0.24347898946552041</v>
      </c>
      <c r="AM79" s="91">
        <f t="shared" si="119"/>
        <v>0.3681494262504722</v>
      </c>
      <c r="AN79" s="91">
        <f t="shared" si="119"/>
        <v>0.31213770067419155</v>
      </c>
      <c r="AO79" s="91">
        <f t="shared" si="119"/>
        <v>0.21878990000910253</v>
      </c>
      <c r="AP79" s="91">
        <f t="shared" si="119"/>
        <v>0.23427751826224918</v>
      </c>
      <c r="AQ79" s="91">
        <f t="shared" si="119"/>
        <v>0.19107292615064017</v>
      </c>
      <c r="AR79" s="91">
        <f t="shared" si="119"/>
        <v>0.23332042799613284</v>
      </c>
      <c r="AS79" s="91">
        <f t="shared" si="119"/>
        <v>0.10811402200755865</v>
      </c>
      <c r="AT79" s="91"/>
      <c r="AU79" s="91">
        <f>IFERROR(AU73/AU7,0)</f>
        <v>0.26847211232612328</v>
      </c>
    </row>
    <row r="80" spans="2:47" outlineLevel="1">
      <c r="B80" s="67" t="s">
        <v>139</v>
      </c>
      <c r="C80" s="52"/>
      <c r="D80" s="97">
        <f t="shared" ref="D80:K80" si="120">IFERROR(D74/D8,0)</f>
        <v>0</v>
      </c>
      <c r="E80" s="97">
        <f t="shared" si="120"/>
        <v>0.17139642476300837</v>
      </c>
      <c r="F80" s="97">
        <f t="shared" si="120"/>
        <v>0.57362600779205364</v>
      </c>
      <c r="G80" s="97">
        <f t="shared" si="120"/>
        <v>0.5942058112339953</v>
      </c>
      <c r="H80" s="97">
        <f t="shared" si="120"/>
        <v>0</v>
      </c>
      <c r="I80" s="97">
        <f t="shared" si="120"/>
        <v>0.62568438966667994</v>
      </c>
      <c r="J80" s="97">
        <f t="shared" si="120"/>
        <v>0.63535375467664346</v>
      </c>
      <c r="K80" s="97">
        <f t="shared" si="120"/>
        <v>0</v>
      </c>
      <c r="L80" s="97">
        <f t="shared" si="117"/>
        <v>0.54494663430046619</v>
      </c>
      <c r="M80" s="91">
        <f t="shared" si="117"/>
        <v>0.59</v>
      </c>
      <c r="N80" s="91">
        <f t="shared" si="117"/>
        <v>0.59</v>
      </c>
      <c r="O80" s="91">
        <f t="shared" si="117"/>
        <v>0.59</v>
      </c>
      <c r="P80" s="91"/>
      <c r="Q80" s="91">
        <f>IFERROR(Q74/Q8,0)</f>
        <v>0.54808932824911316</v>
      </c>
      <c r="S80" s="91">
        <f t="shared" ref="S80:AD80" si="121">IFERROR(S74/S8,0)</f>
        <v>0.57627048291095651</v>
      </c>
      <c r="T80" s="91">
        <f t="shared" si="121"/>
        <v>0.55486509674159279</v>
      </c>
      <c r="U80" s="91">
        <f t="shared" si="121"/>
        <v>0.55418265754824514</v>
      </c>
      <c r="V80" s="91">
        <f t="shared" si="121"/>
        <v>0.55392751341366664</v>
      </c>
      <c r="W80" s="91">
        <f t="shared" si="121"/>
        <v>0.55841334005381371</v>
      </c>
      <c r="X80" s="91">
        <f t="shared" si="121"/>
        <v>0.55652186665057191</v>
      </c>
      <c r="Y80" s="91">
        <f t="shared" si="121"/>
        <v>0.55405353818614511</v>
      </c>
      <c r="Z80" s="91">
        <f t="shared" si="121"/>
        <v>0.57627048291095651</v>
      </c>
      <c r="AA80" s="91">
        <f t="shared" si="121"/>
        <v>0.55459008416045441</v>
      </c>
      <c r="AB80" s="91">
        <f t="shared" si="121"/>
        <v>0.55324416712148294</v>
      </c>
      <c r="AC80" s="91">
        <f t="shared" si="121"/>
        <v>0.5596038162442899</v>
      </c>
      <c r="AD80" s="91">
        <f t="shared" si="121"/>
        <v>0.5535432101836838</v>
      </c>
      <c r="AE80" s="91"/>
      <c r="AF80" s="91">
        <f>IFERROR(AF74/AF8,0)</f>
        <v>0.55497418065057369</v>
      </c>
      <c r="AH80" s="91">
        <f t="shared" ref="AH80:AS80" si="122">IFERROR(AH74/AH8,0)</f>
        <v>0.57627048291095662</v>
      </c>
      <c r="AI80" s="91">
        <f t="shared" si="122"/>
        <v>0.55486509674159268</v>
      </c>
      <c r="AJ80" s="91">
        <f t="shared" si="122"/>
        <v>0.55418265754824514</v>
      </c>
      <c r="AK80" s="91">
        <f t="shared" si="122"/>
        <v>0.55392751341366664</v>
      </c>
      <c r="AL80" s="91">
        <f t="shared" si="122"/>
        <v>0.55841334005381371</v>
      </c>
      <c r="AM80" s="91">
        <f t="shared" si="122"/>
        <v>0.55652186665057202</v>
      </c>
      <c r="AN80" s="91">
        <f t="shared" si="122"/>
        <v>0.55405353818614489</v>
      </c>
      <c r="AO80" s="91">
        <f t="shared" si="122"/>
        <v>0.57627048291095662</v>
      </c>
      <c r="AP80" s="91">
        <f t="shared" si="122"/>
        <v>0.5545900841604543</v>
      </c>
      <c r="AQ80" s="91">
        <f t="shared" si="122"/>
        <v>0.55324416712148294</v>
      </c>
      <c r="AR80" s="91">
        <f t="shared" si="122"/>
        <v>0.55960381624428979</v>
      </c>
      <c r="AS80" s="91">
        <f t="shared" si="122"/>
        <v>0.55354321018368391</v>
      </c>
      <c r="AT80" s="91"/>
      <c r="AU80" s="91">
        <f>IFERROR(AU74/AU8,0)</f>
        <v>0.55497418065057369</v>
      </c>
    </row>
    <row r="81" spans="2:47" outlineLevel="1">
      <c r="B81" s="67" t="s">
        <v>140</v>
      </c>
      <c r="C81" s="52"/>
      <c r="D81" s="97">
        <f t="shared" ref="D81:K81" si="123">IFERROR(D75/D9,0)</f>
        <v>0</v>
      </c>
      <c r="E81" s="97">
        <f t="shared" si="123"/>
        <v>0</v>
      </c>
      <c r="F81" s="97">
        <f t="shared" si="123"/>
        <v>0</v>
      </c>
      <c r="G81" s="97">
        <f t="shared" si="123"/>
        <v>0</v>
      </c>
      <c r="H81" s="97">
        <f t="shared" si="123"/>
        <v>0</v>
      </c>
      <c r="I81" s="97">
        <f t="shared" si="123"/>
        <v>0</v>
      </c>
      <c r="J81" s="97">
        <f t="shared" si="123"/>
        <v>0</v>
      </c>
      <c r="K81" s="97">
        <f t="shared" si="123"/>
        <v>0</v>
      </c>
      <c r="L81" s="97">
        <f t="shared" ca="1" si="117"/>
        <v>0</v>
      </c>
      <c r="M81" s="91">
        <f t="shared" ca="1" si="117"/>
        <v>0</v>
      </c>
      <c r="N81" s="91">
        <f t="shared" ca="1" si="117"/>
        <v>0</v>
      </c>
      <c r="O81" s="91">
        <f t="shared" ca="1" si="117"/>
        <v>0</v>
      </c>
      <c r="P81" s="91"/>
      <c r="Q81" s="91">
        <f ca="1">IFERROR(Q75/Q9,0)</f>
        <v>0</v>
      </c>
      <c r="S81" s="91">
        <f t="shared" ref="S81:AD81" ca="1" si="124">IFERROR(S75/S9,0)</f>
        <v>0</v>
      </c>
      <c r="T81" s="91">
        <f t="shared" ca="1" si="124"/>
        <v>0</v>
      </c>
      <c r="U81" s="91">
        <f t="shared" ca="1" si="124"/>
        <v>0</v>
      </c>
      <c r="V81" s="91">
        <f t="shared" ca="1" si="124"/>
        <v>0</v>
      </c>
      <c r="W81" s="91">
        <f t="shared" ca="1" si="124"/>
        <v>0</v>
      </c>
      <c r="X81" s="91">
        <f t="shared" ca="1" si="124"/>
        <v>0</v>
      </c>
      <c r="Y81" s="91">
        <f t="shared" ca="1" si="124"/>
        <v>0</v>
      </c>
      <c r="Z81" s="91">
        <f t="shared" ca="1" si="124"/>
        <v>0</v>
      </c>
      <c r="AA81" s="91">
        <f t="shared" ca="1" si="124"/>
        <v>0</v>
      </c>
      <c r="AB81" s="91">
        <f t="shared" ca="1" si="124"/>
        <v>0</v>
      </c>
      <c r="AC81" s="91">
        <f t="shared" ca="1" si="124"/>
        <v>0</v>
      </c>
      <c r="AD81" s="91">
        <f t="shared" ca="1" si="124"/>
        <v>0</v>
      </c>
      <c r="AE81" s="91"/>
      <c r="AF81" s="91">
        <f ca="1">IFERROR(AF75/AF9,0)</f>
        <v>0</v>
      </c>
      <c r="AH81" s="91">
        <f t="shared" ref="AH81:AS81" ca="1" si="125">IFERROR(AH75/AH9,0)</f>
        <v>0</v>
      </c>
      <c r="AI81" s="91">
        <f t="shared" ca="1" si="125"/>
        <v>0</v>
      </c>
      <c r="AJ81" s="91">
        <f t="shared" ca="1" si="125"/>
        <v>0</v>
      </c>
      <c r="AK81" s="91">
        <f t="shared" ca="1" si="125"/>
        <v>0</v>
      </c>
      <c r="AL81" s="91">
        <f t="shared" ca="1" si="125"/>
        <v>0</v>
      </c>
      <c r="AM81" s="91">
        <f t="shared" ca="1" si="125"/>
        <v>0</v>
      </c>
      <c r="AN81" s="91">
        <f t="shared" ca="1" si="125"/>
        <v>0</v>
      </c>
      <c r="AO81" s="91">
        <f t="shared" ca="1" si="125"/>
        <v>0</v>
      </c>
      <c r="AP81" s="91">
        <f t="shared" ca="1" si="125"/>
        <v>0</v>
      </c>
      <c r="AQ81" s="91">
        <f t="shared" ca="1" si="125"/>
        <v>0</v>
      </c>
      <c r="AR81" s="91">
        <f t="shared" ca="1" si="125"/>
        <v>0</v>
      </c>
      <c r="AS81" s="91">
        <f t="shared" ca="1" si="125"/>
        <v>0</v>
      </c>
      <c r="AT81" s="91"/>
      <c r="AU81" s="91">
        <f ca="1">IFERROR(AU75/AU9,0)</f>
        <v>0</v>
      </c>
    </row>
    <row r="82" spans="2:47" outlineLevel="1">
      <c r="B82" s="67" t="s">
        <v>141</v>
      </c>
      <c r="C82" s="52"/>
      <c r="D82" s="97">
        <f t="shared" ref="D82:K82" si="126">IFERROR(D76/D10,0)</f>
        <v>0</v>
      </c>
      <c r="E82" s="97">
        <f t="shared" si="126"/>
        <v>0</v>
      </c>
      <c r="F82" s="97">
        <f t="shared" si="126"/>
        <v>0</v>
      </c>
      <c r="G82" s="97">
        <f t="shared" si="126"/>
        <v>0</v>
      </c>
      <c r="H82" s="97">
        <f t="shared" si="126"/>
        <v>0</v>
      </c>
      <c r="I82" s="97">
        <f t="shared" si="126"/>
        <v>0</v>
      </c>
      <c r="J82" s="97">
        <f t="shared" si="126"/>
        <v>0</v>
      </c>
      <c r="K82" s="97">
        <f t="shared" si="126"/>
        <v>0</v>
      </c>
      <c r="L82" s="97">
        <f t="shared" si="117"/>
        <v>0</v>
      </c>
      <c r="M82" s="91">
        <f t="shared" si="117"/>
        <v>0</v>
      </c>
      <c r="N82" s="91">
        <f t="shared" si="117"/>
        <v>0</v>
      </c>
      <c r="O82" s="91">
        <f t="shared" si="117"/>
        <v>0</v>
      </c>
      <c r="P82" s="91"/>
      <c r="Q82" s="91">
        <f>IFERROR(Q76/Q10,0)</f>
        <v>0</v>
      </c>
      <c r="S82" s="91">
        <f t="shared" ref="S82:AD82" si="127">IFERROR(S76/S10,0)</f>
        <v>0</v>
      </c>
      <c r="T82" s="91">
        <f t="shared" si="127"/>
        <v>0</v>
      </c>
      <c r="U82" s="91">
        <f t="shared" si="127"/>
        <v>0</v>
      </c>
      <c r="V82" s="91">
        <f t="shared" si="127"/>
        <v>0</v>
      </c>
      <c r="W82" s="91">
        <f t="shared" si="127"/>
        <v>0</v>
      </c>
      <c r="X82" s="91">
        <f t="shared" si="127"/>
        <v>0</v>
      </c>
      <c r="Y82" s="91">
        <f t="shared" si="127"/>
        <v>0</v>
      </c>
      <c r="Z82" s="91">
        <f t="shared" si="127"/>
        <v>0</v>
      </c>
      <c r="AA82" s="91">
        <f t="shared" si="127"/>
        <v>0</v>
      </c>
      <c r="AB82" s="91">
        <f t="shared" si="127"/>
        <v>0</v>
      </c>
      <c r="AC82" s="91">
        <f t="shared" si="127"/>
        <v>0</v>
      </c>
      <c r="AD82" s="91">
        <f t="shared" si="127"/>
        <v>0</v>
      </c>
      <c r="AE82" s="91"/>
      <c r="AF82" s="91">
        <f>IFERROR(AF76/AF10,0)</f>
        <v>0</v>
      </c>
      <c r="AH82" s="91">
        <f t="shared" ref="AH82:AS82" si="128">IFERROR(AH76/AH10,0)</f>
        <v>0</v>
      </c>
      <c r="AI82" s="91">
        <f t="shared" si="128"/>
        <v>0</v>
      </c>
      <c r="AJ82" s="91">
        <f t="shared" si="128"/>
        <v>0</v>
      </c>
      <c r="AK82" s="91">
        <f t="shared" si="128"/>
        <v>0</v>
      </c>
      <c r="AL82" s="91">
        <f t="shared" si="128"/>
        <v>0</v>
      </c>
      <c r="AM82" s="91">
        <f t="shared" si="128"/>
        <v>0</v>
      </c>
      <c r="AN82" s="91">
        <f t="shared" si="128"/>
        <v>0</v>
      </c>
      <c r="AO82" s="91">
        <f t="shared" si="128"/>
        <v>0</v>
      </c>
      <c r="AP82" s="91">
        <f t="shared" si="128"/>
        <v>0</v>
      </c>
      <c r="AQ82" s="91">
        <f t="shared" si="128"/>
        <v>0</v>
      </c>
      <c r="AR82" s="91">
        <f t="shared" si="128"/>
        <v>0</v>
      </c>
      <c r="AS82" s="91">
        <f t="shared" si="128"/>
        <v>0</v>
      </c>
      <c r="AT82" s="91"/>
      <c r="AU82" s="91">
        <f>IFERROR(AU76/AU10,0)</f>
        <v>0</v>
      </c>
    </row>
    <row r="83" spans="2:47">
      <c r="B83" s="72" t="s">
        <v>142</v>
      </c>
      <c r="C83" s="73"/>
      <c r="D83" s="97">
        <f t="shared" ref="D83:K83" si="129">IFERROR(D77/D12,0)</f>
        <v>0.20970011589308343</v>
      </c>
      <c r="E83" s="97">
        <f t="shared" si="129"/>
        <v>0.36980947543949166</v>
      </c>
      <c r="F83" s="97">
        <f t="shared" si="129"/>
        <v>0.34194199911481166</v>
      </c>
      <c r="G83" s="97">
        <f t="shared" si="129"/>
        <v>0.23309105613809331</v>
      </c>
      <c r="H83" s="97">
        <f t="shared" si="129"/>
        <v>8.7844825803070806E-2</v>
      </c>
      <c r="I83" s="97">
        <f t="shared" si="129"/>
        <v>0.3882522406685851</v>
      </c>
      <c r="J83" s="97">
        <f t="shared" si="129"/>
        <v>0.35021820670202569</v>
      </c>
      <c r="K83" s="97">
        <f t="shared" si="129"/>
        <v>-0.42926174831988401</v>
      </c>
      <c r="L83" s="97">
        <f t="shared" ref="L83:O83" ca="1" si="130">IFERROR(L77/L12,0)</f>
        <v>0.24038610620135464</v>
      </c>
      <c r="M83" s="91">
        <f t="shared" ca="1" si="130"/>
        <v>0.37448476052249635</v>
      </c>
      <c r="N83" s="91">
        <f t="shared" ca="1" si="130"/>
        <v>0.30455555555555558</v>
      </c>
      <c r="O83" s="91">
        <f t="shared" ca="1" si="130"/>
        <v>0.43067692307692307</v>
      </c>
      <c r="P83" s="91"/>
      <c r="Q83" s="91">
        <f ca="1">IFERROR(Q77/Q12,0)</f>
        <v>0.32262702576153784</v>
      </c>
      <c r="S83" s="91">
        <f t="shared" ref="S83:AD83" ca="1" si="131">IFERROR(S77/S12,0)</f>
        <v>0.28650084054656988</v>
      </c>
      <c r="T83" s="91">
        <f t="shared" ca="1" si="131"/>
        <v>0.39870955172252326</v>
      </c>
      <c r="U83" s="91">
        <f t="shared" ca="1" si="131"/>
        <v>0.36663915885115611</v>
      </c>
      <c r="V83" s="91">
        <f t="shared" ca="1" si="131"/>
        <v>0.28413008937426998</v>
      </c>
      <c r="W83" s="91">
        <f t="shared" ca="1" si="131"/>
        <v>0.34065162242299818</v>
      </c>
      <c r="X83" s="91">
        <f t="shared" ca="1" si="131"/>
        <v>0.37024444619800034</v>
      </c>
      <c r="Y83" s="91">
        <f t="shared" ca="1" si="131"/>
        <v>0.37170078048872662</v>
      </c>
      <c r="Z83" s="91">
        <f t="shared" ca="1" si="131"/>
        <v>0.26901392984154798</v>
      </c>
      <c r="AA83" s="91">
        <f t="shared" ca="1" si="131"/>
        <v>0.28013124133742556</v>
      </c>
      <c r="AB83" s="91">
        <f t="shared" ca="1" si="131"/>
        <v>0.30239381888303635</v>
      </c>
      <c r="AC83" s="91">
        <f t="shared" ca="1" si="131"/>
        <v>0.27885177813334694</v>
      </c>
      <c r="AD83" s="91">
        <f t="shared" ca="1" si="131"/>
        <v>0.27819923646590605</v>
      </c>
      <c r="AE83" s="91"/>
      <c r="AF83" s="91">
        <f ca="1">IFERROR(AF77/AF12,0)</f>
        <v>0.32700661282447524</v>
      </c>
      <c r="AH83" s="91">
        <f t="shared" ref="AH83:AS83" ca="1" si="132">IFERROR(AH77/AH12,0)</f>
        <v>0.20679820361623361</v>
      </c>
      <c r="AI83" s="91">
        <f t="shared" ca="1" si="132"/>
        <v>0.38338765588570545</v>
      </c>
      <c r="AJ83" s="91">
        <f t="shared" ca="1" si="132"/>
        <v>0.36317696862156595</v>
      </c>
      <c r="AK83" s="91">
        <f t="shared" ca="1" si="132"/>
        <v>0.25231912261637768</v>
      </c>
      <c r="AL83" s="91">
        <f t="shared" ca="1" si="132"/>
        <v>0.30741846806169137</v>
      </c>
      <c r="AM83" s="91">
        <f t="shared" ca="1" si="132"/>
        <v>0.38244036959522443</v>
      </c>
      <c r="AN83" s="91">
        <f t="shared" ca="1" si="132"/>
        <v>0.42154076427595688</v>
      </c>
      <c r="AO83" s="91">
        <f t="shared" ca="1" si="132"/>
        <v>0.23572023973832945</v>
      </c>
      <c r="AP83" s="91">
        <f t="shared" ca="1" si="132"/>
        <v>0.27441946955289587</v>
      </c>
      <c r="AQ83" s="91">
        <f t="shared" ca="1" si="132"/>
        <v>0.3034126569913127</v>
      </c>
      <c r="AR83" s="91">
        <f t="shared" ca="1" si="132"/>
        <v>0.29313500159756567</v>
      </c>
      <c r="AS83" s="91">
        <f t="shared" ca="1" si="132"/>
        <v>0.26838573225551909</v>
      </c>
      <c r="AT83" s="91"/>
      <c r="AU83" s="91">
        <f ca="1">IFERROR(AU77/AU12,0)</f>
        <v>0.32292572652140988</v>
      </c>
    </row>
    <row r="84" spans="2:47">
      <c r="D84" s="53"/>
      <c r="E84" s="53"/>
      <c r="F84" s="53"/>
      <c r="G84" s="53"/>
      <c r="H84" s="53"/>
      <c r="I84" s="53"/>
      <c r="J84" s="53"/>
      <c r="K84" s="53"/>
      <c r="L84" s="53"/>
      <c r="M84" s="91"/>
      <c r="N84" s="91"/>
      <c r="O84" s="91"/>
      <c r="P84" s="91"/>
      <c r="Q84" s="91"/>
    </row>
    <row r="85" spans="2:47" outlineLevel="1">
      <c r="B85" s="58" t="s">
        <v>143</v>
      </c>
      <c r="D85" s="53"/>
      <c r="E85" s="53"/>
      <c r="F85" s="53"/>
      <c r="G85" s="53"/>
      <c r="H85" s="53"/>
      <c r="I85" s="53"/>
      <c r="J85" s="53"/>
      <c r="K85" s="53"/>
      <c r="L85" s="53"/>
      <c r="M85" s="60"/>
      <c r="N85" s="60"/>
      <c r="O85" s="60"/>
      <c r="X85" s="60"/>
      <c r="Y85" s="60"/>
      <c r="Z85" s="60"/>
      <c r="AA85" s="60"/>
      <c r="AB85" s="60"/>
      <c r="AC85" s="60"/>
      <c r="AD85" s="60"/>
      <c r="AM85" s="60"/>
      <c r="AN85" s="60"/>
      <c r="AO85" s="60"/>
      <c r="AP85" s="60"/>
      <c r="AQ85" s="60"/>
      <c r="AR85" s="60"/>
      <c r="AS85" s="60"/>
    </row>
    <row r="86" spans="2:47" outlineLevel="1">
      <c r="B86" s="58"/>
      <c r="D86" s="53"/>
      <c r="E86" s="53"/>
      <c r="F86" s="53"/>
      <c r="G86" s="53"/>
      <c r="H86" s="53"/>
      <c r="I86" s="53"/>
      <c r="J86" s="53"/>
      <c r="K86" s="53"/>
      <c r="L86" s="53"/>
    </row>
    <row r="87" spans="2:47" outlineLevel="1">
      <c r="B87" s="51" t="s">
        <v>144</v>
      </c>
      <c r="D87" s="59">
        <v>-4497.01</v>
      </c>
      <c r="E87" s="59">
        <v>-4485.3900000000003</v>
      </c>
      <c r="F87" s="59">
        <v>-4570.13</v>
      </c>
      <c r="G87" s="59">
        <v>-4495.92</v>
      </c>
      <c r="H87" s="59">
        <v>-4961.53</v>
      </c>
      <c r="I87" s="59">
        <v>-4690.51</v>
      </c>
      <c r="J87" s="59">
        <v>-4662.49</v>
      </c>
      <c r="K87" s="59">
        <v>-4912.7</v>
      </c>
      <c r="L87" s="59">
        <v>-2362</v>
      </c>
      <c r="M87" s="60">
        <f>SUMIFS(Payroll!F:F,Payroll!$C:$C,"Permanent",Payroll!$D:$D,"Slovakia")</f>
        <v>-1023.75</v>
      </c>
      <c r="N87" s="60">
        <f>SUMIFS(Payroll!G:G,Payroll!$C:$C,"Permanent",Payroll!$D:$D,"Slovakia")</f>
        <v>-1023.75</v>
      </c>
      <c r="O87" s="60">
        <f>SUMIFS(Payroll!H:H,Payroll!$C:$C,"Permanent",Payroll!$D:$D,"Slovakia")</f>
        <v>-8190</v>
      </c>
      <c r="P87" s="60"/>
      <c r="Q87" s="61">
        <f>SUM(D87:O87)</f>
        <v>-49875.18</v>
      </c>
      <c r="R87" s="61"/>
      <c r="S87" s="60">
        <f>SUMIFS(Payroll!I:I,Payroll!$C:$C,"Permanent",Payroll!$D:$D,"Slovakia")</f>
        <v>-8385</v>
      </c>
      <c r="T87" s="60">
        <f>SUMIFS(Payroll!J:J,Payroll!$C:$C,"Permanent",Payroll!$D:$D,"Slovakia")</f>
        <v>-8385</v>
      </c>
      <c r="U87" s="60">
        <f>SUMIFS(Payroll!K:K,Payroll!$C:$C,"Permanent",Payroll!$D:$D,"Slovakia")</f>
        <v>-8385</v>
      </c>
      <c r="V87" s="60">
        <f>SUMIFS(Payroll!L:L,Payroll!$C:$C,"Permanent",Payroll!$D:$D,"Slovakia")</f>
        <v>-8385</v>
      </c>
      <c r="W87" s="60">
        <f>SUMIFS(Payroll!M:M,Payroll!$C:$C,"Permanent",Payroll!$D:$D,"Slovakia")</f>
        <v>-8385</v>
      </c>
      <c r="X87" s="60">
        <f>SUMIFS(Payroll!N:N,Payroll!$C:$C,"Permanent",Payroll!$D:$D,"Slovakia")</f>
        <v>-8385</v>
      </c>
      <c r="Y87" s="60">
        <f>SUMIFS(Payroll!O:O,Payroll!$C:$C,"Permanent",Payroll!$D:$D,"Slovakia")</f>
        <v>-8385</v>
      </c>
      <c r="Z87" s="60">
        <f>SUMIFS(Payroll!P:P,Payroll!$C:$C,"Permanent",Payroll!$D:$D,"Slovakia")</f>
        <v>-8385</v>
      </c>
      <c r="AA87" s="60">
        <f>SUMIFS(Payroll!Q:Q,Payroll!$C:$C,"Permanent",Payroll!$D:$D,"Slovakia")</f>
        <v>-8385</v>
      </c>
      <c r="AB87" s="60">
        <f>SUMIFS(Payroll!R:R,Payroll!$C:$C,"Permanent",Payroll!$D:$D,"Slovakia")</f>
        <v>-8385</v>
      </c>
      <c r="AC87" s="60">
        <f>SUMIFS(Payroll!S:S,Payroll!$C:$C,"Permanent",Payroll!$D:$D,"Slovakia")</f>
        <v>-8385</v>
      </c>
      <c r="AD87" s="60">
        <f>SUMIFS(Payroll!T:T,Payroll!$C:$C,"Permanent",Payroll!$D:$D,"Slovakia")</f>
        <v>-8385</v>
      </c>
      <c r="AE87" s="60"/>
      <c r="AF87" s="61">
        <f>SUM(S87:AD87)</f>
        <v>-100620</v>
      </c>
      <c r="AH87" s="60">
        <f>SUMIFS(Payroll!U:U,Payroll!$C:$C,"Permanent",Payroll!$D:$D,"Slovakia")</f>
        <v>-8385</v>
      </c>
      <c r="AI87" s="60">
        <f>SUMIFS(Payroll!V:V,Payroll!$C:$C,"Permanent",Payroll!$D:$D,"Slovakia")</f>
        <v>-8385</v>
      </c>
      <c r="AJ87" s="60">
        <f>SUMIFS(Payroll!W:W,Payroll!$C:$C,"Permanent",Payroll!$D:$D,"Slovakia")</f>
        <v>-8385</v>
      </c>
      <c r="AK87" s="60">
        <f>SUMIFS(Payroll!X:X,Payroll!$C:$C,"Permanent",Payroll!$D:$D,"Slovakia")</f>
        <v>-8385</v>
      </c>
      <c r="AL87" s="60">
        <f>SUMIFS(Payroll!Y:Y,Payroll!$C:$C,"Permanent",Payroll!$D:$D,"Slovakia")</f>
        <v>-8385</v>
      </c>
      <c r="AM87" s="60">
        <f>SUMIFS(Payroll!Z:Z,Payroll!$C:$C,"Permanent",Payroll!$D:$D,"Slovakia")</f>
        <v>-8385</v>
      </c>
      <c r="AN87" s="60">
        <f>SUMIFS(Payroll!AA:AA,Payroll!$C:$C,"Permanent",Payroll!$D:$D,"Slovakia")</f>
        <v>-8385</v>
      </c>
      <c r="AO87" s="60">
        <f>SUMIFS(Payroll!AB:AB,Payroll!$C:$C,"Permanent",Payroll!$D:$D,"Slovakia")</f>
        <v>-8385</v>
      </c>
      <c r="AP87" s="60">
        <f>SUMIFS(Payroll!AC:AC,Payroll!$C:$C,"Permanent",Payroll!$D:$D,"Slovakia")</f>
        <v>-8385</v>
      </c>
      <c r="AQ87" s="60">
        <f>SUMIFS(Payroll!AD:AD,Payroll!$C:$C,"Permanent",Payroll!$D:$D,"Slovakia")</f>
        <v>-8385</v>
      </c>
      <c r="AR87" s="60">
        <f>SUMIFS(Payroll!AE:AE,Payroll!$C:$C,"Permanent",Payroll!$D:$D,"Slovakia")</f>
        <v>-8385</v>
      </c>
      <c r="AS87" s="60">
        <f>SUMIFS(Payroll!AF:AF,Payroll!$C:$C,"Permanent",Payroll!$D:$D,"Slovakia")</f>
        <v>-8385</v>
      </c>
      <c r="AT87" s="60"/>
      <c r="AU87" s="61">
        <f>SUM(AH87:AS87)</f>
        <v>-100620</v>
      </c>
    </row>
    <row r="88" spans="2:47" outlineLevel="1">
      <c r="B88" s="51" t="s">
        <v>145</v>
      </c>
      <c r="D88" s="59">
        <v>-5722.83</v>
      </c>
      <c r="E88" s="59">
        <v>-2517.15</v>
      </c>
      <c r="F88" s="59">
        <v>-3424.16</v>
      </c>
      <c r="G88" s="59">
        <v>-5175.6899999999996</v>
      </c>
      <c r="H88" s="59">
        <v>-3353.6</v>
      </c>
      <c r="I88" s="59">
        <v>-3628.16</v>
      </c>
      <c r="J88" s="59">
        <v>-3531.82</v>
      </c>
      <c r="K88" s="59">
        <v>-3400.68</v>
      </c>
      <c r="L88" s="59">
        <v>-4604</v>
      </c>
      <c r="M88" s="60">
        <f>SUMIFS(Payroll!F:F,Payroll!$C:$C,"Freelancer",Payroll!$D:$D,"Slovakia")</f>
        <v>-9009.7881355932204</v>
      </c>
      <c r="N88" s="60">
        <f>SUMIFS(Payroll!G:G,Payroll!$C:$C,"Freelancer",Payroll!$D:$D,"Slovakia")</f>
        <v>-6785.2118644067805</v>
      </c>
      <c r="O88" s="60">
        <f>SUMIFS(Payroll!H:H,Payroll!$C:$C,"Freelancer",Payroll!$D:$D,"Slovakia")</f>
        <v>-6785.2118644067805</v>
      </c>
      <c r="P88" s="60"/>
      <c r="Q88" s="61">
        <f t="shared" ref="Q88:Q95" si="133">SUM(D88:O88)</f>
        <v>-57938.301864406778</v>
      </c>
      <c r="R88" s="61"/>
      <c r="S88" s="60">
        <f>SUMIFS(Payroll!I:I,Payroll!$C:$C,"Freelancer",Payroll!$D:$D,"Slovakia")</f>
        <v>-7072.8742940000002</v>
      </c>
      <c r="T88" s="60">
        <f>SUMIFS(Payroll!J:J,Payroll!$C:$C,"Freelancer",Payroll!$D:$D,"Slovakia")</f>
        <v>-7072.8742940000002</v>
      </c>
      <c r="U88" s="60">
        <f>SUMIFS(Payroll!K:K,Payroll!$C:$C,"Freelancer",Payroll!$D:$D,"Slovakia")</f>
        <v>-7072.8742940000002</v>
      </c>
      <c r="V88" s="60">
        <f>SUMIFS(Payroll!L:L,Payroll!$C:$C,"Freelancer",Payroll!$D:$D,"Slovakia")</f>
        <v>-7072.8742940000002</v>
      </c>
      <c r="W88" s="60">
        <f>SUMIFS(Payroll!M:M,Payroll!$C:$C,"Freelancer",Payroll!$D:$D,"Slovakia")</f>
        <v>-7072.8742940000002</v>
      </c>
      <c r="X88" s="60">
        <f>SUMIFS(Payroll!N:N,Payroll!$C:$C,"Freelancer",Payroll!$D:$D,"Slovakia")</f>
        <v>-7072.8742940000002</v>
      </c>
      <c r="Y88" s="60">
        <f>SUMIFS(Payroll!O:O,Payroll!$C:$C,"Freelancer",Payroll!$D:$D,"Slovakia")</f>
        <v>-7072.8742940000002</v>
      </c>
      <c r="Z88" s="60">
        <f>SUMIFS(Payroll!P:P,Payroll!$C:$C,"Freelancer",Payroll!$D:$D,"Slovakia")</f>
        <v>-7072.8742940000002</v>
      </c>
      <c r="AA88" s="60">
        <f>SUMIFS(Payroll!Q:Q,Payroll!$C:$C,"Freelancer",Payroll!$D:$D,"Slovakia")</f>
        <v>-7072.8742940000002</v>
      </c>
      <c r="AB88" s="60">
        <f>SUMIFS(Payroll!R:R,Payroll!$C:$C,"Freelancer",Payroll!$D:$D,"Slovakia")</f>
        <v>-7072.8742940000002</v>
      </c>
      <c r="AC88" s="60">
        <f>SUMIFS(Payroll!S:S,Payroll!$C:$C,"Freelancer",Payroll!$D:$D,"Slovakia")</f>
        <v>-7072.8742940000002</v>
      </c>
      <c r="AD88" s="60">
        <f>SUMIFS(Payroll!T:T,Payroll!$C:$C,"Freelancer",Payroll!$D:$D,"Slovakia")</f>
        <v>-7072.8742940000002</v>
      </c>
      <c r="AE88" s="60"/>
      <c r="AF88" s="61">
        <f t="shared" ref="AF88:AF95" si="134">SUM(S88:AD88)</f>
        <v>-84874.491527999984</v>
      </c>
      <c r="AH88" s="60">
        <f>SUMIFS(Payroll!U:U,Payroll!$C:$C,"Freelancer",Payroll!$D:$D,"Slovakia")</f>
        <v>-7072.8742940000002</v>
      </c>
      <c r="AI88" s="60">
        <f>SUMIFS(Payroll!V:V,Payroll!$C:$C,"Freelancer",Payroll!$D:$D,"Slovakia")</f>
        <v>-7072.8742940000002</v>
      </c>
      <c r="AJ88" s="60">
        <f>SUMIFS(Payroll!W:W,Payroll!$C:$C,"Freelancer",Payroll!$D:$D,"Slovakia")</f>
        <v>-7072.8742940000002</v>
      </c>
      <c r="AK88" s="60">
        <f>SUMIFS(Payroll!X:X,Payroll!$C:$C,"Freelancer",Payroll!$D:$D,"Slovakia")</f>
        <v>-7072.8742940000002</v>
      </c>
      <c r="AL88" s="60">
        <f>SUMIFS(Payroll!Y:Y,Payroll!$C:$C,"Freelancer",Payroll!$D:$D,"Slovakia")</f>
        <v>-7072.8742940000002</v>
      </c>
      <c r="AM88" s="60">
        <f>SUMIFS(Payroll!Z:Z,Payroll!$C:$C,"Freelancer",Payroll!$D:$D,"Slovakia")</f>
        <v>-7072.8742940000002</v>
      </c>
      <c r="AN88" s="60">
        <f>SUMIFS(Payroll!AA:AA,Payroll!$C:$C,"Freelancer",Payroll!$D:$D,"Slovakia")</f>
        <v>-7072.8742940000002</v>
      </c>
      <c r="AO88" s="60">
        <f>SUMIFS(Payroll!AB:AB,Payroll!$C:$C,"Freelancer",Payroll!$D:$D,"Slovakia")</f>
        <v>-7072.8742940000002</v>
      </c>
      <c r="AP88" s="60">
        <f>SUMIFS(Payroll!AC:AC,Payroll!$C:$C,"Freelancer",Payroll!$D:$D,"Slovakia")</f>
        <v>-7072.8742940000002</v>
      </c>
      <c r="AQ88" s="60">
        <f>SUMIFS(Payroll!AD:AD,Payroll!$C:$C,"Freelancer",Payroll!$D:$D,"Slovakia")</f>
        <v>-7072.8742940000002</v>
      </c>
      <c r="AR88" s="60">
        <f>SUMIFS(Payroll!AE:AE,Payroll!$C:$C,"Freelancer",Payroll!$D:$D,"Slovakia")</f>
        <v>-7072.8742940000002</v>
      </c>
      <c r="AS88" s="60">
        <f>SUMIFS(Payroll!AF:AF,Payroll!$C:$C,"Freelancer",Payroll!$D:$D,"Slovakia")</f>
        <v>-7072.8742940000002</v>
      </c>
      <c r="AT88" s="60"/>
      <c r="AU88" s="61">
        <f t="shared" ref="AU88:AU95" si="135">SUM(AH88:AS88)</f>
        <v>-84874.491527999984</v>
      </c>
    </row>
    <row r="89" spans="2:47" outlineLevel="1">
      <c r="B89" s="51" t="s">
        <v>146</v>
      </c>
      <c r="D89" s="59">
        <v>-505.66</v>
      </c>
      <c r="E89" s="59">
        <v>-493.12</v>
      </c>
      <c r="F89" s="59">
        <v>-480.11</v>
      </c>
      <c r="G89" s="59">
        <v>-475.49</v>
      </c>
      <c r="H89" s="59">
        <v>-468.97</v>
      </c>
      <c r="I89" s="59">
        <v>-476.35</v>
      </c>
      <c r="J89" s="59">
        <v>-474.41</v>
      </c>
      <c r="K89" s="59">
        <v>-1954.81</v>
      </c>
      <c r="L89" s="59">
        <v>-1475</v>
      </c>
      <c r="M89" s="60">
        <v>-500</v>
      </c>
      <c r="N89" s="60">
        <v>-500</v>
      </c>
      <c r="O89" s="60">
        <v>-500</v>
      </c>
      <c r="P89" s="60"/>
      <c r="Q89" s="61">
        <f t="shared" si="133"/>
        <v>-8303.92</v>
      </c>
      <c r="R89" s="61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1">
        <f t="shared" si="134"/>
        <v>0</v>
      </c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1">
        <f t="shared" si="135"/>
        <v>0</v>
      </c>
    </row>
    <row r="90" spans="2:47" outlineLevel="1">
      <c r="B90" s="51" t="s">
        <v>147</v>
      </c>
      <c r="D90" s="59">
        <v>0</v>
      </c>
      <c r="E90" s="59">
        <v>0</v>
      </c>
      <c r="F90" s="59">
        <v>0</v>
      </c>
      <c r="G90" s="59">
        <v>0</v>
      </c>
      <c r="H90" s="59">
        <v>0</v>
      </c>
      <c r="I90" s="59">
        <v>-171.38</v>
      </c>
      <c r="J90" s="59">
        <v>-169.3</v>
      </c>
      <c r="K90" s="59">
        <v>-550.46</v>
      </c>
      <c r="L90" s="59">
        <v>-300</v>
      </c>
      <c r="M90" s="60">
        <v>-300</v>
      </c>
      <c r="N90" s="60">
        <v>-300</v>
      </c>
      <c r="O90" s="60">
        <v>-300</v>
      </c>
      <c r="P90" s="60"/>
      <c r="Q90" s="61">
        <f t="shared" si="133"/>
        <v>-2091.1400000000003</v>
      </c>
      <c r="R90" s="61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1">
        <f t="shared" si="134"/>
        <v>0</v>
      </c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1">
        <f t="shared" si="135"/>
        <v>0</v>
      </c>
    </row>
    <row r="91" spans="2:47" outlineLevel="1">
      <c r="B91" s="51" t="s">
        <v>148</v>
      </c>
      <c r="D91" s="59">
        <v>0</v>
      </c>
      <c r="E91" s="59">
        <v>0</v>
      </c>
      <c r="F91" s="59">
        <v>0</v>
      </c>
      <c r="G91" s="59">
        <v>0</v>
      </c>
      <c r="H91" s="59">
        <v>0</v>
      </c>
      <c r="I91" s="59">
        <v>0</v>
      </c>
      <c r="J91" s="59"/>
      <c r="K91" s="59"/>
      <c r="L91" s="59"/>
      <c r="M91" s="60"/>
      <c r="N91" s="60"/>
      <c r="O91" s="60"/>
      <c r="P91" s="60"/>
      <c r="Q91" s="61">
        <f t="shared" si="133"/>
        <v>0</v>
      </c>
      <c r="R91" s="61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1">
        <f t="shared" si="134"/>
        <v>0</v>
      </c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1">
        <f t="shared" si="135"/>
        <v>0</v>
      </c>
    </row>
    <row r="92" spans="2:47" outlineLevel="1">
      <c r="B92" s="51" t="s">
        <v>149</v>
      </c>
      <c r="D92" s="59">
        <v>0</v>
      </c>
      <c r="E92" s="59">
        <v>0</v>
      </c>
      <c r="F92" s="59">
        <v>0</v>
      </c>
      <c r="G92" s="59">
        <v>0</v>
      </c>
      <c r="H92" s="59">
        <v>0</v>
      </c>
      <c r="I92" s="59">
        <v>0</v>
      </c>
      <c r="J92" s="59"/>
      <c r="K92" s="59"/>
      <c r="L92" s="59"/>
      <c r="M92" s="60"/>
      <c r="N92" s="60"/>
      <c r="O92" s="60"/>
      <c r="P92" s="60"/>
      <c r="Q92" s="61">
        <f t="shared" si="133"/>
        <v>0</v>
      </c>
      <c r="R92" s="61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1">
        <f t="shared" si="134"/>
        <v>0</v>
      </c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1">
        <f t="shared" si="135"/>
        <v>0</v>
      </c>
    </row>
    <row r="93" spans="2:47" outlineLevel="1">
      <c r="B93" s="51" t="s">
        <v>150</v>
      </c>
      <c r="D93" s="59">
        <v>0</v>
      </c>
      <c r="E93" s="59">
        <v>0</v>
      </c>
      <c r="F93" s="59">
        <v>0</v>
      </c>
      <c r="G93" s="59">
        <v>0</v>
      </c>
      <c r="H93" s="59">
        <v>0</v>
      </c>
      <c r="I93" s="59">
        <v>0</v>
      </c>
      <c r="J93" s="59"/>
      <c r="K93" s="59"/>
      <c r="L93" s="59"/>
      <c r="M93" s="60"/>
      <c r="N93" s="60"/>
      <c r="O93" s="60"/>
      <c r="P93" s="60"/>
      <c r="Q93" s="61">
        <f t="shared" si="133"/>
        <v>0</v>
      </c>
      <c r="R93" s="61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1">
        <f t="shared" si="134"/>
        <v>0</v>
      </c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1">
        <f t="shared" si="135"/>
        <v>0</v>
      </c>
    </row>
    <row r="94" spans="2:47" outlineLevel="1">
      <c r="B94" s="51" t="s">
        <v>151</v>
      </c>
      <c r="D94" s="59">
        <v>0</v>
      </c>
      <c r="E94" s="59">
        <v>0</v>
      </c>
      <c r="F94" s="59">
        <v>0</v>
      </c>
      <c r="G94" s="59">
        <v>0</v>
      </c>
      <c r="H94" s="59">
        <v>0</v>
      </c>
      <c r="I94" s="59">
        <v>0</v>
      </c>
      <c r="J94" s="59"/>
      <c r="K94" s="59"/>
      <c r="L94" s="59"/>
      <c r="M94" s="60"/>
      <c r="N94" s="60"/>
      <c r="O94" s="60"/>
      <c r="P94" s="60"/>
      <c r="Q94" s="61">
        <f t="shared" si="133"/>
        <v>0</v>
      </c>
      <c r="R94" s="61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1">
        <f t="shared" si="134"/>
        <v>0</v>
      </c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1">
        <f t="shared" si="135"/>
        <v>0</v>
      </c>
    </row>
    <row r="95" spans="2:47" outlineLevel="1">
      <c r="B95" s="51" t="s">
        <v>143</v>
      </c>
      <c r="D95" s="59">
        <v>0</v>
      </c>
      <c r="E95" s="59">
        <v>0</v>
      </c>
      <c r="F95" s="59">
        <v>0</v>
      </c>
      <c r="G95" s="59">
        <v>0</v>
      </c>
      <c r="H95" s="59">
        <v>-105.8</v>
      </c>
      <c r="I95" s="59">
        <v>0</v>
      </c>
      <c r="J95" s="59"/>
      <c r="K95" s="59"/>
      <c r="L95" s="59"/>
      <c r="M95" s="60"/>
      <c r="N95" s="60"/>
      <c r="O95" s="60"/>
      <c r="P95" s="60"/>
      <c r="Q95" s="61">
        <f t="shared" si="133"/>
        <v>-105.8</v>
      </c>
      <c r="R95" s="61"/>
      <c r="S95" s="60">
        <f>SUMIF('OH Matrix'!$A$58:$A$70,"SK",'OH Matrix'!P58:P70)</f>
        <v>-3616.3875491348617</v>
      </c>
      <c r="T95" s="60">
        <f>SUMIF('OH Matrix'!$A$58:$A$70,"SK",'OH Matrix'!Q58:Q70)</f>
        <v>-7412.8418342003006</v>
      </c>
      <c r="U95" s="60">
        <f>SUMIF('OH Matrix'!$A$58:$A$70,"SK",'OH Matrix'!R58:R70)</f>
        <v>-9635.4596494817615</v>
      </c>
      <c r="V95" s="60">
        <f>SUMIF('OH Matrix'!$A$58:$A$70,"SK",'OH Matrix'!S58:S70)</f>
        <v>-7009.7394041399448</v>
      </c>
      <c r="W95" s="60">
        <f>SUMIF('OH Matrix'!$A$58:$A$70,"SK",'OH Matrix'!T58:T70)</f>
        <v>-6304.8801551390598</v>
      </c>
      <c r="X95" s="60">
        <f>SUMIF('OH Matrix'!$A$58:$A$70,"SK",'OH Matrix'!U58:U70)</f>
        <v>-9629.3846881595127</v>
      </c>
      <c r="Y95" s="60">
        <f>SUMIF('OH Matrix'!$A$58:$A$70,"SK",'OH Matrix'!V58:V70)</f>
        <v>-8702.2510940255597</v>
      </c>
      <c r="Z95" s="60">
        <f>SUMIF('OH Matrix'!$A$58:$A$70,"SK",'OH Matrix'!W58:W70)</f>
        <v>-6307.845721133579</v>
      </c>
      <c r="AA95" s="60">
        <f>SUMIF('OH Matrix'!$A$58:$A$70,"SK",'OH Matrix'!X58:X70)</f>
        <v>-11229.7968864541</v>
      </c>
      <c r="AB95" s="60">
        <f>SUMIF('OH Matrix'!$A$58:$A$70,"SK",'OH Matrix'!Y58:Y70)</f>
        <v>-12379.904495462977</v>
      </c>
      <c r="AC95" s="60">
        <f>SUMIF('OH Matrix'!$A$58:$A$70,"SK",'OH Matrix'!Z58:Z70)</f>
        <v>-6091.4705672636783</v>
      </c>
      <c r="AD95" s="60">
        <f>SUMIF('OH Matrix'!$A$58:$A$70,"SK",'OH Matrix'!AA58:AA70)</f>
        <v>-5081.877925108628</v>
      </c>
      <c r="AE95" s="60"/>
      <c r="AF95" s="61">
        <f t="shared" si="134"/>
        <v>-93401.839969703957</v>
      </c>
      <c r="AH95" s="60">
        <f>SUMIF('OH Matrix'!$A$58:$A$70,"SK",'OH Matrix'!AD58:AD70)</f>
        <v>-2426.207370246696</v>
      </c>
      <c r="AI95" s="60">
        <f>SUMIF('OH Matrix'!$A$58:$A$70,"SK",'OH Matrix'!AE58:AE70)</f>
        <v>-4527.2540276089694</v>
      </c>
      <c r="AJ95" s="60">
        <f>SUMIF('OH Matrix'!$A$58:$A$70,"SK",'OH Matrix'!AF58:AF70)</f>
        <v>-5853.9699993983631</v>
      </c>
      <c r="AK95" s="60">
        <f>SUMIF('OH Matrix'!$A$58:$A$70,"SK",'OH Matrix'!AG58:AG70)</f>
        <v>-3357.3392890966124</v>
      </c>
      <c r="AL95" s="60">
        <f>SUMIF('OH Matrix'!$A$58:$A$70,"SK",'OH Matrix'!AH58:AH70)</f>
        <v>-4195.5073437630617</v>
      </c>
      <c r="AM95" s="60">
        <f>SUMIF('OH Matrix'!$A$58:$A$70,"SK",'OH Matrix'!AI58:AI70)</f>
        <v>-5486.6054114357139</v>
      </c>
      <c r="AN95" s="60">
        <f>SUMIF('OH Matrix'!$A$58:$A$70,"SK",'OH Matrix'!AJ58:AJ70)</f>
        <v>-6345.4288582794343</v>
      </c>
      <c r="AO95" s="60">
        <f>SUMIF('OH Matrix'!$A$58:$A$70,"SK",'OH Matrix'!AK58:AK70)</f>
        <v>-3724.5214555683315</v>
      </c>
      <c r="AP95" s="60">
        <f>SUMIF('OH Matrix'!$A$58:$A$70,"SK",'OH Matrix'!AL58:AL70)</f>
        <v>-6066.9522597327868</v>
      </c>
      <c r="AQ95" s="60">
        <f>SUMIF('OH Matrix'!$A$58:$A$70,"SK",'OH Matrix'!AM58:AM70)</f>
        <v>-7370.7290478521363</v>
      </c>
      <c r="AR95" s="60">
        <f>SUMIF('OH Matrix'!$A$58:$A$70,"SK",'OH Matrix'!AN58:AN70)</f>
        <v>-3520.0278915483068</v>
      </c>
      <c r="AS95" s="60">
        <f>SUMIF('OH Matrix'!$A$58:$A$70,"SK",'OH Matrix'!AO58:AO70)</f>
        <v>-3051.9254722967144</v>
      </c>
      <c r="AT95" s="60"/>
      <c r="AU95" s="61">
        <f t="shared" si="135"/>
        <v>-55926.468426827138</v>
      </c>
    </row>
    <row r="96" spans="2:47" outlineLevel="1">
      <c r="D96" s="53"/>
      <c r="E96" s="53"/>
      <c r="F96" s="53"/>
      <c r="G96" s="53"/>
      <c r="H96" s="53"/>
      <c r="I96" s="53"/>
      <c r="J96" s="53"/>
      <c r="K96" s="53"/>
      <c r="L96" s="53"/>
    </row>
    <row r="97" spans="2:47">
      <c r="B97" s="65" t="s">
        <v>152</v>
      </c>
      <c r="C97" s="61"/>
      <c r="D97" s="64">
        <f t="shared" ref="D97:K97" si="136">SUM(D87:D96)</f>
        <v>-10725.5</v>
      </c>
      <c r="E97" s="64">
        <f t="shared" si="136"/>
        <v>-7495.6600000000008</v>
      </c>
      <c r="F97" s="64">
        <f t="shared" si="136"/>
        <v>-8474.4</v>
      </c>
      <c r="G97" s="64">
        <f t="shared" si="136"/>
        <v>-10147.1</v>
      </c>
      <c r="H97" s="64">
        <f t="shared" si="136"/>
        <v>-8889.8999999999978</v>
      </c>
      <c r="I97" s="64">
        <f t="shared" si="136"/>
        <v>-8966.4</v>
      </c>
      <c r="J97" s="64">
        <f t="shared" si="136"/>
        <v>-8838.0199999999986</v>
      </c>
      <c r="K97" s="64">
        <f t="shared" si="136"/>
        <v>-10818.649999999998</v>
      </c>
      <c r="L97" s="64">
        <f>SUM(L87:L96)</f>
        <v>-8741</v>
      </c>
      <c r="M97" s="65">
        <f>SUM(M87:M96)</f>
        <v>-10833.53813559322</v>
      </c>
      <c r="N97" s="65">
        <f>SUM(N87:N96)</f>
        <v>-8608.9618644067814</v>
      </c>
      <c r="O97" s="65">
        <f>SUM(O87:O96)</f>
        <v>-15775.211864406781</v>
      </c>
      <c r="P97" s="61"/>
      <c r="Q97" s="65">
        <f>SUM(D97:O97)</f>
        <v>-118314.34186440677</v>
      </c>
      <c r="S97" s="84">
        <f>SUM(S87:S96)</f>
        <v>-19074.261843134864</v>
      </c>
      <c r="T97" s="84">
        <f t="shared" ref="T97:Z97" si="137">SUM(T87:T96)</f>
        <v>-22870.7161282003</v>
      </c>
      <c r="U97" s="84">
        <f t="shared" si="137"/>
        <v>-25093.333943481761</v>
      </c>
      <c r="V97" s="84">
        <f t="shared" si="137"/>
        <v>-22467.613698139947</v>
      </c>
      <c r="W97" s="84">
        <f t="shared" si="137"/>
        <v>-21762.754449139062</v>
      </c>
      <c r="X97" s="84">
        <f t="shared" si="137"/>
        <v>-25087.258982159514</v>
      </c>
      <c r="Y97" s="84">
        <f t="shared" si="137"/>
        <v>-24160.125388025561</v>
      </c>
      <c r="Z97" s="84">
        <f t="shared" si="137"/>
        <v>-21765.720015133578</v>
      </c>
      <c r="AA97" s="65">
        <f>SUM(AA87:AA96)</f>
        <v>-26687.671180454101</v>
      </c>
      <c r="AB97" s="65">
        <f>SUM(AB87:AB96)</f>
        <v>-27837.77878946298</v>
      </c>
      <c r="AC97" s="65">
        <f>SUM(AC87:AC96)</f>
        <v>-21549.344861263678</v>
      </c>
      <c r="AD97" s="65">
        <f>SUM(AD87:AD96)</f>
        <v>-20539.752219108628</v>
      </c>
      <c r="AE97" s="61"/>
      <c r="AF97" s="65">
        <f>SUM(S97:AD97)</f>
        <v>-278896.33149770397</v>
      </c>
      <c r="AH97" s="84">
        <f>SUM(AH87:AH96)</f>
        <v>-17884.081664246696</v>
      </c>
      <c r="AI97" s="84">
        <f t="shared" ref="AI97:AO97" si="138">SUM(AI87:AI96)</f>
        <v>-19985.128321608972</v>
      </c>
      <c r="AJ97" s="84">
        <f t="shared" si="138"/>
        <v>-21311.844293398364</v>
      </c>
      <c r="AK97" s="84">
        <f t="shared" si="138"/>
        <v>-18815.213583096614</v>
      </c>
      <c r="AL97" s="84">
        <f t="shared" si="138"/>
        <v>-19653.381637763065</v>
      </c>
      <c r="AM97" s="84">
        <f t="shared" si="138"/>
        <v>-20944.479705435715</v>
      </c>
      <c r="AN97" s="84">
        <f t="shared" si="138"/>
        <v>-21803.303152279434</v>
      </c>
      <c r="AO97" s="84">
        <f t="shared" si="138"/>
        <v>-19182.395749568332</v>
      </c>
      <c r="AP97" s="65">
        <f>SUM(AP87:AP96)</f>
        <v>-21524.82655373279</v>
      </c>
      <c r="AQ97" s="65">
        <f>SUM(AQ87:AQ96)</f>
        <v>-22828.603341852137</v>
      </c>
      <c r="AR97" s="65">
        <f>SUM(AR87:AR96)</f>
        <v>-18977.902185548308</v>
      </c>
      <c r="AS97" s="65">
        <f>SUM(AS87:AS96)</f>
        <v>-18509.799766296717</v>
      </c>
      <c r="AT97" s="61"/>
      <c r="AU97" s="65">
        <f>SUM(AH97:AS97)</f>
        <v>-241420.95995482715</v>
      </c>
    </row>
    <row r="98" spans="2:47">
      <c r="D98" s="76"/>
      <c r="E98" s="76"/>
      <c r="F98" s="76"/>
      <c r="G98" s="76"/>
      <c r="H98" s="76"/>
      <c r="I98" s="76"/>
      <c r="J98" s="76"/>
      <c r="K98" s="76"/>
      <c r="L98" s="76"/>
      <c r="M98" s="77"/>
      <c r="N98" s="77"/>
      <c r="O98" s="77"/>
      <c r="Q98" s="91">
        <f ca="1">-Q97/Q12</f>
        <v>7.8557071476746884E-2</v>
      </c>
      <c r="S98" s="89"/>
      <c r="T98" s="89"/>
      <c r="U98" s="89"/>
      <c r="V98" s="89"/>
      <c r="W98" s="89"/>
      <c r="X98" s="77"/>
      <c r="Y98" s="77"/>
      <c r="Z98" s="77"/>
      <c r="AA98" s="77"/>
      <c r="AB98" s="77"/>
      <c r="AC98" s="77"/>
      <c r="AD98" s="77"/>
      <c r="AF98" s="91">
        <f ca="1">-AF97/AF12</f>
        <v>0.17346207118675142</v>
      </c>
      <c r="AH98" s="89"/>
      <c r="AI98" s="89"/>
      <c r="AJ98" s="89"/>
      <c r="AK98" s="89"/>
      <c r="AL98" s="89"/>
      <c r="AM98" s="77"/>
      <c r="AN98" s="77"/>
      <c r="AO98" s="77"/>
      <c r="AP98" s="77"/>
      <c r="AQ98" s="77"/>
      <c r="AR98" s="77"/>
      <c r="AS98" s="77"/>
      <c r="AU98" s="91">
        <f ca="1">-AU97/AU12</f>
        <v>0.14074154622276352</v>
      </c>
    </row>
    <row r="99" spans="2:47">
      <c r="B99" s="52" t="s">
        <v>153</v>
      </c>
      <c r="C99" s="52"/>
      <c r="D99" s="78">
        <f>D77+D97</f>
        <v>-5606.6299999999992</v>
      </c>
      <c r="E99" s="78">
        <f t="shared" ref="E99:O99" si="139">E77+E97</f>
        <v>48337.789999999986</v>
      </c>
      <c r="F99" s="78">
        <f t="shared" si="139"/>
        <v>46927.73</v>
      </c>
      <c r="G99" s="78">
        <f t="shared" si="139"/>
        <v>931.61999999999716</v>
      </c>
      <c r="H99" s="78">
        <f t="shared" si="139"/>
        <v>-5832.1200000000026</v>
      </c>
      <c r="I99" s="78">
        <f t="shared" si="139"/>
        <v>55169.240000000005</v>
      </c>
      <c r="J99" s="78">
        <f t="shared" si="139"/>
        <v>49613.079999999987</v>
      </c>
      <c r="K99" s="78">
        <f t="shared" si="139"/>
        <v>-19409.679999999997</v>
      </c>
      <c r="L99" s="78">
        <f t="shared" ca="1" si="139"/>
        <v>45524</v>
      </c>
      <c r="M99" s="61">
        <f t="shared" ca="1" si="139"/>
        <v>118176.46186440678</v>
      </c>
      <c r="N99" s="61">
        <f t="shared" ca="1" si="139"/>
        <v>21542.038135593219</v>
      </c>
      <c r="O99" s="61">
        <f t="shared" ca="1" si="139"/>
        <v>12218.788135593219</v>
      </c>
      <c r="P99" s="61"/>
      <c r="Q99" s="79">
        <f ca="1">Q77+Q97</f>
        <v>367592.31813559338</v>
      </c>
      <c r="S99" s="61">
        <f t="shared" ref="S99:AD99" ca="1" si="140">S77+S97</f>
        <v>-1139.2116572711711</v>
      </c>
      <c r="T99" s="61">
        <f t="shared" ca="1" si="140"/>
        <v>53582.807369625916</v>
      </c>
      <c r="U99" s="61">
        <f t="shared" ca="1" si="140"/>
        <v>42548.177131992328</v>
      </c>
      <c r="V99" s="61">
        <f t="shared" ca="1" si="140"/>
        <v>1119.4817751527335</v>
      </c>
      <c r="W99" s="61">
        <f t="shared" ca="1" si="140"/>
        <v>3691.6102048622706</v>
      </c>
      <c r="X99" s="61">
        <f t="shared" ca="1" si="140"/>
        <v>46982.580094208475</v>
      </c>
      <c r="Y99" s="61">
        <f t="shared" ca="1" si="140"/>
        <v>13121.300720753752</v>
      </c>
      <c r="Z99" s="61">
        <f t="shared" ca="1" si="140"/>
        <v>-3748.0562375480658</v>
      </c>
      <c r="AA99" s="61">
        <f t="shared" ca="1" si="140"/>
        <v>38950.821974198683</v>
      </c>
      <c r="AB99" s="61">
        <f t="shared" ca="1" si="140"/>
        <v>49512.146810146463</v>
      </c>
      <c r="AC99" s="61">
        <f t="shared" ca="1" si="140"/>
        <v>-597.38152457185788</v>
      </c>
      <c r="AD99" s="61">
        <f t="shared" ca="1" si="140"/>
        <v>2848.1899894097769</v>
      </c>
      <c r="AE99" s="61"/>
      <c r="AF99" s="79">
        <f ca="1">AF77+AF97</f>
        <v>246872.4666509594</v>
      </c>
      <c r="AH99" s="61">
        <f t="shared" ref="AH99:AS99" ca="1" si="141">AH77+AH97</f>
        <v>-7563.3724062683359</v>
      </c>
      <c r="AI99" s="61">
        <f t="shared" ca="1" si="141"/>
        <v>67196.860073180258</v>
      </c>
      <c r="AJ99" s="61">
        <f t="shared" ca="1" si="141"/>
        <v>50884.880937381051</v>
      </c>
      <c r="AK99" s="61">
        <f t="shared" ca="1" si="141"/>
        <v>1959.3537962865958</v>
      </c>
      <c r="AL99" s="61">
        <f t="shared" ca="1" si="141"/>
        <v>2605.238146692318</v>
      </c>
      <c r="AM99" s="61">
        <f t="shared" ca="1" si="141"/>
        <v>79849.766171462368</v>
      </c>
      <c r="AN99" s="61">
        <f t="shared" ca="1" si="141"/>
        <v>4572.3441387867133</v>
      </c>
      <c r="AO99" s="61">
        <f t="shared" ca="1" si="141"/>
        <v>-3504.2675099110747</v>
      </c>
      <c r="AP99" s="61">
        <f t="shared" ca="1" si="141"/>
        <v>47736.977122192453</v>
      </c>
      <c r="AQ99" s="61">
        <f t="shared" ca="1" si="141"/>
        <v>55229.351287212805</v>
      </c>
      <c r="AR99" s="61">
        <f t="shared" ca="1" si="141"/>
        <v>6206.7634148463148</v>
      </c>
      <c r="AS99" s="61">
        <f t="shared" ca="1" si="141"/>
        <v>7335.6720220843927</v>
      </c>
      <c r="AT99" s="61"/>
      <c r="AU99" s="79">
        <f ca="1">AU77+AU97</f>
        <v>312509.56719394558</v>
      </c>
    </row>
    <row r="100" spans="2:47">
      <c r="B100" s="72" t="s">
        <v>186</v>
      </c>
      <c r="C100" s="73"/>
      <c r="D100" s="97">
        <f>IFERROR(D99/D12,0)</f>
        <v>-0.22968173850276291</v>
      </c>
      <c r="E100" s="97">
        <f t="shared" ref="E100:O100" si="142">IFERROR(E99/E12,0)</f>
        <v>0.32016242528097949</v>
      </c>
      <c r="F100" s="97">
        <f t="shared" si="142"/>
        <v>0.28963799424534975</v>
      </c>
      <c r="G100" s="97">
        <f t="shared" si="142"/>
        <v>1.9600846462350333E-2</v>
      </c>
      <c r="H100" s="97">
        <f t="shared" si="142"/>
        <v>-0.16754690182505164</v>
      </c>
      <c r="I100" s="97">
        <f t="shared" si="142"/>
        <v>0.33397313952091118</v>
      </c>
      <c r="J100" s="97">
        <f t="shared" si="142"/>
        <v>0.29726393355410141</v>
      </c>
      <c r="K100" s="97">
        <f t="shared" si="142"/>
        <v>-0.96982936517850438</v>
      </c>
      <c r="L100" s="97">
        <f t="shared" ca="1" si="142"/>
        <v>0.20166473967954426</v>
      </c>
      <c r="M100" s="91">
        <f t="shared" ca="1" si="142"/>
        <v>0.34303762515067282</v>
      </c>
      <c r="N100" s="91">
        <f t="shared" ca="1" si="142"/>
        <v>0.21759634480397191</v>
      </c>
      <c r="O100" s="91">
        <f t="shared" ca="1" si="142"/>
        <v>0.18798135593220336</v>
      </c>
      <c r="P100" s="91"/>
      <c r="Q100" s="91">
        <f ca="1">IFERROR(Q99/Q12,0)</f>
        <v>0.24406995428479095</v>
      </c>
      <c r="S100" s="91">
        <f t="shared" ref="S100" ca="1" si="143">IFERROR(S99/S12,0)</f>
        <v>-1.8198170285907332E-2</v>
      </c>
      <c r="T100" s="91">
        <f t="shared" ref="T100" ca="1" si="144">IFERROR(T99/T12,0)</f>
        <v>0.27943744289280925</v>
      </c>
      <c r="U100" s="91">
        <f t="shared" ref="U100" ca="1" si="145">IFERROR(U99/U12,0)</f>
        <v>0.23062506479072364</v>
      </c>
      <c r="V100" s="91">
        <f t="shared" ref="V100" ca="1" si="146">IFERROR(V99/V12,0)</f>
        <v>1.3485274487787956E-2</v>
      </c>
      <c r="W100" s="91">
        <f t="shared" ref="W100" ca="1" si="147">IFERROR(W99/W12,0)</f>
        <v>4.9404218990865542E-2</v>
      </c>
      <c r="X100" s="91">
        <f t="shared" ref="X100" ca="1" si="148">IFERROR(X99/X12,0)</f>
        <v>0.24136364907795829</v>
      </c>
      <c r="Y100" s="91">
        <f t="shared" ref="Y100" ca="1" si="149">IFERROR(Y99/Y12,0)</f>
        <v>0.130821114640326</v>
      </c>
      <c r="Z100" s="91">
        <f t="shared" ref="Z100" ca="1" si="150">IFERROR(Z99/Z12,0)</f>
        <v>-5.5960603448725686E-2</v>
      </c>
      <c r="AA100" s="91">
        <f t="shared" ref="AA100" ca="1" si="151">IFERROR(AA99/AA12,0)</f>
        <v>0.1662338909127121</v>
      </c>
      <c r="AB100" s="91">
        <f t="shared" ref="AB100" ca="1" si="152">IFERROR(AB99/AB12,0)</f>
        <v>0.19356407958966845</v>
      </c>
      <c r="AC100" s="91">
        <f t="shared" ref="AC100" ca="1" si="153">IFERROR(AC99/AC12,0)</f>
        <v>-7.9506105310498468E-3</v>
      </c>
      <c r="AD100" s="91">
        <f t="shared" ref="AD100" ca="1" si="154">IFERROR(AD99/AD12,0)</f>
        <v>3.387917899314119E-2</v>
      </c>
      <c r="AE100" s="91"/>
      <c r="AF100" s="91">
        <f ca="1">IFERROR(AF99/AF12,0)</f>
        <v>0.15354454163772382</v>
      </c>
      <c r="AH100" s="91">
        <f t="shared" ref="AH100" ca="1" si="155">IFERROR(AH99/AH12,0)</f>
        <v>-0.15154887012128265</v>
      </c>
      <c r="AI100" s="91">
        <f t="shared" ref="AI100" ca="1" si="156">IFERROR(AI99/AI12,0)</f>
        <v>0.29550193957122606</v>
      </c>
      <c r="AJ100" s="91">
        <f t="shared" ref="AJ100" ca="1" si="157">IFERROR(AJ99/AJ12,0)</f>
        <v>0.25597029156702999</v>
      </c>
      <c r="AK100" s="91">
        <f t="shared" ref="AK100" ca="1" si="158">IFERROR(AK99/AK12,0)</f>
        <v>2.3797483805353771E-2</v>
      </c>
      <c r="AL100" s="91">
        <f t="shared" ref="AL100" ca="1" si="159">IFERROR(AL99/AL12,0)</f>
        <v>3.5981490665083861E-2</v>
      </c>
      <c r="AM100" s="91">
        <f t="shared" ref="AM100" ca="1" si="160">IFERROR(AM99/AM12,0)</f>
        <v>0.3029714029906298</v>
      </c>
      <c r="AN100" s="91">
        <f t="shared" ref="AN100" ca="1" si="161">IFERROR(AN99/AN12,0)</f>
        <v>7.3076100143699377E-2</v>
      </c>
      <c r="AO100" s="91">
        <f t="shared" ref="AO100" ca="1" si="162">IFERROR(AO99/AO12,0)</f>
        <v>-5.2686568505931244E-2</v>
      </c>
      <c r="AP100" s="91">
        <f t="shared" ref="AP100" ca="1" si="163">IFERROR(AP99/AP12,0)</f>
        <v>0.18913680043946357</v>
      </c>
      <c r="AQ100" s="91">
        <f t="shared" ref="AQ100" ca="1" si="164">IFERROR(AQ99/AQ12,0)</f>
        <v>0.21467747006171523</v>
      </c>
      <c r="AR100" s="91">
        <f t="shared" ref="AR100" ca="1" si="165">IFERROR(AR99/AR12,0)</f>
        <v>7.2243151145837653E-2</v>
      </c>
      <c r="AS100" s="91">
        <f t="shared" ref="AS100" ca="1" si="166">IFERROR(AS99/AS12,0)</f>
        <v>7.6175421495633833E-2</v>
      </c>
      <c r="AT100" s="91"/>
      <c r="AU100" s="91">
        <f ca="1">IFERROR(AU99/AU12,0)</f>
        <v>0.18218418029864639</v>
      </c>
    </row>
  </sheetData>
  <sheetProtection sheet="1" objects="1" scenarios="1"/>
  <mergeCells count="2">
    <mergeCell ref="S2:AF2"/>
    <mergeCell ref="AH2:AU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00061-E8E5-4BBB-BC72-A1FF7F1B2A08}">
  <sheetPr codeName="Sheet17"/>
  <dimension ref="H20"/>
  <sheetViews>
    <sheetView workbookViewId="0">
      <selection activeCell="N31" sqref="N31"/>
    </sheetView>
  </sheetViews>
  <sheetFormatPr baseColWidth="10" defaultColWidth="8.83203125" defaultRowHeight="15"/>
  <cols>
    <col min="8" max="8" width="10.1640625" bestFit="1" customWidth="1"/>
  </cols>
  <sheetData>
    <row r="20" spans="8:8">
      <c r="H20" s="414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5D1F6-98E8-434F-911B-06ABAA1E7560}">
  <sheetPr codeName="Sheet19"/>
  <dimension ref="A1:BA72"/>
  <sheetViews>
    <sheetView topLeftCell="A53" workbookViewId="0">
      <selection activeCell="AP3" sqref="AP3"/>
    </sheetView>
  </sheetViews>
  <sheetFormatPr baseColWidth="10" defaultColWidth="10.83203125" defaultRowHeight="12" outlineLevelCol="1"/>
  <cols>
    <col min="1" max="1" width="15.83203125" style="13" bestFit="1" customWidth="1"/>
    <col min="2" max="2" width="10.5" style="13" hidden="1" customWidth="1" outlineLevel="1"/>
    <col min="3" max="9" width="9.5" style="13" hidden="1" customWidth="1" outlineLevel="1"/>
    <col min="10" max="10" width="10.1640625" style="13" bestFit="1" customWidth="1" collapsed="1"/>
    <col min="11" max="13" width="9.5" style="13" bestFit="1" customWidth="1"/>
    <col min="14" max="14" width="10.5" style="11" bestFit="1" customWidth="1"/>
    <col min="15" max="15" width="1.5" style="13" bestFit="1" customWidth="1"/>
    <col min="16" max="27" width="9.5" style="13" bestFit="1" customWidth="1"/>
    <col min="28" max="28" width="10.5" style="13" bestFit="1" customWidth="1"/>
    <col min="29" max="29" width="1.5" style="13" bestFit="1" customWidth="1"/>
    <col min="30" max="41" width="9.5" style="13" bestFit="1" customWidth="1"/>
    <col min="42" max="42" width="10.5" style="13" bestFit="1" customWidth="1"/>
    <col min="43" max="16384" width="10.83203125" style="13"/>
  </cols>
  <sheetData>
    <row r="1" spans="1:53">
      <c r="AB1" s="11"/>
      <c r="AP1" s="11"/>
    </row>
    <row r="2" spans="1:53">
      <c r="A2" s="146" t="s">
        <v>206</v>
      </c>
      <c r="B2" s="146">
        <v>45689</v>
      </c>
      <c r="C2" s="146">
        <v>45717</v>
      </c>
      <c r="D2" s="146">
        <v>45748</v>
      </c>
      <c r="E2" s="146">
        <v>45778</v>
      </c>
      <c r="F2" s="146">
        <v>45809</v>
      </c>
      <c r="G2" s="146">
        <v>45839</v>
      </c>
      <c r="H2" s="146">
        <v>45870</v>
      </c>
      <c r="I2" s="146">
        <v>45901</v>
      </c>
      <c r="J2" s="146">
        <v>45931</v>
      </c>
      <c r="K2" s="146">
        <v>45962</v>
      </c>
      <c r="L2" s="146">
        <v>45992</v>
      </c>
      <c r="M2" s="146">
        <v>46023</v>
      </c>
      <c r="N2" s="11" t="s">
        <v>207</v>
      </c>
      <c r="O2" s="13" t="s">
        <v>208</v>
      </c>
      <c r="P2" s="146">
        <v>46054</v>
      </c>
      <c r="Q2" s="146">
        <v>46082</v>
      </c>
      <c r="R2" s="146">
        <v>46113</v>
      </c>
      <c r="S2" s="146">
        <v>46143</v>
      </c>
      <c r="T2" s="146">
        <v>46174</v>
      </c>
      <c r="U2" s="146">
        <v>46204</v>
      </c>
      <c r="V2" s="146">
        <v>46235</v>
      </c>
      <c r="W2" s="146">
        <v>46266</v>
      </c>
      <c r="X2" s="146">
        <v>46296</v>
      </c>
      <c r="Y2" s="146">
        <v>46327</v>
      </c>
      <c r="Z2" s="146">
        <v>46357</v>
      </c>
      <c r="AA2" s="146">
        <v>46388</v>
      </c>
      <c r="AB2" s="11" t="s">
        <v>207</v>
      </c>
      <c r="AC2" s="13" t="s">
        <v>208</v>
      </c>
      <c r="AD2" s="146">
        <v>46419</v>
      </c>
      <c r="AE2" s="146">
        <v>46447</v>
      </c>
      <c r="AF2" s="146">
        <v>46478</v>
      </c>
      <c r="AG2" s="146">
        <v>46508</v>
      </c>
      <c r="AH2" s="146">
        <v>46539</v>
      </c>
      <c r="AI2" s="146">
        <v>46569</v>
      </c>
      <c r="AJ2" s="146">
        <v>46600</v>
      </c>
      <c r="AK2" s="146">
        <v>46631</v>
      </c>
      <c r="AL2" s="146">
        <v>46661</v>
      </c>
      <c r="AM2" s="146">
        <v>46692</v>
      </c>
      <c r="AN2" s="146">
        <v>46722</v>
      </c>
      <c r="AO2" s="146">
        <v>46753</v>
      </c>
      <c r="AP2" s="11" t="s">
        <v>207</v>
      </c>
    </row>
    <row r="3" spans="1:53">
      <c r="A3" s="146" t="s">
        <v>209</v>
      </c>
      <c r="B3" s="171">
        <f>SUM(Overheads!F:F)</f>
        <v>-67413.53</v>
      </c>
      <c r="C3" s="171">
        <f>SUM(Overheads!G:G)</f>
        <v>-58560.54</v>
      </c>
      <c r="D3" s="171">
        <f>SUM(Overheads!H:H)</f>
        <v>-58529.54</v>
      </c>
      <c r="E3" s="171">
        <f>SUM(Overheads!I:I)</f>
        <v>-75807.456666666665</v>
      </c>
      <c r="F3" s="171">
        <f>SUM(Overheads!J:J)</f>
        <v>-62066.456666666658</v>
      </c>
      <c r="G3" s="171">
        <f>SUM(Overheads!K:K)</f>
        <v>-58536.456666666665</v>
      </c>
      <c r="H3" s="171">
        <f>SUM(Overheads!L:L)</f>
        <v>-54690.456666666665</v>
      </c>
      <c r="I3" s="171">
        <f>SUM(Overheads!M:M)</f>
        <v>-79119.456666666665</v>
      </c>
      <c r="J3" s="40">
        <f>SUM(Overheads!N:N)</f>
        <v>-153263.84666666668</v>
      </c>
      <c r="K3" s="40">
        <f>SUM(Overheads!O:O)</f>
        <v>-153730.84666666668</v>
      </c>
      <c r="L3" s="40">
        <f>SUM(Overheads!P:P)</f>
        <v>-145860.84666666668</v>
      </c>
      <c r="M3" s="40">
        <f>SUM(Overheads!Q:Q)</f>
        <v>-145893.84666666668</v>
      </c>
      <c r="N3" s="172">
        <f>SUM(B3:M3)</f>
        <v>-1113473.28</v>
      </c>
      <c r="O3" s="45"/>
      <c r="P3" s="40">
        <f>SUM(Overheads!V3:V200)</f>
        <v>-102910.25666666667</v>
      </c>
      <c r="Q3" s="40">
        <f>SUM(Overheads!W3:W200)</f>
        <v>-101910.25666666667</v>
      </c>
      <c r="R3" s="40">
        <f>SUM(Overheads!X3:X200)</f>
        <v>-102910.25666666667</v>
      </c>
      <c r="S3" s="40">
        <f>SUM(Overheads!Y3:Y200)</f>
        <v>-106910.25666666667</v>
      </c>
      <c r="T3" s="40">
        <f>SUM(Overheads!Z3:Z200)</f>
        <v>-107910.25666666667</v>
      </c>
      <c r="U3" s="40">
        <f>SUM(Overheads!AA3:AA200)</f>
        <v>-106910.25666666667</v>
      </c>
      <c r="V3" s="40">
        <f>SUM(Overheads!AB3:AB200)</f>
        <v>-107910.25666666667</v>
      </c>
      <c r="W3" s="40">
        <f>SUM(Overheads!AC3:AC200)</f>
        <v>-156910.25666666665</v>
      </c>
      <c r="X3" s="40">
        <f>SUM(Overheads!AD3:AD200)</f>
        <v>-107910.25666666667</v>
      </c>
      <c r="Y3" s="40">
        <f>SUM(Overheads!AE3:AE200)</f>
        <v>-106910.25666666667</v>
      </c>
      <c r="Z3" s="40">
        <f>SUM(Overheads!AF3:AF200)</f>
        <v>-107910.25666666667</v>
      </c>
      <c r="AA3" s="40">
        <f>SUM(Overheads!AG3:AG200)</f>
        <v>-106910.25666666667</v>
      </c>
      <c r="AB3" s="172">
        <f>SUM(P3:AA3)</f>
        <v>-1323923.08</v>
      </c>
      <c r="AC3" s="45"/>
      <c r="AD3" s="40">
        <f>SUM(Overheads!AJ3:AJ200)*1.15</f>
        <v>-112376.37849999999</v>
      </c>
      <c r="AE3" s="40">
        <f>SUM(Overheads!AK3:AK200)*1.15</f>
        <v>-111226.37849999999</v>
      </c>
      <c r="AF3" s="40">
        <f>SUM(Overheads!AL3:AL200)*1.15</f>
        <v>-112376.37849999999</v>
      </c>
      <c r="AG3" s="40">
        <f>SUM(Overheads!AM3:AM200)*1.15</f>
        <v>-116976.37849999999</v>
      </c>
      <c r="AH3" s="40">
        <f>SUM(Overheads!AN3:AN200)*1.15</f>
        <v>-118126.37849999999</v>
      </c>
      <c r="AI3" s="40">
        <f>SUM(Overheads!AO3:AO200)*1.15</f>
        <v>-116976.37849999999</v>
      </c>
      <c r="AJ3" s="40">
        <f>SUM(Overheads!AP3:AP200)*1.15</f>
        <v>-118126.37849999999</v>
      </c>
      <c r="AK3" s="40">
        <f>SUM(Overheads!AQ3:AQ200)*1.15</f>
        <v>-174476.37849999999</v>
      </c>
      <c r="AL3" s="40">
        <f>SUM(Overheads!AR3:AR200)*1.15</f>
        <v>-118126.37849999999</v>
      </c>
      <c r="AM3" s="40">
        <f>SUM(Overheads!AS3:AS200)*1.15</f>
        <v>-116976.37849999999</v>
      </c>
      <c r="AN3" s="40">
        <f>SUM(Overheads!AT3:AT200)*1.15</f>
        <v>-118126.37849999999</v>
      </c>
      <c r="AO3" s="40">
        <f>SUM(Overheads!AU3:AU200)*1.15</f>
        <v>-116976.37849999999</v>
      </c>
      <c r="AP3" s="172">
        <f>SUM(AD3:AO3)</f>
        <v>-1450866.5420000004</v>
      </c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</row>
    <row r="4" spans="1:53">
      <c r="A4" s="146" t="s">
        <v>210</v>
      </c>
      <c r="J4" s="45"/>
      <c r="K4" s="45"/>
      <c r="L4" s="45"/>
      <c r="M4" s="45"/>
      <c r="N4" s="172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172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172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</row>
    <row r="5" spans="1:53">
      <c r="J5" s="45"/>
      <c r="K5" s="45"/>
      <c r="L5" s="45"/>
      <c r="M5" s="45"/>
      <c r="N5" s="172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172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172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</row>
    <row r="6" spans="1:53">
      <c r="A6" s="13" t="s">
        <v>72</v>
      </c>
      <c r="J6" s="40">
        <f ca="1">'RO P&amp;L'!L12</f>
        <v>160067</v>
      </c>
      <c r="K6" s="40">
        <f ca="1">'RO P&amp;L'!M12</f>
        <v>170000</v>
      </c>
      <c r="L6" s="40">
        <f ca="1">'RO P&amp;L'!N12</f>
        <v>59000</v>
      </c>
      <c r="M6" s="40">
        <f ca="1">'RO P&amp;L'!O12</f>
        <v>53000</v>
      </c>
      <c r="N6" s="43">
        <f ca="1">SUM(B6:M6)</f>
        <v>442067</v>
      </c>
      <c r="O6" s="45"/>
      <c r="P6" s="45">
        <f ca="1">'RO P&amp;L'!S12</f>
        <v>66751.948799999998</v>
      </c>
      <c r="Q6" s="45">
        <f ca="1">'RO P&amp;L'!T12</f>
        <v>111226.17413279999</v>
      </c>
      <c r="R6" s="45">
        <f ca="1">'RO P&amp;L'!U12</f>
        <v>76897.118310638296</v>
      </c>
      <c r="S6" s="45">
        <f ca="1">'RO P&amp;L'!V12</f>
        <v>66769.58740853901</v>
      </c>
      <c r="T6" s="45">
        <f ca="1">'RO P&amp;L'!W12</f>
        <v>57539.044824680852</v>
      </c>
      <c r="U6" s="45">
        <f ca="1">'RO P&amp;L'!X12</f>
        <v>120033.25578085108</v>
      </c>
      <c r="V6" s="45">
        <f ca="1">'RO P&amp;L'!Y12</f>
        <v>64407.2786470922</v>
      </c>
      <c r="W6" s="45">
        <f ca="1">'RO P&amp;L'!Z12</f>
        <v>59981.566644586288</v>
      </c>
      <c r="X6" s="45">
        <f ca="1">'RO P&amp;L'!AA12</f>
        <v>178105.63455319148</v>
      </c>
      <c r="Y6" s="45">
        <f ca="1">'RO P&amp;L'!AB12</f>
        <v>141528.60822695034</v>
      </c>
      <c r="Z6" s="45">
        <f ca="1">'RO P&amp;L'!AC12</f>
        <v>52118.664804539003</v>
      </c>
      <c r="AA6" s="45">
        <f ca="1">'RO P&amp;L'!AD12</f>
        <v>73138.969599999997</v>
      </c>
      <c r="AB6" s="43">
        <f ca="1">SUM(P6:AA6)</f>
        <v>1068497.8517338685</v>
      </c>
      <c r="AC6" s="45"/>
      <c r="AD6" s="45">
        <f ca="1">'RO P&amp;L'!AH12</f>
        <v>63460.085627234046</v>
      </c>
      <c r="AE6" s="45">
        <f ca="1">'RO P&amp;L'!AI12</f>
        <v>140909.81225911147</v>
      </c>
      <c r="AF6" s="45">
        <f ca="1">'RO P&amp;L'!AJ12</f>
        <v>76230.892610638301</v>
      </c>
      <c r="AG6" s="45">
        <f ca="1">'RO P&amp;L'!AK12</f>
        <v>73470.463631100705</v>
      </c>
      <c r="AH6" s="45">
        <f ca="1">'RO P&amp;L'!AL12</f>
        <v>56899.953467347521</v>
      </c>
      <c r="AI6" s="45">
        <f ca="1">'RO P&amp;L'!AM12</f>
        <v>180342.51830184399</v>
      </c>
      <c r="AJ6" s="45">
        <f ca="1">'RO P&amp;L'!AN12</f>
        <v>54319.411531319158</v>
      </c>
      <c r="AK6" s="45">
        <f ca="1">'RO P&amp;L'!AO12</f>
        <v>59054.683862685575</v>
      </c>
      <c r="AL6" s="45">
        <f ca="1">'RO P&amp;L'!AP12</f>
        <v>200834.56146382977</v>
      </c>
      <c r="AM6" s="45">
        <f ca="1">'RO P&amp;L'!AQ12</f>
        <v>142999.04422695035</v>
      </c>
      <c r="AN6" s="45">
        <f ca="1">'RO P&amp;L'!AR12</f>
        <v>49490.71530099291</v>
      </c>
      <c r="AO6" s="45">
        <f ca="1">'RO P&amp;L'!AS12</f>
        <v>74929.209600000002</v>
      </c>
      <c r="AP6" s="43">
        <f ca="1">SUM(AD6:AO6)</f>
        <v>1172941.3518830538</v>
      </c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45"/>
    </row>
    <row r="7" spans="1:53">
      <c r="A7" s="13" t="s">
        <v>71</v>
      </c>
      <c r="J7" s="40">
        <f ca="1">'CZ P&amp;L'!L11</f>
        <v>382963</v>
      </c>
      <c r="K7" s="40">
        <f>'CZ P&amp;L'!M11</f>
        <v>301000</v>
      </c>
      <c r="L7" s="40">
        <f>'CZ P&amp;L'!N11</f>
        <v>85000</v>
      </c>
      <c r="M7" s="40">
        <f>'CZ P&amp;L'!O11</f>
        <v>65000</v>
      </c>
      <c r="N7" s="43">
        <f ca="1">SUM(B7:M7)</f>
        <v>833963</v>
      </c>
      <c r="O7" s="45"/>
      <c r="P7" s="40">
        <f ca="1">'CZ P&amp;L'!S11</f>
        <v>88459.743936000013</v>
      </c>
      <c r="Q7" s="40">
        <f ca="1">'CZ P&amp;L'!T11</f>
        <v>202332.42007466665</v>
      </c>
      <c r="R7" s="40">
        <f ca="1">'CZ P&amp;L'!U11</f>
        <v>169927.02460960002</v>
      </c>
      <c r="S7" s="40">
        <f ca="1">'CZ P&amp;L'!V11</f>
        <v>89107.472454897346</v>
      </c>
      <c r="T7" s="40">
        <f ca="1">'CZ P&amp;L'!W11</f>
        <v>92720.266970421755</v>
      </c>
      <c r="U7" s="40">
        <f ca="1">'CZ P&amp;L'!X11</f>
        <v>311314.31876101118</v>
      </c>
      <c r="V7" s="40">
        <f ca="1">'CZ P&amp;L'!Y11</f>
        <v>103521.37691865388</v>
      </c>
      <c r="W7" s="40">
        <f ca="1">'CZ P&amp;L'!Z11</f>
        <v>114647.39938448471</v>
      </c>
      <c r="X7" s="40">
        <f ca="1">'CZ P&amp;L'!AA11</f>
        <v>401815.27550882887</v>
      </c>
      <c r="Y7" s="40">
        <f ca="1">'CZ P&amp;L'!AB11</f>
        <v>410598.50136521307</v>
      </c>
      <c r="Z7" s="40">
        <f ca="1">'CZ P&amp;L'!AC11</f>
        <v>117743.39979011846</v>
      </c>
      <c r="AA7" s="40">
        <f ca="1">'CZ P&amp;L'!AD11</f>
        <v>115924.21101662607</v>
      </c>
      <c r="AB7" s="43">
        <f ca="1">SUM(P7:AA7)</f>
        <v>2218111.4107905221</v>
      </c>
      <c r="AC7" s="45"/>
      <c r="AD7" s="40">
        <f ca="1">'CZ P&amp;L'!AH11</f>
        <v>107516.413169712</v>
      </c>
      <c r="AE7" s="40">
        <f ca="1">'CZ P&amp;L'!AI11</f>
        <v>242873.3379662933</v>
      </c>
      <c r="AF7" s="40">
        <f ca="1">'CZ P&amp;L'!AJ11</f>
        <v>196391.96522651199</v>
      </c>
      <c r="AG7" s="40">
        <f ca="1">'CZ P&amp;L'!AK11</f>
        <v>137868.26700640577</v>
      </c>
      <c r="AH7" s="40">
        <f ca="1">'CZ P&amp;L'!AL11</f>
        <v>127752.70038453219</v>
      </c>
      <c r="AI7" s="40">
        <f ca="1">'CZ P&amp;L'!AM11</f>
        <v>330462.85344586172</v>
      </c>
      <c r="AJ7" s="40">
        <f ca="1">'CZ P&amp;L'!AN11</f>
        <v>188132.90323739414</v>
      </c>
      <c r="AK7" s="40">
        <f ca="1">'CZ P&amp;L'!AO11</f>
        <v>138825.01978918631</v>
      </c>
      <c r="AL7" s="40">
        <f ca="1">'CZ P&amp;L'!AP11</f>
        <v>481413.21155982575</v>
      </c>
      <c r="AM7" s="40">
        <f ca="1">'CZ P&amp;L'!AQ11</f>
        <v>480352.23811683379</v>
      </c>
      <c r="AN7" s="40">
        <f ca="1">'CZ P&amp;L'!AR11</f>
        <v>148653.26840876252</v>
      </c>
      <c r="AO7" s="40">
        <f ca="1">'CZ P&amp;L'!AS11</f>
        <v>148965.77805344571</v>
      </c>
      <c r="AP7" s="43">
        <f ca="1">SUM(AD7:AO7)</f>
        <v>2729207.9563647648</v>
      </c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</row>
    <row r="8" spans="1:53">
      <c r="A8" s="13" t="s">
        <v>70</v>
      </c>
      <c r="J8" s="40">
        <f ca="1">'SK P&amp;L'!L12</f>
        <v>225741</v>
      </c>
      <c r="K8" s="40">
        <f ca="1">'SK P&amp;L'!M12</f>
        <v>344500</v>
      </c>
      <c r="L8" s="40">
        <f ca="1">'SK P&amp;L'!N12</f>
        <v>99000</v>
      </c>
      <c r="M8" s="40">
        <f ca="1">'SK P&amp;L'!O12</f>
        <v>65000</v>
      </c>
      <c r="N8" s="43">
        <f ca="1">SUM(B8:M8)</f>
        <v>734241</v>
      </c>
      <c r="O8" s="45"/>
      <c r="P8" s="40">
        <f ca="1">'SK P&amp;L'!S12</f>
        <v>62600.34054925714</v>
      </c>
      <c r="Q8" s="40">
        <f ca="1">'SK P&amp;L'!T12</f>
        <v>191752.42521160631</v>
      </c>
      <c r="R8" s="40">
        <f ca="1">'SK P&amp;L'!U12</f>
        <v>184490.68912176508</v>
      </c>
      <c r="S8" s="40">
        <f ca="1">'SK P&amp;L'!V12</f>
        <v>83015.12706816</v>
      </c>
      <c r="T8" s="40">
        <f ca="1">'SK P&amp;L'!W12</f>
        <v>74722.569858756819</v>
      </c>
      <c r="U8" s="40">
        <f ca="1">'SK P&amp;L'!X12</f>
        <v>194654.74719862858</v>
      </c>
      <c r="V8" s="40">
        <f ca="1">'SK P&amp;L'!Y12</f>
        <v>100299.5636968</v>
      </c>
      <c r="W8" s="40">
        <f ca="1">'SK P&amp;L'!Z12</f>
        <v>66976.694434366669</v>
      </c>
      <c r="X8" s="40">
        <f ca="1">'SK P&amp;L'!AA12</f>
        <v>234313.3626984127</v>
      </c>
      <c r="Y8" s="40">
        <f ca="1">'SK P&amp;L'!AB12</f>
        <v>255792.01944444445</v>
      </c>
      <c r="Z8" s="40">
        <f ca="1">'SK P&amp;L'!AC12</f>
        <v>75136.559920634929</v>
      </c>
      <c r="AA8" s="40">
        <f ca="1">'SK P&amp;L'!AD12</f>
        <v>84069.038095238095</v>
      </c>
      <c r="AB8" s="43">
        <f ca="1">SUM(P8:AA8)</f>
        <v>1607823.1372980708</v>
      </c>
      <c r="AC8" s="45"/>
      <c r="AD8" s="40">
        <f ca="1">'SK P&amp;L'!AH12</f>
        <v>49907.151404134282</v>
      </c>
      <c r="AE8" s="40">
        <f ca="1">'SK P&amp;L'!AI12</f>
        <v>227399.04912530541</v>
      </c>
      <c r="AF8" s="40">
        <f ca="1">'SK P&amp;L'!AJ12</f>
        <v>198792.13570398273</v>
      </c>
      <c r="AG8" s="40">
        <f ca="1">'SK P&amp;L'!AK12</f>
        <v>82334.494365567996</v>
      </c>
      <c r="AH8" s="40">
        <f ca="1">'SK P&amp;L'!AL12</f>
        <v>72404.953172782785</v>
      </c>
      <c r="AI8" s="40">
        <f ca="1">'SK P&amp;L'!AM12</f>
        <v>263555.45567425032</v>
      </c>
      <c r="AJ8" s="40">
        <f ca="1">'SK P&amp;L'!AN12</f>
        <v>62569.62440244481</v>
      </c>
      <c r="AK8" s="40">
        <f ca="1">'SK P&amp;L'!AO12</f>
        <v>66511.591270488192</v>
      </c>
      <c r="AL8" s="40">
        <f ca="1">'SK P&amp;L'!AP12</f>
        <v>252393.91282539687</v>
      </c>
      <c r="AM8" s="40">
        <f ca="1">'SK P&amp;L'!AQ12</f>
        <v>257266.63944444444</v>
      </c>
      <c r="AN8" s="40">
        <f ca="1">'SK P&amp;L'!AR12</f>
        <v>85914.904269841267</v>
      </c>
      <c r="AO8" s="40">
        <f ca="1">'SK P&amp;L'!AS12</f>
        <v>96299.723428571422</v>
      </c>
      <c r="AP8" s="43">
        <f ca="1">SUM(AD8:AO8)</f>
        <v>1715349.6350872102</v>
      </c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</row>
    <row r="9" spans="1:53">
      <c r="A9" s="13" t="s">
        <v>68</v>
      </c>
      <c r="J9" s="40">
        <f ca="1">'HU P&amp;L'!L12</f>
        <v>261742</v>
      </c>
      <c r="K9" s="40">
        <f>'HU P&amp;L'!M12</f>
        <v>323324</v>
      </c>
      <c r="L9" s="40">
        <f>'HU P&amp;L'!N12</f>
        <v>116791</v>
      </c>
      <c r="M9" s="40">
        <f>'HU P&amp;L'!O12</f>
        <v>49622</v>
      </c>
      <c r="N9" s="43">
        <f ca="1">SUM(B9:M9)</f>
        <v>751479</v>
      </c>
      <c r="O9" s="45"/>
      <c r="P9" s="40">
        <f ca="1">'HU P&amp;L'!S12</f>
        <v>80020.813750000001</v>
      </c>
      <c r="Q9" s="40">
        <f ca="1">'HU P&amp;L'!T12</f>
        <v>201414.48596000002</v>
      </c>
      <c r="R9" s="40">
        <f ca="1">'HU P&amp;L'!U12</f>
        <v>175941.65458</v>
      </c>
      <c r="S9" s="40">
        <f ca="1">'HU P&amp;L'!V12</f>
        <v>79762.12030000001</v>
      </c>
      <c r="T9" s="40">
        <f ca="1">'HU P&amp;L'!W12</f>
        <v>76147.833443617012</v>
      </c>
      <c r="U9" s="40">
        <f ca="1">'HU P&amp;L'!X12</f>
        <v>269424.54621499998</v>
      </c>
      <c r="V9" s="40">
        <f ca="1">'HU P&amp;L'!Y12</f>
        <v>82201.425865000012</v>
      </c>
      <c r="W9" s="40">
        <f ca="1">'HU P&amp;L'!Z12</f>
        <v>86625.165937765938</v>
      </c>
      <c r="X9" s="40">
        <f ca="1">'HU P&amp;L'!AA12</f>
        <v>323980.59929078014</v>
      </c>
      <c r="Y9" s="40">
        <f ca="1">'HU P&amp;L'!AB12</f>
        <v>283040.55319148937</v>
      </c>
      <c r="Z9" s="40">
        <f ca="1">'HU P&amp;L'!AC12</f>
        <v>91023.852005673747</v>
      </c>
      <c r="AA9" s="40">
        <f ca="1">'HU P&amp;L'!AD12</f>
        <v>87646.222808510633</v>
      </c>
      <c r="AB9" s="43">
        <f ca="1">SUM(P9:AA9)</f>
        <v>1837229.2733478369</v>
      </c>
      <c r="AC9" s="45"/>
      <c r="AD9" s="40">
        <f ca="1">'HU P&amp;L'!AH12</f>
        <v>85816.967322865254</v>
      </c>
      <c r="AE9" s="40">
        <f ca="1">'HU P&amp;L'!AI12</f>
        <v>254649.07036065252</v>
      </c>
      <c r="AF9" s="40">
        <f ca="1">'HU P&amp;L'!AJ12</f>
        <v>192660.82342392195</v>
      </c>
      <c r="AG9" s="40">
        <f ca="1">'HU P&amp;L'!AK12</f>
        <v>80754.366829999999</v>
      </c>
      <c r="AH9" s="40">
        <f ca="1">'HU P&amp;L'!AL12</f>
        <v>96328.752122659585</v>
      </c>
      <c r="AI9" s="40">
        <f ca="1">'HU P&amp;L'!AM12</f>
        <v>355365.70855449996</v>
      </c>
      <c r="AJ9" s="40">
        <f ca="1">'HU P&amp;L'!AN12</f>
        <v>61975.660209499998</v>
      </c>
      <c r="AK9" s="40">
        <f ca="1">'HU P&amp;L'!AO12</f>
        <v>104494.84766799647</v>
      </c>
      <c r="AL9" s="40">
        <f ca="1">'HU P&amp;L'!AP12</f>
        <v>394844.17907801422</v>
      </c>
      <c r="AM9" s="40">
        <f ca="1">'HU P&amp;L'!AQ12</f>
        <v>345312.06382978725</v>
      </c>
      <c r="AN9" s="40">
        <f ca="1">'HU P&amp;L'!AR12</f>
        <v>71976.11848397163</v>
      </c>
      <c r="AO9" s="40">
        <f ca="1">'HU P&amp;L'!AS12</f>
        <v>85875.222808510633</v>
      </c>
      <c r="AP9" s="43">
        <f ca="1">SUM(AD9:AO9)</f>
        <v>2130053.7806923795</v>
      </c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</row>
    <row r="10" spans="1:53">
      <c r="A10" s="11" t="s">
        <v>66</v>
      </c>
      <c r="J10" s="40">
        <f>'EE P&amp;L'!L12</f>
        <v>1030512</v>
      </c>
      <c r="K10" s="40">
        <f>'EE P&amp;L'!M12</f>
        <v>1138824</v>
      </c>
      <c r="L10" s="40">
        <f>'EE P&amp;L'!N12</f>
        <v>359791</v>
      </c>
      <c r="M10" s="40">
        <f>'EE P&amp;L'!O12</f>
        <v>232622</v>
      </c>
      <c r="N10" s="43">
        <f>SUM(B10:M10)</f>
        <v>2761749</v>
      </c>
      <c r="O10" s="45"/>
      <c r="P10" s="40">
        <f ca="1">'EE P&amp;L'!S12</f>
        <v>305832.84703525715</v>
      </c>
      <c r="Q10" s="40">
        <f ca="1">'EE P&amp;L'!T12</f>
        <v>714725.50537907297</v>
      </c>
      <c r="R10" s="40">
        <f ca="1">'EE P&amp;L'!U12</f>
        <v>615256.48662200337</v>
      </c>
      <c r="S10" s="40">
        <f ca="1">'EE P&amp;L'!V12</f>
        <v>326654.30723159638</v>
      </c>
      <c r="T10" s="40">
        <f ca="1">'EE P&amp;L'!W12</f>
        <v>314129.71509747644</v>
      </c>
      <c r="U10" s="40">
        <f ca="1">'EE P&amp;L'!X12</f>
        <v>903426.86795549095</v>
      </c>
      <c r="V10" s="40">
        <f ca="1">'EE P&amp;L'!Y12</f>
        <v>358429.64512754604</v>
      </c>
      <c r="W10" s="40">
        <f ca="1">'EE P&amp;L'!Z12</f>
        <v>337730.82640120364</v>
      </c>
      <c r="X10" s="40">
        <f ca="1">'EE P&amp;L'!AA12</f>
        <v>1149214.8720512132</v>
      </c>
      <c r="Y10" s="40">
        <f ca="1">'EE P&amp;L'!AB12</f>
        <v>1101959.6822280972</v>
      </c>
      <c r="Z10" s="40">
        <f ca="1">'EE P&amp;L'!AC12</f>
        <v>344022.47652096616</v>
      </c>
      <c r="AA10" s="40">
        <f ca="1">'EE P&amp;L'!AD12</f>
        <v>368778.44152037485</v>
      </c>
      <c r="AB10" s="43">
        <f ca="1">SUM(P10:AA10)</f>
        <v>6840161.6731702983</v>
      </c>
      <c r="AC10" s="45"/>
      <c r="AD10" s="40">
        <f ca="1">'EE P&amp;L'!AH12</f>
        <v>315100.61752394558</v>
      </c>
      <c r="AE10" s="40">
        <f ca="1">'EE P&amp;L'!AI12</f>
        <v>874231.26971136266</v>
      </c>
      <c r="AF10" s="40">
        <f ca="1">'EE P&amp;L'!AJ12</f>
        <v>672475.81696505507</v>
      </c>
      <c r="AG10" s="40">
        <f ca="1">'EE P&amp;L'!AK12</f>
        <v>382827.59183307446</v>
      </c>
      <c r="AH10" s="40">
        <f ca="1">'EE P&amp;L'!AL12</f>
        <v>367036.35914732207</v>
      </c>
      <c r="AI10" s="40">
        <f ca="1">'EE P&amp;L'!AM12</f>
        <v>1138126.535976456</v>
      </c>
      <c r="AJ10" s="40">
        <f ca="1">'EE P&amp;L'!AN12</f>
        <v>375397.59938065812</v>
      </c>
      <c r="AK10" s="40">
        <f ca="1">'EE P&amp;L'!AO12</f>
        <v>378861.14259035653</v>
      </c>
      <c r="AL10" s="40">
        <f ca="1">'EE P&amp;L'!AP12</f>
        <v>1341035.8649270667</v>
      </c>
      <c r="AM10" s="40">
        <f ca="1">'EE P&amp;L'!AQ12</f>
        <v>1237479.9856180158</v>
      </c>
      <c r="AN10" s="40">
        <f ca="1">'EE P&amp;L'!AR12</f>
        <v>364435.00646356831</v>
      </c>
      <c r="AO10" s="40">
        <f ca="1">'EE P&amp;L'!AS12</f>
        <v>414469.93389052781</v>
      </c>
      <c r="AP10" s="43">
        <f ca="1">SUM(AD10:AO10)</f>
        <v>7861477.7240274092</v>
      </c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</row>
    <row r="11" spans="1:53">
      <c r="J11" s="40"/>
      <c r="K11" s="40"/>
      <c r="L11" s="40"/>
      <c r="M11" s="40"/>
      <c r="N11" s="43"/>
      <c r="O11" s="45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3"/>
      <c r="AC11" s="45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3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</row>
    <row r="12" spans="1:53">
      <c r="A12" s="13" t="s">
        <v>69</v>
      </c>
      <c r="J12" s="40">
        <f>'IT P&amp;L'!L11</f>
        <v>101997</v>
      </c>
      <c r="K12" s="40">
        <f>'IT P&amp;L'!M11</f>
        <v>138624</v>
      </c>
      <c r="L12" s="40">
        <f>'IT P&amp;L'!N11</f>
        <v>50924</v>
      </c>
      <c r="M12" s="40">
        <f>'IT P&amp;L'!O11</f>
        <v>104610</v>
      </c>
      <c r="N12" s="43">
        <f t="shared" ref="N12:N17" si="0">SUM(B12:M12)</f>
        <v>396155</v>
      </c>
      <c r="O12" s="45"/>
      <c r="P12" s="40">
        <f ca="1">'IT P&amp;L'!S11</f>
        <v>96885.550585063815</v>
      </c>
      <c r="Q12" s="40">
        <f ca="1">'IT P&amp;L'!T11</f>
        <v>124908.41946951489</v>
      </c>
      <c r="R12" s="40">
        <f ca="1">'IT P&amp;L'!U11</f>
        <v>100732.20259531488</v>
      </c>
      <c r="S12" s="40">
        <f ca="1">'IT P&amp;L'!V11</f>
        <v>88814.855245931016</v>
      </c>
      <c r="T12" s="40">
        <f ca="1">'IT P&amp;L'!W11</f>
        <v>112753.86596003214</v>
      </c>
      <c r="U12" s="40">
        <f ca="1">'IT P&amp;L'!X11</f>
        <v>127914.70032647823</v>
      </c>
      <c r="V12" s="40">
        <f ca="1">'IT P&amp;L'!Y11</f>
        <v>79686.555298586769</v>
      </c>
      <c r="W12" s="40">
        <f ca="1">'IT P&amp;L'!Z11</f>
        <v>141115.75949888831</v>
      </c>
      <c r="X12" s="40">
        <f ca="1">'IT P&amp;L'!AA11</f>
        <v>139087.83238656123</v>
      </c>
      <c r="Y12" s="40">
        <f ca="1">'IT P&amp;L'!AB11</f>
        <v>159196.53717442224</v>
      </c>
      <c r="Z12" s="40">
        <f ca="1">'IT P&amp;L'!AC11</f>
        <v>83825.969363822369</v>
      </c>
      <c r="AA12" s="40">
        <f ca="1">'IT P&amp;L'!AD11</f>
        <v>112887.42007594208</v>
      </c>
      <c r="AB12" s="43">
        <f t="shared" ref="AB12:AB17" ca="1" si="1">SUM(P12:AA12)</f>
        <v>1367809.6679805578</v>
      </c>
      <c r="AC12" s="45"/>
      <c r="AD12" s="40">
        <f ca="1">'IT P&amp;L'!AH11</f>
        <v>142317.99330021278</v>
      </c>
      <c r="AE12" s="40">
        <f ca="1">'IT P&amp;L'!AI11</f>
        <v>166104.88162198581</v>
      </c>
      <c r="AF12" s="40">
        <f ca="1">'IT P&amp;L'!AJ11</f>
        <v>142454.03667056738</v>
      </c>
      <c r="AG12" s="40">
        <f ca="1">'IT P&amp;L'!AK11</f>
        <v>135050.68796370423</v>
      </c>
      <c r="AH12" s="40">
        <f ca="1">'IT P&amp;L'!AL11</f>
        <v>155808.74291048024</v>
      </c>
      <c r="AI12" s="40">
        <f ca="1">'IT P&amp;L'!AM11</f>
        <v>228724.75770193775</v>
      </c>
      <c r="AJ12" s="40">
        <f ca="1">'IT P&amp;L'!AN11</f>
        <v>119677.06689839077</v>
      </c>
      <c r="AK12" s="40">
        <f ca="1">'IT P&amp;L'!AO11</f>
        <v>200147.83241038921</v>
      </c>
      <c r="AL12" s="40">
        <f ca="1">'IT P&amp;L'!AP11</f>
        <v>215384.82299849676</v>
      </c>
      <c r="AM12" s="40">
        <f ca="1">'IT P&amp;L'!AQ11</f>
        <v>224845.38140745391</v>
      </c>
      <c r="AN12" s="40">
        <f ca="1">'IT P&amp;L'!AR11</f>
        <v>118074.88257125462</v>
      </c>
      <c r="AO12" s="40">
        <f ca="1">'IT P&amp;L'!AS11</f>
        <v>157687.52419047785</v>
      </c>
      <c r="AP12" s="43">
        <f t="shared" ref="AP12:AP17" ca="1" si="2">SUM(AD12:AO12)</f>
        <v>2006278.6106453512</v>
      </c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</row>
    <row r="13" spans="1:53">
      <c r="A13" s="13" t="s">
        <v>73</v>
      </c>
      <c r="J13" s="40">
        <f>'ES P&amp;L'!D12</f>
        <v>87441.44</v>
      </c>
      <c r="K13" s="40">
        <f>'ES P&amp;L'!E12</f>
        <v>70161.55</v>
      </c>
      <c r="L13" s="40">
        <f>'ES P&amp;L'!F12</f>
        <v>29495.260000000002</v>
      </c>
      <c r="M13" s="40">
        <f>'ES P&amp;L'!G12</f>
        <v>127879.39</v>
      </c>
      <c r="N13" s="43">
        <f t="shared" si="0"/>
        <v>314977.64</v>
      </c>
      <c r="O13" s="45"/>
      <c r="P13" s="40">
        <f ca="1">'ES P&amp;L'!S12</f>
        <v>59868.106661642676</v>
      </c>
      <c r="Q13" s="40">
        <f ca="1">'ES P&amp;L'!T12</f>
        <v>120216.46845434546</v>
      </c>
      <c r="R13" s="40">
        <f ca="1">'ES P&amp;L'!U12</f>
        <v>116528.79698067374</v>
      </c>
      <c r="S13" s="40">
        <f ca="1">'ES P&amp;L'!V12</f>
        <v>153512.92500892541</v>
      </c>
      <c r="T13" s="40">
        <f ca="1">'ES P&amp;L'!W12</f>
        <v>129201.05584994459</v>
      </c>
      <c r="U13" s="40">
        <f ca="1">'ES P&amp;L'!X12</f>
        <v>128139.18013619163</v>
      </c>
      <c r="V13" s="40">
        <f ca="1">'ES P&amp;L'!Y12</f>
        <v>105499.2036029572</v>
      </c>
      <c r="W13" s="40">
        <f ca="1">'ES P&amp;L'!Z12</f>
        <v>102681.77557145867</v>
      </c>
      <c r="X13" s="40">
        <f ca="1">'ES P&amp;L'!AA12</f>
        <v>154517.05041925824</v>
      </c>
      <c r="Y13" s="40">
        <f ca="1">'ES P&amp;L'!AB12</f>
        <v>146242.81755440513</v>
      </c>
      <c r="Z13" s="40">
        <f ca="1">'ES P&amp;L'!AC12</f>
        <v>100938.5432130828</v>
      </c>
      <c r="AA13" s="40">
        <f ca="1">'ES P&amp;L'!AD12</f>
        <v>100401.93279445813</v>
      </c>
      <c r="AB13" s="43">
        <f t="shared" ca="1" si="1"/>
        <v>1417747.8562473438</v>
      </c>
      <c r="AC13" s="45"/>
      <c r="AD13" s="40">
        <f ca="1">'ES P&amp;L'!AH12</f>
        <v>137040.512459752</v>
      </c>
      <c r="AE13" s="40">
        <f ca="1">'ES P&amp;L'!AI12</f>
        <v>300417.7606018692</v>
      </c>
      <c r="AF13" s="40">
        <f ca="1">'ES P&amp;L'!AJ12</f>
        <v>310889.36976479582</v>
      </c>
      <c r="AG13" s="40">
        <f ca="1">'ES P&amp;L'!AK12</f>
        <v>376856.94464912318</v>
      </c>
      <c r="AH13" s="40">
        <f ca="1">'ES P&amp;L'!AL12</f>
        <v>342851.72655642062</v>
      </c>
      <c r="AI13" s="40">
        <f ca="1">'ES P&amp;L'!AM12</f>
        <v>323402.37216763513</v>
      </c>
      <c r="AJ13" s="40">
        <f ca="1">'ES P&amp;L'!AN12</f>
        <v>290597.03765123762</v>
      </c>
      <c r="AK13" s="40">
        <f ca="1">'ES P&amp;L'!AO12</f>
        <v>262956.02964775293</v>
      </c>
      <c r="AL13" s="40">
        <f ca="1">'ES P&amp;L'!AP12</f>
        <v>480957.0069910165</v>
      </c>
      <c r="AM13" s="40">
        <f ca="1">'ES P&amp;L'!AQ12</f>
        <v>408899.77636241901</v>
      </c>
      <c r="AN13" s="40">
        <f ca="1">'ES P&amp;L'!AR12</f>
        <v>323767.05081793456</v>
      </c>
      <c r="AO13" s="40">
        <f ca="1">'ES P&amp;L'!AS12</f>
        <v>287046.62525071012</v>
      </c>
      <c r="AP13" s="43">
        <f t="shared" ca="1" si="2"/>
        <v>3845682.2129206667</v>
      </c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</row>
    <row r="14" spans="1:53">
      <c r="A14" s="11" t="s">
        <v>65</v>
      </c>
      <c r="J14" s="40">
        <f>'CE P&amp;L'!L12</f>
        <v>251645</v>
      </c>
      <c r="K14" s="40">
        <f>'CE P&amp;L'!M12</f>
        <v>510819</v>
      </c>
      <c r="L14" s="40">
        <f>'CE P&amp;L'!N12</f>
        <v>245072</v>
      </c>
      <c r="M14" s="40">
        <f>'CE P&amp;L'!O12</f>
        <v>284775</v>
      </c>
      <c r="N14" s="43">
        <f t="shared" si="0"/>
        <v>1292311</v>
      </c>
      <c r="O14" s="45"/>
      <c r="P14" s="40">
        <f ca="1">'CE P&amp;L'!S12</f>
        <v>218395.95184323771</v>
      </c>
      <c r="Q14" s="40">
        <f ca="1">'CE P&amp;L'!T12</f>
        <v>583602.11485786038</v>
      </c>
      <c r="R14" s="40">
        <f ca="1">'CE P&amp;L'!U12</f>
        <v>352598.9578643929</v>
      </c>
      <c r="S14" s="40">
        <f ca="1">'CE P&amp;L'!V12</f>
        <v>353295.00009255687</v>
      </c>
      <c r="T14" s="40">
        <f ca="1">'CE P&amp;L'!W12</f>
        <v>349581.41674917389</v>
      </c>
      <c r="U14" s="40">
        <f ca="1">'CE P&amp;L'!X12</f>
        <v>379951.06588367838</v>
      </c>
      <c r="V14" s="40">
        <f ca="1">'CE P&amp;L'!Y12</f>
        <v>266930.19569231843</v>
      </c>
      <c r="W14" s="40">
        <f ca="1">'CE P&amp;L'!Z12</f>
        <v>329895.85962284484</v>
      </c>
      <c r="X14" s="40">
        <f ca="1">'CE P&amp;L'!AA12</f>
        <v>420010.357066489</v>
      </c>
      <c r="Y14" s="40">
        <f ca="1">'CE P&amp;L'!AB12</f>
        <v>447776.73248064297</v>
      </c>
      <c r="Z14" s="40">
        <f ca="1">'CE P&amp;L'!AC12</f>
        <v>284999.66625399655</v>
      </c>
      <c r="AA14" s="40">
        <f ca="1">'CE P&amp;L'!AD12</f>
        <v>314970.23143672466</v>
      </c>
      <c r="AB14" s="43">
        <f t="shared" ca="1" si="1"/>
        <v>4302007.5498439167</v>
      </c>
      <c r="AC14" s="45"/>
      <c r="AD14" s="40">
        <f ca="1">'CE P&amp;L'!AH12</f>
        <v>389034.00790896639</v>
      </c>
      <c r="AE14" s="40">
        <f ca="1">'CE P&amp;L'!AI12</f>
        <v>610086.28289463674</v>
      </c>
      <c r="AF14" s="40">
        <f ca="1">'CE P&amp;L'!AJ12</f>
        <v>577836.62990436063</v>
      </c>
      <c r="AG14" s="40">
        <f ca="1">'CE P&amp;L'!AK12</f>
        <v>614390.31364280474</v>
      </c>
      <c r="AH14" s="40">
        <f ca="1">'CE P&amp;L'!AL12</f>
        <v>605802.04635832878</v>
      </c>
      <c r="AI14" s="40">
        <f ca="1">'CE P&amp;L'!AM12</f>
        <v>668465.36052092141</v>
      </c>
      <c r="AJ14" s="40">
        <f ca="1">'CE P&amp;L'!AN12</f>
        <v>494643.68474435585</v>
      </c>
      <c r="AK14" s="40">
        <f ca="1">'CE P&amp;L'!AO12</f>
        <v>534556.21867516334</v>
      </c>
      <c r="AL14" s="40">
        <f ca="1">'CE P&amp;L'!AP12</f>
        <v>790497.01398951327</v>
      </c>
      <c r="AM14" s="40">
        <f ca="1">'CE P&amp;L'!AQ12</f>
        <v>746040.52583237295</v>
      </c>
      <c r="AN14" s="40">
        <f ca="1">'CE P&amp;L'!AR12</f>
        <v>523990.85583450168</v>
      </c>
      <c r="AO14" s="40">
        <f ca="1">'CE P&amp;L'!AS12</f>
        <v>528317.93612966454</v>
      </c>
      <c r="AP14" s="43">
        <f t="shared" ca="1" si="2"/>
        <v>7083660.8764355909</v>
      </c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</row>
    <row r="15" spans="1:53">
      <c r="A15" s="11" t="s">
        <v>64</v>
      </c>
      <c r="J15" s="40">
        <f>'UK P&amp;L'!L12</f>
        <v>1039049</v>
      </c>
      <c r="K15" s="40">
        <f>'UK P&amp;L'!M12</f>
        <v>1028230</v>
      </c>
      <c r="L15" s="40">
        <f>'UK P&amp;L'!N12</f>
        <v>808846</v>
      </c>
      <c r="M15" s="40">
        <f>'UK P&amp;L'!O12</f>
        <v>707182</v>
      </c>
      <c r="N15" s="43">
        <f t="shared" si="0"/>
        <v>3583307</v>
      </c>
      <c r="O15" s="45"/>
      <c r="P15" s="40">
        <f ca="1">'UK P&amp;L'!S12</f>
        <v>700772.42739999993</v>
      </c>
      <c r="Q15" s="40">
        <f ca="1">'UK P&amp;L'!T12</f>
        <v>668382.24451999995</v>
      </c>
      <c r="R15" s="40">
        <f ca="1">'UK P&amp;L'!U12</f>
        <v>657388.33400079992</v>
      </c>
      <c r="S15" s="40">
        <f ca="1">'UK P&amp;L'!V12</f>
        <v>726031.10418787203</v>
      </c>
      <c r="T15" s="40">
        <f ca="1">'UK P&amp;L'!W12</f>
        <v>819788.69247681275</v>
      </c>
      <c r="U15" s="40">
        <f ca="1">'UK P&amp;L'!X12</f>
        <v>833181.07937756111</v>
      </c>
      <c r="V15" s="40">
        <f ca="1">'UK P&amp;L'!Y12</f>
        <v>927397.25797463895</v>
      </c>
      <c r="W15" s="40">
        <f ca="1">'UK P&amp;L'!Z12</f>
        <v>1429303.6637468485</v>
      </c>
      <c r="X15" s="40">
        <f ca="1">'UK P&amp;L'!AA12</f>
        <v>1251250.9881909536</v>
      </c>
      <c r="Y15" s="40">
        <f ca="1">'UK P&amp;L'!AB12</f>
        <v>1099905.9794865085</v>
      </c>
      <c r="Z15" s="40">
        <f ca="1">'UK P&amp;L'!AC12</f>
        <v>1137530.0940385645</v>
      </c>
      <c r="AA15" s="40">
        <f ca="1">'UK P&amp;L'!AD12</f>
        <v>1111217.5322322582</v>
      </c>
      <c r="AB15" s="43">
        <f t="shared" ca="1" si="1"/>
        <v>11362149.397632819</v>
      </c>
      <c r="AC15" s="45"/>
      <c r="AD15" s="40">
        <f ca="1">'UK P&amp;L'!AH12</f>
        <v>1197763.861134107</v>
      </c>
      <c r="AE15" s="40">
        <f ca="1">'UK P&amp;L'!AI12</f>
        <v>1186849.6322404984</v>
      </c>
      <c r="AF15" s="40">
        <f ca="1">'UK P&amp;L'!AJ12</f>
        <v>1218295.4413977324</v>
      </c>
      <c r="AG15" s="40">
        <f ca="1">'UK P&amp;L'!AK12</f>
        <v>1286326.3112635883</v>
      </c>
      <c r="AH15" s="40">
        <f ca="1">'UK P&amp;L'!AL12</f>
        <v>1369037.6798221285</v>
      </c>
      <c r="AI15" s="40">
        <f ca="1">'UK P&amp;L'!AM12</f>
        <v>1412561.426763955</v>
      </c>
      <c r="AJ15" s="40">
        <f ca="1">'UK P&amp;L'!AN12</f>
        <v>1507239.1155810836</v>
      </c>
      <c r="AK15" s="40">
        <f ca="1">'UK P&amp;L'!AO12</f>
        <v>2147564.669004919</v>
      </c>
      <c r="AL15" s="40">
        <f ca="1">'UK P&amp;L'!AP12</f>
        <v>1882829.8588368425</v>
      </c>
      <c r="AM15" s="40">
        <f ca="1">'UK P&amp;L'!AQ12</f>
        <v>1739683.218038525</v>
      </c>
      <c r="AN15" s="40">
        <f ca="1">'UK P&amp;L'!AR12</f>
        <v>1765118.07317337</v>
      </c>
      <c r="AO15" s="40">
        <f ca="1">'UK P&amp;L'!AS12</f>
        <v>1735290.7326961989</v>
      </c>
      <c r="AP15" s="43">
        <f t="shared" ca="1" si="2"/>
        <v>18448560.019952949</v>
      </c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</row>
    <row r="16" spans="1:53">
      <c r="A16" s="11" t="s">
        <v>211</v>
      </c>
      <c r="J16" s="40"/>
      <c r="K16" s="40"/>
      <c r="L16" s="40"/>
      <c r="M16" s="40"/>
      <c r="N16" s="43">
        <f t="shared" si="0"/>
        <v>0</v>
      </c>
      <c r="O16" s="45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3">
        <f t="shared" si="1"/>
        <v>0</v>
      </c>
      <c r="AC16" s="45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3">
        <f t="shared" si="2"/>
        <v>0</v>
      </c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</row>
    <row r="17" spans="1:53">
      <c r="A17" s="11" t="s">
        <v>67</v>
      </c>
      <c r="J17" s="40">
        <f>'ROW P&amp;L'!L13</f>
        <v>67969</v>
      </c>
      <c r="K17" s="40">
        <f>'ROW P&amp;L'!M13</f>
        <v>42400</v>
      </c>
      <c r="L17" s="40">
        <f>'ROW P&amp;L'!N13</f>
        <v>342400</v>
      </c>
      <c r="M17" s="40">
        <f>'ROW P&amp;L'!O13</f>
        <v>64600</v>
      </c>
      <c r="N17" s="43">
        <f t="shared" si="0"/>
        <v>517369</v>
      </c>
      <c r="O17" s="45"/>
      <c r="P17" s="40">
        <f ca="1">'ROW P&amp;L'!S13</f>
        <v>6933.92</v>
      </c>
      <c r="Q17" s="40">
        <f ca="1">'ROW P&amp;L'!T13</f>
        <v>62588.244000000006</v>
      </c>
      <c r="R17" s="40">
        <f ca="1">'ROW P&amp;L'!U13</f>
        <v>144785.48000000001</v>
      </c>
      <c r="S17" s="40">
        <f ca="1">'ROW P&amp;L'!V13</f>
        <v>127850.624</v>
      </c>
      <c r="T17" s="40">
        <f ca="1">'ROW P&amp;L'!W13</f>
        <v>94490.559999999998</v>
      </c>
      <c r="U17" s="40">
        <f ca="1">'ROW P&amp;L'!X13</f>
        <v>66861.72</v>
      </c>
      <c r="V17" s="40">
        <f ca="1">'ROW P&amp;L'!Y13</f>
        <v>106102.664</v>
      </c>
      <c r="W17" s="40">
        <f ca="1">'ROW P&amp;L'!Z13</f>
        <v>135053.09599999999</v>
      </c>
      <c r="X17" s="40">
        <f ca="1">'ROW P&amp;L'!AA13</f>
        <v>72438.080000000002</v>
      </c>
      <c r="Y17" s="40">
        <f ca="1">'ROW P&amp;L'!AB13</f>
        <v>33008.92</v>
      </c>
      <c r="Z17" s="40">
        <f ca="1">'ROW P&amp;L'!AC13</f>
        <v>14994.68</v>
      </c>
      <c r="AA17" s="40">
        <f ca="1">'ROW P&amp;L'!AD13</f>
        <v>29808.080000000002</v>
      </c>
      <c r="AB17" s="43">
        <f t="shared" ca="1" si="1"/>
        <v>894916.06800000009</v>
      </c>
      <c r="AC17" s="45"/>
      <c r="AD17" s="40">
        <f ca="1">'ROW P&amp;L'!AH13</f>
        <v>7005.4879999999994</v>
      </c>
      <c r="AE17" s="40">
        <f ca="1">'ROW P&amp;L'!AI13</f>
        <v>43902.238400000002</v>
      </c>
      <c r="AF17" s="40">
        <f ca="1">'ROW P&amp;L'!AJ13</f>
        <v>151535.48000000001</v>
      </c>
      <c r="AG17" s="40">
        <f ca="1">'ROW P&amp;L'!AK13</f>
        <v>119306.77439999999</v>
      </c>
      <c r="AH17" s="40">
        <f ca="1">'ROW P&amp;L'!AL13</f>
        <v>99376.804000000004</v>
      </c>
      <c r="AI17" s="40">
        <f ca="1">'ROW P&amp;L'!AM13</f>
        <v>62106.601999999999</v>
      </c>
      <c r="AJ17" s="40">
        <f ca="1">'ROW P&amp;L'!AN13</f>
        <v>99383.970400000006</v>
      </c>
      <c r="AK17" s="40">
        <f ca="1">'ROW P&amp;L'!AO13</f>
        <v>193953.26360000001</v>
      </c>
      <c r="AL17" s="40">
        <f ca="1">'ROW P&amp;L'!AP13</f>
        <v>53438.080000000002</v>
      </c>
      <c r="AM17" s="40">
        <f ca="1">'ROW P&amp;L'!AQ13</f>
        <v>44908.92</v>
      </c>
      <c r="AN17" s="40">
        <f ca="1">'ROW P&amp;L'!AR13</f>
        <v>15094.68</v>
      </c>
      <c r="AO17" s="40">
        <f ca="1">'ROW P&amp;L'!AS13</f>
        <v>31708.080000000002</v>
      </c>
      <c r="AP17" s="43">
        <f t="shared" ca="1" si="2"/>
        <v>921720.38080000016</v>
      </c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</row>
    <row r="18" spans="1:53">
      <c r="J18" s="40"/>
      <c r="K18" s="40"/>
      <c r="L18" s="40"/>
      <c r="M18" s="40"/>
      <c r="N18" s="43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</row>
    <row r="19" spans="1:53">
      <c r="A19" s="13" t="s">
        <v>207</v>
      </c>
      <c r="J19" s="40">
        <f>J10+J14+J15+J16+J17</f>
        <v>2389175</v>
      </c>
      <c r="K19" s="40">
        <f>K10+K14+K15+K16+K17</f>
        <v>2720273</v>
      </c>
      <c r="L19" s="40">
        <f>L10+L14+L15+L16+L17</f>
        <v>1756109</v>
      </c>
      <c r="M19" s="40">
        <f>M10+M14+M15+M16+M17</f>
        <v>1289179</v>
      </c>
      <c r="N19" s="43">
        <f>SUM(B19:M19)</f>
        <v>8154736</v>
      </c>
      <c r="O19" s="45"/>
      <c r="P19" s="40">
        <f t="shared" ref="P19:AA19" ca="1" si="3">P10+P14+P15+P16+P17</f>
        <v>1231935.1462784947</v>
      </c>
      <c r="Q19" s="40">
        <f t="shared" ca="1" si="3"/>
        <v>2029298.1087569331</v>
      </c>
      <c r="R19" s="40">
        <f t="shared" ca="1" si="3"/>
        <v>1770029.2584871962</v>
      </c>
      <c r="S19" s="40">
        <f t="shared" ca="1" si="3"/>
        <v>1533831.0355120252</v>
      </c>
      <c r="T19" s="40">
        <f t="shared" ca="1" si="3"/>
        <v>1577990.3843234631</v>
      </c>
      <c r="U19" s="40">
        <f t="shared" ca="1" si="3"/>
        <v>2183420.7332167304</v>
      </c>
      <c r="V19" s="40">
        <f t="shared" ca="1" si="3"/>
        <v>1658859.7627945037</v>
      </c>
      <c r="W19" s="40">
        <f t="shared" ca="1" si="3"/>
        <v>2231983.445770897</v>
      </c>
      <c r="X19" s="40">
        <f t="shared" ca="1" si="3"/>
        <v>2892914.2973086559</v>
      </c>
      <c r="Y19" s="40">
        <f t="shared" ca="1" si="3"/>
        <v>2682651.3141952483</v>
      </c>
      <c r="Z19" s="40">
        <f t="shared" ca="1" si="3"/>
        <v>1781546.916813527</v>
      </c>
      <c r="AA19" s="40">
        <f t="shared" ca="1" si="3"/>
        <v>1824774.2851893578</v>
      </c>
      <c r="AB19" s="43">
        <f ca="1">SUM(P19:AA19)</f>
        <v>23399234.688647032</v>
      </c>
      <c r="AC19" s="45"/>
      <c r="AD19" s="40">
        <f t="shared" ref="AD19:AO19" ca="1" si="4">AD10+AD14+AD15+AD16+AD17</f>
        <v>1908903.9745670189</v>
      </c>
      <c r="AE19" s="40">
        <f t="shared" ca="1" si="4"/>
        <v>2715069.4232464982</v>
      </c>
      <c r="AF19" s="40">
        <f t="shared" ca="1" si="4"/>
        <v>2620143.3682671483</v>
      </c>
      <c r="AG19" s="40">
        <f t="shared" ca="1" si="4"/>
        <v>2402850.9911394673</v>
      </c>
      <c r="AH19" s="40">
        <f t="shared" ca="1" si="4"/>
        <v>2441252.8893277794</v>
      </c>
      <c r="AI19" s="40">
        <f t="shared" ca="1" si="4"/>
        <v>3281259.9252613327</v>
      </c>
      <c r="AJ19" s="40">
        <f t="shared" ca="1" si="4"/>
        <v>2476664.3701060973</v>
      </c>
      <c r="AK19" s="40">
        <f t="shared" ca="1" si="4"/>
        <v>3254935.2938704388</v>
      </c>
      <c r="AL19" s="40">
        <f t="shared" ca="1" si="4"/>
        <v>4067800.817753423</v>
      </c>
      <c r="AM19" s="40">
        <f t="shared" ca="1" si="4"/>
        <v>3768112.6494889138</v>
      </c>
      <c r="AN19" s="40">
        <f t="shared" ca="1" si="4"/>
        <v>2668638.6154714399</v>
      </c>
      <c r="AO19" s="40">
        <f t="shared" ca="1" si="4"/>
        <v>2709786.682716391</v>
      </c>
      <c r="AP19" s="43">
        <f ca="1">SUM(AD19:AO19)</f>
        <v>34315419.00121595</v>
      </c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</row>
    <row r="20" spans="1:53">
      <c r="J20" s="40"/>
      <c r="K20" s="40"/>
      <c r="L20" s="40"/>
      <c r="M20" s="40"/>
      <c r="N20" s="43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</row>
    <row r="21" spans="1:53">
      <c r="J21" s="40"/>
      <c r="K21" s="40"/>
      <c r="L21" s="40"/>
      <c r="M21" s="40"/>
      <c r="N21" s="172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</row>
    <row r="23" spans="1:53">
      <c r="A23" s="13" t="s">
        <v>212</v>
      </c>
    </row>
    <row r="25" spans="1:53">
      <c r="A25" s="266" t="s">
        <v>213</v>
      </c>
    </row>
    <row r="26" spans="1:53">
      <c r="A26" s="13" t="s">
        <v>72</v>
      </c>
      <c r="J26" s="139">
        <f ca="1">J6/$J$10</f>
        <v>0.15532764295806356</v>
      </c>
      <c r="K26" s="139">
        <f t="shared" ref="K26:M29" ca="1" si="5">K6/K$10</f>
        <v>0.14927679781950504</v>
      </c>
      <c r="L26" s="139">
        <f t="shared" ca="1" si="5"/>
        <v>0.16398409076380455</v>
      </c>
      <c r="M26" s="139">
        <f t="shared" ca="1" si="5"/>
        <v>0.22783743584011831</v>
      </c>
      <c r="P26" s="139">
        <f ca="1">P6/P$10</f>
        <v>0.21826284994268347</v>
      </c>
      <c r="Q26" s="139">
        <f t="shared" ref="Q26:AA26" ca="1" si="6">Q6/Q$10</f>
        <v>0.1556208268708815</v>
      </c>
      <c r="R26" s="139">
        <f t="shared" ca="1" si="6"/>
        <v>0.12498384004504087</v>
      </c>
      <c r="S26" s="139">
        <f t="shared" ca="1" si="6"/>
        <v>0.20440442979127682</v>
      </c>
      <c r="T26" s="139">
        <f t="shared" ca="1" si="6"/>
        <v>0.18316969729153487</v>
      </c>
      <c r="U26" s="139">
        <f t="shared" ca="1" si="6"/>
        <v>0.13286438563919792</v>
      </c>
      <c r="V26" s="139">
        <f t="shared" ca="1" si="6"/>
        <v>0.17969294538729652</v>
      </c>
      <c r="W26" s="139">
        <f t="shared" ca="1" si="6"/>
        <v>0.17760169328852393</v>
      </c>
      <c r="X26" s="139">
        <f t="shared" ca="1" si="6"/>
        <v>0.15498027295391148</v>
      </c>
      <c r="Y26" s="139">
        <f t="shared" ca="1" si="6"/>
        <v>0.12843356296011471</v>
      </c>
      <c r="Z26" s="139">
        <f t="shared" ca="1" si="6"/>
        <v>0.15149784784879505</v>
      </c>
      <c r="AA26" s="139">
        <f t="shared" ca="1" si="6"/>
        <v>0.19832767148336436</v>
      </c>
      <c r="AD26" s="139">
        <f t="shared" ref="AD26:AO26" ca="1" si="7">AD6/AD$10</f>
        <v>0.2013962591565264</v>
      </c>
      <c r="AE26" s="139">
        <f t="shared" ca="1" si="7"/>
        <v>0.16118139117310964</v>
      </c>
      <c r="AF26" s="139">
        <f t="shared" ca="1" si="7"/>
        <v>0.11335856351634367</v>
      </c>
      <c r="AG26" s="139">
        <f t="shared" ca="1" si="7"/>
        <v>0.19191527778681183</v>
      </c>
      <c r="AH26" s="139">
        <f t="shared" ca="1" si="7"/>
        <v>0.15502538658440881</v>
      </c>
      <c r="AI26" s="139">
        <f t="shared" ca="1" si="7"/>
        <v>0.15845559575422699</v>
      </c>
      <c r="AJ26" s="139">
        <f t="shared" ca="1" si="7"/>
        <v>0.14469834549005348</v>
      </c>
      <c r="AK26" s="139">
        <f t="shared" ca="1" si="7"/>
        <v>0.15587421676162347</v>
      </c>
      <c r="AL26" s="139">
        <f t="shared" ca="1" si="7"/>
        <v>0.14976076831081048</v>
      </c>
      <c r="AM26" s="139">
        <f t="shared" ca="1" si="7"/>
        <v>0.11555665213893097</v>
      </c>
      <c r="AN26" s="139">
        <f t="shared" ca="1" si="7"/>
        <v>0.1358012112536735</v>
      </c>
      <c r="AO26" s="139">
        <f t="shared" ca="1" si="7"/>
        <v>0.18078322086395474</v>
      </c>
    </row>
    <row r="27" spans="1:53">
      <c r="A27" s="13" t="s">
        <v>71</v>
      </c>
      <c r="J27" s="139">
        <f ca="1">J7/$J$10</f>
        <v>0.37162400825997172</v>
      </c>
      <c r="K27" s="139">
        <f t="shared" si="5"/>
        <v>0.26430774202159418</v>
      </c>
      <c r="L27" s="139">
        <f t="shared" si="5"/>
        <v>0.23624826635463367</v>
      </c>
      <c r="M27" s="139">
        <f t="shared" si="5"/>
        <v>0.2794232703699564</v>
      </c>
      <c r="P27" s="139">
        <f ca="1">P7/P$10</f>
        <v>0.28924212946231431</v>
      </c>
      <c r="Q27" s="139">
        <f t="shared" ref="Q27:AA27" ca="1" si="8">Q7/Q$10</f>
        <v>0.2830910867905217</v>
      </c>
      <c r="R27" s="139">
        <f t="shared" ca="1" si="8"/>
        <v>0.27618892007553675</v>
      </c>
      <c r="S27" s="139">
        <f t="shared" ca="1" si="8"/>
        <v>0.27278829784944658</v>
      </c>
      <c r="T27" s="139">
        <f t="shared" ca="1" si="8"/>
        <v>0.29516553994788447</v>
      </c>
      <c r="U27" s="139">
        <f t="shared" ca="1" si="8"/>
        <v>0.34459271669164998</v>
      </c>
      <c r="V27" s="139">
        <f t="shared" ca="1" si="8"/>
        <v>0.28881923782229602</v>
      </c>
      <c r="W27" s="139">
        <f t="shared" ca="1" si="8"/>
        <v>0.33946382865356384</v>
      </c>
      <c r="X27" s="139">
        <f t="shared" ca="1" si="8"/>
        <v>0.34964329585435661</v>
      </c>
      <c r="Y27" s="139">
        <f t="shared" ca="1" si="8"/>
        <v>0.37260755360396419</v>
      </c>
      <c r="Z27" s="139">
        <f t="shared" ca="1" si="8"/>
        <v>0.34225496246883363</v>
      </c>
      <c r="AA27" s="139">
        <f t="shared" ca="1" si="8"/>
        <v>0.31434649633720874</v>
      </c>
      <c r="AD27" s="139">
        <f t="shared" ref="AD27:AO27" ca="1" si="9">AD7/AD$10</f>
        <v>0.34121295608550012</v>
      </c>
      <c r="AE27" s="139">
        <f t="shared" ca="1" si="9"/>
        <v>0.27781360193908494</v>
      </c>
      <c r="AF27" s="139">
        <f t="shared" ca="1" si="9"/>
        <v>0.29204316389078039</v>
      </c>
      <c r="AG27" s="139">
        <f t="shared" ca="1" si="9"/>
        <v>0.3601314794115491</v>
      </c>
      <c r="AH27" s="139">
        <f t="shared" ca="1" si="9"/>
        <v>0.34806551776319922</v>
      </c>
      <c r="AI27" s="139">
        <f t="shared" ca="1" si="9"/>
        <v>0.29035686542739381</v>
      </c>
      <c r="AJ27" s="139">
        <f t="shared" ca="1" si="9"/>
        <v>0.501156383385992</v>
      </c>
      <c r="AK27" s="139">
        <f t="shared" ca="1" si="9"/>
        <v>0.36642717920346562</v>
      </c>
      <c r="AL27" s="139">
        <f t="shared" ca="1" si="9"/>
        <v>0.35898608243859892</v>
      </c>
      <c r="AM27" s="139">
        <f t="shared" ca="1" si="9"/>
        <v>0.3881697027018492</v>
      </c>
      <c r="AN27" s="139">
        <f t="shared" ca="1" si="9"/>
        <v>0.40790062911704128</v>
      </c>
      <c r="AO27" s="139">
        <f t="shared" ca="1" si="9"/>
        <v>0.35941274836304871</v>
      </c>
    </row>
    <row r="28" spans="1:53">
      <c r="A28" s="13" t="s">
        <v>70</v>
      </c>
      <c r="J28" s="139">
        <f ca="1">J8/$J$10</f>
        <v>0.21905712888350645</v>
      </c>
      <c r="K28" s="139">
        <f t="shared" ca="1" si="5"/>
        <v>0.30250504028717345</v>
      </c>
      <c r="L28" s="139">
        <f t="shared" ca="1" si="5"/>
        <v>0.27515974551892625</v>
      </c>
      <c r="M28" s="139">
        <f t="shared" ca="1" si="5"/>
        <v>0.2794232703699564</v>
      </c>
      <c r="P28" s="139">
        <f ca="1">P8/P$10</f>
        <v>0.20468808748342332</v>
      </c>
      <c r="Q28" s="139">
        <f t="shared" ref="Q28:AA28" ca="1" si="10">Q8/Q$10</f>
        <v>0.26828820822604549</v>
      </c>
      <c r="R28" s="139">
        <f t="shared" ca="1" si="10"/>
        <v>0.29985980340441509</v>
      </c>
      <c r="S28" s="139">
        <f t="shared" ca="1" si="10"/>
        <v>0.2541375553003275</v>
      </c>
      <c r="T28" s="139">
        <f t="shared" ca="1" si="10"/>
        <v>0.23787170161718044</v>
      </c>
      <c r="U28" s="139">
        <f t="shared" ca="1" si="10"/>
        <v>0.21546265016353114</v>
      </c>
      <c r="V28" s="139">
        <f t="shared" ca="1" si="10"/>
        <v>0.27983054711088062</v>
      </c>
      <c r="W28" s="139">
        <f t="shared" ca="1" si="10"/>
        <v>0.19831383219606505</v>
      </c>
      <c r="X28" s="139">
        <f t="shared" ca="1" si="10"/>
        <v>0.20388994991005552</v>
      </c>
      <c r="Y28" s="139">
        <f t="shared" ca="1" si="10"/>
        <v>0.23212466260766287</v>
      </c>
      <c r="Z28" s="139">
        <f t="shared" ca="1" si="10"/>
        <v>0.21840596196061565</v>
      </c>
      <c r="AA28" s="139">
        <f t="shared" ca="1" si="10"/>
        <v>0.22796624918919864</v>
      </c>
      <c r="AD28" s="139">
        <f t="shared" ref="AD28:AO28" ca="1" si="11">AD8/AD$10</f>
        <v>0.15838480989438766</v>
      </c>
      <c r="AE28" s="139">
        <f t="shared" ca="1" si="11"/>
        <v>0.26011314969365462</v>
      </c>
      <c r="AF28" s="139">
        <f t="shared" ca="1" si="11"/>
        <v>0.2956123189695502</v>
      </c>
      <c r="AG28" s="139">
        <f t="shared" ca="1" si="11"/>
        <v>0.21506938403088921</v>
      </c>
      <c r="AH28" s="139">
        <f t="shared" ca="1" si="11"/>
        <v>0.19726915704207026</v>
      </c>
      <c r="AI28" s="139">
        <f t="shared" ca="1" si="11"/>
        <v>0.23156955517967326</v>
      </c>
      <c r="AJ28" s="139">
        <f t="shared" ca="1" si="11"/>
        <v>0.16667561142019555</v>
      </c>
      <c r="AK28" s="139">
        <f t="shared" ca="1" si="11"/>
        <v>0.17555664541297081</v>
      </c>
      <c r="AL28" s="139">
        <f t="shared" ca="1" si="11"/>
        <v>0.18820817505810966</v>
      </c>
      <c r="AM28" s="139">
        <f t="shared" ca="1" si="11"/>
        <v>0.20789559623945084</v>
      </c>
      <c r="AN28" s="139">
        <f t="shared" ca="1" si="11"/>
        <v>0.23574822052236075</v>
      </c>
      <c r="AO28" s="139">
        <f t="shared" ca="1" si="11"/>
        <v>0.23234429220143785</v>
      </c>
    </row>
    <row r="29" spans="1:53">
      <c r="A29" s="13" t="s">
        <v>68</v>
      </c>
      <c r="J29" s="139">
        <f ca="1">J9/$J$10</f>
        <v>0.2539921902898753</v>
      </c>
      <c r="K29" s="139">
        <f t="shared" si="5"/>
        <v>0.28391041987172733</v>
      </c>
      <c r="L29" s="139">
        <f t="shared" si="5"/>
        <v>0.32460789736263551</v>
      </c>
      <c r="M29" s="139">
        <f t="shared" si="5"/>
        <v>0.21331602341996889</v>
      </c>
      <c r="P29" s="139">
        <f ca="1">P9/P$10</f>
        <v>0.26164885337111943</v>
      </c>
      <c r="Q29" s="139">
        <f t="shared" ref="Q29:AA29" ca="1" si="12">Q9/Q$10</f>
        <v>0.28180676979363523</v>
      </c>
      <c r="R29" s="139">
        <f t="shared" ca="1" si="12"/>
        <v>0.28596472919121568</v>
      </c>
      <c r="S29" s="139">
        <f t="shared" ca="1" si="12"/>
        <v>0.24417899453396474</v>
      </c>
      <c r="T29" s="139">
        <f t="shared" ca="1" si="12"/>
        <v>0.24240888328564478</v>
      </c>
      <c r="U29" s="139">
        <f t="shared" ca="1" si="12"/>
        <v>0.29822507584340929</v>
      </c>
      <c r="V29" s="139">
        <f t="shared" ca="1" si="12"/>
        <v>0.22933768727681245</v>
      </c>
      <c r="W29" s="139">
        <f t="shared" ca="1" si="12"/>
        <v>0.25649173592125857</v>
      </c>
      <c r="X29" s="139">
        <f t="shared" ca="1" si="12"/>
        <v>0.2819147290641244</v>
      </c>
      <c r="Y29" s="139">
        <f t="shared" ca="1" si="12"/>
        <v>0.25685200443921696</v>
      </c>
      <c r="Z29" s="139">
        <f t="shared" ca="1" si="12"/>
        <v>0.26458693317419446</v>
      </c>
      <c r="AA29" s="139">
        <f t="shared" ca="1" si="12"/>
        <v>0.23766634092591937</v>
      </c>
      <c r="AD29" s="139">
        <f t="shared" ref="AD29:AO29" ca="1" si="13">AD9/AD$10</f>
        <v>0.27234782336262392</v>
      </c>
      <c r="AE29" s="139">
        <f t="shared" ca="1" si="13"/>
        <v>0.29128341570844041</v>
      </c>
      <c r="AF29" s="139">
        <f t="shared" ca="1" si="13"/>
        <v>0.28649479812287953</v>
      </c>
      <c r="AG29" s="139">
        <f t="shared" ca="1" si="13"/>
        <v>0.21094186665942194</v>
      </c>
      <c r="AH29" s="139">
        <f t="shared" ca="1" si="13"/>
        <v>0.26245016255731463</v>
      </c>
      <c r="AI29" s="139">
        <f t="shared" ca="1" si="13"/>
        <v>0.31223743346746047</v>
      </c>
      <c r="AJ29" s="139">
        <f t="shared" ca="1" si="13"/>
        <v>0.16509338448554078</v>
      </c>
      <c r="AK29" s="139">
        <f t="shared" ca="1" si="13"/>
        <v>0.27581305106547038</v>
      </c>
      <c r="AL29" s="139">
        <f t="shared" ca="1" si="13"/>
        <v>0.29443222914809075</v>
      </c>
      <c r="AM29" s="139">
        <f t="shared" ca="1" si="13"/>
        <v>0.27904456463377331</v>
      </c>
      <c r="AN29" s="139">
        <f t="shared" ca="1" si="13"/>
        <v>0.19750056171172709</v>
      </c>
      <c r="AO29" s="139">
        <f t="shared" ca="1" si="13"/>
        <v>0.20719288852250617</v>
      </c>
    </row>
    <row r="30" spans="1:53">
      <c r="A30" s="11" t="s">
        <v>66</v>
      </c>
      <c r="J30" s="44">
        <f>J10/$J$19</f>
        <v>0.4313254575324118</v>
      </c>
      <c r="K30" s="44">
        <f>K10/K$19</f>
        <v>0.41864327587709027</v>
      </c>
      <c r="L30" s="44">
        <f>L10/L$19</f>
        <v>0.20487965154782534</v>
      </c>
      <c r="M30" s="44">
        <f>M10/M$19</f>
        <v>0.1804419712080324</v>
      </c>
      <c r="P30" s="44">
        <f ca="1">P10/P$19</f>
        <v>0.24825401561042865</v>
      </c>
      <c r="Q30" s="44">
        <f t="shared" ref="Q30:AA30" ca="1" si="14">Q10/Q$19</f>
        <v>0.35220330728878729</v>
      </c>
      <c r="R30" s="44">
        <f t="shared" ca="1" si="14"/>
        <v>0.34759678896373108</v>
      </c>
      <c r="S30" s="44">
        <f t="shared" ca="1" si="14"/>
        <v>0.21296629137677622</v>
      </c>
      <c r="T30" s="44">
        <f t="shared" ca="1" si="14"/>
        <v>0.19906947356472915</v>
      </c>
      <c r="U30" s="44">
        <f t="shared" ca="1" si="14"/>
        <v>0.41376673501882294</v>
      </c>
      <c r="V30" s="44">
        <f t="shared" ca="1" si="14"/>
        <v>0.21606988918926934</v>
      </c>
      <c r="W30" s="44">
        <f t="shared" ca="1" si="14"/>
        <v>0.15131421652840976</v>
      </c>
      <c r="X30" s="44">
        <f t="shared" ca="1" si="14"/>
        <v>0.39725161340602244</v>
      </c>
      <c r="Y30" s="44">
        <f t="shared" ca="1" si="14"/>
        <v>0.41077261006567573</v>
      </c>
      <c r="Z30" s="44">
        <f t="shared" ca="1" si="14"/>
        <v>0.19310323700948859</v>
      </c>
      <c r="AA30" s="44">
        <f t="shared" ca="1" si="14"/>
        <v>0.20209537393941657</v>
      </c>
      <c r="AD30" s="44">
        <f t="shared" ref="AD30:AO30" ca="1" si="15">AD10/AD$19</f>
        <v>0.16506886764454312</v>
      </c>
      <c r="AE30" s="44">
        <f t="shared" ca="1" si="15"/>
        <v>0.32199223424129442</v>
      </c>
      <c r="AF30" s="44">
        <f t="shared" ca="1" si="15"/>
        <v>0.25665611474146244</v>
      </c>
      <c r="AG30" s="44">
        <f t="shared" ca="1" si="15"/>
        <v>0.15932223564621956</v>
      </c>
      <c r="AH30" s="44">
        <f t="shared" ca="1" si="15"/>
        <v>0.1503475370175143</v>
      </c>
      <c r="AI30" s="44">
        <f t="shared" ca="1" si="15"/>
        <v>0.34685656177811364</v>
      </c>
      <c r="AJ30" s="44">
        <f t="shared" ca="1" si="15"/>
        <v>0.15157386843037457</v>
      </c>
      <c r="AK30" s="44">
        <f t="shared" ca="1" si="15"/>
        <v>0.11639590602732176</v>
      </c>
      <c r="AL30" s="44">
        <f t="shared" ca="1" si="15"/>
        <v>0.32967097579465504</v>
      </c>
      <c r="AM30" s="44">
        <f t="shared" ca="1" si="15"/>
        <v>0.32840843698923405</v>
      </c>
      <c r="AN30" s="44">
        <f t="shared" ca="1" si="15"/>
        <v>0.13656214234132541</v>
      </c>
      <c r="AO30" s="44">
        <f t="shared" ca="1" si="15"/>
        <v>0.15295297468767827</v>
      </c>
    </row>
    <row r="31" spans="1:53">
      <c r="A31" s="11"/>
      <c r="J31" s="139"/>
      <c r="K31" s="139"/>
      <c r="L31" s="139"/>
      <c r="M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39"/>
      <c r="AA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139"/>
      <c r="AN31" s="139"/>
      <c r="AO31" s="139"/>
    </row>
    <row r="32" spans="1:53">
      <c r="A32" s="13" t="s">
        <v>69</v>
      </c>
      <c r="J32" s="139">
        <f>J12/$J$14</f>
        <v>0.40532098789962051</v>
      </c>
      <c r="K32" s="139">
        <f t="shared" ref="K32:M33" si="16">K12/K$14</f>
        <v>0.27137596682973814</v>
      </c>
      <c r="L32" s="139">
        <f t="shared" si="16"/>
        <v>0.2077919958216361</v>
      </c>
      <c r="M32" s="139">
        <f t="shared" si="16"/>
        <v>0.36734263892546748</v>
      </c>
      <c r="P32" s="139">
        <f ca="1">P12/P$14</f>
        <v>0.44362338114493638</v>
      </c>
      <c r="Q32" s="139">
        <f t="shared" ref="Q32:AA32" ca="1" si="17">Q12/Q$14</f>
        <v>0.21403010079896137</v>
      </c>
      <c r="R32" s="139">
        <f t="shared" ca="1" si="17"/>
        <v>0.28568491298279952</v>
      </c>
      <c r="S32" s="139">
        <f t="shared" ca="1" si="17"/>
        <v>0.25139007125111629</v>
      </c>
      <c r="T32" s="139">
        <f t="shared" ca="1" si="17"/>
        <v>0.32253964472297308</v>
      </c>
      <c r="U32" s="139">
        <f t="shared" ca="1" si="17"/>
        <v>0.33666098561660351</v>
      </c>
      <c r="V32" s="139">
        <f t="shared" ca="1" si="17"/>
        <v>0.29852956534913277</v>
      </c>
      <c r="W32" s="139">
        <f t="shared" ca="1" si="17"/>
        <v>0.42775850433594298</v>
      </c>
      <c r="X32" s="139">
        <f t="shared" ca="1" si="17"/>
        <v>0.33115333954620357</v>
      </c>
      <c r="Y32" s="139">
        <f t="shared" ca="1" si="17"/>
        <v>0.35552659534694375</v>
      </c>
      <c r="Z32" s="139">
        <f t="shared" ca="1" si="17"/>
        <v>0.29412655272766264</v>
      </c>
      <c r="AA32" s="139">
        <f t="shared" ca="1" si="17"/>
        <v>0.35840663278243923</v>
      </c>
      <c r="AD32" s="139">
        <f t="shared" ref="AD32:AO32" ca="1" si="18">AD12/AD$14</f>
        <v>0.36582404213236563</v>
      </c>
      <c r="AE32" s="139">
        <f t="shared" ca="1" si="18"/>
        <v>0.27226457351881239</v>
      </c>
      <c r="AF32" s="139">
        <f t="shared" ca="1" si="18"/>
        <v>0.2465299520629998</v>
      </c>
      <c r="AG32" s="139">
        <f t="shared" ca="1" si="18"/>
        <v>0.21981252790749597</v>
      </c>
      <c r="AH32" s="139">
        <f t="shared" ca="1" si="18"/>
        <v>0.25719415087336989</v>
      </c>
      <c r="AI32" s="139">
        <f t="shared" ca="1" si="18"/>
        <v>0.3421639642235122</v>
      </c>
      <c r="AJ32" s="139">
        <f t="shared" ca="1" si="18"/>
        <v>0.24194601202730981</v>
      </c>
      <c r="AK32" s="139">
        <f t="shared" ca="1" si="18"/>
        <v>0.37441867743384</v>
      </c>
      <c r="AL32" s="139">
        <f t="shared" ca="1" si="18"/>
        <v>0.27246759846882113</v>
      </c>
      <c r="AM32" s="139">
        <f t="shared" ca="1" si="18"/>
        <v>0.30138494307207941</v>
      </c>
      <c r="AN32" s="139">
        <f t="shared" ca="1" si="18"/>
        <v>0.22533767766464161</v>
      </c>
      <c r="AO32" s="139">
        <f t="shared" ca="1" si="18"/>
        <v>0.2984708892256438</v>
      </c>
    </row>
    <row r="33" spans="1:41">
      <c r="A33" s="13" t="s">
        <v>73</v>
      </c>
      <c r="J33" s="139">
        <f>J13/$J$14</f>
        <v>0.34747934590395202</v>
      </c>
      <c r="K33" s="139">
        <f t="shared" si="16"/>
        <v>0.13735109696389525</v>
      </c>
      <c r="L33" s="139">
        <f t="shared" si="16"/>
        <v>0.12035344715022525</v>
      </c>
      <c r="M33" s="139">
        <f t="shared" si="16"/>
        <v>0.44905413045386711</v>
      </c>
      <c r="P33" s="139">
        <f ca="1">P13/P$14</f>
        <v>0.27412644857362267</v>
      </c>
      <c r="Q33" s="139">
        <f t="shared" ref="Q33:AA33" ca="1" si="19">Q13/Q$14</f>
        <v>0.20599046061309231</v>
      </c>
      <c r="R33" s="139">
        <f t="shared" ca="1" si="19"/>
        <v>0.33048536979933418</v>
      </c>
      <c r="S33" s="139">
        <f t="shared" ca="1" si="19"/>
        <v>0.43451768343369651</v>
      </c>
      <c r="T33" s="139">
        <f t="shared" ca="1" si="19"/>
        <v>0.36958788327883824</v>
      </c>
      <c r="U33" s="139">
        <f t="shared" ca="1" si="19"/>
        <v>0.33725179803922778</v>
      </c>
      <c r="V33" s="139">
        <f t="shared" ca="1" si="19"/>
        <v>0.39523143243247993</v>
      </c>
      <c r="W33" s="139">
        <f t="shared" ca="1" si="19"/>
        <v>0.31125512059730043</v>
      </c>
      <c r="X33" s="139">
        <f t="shared" ca="1" si="19"/>
        <v>0.36788866707588758</v>
      </c>
      <c r="Y33" s="139">
        <f t="shared" ca="1" si="19"/>
        <v>0.32659762543764398</v>
      </c>
      <c r="Z33" s="139">
        <f t="shared" ca="1" si="19"/>
        <v>0.35417074181106112</v>
      </c>
      <c r="AA33" s="139">
        <f t="shared" ca="1" si="19"/>
        <v>0.31876641908817399</v>
      </c>
      <c r="AD33" s="139">
        <f t="shared" ref="AD33:AO33" ca="1" si="20">AD13/AD$14</f>
        <v>0.35225843929772682</v>
      </c>
      <c r="AE33" s="139">
        <f t="shared" ca="1" si="20"/>
        <v>0.49241848083601647</v>
      </c>
      <c r="AF33" s="139">
        <f t="shared" ca="1" si="20"/>
        <v>0.53802295264018141</v>
      </c>
      <c r="AG33" s="139">
        <f t="shared" ca="1" si="20"/>
        <v>0.61338360368132516</v>
      </c>
      <c r="AH33" s="139">
        <f t="shared" ca="1" si="20"/>
        <v>0.56594679502555789</v>
      </c>
      <c r="AI33" s="139">
        <f t="shared" ca="1" si="20"/>
        <v>0.48379825084072309</v>
      </c>
      <c r="AJ33" s="139">
        <f t="shared" ca="1" si="20"/>
        <v>0.5874876130308333</v>
      </c>
      <c r="AK33" s="139">
        <f t="shared" ca="1" si="20"/>
        <v>0.49191463958544807</v>
      </c>
      <c r="AL33" s="139">
        <f t="shared" ca="1" si="20"/>
        <v>0.60842355945622439</v>
      </c>
      <c r="AM33" s="139">
        <f t="shared" ca="1" si="20"/>
        <v>0.54809324990247821</v>
      </c>
      <c r="AN33" s="139">
        <f t="shared" ca="1" si="20"/>
        <v>0.61788683373549902</v>
      </c>
      <c r="AO33" s="139">
        <f t="shared" ca="1" si="20"/>
        <v>0.5433217493116882</v>
      </c>
    </row>
    <row r="34" spans="1:41">
      <c r="A34" s="11" t="s">
        <v>65</v>
      </c>
      <c r="J34" s="44">
        <f>J14/$J$19</f>
        <v>0.10532715267822575</v>
      </c>
      <c r="K34" s="44">
        <f>K14/K$19</f>
        <v>0.18778225567801468</v>
      </c>
      <c r="L34" s="44">
        <f>L14/L$19</f>
        <v>0.13955397984977014</v>
      </c>
      <c r="M34" s="44">
        <f>M14/M$19</f>
        <v>0.22089639995687177</v>
      </c>
      <c r="P34" s="44">
        <f ca="1">P14/P$19</f>
        <v>0.1772787735644864</v>
      </c>
      <c r="Q34" s="44">
        <f t="shared" ref="Q34:AA34" ca="1" si="21">Q14/Q$19</f>
        <v>0.28758816279356397</v>
      </c>
      <c r="R34" s="44">
        <f t="shared" ca="1" si="21"/>
        <v>0.19920515786600682</v>
      </c>
      <c r="S34" s="44">
        <f t="shared" ca="1" si="21"/>
        <v>0.23033501859911157</v>
      </c>
      <c r="T34" s="44">
        <f t="shared" ca="1" si="21"/>
        <v>0.22153583457927792</v>
      </c>
      <c r="U34" s="44">
        <f t="shared" ca="1" si="21"/>
        <v>0.17401642299325173</v>
      </c>
      <c r="V34" s="44">
        <f t="shared" ca="1" si="21"/>
        <v>0.16091185142898978</v>
      </c>
      <c r="W34" s="44">
        <f t="shared" ca="1" si="21"/>
        <v>0.14780390071795682</v>
      </c>
      <c r="X34" s="44">
        <f t="shared" ca="1" si="21"/>
        <v>0.14518589695423545</v>
      </c>
      <c r="Y34" s="44">
        <f t="shared" ca="1" si="21"/>
        <v>0.16691574119649191</v>
      </c>
      <c r="Z34" s="44">
        <f t="shared" ca="1" si="21"/>
        <v>0.15997314668745669</v>
      </c>
      <c r="AA34" s="44">
        <f t="shared" ca="1" si="21"/>
        <v>0.17260777620177831</v>
      </c>
      <c r="AD34" s="44">
        <f t="shared" ref="AD34:AO34" ca="1" si="22">AD14/AD$19</f>
        <v>0.2037996741021024</v>
      </c>
      <c r="AE34" s="44">
        <f t="shared" ca="1" si="22"/>
        <v>0.22470375072956197</v>
      </c>
      <c r="AF34" s="44">
        <f t="shared" ca="1" si="22"/>
        <v>0.22053626412302671</v>
      </c>
      <c r="AG34" s="44">
        <f t="shared" ca="1" si="22"/>
        <v>0.25569222390750573</v>
      </c>
      <c r="AH34" s="44">
        <f t="shared" ca="1" si="22"/>
        <v>0.24815210624293074</v>
      </c>
      <c r="AI34" s="44">
        <f t="shared" ca="1" si="22"/>
        <v>0.20372216031245441</v>
      </c>
      <c r="AJ34" s="44">
        <f t="shared" ca="1" si="22"/>
        <v>0.19972172681725378</v>
      </c>
      <c r="AK34" s="44">
        <f t="shared" ca="1" si="22"/>
        <v>0.16422944556895425</v>
      </c>
      <c r="AL34" s="44">
        <f t="shared" ca="1" si="22"/>
        <v>0.19433031493073236</v>
      </c>
      <c r="AM34" s="44">
        <f t="shared" ca="1" si="22"/>
        <v>0.19798785100906199</v>
      </c>
      <c r="AN34" s="44">
        <f t="shared" ca="1" si="22"/>
        <v>0.19635137286729765</v>
      </c>
      <c r="AO34" s="44">
        <f t="shared" ca="1" si="22"/>
        <v>0.19496661471524354</v>
      </c>
    </row>
    <row r="35" spans="1:41">
      <c r="A35" s="11"/>
      <c r="J35" s="139"/>
      <c r="K35" s="139"/>
      <c r="L35" s="139"/>
      <c r="M35" s="139"/>
      <c r="P35" s="139"/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139"/>
      <c r="AN35" s="139"/>
      <c r="AO35" s="139"/>
    </row>
    <row r="36" spans="1:41">
      <c r="A36" s="11" t="s">
        <v>64</v>
      </c>
      <c r="J36" s="44">
        <f>J15/$J$19</f>
        <v>0.4348986574863708</v>
      </c>
      <c r="K36" s="44">
        <f t="shared" ref="K36:M38" si="23">K15/K$19</f>
        <v>0.37798779754826078</v>
      </c>
      <c r="L36" s="44">
        <f t="shared" si="23"/>
        <v>0.46058986087993398</v>
      </c>
      <c r="M36" s="44">
        <f t="shared" si="23"/>
        <v>0.54855221811711175</v>
      </c>
      <c r="P36" s="44">
        <f ca="1">P15/P$19</f>
        <v>0.56883873271814367</v>
      </c>
      <c r="Q36" s="44">
        <f t="shared" ref="Q36:AA36" ca="1" si="24">Q15/Q$19</f>
        <v>0.32936621861310666</v>
      </c>
      <c r="R36" s="44">
        <f t="shared" ca="1" si="24"/>
        <v>0.37139969910025938</v>
      </c>
      <c r="S36" s="44">
        <f t="shared" ca="1" si="24"/>
        <v>0.47334490395515272</v>
      </c>
      <c r="T36" s="44">
        <f t="shared" ca="1" si="24"/>
        <v>0.51951437766731601</v>
      </c>
      <c r="U36" s="44">
        <f t="shared" ca="1" si="24"/>
        <v>0.38159437927021739</v>
      </c>
      <c r="V36" s="44">
        <f t="shared" ca="1" si="24"/>
        <v>0.55905705760947022</v>
      </c>
      <c r="W36" s="44">
        <f t="shared" ca="1" si="24"/>
        <v>0.64037377448074495</v>
      </c>
      <c r="X36" s="44">
        <f t="shared" ca="1" si="24"/>
        <v>0.43252266040339354</v>
      </c>
      <c r="Y36" s="44">
        <f t="shared" ca="1" si="24"/>
        <v>0.41000706042800139</v>
      </c>
      <c r="Z36" s="44">
        <f t="shared" ca="1" si="24"/>
        <v>0.63850695331288254</v>
      </c>
      <c r="AA36" s="44">
        <f t="shared" ca="1" si="24"/>
        <v>0.60896163500953027</v>
      </c>
      <c r="AD36" s="44">
        <f t="shared" ref="AD36:AO36" ca="1" si="25">AD15/AD$19</f>
        <v>0.62746155757037803</v>
      </c>
      <c r="AE36" s="44">
        <f t="shared" ca="1" si="25"/>
        <v>0.43713417494177481</v>
      </c>
      <c r="AF36" s="44">
        <f t="shared" ca="1" si="25"/>
        <v>0.46497281643159144</v>
      </c>
      <c r="AG36" s="44">
        <f t="shared" ca="1" si="25"/>
        <v>0.53533336690744748</v>
      </c>
      <c r="AH36" s="44">
        <f t="shared" ca="1" si="25"/>
        <v>0.56079306073001933</v>
      </c>
      <c r="AI36" s="44">
        <f t="shared" ca="1" si="25"/>
        <v>0.43049360883882221</v>
      </c>
      <c r="AJ36" s="44">
        <f t="shared" ca="1" si="25"/>
        <v>0.60857625028800943</v>
      </c>
      <c r="AK36" s="44">
        <f t="shared" ca="1" si="25"/>
        <v>0.65978720776696398</v>
      </c>
      <c r="AL36" s="44">
        <f t="shared" ca="1" si="25"/>
        <v>0.46286186152956654</v>
      </c>
      <c r="AM36" s="44">
        <f t="shared" ca="1" si="25"/>
        <v>0.46168556512621406</v>
      </c>
      <c r="AN36" s="44">
        <f t="shared" ca="1" si="25"/>
        <v>0.66143016253309572</v>
      </c>
      <c r="AO36" s="44">
        <f t="shared" ca="1" si="25"/>
        <v>0.64037909100530332</v>
      </c>
    </row>
    <row r="37" spans="1:41">
      <c r="A37" s="11" t="s">
        <v>211</v>
      </c>
      <c r="J37" s="44">
        <f>J16/$J$19</f>
        <v>0</v>
      </c>
      <c r="K37" s="44">
        <f t="shared" si="23"/>
        <v>0</v>
      </c>
      <c r="L37" s="44">
        <f t="shared" si="23"/>
        <v>0</v>
      </c>
      <c r="M37" s="44">
        <f t="shared" si="23"/>
        <v>0</v>
      </c>
      <c r="P37" s="44">
        <f ca="1">P16/P$19</f>
        <v>0</v>
      </c>
      <c r="Q37" s="44">
        <f t="shared" ref="Q37:AA37" ca="1" si="26">Q16/Q$19</f>
        <v>0</v>
      </c>
      <c r="R37" s="44">
        <f t="shared" ca="1" si="26"/>
        <v>0</v>
      </c>
      <c r="S37" s="44">
        <f t="shared" ca="1" si="26"/>
        <v>0</v>
      </c>
      <c r="T37" s="44">
        <f t="shared" ca="1" si="26"/>
        <v>0</v>
      </c>
      <c r="U37" s="44">
        <f t="shared" ca="1" si="26"/>
        <v>0</v>
      </c>
      <c r="V37" s="44">
        <f t="shared" ca="1" si="26"/>
        <v>0</v>
      </c>
      <c r="W37" s="44">
        <f t="shared" ca="1" si="26"/>
        <v>0</v>
      </c>
      <c r="X37" s="44">
        <f t="shared" ca="1" si="26"/>
        <v>0</v>
      </c>
      <c r="Y37" s="44">
        <f t="shared" ca="1" si="26"/>
        <v>0</v>
      </c>
      <c r="Z37" s="44">
        <f t="shared" ca="1" si="26"/>
        <v>0</v>
      </c>
      <c r="AA37" s="44">
        <f t="shared" ca="1" si="26"/>
        <v>0</v>
      </c>
      <c r="AD37" s="44">
        <f t="shared" ref="AD37:AO37" ca="1" si="27">AD16/AD$19</f>
        <v>0</v>
      </c>
      <c r="AE37" s="44">
        <f t="shared" ca="1" si="27"/>
        <v>0</v>
      </c>
      <c r="AF37" s="44">
        <f t="shared" ca="1" si="27"/>
        <v>0</v>
      </c>
      <c r="AG37" s="44">
        <f t="shared" ca="1" si="27"/>
        <v>0</v>
      </c>
      <c r="AH37" s="44">
        <f t="shared" ca="1" si="27"/>
        <v>0</v>
      </c>
      <c r="AI37" s="44">
        <f t="shared" ca="1" si="27"/>
        <v>0</v>
      </c>
      <c r="AJ37" s="44">
        <f t="shared" ca="1" si="27"/>
        <v>0</v>
      </c>
      <c r="AK37" s="44">
        <f t="shared" ca="1" si="27"/>
        <v>0</v>
      </c>
      <c r="AL37" s="44">
        <f t="shared" ca="1" si="27"/>
        <v>0</v>
      </c>
      <c r="AM37" s="44">
        <f t="shared" ca="1" si="27"/>
        <v>0</v>
      </c>
      <c r="AN37" s="44">
        <f t="shared" ca="1" si="27"/>
        <v>0</v>
      </c>
      <c r="AO37" s="44">
        <f t="shared" ca="1" si="27"/>
        <v>0</v>
      </c>
    </row>
    <row r="38" spans="1:41">
      <c r="A38" s="11" t="s">
        <v>67</v>
      </c>
      <c r="J38" s="44">
        <f>J17/$J$19</f>
        <v>2.8448732302991619E-2</v>
      </c>
      <c r="K38" s="44">
        <f t="shared" si="23"/>
        <v>1.5586670896634272E-2</v>
      </c>
      <c r="L38" s="44">
        <f t="shared" si="23"/>
        <v>0.19497650772247052</v>
      </c>
      <c r="M38" s="44">
        <f t="shared" si="23"/>
        <v>5.0109410717984082E-2</v>
      </c>
      <c r="P38" s="44">
        <f ca="1">P17/P$19</f>
        <v>5.6284781069412711E-3</v>
      </c>
      <c r="Q38" s="44">
        <f t="shared" ref="Q38:AA38" ca="1" si="28">Q17/Q$19</f>
        <v>3.084231130454217E-2</v>
      </c>
      <c r="R38" s="44">
        <f t="shared" ca="1" si="28"/>
        <v>8.1798354070002702E-2</v>
      </c>
      <c r="S38" s="44">
        <f t="shared" ca="1" si="28"/>
        <v>8.3353786068959518E-2</v>
      </c>
      <c r="T38" s="44">
        <f t="shared" ca="1" si="28"/>
        <v>5.9880314188676911E-2</v>
      </c>
      <c r="U38" s="44">
        <f t="shared" ca="1" si="28"/>
        <v>3.0622462717708004E-2</v>
      </c>
      <c r="V38" s="44">
        <f t="shared" ca="1" si="28"/>
        <v>6.3961201772270479E-2</v>
      </c>
      <c r="W38" s="44">
        <f t="shared" ca="1" si="28"/>
        <v>6.0508108272888411E-2</v>
      </c>
      <c r="X38" s="44">
        <f t="shared" ca="1" si="28"/>
        <v>2.5039829236348548E-2</v>
      </c>
      <c r="Y38" s="44">
        <f t="shared" ca="1" si="28"/>
        <v>1.230458830983114E-2</v>
      </c>
      <c r="Z38" s="44">
        <f t="shared" ca="1" si="28"/>
        <v>8.4166629901723106E-3</v>
      </c>
      <c r="AA38" s="44">
        <f t="shared" ca="1" si="28"/>
        <v>1.6335214849274797E-2</v>
      </c>
      <c r="AD38" s="44">
        <f t="shared" ref="AD38:AO38" ca="1" si="29">AD17/AD$19</f>
        <v>3.669900682976469E-3</v>
      </c>
      <c r="AE38" s="44">
        <f t="shared" ca="1" si="29"/>
        <v>1.616984008736861E-2</v>
      </c>
      <c r="AF38" s="44">
        <f t="shared" ca="1" si="29"/>
        <v>5.7834804703919371E-2</v>
      </c>
      <c r="AG38" s="44">
        <f t="shared" ca="1" si="29"/>
        <v>4.9652173538827296E-2</v>
      </c>
      <c r="AH38" s="44">
        <f t="shared" ca="1" si="29"/>
        <v>4.0707296009535612E-2</v>
      </c>
      <c r="AI38" s="44">
        <f t="shared" ca="1" si="29"/>
        <v>1.8927669070609693E-2</v>
      </c>
      <c r="AJ38" s="44">
        <f t="shared" ca="1" si="29"/>
        <v>4.0128154464362291E-2</v>
      </c>
      <c r="AK38" s="44">
        <f t="shared" ca="1" si="29"/>
        <v>5.9587440636760081E-2</v>
      </c>
      <c r="AL38" s="44">
        <f t="shared" ca="1" si="29"/>
        <v>1.3136847745045919E-2</v>
      </c>
      <c r="AM38" s="44">
        <f t="shared" ca="1" si="29"/>
        <v>1.1918146875489829E-2</v>
      </c>
      <c r="AN38" s="44">
        <f t="shared" ca="1" si="29"/>
        <v>5.6563222582812636E-3</v>
      </c>
      <c r="AO38" s="44">
        <f t="shared" ca="1" si="29"/>
        <v>1.1701319591774893E-2</v>
      </c>
    </row>
    <row r="39" spans="1:41">
      <c r="A39" s="267" t="s">
        <v>214</v>
      </c>
      <c r="J39" s="268">
        <f>J30+J34+J36+J37+J38</f>
        <v>1</v>
      </c>
      <c r="K39" s="268">
        <f t="shared" ref="K39:M39" si="30">K30+K34+K36+K37+K38</f>
        <v>0.99999999999999989</v>
      </c>
      <c r="L39" s="268">
        <f t="shared" si="30"/>
        <v>1</v>
      </c>
      <c r="M39" s="268">
        <f t="shared" si="30"/>
        <v>1</v>
      </c>
      <c r="P39" s="268">
        <f t="shared" ref="P39" ca="1" si="31">P30+P34+P36+P37+P38</f>
        <v>0.99999999999999989</v>
      </c>
      <c r="Q39" s="268">
        <f t="shared" ref="Q39" ca="1" si="32">Q30+Q34+Q36+Q37+Q38</f>
        <v>1</v>
      </c>
      <c r="R39" s="268">
        <f t="shared" ref="R39" ca="1" si="33">R30+R34+R36+R37+R38</f>
        <v>1</v>
      </c>
      <c r="S39" s="268">
        <f t="shared" ref="S39" ca="1" si="34">S30+S34+S36+S37+S38</f>
        <v>1</v>
      </c>
      <c r="T39" s="268">
        <f t="shared" ref="T39" ca="1" si="35">T30+T34+T36+T37+T38</f>
        <v>1</v>
      </c>
      <c r="U39" s="268">
        <f t="shared" ref="U39" ca="1" si="36">U30+U34+U36+U37+U38</f>
        <v>1.0000000000000002</v>
      </c>
      <c r="V39" s="268">
        <f t="shared" ref="V39" ca="1" si="37">V30+V34+V36+V37+V38</f>
        <v>0.99999999999999989</v>
      </c>
      <c r="W39" s="268">
        <f t="shared" ref="W39" ca="1" si="38">W30+W34+W36+W37+W38</f>
        <v>1</v>
      </c>
      <c r="X39" s="268">
        <f t="shared" ref="X39" ca="1" si="39">X30+X34+X36+X37+X38</f>
        <v>1</v>
      </c>
      <c r="Y39" s="268">
        <f t="shared" ref="Y39" ca="1" si="40">Y30+Y34+Y36+Y37+Y38</f>
        <v>1.0000000000000002</v>
      </c>
      <c r="Z39" s="268">
        <f t="shared" ref="Z39" ca="1" si="41">Z30+Z34+Z36+Z37+Z38</f>
        <v>1.0000000000000002</v>
      </c>
      <c r="AA39" s="268">
        <f t="shared" ref="AA39" ca="1" si="42">AA30+AA34+AA36+AA37+AA38</f>
        <v>1</v>
      </c>
      <c r="AD39" s="268">
        <f t="shared" ref="AD39" ca="1" si="43">AD30+AD34+AD36+AD37+AD38</f>
        <v>1</v>
      </c>
      <c r="AE39" s="268">
        <f t="shared" ref="AE39" ca="1" si="44">AE30+AE34+AE36+AE37+AE38</f>
        <v>0.99999999999999978</v>
      </c>
      <c r="AF39" s="268">
        <f t="shared" ref="AF39" ca="1" si="45">AF30+AF34+AF36+AF37+AF38</f>
        <v>0.99999999999999989</v>
      </c>
      <c r="AG39" s="268">
        <f t="shared" ref="AG39" ca="1" si="46">AG30+AG34+AG36+AG37+AG38</f>
        <v>1</v>
      </c>
      <c r="AH39" s="268">
        <f t="shared" ref="AH39" ca="1" si="47">AH30+AH34+AH36+AH37+AH38</f>
        <v>1</v>
      </c>
      <c r="AI39" s="268">
        <f t="shared" ref="AI39" ca="1" si="48">AI30+AI34+AI36+AI37+AI38</f>
        <v>1</v>
      </c>
      <c r="AJ39" s="268">
        <f t="shared" ref="AJ39" ca="1" si="49">AJ30+AJ34+AJ36+AJ37+AJ38</f>
        <v>1</v>
      </c>
      <c r="AK39" s="268">
        <f t="shared" ref="AK39" ca="1" si="50">AK30+AK34+AK36+AK37+AK38</f>
        <v>1</v>
      </c>
      <c r="AL39" s="268">
        <f t="shared" ref="AL39" ca="1" si="51">AL30+AL34+AL36+AL37+AL38</f>
        <v>0.99999999999999978</v>
      </c>
      <c r="AM39" s="268">
        <f t="shared" ref="AM39" ca="1" si="52">AM30+AM34+AM36+AM37+AM38</f>
        <v>1</v>
      </c>
      <c r="AN39" s="268">
        <f t="shared" ref="AN39" ca="1" si="53">AN30+AN34+AN36+AN37+AN38</f>
        <v>1</v>
      </c>
      <c r="AO39" s="268">
        <f t="shared" ref="AO39" ca="1" si="54">AO30+AO34+AO36+AO37+AO38</f>
        <v>1</v>
      </c>
    </row>
    <row r="41" spans="1:41">
      <c r="A41" s="266" t="s">
        <v>215</v>
      </c>
    </row>
    <row r="42" spans="1:41">
      <c r="A42" s="13" t="s">
        <v>72</v>
      </c>
      <c r="J42" s="269">
        <v>0.17033968544858041</v>
      </c>
      <c r="K42" s="269">
        <v>0.18523859825577091</v>
      </c>
      <c r="L42" s="269">
        <v>0.20332045523314571</v>
      </c>
      <c r="M42" s="269">
        <v>0.20171766490685655</v>
      </c>
      <c r="P42" s="269">
        <v>0.2043694427052701</v>
      </c>
      <c r="Q42" s="269">
        <v>0.2041995240558416</v>
      </c>
      <c r="R42" s="269">
        <v>0.20876571538854349</v>
      </c>
      <c r="S42" s="269">
        <v>0.19604026548801715</v>
      </c>
      <c r="T42" s="269">
        <v>0.2710440137635583</v>
      </c>
      <c r="U42" s="269">
        <v>0.14841253578316763</v>
      </c>
      <c r="V42" s="269">
        <v>0.15470451637423865</v>
      </c>
      <c r="W42" s="269">
        <v>0.21802662639196183</v>
      </c>
      <c r="X42" s="269">
        <v>0.18277858507151007</v>
      </c>
      <c r="Y42" s="269">
        <v>0.19626661514709495</v>
      </c>
      <c r="Z42" s="269">
        <v>0.23820895923505997</v>
      </c>
      <c r="AA42" s="269">
        <v>0.24361202160045134</v>
      </c>
      <c r="AD42" s="269">
        <v>0.28195108210924974</v>
      </c>
      <c r="AE42" s="269">
        <v>0.23048289264267102</v>
      </c>
      <c r="AF42" s="269">
        <v>0.26486347325663234</v>
      </c>
      <c r="AG42" s="269">
        <v>0.19294531366847661</v>
      </c>
      <c r="AH42" s="269">
        <v>0.35285302306604233</v>
      </c>
      <c r="AI42" s="269">
        <v>0.18082432644318686</v>
      </c>
      <c r="AJ42" s="269">
        <v>0.22586434500916377</v>
      </c>
      <c r="AK42" s="269">
        <v>0.20194136495506471</v>
      </c>
      <c r="AL42" s="269">
        <v>0.20840838860448729</v>
      </c>
      <c r="AM42" s="269">
        <v>0.21232663193102844</v>
      </c>
      <c r="AN42" s="269">
        <v>0.19013332391726678</v>
      </c>
      <c r="AO42" s="269">
        <v>0.21449381798646402</v>
      </c>
    </row>
    <row r="43" spans="1:41">
      <c r="A43" s="13" t="s">
        <v>71</v>
      </c>
      <c r="J43" s="269">
        <v>0.31036759068775854</v>
      </c>
      <c r="K43" s="269">
        <v>0.24515054593960223</v>
      </c>
      <c r="L43" s="269">
        <v>0.23215326137915407</v>
      </c>
      <c r="M43" s="269">
        <v>0.2623717588137755</v>
      </c>
      <c r="P43" s="269">
        <v>0.21667159333785302</v>
      </c>
      <c r="Q43" s="269">
        <v>0.2362095092302525</v>
      </c>
      <c r="R43" s="269">
        <v>0.27048327879025924</v>
      </c>
      <c r="S43" s="269">
        <v>0.26104573165252259</v>
      </c>
      <c r="T43" s="269">
        <v>0.26973007359804524</v>
      </c>
      <c r="U43" s="269">
        <v>0.27297247670128227</v>
      </c>
      <c r="V43" s="269">
        <v>0.3538437113619074</v>
      </c>
      <c r="W43" s="269">
        <v>0.28897494592270306</v>
      </c>
      <c r="X43" s="269">
        <v>0.30988479047227613</v>
      </c>
      <c r="Y43" s="269">
        <v>0.23470104309892426</v>
      </c>
      <c r="Z43" s="269">
        <v>0.19659752723438981</v>
      </c>
      <c r="AA43" s="269">
        <v>0.2312123987426242</v>
      </c>
      <c r="AD43" s="269">
        <v>0.20045205477565878</v>
      </c>
      <c r="AE43" s="269">
        <v>0.20518472533464291</v>
      </c>
      <c r="AF43" s="269">
        <v>0.19936466525852573</v>
      </c>
      <c r="AG43" s="269">
        <v>0.176911612621871</v>
      </c>
      <c r="AH43" s="269">
        <v>0.24098836688110556</v>
      </c>
      <c r="AI43" s="269">
        <v>0.23778777874081253</v>
      </c>
      <c r="AJ43" s="269">
        <v>0.32889110487494494</v>
      </c>
      <c r="AK43" s="269">
        <v>0.17704570679438383</v>
      </c>
      <c r="AL43" s="269">
        <v>0.2428889330567344</v>
      </c>
      <c r="AM43" s="269">
        <v>0.17653715752022656</v>
      </c>
      <c r="AN43" s="269">
        <v>0.11100202495676678</v>
      </c>
      <c r="AO43" s="269">
        <v>0.13455706966632924</v>
      </c>
    </row>
    <row r="44" spans="1:41">
      <c r="A44" s="13" t="s">
        <v>70</v>
      </c>
      <c r="J44" s="269">
        <v>0.25615232473347221</v>
      </c>
      <c r="K44" s="269">
        <v>0.28497401916855997</v>
      </c>
      <c r="L44" s="269">
        <v>0.23448651253922778</v>
      </c>
      <c r="M44" s="269">
        <v>0.20321720951035804</v>
      </c>
      <c r="P44" s="269">
        <v>0.15756566475927036</v>
      </c>
      <c r="Q44" s="269">
        <v>0.19546807417063908</v>
      </c>
      <c r="R44" s="269">
        <v>0.22055691834740093</v>
      </c>
      <c r="S44" s="269">
        <v>0.2446720306690528</v>
      </c>
      <c r="T44" s="269">
        <v>0.18710309259264934</v>
      </c>
      <c r="U44" s="269">
        <v>0.25400147269194734</v>
      </c>
      <c r="V44" s="269">
        <v>0.20547892843534649</v>
      </c>
      <c r="W44" s="269">
        <v>0.17914836481390439</v>
      </c>
      <c r="X44" s="269">
        <v>0.25916336726450678</v>
      </c>
      <c r="Y44" s="269">
        <v>0.28491185560160481</v>
      </c>
      <c r="Z44" s="269">
        <v>0.2319999628869126</v>
      </c>
      <c r="AA44" s="269">
        <v>0.18879234661909372</v>
      </c>
      <c r="AD44" s="269">
        <v>0.10985057431850884</v>
      </c>
      <c r="AE44" s="269">
        <v>0.11329653365628119</v>
      </c>
      <c r="AF44" s="269">
        <v>0.14619911832033045</v>
      </c>
      <c r="AG44" s="269">
        <v>0.11624438722561095</v>
      </c>
      <c r="AH44" s="269">
        <v>0.13415289173092962</v>
      </c>
      <c r="AI44" s="269">
        <v>0.14535489487437062</v>
      </c>
      <c r="AJ44" s="269">
        <v>0.16357649756558404</v>
      </c>
      <c r="AK44" s="269">
        <v>8.828357815537706E-2</v>
      </c>
      <c r="AL44" s="269">
        <v>0.1356527631984708</v>
      </c>
      <c r="AM44" s="269">
        <v>0.14378998010794675</v>
      </c>
      <c r="AN44" s="269">
        <v>0.11056530049788853</v>
      </c>
      <c r="AO44" s="269">
        <v>9.7604751059228098E-2</v>
      </c>
    </row>
    <row r="45" spans="1:41">
      <c r="A45" s="13" t="s">
        <v>68</v>
      </c>
      <c r="J45" s="269">
        <v>0.26314039913018894</v>
      </c>
      <c r="K45" s="269">
        <v>0.28463683663606698</v>
      </c>
      <c r="L45" s="269">
        <v>0.33003977084847236</v>
      </c>
      <c r="M45" s="269">
        <v>0.3326933667690099</v>
      </c>
      <c r="P45" s="269">
        <v>0.32902215658179546</v>
      </c>
      <c r="Q45" s="269">
        <v>0.3384936574497443</v>
      </c>
      <c r="R45" s="269">
        <v>0.26958588532041294</v>
      </c>
      <c r="S45" s="269">
        <v>0.22507863708019701</v>
      </c>
      <c r="T45" s="269">
        <v>0.22936702832365119</v>
      </c>
      <c r="U45" s="269">
        <v>0.2874405482721642</v>
      </c>
      <c r="V45" s="269">
        <v>0.25886553806093116</v>
      </c>
      <c r="W45" s="269">
        <v>0.2439134801699788</v>
      </c>
      <c r="X45" s="269">
        <v>0.22863908873906036</v>
      </c>
      <c r="Y45" s="269">
        <v>0.26230258247116567</v>
      </c>
      <c r="Z45" s="269">
        <v>0.28992424732740146</v>
      </c>
      <c r="AA45" s="269">
        <v>0.29515645426990655</v>
      </c>
      <c r="AD45" s="269">
        <v>0.28738220039247442</v>
      </c>
      <c r="AE45" s="269">
        <v>0.26190935492609013</v>
      </c>
      <c r="AF45" s="269">
        <v>0.17195870747994374</v>
      </c>
      <c r="AG45" s="269">
        <v>0.13379928424703647</v>
      </c>
      <c r="AH45" s="269">
        <v>0.18238765303997728</v>
      </c>
      <c r="AI45" s="269">
        <v>0.220393638650587</v>
      </c>
      <c r="AJ45" s="269">
        <v>0.21598886345404128</v>
      </c>
      <c r="AK45" s="269">
        <v>0.12839472377637912</v>
      </c>
      <c r="AL45" s="269">
        <v>0.15714397573551242</v>
      </c>
      <c r="AM45" s="269">
        <v>0.17116121634632189</v>
      </c>
      <c r="AN45" s="269">
        <v>0.14815669292987119</v>
      </c>
      <c r="AO45" s="269">
        <v>0.15487805263114507</v>
      </c>
    </row>
    <row r="46" spans="1:41">
      <c r="A46" s="11" t="s">
        <v>66</v>
      </c>
      <c r="J46" s="270">
        <v>0.30048602703844923</v>
      </c>
      <c r="K46" s="270">
        <v>0.26353212222980477</v>
      </c>
      <c r="L46" s="270">
        <v>0.167692001719244</v>
      </c>
      <c r="M46" s="270">
        <v>0.19047707618269397</v>
      </c>
      <c r="P46" s="270">
        <v>0.22302560077018291</v>
      </c>
      <c r="Q46" s="270">
        <v>0.37212684789796291</v>
      </c>
      <c r="R46" s="270">
        <v>0.42451504903033649</v>
      </c>
      <c r="S46" s="270">
        <v>0.2679774031172712</v>
      </c>
      <c r="T46" s="270">
        <v>0.31227207159536252</v>
      </c>
      <c r="U46" s="270">
        <v>0.35460342828404834</v>
      </c>
      <c r="V46" s="270">
        <v>0.39246559645857099</v>
      </c>
      <c r="W46" s="270">
        <v>0.22439691472289444</v>
      </c>
      <c r="X46" s="270">
        <v>0.40154623823091634</v>
      </c>
      <c r="Y46" s="270">
        <v>0.40643153821652617</v>
      </c>
      <c r="Z46" s="270">
        <v>0.24331647114265176</v>
      </c>
      <c r="AA46" s="270">
        <v>0.25177956076813807</v>
      </c>
      <c r="AD46" s="270">
        <v>0.19653981986140545</v>
      </c>
      <c r="AE46" s="270">
        <v>0.35926130584276628</v>
      </c>
      <c r="AF46" s="270">
        <v>0.35631221148981135</v>
      </c>
      <c r="AG46" s="270">
        <v>0.2469022618657486</v>
      </c>
      <c r="AH46" s="270">
        <v>0.26475096846296009</v>
      </c>
      <c r="AI46" s="270">
        <v>0.32268285762730575</v>
      </c>
      <c r="AJ46" s="270">
        <v>0.32839246583567866</v>
      </c>
      <c r="AK46" s="270">
        <v>0.24179867418583673</v>
      </c>
      <c r="AL46" s="270">
        <v>0.37861258287880745</v>
      </c>
      <c r="AM46" s="270">
        <v>0.43821137948841066</v>
      </c>
      <c r="AN46" s="270">
        <v>0.26951340100432525</v>
      </c>
      <c r="AO46" s="270">
        <v>0.26730359153951677</v>
      </c>
    </row>
    <row r="47" spans="1:41">
      <c r="A47" s="11"/>
      <c r="J47" s="269"/>
      <c r="K47" s="269"/>
      <c r="L47" s="269"/>
      <c r="M47" s="269"/>
      <c r="P47" s="269"/>
      <c r="Q47" s="269"/>
      <c r="R47" s="269"/>
      <c r="S47" s="269"/>
      <c r="T47" s="269"/>
      <c r="U47" s="269"/>
      <c r="V47" s="269"/>
      <c r="W47" s="269"/>
      <c r="X47" s="269"/>
      <c r="Y47" s="269"/>
      <c r="Z47" s="269"/>
      <c r="AA47" s="269"/>
      <c r="AD47" s="269"/>
      <c r="AE47" s="269"/>
      <c r="AF47" s="269"/>
      <c r="AG47" s="269"/>
      <c r="AH47" s="269"/>
      <c r="AI47" s="269"/>
      <c r="AJ47" s="269"/>
      <c r="AK47" s="269"/>
      <c r="AL47" s="269"/>
      <c r="AM47" s="269"/>
      <c r="AN47" s="269"/>
      <c r="AO47" s="269"/>
    </row>
    <row r="48" spans="1:41">
      <c r="A48" s="13" t="s">
        <v>69</v>
      </c>
      <c r="J48" s="269">
        <v>0.14922969755323015</v>
      </c>
      <c r="K48" s="269">
        <v>0.1307915747543161</v>
      </c>
      <c r="L48" s="269">
        <v>0.12252758882581241</v>
      </c>
      <c r="M48" s="269">
        <v>0.12951478124992674</v>
      </c>
      <c r="P48" s="269">
        <v>0.45512978886589733</v>
      </c>
      <c r="Q48" s="269">
        <v>0.49590057121598746</v>
      </c>
      <c r="R48" s="269">
        <v>0.5729065265412322</v>
      </c>
      <c r="S48" s="269">
        <v>0.40404428645899859</v>
      </c>
      <c r="T48" s="269">
        <v>0.53520816545555761</v>
      </c>
      <c r="U48" s="269">
        <v>0.51311442792915973</v>
      </c>
      <c r="V48" s="269">
        <v>0.52201159331192415</v>
      </c>
      <c r="W48" s="269">
        <v>0.66584266485159149</v>
      </c>
      <c r="X48" s="269">
        <v>0.38077113717287164</v>
      </c>
      <c r="Y48" s="269">
        <v>0.40057913768272846</v>
      </c>
      <c r="Z48" s="269">
        <v>0.42824537948333158</v>
      </c>
      <c r="AA48" s="269">
        <v>0.43437395442247467</v>
      </c>
      <c r="AD48" s="269">
        <v>0.34714283163593296</v>
      </c>
      <c r="AE48" s="269">
        <v>0.18800400694484559</v>
      </c>
      <c r="AF48" s="269">
        <v>0.21173533311234799</v>
      </c>
      <c r="AG48" s="269">
        <v>0.18869177707563353</v>
      </c>
      <c r="AH48" s="269">
        <v>0.60680358912185794</v>
      </c>
      <c r="AI48" s="269">
        <v>0.27903951124134896</v>
      </c>
      <c r="AJ48" s="269">
        <v>0.31537080940420487</v>
      </c>
      <c r="AK48" s="269">
        <v>0.18667007028603122</v>
      </c>
      <c r="AL48" s="269">
        <v>0.13743929259817037</v>
      </c>
      <c r="AM48" s="269">
        <v>0.1240333006430293</v>
      </c>
      <c r="AN48" s="269">
        <v>0.11603935878472686</v>
      </c>
      <c r="AO48" s="269">
        <v>0.12992718081964588</v>
      </c>
    </row>
    <row r="49" spans="1:42">
      <c r="A49" s="13" t="s">
        <v>73</v>
      </c>
      <c r="J49" s="269">
        <v>0.10528373803469764</v>
      </c>
      <c r="K49" s="269">
        <v>7.4928282795024559E-2</v>
      </c>
      <c r="L49" s="269">
        <v>3.4852879495335873E-2</v>
      </c>
      <c r="M49" s="269">
        <v>0.18065223190706259</v>
      </c>
      <c r="P49" s="269">
        <v>0.48864663002498215</v>
      </c>
      <c r="Q49" s="269">
        <v>0.45297864700858137</v>
      </c>
      <c r="R49" s="269">
        <v>0.38146904279850774</v>
      </c>
      <c r="S49" s="269">
        <v>0.53097283547202823</v>
      </c>
      <c r="T49" s="269">
        <v>0.44787653681745915</v>
      </c>
      <c r="U49" s="269">
        <v>0.43092573747206991</v>
      </c>
      <c r="V49" s="269">
        <v>0.46100273867059754</v>
      </c>
      <c r="W49" s="269">
        <v>0.23757582063540728</v>
      </c>
      <c r="X49" s="269">
        <v>0.59280309182892321</v>
      </c>
      <c r="Y49" s="269">
        <v>0.56710566547212227</v>
      </c>
      <c r="Z49" s="269">
        <v>0.5336453424827855</v>
      </c>
      <c r="AA49" s="269">
        <v>0.53100160060633639</v>
      </c>
      <c r="AD49" s="269">
        <v>0.61182240257405796</v>
      </c>
      <c r="AE49" s="269">
        <v>0.29108183065582355</v>
      </c>
      <c r="AF49" s="269">
        <v>0.16176511163938811</v>
      </c>
      <c r="AG49" s="269">
        <v>0.32557810914135543</v>
      </c>
      <c r="AH49" s="269">
        <v>0.78048530492761214</v>
      </c>
      <c r="AI49" s="269">
        <v>0.27865137983835542</v>
      </c>
      <c r="AJ49" s="269">
        <v>0.39601630708879665</v>
      </c>
      <c r="AK49" s="269">
        <v>0.12665127858096292</v>
      </c>
      <c r="AL49" s="269">
        <v>0.21814928767720954</v>
      </c>
      <c r="AM49" s="269">
        <v>0.20759803860214665</v>
      </c>
      <c r="AN49" s="269">
        <v>0.19850961012652971</v>
      </c>
      <c r="AO49" s="269">
        <v>0.21587207946233725</v>
      </c>
    </row>
    <row r="50" spans="1:42">
      <c r="A50" s="11" t="s">
        <v>65</v>
      </c>
      <c r="J50" s="270">
        <v>0.26940397857272264</v>
      </c>
      <c r="K50" s="270">
        <v>0.28825531426448386</v>
      </c>
      <c r="L50" s="270">
        <v>0.33855397071728738</v>
      </c>
      <c r="M50" s="270">
        <v>0.32868372334988505</v>
      </c>
      <c r="P50" s="270">
        <v>0.13860340828866546</v>
      </c>
      <c r="Q50" s="270">
        <v>0.11477753298031822</v>
      </c>
      <c r="R50" s="270">
        <v>9.0362527254787967E-2</v>
      </c>
      <c r="S50" s="270">
        <v>0.13408401611417228</v>
      </c>
      <c r="T50" s="270">
        <v>0.18612193742364755</v>
      </c>
      <c r="U50" s="270">
        <v>0.12852725709175369</v>
      </c>
      <c r="V50" s="270">
        <v>0.10433195702454219</v>
      </c>
      <c r="W50" s="270">
        <v>7.8944949013902643E-2</v>
      </c>
      <c r="X50" s="270">
        <v>0.10198044041437219</v>
      </c>
      <c r="Y50" s="270">
        <v>0.10340459336546229</v>
      </c>
      <c r="Z50" s="270">
        <v>9.7423220633831173E-2</v>
      </c>
      <c r="AA50" s="270">
        <v>9.0918683317616503E-2</v>
      </c>
      <c r="AD50" s="270">
        <v>0.11102737366063158</v>
      </c>
      <c r="AE50" s="270">
        <v>0.1302655583382461</v>
      </c>
      <c r="AF50" s="270">
        <v>0.13104568361992855</v>
      </c>
      <c r="AG50" s="270">
        <v>0.1521220060668847</v>
      </c>
      <c r="AH50" s="270">
        <v>8.7784822144599289E-2</v>
      </c>
      <c r="AI50" s="270">
        <v>0.13196962473749235</v>
      </c>
      <c r="AJ50" s="270">
        <v>0.10817018713693696</v>
      </c>
      <c r="AK50" s="270">
        <v>0.14094576891567018</v>
      </c>
      <c r="AL50" s="270">
        <v>0.14263328062348182</v>
      </c>
      <c r="AM50" s="270">
        <v>0.18448479881349336</v>
      </c>
      <c r="AN50" s="270">
        <v>0.16424286277651476</v>
      </c>
      <c r="AO50" s="270">
        <v>0.15412498169328795</v>
      </c>
    </row>
    <row r="51" spans="1:42">
      <c r="A51" s="11"/>
      <c r="J51" s="269"/>
      <c r="K51" s="269"/>
      <c r="L51" s="269"/>
      <c r="M51" s="269"/>
      <c r="P51" s="269"/>
      <c r="Q51" s="269"/>
      <c r="R51" s="269"/>
      <c r="S51" s="269"/>
      <c r="T51" s="269"/>
      <c r="U51" s="269"/>
      <c r="V51" s="269"/>
      <c r="W51" s="269"/>
      <c r="X51" s="269"/>
      <c r="Y51" s="269"/>
      <c r="Z51" s="269"/>
      <c r="AA51" s="269"/>
      <c r="AD51" s="269"/>
      <c r="AE51" s="269"/>
      <c r="AF51" s="269"/>
      <c r="AG51" s="269"/>
      <c r="AH51" s="269"/>
      <c r="AI51" s="269"/>
      <c r="AJ51" s="269"/>
      <c r="AK51" s="269"/>
      <c r="AL51" s="269"/>
      <c r="AM51" s="269"/>
      <c r="AN51" s="269"/>
      <c r="AO51" s="269"/>
    </row>
    <row r="52" spans="1:42">
      <c r="A52" s="11" t="s">
        <v>64</v>
      </c>
      <c r="J52" s="270">
        <v>0.39666756603464165</v>
      </c>
      <c r="K52" s="270">
        <v>0.41751338125681992</v>
      </c>
      <c r="L52" s="270">
        <v>0.45728686944722857</v>
      </c>
      <c r="M52" s="270">
        <v>0.44710160944953375</v>
      </c>
      <c r="P52" s="270">
        <v>0.50751743282077189</v>
      </c>
      <c r="Q52" s="270">
        <v>0.4599094535703448</v>
      </c>
      <c r="R52" s="270">
        <v>0.45534350020121817</v>
      </c>
      <c r="S52" s="270">
        <v>0.54417468360597543</v>
      </c>
      <c r="T52" s="270">
        <v>0.45942083832101566</v>
      </c>
      <c r="U52" s="270">
        <v>0.43381174300294018</v>
      </c>
      <c r="V52" s="270">
        <v>0.43439456775785285</v>
      </c>
      <c r="W52" s="270">
        <v>0.56406225048708047</v>
      </c>
      <c r="X52" s="270">
        <v>0.45092684971205094</v>
      </c>
      <c r="Y52" s="270">
        <v>0.43653481508184094</v>
      </c>
      <c r="Z52" s="270">
        <v>0.59845929850503288</v>
      </c>
      <c r="AA52" s="270">
        <v>0.60282433335845076</v>
      </c>
      <c r="AD52" s="270">
        <v>0.58945527570430079</v>
      </c>
      <c r="AE52" s="270">
        <v>0.41771427101665071</v>
      </c>
      <c r="AF52" s="270">
        <v>0.41783696213490285</v>
      </c>
      <c r="AG52" s="270">
        <v>0.48914530767237369</v>
      </c>
      <c r="AH52" s="270">
        <v>0.60823898500594475</v>
      </c>
      <c r="AI52" s="270">
        <v>0.46040238657201366</v>
      </c>
      <c r="AJ52" s="270">
        <v>0.5049175514676979</v>
      </c>
      <c r="AK52" s="270">
        <v>0.5074981690727377</v>
      </c>
      <c r="AL52" s="270">
        <v>0.36323687551459999</v>
      </c>
      <c r="AM52" s="270">
        <v>0.22287162591895884</v>
      </c>
      <c r="AN52" s="270">
        <v>0.42489564912222583</v>
      </c>
      <c r="AO52" s="270">
        <v>0.45120133291633657</v>
      </c>
    </row>
    <row r="53" spans="1:42">
      <c r="A53" s="11" t="s">
        <v>211</v>
      </c>
      <c r="J53" s="270">
        <v>0</v>
      </c>
      <c r="K53" s="270">
        <v>0</v>
      </c>
      <c r="L53" s="270">
        <v>0</v>
      </c>
      <c r="M53" s="270">
        <v>0</v>
      </c>
      <c r="P53" s="270">
        <v>0</v>
      </c>
      <c r="Q53" s="270">
        <v>0</v>
      </c>
      <c r="R53" s="270">
        <v>0</v>
      </c>
      <c r="S53" s="270">
        <v>0</v>
      </c>
      <c r="T53" s="270">
        <v>0</v>
      </c>
      <c r="U53" s="270">
        <v>0</v>
      </c>
      <c r="V53" s="270">
        <v>0</v>
      </c>
      <c r="W53" s="270">
        <v>0</v>
      </c>
      <c r="X53" s="270">
        <v>0</v>
      </c>
      <c r="Y53" s="270">
        <v>0</v>
      </c>
      <c r="Z53" s="270">
        <v>0</v>
      </c>
      <c r="AA53" s="270">
        <v>0</v>
      </c>
      <c r="AD53" s="270">
        <v>0</v>
      </c>
      <c r="AE53" s="270">
        <v>0</v>
      </c>
      <c r="AF53" s="270">
        <v>0</v>
      </c>
      <c r="AG53" s="270">
        <v>0</v>
      </c>
      <c r="AH53" s="270">
        <v>0</v>
      </c>
      <c r="AI53" s="270">
        <v>0</v>
      </c>
      <c r="AJ53" s="270">
        <v>0</v>
      </c>
      <c r="AK53" s="270">
        <v>0</v>
      </c>
      <c r="AL53" s="270">
        <v>0</v>
      </c>
      <c r="AM53" s="270">
        <v>0</v>
      </c>
      <c r="AN53" s="270">
        <v>0</v>
      </c>
      <c r="AO53" s="270">
        <v>0</v>
      </c>
    </row>
    <row r="54" spans="1:42">
      <c r="A54" s="11" t="s">
        <v>67</v>
      </c>
      <c r="J54" s="270">
        <v>3.3442428354186593E-2</v>
      </c>
      <c r="K54" s="270">
        <v>3.0699182248891444E-2</v>
      </c>
      <c r="L54" s="270">
        <v>3.6467158116239948E-2</v>
      </c>
      <c r="M54" s="270">
        <v>3.3737591017887363E-2</v>
      </c>
      <c r="P54" s="270">
        <v>0.1308535581203796</v>
      </c>
      <c r="Q54" s="270">
        <v>5.3186165551374044E-2</v>
      </c>
      <c r="R54" s="270">
        <v>2.9778923513657324E-2</v>
      </c>
      <c r="S54" s="270">
        <v>5.3763897162581176E-2</v>
      </c>
      <c r="T54" s="270">
        <v>4.2185152659974377E-2</v>
      </c>
      <c r="U54" s="270">
        <v>8.305757162125782E-2</v>
      </c>
      <c r="V54" s="270">
        <v>6.8807878759033964E-2</v>
      </c>
      <c r="W54" s="270">
        <v>0.13259588577612261</v>
      </c>
      <c r="X54" s="270">
        <v>4.5546471642660617E-2</v>
      </c>
      <c r="Y54" s="270">
        <v>5.3629053336170671E-2</v>
      </c>
      <c r="Z54" s="270">
        <v>6.0801009718484234E-2</v>
      </c>
      <c r="AA54" s="270">
        <v>5.447742255579463E-2</v>
      </c>
      <c r="AD54" s="270">
        <v>0.10297753077366217</v>
      </c>
      <c r="AE54" s="270">
        <v>9.2758864802336929E-2</v>
      </c>
      <c r="AF54" s="270">
        <v>9.4805142755357341E-2</v>
      </c>
      <c r="AG54" s="270">
        <v>0.11183042439499316</v>
      </c>
      <c r="AH54" s="270">
        <v>3.9225224386495866E-2</v>
      </c>
      <c r="AI54" s="270">
        <v>8.4945131063188309E-2</v>
      </c>
      <c r="AJ54" s="270">
        <v>5.851979555968638E-2</v>
      </c>
      <c r="AK54" s="270">
        <v>0.10975738782575542</v>
      </c>
      <c r="AL54" s="270">
        <v>0.11551726098311073</v>
      </c>
      <c r="AM54" s="270">
        <v>0.15443219577913719</v>
      </c>
      <c r="AN54" s="270">
        <v>0.14134808709693408</v>
      </c>
      <c r="AO54" s="270">
        <v>0.12737009385085868</v>
      </c>
    </row>
    <row r="55" spans="1:42">
      <c r="A55" s="267" t="s">
        <v>214</v>
      </c>
      <c r="J55" s="268">
        <f>J46+J50+J52+J53+J54</f>
        <v>1</v>
      </c>
      <c r="K55" s="268">
        <f t="shared" ref="K55" si="55">K46+K50+K52+K53+K54</f>
        <v>1</v>
      </c>
      <c r="L55" s="268">
        <f t="shared" ref="L55" si="56">L46+L50+L52+L53+L54</f>
        <v>0.99999999999999978</v>
      </c>
      <c r="M55" s="268">
        <f t="shared" ref="M55" si="57">M46+M50+M52+M53+M54</f>
        <v>1.0000000000000002</v>
      </c>
      <c r="P55" s="268">
        <f t="shared" ref="P55" si="58">P46+P50+P52+P53+P54</f>
        <v>0.99999999999999978</v>
      </c>
      <c r="Q55" s="268">
        <f t="shared" ref="Q55" si="59">Q46+Q50+Q52+Q53+Q54</f>
        <v>0.99999999999999989</v>
      </c>
      <c r="R55" s="268">
        <f t="shared" ref="R55" si="60">R46+R50+R52+R53+R54</f>
        <v>0.99999999999999989</v>
      </c>
      <c r="S55" s="268">
        <f t="shared" ref="S55" si="61">S46+S50+S52+S53+S54</f>
        <v>1</v>
      </c>
      <c r="T55" s="268">
        <f t="shared" ref="T55" si="62">T46+T50+T52+T53+T54</f>
        <v>1.0000000000000002</v>
      </c>
      <c r="U55" s="268">
        <f t="shared" ref="U55" si="63">U46+U50+U52+U53+U54</f>
        <v>1</v>
      </c>
      <c r="V55" s="268">
        <f t="shared" ref="V55" si="64">V46+V50+V52+V53+V54</f>
        <v>0.99999999999999989</v>
      </c>
      <c r="W55" s="268">
        <f t="shared" ref="W55" si="65">W46+W50+W52+W53+W54</f>
        <v>1.0000000000000002</v>
      </c>
      <c r="X55" s="268">
        <f t="shared" ref="X55" si="66">X46+X50+X52+X53+X54</f>
        <v>1</v>
      </c>
      <c r="Y55" s="268">
        <f t="shared" ref="Y55" si="67">Y46+Y50+Y52+Y53+Y54</f>
        <v>1.0000000000000002</v>
      </c>
      <c r="Z55" s="268">
        <f t="shared" ref="Z55" si="68">Z46+Z50+Z52+Z53+Z54</f>
        <v>1</v>
      </c>
      <c r="AA55" s="268">
        <f t="shared" ref="AA55" si="69">AA46+AA50+AA52+AA53+AA54</f>
        <v>1</v>
      </c>
      <c r="AD55" s="268">
        <f t="shared" ref="AD55" si="70">AD46+AD50+AD52+AD53+AD54</f>
        <v>1</v>
      </c>
      <c r="AE55" s="268">
        <f t="shared" ref="AE55" si="71">AE46+AE50+AE52+AE53+AE54</f>
        <v>1</v>
      </c>
      <c r="AF55" s="268">
        <f t="shared" ref="AF55" si="72">AF46+AF50+AF52+AF53+AF54</f>
        <v>1</v>
      </c>
      <c r="AG55" s="268">
        <f t="shared" ref="AG55" si="73">AG46+AG50+AG52+AG53+AG54</f>
        <v>1.0000000000000002</v>
      </c>
      <c r="AH55" s="268">
        <f t="shared" ref="AH55" si="74">AH46+AH50+AH52+AH53+AH54</f>
        <v>1</v>
      </c>
      <c r="AI55" s="268">
        <f t="shared" ref="AI55" si="75">AI46+AI50+AI52+AI53+AI54</f>
        <v>1</v>
      </c>
      <c r="AJ55" s="268">
        <f t="shared" ref="AJ55" si="76">AJ46+AJ50+AJ52+AJ53+AJ54</f>
        <v>0.99999999999999989</v>
      </c>
      <c r="AK55" s="268">
        <f t="shared" ref="AK55" si="77">AK46+AK50+AK52+AK53+AK54</f>
        <v>1</v>
      </c>
      <c r="AL55" s="268">
        <f t="shared" ref="AL55" si="78">AL46+AL50+AL52+AL53+AL54</f>
        <v>1</v>
      </c>
      <c r="AM55" s="268">
        <f t="shared" ref="AM55" si="79">AM46+AM50+AM52+AM53+AM54</f>
        <v>1</v>
      </c>
      <c r="AN55" s="268">
        <f t="shared" ref="AN55" si="80">AN46+AN50+AN52+AN53+AN54</f>
        <v>1</v>
      </c>
      <c r="AO55" s="268">
        <f t="shared" ref="AO55" si="81">AO46+AO50+AO52+AO53+AO54</f>
        <v>1</v>
      </c>
    </row>
    <row r="57" spans="1:42">
      <c r="A57" s="266" t="s">
        <v>216</v>
      </c>
    </row>
    <row r="58" spans="1:42">
      <c r="A58" s="13" t="s">
        <v>72</v>
      </c>
      <c r="J58" s="272">
        <f>(J3*J46)*J42</f>
        <v>-7844.7632963422202</v>
      </c>
      <c r="K58" s="272">
        <f t="shared" ref="K58:M58" si="82">(K3*K46)*K42</f>
        <v>-7504.57434575556</v>
      </c>
      <c r="L58" s="272">
        <f t="shared" si="82"/>
        <v>-4973.1568000663692</v>
      </c>
      <c r="M58" s="272">
        <f t="shared" si="82"/>
        <v>-5605.6196036626361</v>
      </c>
      <c r="P58" s="272">
        <f t="shared" ref="P58:AA58" si="83">(P3*P46)*P42</f>
        <v>-4690.6101602283607</v>
      </c>
      <c r="Q58" s="272">
        <f t="shared" si="83"/>
        <v>-7743.9693457229723</v>
      </c>
      <c r="R58" s="272">
        <f t="shared" si="83"/>
        <v>-9120.3379240776776</v>
      </c>
      <c r="S58" s="272">
        <f t="shared" si="83"/>
        <v>-5616.4620452599356</v>
      </c>
      <c r="T58" s="272">
        <f t="shared" si="83"/>
        <v>-9133.4675438402337</v>
      </c>
      <c r="U58" s="272">
        <f t="shared" si="83"/>
        <v>-5626.4295811174161</v>
      </c>
      <c r="V58" s="272">
        <f t="shared" si="83"/>
        <v>-6551.9007575125488</v>
      </c>
      <c r="W58" s="272">
        <f t="shared" si="83"/>
        <v>-7676.7562115810342</v>
      </c>
      <c r="X58" s="272">
        <f t="shared" si="83"/>
        <v>-7919.9711255937009</v>
      </c>
      <c r="Y58" s="272">
        <f t="shared" si="83"/>
        <v>-8528.1180947639605</v>
      </c>
      <c r="Z58" s="272">
        <f t="shared" si="83"/>
        <v>-6254.4961041488868</v>
      </c>
      <c r="AA58" s="272">
        <f t="shared" si="83"/>
        <v>-6557.5039297552376</v>
      </c>
      <c r="AB58" s="45">
        <f>SUM(P58:AA58)</f>
        <v>-85420.022823601976</v>
      </c>
      <c r="AD58" s="272">
        <f t="shared" ref="AD58:AO58" si="84">(AD3*AD46)*AD42</f>
        <v>-6227.2937370272184</v>
      </c>
      <c r="AE58" s="272">
        <f t="shared" si="84"/>
        <v>-9209.9428847234522</v>
      </c>
      <c r="AF58" s="272">
        <f t="shared" si="84"/>
        <v>-10605.418447076663</v>
      </c>
      <c r="AG58" s="272">
        <f t="shared" si="84"/>
        <v>-5572.5949242521938</v>
      </c>
      <c r="AH58" s="272">
        <f t="shared" si="84"/>
        <v>-11035.151240062793</v>
      </c>
      <c r="AI58" s="272">
        <f t="shared" si="84"/>
        <v>-6825.444226284113</v>
      </c>
      <c r="AJ58" s="272">
        <f t="shared" si="84"/>
        <v>-8761.6873707844461</v>
      </c>
      <c r="AK58" s="272">
        <f t="shared" si="84"/>
        <v>-8519.5340091240196</v>
      </c>
      <c r="AL58" s="272">
        <f t="shared" si="84"/>
        <v>-9320.8845465340037</v>
      </c>
      <c r="AM58" s="272">
        <f t="shared" si="84"/>
        <v>-10883.943877255939</v>
      </c>
      <c r="AN58" s="272">
        <f t="shared" si="84"/>
        <v>-6053.2065692196893</v>
      </c>
      <c r="AO58" s="272">
        <f t="shared" si="84"/>
        <v>-6706.8369076197068</v>
      </c>
      <c r="AP58" s="45">
        <f>SUM(AD58:AO58)</f>
        <v>-99721.938739964244</v>
      </c>
    </row>
    <row r="59" spans="1:42">
      <c r="A59" s="13" t="s">
        <v>71</v>
      </c>
      <c r="J59" s="272">
        <f>(J3*J46)*J43</f>
        <v>-14293.55864659303</v>
      </c>
      <c r="K59" s="272">
        <f t="shared" ref="K59:M59" si="85">(K3*K46)*K43</f>
        <v>-9931.7880572927152</v>
      </c>
      <c r="L59" s="272">
        <f t="shared" si="85"/>
        <v>-5678.3985121488686</v>
      </c>
      <c r="M59" s="272">
        <f t="shared" si="85"/>
        <v>-7291.1625034578356</v>
      </c>
      <c r="P59" s="272">
        <f t="shared" ref="P59:AA59" si="86">(P3*P46)*P43</f>
        <v>-4972.9644691015883</v>
      </c>
      <c r="Q59" s="272">
        <f t="shared" si="86"/>
        <v>-8957.9013815287799</v>
      </c>
      <c r="R59" s="272">
        <f t="shared" si="86"/>
        <v>-11816.590194364133</v>
      </c>
      <c r="S59" s="272">
        <f t="shared" si="86"/>
        <v>-7478.8382899487615</v>
      </c>
      <c r="T59" s="272">
        <f t="shared" si="86"/>
        <v>-9089.1912298585103</v>
      </c>
      <c r="U59" s="272">
        <f t="shared" si="86"/>
        <v>-10348.589555715755</v>
      </c>
      <c r="V59" s="272">
        <f t="shared" si="86"/>
        <v>-14985.657399328411</v>
      </c>
      <c r="W59" s="272">
        <f t="shared" si="86"/>
        <v>-10174.859134476757</v>
      </c>
      <c r="X59" s="272">
        <f t="shared" si="86"/>
        <v>-13427.604726455629</v>
      </c>
      <c r="Y59" s="272">
        <f t="shared" si="86"/>
        <v>-10198.159330418035</v>
      </c>
      <c r="Z59" s="272">
        <f t="shared" si="86"/>
        <v>-5161.9320789669882</v>
      </c>
      <c r="AA59" s="272">
        <f t="shared" si="86"/>
        <v>-6223.7331450316406</v>
      </c>
      <c r="AB59" s="45">
        <f>SUM(P59:AA59)</f>
        <v>-112836.020935195</v>
      </c>
      <c r="AD59" s="272">
        <f t="shared" ref="AD59:AO59" si="87">(AD3*AD46)*AD43</f>
        <v>-4427.2709150129058</v>
      </c>
      <c r="AE59" s="272">
        <f t="shared" si="87"/>
        <v>-8199.0449680770307</v>
      </c>
      <c r="AF59" s="272">
        <f t="shared" si="87"/>
        <v>-7982.7757018779039</v>
      </c>
      <c r="AG59" s="272">
        <f t="shared" si="87"/>
        <v>-5109.5138606570772</v>
      </c>
      <c r="AH59" s="272">
        <f t="shared" si="87"/>
        <v>-7536.687804233432</v>
      </c>
      <c r="AI59" s="272">
        <f t="shared" si="87"/>
        <v>-8975.6021958546335</v>
      </c>
      <c r="AJ59" s="272">
        <f t="shared" si="87"/>
        <v>-12758.28214421906</v>
      </c>
      <c r="AK59" s="272">
        <f t="shared" si="87"/>
        <v>-7469.232074071524</v>
      </c>
      <c r="AL59" s="272">
        <f t="shared" si="87"/>
        <v>-10862.997011838621</v>
      </c>
      <c r="AM59" s="272">
        <f t="shared" si="87"/>
        <v>-9049.3618121564032</v>
      </c>
      <c r="AN59" s="272">
        <f t="shared" si="87"/>
        <v>-3533.9317318060571</v>
      </c>
      <c r="AO59" s="272">
        <f t="shared" si="87"/>
        <v>-4207.3581863149257</v>
      </c>
      <c r="AP59" s="45">
        <f>SUM(AD59:AO59)</f>
        <v>-90112.058406119599</v>
      </c>
    </row>
    <row r="60" spans="1:42">
      <c r="A60" s="13" t="s">
        <v>70</v>
      </c>
      <c r="J60" s="272">
        <f>(J3*J46)*J44</f>
        <v>-11796.748068719782</v>
      </c>
      <c r="K60" s="272">
        <f t="shared" ref="K60:M60" si="88">(K3*K46)*K44</f>
        <v>-11545.157076314694</v>
      </c>
      <c r="L60" s="272">
        <f t="shared" si="88"/>
        <v>-5735.4691293658007</v>
      </c>
      <c r="M60" s="272">
        <f t="shared" si="88"/>
        <v>-5647.2910984711643</v>
      </c>
      <c r="P60" s="272">
        <f t="shared" ref="P60:AA60" si="89">(P3*P46)*P44</f>
        <v>-3616.3875491348617</v>
      </c>
      <c r="Q60" s="272">
        <f t="shared" si="89"/>
        <v>-7412.8418342003006</v>
      </c>
      <c r="R60" s="272">
        <f t="shared" si="89"/>
        <v>-9635.4596494817615</v>
      </c>
      <c r="S60" s="272">
        <f t="shared" si="89"/>
        <v>-7009.7394041399448</v>
      </c>
      <c r="T60" s="272">
        <f t="shared" si="89"/>
        <v>-6304.8801551390598</v>
      </c>
      <c r="U60" s="272">
        <f t="shared" si="89"/>
        <v>-9629.3846881595127</v>
      </c>
      <c r="V60" s="272">
        <f t="shared" si="89"/>
        <v>-8702.2510940255597</v>
      </c>
      <c r="W60" s="272">
        <f t="shared" si="89"/>
        <v>-6307.845721133579</v>
      </c>
      <c r="X60" s="272">
        <f t="shared" si="89"/>
        <v>-11229.7968864541</v>
      </c>
      <c r="Y60" s="272">
        <f t="shared" si="89"/>
        <v>-12379.904495462977</v>
      </c>
      <c r="Z60" s="272">
        <f t="shared" si="89"/>
        <v>-6091.4705672636783</v>
      </c>
      <c r="AA60" s="272">
        <f t="shared" si="89"/>
        <v>-5081.877925108628</v>
      </c>
      <c r="AB60" s="45">
        <f>SUM(P60:AA60)</f>
        <v>-93401.839969703957</v>
      </c>
      <c r="AD60" s="272">
        <f t="shared" ref="AD60:AO60" si="90">(AD3*AD46)*AD44</f>
        <v>-2426.207370246696</v>
      </c>
      <c r="AE60" s="272">
        <f t="shared" si="90"/>
        <v>-4527.2540276089694</v>
      </c>
      <c r="AF60" s="272">
        <f t="shared" si="90"/>
        <v>-5853.9699993983631</v>
      </c>
      <c r="AG60" s="272">
        <f t="shared" si="90"/>
        <v>-3357.3392890966124</v>
      </c>
      <c r="AH60" s="272">
        <f t="shared" si="90"/>
        <v>-4195.5073437630617</v>
      </c>
      <c r="AI60" s="272">
        <f t="shared" si="90"/>
        <v>-5486.6054114357139</v>
      </c>
      <c r="AJ60" s="272">
        <f t="shared" si="90"/>
        <v>-6345.4288582794343</v>
      </c>
      <c r="AK60" s="272">
        <f t="shared" si="90"/>
        <v>-3724.5214555683315</v>
      </c>
      <c r="AL60" s="272">
        <f t="shared" si="90"/>
        <v>-6066.9522597327868</v>
      </c>
      <c r="AM60" s="272">
        <f t="shared" si="90"/>
        <v>-7370.7290478521363</v>
      </c>
      <c r="AN60" s="272">
        <f t="shared" si="90"/>
        <v>-3520.0278915483068</v>
      </c>
      <c r="AO60" s="272">
        <f t="shared" si="90"/>
        <v>-3051.9254722967144</v>
      </c>
      <c r="AP60" s="45">
        <f>SUM(AD60:AO60)</f>
        <v>-55926.468426827138</v>
      </c>
    </row>
    <row r="61" spans="1:42">
      <c r="A61" s="13" t="s">
        <v>68</v>
      </c>
      <c r="J61" s="272">
        <f>(J3*J46)*J45</f>
        <v>-12118.574361841713</v>
      </c>
      <c r="K61" s="272">
        <f t="shared" ref="K61:M61" si="91">(K3*K46)*K45</f>
        <v>-11531.496794888413</v>
      </c>
      <c r="L61" s="272">
        <f t="shared" si="91"/>
        <v>-8072.6729084160152</v>
      </c>
      <c r="M61" s="272">
        <f t="shared" si="91"/>
        <v>-9245.3601405213067</v>
      </c>
      <c r="P61" s="272">
        <f t="shared" ref="P61:AA61" si="92">(P3*P46)*P45</f>
        <v>-7551.5921077716903</v>
      </c>
      <c r="Q61" s="272">
        <f t="shared" si="92"/>
        <v>-12836.878631977812</v>
      </c>
      <c r="R61" s="272">
        <f t="shared" si="92"/>
        <v>-11777.385808334433</v>
      </c>
      <c r="S61" s="272">
        <f t="shared" si="92"/>
        <v>-6448.3978289502584</v>
      </c>
      <c r="T61" s="272">
        <f t="shared" si="92"/>
        <v>-7729.063186942858</v>
      </c>
      <c r="U61" s="272">
        <f t="shared" si="92"/>
        <v>-10897.084906452606</v>
      </c>
      <c r="V61" s="272">
        <f t="shared" si="92"/>
        <v>-10963.230774804555</v>
      </c>
      <c r="W61" s="272">
        <f t="shared" si="92"/>
        <v>-8588.2369276171394</v>
      </c>
      <c r="X61" s="272">
        <f t="shared" si="92"/>
        <v>-9907.1506669501414</v>
      </c>
      <c r="Y61" s="272">
        <f t="shared" si="92"/>
        <v>-11397.493140640094</v>
      </c>
      <c r="Z61" s="272">
        <f t="shared" si="92"/>
        <v>-7612.3504390033122</v>
      </c>
      <c r="AA61" s="272">
        <f t="shared" si="92"/>
        <v>-7944.9675596959469</v>
      </c>
      <c r="AB61" s="45">
        <f>SUM(P61:AA61)</f>
        <v>-113653.83197914084</v>
      </c>
      <c r="AD61" s="272">
        <f t="shared" ref="AD61:AO61" si="93">(AD3*AD46)*AD45</f>
        <v>-6347.2477681207192</v>
      </c>
      <c r="AE61" s="272">
        <f t="shared" si="93"/>
        <v>-10465.723387044431</v>
      </c>
      <c r="AF61" s="272">
        <f t="shared" si="93"/>
        <v>-6885.4116651873546</v>
      </c>
      <c r="AG61" s="272">
        <f t="shared" si="93"/>
        <v>-3864.3551278199793</v>
      </c>
      <c r="AH61" s="272">
        <f t="shared" si="93"/>
        <v>-5704.0047953324229</v>
      </c>
      <c r="AI61" s="272">
        <f t="shared" si="93"/>
        <v>-8319.0382512500437</v>
      </c>
      <c r="AJ61" s="272">
        <f t="shared" si="93"/>
        <v>-8378.5995398192663</v>
      </c>
      <c r="AK61" s="272">
        <f t="shared" si="93"/>
        <v>-5416.7367643986599</v>
      </c>
      <c r="AL61" s="272">
        <f t="shared" si="93"/>
        <v>-7028.128113373431</v>
      </c>
      <c r="AM61" s="272">
        <f t="shared" si="93"/>
        <v>-8773.7890237027405</v>
      </c>
      <c r="AN61" s="272">
        <f t="shared" si="93"/>
        <v>-4716.8115953582001</v>
      </c>
      <c r="AO61" s="272">
        <f t="shared" si="93"/>
        <v>-4842.75886977956</v>
      </c>
      <c r="AP61" s="45">
        <f>SUM(AD61:AO61)</f>
        <v>-80742.604901186816</v>
      </c>
    </row>
    <row r="62" spans="1:42">
      <c r="A62" s="11" t="s">
        <v>66</v>
      </c>
      <c r="J62" s="271">
        <f>J46*J3</f>
        <v>-46053.64437349674</v>
      </c>
      <c r="K62" s="271">
        <f t="shared" ref="K62:M62" si="94">K46*K3</f>
        <v>-40513.016274251378</v>
      </c>
      <c r="L62" s="271">
        <f t="shared" si="94"/>
        <v>-24459.697349997055</v>
      </c>
      <c r="M62" s="271">
        <f t="shared" si="94"/>
        <v>-27789.433346112943</v>
      </c>
      <c r="P62" s="271">
        <f t="shared" ref="P62:AA62" si="95">P46*P3</f>
        <v>-22951.621818497053</v>
      </c>
      <c r="Q62" s="271">
        <f t="shared" si="95"/>
        <v>-37923.542581839029</v>
      </c>
      <c r="R62" s="271">
        <f t="shared" si="95"/>
        <v>-43686.95265457451</v>
      </c>
      <c r="S62" s="271">
        <f t="shared" si="95"/>
        <v>-28649.532948134263</v>
      </c>
      <c r="T62" s="271">
        <f t="shared" si="95"/>
        <v>-33697.359395687279</v>
      </c>
      <c r="U62" s="271">
        <f t="shared" si="95"/>
        <v>-37910.743532727538</v>
      </c>
      <c r="V62" s="271">
        <f t="shared" si="95"/>
        <v>-42351.063246680817</v>
      </c>
      <c r="W62" s="271">
        <f t="shared" si="95"/>
        <v>-35210.177484377477</v>
      </c>
      <c r="X62" s="271">
        <f t="shared" si="95"/>
        <v>-43330.957631032659</v>
      </c>
      <c r="Y62" s="271">
        <f t="shared" si="95"/>
        <v>-43451.700068156955</v>
      </c>
      <c r="Z62" s="271">
        <f t="shared" si="95"/>
        <v>-26256.342852231144</v>
      </c>
      <c r="AA62" s="271">
        <f t="shared" si="95"/>
        <v>-26917.817465142238</v>
      </c>
      <c r="AB62" s="172">
        <f>SUM(P62:AA62)</f>
        <v>-422337.81167908094</v>
      </c>
      <c r="AD62" s="271">
        <f t="shared" ref="AD62:AO62" si="96">AD46*AD3</f>
        <v>-22086.433187067116</v>
      </c>
      <c r="AE62" s="271">
        <f t="shared" si="96"/>
        <v>-39959.333984071782</v>
      </c>
      <c r="AF62" s="271">
        <f t="shared" si="96"/>
        <v>-40041.075942551084</v>
      </c>
      <c r="AG62" s="271">
        <f t="shared" si="96"/>
        <v>-28881.732436513921</v>
      </c>
      <c r="AH62" s="271">
        <f t="shared" si="96"/>
        <v>-31274.073108897184</v>
      </c>
      <c r="AI62" s="271">
        <f t="shared" si="96"/>
        <v>-37746.272089273327</v>
      </c>
      <c r="AJ62" s="271">
        <f t="shared" si="96"/>
        <v>-38791.812715853695</v>
      </c>
      <c r="AK62" s="271">
        <f t="shared" si="96"/>
        <v>-42188.156998046223</v>
      </c>
      <c r="AL62" s="271">
        <f t="shared" si="96"/>
        <v>-44724.133270004626</v>
      </c>
      <c r="AM62" s="271">
        <f t="shared" si="96"/>
        <v>-51260.380190043456</v>
      </c>
      <c r="AN62" s="271">
        <f t="shared" si="96"/>
        <v>-31836.642017859202</v>
      </c>
      <c r="AO62" s="271">
        <f t="shared" si="96"/>
        <v>-31268.206098335908</v>
      </c>
      <c r="AP62" s="172">
        <f>SUM(AD62:AO62)</f>
        <v>-440058.25203851756</v>
      </c>
    </row>
    <row r="63" spans="1:42">
      <c r="A63" s="11"/>
      <c r="J63" s="272"/>
      <c r="K63" s="272"/>
      <c r="L63" s="272"/>
      <c r="M63" s="272"/>
      <c r="P63" s="272"/>
      <c r="Q63" s="272"/>
      <c r="R63" s="272"/>
      <c r="S63" s="272"/>
      <c r="T63" s="272"/>
      <c r="U63" s="272"/>
      <c r="V63" s="272"/>
      <c r="W63" s="272"/>
      <c r="X63" s="272"/>
      <c r="Y63" s="272"/>
      <c r="Z63" s="272"/>
      <c r="AA63" s="272"/>
      <c r="AD63" s="272"/>
      <c r="AE63" s="272"/>
      <c r="AF63" s="272"/>
      <c r="AG63" s="272"/>
      <c r="AH63" s="272"/>
      <c r="AI63" s="272"/>
      <c r="AJ63" s="272"/>
      <c r="AK63" s="272"/>
      <c r="AL63" s="272"/>
      <c r="AM63" s="272"/>
      <c r="AN63" s="272"/>
      <c r="AO63" s="272"/>
    </row>
    <row r="64" spans="1:42">
      <c r="A64" s="13" t="s">
        <v>69</v>
      </c>
      <c r="J64" s="272">
        <f>(J3*J50)*J48</f>
        <v>-6161.6778061612931</v>
      </c>
      <c r="K64" s="272">
        <f t="shared" ref="K64:M64" si="97">(K3*K50)*K48</f>
        <v>-5795.8629900682499</v>
      </c>
      <c r="L64" s="272">
        <f t="shared" si="97"/>
        <v>-6050.6290643882539</v>
      </c>
      <c r="M64" s="272">
        <f t="shared" si="97"/>
        <v>-6210.6135936262144</v>
      </c>
      <c r="P64" s="272">
        <f t="shared" ref="P64:AA64" si="98">(P3*P50)*P48</f>
        <v>-6491.8403774926583</v>
      </c>
      <c r="Q64" s="272">
        <f t="shared" si="98"/>
        <v>-5800.552872146478</v>
      </c>
      <c r="R64" s="272">
        <f t="shared" si="98"/>
        <v>-5327.5900588631212</v>
      </c>
      <c r="S64" s="272">
        <f t="shared" si="98"/>
        <v>-5791.9573018428291</v>
      </c>
      <c r="T64" s="272">
        <f t="shared" si="98"/>
        <v>-10749.370222718022</v>
      </c>
      <c r="U64" s="272">
        <f t="shared" si="98"/>
        <v>-7050.6448294246293</v>
      </c>
      <c r="V64" s="272">
        <f t="shared" si="98"/>
        <v>-5877.0613954363844</v>
      </c>
      <c r="W64" s="272">
        <f t="shared" si="98"/>
        <v>-8247.9743400854786</v>
      </c>
      <c r="X64" s="272">
        <f t="shared" si="98"/>
        <v>-4190.2856506576945</v>
      </c>
      <c r="Y64" s="272">
        <f t="shared" si="98"/>
        <v>-4428.4070206960778</v>
      </c>
      <c r="Z64" s="272">
        <f t="shared" si="98"/>
        <v>-4502.1285762420666</v>
      </c>
      <c r="AA64" s="272">
        <f t="shared" si="98"/>
        <v>-4222.1755491220811</v>
      </c>
      <c r="AB64" s="45">
        <f>SUM(P64:AA64)</f>
        <v>-72679.988194727528</v>
      </c>
      <c r="AD64" s="272">
        <f t="shared" ref="AD64:AO64" si="99">(AD3*AD50)*AD48</f>
        <v>-4331.250485214654</v>
      </c>
      <c r="AE64" s="272">
        <f t="shared" si="99"/>
        <v>-2723.9837203706179</v>
      </c>
      <c r="AF64" s="272">
        <f t="shared" si="99"/>
        <v>-3118.1075399048618</v>
      </c>
      <c r="AG64" s="272">
        <f t="shared" si="99"/>
        <v>-3357.710048286483</v>
      </c>
      <c r="AH64" s="272">
        <f t="shared" si="99"/>
        <v>-6292.3730757180392</v>
      </c>
      <c r="AI64" s="272">
        <f t="shared" si="99"/>
        <v>-4307.6246759120113</v>
      </c>
      <c r="AJ64" s="272">
        <f t="shared" si="99"/>
        <v>-4029.7301382481919</v>
      </c>
      <c r="AK64" s="272">
        <f t="shared" si="99"/>
        <v>-4590.5357348680072</v>
      </c>
      <c r="AL64" s="272">
        <f t="shared" si="99"/>
        <v>-2315.6806788613512</v>
      </c>
      <c r="AM64" s="272">
        <f t="shared" si="99"/>
        <v>-2676.6837330209078</v>
      </c>
      <c r="AN64" s="272">
        <f t="shared" si="99"/>
        <v>-2251.3277067140334</v>
      </c>
      <c r="AO64" s="272">
        <f t="shared" si="99"/>
        <v>-2342.4548296257021</v>
      </c>
      <c r="AP64" s="45">
        <f>SUM(AD64:AO64)</f>
        <v>-42337.462366744869</v>
      </c>
    </row>
    <row r="65" spans="1:42">
      <c r="A65" s="13" t="s">
        <v>73</v>
      </c>
      <c r="J65" s="272">
        <f>(J3*J50)*J49</f>
        <v>-4347.1539689122292</v>
      </c>
      <c r="K65" s="272">
        <f t="shared" ref="K65:M65" si="100">(K3*K50)*K49</f>
        <v>-3320.3519567434482</v>
      </c>
      <c r="L65" s="272">
        <f t="shared" si="100"/>
        <v>-1721.0968376427807</v>
      </c>
      <c r="M65" s="272">
        <f t="shared" si="100"/>
        <v>-8662.804325290499</v>
      </c>
      <c r="P65" s="272">
        <f t="shared" ref="P65:AA65" si="101">(P3*P50)*P49</f>
        <v>-6969.9149577233657</v>
      </c>
      <c r="Q65" s="272">
        <f t="shared" si="101"/>
        <v>-5298.4947879445854</v>
      </c>
      <c r="R65" s="272">
        <f t="shared" si="101"/>
        <v>-3547.3686998241842</v>
      </c>
      <c r="S65" s="272">
        <f t="shared" si="101"/>
        <v>-7611.4725404104584</v>
      </c>
      <c r="T65" s="272">
        <f t="shared" si="101"/>
        <v>-8995.3610932332504</v>
      </c>
      <c r="U65" s="272">
        <f t="shared" si="101"/>
        <v>-5921.299728474818</v>
      </c>
      <c r="V65" s="272">
        <f t="shared" si="101"/>
        <v>-5190.19392163666</v>
      </c>
      <c r="W65" s="272">
        <f t="shared" si="101"/>
        <v>-2942.9163612733396</v>
      </c>
      <c r="X65" s="272">
        <f t="shared" si="101"/>
        <v>-6523.6412292155965</v>
      </c>
      <c r="Y65" s="272">
        <f t="shared" si="101"/>
        <v>-6269.3597199821152</v>
      </c>
      <c r="Z65" s="272">
        <f t="shared" si="101"/>
        <v>-5610.1946712626377</v>
      </c>
      <c r="AA65" s="272">
        <f t="shared" si="101"/>
        <v>-5161.4097756059218</v>
      </c>
      <c r="AB65" s="45">
        <f>SUM(P65:AA65)</f>
        <v>-70041.627486586935</v>
      </c>
      <c r="AD65" s="272">
        <f t="shared" ref="AD65:AO65" si="102">(AD3*AD50)*AD49</f>
        <v>-7633.6188926212171</v>
      </c>
      <c r="AE65" s="272">
        <f t="shared" si="102"/>
        <v>-4217.474834112194</v>
      </c>
      <c r="AF65" s="272">
        <f t="shared" si="102"/>
        <v>-2382.2241044138332</v>
      </c>
      <c r="AG65" s="272">
        <f t="shared" si="102"/>
        <v>-5793.5587099158811</v>
      </c>
      <c r="AH65" s="272">
        <f t="shared" si="102"/>
        <v>-8093.4009072478402</v>
      </c>
      <c r="AI65" s="272">
        <f t="shared" si="102"/>
        <v>-4301.632963836566</v>
      </c>
      <c r="AJ65" s="272">
        <f t="shared" si="102"/>
        <v>-5060.198345332964</v>
      </c>
      <c r="AK65" s="272">
        <f t="shared" si="102"/>
        <v>-3114.5711752385841</v>
      </c>
      <c r="AL65" s="272">
        <f t="shared" si="102"/>
        <v>-3675.5434419938633</v>
      </c>
      <c r="AM65" s="272">
        <f t="shared" si="102"/>
        <v>-4480.0411667883918</v>
      </c>
      <c r="AN65" s="272">
        <f t="shared" si="102"/>
        <v>-3851.3672430399488</v>
      </c>
      <c r="AO65" s="272">
        <f t="shared" si="102"/>
        <v>-3891.9538769937994</v>
      </c>
      <c r="AP65" s="45">
        <f>SUM(AD65:AO65)</f>
        <v>-56495.585661535079</v>
      </c>
    </row>
    <row r="66" spans="1:42">
      <c r="A66" s="11" t="s">
        <v>65</v>
      </c>
      <c r="J66" s="271">
        <f>J50*J3</f>
        <v>-41289.890063359715</v>
      </c>
      <c r="K66" s="271">
        <f t="shared" ref="K66:M66" si="103">K50*K3</f>
        <v>-44313.733518045185</v>
      </c>
      <c r="L66" s="271">
        <f t="shared" si="103"/>
        <v>-49381.768811185415</v>
      </c>
      <c r="M66" s="271">
        <f t="shared" si="103"/>
        <v>-47952.932736237221</v>
      </c>
      <c r="P66" s="271">
        <f t="shared" ref="P66:AA66" si="104">P50*P3</f>
        <v>-14263.712321861358</v>
      </c>
      <c r="Q66" s="271">
        <f t="shared" si="104"/>
        <v>-11697.007845591028</v>
      </c>
      <c r="R66" s="271">
        <f t="shared" si="104"/>
        <v>-9299.2308728388925</v>
      </c>
      <c r="S66" s="271">
        <f t="shared" si="104"/>
        <v>-14334.956577663628</v>
      </c>
      <c r="T66" s="271">
        <f t="shared" si="104"/>
        <v>-20084.46603868308</v>
      </c>
      <c r="U66" s="271">
        <f t="shared" si="104"/>
        <v>-13740.882044342041</v>
      </c>
      <c r="V66" s="271">
        <f t="shared" si="104"/>
        <v>-11258.488261053984</v>
      </c>
      <c r="W66" s="271">
        <f t="shared" si="104"/>
        <v>-12387.272212308377</v>
      </c>
      <c r="X66" s="271">
        <f t="shared" si="104"/>
        <v>-11004.73550009461</v>
      </c>
      <c r="Y66" s="271">
        <f t="shared" si="104"/>
        <v>-11055.011617213871</v>
      </c>
      <c r="Z66" s="271">
        <f t="shared" si="104"/>
        <v>-10512.964743890017</v>
      </c>
      <c r="AA66" s="271">
        <f t="shared" si="104"/>
        <v>-9720.1397692817645</v>
      </c>
      <c r="AB66" s="172">
        <f>SUM(P66:AA66)</f>
        <v>-149358.86780482266</v>
      </c>
      <c r="AD66" s="271">
        <f t="shared" ref="AD66:AO66" si="105">AD50*AD3</f>
        <v>-12476.854166348063</v>
      </c>
      <c r="AE66" s="271">
        <f t="shared" si="105"/>
        <v>-14488.966297243591</v>
      </c>
      <c r="AF66" s="271">
        <f t="shared" si="105"/>
        <v>-14726.439343264339</v>
      </c>
      <c r="AG66" s="271">
        <f t="shared" si="105"/>
        <v>-17794.681359859198</v>
      </c>
      <c r="AH66" s="271">
        <f t="shared" si="105"/>
        <v>-10369.703127208117</v>
      </c>
      <c r="AI66" s="271">
        <f t="shared" si="105"/>
        <v>-15437.328773795867</v>
      </c>
      <c r="AJ66" s="271">
        <f t="shared" si="105"/>
        <v>-12777.752468153647</v>
      </c>
      <c r="AK66" s="271">
        <f t="shared" si="105"/>
        <v>-24591.707325304003</v>
      </c>
      <c r="AL66" s="271">
        <f t="shared" si="105"/>
        <v>-16848.75289362613</v>
      </c>
      <c r="AM66" s="271">
        <f t="shared" si="105"/>
        <v>-21580.363653503548</v>
      </c>
      <c r="AN66" s="271">
        <f t="shared" si="105"/>
        <v>-19401.41457426214</v>
      </c>
      <c r="AO66" s="271">
        <f t="shared" si="105"/>
        <v>-18028.982194859622</v>
      </c>
      <c r="AP66" s="172">
        <f>SUM(AD66:AO66)</f>
        <v>-198522.94617742824</v>
      </c>
    </row>
    <row r="67" spans="1:42">
      <c r="A67" s="11"/>
      <c r="J67" s="272"/>
      <c r="K67" s="272"/>
      <c r="L67" s="272"/>
      <c r="M67" s="272"/>
      <c r="P67" s="272"/>
      <c r="Q67" s="272"/>
      <c r="R67" s="272"/>
      <c r="S67" s="272"/>
      <c r="T67" s="272"/>
      <c r="U67" s="272"/>
      <c r="V67" s="272"/>
      <c r="W67" s="272"/>
      <c r="X67" s="272"/>
      <c r="Y67" s="272"/>
      <c r="Z67" s="272"/>
      <c r="AA67" s="272"/>
      <c r="AD67" s="272"/>
      <c r="AE67" s="272"/>
      <c r="AF67" s="272"/>
      <c r="AG67" s="272"/>
      <c r="AH67" s="272"/>
      <c r="AI67" s="272"/>
      <c r="AJ67" s="272"/>
      <c r="AK67" s="272"/>
      <c r="AL67" s="272"/>
      <c r="AM67" s="272"/>
      <c r="AN67" s="272"/>
      <c r="AO67" s="272"/>
    </row>
    <row r="68" spans="1:42">
      <c r="A68" s="11" t="s">
        <v>64</v>
      </c>
      <c r="J68" s="271">
        <f>J52*J3</f>
        <v>-60794.797018373196</v>
      </c>
      <c r="K68" s="271">
        <f t="shared" ref="K68:M68" si="106">K52*K3</f>
        <v>-64184.685595273731</v>
      </c>
      <c r="L68" s="271">
        <f t="shared" si="106"/>
        <v>-66700.249947122225</v>
      </c>
      <c r="M68" s="271">
        <f t="shared" si="106"/>
        <v>-65229.373653450166</v>
      </c>
      <c r="P68" s="271">
        <f t="shared" ref="P68:AA68" si="107">P52*P3</f>
        <v>-52228.749274393391</v>
      </c>
      <c r="Q68" s="271">
        <f t="shared" si="107"/>
        <v>-46869.490456780259</v>
      </c>
      <c r="R68" s="271">
        <f t="shared" si="107"/>
        <v>-46859.516477205747</v>
      </c>
      <c r="S68" s="271">
        <f t="shared" si="107"/>
        <v>-58177.855095816958</v>
      </c>
      <c r="T68" s="271">
        <f t="shared" si="107"/>
        <v>-49576.220581235968</v>
      </c>
      <c r="U68" s="271">
        <f t="shared" si="107"/>
        <v>-46378.924789458375</v>
      </c>
      <c r="V68" s="271">
        <f t="shared" si="107"/>
        <v>-46875.629301355628</v>
      </c>
      <c r="W68" s="271">
        <f t="shared" si="107"/>
        <v>-88507.152499905409</v>
      </c>
      <c r="X68" s="271">
        <f t="shared" si="107"/>
        <v>-48659.632090318846</v>
      </c>
      <c r="Y68" s="271">
        <f t="shared" si="107"/>
        <v>-46670.049124335485</v>
      </c>
      <c r="Z68" s="271">
        <f t="shared" si="107"/>
        <v>-64579.89650623138</v>
      </c>
      <c r="AA68" s="271">
        <f t="shared" si="107"/>
        <v>-64448.1042042642</v>
      </c>
      <c r="AB68" s="172">
        <f>SUM(P68:AA68)</f>
        <v>-659831.22040130175</v>
      </c>
      <c r="AD68" s="271">
        <f t="shared" ref="AD68:AO68" si="108">AD52*AD3</f>
        <v>-66240.849171368347</v>
      </c>
      <c r="AE68" s="271">
        <f t="shared" si="108"/>
        <v>-46460.845612949568</v>
      </c>
      <c r="AF68" s="271">
        <f t="shared" si="108"/>
        <v>-46955.004608162009</v>
      </c>
      <c r="AG68" s="271">
        <f t="shared" si="108"/>
        <v>-57218.446651782535</v>
      </c>
      <c r="AH68" s="271">
        <f t="shared" si="108"/>
        <v>-71849.068561268054</v>
      </c>
      <c r="AI68" s="271">
        <f t="shared" si="108"/>
        <v>-53856.203833951186</v>
      </c>
      <c r="AJ68" s="271">
        <f t="shared" si="108"/>
        <v>-59644.081795966507</v>
      </c>
      <c r="AK68" s="271">
        <f t="shared" si="108"/>
        <v>-88546.442635191968</v>
      </c>
      <c r="AL68" s="271">
        <f t="shared" si="108"/>
        <v>-42907.856642195016</v>
      </c>
      <c r="AM68" s="271">
        <f t="shared" si="108"/>
        <v>-26070.715670406538</v>
      </c>
      <c r="AN68" s="271">
        <f t="shared" si="108"/>
        <v>-50191.38427121524</v>
      </c>
      <c r="AO68" s="271">
        <f t="shared" si="108"/>
        <v>-52779.89789892589</v>
      </c>
      <c r="AP68" s="172">
        <f>SUM(AD68:AO68)</f>
        <v>-662720.79735338292</v>
      </c>
    </row>
    <row r="69" spans="1:42">
      <c r="A69" s="11" t="s">
        <v>211</v>
      </c>
      <c r="J69" s="271">
        <f>J53*J3</f>
        <v>0</v>
      </c>
      <c r="K69" s="271">
        <f t="shared" ref="K69:M69" si="109">K53*K3</f>
        <v>0</v>
      </c>
      <c r="L69" s="271">
        <f t="shared" si="109"/>
        <v>0</v>
      </c>
      <c r="M69" s="271">
        <f t="shared" si="109"/>
        <v>0</v>
      </c>
      <c r="P69" s="271">
        <f t="shared" ref="P69:AA69" si="110">P53*P3</f>
        <v>0</v>
      </c>
      <c r="Q69" s="271">
        <f t="shared" si="110"/>
        <v>0</v>
      </c>
      <c r="R69" s="271">
        <f t="shared" si="110"/>
        <v>0</v>
      </c>
      <c r="S69" s="271">
        <f t="shared" si="110"/>
        <v>0</v>
      </c>
      <c r="T69" s="271">
        <f t="shared" si="110"/>
        <v>0</v>
      </c>
      <c r="U69" s="271">
        <f t="shared" si="110"/>
        <v>0</v>
      </c>
      <c r="V69" s="271">
        <f t="shared" si="110"/>
        <v>0</v>
      </c>
      <c r="W69" s="271">
        <f t="shared" si="110"/>
        <v>0</v>
      </c>
      <c r="X69" s="271">
        <f t="shared" si="110"/>
        <v>0</v>
      </c>
      <c r="Y69" s="271">
        <f t="shared" si="110"/>
        <v>0</v>
      </c>
      <c r="Z69" s="271">
        <f t="shared" si="110"/>
        <v>0</v>
      </c>
      <c r="AA69" s="271">
        <f t="shared" si="110"/>
        <v>0</v>
      </c>
      <c r="AB69" s="172">
        <f>SUM(P69:AA69)</f>
        <v>0</v>
      </c>
      <c r="AD69" s="271">
        <f t="shared" ref="AD69:AO69" si="111">AD53*AD3</f>
        <v>0</v>
      </c>
      <c r="AE69" s="271">
        <f t="shared" si="111"/>
        <v>0</v>
      </c>
      <c r="AF69" s="271">
        <f t="shared" si="111"/>
        <v>0</v>
      </c>
      <c r="AG69" s="271">
        <f t="shared" si="111"/>
        <v>0</v>
      </c>
      <c r="AH69" s="271">
        <f t="shared" si="111"/>
        <v>0</v>
      </c>
      <c r="AI69" s="271">
        <f t="shared" si="111"/>
        <v>0</v>
      </c>
      <c r="AJ69" s="271">
        <f t="shared" si="111"/>
        <v>0</v>
      </c>
      <c r="AK69" s="271">
        <f t="shared" si="111"/>
        <v>0</v>
      </c>
      <c r="AL69" s="271">
        <f t="shared" si="111"/>
        <v>0</v>
      </c>
      <c r="AM69" s="271">
        <f t="shared" si="111"/>
        <v>0</v>
      </c>
      <c r="AN69" s="271">
        <f t="shared" si="111"/>
        <v>0</v>
      </c>
      <c r="AO69" s="271">
        <f t="shared" si="111"/>
        <v>0</v>
      </c>
      <c r="AP69" s="172">
        <f>SUM(AD69:AO69)</f>
        <v>0</v>
      </c>
    </row>
    <row r="70" spans="1:42">
      <c r="A70" s="11" t="s">
        <v>67</v>
      </c>
      <c r="J70" s="271">
        <f>J54*J3</f>
        <v>-5125.5152114370403</v>
      </c>
      <c r="K70" s="271">
        <f t="shared" ref="K70:M70" si="112">K54*K3</f>
        <v>-4719.4112790963864</v>
      </c>
      <c r="L70" s="271">
        <f t="shared" si="112"/>
        <v>-5319.1305583619642</v>
      </c>
      <c r="M70" s="271">
        <f t="shared" si="112"/>
        <v>-4922.10693086637</v>
      </c>
      <c r="P70" s="271">
        <f t="shared" ref="P70:AA70" si="113">P54*P3</f>
        <v>-13466.17325191485</v>
      </c>
      <c r="Q70" s="271">
        <f t="shared" si="113"/>
        <v>-5420.2157824563537</v>
      </c>
      <c r="R70" s="271">
        <f t="shared" si="113"/>
        <v>-3064.5566620475106</v>
      </c>
      <c r="S70" s="271">
        <f t="shared" si="113"/>
        <v>-5747.9120450518249</v>
      </c>
      <c r="T70" s="271">
        <f t="shared" si="113"/>
        <v>-4552.2106510603508</v>
      </c>
      <c r="U70" s="271">
        <f t="shared" si="113"/>
        <v>-8879.7063001387232</v>
      </c>
      <c r="V70" s="271">
        <f t="shared" si="113"/>
        <v>-7425.0758575762366</v>
      </c>
      <c r="W70" s="271">
        <f t="shared" si="113"/>
        <v>-20805.654470075413</v>
      </c>
      <c r="X70" s="271">
        <f t="shared" si="113"/>
        <v>-4914.9314452205626</v>
      </c>
      <c r="Y70" s="271">
        <f t="shared" si="113"/>
        <v>-5733.4958569603632</v>
      </c>
      <c r="Z70" s="271">
        <f t="shared" si="113"/>
        <v>-6561.0525643141282</v>
      </c>
      <c r="AA70" s="271">
        <f t="shared" si="113"/>
        <v>-5824.19522797846</v>
      </c>
      <c r="AB70" s="172">
        <f>SUM(P70:AA70)</f>
        <v>-92395.18011479477</v>
      </c>
      <c r="AD70" s="271">
        <f t="shared" ref="AD70:AO70" si="114">AD54*AD3</f>
        <v>-11572.241975216457</v>
      </c>
      <c r="AE70" s="271">
        <f t="shared" si="114"/>
        <v>-10317.232605735055</v>
      </c>
      <c r="AF70" s="271">
        <f t="shared" si="114"/>
        <v>-10653.858606022568</v>
      </c>
      <c r="AG70" s="271">
        <f t="shared" si="114"/>
        <v>-13081.518051844352</v>
      </c>
      <c r="AH70" s="271">
        <f t="shared" si="114"/>
        <v>-4633.5337026266407</v>
      </c>
      <c r="AI70" s="271">
        <f t="shared" si="114"/>
        <v>-9936.573802979623</v>
      </c>
      <c r="AJ70" s="271">
        <f t="shared" si="114"/>
        <v>-6912.7315200261319</v>
      </c>
      <c r="AK70" s="271">
        <f t="shared" si="114"/>
        <v>-19150.071541457794</v>
      </c>
      <c r="AL70" s="271">
        <f t="shared" si="114"/>
        <v>-13645.63569417422</v>
      </c>
      <c r="AM70" s="271">
        <f t="shared" si="114"/>
        <v>-18064.918986046454</v>
      </c>
      <c r="AN70" s="271">
        <f t="shared" si="114"/>
        <v>-16696.937636663399</v>
      </c>
      <c r="AO70" s="271">
        <f t="shared" si="114"/>
        <v>-14899.292307878566</v>
      </c>
      <c r="AP70" s="172">
        <f>SUM(AD70:AO70)</f>
        <v>-149564.54643067127</v>
      </c>
    </row>
    <row r="71" spans="1:42">
      <c r="A71" s="267" t="s">
        <v>214</v>
      </c>
      <c r="J71" s="273">
        <f>J62+J66+J68+J69+J70-J3</f>
        <v>0</v>
      </c>
      <c r="K71" s="273">
        <f t="shared" ref="K71:M71" si="115">K62+K66+K68+K69+K70-K3</f>
        <v>0</v>
      </c>
      <c r="L71" s="273">
        <f t="shared" si="115"/>
        <v>0</v>
      </c>
      <c r="M71" s="273">
        <f t="shared" si="115"/>
        <v>0</v>
      </c>
      <c r="P71" s="273">
        <f t="shared" ref="P71" si="116">P62+P66+P68+P69+P70-P3</f>
        <v>0</v>
      </c>
      <c r="Q71" s="273">
        <f t="shared" ref="Q71" si="117">Q62+Q66+Q68+Q69+Q70-Q3</f>
        <v>0</v>
      </c>
      <c r="R71" s="273">
        <f t="shared" ref="R71" si="118">R62+R66+R68+R69+R70-R3</f>
        <v>0</v>
      </c>
      <c r="S71" s="273">
        <f t="shared" ref="S71" si="119">S62+S66+S68+S69+S70-S3</f>
        <v>0</v>
      </c>
      <c r="T71" s="273">
        <f t="shared" ref="T71" si="120">T62+T66+T68+T69+T70-T3</f>
        <v>0</v>
      </c>
      <c r="U71" s="273">
        <f t="shared" ref="U71" si="121">U62+U66+U68+U69+U70-U3</f>
        <v>0</v>
      </c>
      <c r="V71" s="273">
        <f t="shared" ref="V71" si="122">V62+V66+V68+V69+V70-V3</f>
        <v>0</v>
      </c>
      <c r="W71" s="273">
        <f t="shared" ref="W71" si="123">W62+W66+W68+W69+W70-W3</f>
        <v>0</v>
      </c>
      <c r="X71" s="273">
        <f t="shared" ref="X71" si="124">X62+X66+X68+X69+X70-X3</f>
        <v>0</v>
      </c>
      <c r="Y71" s="273">
        <f t="shared" ref="Y71" si="125">Y62+Y66+Y68+Y69+Y70-Y3</f>
        <v>0</v>
      </c>
      <c r="Z71" s="273">
        <f t="shared" ref="Z71" si="126">Z62+Z66+Z68+Z69+Z70-Z3</f>
        <v>0</v>
      </c>
      <c r="AA71" s="273">
        <f t="shared" ref="AA71" si="127">AA62+AA66+AA68+AA69+AA70-AA3</f>
        <v>0</v>
      </c>
      <c r="AD71" s="273">
        <f t="shared" ref="AD71" si="128">AD62+AD66+AD68+AD69+AD70-AD3</f>
        <v>0</v>
      </c>
      <c r="AE71" s="273">
        <f t="shared" ref="AE71" si="129">AE62+AE66+AE68+AE69+AE70-AE3</f>
        <v>0</v>
      </c>
      <c r="AF71" s="273">
        <f t="shared" ref="AF71" si="130">AF62+AF66+AF68+AF69+AF70-AF3</f>
        <v>0</v>
      </c>
      <c r="AG71" s="273">
        <f t="shared" ref="AG71" si="131">AG62+AG66+AG68+AG69+AG70-AG3</f>
        <v>0</v>
      </c>
      <c r="AH71" s="273">
        <f t="shared" ref="AH71" si="132">AH62+AH66+AH68+AH69+AH70-AH3</f>
        <v>0</v>
      </c>
      <c r="AI71" s="273">
        <f t="shared" ref="AI71" si="133">AI62+AI66+AI68+AI69+AI70-AI3</f>
        <v>0</v>
      </c>
      <c r="AJ71" s="273">
        <f t="shared" ref="AJ71" si="134">AJ62+AJ66+AJ68+AJ69+AJ70-AJ3</f>
        <v>0</v>
      </c>
      <c r="AK71" s="273">
        <f t="shared" ref="AK71" si="135">AK62+AK66+AK68+AK69+AK70-AK3</f>
        <v>0</v>
      </c>
      <c r="AL71" s="273">
        <f t="shared" ref="AL71" si="136">AL62+AL66+AL68+AL69+AL70-AL3</f>
        <v>0</v>
      </c>
      <c r="AM71" s="273">
        <f t="shared" ref="AM71" si="137">AM62+AM66+AM68+AM69+AM70-AM3</f>
        <v>0</v>
      </c>
      <c r="AN71" s="273">
        <f t="shared" ref="AN71" si="138">AN62+AN66+AN68+AN69+AN70-AN3</f>
        <v>0</v>
      </c>
      <c r="AO71" s="273">
        <f t="shared" ref="AO71" si="139">AO62+AO66+AO68+AO69+AO70-AO3</f>
        <v>0</v>
      </c>
    </row>
    <row r="72" spans="1:42">
      <c r="J72" s="40"/>
    </row>
  </sheetData>
  <sheetProtection sheet="1" objects="1" scenarios="1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78781-7949-B643-B996-FFB667212504}">
  <dimension ref="A1:AV168"/>
  <sheetViews>
    <sheetView topLeftCell="A112" zoomScaleNormal="100" workbookViewId="0">
      <pane xSplit="1" topLeftCell="P1" activePane="topRight" state="frozen"/>
      <selection pane="topRight" activeCell="F110" sqref="F110:Q110"/>
    </sheetView>
  </sheetViews>
  <sheetFormatPr baseColWidth="10" defaultColWidth="8.5" defaultRowHeight="12" outlineLevelRow="1" outlineLevelCol="2"/>
  <cols>
    <col min="1" max="1" width="48.83203125" style="13" bestFit="1" customWidth="1"/>
    <col min="2" max="2" width="11.5" style="13" bestFit="1" customWidth="1"/>
    <col min="3" max="3" width="8.5" style="13"/>
    <col min="4" max="4" width="11" style="13" customWidth="1"/>
    <col min="5" max="5" width="12" style="13" customWidth="1"/>
    <col min="6" max="13" width="10.5" style="13" customWidth="1" outlineLevel="2"/>
    <col min="14" max="14" width="12.5" style="13" customWidth="1" outlineLevel="1"/>
    <col min="15" max="16" width="11.83203125" style="13" customWidth="1" outlineLevel="1"/>
    <col min="17" max="17" width="11.5" style="13" customWidth="1" outlineLevel="1"/>
    <col min="18" max="18" width="12" style="13" customWidth="1"/>
    <col min="19" max="19" width="7" style="13" hidden="1" customWidth="1" outlineLevel="1"/>
    <col min="20" max="20" width="13.1640625" style="13" hidden="1" customWidth="1" outlineLevel="1"/>
    <col min="21" max="21" width="8.33203125" style="13" customWidth="1" collapsed="1"/>
    <col min="22" max="28" width="10.5" style="13" customWidth="1" outlineLevel="1"/>
    <col min="29" max="29" width="11.83203125" style="13" customWidth="1" outlineLevel="1"/>
    <col min="30" max="30" width="10.5" style="13" customWidth="1" outlineLevel="1"/>
    <col min="31" max="31" width="11.83203125" style="13" customWidth="1" outlineLevel="1"/>
    <col min="32" max="32" width="10.5" style="13" customWidth="1" outlineLevel="1"/>
    <col min="33" max="33" width="11.1640625" style="13" customWidth="1" outlineLevel="1"/>
    <col min="34" max="34" width="11.83203125" style="13" bestFit="1" customWidth="1"/>
    <col min="35" max="35" width="24.6640625" style="13" customWidth="1"/>
    <col min="36" max="42" width="10.5" style="13" bestFit="1" customWidth="1"/>
    <col min="43" max="43" width="11.83203125" style="13" bestFit="1" customWidth="1"/>
    <col min="44" max="44" width="10.5" style="13" bestFit="1" customWidth="1"/>
    <col min="45" max="45" width="11.83203125" style="13" bestFit="1" customWidth="1"/>
    <col min="46" max="47" width="10.5" style="13" bestFit="1" customWidth="1"/>
    <col min="48" max="48" width="11.83203125" style="13" bestFit="1" customWidth="1"/>
    <col min="49" max="16384" width="8.5" style="13"/>
  </cols>
  <sheetData>
    <row r="1" spans="1:48">
      <c r="F1" s="31" t="s">
        <v>180</v>
      </c>
      <c r="G1" s="31" t="s">
        <v>180</v>
      </c>
      <c r="H1" s="31" t="s">
        <v>180</v>
      </c>
      <c r="I1" s="31" t="s">
        <v>180</v>
      </c>
      <c r="J1" s="31" t="s">
        <v>180</v>
      </c>
      <c r="K1" s="31" t="s">
        <v>180</v>
      </c>
      <c r="L1" s="31" t="s">
        <v>180</v>
      </c>
      <c r="M1" s="31" t="s">
        <v>180</v>
      </c>
      <c r="N1" s="177" t="s">
        <v>42</v>
      </c>
      <c r="O1" s="177" t="s">
        <v>42</v>
      </c>
      <c r="P1" s="177" t="s">
        <v>42</v>
      </c>
      <c r="Q1" s="177" t="s">
        <v>42</v>
      </c>
      <c r="R1" s="178"/>
      <c r="T1" s="178"/>
      <c r="V1" s="177" t="s">
        <v>42</v>
      </c>
      <c r="W1" s="177" t="s">
        <v>42</v>
      </c>
      <c r="X1" s="177" t="s">
        <v>42</v>
      </c>
      <c r="Y1" s="177" t="s">
        <v>42</v>
      </c>
      <c r="Z1" s="177" t="s">
        <v>42</v>
      </c>
      <c r="AA1" s="177" t="s">
        <v>42</v>
      </c>
      <c r="AB1" s="177" t="s">
        <v>42</v>
      </c>
      <c r="AC1" s="177" t="s">
        <v>42</v>
      </c>
      <c r="AD1" s="177" t="s">
        <v>42</v>
      </c>
      <c r="AE1" s="177" t="s">
        <v>42</v>
      </c>
      <c r="AF1" s="177" t="s">
        <v>42</v>
      </c>
      <c r="AG1" s="177" t="s">
        <v>42</v>
      </c>
      <c r="AH1" s="178"/>
      <c r="AJ1" s="177" t="s">
        <v>42</v>
      </c>
      <c r="AK1" s="177" t="s">
        <v>42</v>
      </c>
      <c r="AL1" s="177" t="s">
        <v>42</v>
      </c>
      <c r="AM1" s="177" t="s">
        <v>42</v>
      </c>
      <c r="AN1" s="177" t="s">
        <v>42</v>
      </c>
      <c r="AO1" s="177" t="s">
        <v>42</v>
      </c>
      <c r="AP1" s="177" t="s">
        <v>42</v>
      </c>
      <c r="AQ1" s="177" t="s">
        <v>42</v>
      </c>
      <c r="AR1" s="177" t="s">
        <v>42</v>
      </c>
      <c r="AS1" s="177" t="s">
        <v>42</v>
      </c>
      <c r="AT1" s="177" t="s">
        <v>42</v>
      </c>
      <c r="AU1" s="177" t="s">
        <v>42</v>
      </c>
      <c r="AV1" s="178"/>
    </row>
    <row r="2" spans="1:48" s="36" customFormat="1" ht="26">
      <c r="A2" s="144" t="s">
        <v>217</v>
      </c>
      <c r="B2" s="32" t="s">
        <v>218</v>
      </c>
      <c r="C2" s="32" t="s">
        <v>219</v>
      </c>
      <c r="D2" s="144" t="s">
        <v>220</v>
      </c>
      <c r="E2" s="35" t="s">
        <v>221</v>
      </c>
      <c r="F2" s="33">
        <v>45689</v>
      </c>
      <c r="G2" s="33">
        <v>45717</v>
      </c>
      <c r="H2" s="33">
        <v>45748</v>
      </c>
      <c r="I2" s="33">
        <v>45808</v>
      </c>
      <c r="J2" s="33">
        <v>45838</v>
      </c>
      <c r="K2" s="33">
        <v>45869</v>
      </c>
      <c r="L2" s="33">
        <v>45900</v>
      </c>
      <c r="M2" s="33">
        <v>45930</v>
      </c>
      <c r="N2" s="179">
        <v>45961</v>
      </c>
      <c r="O2" s="179">
        <v>45991</v>
      </c>
      <c r="P2" s="179">
        <v>46022</v>
      </c>
      <c r="Q2" s="179">
        <v>46053</v>
      </c>
      <c r="R2" s="179" t="s">
        <v>222</v>
      </c>
      <c r="S2" s="34"/>
      <c r="T2" s="179" t="s">
        <v>223</v>
      </c>
      <c r="U2" s="34"/>
      <c r="V2" s="179">
        <v>46054</v>
      </c>
      <c r="W2" s="179">
        <v>46082</v>
      </c>
      <c r="X2" s="179">
        <v>46113</v>
      </c>
      <c r="Y2" s="179">
        <v>46143</v>
      </c>
      <c r="Z2" s="179">
        <v>46174</v>
      </c>
      <c r="AA2" s="179">
        <v>46204</v>
      </c>
      <c r="AB2" s="179">
        <v>46235</v>
      </c>
      <c r="AC2" s="179">
        <v>46266</v>
      </c>
      <c r="AD2" s="179">
        <v>46296</v>
      </c>
      <c r="AE2" s="179">
        <v>46327</v>
      </c>
      <c r="AF2" s="179">
        <v>46357</v>
      </c>
      <c r="AG2" s="179">
        <v>46388</v>
      </c>
      <c r="AH2" s="179" t="s">
        <v>224</v>
      </c>
      <c r="AI2" s="34"/>
      <c r="AJ2" s="179">
        <v>46419</v>
      </c>
      <c r="AK2" s="179">
        <v>46447</v>
      </c>
      <c r="AL2" s="179">
        <v>46478</v>
      </c>
      <c r="AM2" s="179">
        <v>46508</v>
      </c>
      <c r="AN2" s="179">
        <v>46539</v>
      </c>
      <c r="AO2" s="179">
        <v>46569</v>
      </c>
      <c r="AP2" s="179">
        <v>46600</v>
      </c>
      <c r="AQ2" s="179">
        <v>46631</v>
      </c>
      <c r="AR2" s="179">
        <v>46661</v>
      </c>
      <c r="AS2" s="179">
        <v>46692</v>
      </c>
      <c r="AT2" s="179">
        <v>46722</v>
      </c>
      <c r="AU2" s="179">
        <v>46753</v>
      </c>
      <c r="AV2" s="179" t="s">
        <v>225</v>
      </c>
    </row>
    <row r="3" spans="1:48" outlineLevel="1">
      <c r="A3" s="37" t="s">
        <v>226</v>
      </c>
      <c r="B3" s="41" t="s">
        <v>227</v>
      </c>
      <c r="C3" s="41" t="s">
        <v>67</v>
      </c>
      <c r="D3" s="37"/>
      <c r="E3" s="40">
        <v>41841.599999999999</v>
      </c>
      <c r="F3" s="38">
        <v>0</v>
      </c>
      <c r="G3" s="38">
        <v>0</v>
      </c>
      <c r="H3" s="38">
        <v>0</v>
      </c>
      <c r="I3" s="38">
        <v>0</v>
      </c>
      <c r="J3" s="38">
        <v>0</v>
      </c>
      <c r="K3" s="38">
        <v>0</v>
      </c>
      <c r="L3" s="38">
        <v>0</v>
      </c>
      <c r="M3" s="38">
        <v>0</v>
      </c>
      <c r="N3" s="39"/>
      <c r="O3" s="39"/>
      <c r="P3" s="39">
        <v>20000</v>
      </c>
      <c r="Q3" s="39"/>
      <c r="R3" s="39">
        <f t="shared" ref="R3:R34" si="0">SUM(F3:Q3)</f>
        <v>20000</v>
      </c>
      <c r="S3" s="39"/>
      <c r="T3" s="40">
        <v>38117.839999999997</v>
      </c>
      <c r="U3" s="40"/>
      <c r="V3" s="39">
        <v>0</v>
      </c>
      <c r="W3" s="39">
        <v>0</v>
      </c>
      <c r="X3" s="39">
        <v>0</v>
      </c>
      <c r="Y3" s="39">
        <v>0</v>
      </c>
      <c r="Z3" s="39">
        <v>20000</v>
      </c>
      <c r="AA3" s="39">
        <v>0</v>
      </c>
      <c r="AB3" s="39">
        <v>0</v>
      </c>
      <c r="AC3" s="39">
        <v>0</v>
      </c>
      <c r="AD3" s="39"/>
      <c r="AE3" s="39">
        <v>20000</v>
      </c>
      <c r="AF3" s="39"/>
      <c r="AG3" s="39"/>
      <c r="AH3" s="45">
        <f>SUM(V3:AG3)</f>
        <v>40000</v>
      </c>
      <c r="AJ3" s="39">
        <v>0</v>
      </c>
      <c r="AK3" s="39">
        <v>0</v>
      </c>
      <c r="AL3" s="39">
        <v>0</v>
      </c>
      <c r="AM3" s="39">
        <v>0</v>
      </c>
      <c r="AN3" s="39">
        <v>0</v>
      </c>
      <c r="AO3" s="39">
        <v>0</v>
      </c>
      <c r="AP3" s="39">
        <v>0</v>
      </c>
      <c r="AQ3" s="39">
        <v>0</v>
      </c>
      <c r="AR3" s="39">
        <v>5612.1862968185997</v>
      </c>
      <c r="AS3" s="39">
        <v>6474.1913319096766</v>
      </c>
      <c r="AT3" s="39">
        <v>5838.9478115224383</v>
      </c>
      <c r="AU3" s="39">
        <v>4675.1934423406556</v>
      </c>
      <c r="AV3" s="45">
        <f>SUM(AJ3:AU3)</f>
        <v>22600.518882591372</v>
      </c>
    </row>
    <row r="4" spans="1:48" outlineLevel="1">
      <c r="A4" s="37" t="s">
        <v>228</v>
      </c>
      <c r="B4" s="41" t="s">
        <v>229</v>
      </c>
      <c r="C4" s="41" t="s">
        <v>67</v>
      </c>
      <c r="D4" s="37"/>
      <c r="E4" s="40">
        <v>158929.26</v>
      </c>
      <c r="F4" s="38">
        <v>54858.6</v>
      </c>
      <c r="G4" s="38">
        <v>0</v>
      </c>
      <c r="H4" s="38">
        <v>0</v>
      </c>
      <c r="I4" s="38">
        <v>0</v>
      </c>
      <c r="J4" s="38">
        <v>0</v>
      </c>
      <c r="K4" s="38">
        <v>0</v>
      </c>
      <c r="L4" s="38">
        <v>0</v>
      </c>
      <c r="M4" s="38">
        <v>0</v>
      </c>
      <c r="N4" s="39"/>
      <c r="O4" s="39"/>
      <c r="P4" s="39">
        <v>30000</v>
      </c>
      <c r="Q4" s="39">
        <v>115000</v>
      </c>
      <c r="R4" s="39">
        <f t="shared" si="0"/>
        <v>199858.6</v>
      </c>
      <c r="S4" s="39"/>
      <c r="T4" s="40">
        <v>155713.32500000001</v>
      </c>
      <c r="U4" s="40"/>
      <c r="V4" s="39"/>
      <c r="W4" s="39">
        <v>0</v>
      </c>
      <c r="X4" s="39">
        <v>0</v>
      </c>
      <c r="Y4" s="39">
        <v>0</v>
      </c>
      <c r="Z4" s="39">
        <v>0</v>
      </c>
      <c r="AA4" s="39">
        <v>60000</v>
      </c>
      <c r="AB4" s="39">
        <v>0</v>
      </c>
      <c r="AC4" s="39">
        <v>0</v>
      </c>
      <c r="AD4" s="39"/>
      <c r="AE4" s="39">
        <v>80000</v>
      </c>
      <c r="AF4" s="39"/>
      <c r="AG4" s="39"/>
      <c r="AH4" s="45">
        <f t="shared" ref="AH4:AH67" si="1">SUM(V4:AG4)</f>
        <v>140000</v>
      </c>
      <c r="AJ4" s="39">
        <v>54858.6</v>
      </c>
      <c r="AK4" s="39">
        <v>0</v>
      </c>
      <c r="AL4" s="39">
        <v>0</v>
      </c>
      <c r="AM4" s="39">
        <v>0</v>
      </c>
      <c r="AN4" s="39">
        <v>0</v>
      </c>
      <c r="AO4" s="39">
        <v>0</v>
      </c>
      <c r="AP4" s="39">
        <v>0</v>
      </c>
      <c r="AQ4" s="39">
        <v>0</v>
      </c>
      <c r="AR4" s="39">
        <v>14849.097053096615</v>
      </c>
      <c r="AS4" s="39">
        <v>17129.847503875724</v>
      </c>
      <c r="AT4" s="39">
        <v>15449.077802426566</v>
      </c>
      <c r="AU4" s="39">
        <v>12369.938825208099</v>
      </c>
      <c r="AV4" s="45">
        <f t="shared" ref="AV4:AV67" si="2">SUM(AJ4:AU4)</f>
        <v>114656.561184607</v>
      </c>
    </row>
    <row r="5" spans="1:48" s="181" customFormat="1" outlineLevel="1">
      <c r="A5" s="401" t="s">
        <v>230</v>
      </c>
      <c r="B5" s="402" t="s">
        <v>231</v>
      </c>
      <c r="C5" s="402" t="s">
        <v>67</v>
      </c>
      <c r="D5" s="401"/>
      <c r="E5" s="403">
        <v>48136.380000000005</v>
      </c>
      <c r="F5" s="404">
        <v>0</v>
      </c>
      <c r="G5" s="404">
        <v>0</v>
      </c>
      <c r="H5" s="404">
        <v>0</v>
      </c>
      <c r="I5" s="404">
        <v>0</v>
      </c>
      <c r="J5" s="404">
        <v>0</v>
      </c>
      <c r="K5" s="404">
        <v>0</v>
      </c>
      <c r="L5" s="404">
        <v>0</v>
      </c>
      <c r="M5" s="404">
        <v>0</v>
      </c>
      <c r="N5" s="404"/>
      <c r="O5" s="404"/>
      <c r="P5" s="404"/>
      <c r="Q5" s="404"/>
      <c r="R5" s="404">
        <f t="shared" si="0"/>
        <v>0</v>
      </c>
      <c r="S5" s="404"/>
      <c r="T5" s="403">
        <v>45356.837</v>
      </c>
      <c r="U5" s="403"/>
      <c r="V5" s="404"/>
      <c r="W5" s="404"/>
      <c r="X5" s="404"/>
      <c r="Y5" s="404"/>
      <c r="Z5" s="404"/>
      <c r="AA5" s="404"/>
      <c r="AB5" s="404"/>
      <c r="AC5" s="404"/>
      <c r="AD5" s="404"/>
      <c r="AE5" s="404"/>
      <c r="AF5" s="404"/>
      <c r="AG5" s="404"/>
      <c r="AH5" s="405">
        <f t="shared" si="1"/>
        <v>0</v>
      </c>
      <c r="AJ5" s="404">
        <v>0</v>
      </c>
      <c r="AK5" s="404">
        <v>0</v>
      </c>
      <c r="AL5" s="404">
        <v>0</v>
      </c>
      <c r="AM5" s="404">
        <v>0</v>
      </c>
      <c r="AN5" s="404">
        <v>0</v>
      </c>
      <c r="AO5" s="404">
        <v>0</v>
      </c>
      <c r="AP5" s="404">
        <v>0</v>
      </c>
      <c r="AQ5" s="404">
        <v>0</v>
      </c>
      <c r="AR5" s="404">
        <v>6678.0021921083371</v>
      </c>
      <c r="AS5" s="404">
        <v>7703.7114628803756</v>
      </c>
      <c r="AT5" s="404">
        <v>6947.8282121633847</v>
      </c>
      <c r="AU5" s="404">
        <v>5563.0640904026577</v>
      </c>
      <c r="AV5" s="405">
        <f t="shared" si="2"/>
        <v>26892.605957554755</v>
      </c>
    </row>
    <row r="6" spans="1:48" s="181" customFormat="1" outlineLevel="1">
      <c r="A6" s="401" t="s">
        <v>232</v>
      </c>
      <c r="B6" s="402" t="s">
        <v>233</v>
      </c>
      <c r="C6" s="402" t="s">
        <v>66</v>
      </c>
      <c r="D6" s="401"/>
      <c r="E6" s="403">
        <v>16076.550000000001</v>
      </c>
      <c r="F6" s="404">
        <v>0</v>
      </c>
      <c r="G6" s="404">
        <v>0</v>
      </c>
      <c r="H6" s="404">
        <v>0</v>
      </c>
      <c r="I6" s="404">
        <v>0</v>
      </c>
      <c r="J6" s="404">
        <v>0</v>
      </c>
      <c r="K6" s="404">
        <v>0</v>
      </c>
      <c r="L6" s="404">
        <v>0</v>
      </c>
      <c r="M6" s="404">
        <v>0</v>
      </c>
      <c r="N6" s="404">
        <v>0</v>
      </c>
      <c r="O6" s="404">
        <v>0</v>
      </c>
      <c r="P6" s="404">
        <v>0</v>
      </c>
      <c r="Q6" s="404">
        <v>0</v>
      </c>
      <c r="R6" s="404">
        <f t="shared" si="0"/>
        <v>0</v>
      </c>
      <c r="S6" s="404"/>
      <c r="T6" s="403">
        <v>18488.032499999998</v>
      </c>
      <c r="U6" s="403"/>
      <c r="V6" s="404">
        <v>0</v>
      </c>
      <c r="W6" s="404">
        <v>0</v>
      </c>
      <c r="X6" s="404">
        <v>0</v>
      </c>
      <c r="Y6" s="404">
        <v>0</v>
      </c>
      <c r="Z6" s="404">
        <v>0</v>
      </c>
      <c r="AA6" s="404">
        <v>0</v>
      </c>
      <c r="AB6" s="404">
        <v>0</v>
      </c>
      <c r="AC6" s="404">
        <v>0</v>
      </c>
      <c r="AD6" s="404">
        <v>0</v>
      </c>
      <c r="AE6" s="404">
        <v>0</v>
      </c>
      <c r="AF6" s="404">
        <v>0</v>
      </c>
      <c r="AG6" s="404">
        <v>0</v>
      </c>
      <c r="AH6" s="405">
        <f t="shared" si="1"/>
        <v>0</v>
      </c>
      <c r="AJ6" s="404">
        <v>0</v>
      </c>
      <c r="AK6" s="404">
        <v>0</v>
      </c>
      <c r="AL6" s="404">
        <v>0</v>
      </c>
      <c r="AM6" s="404">
        <v>0</v>
      </c>
      <c r="AN6" s="404">
        <v>0</v>
      </c>
      <c r="AO6" s="404">
        <v>0</v>
      </c>
      <c r="AP6" s="404">
        <v>0</v>
      </c>
      <c r="AQ6" s="404">
        <v>0</v>
      </c>
      <c r="AR6" s="404">
        <v>0</v>
      </c>
      <c r="AS6" s="404">
        <v>0</v>
      </c>
      <c r="AT6" s="404">
        <v>0</v>
      </c>
      <c r="AU6" s="404">
        <v>0</v>
      </c>
      <c r="AV6" s="405">
        <f t="shared" si="2"/>
        <v>0</v>
      </c>
    </row>
    <row r="7" spans="1:48" outlineLevel="1">
      <c r="A7" s="37" t="s">
        <v>234</v>
      </c>
      <c r="B7" s="41" t="s">
        <v>64</v>
      </c>
      <c r="C7" s="41" t="s">
        <v>64</v>
      </c>
      <c r="D7" s="37"/>
      <c r="E7" s="40">
        <v>87627.180000000022</v>
      </c>
      <c r="F7" s="38">
        <v>6505.6200000000008</v>
      </c>
      <c r="G7" s="38">
        <v>8602.86</v>
      </c>
      <c r="H7" s="38">
        <v>4624.32</v>
      </c>
      <c r="I7" s="38">
        <v>6294.420000000001</v>
      </c>
      <c r="J7" s="38">
        <v>0</v>
      </c>
      <c r="K7" s="38">
        <v>340.08</v>
      </c>
      <c r="L7" s="38">
        <v>0</v>
      </c>
      <c r="M7" s="38">
        <v>10675.740000000002</v>
      </c>
      <c r="N7" s="39">
        <v>0</v>
      </c>
      <c r="O7" s="39">
        <v>0</v>
      </c>
      <c r="P7" s="39">
        <v>0</v>
      </c>
      <c r="Q7" s="39">
        <v>0</v>
      </c>
      <c r="R7" s="39">
        <f t="shared" si="0"/>
        <v>37043.040000000008</v>
      </c>
      <c r="S7" s="39"/>
      <c r="T7" s="39"/>
      <c r="U7" s="39"/>
      <c r="V7" s="39">
        <v>6505.6200000000008</v>
      </c>
      <c r="W7" s="39">
        <v>8602.86</v>
      </c>
      <c r="X7" s="39">
        <v>4624.32</v>
      </c>
      <c r="Y7" s="39">
        <v>6294.420000000001</v>
      </c>
      <c r="Z7" s="39">
        <v>0</v>
      </c>
      <c r="AA7" s="39">
        <v>340.08</v>
      </c>
      <c r="AB7" s="39">
        <v>0</v>
      </c>
      <c r="AC7" s="39">
        <v>10675.740000000002</v>
      </c>
      <c r="AD7" s="39">
        <v>0</v>
      </c>
      <c r="AE7" s="39">
        <v>0</v>
      </c>
      <c r="AF7" s="39">
        <v>0</v>
      </c>
      <c r="AG7" s="39">
        <v>0</v>
      </c>
      <c r="AH7" s="45">
        <f t="shared" si="1"/>
        <v>37043.040000000008</v>
      </c>
      <c r="AJ7" s="39">
        <v>6505.6200000000008</v>
      </c>
      <c r="AK7" s="39">
        <v>8602.86</v>
      </c>
      <c r="AL7" s="39">
        <v>4624.32</v>
      </c>
      <c r="AM7" s="39">
        <v>6294.420000000001</v>
      </c>
      <c r="AN7" s="39">
        <v>0</v>
      </c>
      <c r="AO7" s="39">
        <v>340.08</v>
      </c>
      <c r="AP7" s="39">
        <v>0</v>
      </c>
      <c r="AQ7" s="39">
        <v>10675.740000000002</v>
      </c>
      <c r="AR7" s="39">
        <v>0</v>
      </c>
      <c r="AS7" s="39">
        <v>0</v>
      </c>
      <c r="AT7" s="39">
        <v>0</v>
      </c>
      <c r="AU7" s="39">
        <v>0</v>
      </c>
      <c r="AV7" s="45">
        <f t="shared" si="2"/>
        <v>37043.040000000008</v>
      </c>
    </row>
    <row r="8" spans="1:48" outlineLevel="1">
      <c r="A8" s="37" t="s">
        <v>235</v>
      </c>
      <c r="B8" s="41" t="s">
        <v>236</v>
      </c>
      <c r="C8" s="41" t="s">
        <v>65</v>
      </c>
      <c r="D8" s="37"/>
      <c r="E8" s="40"/>
      <c r="F8" s="38">
        <v>0</v>
      </c>
      <c r="G8" s="38">
        <v>0</v>
      </c>
      <c r="H8" s="38">
        <v>0</v>
      </c>
      <c r="I8" s="38">
        <v>0</v>
      </c>
      <c r="J8" s="38">
        <v>0</v>
      </c>
      <c r="K8" s="38">
        <v>2691.12</v>
      </c>
      <c r="L8" s="38">
        <v>0</v>
      </c>
      <c r="M8" s="38">
        <v>0</v>
      </c>
      <c r="N8" s="39">
        <v>0</v>
      </c>
      <c r="O8" s="39">
        <v>0</v>
      </c>
      <c r="P8" s="39">
        <v>5000</v>
      </c>
      <c r="Q8" s="39">
        <v>0</v>
      </c>
      <c r="R8" s="39">
        <f t="shared" si="0"/>
        <v>7691.12</v>
      </c>
      <c r="S8" s="39"/>
      <c r="T8" s="40"/>
      <c r="U8" s="40"/>
      <c r="V8" s="39">
        <v>3000</v>
      </c>
      <c r="W8" s="39">
        <v>0</v>
      </c>
      <c r="X8" s="39">
        <v>0</v>
      </c>
      <c r="Y8" s="39"/>
      <c r="Z8" s="39">
        <v>3000</v>
      </c>
      <c r="AA8" s="39"/>
      <c r="AB8" s="39"/>
      <c r="AC8" s="39">
        <v>5000</v>
      </c>
      <c r="AD8" s="39">
        <v>0</v>
      </c>
      <c r="AE8" s="39">
        <v>0</v>
      </c>
      <c r="AF8" s="39">
        <v>0</v>
      </c>
      <c r="AG8" s="39">
        <v>0</v>
      </c>
      <c r="AH8" s="45">
        <f t="shared" si="1"/>
        <v>11000</v>
      </c>
      <c r="AJ8" s="39">
        <v>0</v>
      </c>
      <c r="AK8" s="39">
        <v>0</v>
      </c>
      <c r="AL8" s="39">
        <v>0</v>
      </c>
      <c r="AM8" s="39">
        <v>0</v>
      </c>
      <c r="AN8" s="39">
        <v>0</v>
      </c>
      <c r="AO8" s="39">
        <v>2691.12</v>
      </c>
      <c r="AP8" s="39">
        <v>0</v>
      </c>
      <c r="AQ8" s="39">
        <v>0</v>
      </c>
      <c r="AR8" s="39">
        <v>0</v>
      </c>
      <c r="AS8" s="39">
        <v>0</v>
      </c>
      <c r="AT8" s="39">
        <v>0</v>
      </c>
      <c r="AU8" s="39">
        <v>0</v>
      </c>
      <c r="AV8" s="45">
        <f t="shared" si="2"/>
        <v>2691.12</v>
      </c>
    </row>
    <row r="9" spans="1:48" outlineLevel="1">
      <c r="A9" s="37" t="s">
        <v>237</v>
      </c>
      <c r="B9" s="41" t="s">
        <v>238</v>
      </c>
      <c r="C9" s="41" t="s">
        <v>67</v>
      </c>
      <c r="D9" s="37"/>
      <c r="E9" s="40"/>
      <c r="F9" s="38">
        <v>0</v>
      </c>
      <c r="G9" s="38">
        <v>0</v>
      </c>
      <c r="H9" s="38">
        <v>0</v>
      </c>
      <c r="I9" s="38">
        <v>0</v>
      </c>
      <c r="J9" s="38">
        <v>0</v>
      </c>
      <c r="K9" s="38">
        <v>0</v>
      </c>
      <c r="L9" s="38">
        <v>0</v>
      </c>
      <c r="M9" s="38">
        <v>92940</v>
      </c>
      <c r="N9" s="39">
        <v>0</v>
      </c>
      <c r="O9" s="39">
        <v>0</v>
      </c>
      <c r="P9" s="39">
        <v>0</v>
      </c>
      <c r="Q9" s="39">
        <v>0</v>
      </c>
      <c r="R9" s="39">
        <f t="shared" si="0"/>
        <v>92940</v>
      </c>
      <c r="S9" s="39"/>
      <c r="T9" s="40"/>
      <c r="U9" s="40"/>
      <c r="V9" s="39">
        <v>0</v>
      </c>
      <c r="W9" s="39">
        <v>40000</v>
      </c>
      <c r="X9" s="39">
        <v>40000</v>
      </c>
      <c r="Y9" s="39">
        <v>0</v>
      </c>
      <c r="Z9" s="39">
        <v>0</v>
      </c>
      <c r="AA9" s="39">
        <v>0</v>
      </c>
      <c r="AB9" s="39">
        <v>0</v>
      </c>
      <c r="AC9" s="39">
        <v>60000</v>
      </c>
      <c r="AD9" s="39">
        <v>60000</v>
      </c>
      <c r="AE9" s="39">
        <v>0</v>
      </c>
      <c r="AF9" s="39">
        <v>0</v>
      </c>
      <c r="AG9" s="39">
        <v>0</v>
      </c>
      <c r="AH9" s="45">
        <f t="shared" si="1"/>
        <v>200000</v>
      </c>
      <c r="AJ9" s="39">
        <v>0</v>
      </c>
      <c r="AK9" s="39">
        <v>0</v>
      </c>
      <c r="AL9" s="39">
        <v>0</v>
      </c>
      <c r="AM9" s="39">
        <v>0</v>
      </c>
      <c r="AN9" s="39">
        <v>0</v>
      </c>
      <c r="AO9" s="39">
        <v>0</v>
      </c>
      <c r="AP9" s="39">
        <v>0</v>
      </c>
      <c r="AQ9" s="39">
        <v>92940</v>
      </c>
      <c r="AR9" s="39">
        <v>0</v>
      </c>
      <c r="AS9" s="39">
        <v>0</v>
      </c>
      <c r="AT9" s="39">
        <v>0</v>
      </c>
      <c r="AU9" s="39">
        <v>0</v>
      </c>
      <c r="AV9" s="45">
        <f t="shared" si="2"/>
        <v>92940</v>
      </c>
    </row>
    <row r="10" spans="1:48" outlineLevel="1">
      <c r="A10" s="13" t="s">
        <v>239</v>
      </c>
      <c r="B10" s="41" t="s">
        <v>64</v>
      </c>
      <c r="C10" s="41" t="s">
        <v>64</v>
      </c>
      <c r="E10" s="40">
        <v>51676.290000000008</v>
      </c>
      <c r="F10" s="38">
        <v>0</v>
      </c>
      <c r="G10" s="38">
        <v>2554.92</v>
      </c>
      <c r="H10" s="38">
        <v>0</v>
      </c>
      <c r="I10" s="38">
        <v>3820.5000000000009</v>
      </c>
      <c r="J10" s="38">
        <v>2318.94</v>
      </c>
      <c r="K10" s="38">
        <v>0</v>
      </c>
      <c r="L10" s="38">
        <v>1571.6399999999999</v>
      </c>
      <c r="M10" s="38">
        <v>0</v>
      </c>
      <c r="N10" s="39">
        <v>0</v>
      </c>
      <c r="O10" s="39">
        <v>0</v>
      </c>
      <c r="P10" s="39">
        <v>0</v>
      </c>
      <c r="Q10" s="39">
        <v>0</v>
      </c>
      <c r="R10" s="39">
        <f t="shared" si="0"/>
        <v>10266</v>
      </c>
      <c r="S10" s="39"/>
      <c r="T10" s="39"/>
      <c r="U10" s="39"/>
      <c r="V10" s="39">
        <v>0</v>
      </c>
      <c r="W10" s="39">
        <v>2554.92</v>
      </c>
      <c r="X10" s="39">
        <v>0</v>
      </c>
      <c r="Y10" s="39">
        <v>3820.5000000000009</v>
      </c>
      <c r="Z10" s="39">
        <v>2318.94</v>
      </c>
      <c r="AA10" s="39">
        <v>0</v>
      </c>
      <c r="AB10" s="39">
        <v>1571.6399999999999</v>
      </c>
      <c r="AC10" s="39">
        <v>0</v>
      </c>
      <c r="AD10" s="39">
        <v>0</v>
      </c>
      <c r="AE10" s="39">
        <v>0</v>
      </c>
      <c r="AF10" s="39">
        <v>0</v>
      </c>
      <c r="AG10" s="39">
        <v>0</v>
      </c>
      <c r="AH10" s="45">
        <f t="shared" si="1"/>
        <v>10266</v>
      </c>
      <c r="AJ10" s="39">
        <v>0</v>
      </c>
      <c r="AK10" s="39">
        <v>2554.92</v>
      </c>
      <c r="AL10" s="39">
        <v>0</v>
      </c>
      <c r="AM10" s="39">
        <v>3820.5000000000009</v>
      </c>
      <c r="AN10" s="39">
        <v>2318.94</v>
      </c>
      <c r="AO10" s="39">
        <v>0</v>
      </c>
      <c r="AP10" s="39">
        <v>1571.6399999999999</v>
      </c>
      <c r="AQ10" s="39">
        <v>0</v>
      </c>
      <c r="AR10" s="39">
        <v>0</v>
      </c>
      <c r="AS10" s="39">
        <v>0</v>
      </c>
      <c r="AT10" s="39">
        <v>0</v>
      </c>
      <c r="AU10" s="39">
        <v>0</v>
      </c>
      <c r="AV10" s="45">
        <f t="shared" si="2"/>
        <v>10266</v>
      </c>
    </row>
    <row r="11" spans="1:48" outlineLevel="1">
      <c r="A11" s="13" t="s">
        <v>240</v>
      </c>
      <c r="B11" s="41" t="s">
        <v>64</v>
      </c>
      <c r="C11" s="41" t="s">
        <v>64</v>
      </c>
      <c r="E11" s="40"/>
      <c r="F11" s="38">
        <v>0</v>
      </c>
      <c r="G11" s="38">
        <v>0</v>
      </c>
      <c r="H11" s="38">
        <v>2809.7999999999997</v>
      </c>
      <c r="I11" s="38">
        <v>1899.0000000000002</v>
      </c>
      <c r="J11" s="38">
        <v>188.1</v>
      </c>
      <c r="K11" s="38">
        <v>0</v>
      </c>
      <c r="L11" s="38">
        <v>0</v>
      </c>
      <c r="M11" s="38">
        <v>0</v>
      </c>
      <c r="N11" s="39">
        <v>0</v>
      </c>
      <c r="O11" s="39">
        <v>0</v>
      </c>
      <c r="P11" s="39">
        <v>0</v>
      </c>
      <c r="Q11" s="39">
        <v>0</v>
      </c>
      <c r="R11" s="39">
        <f t="shared" si="0"/>
        <v>4896.9000000000005</v>
      </c>
      <c r="S11" s="39"/>
      <c r="T11" s="40"/>
      <c r="U11" s="40"/>
      <c r="V11" s="39">
        <v>0</v>
      </c>
      <c r="W11" s="39">
        <v>0</v>
      </c>
      <c r="X11" s="39">
        <v>2809.7999999999997</v>
      </c>
      <c r="Y11" s="39">
        <v>1899.0000000000002</v>
      </c>
      <c r="Z11" s="39">
        <v>188.1</v>
      </c>
      <c r="AA11" s="39">
        <v>0</v>
      </c>
      <c r="AB11" s="39">
        <v>0</v>
      </c>
      <c r="AC11" s="39">
        <v>0</v>
      </c>
      <c r="AD11" s="39">
        <v>0</v>
      </c>
      <c r="AE11" s="39">
        <v>0</v>
      </c>
      <c r="AF11" s="39">
        <v>0</v>
      </c>
      <c r="AG11" s="39">
        <v>0</v>
      </c>
      <c r="AH11" s="45">
        <f t="shared" si="1"/>
        <v>4896.9000000000005</v>
      </c>
      <c r="AJ11" s="39">
        <v>0</v>
      </c>
      <c r="AK11" s="39">
        <v>0</v>
      </c>
      <c r="AL11" s="39">
        <v>2809.7999999999997</v>
      </c>
      <c r="AM11" s="39">
        <v>1899.0000000000002</v>
      </c>
      <c r="AN11" s="39">
        <v>188.1</v>
      </c>
      <c r="AO11" s="39">
        <v>0</v>
      </c>
      <c r="AP11" s="39">
        <v>0</v>
      </c>
      <c r="AQ11" s="39">
        <v>0</v>
      </c>
      <c r="AR11" s="39">
        <v>0</v>
      </c>
      <c r="AS11" s="39">
        <v>0</v>
      </c>
      <c r="AT11" s="39">
        <v>0</v>
      </c>
      <c r="AU11" s="39">
        <v>0</v>
      </c>
      <c r="AV11" s="45">
        <f t="shared" si="2"/>
        <v>4896.9000000000005</v>
      </c>
    </row>
    <row r="12" spans="1:48" outlineLevel="1">
      <c r="A12" s="13" t="s">
        <v>241</v>
      </c>
      <c r="B12" s="41" t="s">
        <v>242</v>
      </c>
      <c r="C12" s="41" t="s">
        <v>67</v>
      </c>
      <c r="E12" s="40"/>
      <c r="F12" s="38">
        <v>0</v>
      </c>
      <c r="G12" s="38">
        <v>39927.300000000003</v>
      </c>
      <c r="H12" s="38">
        <v>0</v>
      </c>
      <c r="I12" s="38">
        <v>0</v>
      </c>
      <c r="J12" s="38">
        <v>0</v>
      </c>
      <c r="K12" s="38">
        <v>0</v>
      </c>
      <c r="L12" s="38">
        <v>0</v>
      </c>
      <c r="M12" s="38">
        <v>23850.12</v>
      </c>
      <c r="N12" s="39">
        <v>0</v>
      </c>
      <c r="O12" s="39">
        <v>0</v>
      </c>
      <c r="P12" s="39">
        <v>0</v>
      </c>
      <c r="Q12" s="39">
        <v>0</v>
      </c>
      <c r="R12" s="39">
        <f t="shared" si="0"/>
        <v>63777.42</v>
      </c>
      <c r="S12" s="39"/>
      <c r="T12" s="40"/>
      <c r="U12" s="40"/>
      <c r="V12" s="39">
        <v>15000</v>
      </c>
      <c r="W12" s="39">
        <v>15000</v>
      </c>
      <c r="X12" s="39">
        <v>0</v>
      </c>
      <c r="Y12" s="39">
        <v>0</v>
      </c>
      <c r="Z12" s="39">
        <v>0</v>
      </c>
      <c r="AA12" s="39">
        <v>0</v>
      </c>
      <c r="AB12" s="39">
        <v>0</v>
      </c>
      <c r="AC12" s="39">
        <v>15000</v>
      </c>
      <c r="AD12" s="39">
        <v>15000</v>
      </c>
      <c r="AE12" s="39">
        <v>0</v>
      </c>
      <c r="AF12" s="39">
        <v>0</v>
      </c>
      <c r="AG12" s="39">
        <v>0</v>
      </c>
      <c r="AH12" s="45">
        <f t="shared" si="1"/>
        <v>60000</v>
      </c>
      <c r="AJ12" s="39">
        <v>0</v>
      </c>
      <c r="AK12" s="39">
        <v>39927.300000000003</v>
      </c>
      <c r="AL12" s="39">
        <v>0</v>
      </c>
      <c r="AM12" s="39">
        <v>0</v>
      </c>
      <c r="AN12" s="39">
        <v>0</v>
      </c>
      <c r="AO12" s="39">
        <v>0</v>
      </c>
      <c r="AP12" s="39">
        <v>0</v>
      </c>
      <c r="AQ12" s="39">
        <v>23850.12</v>
      </c>
      <c r="AR12" s="39">
        <v>0</v>
      </c>
      <c r="AS12" s="39">
        <v>0</v>
      </c>
      <c r="AT12" s="39">
        <v>0</v>
      </c>
      <c r="AU12" s="39">
        <v>0</v>
      </c>
      <c r="AV12" s="45">
        <f t="shared" si="2"/>
        <v>63777.42</v>
      </c>
    </row>
    <row r="13" spans="1:48" outlineLevel="1">
      <c r="A13" s="13" t="s">
        <v>243</v>
      </c>
      <c r="B13" s="41" t="s">
        <v>64</v>
      </c>
      <c r="C13" s="41" t="s">
        <v>64</v>
      </c>
      <c r="E13" s="40">
        <v>42153.359999999993</v>
      </c>
      <c r="F13" s="38">
        <v>3526.04</v>
      </c>
      <c r="G13" s="38">
        <v>2494.7599999999998</v>
      </c>
      <c r="H13" s="38">
        <v>4227.84</v>
      </c>
      <c r="I13" s="38">
        <v>3011.1699999999996</v>
      </c>
      <c r="J13" s="38">
        <v>2502.6</v>
      </c>
      <c r="K13" s="38">
        <v>2867.64</v>
      </c>
      <c r="L13" s="38">
        <v>5044.6000000000004</v>
      </c>
      <c r="M13" s="38">
        <v>2260.3200000000002</v>
      </c>
      <c r="N13" s="39">
        <v>0</v>
      </c>
      <c r="O13" s="39">
        <v>0</v>
      </c>
      <c r="P13" s="39">
        <v>0</v>
      </c>
      <c r="Q13" s="39">
        <v>0</v>
      </c>
      <c r="R13" s="39">
        <f t="shared" si="0"/>
        <v>25934.97</v>
      </c>
      <c r="S13" s="39"/>
      <c r="T13" s="39"/>
      <c r="U13" s="39"/>
      <c r="V13" s="39">
        <v>3526.04</v>
      </c>
      <c r="W13" s="39">
        <v>2494.7599999999998</v>
      </c>
      <c r="X13" s="39">
        <v>4227.84</v>
      </c>
      <c r="Y13" s="39">
        <v>3011.1699999999996</v>
      </c>
      <c r="Z13" s="39">
        <v>2502.6</v>
      </c>
      <c r="AA13" s="39">
        <v>2867.64</v>
      </c>
      <c r="AB13" s="39">
        <v>5044.6000000000004</v>
      </c>
      <c r="AC13" s="39">
        <v>2260.3200000000002</v>
      </c>
      <c r="AD13" s="39">
        <v>0</v>
      </c>
      <c r="AE13" s="39">
        <v>0</v>
      </c>
      <c r="AF13" s="39">
        <v>0</v>
      </c>
      <c r="AG13" s="39">
        <v>0</v>
      </c>
      <c r="AH13" s="45">
        <f t="shared" si="1"/>
        <v>25934.97</v>
      </c>
      <c r="AJ13" s="39">
        <v>3526.04</v>
      </c>
      <c r="AK13" s="39">
        <v>2494.7599999999998</v>
      </c>
      <c r="AL13" s="39">
        <v>4227.84</v>
      </c>
      <c r="AM13" s="39">
        <v>3011.1699999999996</v>
      </c>
      <c r="AN13" s="39">
        <v>2502.6</v>
      </c>
      <c r="AO13" s="39">
        <v>2867.64</v>
      </c>
      <c r="AP13" s="39">
        <v>5044.6000000000004</v>
      </c>
      <c r="AQ13" s="39">
        <v>2260.3200000000002</v>
      </c>
      <c r="AR13" s="39">
        <v>0</v>
      </c>
      <c r="AS13" s="39">
        <v>0</v>
      </c>
      <c r="AT13" s="39">
        <v>0</v>
      </c>
      <c r="AU13" s="39">
        <v>0</v>
      </c>
      <c r="AV13" s="45">
        <f t="shared" si="2"/>
        <v>25934.97</v>
      </c>
    </row>
    <row r="14" spans="1:48" outlineLevel="1">
      <c r="A14" s="13" t="s">
        <v>244</v>
      </c>
      <c r="B14" s="41" t="s">
        <v>245</v>
      </c>
      <c r="C14" s="41" t="s">
        <v>65</v>
      </c>
      <c r="E14" s="40"/>
      <c r="F14" s="38">
        <v>0</v>
      </c>
      <c r="G14" s="38">
        <v>0</v>
      </c>
      <c r="H14" s="38">
        <v>3800.4699999999993</v>
      </c>
      <c r="I14" s="38">
        <v>0</v>
      </c>
      <c r="J14" s="38">
        <v>0</v>
      </c>
      <c r="K14" s="38">
        <v>2848.8799999999997</v>
      </c>
      <c r="L14" s="38">
        <v>434.61999999999989</v>
      </c>
      <c r="M14" s="38">
        <v>0</v>
      </c>
      <c r="N14" s="39">
        <v>0</v>
      </c>
      <c r="O14" s="39">
        <v>5000</v>
      </c>
      <c r="P14" s="39">
        <v>0</v>
      </c>
      <c r="Q14" s="39">
        <v>0</v>
      </c>
      <c r="R14" s="39">
        <f t="shared" si="0"/>
        <v>12083.969999999998</v>
      </c>
      <c r="S14" s="39"/>
      <c r="T14" s="40"/>
      <c r="U14" s="40"/>
      <c r="V14" s="39">
        <v>0</v>
      </c>
      <c r="W14" s="39">
        <v>0</v>
      </c>
      <c r="X14" s="39">
        <v>3800.4699999999993</v>
      </c>
      <c r="Y14" s="39">
        <v>0</v>
      </c>
      <c r="Z14" s="39">
        <v>0</v>
      </c>
      <c r="AA14" s="39">
        <v>2848.8799999999997</v>
      </c>
      <c r="AB14" s="39"/>
      <c r="AC14" s="39">
        <v>0</v>
      </c>
      <c r="AD14" s="39">
        <v>0</v>
      </c>
      <c r="AE14" s="39">
        <v>5000</v>
      </c>
      <c r="AF14" s="39">
        <v>0</v>
      </c>
      <c r="AG14" s="39">
        <v>0</v>
      </c>
      <c r="AH14" s="45">
        <f t="shared" si="1"/>
        <v>11649.349999999999</v>
      </c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45">
        <f t="shared" si="2"/>
        <v>0</v>
      </c>
    </row>
    <row r="15" spans="1:48" outlineLevel="1">
      <c r="A15" s="37" t="s">
        <v>246</v>
      </c>
      <c r="B15" s="41" t="s">
        <v>247</v>
      </c>
      <c r="C15" s="41" t="s">
        <v>65</v>
      </c>
      <c r="D15" s="37"/>
      <c r="E15" s="40">
        <v>18095.309999999998</v>
      </c>
      <c r="F15" s="38">
        <v>2965.3200000000006</v>
      </c>
      <c r="G15" s="38">
        <v>0</v>
      </c>
      <c r="H15" s="38">
        <v>0</v>
      </c>
      <c r="I15" s="38">
        <v>9368.82</v>
      </c>
      <c r="J15" s="38">
        <v>0</v>
      </c>
      <c r="K15" s="38">
        <v>0</v>
      </c>
      <c r="L15" s="38">
        <v>0</v>
      </c>
      <c r="M15" s="38">
        <v>0</v>
      </c>
      <c r="N15" s="39">
        <v>1784.2988247389878</v>
      </c>
      <c r="O15" s="39">
        <v>2058.358609943195</v>
      </c>
      <c r="P15" s="39">
        <v>1856.3937771840724</v>
      </c>
      <c r="Q15" s="39">
        <v>1486.3979425138975</v>
      </c>
      <c r="R15" s="39">
        <f t="shared" si="0"/>
        <v>19519.589154380152</v>
      </c>
      <c r="S15" s="39"/>
      <c r="T15" s="40">
        <v>20809.606499999994</v>
      </c>
      <c r="U15" s="40"/>
      <c r="V15" s="39">
        <v>2965.3200000000006</v>
      </c>
      <c r="W15" s="39">
        <v>0</v>
      </c>
      <c r="X15" s="39">
        <v>0</v>
      </c>
      <c r="Y15" s="39">
        <v>9368.82</v>
      </c>
      <c r="Z15" s="39">
        <v>0</v>
      </c>
      <c r="AA15" s="39">
        <v>0</v>
      </c>
      <c r="AB15" s="39">
        <v>0</v>
      </c>
      <c r="AC15" s="39">
        <v>0</v>
      </c>
      <c r="AD15" s="39">
        <v>1784.2988247389878</v>
      </c>
      <c r="AE15" s="39">
        <v>2058.358609943195</v>
      </c>
      <c r="AF15" s="39">
        <v>1856.3937771840724</v>
      </c>
      <c r="AG15" s="39">
        <v>1486.3979425138975</v>
      </c>
      <c r="AH15" s="45">
        <f t="shared" si="1"/>
        <v>19519.589154380152</v>
      </c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45">
        <f t="shared" si="2"/>
        <v>0</v>
      </c>
    </row>
    <row r="16" spans="1:48" outlineLevel="1">
      <c r="A16" s="37" t="s">
        <v>248</v>
      </c>
      <c r="B16" s="41" t="s">
        <v>64</v>
      </c>
      <c r="C16" s="41" t="s">
        <v>64</v>
      </c>
      <c r="D16" s="37"/>
      <c r="E16" s="40">
        <v>954811.47999999986</v>
      </c>
      <c r="F16" s="38">
        <v>62109.889999999992</v>
      </c>
      <c r="G16" s="38">
        <v>34881.200000000004</v>
      </c>
      <c r="H16" s="38">
        <v>65462.32</v>
      </c>
      <c r="I16" s="38">
        <v>56611.38</v>
      </c>
      <c r="J16" s="38"/>
      <c r="K16" s="38">
        <v>52025.279999999999</v>
      </c>
      <c r="L16" s="38">
        <v>55500.08</v>
      </c>
      <c r="M16" s="38">
        <v>53579.94</v>
      </c>
      <c r="N16" s="39">
        <v>130703.61726932625</v>
      </c>
      <c r="O16" s="39">
        <v>150779.06919340874</v>
      </c>
      <c r="P16" s="39">
        <v>135984.72318095012</v>
      </c>
      <c r="Q16" s="39">
        <v>108881.75517162598</v>
      </c>
      <c r="R16" s="39">
        <f t="shared" si="0"/>
        <v>906519.25481531117</v>
      </c>
      <c r="S16" s="39"/>
      <c r="T16" s="39">
        <v>1100005.3665411538</v>
      </c>
      <c r="U16" s="39"/>
      <c r="V16" s="39">
        <v>62109.889999999992</v>
      </c>
      <c r="W16" s="39">
        <v>34881.200000000004</v>
      </c>
      <c r="X16" s="39">
        <v>65462.32</v>
      </c>
      <c r="Y16" s="39">
        <v>56611.38</v>
      </c>
      <c r="Z16" s="39"/>
      <c r="AA16" s="39">
        <v>52025.279999999999</v>
      </c>
      <c r="AB16" s="39">
        <v>55500.08</v>
      </c>
      <c r="AC16" s="39">
        <v>53579.94</v>
      </c>
      <c r="AD16" s="39">
        <v>130703.61726932625</v>
      </c>
      <c r="AE16" s="39">
        <v>150779.06919340874</v>
      </c>
      <c r="AF16" s="39">
        <v>135984.72318095012</v>
      </c>
      <c r="AG16" s="39">
        <v>108881.75517162598</v>
      </c>
      <c r="AH16" s="45">
        <f t="shared" si="1"/>
        <v>906519.25481531117</v>
      </c>
      <c r="AJ16" s="39">
        <v>62109.889999999992</v>
      </c>
      <c r="AK16" s="39">
        <v>34881.200000000004</v>
      </c>
      <c r="AL16" s="39">
        <v>65462.32</v>
      </c>
      <c r="AM16" s="39">
        <v>56611.38</v>
      </c>
      <c r="AN16" s="39"/>
      <c r="AO16" s="39">
        <v>52025.279999999999</v>
      </c>
      <c r="AP16" s="39">
        <v>55500.08</v>
      </c>
      <c r="AQ16" s="39">
        <v>53579.94</v>
      </c>
      <c r="AR16" s="39">
        <v>130703.61726932625</v>
      </c>
      <c r="AS16" s="39">
        <v>150779.06919340874</v>
      </c>
      <c r="AT16" s="39">
        <v>135984.72318095012</v>
      </c>
      <c r="AU16" s="39">
        <v>108881.75517162598</v>
      </c>
      <c r="AV16" s="45">
        <f t="shared" si="2"/>
        <v>906519.25481531117</v>
      </c>
    </row>
    <row r="17" spans="1:48" outlineLevel="1">
      <c r="A17" s="13" t="s">
        <v>249</v>
      </c>
      <c r="B17" s="41" t="s">
        <v>245</v>
      </c>
      <c r="C17" s="41" t="s">
        <v>65</v>
      </c>
      <c r="E17" s="40"/>
      <c r="F17" s="38">
        <v>0</v>
      </c>
      <c r="G17" s="38">
        <v>3756.6799999999994</v>
      </c>
      <c r="H17" s="38">
        <v>-3756.6799999999994</v>
      </c>
      <c r="I17" s="38">
        <v>0</v>
      </c>
      <c r="J17" s="38">
        <v>0</v>
      </c>
      <c r="K17" s="38">
        <v>0</v>
      </c>
      <c r="L17" s="38">
        <v>0</v>
      </c>
      <c r="M17" s="38">
        <v>0</v>
      </c>
      <c r="N17" s="39">
        <v>0</v>
      </c>
      <c r="O17" s="39">
        <v>0</v>
      </c>
      <c r="P17" s="39">
        <v>0</v>
      </c>
      <c r="Q17" s="39">
        <v>0</v>
      </c>
      <c r="R17" s="39">
        <f t="shared" si="0"/>
        <v>0</v>
      </c>
      <c r="S17" s="39"/>
      <c r="T17" s="40"/>
      <c r="U17" s="40"/>
      <c r="V17" s="39">
        <v>0</v>
      </c>
      <c r="W17" s="39">
        <v>3756.6799999999994</v>
      </c>
      <c r="X17" s="39">
        <v>-3756.6799999999994</v>
      </c>
      <c r="Y17" s="39">
        <v>0</v>
      </c>
      <c r="Z17" s="39">
        <v>0</v>
      </c>
      <c r="AA17" s="39">
        <v>0</v>
      </c>
      <c r="AB17" s="39">
        <v>0</v>
      </c>
      <c r="AC17" s="39">
        <v>0</v>
      </c>
      <c r="AD17" s="39">
        <v>0</v>
      </c>
      <c r="AE17" s="39">
        <v>0</v>
      </c>
      <c r="AF17" s="39">
        <v>0</v>
      </c>
      <c r="AG17" s="39">
        <v>0</v>
      </c>
      <c r="AH17" s="45">
        <f t="shared" si="1"/>
        <v>0</v>
      </c>
      <c r="AJ17" s="39">
        <v>0</v>
      </c>
      <c r="AK17" s="39"/>
      <c r="AL17" s="39"/>
      <c r="AM17" s="39">
        <v>0</v>
      </c>
      <c r="AN17" s="39">
        <v>0</v>
      </c>
      <c r="AO17" s="39">
        <v>0</v>
      </c>
      <c r="AP17" s="39">
        <v>0</v>
      </c>
      <c r="AQ17" s="39">
        <v>0</v>
      </c>
      <c r="AR17" s="39">
        <v>0</v>
      </c>
      <c r="AS17" s="39">
        <v>0</v>
      </c>
      <c r="AT17" s="39">
        <v>0</v>
      </c>
      <c r="AU17" s="39">
        <v>0</v>
      </c>
      <c r="AV17" s="45">
        <f t="shared" si="2"/>
        <v>0</v>
      </c>
    </row>
    <row r="18" spans="1:48" outlineLevel="1">
      <c r="A18" s="13" t="s">
        <v>250</v>
      </c>
      <c r="B18" s="41" t="s">
        <v>251</v>
      </c>
      <c r="C18" s="41" t="s">
        <v>65</v>
      </c>
      <c r="E18" s="40"/>
      <c r="F18" s="38">
        <v>2359.1899999999996</v>
      </c>
      <c r="G18" s="38">
        <v>3946.66</v>
      </c>
      <c r="H18" s="38">
        <v>1109.07</v>
      </c>
      <c r="I18" s="38">
        <v>3231.1200000000003</v>
      </c>
      <c r="J18" s="38">
        <v>1911.7299999999998</v>
      </c>
      <c r="K18" s="38">
        <v>1401.2899999999997</v>
      </c>
      <c r="L18" s="38">
        <v>1400.9800000000002</v>
      </c>
      <c r="M18" s="38">
        <v>1672.2599999999995</v>
      </c>
      <c r="N18" s="39">
        <v>0</v>
      </c>
      <c r="O18" s="39">
        <v>2000</v>
      </c>
      <c r="P18" s="39">
        <v>2000</v>
      </c>
      <c r="Q18" s="39">
        <v>2000</v>
      </c>
      <c r="R18" s="39">
        <f t="shared" si="0"/>
        <v>23032.299999999996</v>
      </c>
      <c r="S18" s="39"/>
      <c r="T18" s="40"/>
      <c r="U18" s="40"/>
      <c r="V18" s="39">
        <v>2000</v>
      </c>
      <c r="W18" s="39">
        <v>2000</v>
      </c>
      <c r="X18" s="39">
        <v>2000</v>
      </c>
      <c r="Y18" s="39">
        <v>2000</v>
      </c>
      <c r="Z18" s="39">
        <v>2000</v>
      </c>
      <c r="AA18" s="39">
        <v>2000</v>
      </c>
      <c r="AB18" s="39">
        <v>2000</v>
      </c>
      <c r="AC18" s="39">
        <v>2000</v>
      </c>
      <c r="AD18" s="39">
        <v>2000</v>
      </c>
      <c r="AE18" s="39">
        <v>2000</v>
      </c>
      <c r="AF18" s="39">
        <v>2000</v>
      </c>
      <c r="AG18" s="39">
        <v>2000</v>
      </c>
      <c r="AH18" s="45">
        <f t="shared" si="1"/>
        <v>24000</v>
      </c>
      <c r="AJ18" s="39">
        <v>2359.1899999999996</v>
      </c>
      <c r="AK18" s="39">
        <v>3946.66</v>
      </c>
      <c r="AL18" s="39">
        <v>1109.07</v>
      </c>
      <c r="AM18" s="39">
        <v>3231.1200000000003</v>
      </c>
      <c r="AN18" s="39">
        <v>1911.7299999999998</v>
      </c>
      <c r="AO18" s="39">
        <v>1401.2899999999997</v>
      </c>
      <c r="AP18" s="39">
        <v>1400.9800000000002</v>
      </c>
      <c r="AQ18" s="39">
        <v>1672.2599999999995</v>
      </c>
      <c r="AR18" s="39">
        <v>0</v>
      </c>
      <c r="AS18" s="39">
        <v>0</v>
      </c>
      <c r="AT18" s="39">
        <v>0</v>
      </c>
      <c r="AU18" s="39">
        <v>0</v>
      </c>
      <c r="AV18" s="45">
        <f t="shared" si="2"/>
        <v>17032.299999999996</v>
      </c>
    </row>
    <row r="19" spans="1:48" outlineLevel="1">
      <c r="A19" s="13" t="s">
        <v>252</v>
      </c>
      <c r="B19" s="41" t="s">
        <v>64</v>
      </c>
      <c r="C19" s="41" t="s">
        <v>64</v>
      </c>
      <c r="E19" s="40">
        <v>4400.76</v>
      </c>
      <c r="F19" s="38">
        <v>2958.36</v>
      </c>
      <c r="G19" s="38">
        <v>0</v>
      </c>
      <c r="H19" s="38">
        <v>0</v>
      </c>
      <c r="I19" s="38">
        <v>0</v>
      </c>
      <c r="J19" s="38">
        <v>0</v>
      </c>
      <c r="K19" s="38">
        <v>0</v>
      </c>
      <c r="L19" s="38">
        <v>0</v>
      </c>
      <c r="M19" s="38">
        <v>1116.24</v>
      </c>
      <c r="N19" s="39">
        <v>0</v>
      </c>
      <c r="O19" s="39">
        <v>0</v>
      </c>
      <c r="P19" s="39">
        <v>0</v>
      </c>
      <c r="Q19" s="39">
        <v>0</v>
      </c>
      <c r="R19" s="39">
        <f t="shared" si="0"/>
        <v>4074.6000000000004</v>
      </c>
      <c r="S19" s="39"/>
      <c r="T19" s="39"/>
      <c r="U19" s="39"/>
      <c r="V19" s="39">
        <v>2958.36</v>
      </c>
      <c r="W19" s="39">
        <v>0</v>
      </c>
      <c r="X19" s="39">
        <v>0</v>
      </c>
      <c r="Y19" s="39">
        <v>0</v>
      </c>
      <c r="Z19" s="39">
        <v>0</v>
      </c>
      <c r="AA19" s="39">
        <v>0</v>
      </c>
      <c r="AB19" s="39">
        <v>0</v>
      </c>
      <c r="AC19" s="39">
        <v>1116.24</v>
      </c>
      <c r="AD19" s="39">
        <v>0</v>
      </c>
      <c r="AE19" s="39">
        <v>0</v>
      </c>
      <c r="AF19" s="39">
        <v>0</v>
      </c>
      <c r="AG19" s="39">
        <v>0</v>
      </c>
      <c r="AH19" s="45">
        <f t="shared" si="1"/>
        <v>4074.6000000000004</v>
      </c>
      <c r="AJ19" s="39">
        <v>2958.36</v>
      </c>
      <c r="AK19" s="39">
        <v>0</v>
      </c>
      <c r="AL19" s="39">
        <v>0</v>
      </c>
      <c r="AM19" s="39">
        <v>0</v>
      </c>
      <c r="AN19" s="39">
        <v>0</v>
      </c>
      <c r="AO19" s="39">
        <v>0</v>
      </c>
      <c r="AP19" s="39">
        <v>0</v>
      </c>
      <c r="AQ19" s="39">
        <v>1116.24</v>
      </c>
      <c r="AR19" s="39">
        <v>0</v>
      </c>
      <c r="AS19" s="39">
        <v>0</v>
      </c>
      <c r="AT19" s="39">
        <v>0</v>
      </c>
      <c r="AU19" s="39">
        <v>0</v>
      </c>
      <c r="AV19" s="45">
        <f t="shared" si="2"/>
        <v>4074.6000000000004</v>
      </c>
    </row>
    <row r="20" spans="1:48" outlineLevel="1">
      <c r="A20" s="13" t="s">
        <v>253</v>
      </c>
      <c r="B20" s="41" t="s">
        <v>236</v>
      </c>
      <c r="C20" s="41" t="s">
        <v>65</v>
      </c>
      <c r="E20" s="40"/>
      <c r="F20" s="38">
        <v>0</v>
      </c>
      <c r="G20" s="38">
        <v>1622.2</v>
      </c>
      <c r="H20" s="38">
        <v>0</v>
      </c>
      <c r="I20" s="38">
        <v>0</v>
      </c>
      <c r="J20" s="38">
        <v>0</v>
      </c>
      <c r="K20" s="38">
        <v>1943.4900000000002</v>
      </c>
      <c r="L20" s="38">
        <v>282.53999999999974</v>
      </c>
      <c r="M20" s="38">
        <v>0</v>
      </c>
      <c r="N20" s="39">
        <v>0</v>
      </c>
      <c r="O20" s="39">
        <v>0</v>
      </c>
      <c r="P20" s="39">
        <v>0</v>
      </c>
      <c r="Q20" s="39">
        <v>0</v>
      </c>
      <c r="R20" s="39">
        <f t="shared" si="0"/>
        <v>3848.2300000000005</v>
      </c>
      <c r="S20" s="39"/>
      <c r="T20" s="40"/>
      <c r="U20" s="40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45">
        <f t="shared" si="1"/>
        <v>0</v>
      </c>
      <c r="AJ20" s="39">
        <v>0</v>
      </c>
      <c r="AK20" s="39">
        <v>1622.2</v>
      </c>
      <c r="AL20" s="39">
        <v>0</v>
      </c>
      <c r="AM20" s="39">
        <v>0</v>
      </c>
      <c r="AN20" s="39">
        <v>0</v>
      </c>
      <c r="AO20" s="39">
        <v>1943.4900000000002</v>
      </c>
      <c r="AP20" s="39">
        <v>282.53999999999974</v>
      </c>
      <c r="AQ20" s="39">
        <v>0</v>
      </c>
      <c r="AR20" s="39">
        <v>0</v>
      </c>
      <c r="AS20" s="39">
        <v>0</v>
      </c>
      <c r="AT20" s="39">
        <v>0</v>
      </c>
      <c r="AU20" s="39">
        <v>0</v>
      </c>
      <c r="AV20" s="45">
        <f t="shared" si="2"/>
        <v>3848.2300000000005</v>
      </c>
    </row>
    <row r="21" spans="1:48" outlineLevel="1">
      <c r="A21" s="13" t="s">
        <v>254</v>
      </c>
      <c r="B21" s="41" t="s">
        <v>255</v>
      </c>
      <c r="C21" s="41" t="s">
        <v>66</v>
      </c>
      <c r="E21" s="40"/>
      <c r="F21" s="38">
        <v>0</v>
      </c>
      <c r="G21" s="38">
        <v>571.32000000000005</v>
      </c>
      <c r="H21" s="38">
        <v>0</v>
      </c>
      <c r="I21" s="38">
        <v>450.58000000000004</v>
      </c>
      <c r="J21" s="38">
        <v>0</v>
      </c>
      <c r="K21" s="38">
        <v>520.41999999999996</v>
      </c>
      <c r="L21" s="38">
        <v>0</v>
      </c>
      <c r="M21" s="38">
        <v>0</v>
      </c>
      <c r="N21" s="39">
        <v>0</v>
      </c>
      <c r="O21" s="39">
        <v>0</v>
      </c>
      <c r="P21" s="39">
        <v>0</v>
      </c>
      <c r="Q21" s="39">
        <v>0</v>
      </c>
      <c r="R21" s="39">
        <f t="shared" si="0"/>
        <v>1542.3200000000002</v>
      </c>
      <c r="S21" s="39"/>
      <c r="T21" s="40"/>
      <c r="U21" s="40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45">
        <f t="shared" si="1"/>
        <v>0</v>
      </c>
      <c r="AJ21" s="39">
        <v>0</v>
      </c>
      <c r="AK21" s="39">
        <v>571.32000000000005</v>
      </c>
      <c r="AL21" s="39">
        <v>0</v>
      </c>
      <c r="AM21" s="39">
        <v>450.58000000000004</v>
      </c>
      <c r="AN21" s="39">
        <v>0</v>
      </c>
      <c r="AO21" s="39">
        <v>520.41999999999996</v>
      </c>
      <c r="AP21" s="39">
        <v>0</v>
      </c>
      <c r="AQ21" s="39">
        <v>0</v>
      </c>
      <c r="AR21" s="39">
        <v>0</v>
      </c>
      <c r="AS21" s="39">
        <v>0</v>
      </c>
      <c r="AT21" s="39">
        <v>0</v>
      </c>
      <c r="AU21" s="39">
        <v>0</v>
      </c>
      <c r="AV21" s="45">
        <f t="shared" si="2"/>
        <v>1542.3200000000002</v>
      </c>
    </row>
    <row r="22" spans="1:48" outlineLevel="1">
      <c r="A22" s="37" t="s">
        <v>256</v>
      </c>
      <c r="B22" s="41" t="s">
        <v>257</v>
      </c>
      <c r="C22" s="41" t="s">
        <v>65</v>
      </c>
      <c r="D22" s="37"/>
      <c r="E22" s="40">
        <v>19777.700000000004</v>
      </c>
      <c r="F22" s="38">
        <v>0</v>
      </c>
      <c r="G22" s="38">
        <v>0</v>
      </c>
      <c r="H22" s="38">
        <v>0</v>
      </c>
      <c r="I22" s="38">
        <v>0</v>
      </c>
      <c r="J22" s="38">
        <v>0</v>
      </c>
      <c r="K22" s="38">
        <v>0</v>
      </c>
      <c r="L22" s="38">
        <v>0</v>
      </c>
      <c r="M22" s="38">
        <v>0</v>
      </c>
      <c r="N22" s="39"/>
      <c r="O22" s="39"/>
      <c r="P22" s="39"/>
      <c r="Q22" s="39"/>
      <c r="R22" s="39">
        <f t="shared" si="0"/>
        <v>0</v>
      </c>
      <c r="S22" s="39"/>
      <c r="T22" s="40">
        <v>16614.532999999996</v>
      </c>
      <c r="U22" s="40"/>
      <c r="V22" s="39">
        <v>5000</v>
      </c>
      <c r="W22" s="39">
        <v>0</v>
      </c>
      <c r="X22" s="39">
        <v>0</v>
      </c>
      <c r="Y22" s="39">
        <v>5000</v>
      </c>
      <c r="Z22" s="39">
        <v>0</v>
      </c>
      <c r="AA22" s="39">
        <v>0</v>
      </c>
      <c r="AB22" s="39">
        <v>0</v>
      </c>
      <c r="AC22" s="39">
        <v>5000</v>
      </c>
      <c r="AD22" s="39"/>
      <c r="AE22" s="39"/>
      <c r="AF22" s="39"/>
      <c r="AG22" s="39">
        <v>5000</v>
      </c>
      <c r="AH22" s="45">
        <f t="shared" si="1"/>
        <v>20000</v>
      </c>
      <c r="AJ22" s="39">
        <v>0</v>
      </c>
      <c r="AK22" s="39">
        <v>0</v>
      </c>
      <c r="AL22" s="39">
        <v>0</v>
      </c>
      <c r="AM22" s="39">
        <v>0</v>
      </c>
      <c r="AN22" s="39">
        <v>0</v>
      </c>
      <c r="AO22" s="39">
        <v>0</v>
      </c>
      <c r="AP22" s="39">
        <v>0</v>
      </c>
      <c r="AQ22" s="39">
        <v>0</v>
      </c>
      <c r="AR22" s="39">
        <v>2446.1998484342344</v>
      </c>
      <c r="AS22" s="39">
        <v>2821.9244724340952</v>
      </c>
      <c r="AT22" s="39">
        <v>2545.0390447049808</v>
      </c>
      <c r="AU22" s="39">
        <v>2037.790067043474</v>
      </c>
      <c r="AV22" s="45">
        <f t="shared" si="2"/>
        <v>9850.953432616785</v>
      </c>
    </row>
    <row r="23" spans="1:48" outlineLevel="1">
      <c r="A23" s="37" t="s">
        <v>258</v>
      </c>
      <c r="B23" s="41" t="s">
        <v>251</v>
      </c>
      <c r="C23" s="41" t="s">
        <v>65</v>
      </c>
      <c r="D23" s="37"/>
      <c r="E23" s="40">
        <v>14915.29</v>
      </c>
      <c r="F23" s="38">
        <v>5629.73</v>
      </c>
      <c r="G23" s="38">
        <v>-1265.96</v>
      </c>
      <c r="H23" s="38">
        <v>3837.5999999999995</v>
      </c>
      <c r="I23" s="38">
        <v>-138.58000000000001</v>
      </c>
      <c r="J23" s="38">
        <v>0</v>
      </c>
      <c r="K23" s="38">
        <v>2188.15</v>
      </c>
      <c r="L23" s="38">
        <v>0</v>
      </c>
      <c r="M23" s="38">
        <v>3374.3199999999997</v>
      </c>
      <c r="N23" s="39">
        <v>975.48306524819611</v>
      </c>
      <c r="O23" s="39">
        <v>1125.3126092828784</v>
      </c>
      <c r="P23" s="39">
        <v>1014.8976544554392</v>
      </c>
      <c r="Q23" s="39">
        <v>812.61950130700336</v>
      </c>
      <c r="R23" s="39">
        <f t="shared" si="0"/>
        <v>17553.572830293517</v>
      </c>
      <c r="S23" s="39"/>
      <c r="T23" s="40">
        <v>14688.248499999996</v>
      </c>
      <c r="U23" s="40"/>
      <c r="V23" s="39">
        <v>5629.73</v>
      </c>
      <c r="W23" s="39">
        <v>-1265.96</v>
      </c>
      <c r="X23" s="39">
        <v>3837.5999999999995</v>
      </c>
      <c r="Y23" s="39">
        <v>-138.58000000000001</v>
      </c>
      <c r="Z23" s="39">
        <v>0</v>
      </c>
      <c r="AA23" s="39">
        <v>2188.15</v>
      </c>
      <c r="AB23" s="39">
        <v>0</v>
      </c>
      <c r="AC23" s="39">
        <v>3374.3199999999997</v>
      </c>
      <c r="AD23" s="39">
        <v>975.48306524819611</v>
      </c>
      <c r="AE23" s="39">
        <v>1125.3126092828784</v>
      </c>
      <c r="AF23" s="39">
        <v>1014.8976544554392</v>
      </c>
      <c r="AG23" s="39">
        <v>812.61950130700336</v>
      </c>
      <c r="AH23" s="45">
        <f t="shared" si="1"/>
        <v>17553.572830293517</v>
      </c>
      <c r="AJ23" s="39">
        <v>5629.73</v>
      </c>
      <c r="AK23" s="39">
        <v>-1265.96</v>
      </c>
      <c r="AL23" s="39">
        <v>3837.5999999999995</v>
      </c>
      <c r="AM23" s="39">
        <v>-138.58000000000001</v>
      </c>
      <c r="AN23" s="39">
        <v>0</v>
      </c>
      <c r="AO23" s="39">
        <v>2188.15</v>
      </c>
      <c r="AP23" s="39">
        <v>0</v>
      </c>
      <c r="AQ23" s="39">
        <v>3374.3199999999997</v>
      </c>
      <c r="AR23" s="39">
        <v>975.48306524819611</v>
      </c>
      <c r="AS23" s="39">
        <v>1125.3126092828784</v>
      </c>
      <c r="AT23" s="39">
        <v>1014.8976544554392</v>
      </c>
      <c r="AU23" s="39">
        <v>812.61950130700336</v>
      </c>
      <c r="AV23" s="45">
        <f t="shared" si="2"/>
        <v>17553.572830293517</v>
      </c>
    </row>
    <row r="24" spans="1:48" s="181" customFormat="1" outlineLevel="1">
      <c r="A24" s="401" t="s">
        <v>259</v>
      </c>
      <c r="B24" s="402" t="s">
        <v>260</v>
      </c>
      <c r="C24" s="402" t="s">
        <v>66</v>
      </c>
      <c r="D24" s="401"/>
      <c r="E24" s="403">
        <v>23461.119999999995</v>
      </c>
      <c r="F24" s="404">
        <v>0</v>
      </c>
      <c r="G24" s="404">
        <v>0</v>
      </c>
      <c r="H24" s="404">
        <v>0</v>
      </c>
      <c r="I24" s="404">
        <v>0</v>
      </c>
      <c r="J24" s="404">
        <v>0</v>
      </c>
      <c r="K24" s="404">
        <v>0</v>
      </c>
      <c r="L24" s="404">
        <v>0</v>
      </c>
      <c r="M24" s="404">
        <v>0</v>
      </c>
      <c r="N24" s="404">
        <v>0</v>
      </c>
      <c r="O24" s="404">
        <v>0</v>
      </c>
      <c r="P24" s="404">
        <v>0</v>
      </c>
      <c r="Q24" s="404">
        <v>0</v>
      </c>
      <c r="R24" s="404">
        <f t="shared" si="0"/>
        <v>0</v>
      </c>
      <c r="S24" s="404"/>
      <c r="T24" s="403">
        <v>26980.287999999997</v>
      </c>
      <c r="U24" s="403"/>
      <c r="V24" s="404">
        <v>0</v>
      </c>
      <c r="W24" s="404">
        <v>0</v>
      </c>
      <c r="X24" s="404">
        <v>0</v>
      </c>
      <c r="Y24" s="404">
        <v>0</v>
      </c>
      <c r="Z24" s="404">
        <v>0</v>
      </c>
      <c r="AA24" s="404">
        <v>0</v>
      </c>
      <c r="AB24" s="404">
        <v>0</v>
      </c>
      <c r="AC24" s="404">
        <v>0</v>
      </c>
      <c r="AD24" s="404">
        <v>0</v>
      </c>
      <c r="AE24" s="404">
        <v>0</v>
      </c>
      <c r="AF24" s="404">
        <v>0</v>
      </c>
      <c r="AG24" s="404">
        <v>0</v>
      </c>
      <c r="AH24" s="405">
        <f t="shared" si="1"/>
        <v>0</v>
      </c>
      <c r="AJ24" s="404">
        <v>0</v>
      </c>
      <c r="AK24" s="404">
        <v>0</v>
      </c>
      <c r="AL24" s="404">
        <v>0</v>
      </c>
      <c r="AM24" s="404">
        <v>0</v>
      </c>
      <c r="AN24" s="404">
        <v>0</v>
      </c>
      <c r="AO24" s="404">
        <v>0</v>
      </c>
      <c r="AP24" s="404">
        <v>0</v>
      </c>
      <c r="AQ24" s="404">
        <v>0</v>
      </c>
      <c r="AR24" s="404">
        <v>0</v>
      </c>
      <c r="AS24" s="404">
        <v>0</v>
      </c>
      <c r="AT24" s="404">
        <v>0</v>
      </c>
      <c r="AU24" s="404">
        <v>0</v>
      </c>
      <c r="AV24" s="405">
        <f t="shared" si="2"/>
        <v>0</v>
      </c>
    </row>
    <row r="25" spans="1:48" outlineLevel="1">
      <c r="A25" s="37" t="s">
        <v>261</v>
      </c>
      <c r="B25" s="41" t="s">
        <v>260</v>
      </c>
      <c r="C25" s="41" t="s">
        <v>66</v>
      </c>
      <c r="D25" s="37"/>
      <c r="E25" s="40"/>
      <c r="F25" s="38">
        <v>0</v>
      </c>
      <c r="G25" s="38">
        <v>0</v>
      </c>
      <c r="H25" s="38">
        <v>0</v>
      </c>
      <c r="I25" s="38">
        <v>0</v>
      </c>
      <c r="J25" s="38">
        <v>0</v>
      </c>
      <c r="K25" s="38">
        <v>426.42</v>
      </c>
      <c r="L25" s="38">
        <v>0</v>
      </c>
      <c r="M25" s="38">
        <v>0</v>
      </c>
      <c r="N25" s="39">
        <v>0</v>
      </c>
      <c r="O25" s="39">
        <v>0</v>
      </c>
      <c r="P25" s="39">
        <v>0</v>
      </c>
      <c r="Q25" s="39">
        <v>0</v>
      </c>
      <c r="R25" s="39">
        <f t="shared" si="0"/>
        <v>426.42</v>
      </c>
      <c r="S25" s="39"/>
      <c r="T25" s="40"/>
      <c r="U25" s="40"/>
      <c r="V25" s="39">
        <v>0</v>
      </c>
      <c r="W25" s="39">
        <v>0</v>
      </c>
      <c r="X25" s="39">
        <v>0</v>
      </c>
      <c r="Y25" s="39">
        <v>0</v>
      </c>
      <c r="Z25" s="39">
        <v>0</v>
      </c>
      <c r="AA25" s="39">
        <v>426.42</v>
      </c>
      <c r="AB25" s="39">
        <v>0</v>
      </c>
      <c r="AC25" s="39">
        <v>0</v>
      </c>
      <c r="AD25" s="39">
        <v>0</v>
      </c>
      <c r="AE25" s="39">
        <v>0</v>
      </c>
      <c r="AF25" s="39">
        <v>0</v>
      </c>
      <c r="AG25" s="39">
        <v>0</v>
      </c>
      <c r="AH25" s="45">
        <f t="shared" si="1"/>
        <v>426.42</v>
      </c>
      <c r="AJ25" s="39">
        <v>0</v>
      </c>
      <c r="AK25" s="39">
        <v>0</v>
      </c>
      <c r="AL25" s="39">
        <v>0</v>
      </c>
      <c r="AM25" s="39">
        <v>0</v>
      </c>
      <c r="AN25" s="39">
        <v>0</v>
      </c>
      <c r="AO25" s="39">
        <v>426.42</v>
      </c>
      <c r="AP25" s="39">
        <v>0</v>
      </c>
      <c r="AQ25" s="39">
        <v>0</v>
      </c>
      <c r="AR25" s="39">
        <v>0</v>
      </c>
      <c r="AS25" s="39">
        <v>0</v>
      </c>
      <c r="AT25" s="39">
        <v>0</v>
      </c>
      <c r="AU25" s="39">
        <v>0</v>
      </c>
      <c r="AV25" s="45">
        <f t="shared" si="2"/>
        <v>426.42</v>
      </c>
    </row>
    <row r="26" spans="1:48" outlineLevel="1">
      <c r="A26" s="37" t="s">
        <v>262</v>
      </c>
      <c r="B26" s="41" t="s">
        <v>263</v>
      </c>
      <c r="C26" s="41" t="s">
        <v>65</v>
      </c>
      <c r="D26" s="37"/>
      <c r="E26" s="40">
        <v>12527.330000000005</v>
      </c>
      <c r="F26" s="38">
        <v>2331.6099999999997</v>
      </c>
      <c r="G26" s="38">
        <v>414.28999999999996</v>
      </c>
      <c r="H26" s="38">
        <v>429.25</v>
      </c>
      <c r="I26" s="38">
        <v>0</v>
      </c>
      <c r="J26" s="38">
        <v>1348.71</v>
      </c>
      <c r="K26" s="38">
        <v>406.69</v>
      </c>
      <c r="L26" s="38">
        <v>0</v>
      </c>
      <c r="M26" s="38">
        <v>0</v>
      </c>
      <c r="N26" s="39">
        <v>1368.502949936684</v>
      </c>
      <c r="O26" s="39">
        <v>1578.698472856358</v>
      </c>
      <c r="P26" s="39">
        <v>1423.7975865349433</v>
      </c>
      <c r="Q26" s="39">
        <v>1140.0220304508948</v>
      </c>
      <c r="R26" s="39">
        <f t="shared" si="0"/>
        <v>10441.571039778879</v>
      </c>
      <c r="S26" s="39"/>
      <c r="T26" s="40">
        <v>12469.990499999998</v>
      </c>
      <c r="U26" s="40"/>
      <c r="V26" s="39">
        <v>2331.6099999999997</v>
      </c>
      <c r="W26" s="39">
        <v>414.28999999999996</v>
      </c>
      <c r="X26" s="39">
        <v>429.25</v>
      </c>
      <c r="Y26" s="39">
        <v>0</v>
      </c>
      <c r="Z26" s="39">
        <v>1348.71</v>
      </c>
      <c r="AA26" s="39">
        <v>406.69</v>
      </c>
      <c r="AB26" s="39">
        <v>0</v>
      </c>
      <c r="AC26" s="39">
        <v>0</v>
      </c>
      <c r="AD26" s="39">
        <v>1368.502949936684</v>
      </c>
      <c r="AE26" s="39">
        <v>1578.698472856358</v>
      </c>
      <c r="AF26" s="39">
        <v>1423.7975865349433</v>
      </c>
      <c r="AG26" s="39">
        <v>1140.0220304508948</v>
      </c>
      <c r="AH26" s="39">
        <f t="shared" si="1"/>
        <v>10441.571039778879</v>
      </c>
      <c r="AI26" s="39"/>
      <c r="AJ26" s="39">
        <v>2331.6099999999997</v>
      </c>
      <c r="AK26" s="39">
        <v>414.28999999999996</v>
      </c>
      <c r="AL26" s="39">
        <v>429.25</v>
      </c>
      <c r="AM26" s="39">
        <v>0</v>
      </c>
      <c r="AN26" s="39">
        <v>1348.71</v>
      </c>
      <c r="AO26" s="39">
        <v>406.69</v>
      </c>
      <c r="AP26" s="39">
        <v>0</v>
      </c>
      <c r="AQ26" s="39">
        <v>0</v>
      </c>
      <c r="AR26" s="39">
        <v>1368.502949936684</v>
      </c>
      <c r="AS26" s="39">
        <v>1578.698472856358</v>
      </c>
      <c r="AT26" s="39">
        <v>1423.7975865349433</v>
      </c>
      <c r="AU26" s="39">
        <v>1140.0220304508948</v>
      </c>
      <c r="AV26" s="39">
        <f t="shared" si="2"/>
        <v>10441.571039778879</v>
      </c>
    </row>
    <row r="27" spans="1:48" outlineLevel="1">
      <c r="A27" s="37" t="s">
        <v>264</v>
      </c>
      <c r="B27" s="41" t="s">
        <v>265</v>
      </c>
      <c r="C27" s="41" t="s">
        <v>65</v>
      </c>
      <c r="D27" s="37"/>
      <c r="E27" s="40">
        <v>720640.37000000046</v>
      </c>
      <c r="F27" s="38">
        <v>69841.83</v>
      </c>
      <c r="G27" s="38">
        <v>48931.65</v>
      </c>
      <c r="H27" s="38">
        <v>0</v>
      </c>
      <c r="I27" s="38">
        <v>67066.38</v>
      </c>
      <c r="J27" s="38">
        <v>58821.040000000008</v>
      </c>
      <c r="K27" s="38">
        <v>34460.04</v>
      </c>
      <c r="L27" s="38">
        <v>45130.49</v>
      </c>
      <c r="M27" s="38">
        <v>-840.39</v>
      </c>
      <c r="N27" s="39"/>
      <c r="O27" s="39">
        <v>114000</v>
      </c>
      <c r="P27" s="39">
        <v>40000</v>
      </c>
      <c r="Q27" s="39">
        <v>40000</v>
      </c>
      <c r="R27" s="39">
        <f t="shared" si="0"/>
        <v>517411.04</v>
      </c>
      <c r="S27" s="39"/>
      <c r="T27" s="40">
        <v>850000</v>
      </c>
      <c r="U27" s="40"/>
      <c r="V27" s="39">
        <v>40000</v>
      </c>
      <c r="W27" s="39">
        <v>40000</v>
      </c>
      <c r="X27" s="39">
        <v>40000</v>
      </c>
      <c r="Y27" s="39">
        <v>40000</v>
      </c>
      <c r="Z27" s="39">
        <v>40000</v>
      </c>
      <c r="AA27" s="39">
        <v>40000</v>
      </c>
      <c r="AB27" s="39">
        <v>40000</v>
      </c>
      <c r="AC27" s="39">
        <v>40000</v>
      </c>
      <c r="AD27" s="39">
        <v>40000</v>
      </c>
      <c r="AE27" s="39">
        <v>40000</v>
      </c>
      <c r="AF27" s="39">
        <v>40000</v>
      </c>
      <c r="AG27" s="39">
        <v>40000</v>
      </c>
      <c r="AH27" s="39">
        <f t="shared" si="1"/>
        <v>480000</v>
      </c>
      <c r="AI27" s="39"/>
      <c r="AJ27" s="39">
        <v>69841.83</v>
      </c>
      <c r="AK27" s="39">
        <v>48931.65</v>
      </c>
      <c r="AL27" s="39">
        <v>0</v>
      </c>
      <c r="AM27" s="39">
        <v>67066.38</v>
      </c>
      <c r="AN27" s="39">
        <v>58821.040000000008</v>
      </c>
      <c r="AO27" s="39">
        <v>34460.04</v>
      </c>
      <c r="AP27" s="39">
        <v>45130.49</v>
      </c>
      <c r="AQ27" s="39">
        <v>0</v>
      </c>
      <c r="AR27" s="39">
        <v>72756.451208724335</v>
      </c>
      <c r="AS27" s="39">
        <v>83931.494936839881</v>
      </c>
      <c r="AT27" s="39">
        <v>75696.190235192291</v>
      </c>
      <c r="AU27" s="39">
        <v>60609.264480729777</v>
      </c>
      <c r="AV27" s="39">
        <f t="shared" si="2"/>
        <v>617244.83086148638</v>
      </c>
    </row>
    <row r="28" spans="1:48" outlineLevel="1">
      <c r="A28" s="37" t="s">
        <v>266</v>
      </c>
      <c r="B28" s="41" t="s">
        <v>267</v>
      </c>
      <c r="C28" s="41" t="s">
        <v>67</v>
      </c>
      <c r="D28" s="37"/>
      <c r="E28" s="40">
        <v>148468.67999999996</v>
      </c>
      <c r="F28" s="38">
        <v>113218.10000000002</v>
      </c>
      <c r="G28" s="38">
        <v>0</v>
      </c>
      <c r="H28" s="38">
        <v>0</v>
      </c>
      <c r="I28" s="38">
        <v>0</v>
      </c>
      <c r="J28" s="38">
        <v>0</v>
      </c>
      <c r="K28" s="38">
        <v>67965.600000000006</v>
      </c>
      <c r="L28" s="38">
        <v>0</v>
      </c>
      <c r="M28" s="38">
        <v>0</v>
      </c>
      <c r="N28" s="39"/>
      <c r="O28" s="39"/>
      <c r="P28" s="39">
        <v>50000</v>
      </c>
      <c r="Q28" s="39"/>
      <c r="R28" s="39">
        <f t="shared" si="0"/>
        <v>231183.7</v>
      </c>
      <c r="S28" s="39"/>
      <c r="T28" s="40">
        <v>207913.68700000001</v>
      </c>
      <c r="U28" s="40"/>
      <c r="V28" s="39"/>
      <c r="W28" s="39">
        <v>50000</v>
      </c>
      <c r="X28" s="39">
        <v>0</v>
      </c>
      <c r="Y28" s="39">
        <v>0</v>
      </c>
      <c r="Z28" s="39">
        <v>50000</v>
      </c>
      <c r="AA28" s="39"/>
      <c r="AB28" s="39">
        <v>0</v>
      </c>
      <c r="AC28" s="39">
        <v>50000</v>
      </c>
      <c r="AD28" s="39"/>
      <c r="AE28" s="39"/>
      <c r="AF28" s="39">
        <v>50000</v>
      </c>
      <c r="AG28" s="39"/>
      <c r="AH28" s="39">
        <f t="shared" si="1"/>
        <v>200000</v>
      </c>
      <c r="AI28" s="39"/>
      <c r="AJ28" s="39">
        <v>113218.10000000002</v>
      </c>
      <c r="AK28" s="39">
        <v>0</v>
      </c>
      <c r="AL28" s="39">
        <v>0</v>
      </c>
      <c r="AM28" s="39">
        <v>0</v>
      </c>
      <c r="AN28" s="39">
        <v>0</v>
      </c>
      <c r="AO28" s="39">
        <v>67965.600000000006</v>
      </c>
      <c r="AP28" s="39">
        <v>0</v>
      </c>
      <c r="AQ28" s="39">
        <v>0</v>
      </c>
      <c r="AR28" s="39">
        <v>20064.60347047681</v>
      </c>
      <c r="AS28" s="39">
        <v>23146.430819733094</v>
      </c>
      <c r="AT28" s="39">
        <v>20875.31780429649</v>
      </c>
      <c r="AU28" s="39">
        <v>16714.680804789899</v>
      </c>
      <c r="AV28" s="39">
        <f t="shared" si="2"/>
        <v>261984.73289929633</v>
      </c>
    </row>
    <row r="29" spans="1:48" outlineLevel="1">
      <c r="A29" s="13" t="s">
        <v>268</v>
      </c>
      <c r="B29" s="41" t="s">
        <v>64</v>
      </c>
      <c r="C29" s="41" t="s">
        <v>64</v>
      </c>
      <c r="E29" s="40">
        <v>24378.69</v>
      </c>
      <c r="F29" s="38">
        <v>0</v>
      </c>
      <c r="G29" s="38">
        <v>1907.96</v>
      </c>
      <c r="H29" s="38">
        <v>1212.18</v>
      </c>
      <c r="I29" s="38">
        <v>2147.6999999999998</v>
      </c>
      <c r="J29" s="38">
        <v>1855.53</v>
      </c>
      <c r="K29" s="38">
        <v>495</v>
      </c>
      <c r="L29" s="38">
        <v>165</v>
      </c>
      <c r="M29" s="38">
        <v>1723.6799999999998</v>
      </c>
      <c r="N29" s="39">
        <v>0</v>
      </c>
      <c r="O29" s="39">
        <v>0</v>
      </c>
      <c r="P29" s="39">
        <v>0</v>
      </c>
      <c r="Q29" s="39">
        <v>0</v>
      </c>
      <c r="R29" s="39">
        <f t="shared" si="0"/>
        <v>9507.0499999999993</v>
      </c>
      <c r="S29" s="39"/>
      <c r="T29" s="39"/>
      <c r="U29" s="39"/>
      <c r="V29" s="39">
        <v>0</v>
      </c>
      <c r="W29" s="39">
        <v>1907.96</v>
      </c>
      <c r="X29" s="39">
        <v>1212.18</v>
      </c>
      <c r="Y29" s="39">
        <v>2147.6999999999998</v>
      </c>
      <c r="Z29" s="39">
        <v>1855.53</v>
      </c>
      <c r="AA29" s="39">
        <v>495</v>
      </c>
      <c r="AB29" s="39">
        <v>165</v>
      </c>
      <c r="AC29" s="39">
        <v>1723.6799999999998</v>
      </c>
      <c r="AD29" s="39">
        <v>0</v>
      </c>
      <c r="AE29" s="39">
        <v>0</v>
      </c>
      <c r="AF29" s="39">
        <v>0</v>
      </c>
      <c r="AG29" s="39">
        <v>0</v>
      </c>
      <c r="AH29" s="39">
        <f t="shared" si="1"/>
        <v>9507.0499999999993</v>
      </c>
      <c r="AI29" s="39"/>
      <c r="AJ29" s="39">
        <v>0</v>
      </c>
      <c r="AK29" s="39">
        <v>1907.96</v>
      </c>
      <c r="AL29" s="39">
        <v>1212.18</v>
      </c>
      <c r="AM29" s="39">
        <v>2147.6999999999998</v>
      </c>
      <c r="AN29" s="39">
        <v>1855.53</v>
      </c>
      <c r="AO29" s="39">
        <v>495</v>
      </c>
      <c r="AP29" s="39">
        <v>165</v>
      </c>
      <c r="AQ29" s="39">
        <v>1723.6799999999998</v>
      </c>
      <c r="AR29" s="39">
        <v>0</v>
      </c>
      <c r="AS29" s="39">
        <v>0</v>
      </c>
      <c r="AT29" s="39">
        <v>0</v>
      </c>
      <c r="AU29" s="39">
        <v>0</v>
      </c>
      <c r="AV29" s="39">
        <f t="shared" si="2"/>
        <v>9507.0499999999993</v>
      </c>
    </row>
    <row r="30" spans="1:48" outlineLevel="1">
      <c r="A30" s="13" t="s">
        <v>269</v>
      </c>
      <c r="B30" s="41" t="s">
        <v>64</v>
      </c>
      <c r="C30" s="41" t="s">
        <v>64</v>
      </c>
      <c r="E30" s="40">
        <v>18437.640000000003</v>
      </c>
      <c r="F30" s="38">
        <v>0</v>
      </c>
      <c r="G30" s="38">
        <v>2241.1800000000003</v>
      </c>
      <c r="H30" s="38">
        <v>6243.5399999999991</v>
      </c>
      <c r="I30" s="38">
        <v>1948.74</v>
      </c>
      <c r="J30" s="38">
        <v>1146.1199999999999</v>
      </c>
      <c r="K30" s="38">
        <v>777.9</v>
      </c>
      <c r="L30" s="38">
        <v>1326.84</v>
      </c>
      <c r="M30" s="38">
        <v>4085.5200000000004</v>
      </c>
      <c r="N30" s="39">
        <v>938.65247797948189</v>
      </c>
      <c r="O30" s="39">
        <v>1082.8250195570308</v>
      </c>
      <c r="P30" s="39">
        <v>976.57891990957216</v>
      </c>
      <c r="Q30" s="39">
        <v>781.93803227347223</v>
      </c>
      <c r="R30" s="39">
        <f t="shared" si="0"/>
        <v>21549.834449719554</v>
      </c>
      <c r="S30" s="39"/>
      <c r="T30" s="39">
        <v>15840.606000000002</v>
      </c>
      <c r="U30" s="39"/>
      <c r="V30" s="39">
        <v>0</v>
      </c>
      <c r="W30" s="39">
        <v>2241.1800000000003</v>
      </c>
      <c r="X30" s="39">
        <v>6243.5399999999991</v>
      </c>
      <c r="Y30" s="39">
        <v>1948.74</v>
      </c>
      <c r="Z30" s="39">
        <v>1146.1199999999999</v>
      </c>
      <c r="AA30" s="39">
        <v>777.9</v>
      </c>
      <c r="AB30" s="39">
        <v>1326.84</v>
      </c>
      <c r="AC30" s="39">
        <v>4085.5200000000004</v>
      </c>
      <c r="AD30" s="39">
        <v>938.65247797948189</v>
      </c>
      <c r="AE30" s="39">
        <v>1082.8250195570308</v>
      </c>
      <c r="AF30" s="39">
        <v>976.57891990957216</v>
      </c>
      <c r="AG30" s="39">
        <v>781.93803227347223</v>
      </c>
      <c r="AH30" s="45">
        <f t="shared" si="1"/>
        <v>21549.834449719554</v>
      </c>
      <c r="AJ30" s="39">
        <v>0</v>
      </c>
      <c r="AK30" s="39">
        <v>2241.1800000000003</v>
      </c>
      <c r="AL30" s="39">
        <v>6243.5399999999991</v>
      </c>
      <c r="AM30" s="39">
        <v>1948.74</v>
      </c>
      <c r="AN30" s="39">
        <v>1146.1199999999999</v>
      </c>
      <c r="AO30" s="39">
        <v>777.9</v>
      </c>
      <c r="AP30" s="39">
        <v>1326.84</v>
      </c>
      <c r="AQ30" s="39">
        <v>4085.5200000000004</v>
      </c>
      <c r="AR30" s="39">
        <v>938.65247797948189</v>
      </c>
      <c r="AS30" s="39">
        <v>1082.8250195570308</v>
      </c>
      <c r="AT30" s="39">
        <v>976.57891990957216</v>
      </c>
      <c r="AU30" s="39">
        <v>781.93803227347223</v>
      </c>
      <c r="AV30" s="45">
        <f t="shared" si="2"/>
        <v>21549.834449719554</v>
      </c>
    </row>
    <row r="31" spans="1:48" outlineLevel="1">
      <c r="A31" s="13" t="s">
        <v>270</v>
      </c>
      <c r="B31" s="41" t="s">
        <v>64</v>
      </c>
      <c r="C31" s="41" t="s">
        <v>64</v>
      </c>
      <c r="E31" s="40"/>
      <c r="F31" s="38">
        <v>0</v>
      </c>
      <c r="G31" s="38">
        <v>0</v>
      </c>
      <c r="H31" s="38">
        <v>0</v>
      </c>
      <c r="I31" s="38">
        <v>0</v>
      </c>
      <c r="J31" s="38">
        <v>8553</v>
      </c>
      <c r="K31" s="38">
        <v>0</v>
      </c>
      <c r="L31" s="38">
        <v>0</v>
      </c>
      <c r="M31" s="38">
        <v>0</v>
      </c>
      <c r="N31" s="39">
        <v>0</v>
      </c>
      <c r="O31" s="39">
        <v>0</v>
      </c>
      <c r="P31" s="39">
        <v>0</v>
      </c>
      <c r="Q31" s="39">
        <v>0</v>
      </c>
      <c r="R31" s="39">
        <f t="shared" si="0"/>
        <v>8553</v>
      </c>
      <c r="S31" s="39"/>
      <c r="T31" s="40"/>
      <c r="U31" s="40"/>
      <c r="V31" s="39">
        <v>0</v>
      </c>
      <c r="W31" s="39">
        <v>0</v>
      </c>
      <c r="X31" s="39">
        <v>0</v>
      </c>
      <c r="Y31" s="39">
        <v>0</v>
      </c>
      <c r="Z31" s="39">
        <v>8553</v>
      </c>
      <c r="AA31" s="39">
        <v>0</v>
      </c>
      <c r="AB31" s="39">
        <v>0</v>
      </c>
      <c r="AC31" s="39">
        <v>0</v>
      </c>
      <c r="AD31" s="39">
        <v>0</v>
      </c>
      <c r="AE31" s="39">
        <v>0</v>
      </c>
      <c r="AF31" s="39">
        <v>0</v>
      </c>
      <c r="AG31" s="39">
        <v>0</v>
      </c>
      <c r="AH31" s="45">
        <f t="shared" si="1"/>
        <v>8553</v>
      </c>
      <c r="AJ31" s="39">
        <v>0</v>
      </c>
      <c r="AK31" s="39">
        <v>0</v>
      </c>
      <c r="AL31" s="39">
        <v>0</v>
      </c>
      <c r="AM31" s="39">
        <v>0</v>
      </c>
      <c r="AN31" s="39">
        <v>8553</v>
      </c>
      <c r="AO31" s="39">
        <v>0</v>
      </c>
      <c r="AP31" s="39">
        <v>0</v>
      </c>
      <c r="AQ31" s="39">
        <v>0</v>
      </c>
      <c r="AR31" s="39">
        <v>0</v>
      </c>
      <c r="AS31" s="39">
        <v>0</v>
      </c>
      <c r="AT31" s="39">
        <v>0</v>
      </c>
      <c r="AU31" s="39">
        <v>0</v>
      </c>
      <c r="AV31" s="45">
        <f t="shared" si="2"/>
        <v>8553</v>
      </c>
    </row>
    <row r="32" spans="1:48" outlineLevel="1">
      <c r="A32" s="37" t="s">
        <v>271</v>
      </c>
      <c r="B32" s="41" t="s">
        <v>272</v>
      </c>
      <c r="C32" s="41" t="s">
        <v>67</v>
      </c>
      <c r="D32" s="37"/>
      <c r="E32" s="40">
        <v>146564.1</v>
      </c>
      <c r="F32" s="38">
        <v>0</v>
      </c>
      <c r="G32" s="38">
        <v>0</v>
      </c>
      <c r="H32" s="38">
        <v>0</v>
      </c>
      <c r="I32" s="38">
        <v>0</v>
      </c>
      <c r="J32" s="38">
        <v>0</v>
      </c>
      <c r="K32" s="38">
        <v>0</v>
      </c>
      <c r="L32" s="38">
        <v>0</v>
      </c>
      <c r="M32" s="38">
        <v>0</v>
      </c>
      <c r="N32" s="39"/>
      <c r="O32" s="39"/>
      <c r="P32" s="39">
        <v>5000</v>
      </c>
      <c r="Q32" s="39"/>
      <c r="R32" s="39">
        <f t="shared" si="0"/>
        <v>5000</v>
      </c>
      <c r="S32" s="39"/>
      <c r="T32" s="40">
        <v>186490.78499999997</v>
      </c>
      <c r="U32" s="40"/>
      <c r="V32" s="39">
        <v>0</v>
      </c>
      <c r="W32" s="39">
        <v>50000</v>
      </c>
      <c r="X32" s="39">
        <v>0</v>
      </c>
      <c r="Y32" s="39">
        <v>0</v>
      </c>
      <c r="Z32" s="39">
        <v>0</v>
      </c>
      <c r="AA32" s="39">
        <v>0</v>
      </c>
      <c r="AB32" s="39"/>
      <c r="AC32" s="39">
        <v>50000</v>
      </c>
      <c r="AD32" s="39"/>
      <c r="AE32" s="39"/>
      <c r="AF32" s="39"/>
      <c r="AG32" s="39"/>
      <c r="AH32" s="45">
        <f t="shared" si="1"/>
        <v>100000</v>
      </c>
      <c r="AJ32" s="39">
        <v>0</v>
      </c>
      <c r="AK32" s="39">
        <v>0</v>
      </c>
      <c r="AL32" s="39">
        <v>0</v>
      </c>
      <c r="AM32" s="39">
        <v>0</v>
      </c>
      <c r="AN32" s="39">
        <v>0</v>
      </c>
      <c r="AO32" s="39">
        <v>0</v>
      </c>
      <c r="AP32" s="39">
        <v>0</v>
      </c>
      <c r="AQ32" s="39">
        <v>0</v>
      </c>
      <c r="AR32" s="39">
        <v>19220.258011523227</v>
      </c>
      <c r="AS32" s="39">
        <v>22172.397927312297</v>
      </c>
      <c r="AT32" s="39">
        <v>19996.856397461033</v>
      </c>
      <c r="AU32" s="39">
        <v>16011.304590246267</v>
      </c>
      <c r="AV32" s="45">
        <f t="shared" si="2"/>
        <v>77400.816926542815</v>
      </c>
    </row>
    <row r="33" spans="1:48" outlineLevel="1">
      <c r="A33" s="37" t="s">
        <v>273</v>
      </c>
      <c r="B33" s="41" t="s">
        <v>274</v>
      </c>
      <c r="C33" s="41" t="s">
        <v>66</v>
      </c>
      <c r="D33" s="37"/>
      <c r="E33" s="40">
        <v>334442.17</v>
      </c>
      <c r="F33" s="38">
        <v>0</v>
      </c>
      <c r="G33" s="38">
        <v>23819.399999999998</v>
      </c>
      <c r="H33" s="38">
        <v>30338.6</v>
      </c>
      <c r="I33" s="38">
        <v>25227.000000000004</v>
      </c>
      <c r="J33" s="38">
        <v>0</v>
      </c>
      <c r="K33" s="38">
        <v>15042.6</v>
      </c>
      <c r="L33" s="38">
        <v>23948.800000000003</v>
      </c>
      <c r="M33" s="38">
        <v>0</v>
      </c>
      <c r="N33" s="39">
        <v>36432.76429058081</v>
      </c>
      <c r="O33" s="39">
        <v>70000</v>
      </c>
      <c r="P33" s="39">
        <v>20000</v>
      </c>
      <c r="Q33" s="39">
        <v>30000</v>
      </c>
      <c r="R33" s="39">
        <f t="shared" si="0"/>
        <v>274809.16429058078</v>
      </c>
      <c r="S33" s="39"/>
      <c r="T33" s="40">
        <v>301608.49550000002</v>
      </c>
      <c r="U33" s="40"/>
      <c r="V33" s="39">
        <v>22000</v>
      </c>
      <c r="W33" s="39">
        <v>22000</v>
      </c>
      <c r="X33" s="39">
        <v>22000</v>
      </c>
      <c r="Y33" s="39">
        <v>22000</v>
      </c>
      <c r="Z33" s="39">
        <v>22000</v>
      </c>
      <c r="AA33" s="39">
        <v>22000</v>
      </c>
      <c r="AB33" s="39">
        <v>22000</v>
      </c>
      <c r="AC33" s="39">
        <v>22000</v>
      </c>
      <c r="AD33" s="39">
        <v>22000</v>
      </c>
      <c r="AE33" s="39">
        <v>22000</v>
      </c>
      <c r="AF33" s="39">
        <v>22000</v>
      </c>
      <c r="AG33" s="39">
        <v>22000</v>
      </c>
      <c r="AH33" s="45">
        <f t="shared" si="1"/>
        <v>264000</v>
      </c>
      <c r="AJ33" s="39">
        <v>0</v>
      </c>
      <c r="AK33" s="39">
        <v>23819.399999999998</v>
      </c>
      <c r="AL33" s="39">
        <v>30338.6</v>
      </c>
      <c r="AM33" s="39">
        <v>25227.000000000004</v>
      </c>
      <c r="AN33" s="39">
        <v>0</v>
      </c>
      <c r="AO33" s="39">
        <v>15042.6</v>
      </c>
      <c r="AP33" s="39">
        <v>23948.800000000003</v>
      </c>
      <c r="AQ33" s="39">
        <v>0</v>
      </c>
      <c r="AR33" s="39">
        <v>36432.76429058081</v>
      </c>
      <c r="AS33" s="39">
        <v>42028.663036595324</v>
      </c>
      <c r="AT33" s="39">
        <v>37904.837450387226</v>
      </c>
      <c r="AU33" s="39">
        <v>30350.065320216101</v>
      </c>
      <c r="AV33" s="45">
        <f t="shared" si="2"/>
        <v>265092.73009777948</v>
      </c>
    </row>
    <row r="34" spans="1:48" s="181" customFormat="1" outlineLevel="1">
      <c r="A34" s="401" t="s">
        <v>275</v>
      </c>
      <c r="B34" s="402" t="s">
        <v>265</v>
      </c>
      <c r="C34" s="402" t="s">
        <v>65</v>
      </c>
      <c r="D34" s="401"/>
      <c r="E34" s="403">
        <v>28578.950000000004</v>
      </c>
      <c r="F34" s="404">
        <v>0</v>
      </c>
      <c r="G34" s="404">
        <v>0</v>
      </c>
      <c r="H34" s="404">
        <v>0</v>
      </c>
      <c r="I34" s="404">
        <v>925.81</v>
      </c>
      <c r="J34" s="404">
        <v>0</v>
      </c>
      <c r="K34" s="404">
        <v>0</v>
      </c>
      <c r="L34" s="404">
        <v>0</v>
      </c>
      <c r="M34" s="404">
        <v>0</v>
      </c>
      <c r="N34" s="404">
        <v>0</v>
      </c>
      <c r="O34" s="404">
        <v>0</v>
      </c>
      <c r="P34" s="404">
        <v>0</v>
      </c>
      <c r="Q34" s="404">
        <v>0</v>
      </c>
      <c r="R34" s="404">
        <f t="shared" si="0"/>
        <v>925.81</v>
      </c>
      <c r="S34" s="404"/>
      <c r="T34" s="403">
        <v>15890</v>
      </c>
      <c r="U34" s="403"/>
      <c r="V34" s="404">
        <v>0</v>
      </c>
      <c r="W34" s="404">
        <v>0</v>
      </c>
      <c r="X34" s="404">
        <v>0</v>
      </c>
      <c r="Y34" s="404">
        <v>925.81</v>
      </c>
      <c r="Z34" s="404">
        <v>0</v>
      </c>
      <c r="AA34" s="404">
        <v>0</v>
      </c>
      <c r="AB34" s="404">
        <v>0</v>
      </c>
      <c r="AC34" s="404">
        <v>0</v>
      </c>
      <c r="AD34" s="404">
        <v>0</v>
      </c>
      <c r="AE34" s="404">
        <v>0</v>
      </c>
      <c r="AF34" s="404">
        <v>0</v>
      </c>
      <c r="AG34" s="404">
        <v>0</v>
      </c>
      <c r="AH34" s="405">
        <f t="shared" si="1"/>
        <v>925.81</v>
      </c>
      <c r="AJ34" s="404"/>
      <c r="AK34" s="404"/>
      <c r="AL34" s="404"/>
      <c r="AM34" s="404"/>
      <c r="AN34" s="404"/>
      <c r="AO34" s="404"/>
      <c r="AP34" s="404"/>
      <c r="AQ34" s="404"/>
      <c r="AR34" s="404"/>
      <c r="AS34" s="404"/>
      <c r="AT34" s="404"/>
      <c r="AU34" s="404"/>
      <c r="AV34" s="405">
        <f t="shared" si="2"/>
        <v>0</v>
      </c>
    </row>
    <row r="35" spans="1:48" outlineLevel="1">
      <c r="A35" s="37" t="s">
        <v>276</v>
      </c>
      <c r="B35" s="41" t="s">
        <v>263</v>
      </c>
      <c r="C35" s="41" t="s">
        <v>65</v>
      </c>
      <c r="D35" s="37"/>
      <c r="E35" s="40"/>
      <c r="F35" s="38">
        <v>0</v>
      </c>
      <c r="G35" s="38">
        <v>0</v>
      </c>
      <c r="H35" s="38">
        <v>0</v>
      </c>
      <c r="I35" s="38">
        <v>0</v>
      </c>
      <c r="J35" s="38">
        <v>0</v>
      </c>
      <c r="K35" s="38">
        <v>16268.579999999998</v>
      </c>
      <c r="L35" s="38">
        <v>0</v>
      </c>
      <c r="M35" s="38">
        <v>0</v>
      </c>
      <c r="N35" s="39">
        <v>0</v>
      </c>
      <c r="O35" s="39">
        <v>0</v>
      </c>
      <c r="P35" s="39">
        <v>10000</v>
      </c>
      <c r="Q35" s="39">
        <v>0</v>
      </c>
      <c r="R35" s="39">
        <f t="shared" ref="R35:R86" si="3">SUM(F35:Q35)</f>
        <v>26268.579999999998</v>
      </c>
      <c r="S35" s="39"/>
      <c r="T35" s="40"/>
      <c r="U35" s="40"/>
      <c r="V35" s="39">
        <v>10000</v>
      </c>
      <c r="W35" s="39">
        <v>0</v>
      </c>
      <c r="X35" s="39">
        <v>0</v>
      </c>
      <c r="Y35" s="39">
        <v>0</v>
      </c>
      <c r="Z35" s="39">
        <v>10000</v>
      </c>
      <c r="AA35" s="39"/>
      <c r="AB35" s="39">
        <v>0</v>
      </c>
      <c r="AC35" s="39">
        <v>0</v>
      </c>
      <c r="AD35" s="39">
        <v>20000</v>
      </c>
      <c r="AE35" s="39">
        <v>0</v>
      </c>
      <c r="AF35" s="39">
        <v>0</v>
      </c>
      <c r="AG35" s="39">
        <v>0</v>
      </c>
      <c r="AH35" s="45">
        <f t="shared" si="1"/>
        <v>40000</v>
      </c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45">
        <f t="shared" si="2"/>
        <v>0</v>
      </c>
    </row>
    <row r="36" spans="1:48" outlineLevel="1">
      <c r="A36" s="37" t="s">
        <v>277</v>
      </c>
      <c r="B36" s="41" t="s">
        <v>64</v>
      </c>
      <c r="C36" s="41" t="s">
        <v>64</v>
      </c>
      <c r="D36" s="37"/>
      <c r="E36" s="40">
        <v>2176137.2600000002</v>
      </c>
      <c r="F36" s="38">
        <v>190148.34000000003</v>
      </c>
      <c r="G36" s="38">
        <v>103455.44</v>
      </c>
      <c r="H36" s="38">
        <v>73647.419999999984</v>
      </c>
      <c r="I36" s="38">
        <v>167069.18</v>
      </c>
      <c r="J36" s="38"/>
      <c r="K36" s="38">
        <v>114295.98999999999</v>
      </c>
      <c r="L36" s="38">
        <v>19059.36</v>
      </c>
      <c r="M36" s="38">
        <v>128435.87999999999</v>
      </c>
      <c r="N36" s="39">
        <v>289338.40806154592</v>
      </c>
      <c r="O36" s="39">
        <v>333779.40688150201</v>
      </c>
      <c r="P36" s="39">
        <v>301029.18456182472</v>
      </c>
      <c r="Q36" s="39">
        <v>241031.38357211012</v>
      </c>
      <c r="R36" s="39">
        <f t="shared" si="3"/>
        <v>1961289.9930769829</v>
      </c>
      <c r="S36" s="39"/>
      <c r="T36" s="39">
        <v>2499500</v>
      </c>
      <c r="U36" s="39"/>
      <c r="V36" s="39">
        <v>190148.34000000003</v>
      </c>
      <c r="W36" s="39">
        <v>103455.44</v>
      </c>
      <c r="X36" s="39">
        <v>73647.419999999984</v>
      </c>
      <c r="Y36" s="39">
        <v>167069.18</v>
      </c>
      <c r="Z36" s="39"/>
      <c r="AA36" s="39">
        <v>114295.98999999999</v>
      </c>
      <c r="AB36" s="39">
        <v>19059.36</v>
      </c>
      <c r="AC36" s="39">
        <v>128435.87999999999</v>
      </c>
      <c r="AD36" s="39">
        <v>289338.40806154592</v>
      </c>
      <c r="AE36" s="39">
        <v>333779.40688150201</v>
      </c>
      <c r="AF36" s="39">
        <v>301029.18456182472</v>
      </c>
      <c r="AG36" s="39">
        <v>241031.38357211012</v>
      </c>
      <c r="AH36" s="45">
        <f t="shared" si="1"/>
        <v>1961289.9930769829</v>
      </c>
      <c r="AJ36" s="39">
        <v>190148.34000000003</v>
      </c>
      <c r="AK36" s="39">
        <v>103455.44</v>
      </c>
      <c r="AL36" s="39">
        <v>73647.419999999984</v>
      </c>
      <c r="AM36" s="39">
        <v>167069.18</v>
      </c>
      <c r="AN36" s="39"/>
      <c r="AO36" s="39">
        <v>114295.98999999999</v>
      </c>
      <c r="AP36" s="39">
        <v>19059.36</v>
      </c>
      <c r="AQ36" s="39">
        <v>128435.87999999999</v>
      </c>
      <c r="AR36" s="39">
        <v>289338.40806154592</v>
      </c>
      <c r="AS36" s="39">
        <v>333779.40688150201</v>
      </c>
      <c r="AT36" s="39">
        <v>301029.18456182472</v>
      </c>
      <c r="AU36" s="39">
        <v>241031.38357211012</v>
      </c>
      <c r="AV36" s="45">
        <f t="shared" si="2"/>
        <v>1961289.9930769829</v>
      </c>
    </row>
    <row r="37" spans="1:48" outlineLevel="1">
      <c r="A37" s="13" t="s">
        <v>278</v>
      </c>
      <c r="B37" s="41" t="s">
        <v>64</v>
      </c>
      <c r="C37" s="41" t="s">
        <v>64</v>
      </c>
      <c r="E37" s="40"/>
      <c r="F37" s="38"/>
      <c r="G37" s="38"/>
      <c r="H37" s="38"/>
      <c r="I37" s="38">
        <v>2319.1099999999997</v>
      </c>
      <c r="J37" s="38"/>
      <c r="K37" s="38">
        <v>0</v>
      </c>
      <c r="L37" s="38">
        <v>0</v>
      </c>
      <c r="M37" s="38">
        <v>0</v>
      </c>
      <c r="N37" s="39">
        <v>0</v>
      </c>
      <c r="O37" s="39">
        <v>0</v>
      </c>
      <c r="P37" s="39">
        <v>0</v>
      </c>
      <c r="Q37" s="39">
        <v>0</v>
      </c>
      <c r="R37" s="39">
        <f t="shared" si="3"/>
        <v>2319.1099999999997</v>
      </c>
      <c r="S37" s="39"/>
      <c r="T37" s="40"/>
      <c r="U37" s="40"/>
      <c r="V37" s="39"/>
      <c r="W37" s="39"/>
      <c r="X37" s="39"/>
      <c r="Y37" s="39"/>
      <c r="Z37" s="39"/>
      <c r="AA37" s="39">
        <v>0</v>
      </c>
      <c r="AB37" s="39">
        <v>0</v>
      </c>
      <c r="AC37" s="39">
        <v>0</v>
      </c>
      <c r="AD37" s="39">
        <v>0</v>
      </c>
      <c r="AE37" s="39">
        <v>0</v>
      </c>
      <c r="AF37" s="39">
        <v>0</v>
      </c>
      <c r="AG37" s="39">
        <v>0</v>
      </c>
      <c r="AH37" s="45">
        <f t="shared" si="1"/>
        <v>0</v>
      </c>
      <c r="AJ37" s="39"/>
      <c r="AK37" s="39"/>
      <c r="AL37" s="39"/>
      <c r="AM37" s="39">
        <v>2319.1099999999997</v>
      </c>
      <c r="AN37" s="39"/>
      <c r="AO37" s="39">
        <v>0</v>
      </c>
      <c r="AP37" s="39">
        <v>0</v>
      </c>
      <c r="AQ37" s="39">
        <v>0</v>
      </c>
      <c r="AR37" s="39">
        <v>0</v>
      </c>
      <c r="AS37" s="39">
        <v>0</v>
      </c>
      <c r="AT37" s="39">
        <v>0</v>
      </c>
      <c r="AU37" s="39">
        <v>0</v>
      </c>
      <c r="AV37" s="45">
        <f t="shared" si="2"/>
        <v>2319.1099999999997</v>
      </c>
    </row>
    <row r="38" spans="1:48" outlineLevel="1">
      <c r="A38" s="13" t="s">
        <v>279</v>
      </c>
      <c r="B38" s="41" t="s">
        <v>280</v>
      </c>
      <c r="C38" s="41" t="s">
        <v>67</v>
      </c>
      <c r="E38" s="40"/>
      <c r="F38" s="38">
        <v>0</v>
      </c>
      <c r="G38" s="38">
        <v>11632.479999999998</v>
      </c>
      <c r="H38" s="38">
        <v>0</v>
      </c>
      <c r="I38" s="38">
        <v>4117.6799999999994</v>
      </c>
      <c r="J38" s="38">
        <v>0</v>
      </c>
      <c r="K38" s="38">
        <v>0</v>
      </c>
      <c r="L38" s="38">
        <v>0</v>
      </c>
      <c r="M38" s="38">
        <v>0</v>
      </c>
      <c r="N38" s="39">
        <v>0</v>
      </c>
      <c r="O38" s="39">
        <v>0</v>
      </c>
      <c r="P38" s="39">
        <v>0</v>
      </c>
      <c r="Q38" s="39">
        <v>15000</v>
      </c>
      <c r="R38" s="39">
        <f t="shared" si="3"/>
        <v>30750.159999999996</v>
      </c>
      <c r="S38" s="39"/>
      <c r="T38" s="40"/>
      <c r="U38" s="40"/>
      <c r="V38" s="39">
        <v>0</v>
      </c>
      <c r="W38" s="39"/>
      <c r="X38" s="39">
        <v>15000</v>
      </c>
      <c r="Y38" s="39"/>
      <c r="Z38" s="39">
        <v>0</v>
      </c>
      <c r="AA38" s="39">
        <v>0</v>
      </c>
      <c r="AB38" s="39">
        <v>0</v>
      </c>
      <c r="AC38" s="39">
        <v>0</v>
      </c>
      <c r="AD38" s="39">
        <v>0</v>
      </c>
      <c r="AE38" s="39">
        <v>20000</v>
      </c>
      <c r="AF38" s="39">
        <v>0</v>
      </c>
      <c r="AG38" s="39">
        <v>0</v>
      </c>
      <c r="AH38" s="45">
        <f t="shared" si="1"/>
        <v>35000</v>
      </c>
      <c r="AJ38" s="39">
        <v>0</v>
      </c>
      <c r="AK38" s="39">
        <v>11632.479999999998</v>
      </c>
      <c r="AL38" s="39">
        <v>0</v>
      </c>
      <c r="AM38" s="39">
        <v>4117.6799999999994</v>
      </c>
      <c r="AN38" s="39">
        <v>0</v>
      </c>
      <c r="AO38" s="39">
        <v>0</v>
      </c>
      <c r="AP38" s="39">
        <v>0</v>
      </c>
      <c r="AQ38" s="39">
        <v>0</v>
      </c>
      <c r="AR38" s="39">
        <v>0</v>
      </c>
      <c r="AS38" s="39">
        <v>0</v>
      </c>
      <c r="AT38" s="39">
        <v>0</v>
      </c>
      <c r="AU38" s="39">
        <v>0</v>
      </c>
      <c r="AV38" s="45">
        <f t="shared" si="2"/>
        <v>15750.159999999996</v>
      </c>
    </row>
    <row r="39" spans="1:48" outlineLevel="1">
      <c r="A39" s="37" t="s">
        <v>281</v>
      </c>
      <c r="B39" s="41" t="s">
        <v>282</v>
      </c>
      <c r="C39" s="41" t="s">
        <v>67</v>
      </c>
      <c r="D39" s="37"/>
      <c r="E39" s="40">
        <v>18454.750000000004</v>
      </c>
      <c r="F39" s="38">
        <v>0</v>
      </c>
      <c r="G39" s="38">
        <v>0</v>
      </c>
      <c r="H39" s="38">
        <v>0</v>
      </c>
      <c r="I39" s="38">
        <v>28956.77</v>
      </c>
      <c r="J39" s="38">
        <v>0</v>
      </c>
      <c r="K39" s="38">
        <v>0</v>
      </c>
      <c r="L39" s="38">
        <v>0</v>
      </c>
      <c r="M39" s="38">
        <v>0</v>
      </c>
      <c r="N39" s="39">
        <v>3157.9808264051749</v>
      </c>
      <c r="O39" s="39">
        <v>3643.0316121614283</v>
      </c>
      <c r="P39" s="39">
        <v>3285.5796760740213</v>
      </c>
      <c r="Q39" s="39">
        <v>2630.7343466157595</v>
      </c>
      <c r="R39" s="39">
        <f t="shared" si="3"/>
        <v>41674.096461256384</v>
      </c>
      <c r="S39" s="39"/>
      <c r="T39" s="40">
        <v>21416.702999999994</v>
      </c>
      <c r="U39" s="40"/>
      <c r="V39" s="39">
        <v>0</v>
      </c>
      <c r="W39" s="39">
        <v>0</v>
      </c>
      <c r="X39" s="39">
        <v>0</v>
      </c>
      <c r="Y39" s="39">
        <v>28956.77</v>
      </c>
      <c r="Z39" s="39">
        <v>0</v>
      </c>
      <c r="AA39" s="39">
        <v>0</v>
      </c>
      <c r="AB39" s="39">
        <v>0</v>
      </c>
      <c r="AC39" s="39">
        <v>0</v>
      </c>
      <c r="AD39" s="39">
        <v>3157.9808264051749</v>
      </c>
      <c r="AE39" s="39">
        <v>3643.0316121614283</v>
      </c>
      <c r="AF39" s="39">
        <v>3285.5796760740213</v>
      </c>
      <c r="AG39" s="39">
        <v>2630.7343466157595</v>
      </c>
      <c r="AH39" s="45">
        <f t="shared" si="1"/>
        <v>41674.096461256384</v>
      </c>
      <c r="AJ39" s="39">
        <v>0</v>
      </c>
      <c r="AK39" s="39">
        <v>0</v>
      </c>
      <c r="AL39" s="39">
        <v>0</v>
      </c>
      <c r="AM39" s="39">
        <v>28956.77</v>
      </c>
      <c r="AN39" s="39">
        <v>0</v>
      </c>
      <c r="AO39" s="39">
        <v>0</v>
      </c>
      <c r="AP39" s="39">
        <v>0</v>
      </c>
      <c r="AQ39" s="39">
        <v>0</v>
      </c>
      <c r="AR39" s="39">
        <v>3157.9808264051749</v>
      </c>
      <c r="AS39" s="39">
        <v>3643.0316121614283</v>
      </c>
      <c r="AT39" s="39">
        <v>3285.5796760740213</v>
      </c>
      <c r="AU39" s="39">
        <v>2630.7343466157595</v>
      </c>
      <c r="AV39" s="45">
        <f t="shared" si="2"/>
        <v>41674.096461256384</v>
      </c>
    </row>
    <row r="40" spans="1:48" outlineLevel="1">
      <c r="A40" s="13" t="s">
        <v>283</v>
      </c>
      <c r="B40" s="41" t="s">
        <v>64</v>
      </c>
      <c r="C40" s="41" t="s">
        <v>64</v>
      </c>
      <c r="E40" s="40">
        <v>37449.85</v>
      </c>
      <c r="F40" s="38">
        <v>0</v>
      </c>
      <c r="G40" s="38">
        <v>1610.8999999999999</v>
      </c>
      <c r="H40" s="38">
        <v>2121.48</v>
      </c>
      <c r="I40" s="38">
        <v>1570.4599999999998</v>
      </c>
      <c r="J40" s="38">
        <v>7092</v>
      </c>
      <c r="K40" s="38">
        <v>5815.8</v>
      </c>
      <c r="L40" s="38">
        <v>2924.7000000000003</v>
      </c>
      <c r="M40" s="38">
        <v>655.6</v>
      </c>
      <c r="N40" s="39">
        <v>0</v>
      </c>
      <c r="O40" s="39">
        <v>0</v>
      </c>
      <c r="P40" s="39">
        <v>0</v>
      </c>
      <c r="Q40" s="39">
        <v>0</v>
      </c>
      <c r="R40" s="39">
        <f t="shared" si="3"/>
        <v>21790.94</v>
      </c>
      <c r="S40" s="39"/>
      <c r="T40" s="39"/>
      <c r="U40" s="39"/>
      <c r="V40" s="39">
        <v>0</v>
      </c>
      <c r="W40" s="39">
        <v>1610.8999999999999</v>
      </c>
      <c r="X40" s="39">
        <v>2121.48</v>
      </c>
      <c r="Y40" s="39">
        <v>1570.4599999999998</v>
      </c>
      <c r="Z40" s="39">
        <v>7092</v>
      </c>
      <c r="AA40" s="39">
        <v>5815.8</v>
      </c>
      <c r="AB40" s="39">
        <v>2924.7000000000003</v>
      </c>
      <c r="AC40" s="39">
        <v>655.6</v>
      </c>
      <c r="AD40" s="39">
        <v>0</v>
      </c>
      <c r="AE40" s="39">
        <v>0</v>
      </c>
      <c r="AF40" s="39">
        <v>0</v>
      </c>
      <c r="AG40" s="39">
        <v>0</v>
      </c>
      <c r="AH40" s="45">
        <f t="shared" si="1"/>
        <v>21790.94</v>
      </c>
      <c r="AJ40" s="39">
        <v>0</v>
      </c>
      <c r="AK40" s="39">
        <v>1610.8999999999999</v>
      </c>
      <c r="AL40" s="39">
        <v>2121.48</v>
      </c>
      <c r="AM40" s="39">
        <v>1570.4599999999998</v>
      </c>
      <c r="AN40" s="39">
        <v>7092</v>
      </c>
      <c r="AO40" s="39">
        <v>5815.8</v>
      </c>
      <c r="AP40" s="39">
        <v>2924.7000000000003</v>
      </c>
      <c r="AQ40" s="39">
        <v>655.6</v>
      </c>
      <c r="AR40" s="39">
        <v>0</v>
      </c>
      <c r="AS40" s="39">
        <v>0</v>
      </c>
      <c r="AT40" s="39">
        <v>0</v>
      </c>
      <c r="AU40" s="39">
        <v>0</v>
      </c>
      <c r="AV40" s="45">
        <f t="shared" si="2"/>
        <v>21790.94</v>
      </c>
    </row>
    <row r="41" spans="1:48" outlineLevel="1">
      <c r="A41" s="13" t="s">
        <v>284</v>
      </c>
      <c r="B41" s="41" t="s">
        <v>64</v>
      </c>
      <c r="C41" s="41" t="s">
        <v>64</v>
      </c>
      <c r="E41" s="40">
        <v>26445.07</v>
      </c>
      <c r="F41" s="38">
        <v>0</v>
      </c>
      <c r="G41" s="38">
        <v>963.65999999999985</v>
      </c>
      <c r="H41" s="38">
        <v>5418.1799999999994</v>
      </c>
      <c r="I41" s="38">
        <v>593.4</v>
      </c>
      <c r="J41" s="38">
        <v>590.4</v>
      </c>
      <c r="K41" s="38">
        <v>1535.9399999999998</v>
      </c>
      <c r="L41" s="38">
        <v>1639.14</v>
      </c>
      <c r="M41" s="38">
        <v>2721.7799999999997</v>
      </c>
      <c r="N41" s="39">
        <v>2752.6210146903372</v>
      </c>
      <c r="O41" s="39">
        <v>3175.410467653729</v>
      </c>
      <c r="P41" s="39">
        <v>2863.8412197378129</v>
      </c>
      <c r="Q41" s="39">
        <v>2293.052125590425</v>
      </c>
      <c r="R41" s="39">
        <f t="shared" si="3"/>
        <v>24547.424827672301</v>
      </c>
      <c r="S41" s="39"/>
      <c r="T41" s="39">
        <v>25670.978499999997</v>
      </c>
      <c r="U41" s="39"/>
      <c r="V41" s="39">
        <v>0</v>
      </c>
      <c r="W41" s="39">
        <v>963.65999999999985</v>
      </c>
      <c r="X41" s="39">
        <v>5418.1799999999994</v>
      </c>
      <c r="Y41" s="39">
        <v>593.4</v>
      </c>
      <c r="Z41" s="39">
        <v>590.4</v>
      </c>
      <c r="AA41" s="39">
        <v>1535.9399999999998</v>
      </c>
      <c r="AB41" s="39">
        <v>1639.14</v>
      </c>
      <c r="AC41" s="39">
        <v>2721.7799999999997</v>
      </c>
      <c r="AD41" s="39">
        <v>2752.6210146903372</v>
      </c>
      <c r="AE41" s="39">
        <v>3175.410467653729</v>
      </c>
      <c r="AF41" s="39">
        <v>2863.8412197378129</v>
      </c>
      <c r="AG41" s="39">
        <v>2293.052125590425</v>
      </c>
      <c r="AH41" s="45">
        <f t="shared" si="1"/>
        <v>24547.424827672301</v>
      </c>
      <c r="AJ41" s="39">
        <v>0</v>
      </c>
      <c r="AK41" s="39">
        <v>963.65999999999985</v>
      </c>
      <c r="AL41" s="39">
        <v>5418.1799999999994</v>
      </c>
      <c r="AM41" s="39">
        <v>593.4</v>
      </c>
      <c r="AN41" s="39">
        <v>590.4</v>
      </c>
      <c r="AO41" s="39">
        <v>1535.9399999999998</v>
      </c>
      <c r="AP41" s="39">
        <v>1639.14</v>
      </c>
      <c r="AQ41" s="39">
        <v>2721.7799999999997</v>
      </c>
      <c r="AR41" s="39">
        <v>2752.6210146903372</v>
      </c>
      <c r="AS41" s="39">
        <v>3175.410467653729</v>
      </c>
      <c r="AT41" s="39">
        <v>2863.8412197378129</v>
      </c>
      <c r="AU41" s="39">
        <v>2293.052125590425</v>
      </c>
      <c r="AV41" s="45">
        <f t="shared" si="2"/>
        <v>24547.424827672301</v>
      </c>
    </row>
    <row r="42" spans="1:48" outlineLevel="1">
      <c r="A42" s="37" t="s">
        <v>285</v>
      </c>
      <c r="B42" s="41" t="s">
        <v>236</v>
      </c>
      <c r="C42" s="41" t="s">
        <v>65</v>
      </c>
      <c r="D42" s="37"/>
      <c r="E42" s="40"/>
      <c r="F42" s="38">
        <v>0</v>
      </c>
      <c r="G42" s="38">
        <v>0</v>
      </c>
      <c r="H42" s="38">
        <v>0</v>
      </c>
      <c r="I42" s="38">
        <v>0</v>
      </c>
      <c r="J42" s="38">
        <v>0</v>
      </c>
      <c r="K42" s="38">
        <v>0</v>
      </c>
      <c r="L42" s="38">
        <v>0</v>
      </c>
      <c r="M42" s="38">
        <v>6558.84</v>
      </c>
      <c r="N42" s="39">
        <v>0</v>
      </c>
      <c r="O42" s="39">
        <v>0</v>
      </c>
      <c r="P42" s="39">
        <v>0</v>
      </c>
      <c r="Q42" s="39">
        <v>4000</v>
      </c>
      <c r="R42" s="39">
        <f t="shared" si="3"/>
        <v>10558.84</v>
      </c>
      <c r="S42" s="39"/>
      <c r="T42" s="40"/>
      <c r="U42" s="40"/>
      <c r="V42" s="39">
        <v>0</v>
      </c>
      <c r="W42" s="39">
        <v>0</v>
      </c>
      <c r="X42" s="39">
        <v>0</v>
      </c>
      <c r="Y42" s="39">
        <v>4000</v>
      </c>
      <c r="Z42" s="39">
        <v>0</v>
      </c>
      <c r="AA42" s="39">
        <v>0</v>
      </c>
      <c r="AB42" s="39">
        <v>0</v>
      </c>
      <c r="AC42" s="39"/>
      <c r="AD42" s="39">
        <v>7000</v>
      </c>
      <c r="AE42" s="39">
        <v>0</v>
      </c>
      <c r="AF42" s="39">
        <v>0</v>
      </c>
      <c r="AG42" s="39">
        <v>0</v>
      </c>
      <c r="AH42" s="45">
        <f t="shared" si="1"/>
        <v>11000</v>
      </c>
      <c r="AJ42" s="39">
        <v>0</v>
      </c>
      <c r="AK42" s="39">
        <v>0</v>
      </c>
      <c r="AL42" s="39">
        <v>0</v>
      </c>
      <c r="AM42" s="39">
        <v>0</v>
      </c>
      <c r="AN42" s="39">
        <v>0</v>
      </c>
      <c r="AO42" s="39">
        <v>0</v>
      </c>
      <c r="AP42" s="39">
        <v>0</v>
      </c>
      <c r="AQ42" s="39">
        <v>6558.84</v>
      </c>
      <c r="AR42" s="39">
        <v>0</v>
      </c>
      <c r="AS42" s="39">
        <v>0</v>
      </c>
      <c r="AT42" s="39">
        <v>0</v>
      </c>
      <c r="AU42" s="39">
        <v>0</v>
      </c>
      <c r="AV42" s="45">
        <f t="shared" si="2"/>
        <v>6558.84</v>
      </c>
    </row>
    <row r="43" spans="1:48" outlineLevel="1">
      <c r="A43" s="13" t="s">
        <v>286</v>
      </c>
      <c r="B43" s="41" t="s">
        <v>287</v>
      </c>
      <c r="C43" s="41" t="s">
        <v>67</v>
      </c>
      <c r="E43" s="40"/>
      <c r="F43" s="38">
        <v>0</v>
      </c>
      <c r="G43" s="38">
        <v>0</v>
      </c>
      <c r="H43" s="38">
        <v>0</v>
      </c>
      <c r="I43" s="38">
        <v>1008.7</v>
      </c>
      <c r="J43" s="38">
        <v>0</v>
      </c>
      <c r="K43" s="38">
        <v>0</v>
      </c>
      <c r="L43" s="38">
        <v>0</v>
      </c>
      <c r="M43" s="38">
        <v>0</v>
      </c>
      <c r="N43" s="39">
        <v>0</v>
      </c>
      <c r="O43" s="39">
        <v>0</v>
      </c>
      <c r="P43" s="39">
        <v>0</v>
      </c>
      <c r="Q43" s="39">
        <v>0</v>
      </c>
      <c r="R43" s="39">
        <f t="shared" si="3"/>
        <v>1008.7</v>
      </c>
      <c r="S43" s="39"/>
      <c r="T43" s="40"/>
      <c r="U43" s="40"/>
      <c r="V43" s="39">
        <v>0</v>
      </c>
      <c r="W43" s="39">
        <v>0</v>
      </c>
      <c r="X43" s="39">
        <v>0</v>
      </c>
      <c r="Y43" s="39">
        <v>1008.7</v>
      </c>
      <c r="Z43" s="39">
        <v>0</v>
      </c>
      <c r="AA43" s="39">
        <v>0</v>
      </c>
      <c r="AB43" s="39">
        <v>0</v>
      </c>
      <c r="AC43" s="39">
        <v>0</v>
      </c>
      <c r="AD43" s="39">
        <v>0</v>
      </c>
      <c r="AE43" s="39">
        <v>0</v>
      </c>
      <c r="AF43" s="39">
        <v>0</v>
      </c>
      <c r="AG43" s="39">
        <v>0</v>
      </c>
      <c r="AH43" s="45">
        <f t="shared" si="1"/>
        <v>1008.7</v>
      </c>
      <c r="AJ43" s="39">
        <v>0</v>
      </c>
      <c r="AK43" s="39">
        <v>0</v>
      </c>
      <c r="AL43" s="39">
        <v>0</v>
      </c>
      <c r="AM43" s="39">
        <v>1008.7</v>
      </c>
      <c r="AN43" s="39">
        <v>0</v>
      </c>
      <c r="AO43" s="39">
        <v>0</v>
      </c>
      <c r="AP43" s="39">
        <v>0</v>
      </c>
      <c r="AQ43" s="39">
        <v>0</v>
      </c>
      <c r="AR43" s="39">
        <v>0</v>
      </c>
      <c r="AS43" s="39">
        <v>0</v>
      </c>
      <c r="AT43" s="39">
        <v>0</v>
      </c>
      <c r="AU43" s="39">
        <v>0</v>
      </c>
      <c r="AV43" s="45">
        <f t="shared" si="2"/>
        <v>1008.7</v>
      </c>
    </row>
    <row r="44" spans="1:48" s="181" customFormat="1" outlineLevel="1">
      <c r="A44" s="401" t="s">
        <v>288</v>
      </c>
      <c r="B44" s="402" t="s">
        <v>255</v>
      </c>
      <c r="C44" s="402" t="s">
        <v>66</v>
      </c>
      <c r="D44" s="401"/>
      <c r="E44" s="403">
        <v>20150.689999999999</v>
      </c>
      <c r="F44" s="404">
        <v>2131.69</v>
      </c>
      <c r="G44" s="404">
        <v>1012.26</v>
      </c>
      <c r="H44" s="404">
        <v>2348.8799999999997</v>
      </c>
      <c r="I44" s="404">
        <v>6589.9900000000007</v>
      </c>
      <c r="J44" s="404">
        <v>0</v>
      </c>
      <c r="K44" s="404">
        <v>0</v>
      </c>
      <c r="L44" s="404">
        <v>1115.9999999999998</v>
      </c>
      <c r="M44" s="404">
        <v>961.67</v>
      </c>
      <c r="N44" s="404">
        <v>891.79483961171661</v>
      </c>
      <c r="O44" s="404">
        <v>1028.7702715301675</v>
      </c>
      <c r="P44" s="404">
        <v>927.82798925075406</v>
      </c>
      <c r="Q44" s="404">
        <v>742.90359684414045</v>
      </c>
      <c r="R44" s="404">
        <f t="shared" si="3"/>
        <v>17751.786697236781</v>
      </c>
      <c r="S44" s="404"/>
      <c r="T44" s="403">
        <v>16941.569999999996</v>
      </c>
      <c r="U44" s="403"/>
      <c r="V44" s="404">
        <v>2131.69</v>
      </c>
      <c r="W44" s="404">
        <v>1012.26</v>
      </c>
      <c r="X44" s="404">
        <v>2348.8799999999997</v>
      </c>
      <c r="Y44" s="404">
        <v>6589.9900000000007</v>
      </c>
      <c r="Z44" s="404">
        <v>0</v>
      </c>
      <c r="AA44" s="404">
        <v>0</v>
      </c>
      <c r="AB44" s="404">
        <v>1115.9999999999998</v>
      </c>
      <c r="AC44" s="404">
        <v>961.67</v>
      </c>
      <c r="AD44" s="404">
        <v>891.79483961171661</v>
      </c>
      <c r="AE44" s="404">
        <v>1028.7702715301675</v>
      </c>
      <c r="AF44" s="404">
        <v>927.82798925075406</v>
      </c>
      <c r="AG44" s="404">
        <v>742.90359684414045</v>
      </c>
      <c r="AH44" s="405">
        <f t="shared" si="1"/>
        <v>17751.786697236781</v>
      </c>
      <c r="AJ44" s="404">
        <v>2131.69</v>
      </c>
      <c r="AK44" s="404">
        <v>1012.26</v>
      </c>
      <c r="AL44" s="404">
        <v>2348.8799999999997</v>
      </c>
      <c r="AM44" s="404">
        <v>6589.9900000000007</v>
      </c>
      <c r="AN44" s="404">
        <v>0</v>
      </c>
      <c r="AO44" s="404">
        <v>0</v>
      </c>
      <c r="AP44" s="404">
        <v>1115.9999999999998</v>
      </c>
      <c r="AQ44" s="404">
        <v>961.67</v>
      </c>
      <c r="AR44" s="404">
        <v>891.79483961171661</v>
      </c>
      <c r="AS44" s="404">
        <v>1028.7702715301675</v>
      </c>
      <c r="AT44" s="404">
        <v>927.82798925075406</v>
      </c>
      <c r="AU44" s="404">
        <v>742.90359684414045</v>
      </c>
      <c r="AV44" s="405">
        <f t="shared" si="2"/>
        <v>17751.786697236781</v>
      </c>
    </row>
    <row r="45" spans="1:48" outlineLevel="1">
      <c r="A45" s="37" t="s">
        <v>289</v>
      </c>
      <c r="B45" s="41" t="s">
        <v>290</v>
      </c>
      <c r="C45" s="41" t="s">
        <v>66</v>
      </c>
      <c r="D45" s="37"/>
      <c r="E45" s="40">
        <v>14389.159999999994</v>
      </c>
      <c r="F45" s="38">
        <v>0</v>
      </c>
      <c r="G45" s="38">
        <v>0</v>
      </c>
      <c r="H45" s="38">
        <v>0</v>
      </c>
      <c r="I45" s="38">
        <v>0</v>
      </c>
      <c r="J45" s="38">
        <v>0</v>
      </c>
      <c r="K45" s="38">
        <v>0</v>
      </c>
      <c r="L45" s="38">
        <v>0</v>
      </c>
      <c r="M45" s="38">
        <v>0</v>
      </c>
      <c r="N45" s="39"/>
      <c r="O45" s="39"/>
      <c r="P45" s="39"/>
      <c r="Q45" s="39"/>
      <c r="R45" s="39">
        <f t="shared" si="3"/>
        <v>0</v>
      </c>
      <c r="S45" s="39"/>
      <c r="T45" s="40">
        <v>16547.534</v>
      </c>
      <c r="U45" s="40"/>
      <c r="V45" s="39">
        <v>0</v>
      </c>
      <c r="W45" s="39">
        <v>0</v>
      </c>
      <c r="X45" s="39">
        <v>0</v>
      </c>
      <c r="Y45" s="39">
        <v>0</v>
      </c>
      <c r="Z45" s="39">
        <v>0</v>
      </c>
      <c r="AA45" s="39">
        <v>0</v>
      </c>
      <c r="AB45" s="39">
        <v>0</v>
      </c>
      <c r="AC45" s="39">
        <v>0</v>
      </c>
      <c r="AD45" s="39"/>
      <c r="AE45" s="39"/>
      <c r="AF45" s="39"/>
      <c r="AG45" s="39"/>
      <c r="AH45" s="45">
        <f t="shared" si="1"/>
        <v>0</v>
      </c>
      <c r="AJ45" s="39">
        <v>0</v>
      </c>
      <c r="AK45" s="39">
        <v>0</v>
      </c>
      <c r="AL45" s="39">
        <v>0</v>
      </c>
      <c r="AM45" s="39">
        <v>0</v>
      </c>
      <c r="AN45" s="39">
        <v>0</v>
      </c>
      <c r="AO45" s="39">
        <v>0</v>
      </c>
      <c r="AP45" s="39">
        <v>0</v>
      </c>
      <c r="AQ45" s="39">
        <v>0</v>
      </c>
      <c r="AR45" s="39">
        <v>2436.3354156725532</v>
      </c>
      <c r="AS45" s="39">
        <v>2810.544909871091</v>
      </c>
      <c r="AT45" s="39">
        <v>2534.7760375559878</v>
      </c>
      <c r="AU45" s="39">
        <v>2029.5725687423276</v>
      </c>
      <c r="AV45" s="45">
        <f t="shared" si="2"/>
        <v>9811.2289318419589</v>
      </c>
    </row>
    <row r="46" spans="1:48" outlineLevel="1">
      <c r="A46" s="37" t="s">
        <v>291</v>
      </c>
      <c r="B46" s="41" t="s">
        <v>292</v>
      </c>
      <c r="C46" s="41" t="s">
        <v>66</v>
      </c>
      <c r="D46" s="37"/>
      <c r="E46" s="40">
        <v>182259.50000000003</v>
      </c>
      <c r="F46" s="38">
        <v>4582.5</v>
      </c>
      <c r="G46" s="38">
        <v>0</v>
      </c>
      <c r="H46" s="38">
        <v>0</v>
      </c>
      <c r="I46" s="38">
        <v>10071.599999999999</v>
      </c>
      <c r="J46" s="38">
        <v>12198.36</v>
      </c>
      <c r="K46" s="38">
        <v>10277.700000000001</v>
      </c>
      <c r="L46" s="38">
        <v>0</v>
      </c>
      <c r="M46" s="38">
        <v>0</v>
      </c>
      <c r="N46" s="39">
        <v>22964.620833315217</v>
      </c>
      <c r="O46" s="39">
        <v>40000</v>
      </c>
      <c r="P46" s="39">
        <v>15000</v>
      </c>
      <c r="Q46" s="39">
        <v>15000</v>
      </c>
      <c r="R46" s="39">
        <f t="shared" si="3"/>
        <v>130094.78083331522</v>
      </c>
      <c r="S46" s="39"/>
      <c r="T46" s="40">
        <v>170629.27549999999</v>
      </c>
      <c r="U46" s="40"/>
      <c r="V46" s="39">
        <v>12000</v>
      </c>
      <c r="W46" s="39">
        <v>12000</v>
      </c>
      <c r="X46" s="39">
        <v>12000</v>
      </c>
      <c r="Y46" s="39">
        <v>12000</v>
      </c>
      <c r="Z46" s="39">
        <v>12000</v>
      </c>
      <c r="AA46" s="39">
        <v>12000</v>
      </c>
      <c r="AB46" s="39">
        <v>12000</v>
      </c>
      <c r="AC46" s="39">
        <v>12000</v>
      </c>
      <c r="AD46" s="39">
        <v>12000</v>
      </c>
      <c r="AE46" s="39">
        <v>12000</v>
      </c>
      <c r="AF46" s="39">
        <v>12000</v>
      </c>
      <c r="AG46" s="39">
        <v>12000</v>
      </c>
      <c r="AH46" s="45">
        <f t="shared" si="1"/>
        <v>144000</v>
      </c>
      <c r="AJ46" s="39">
        <v>4582.5</v>
      </c>
      <c r="AK46" s="39">
        <v>0</v>
      </c>
      <c r="AL46" s="39">
        <v>0</v>
      </c>
      <c r="AM46" s="39">
        <v>10071.599999999999</v>
      </c>
      <c r="AN46" s="39">
        <v>12198.36</v>
      </c>
      <c r="AO46" s="39">
        <v>10277.700000000001</v>
      </c>
      <c r="AP46" s="39">
        <v>0</v>
      </c>
      <c r="AQ46" s="39">
        <v>0</v>
      </c>
      <c r="AR46" s="39">
        <v>22964.620833315217</v>
      </c>
      <c r="AS46" s="39">
        <v>26491.877011267967</v>
      </c>
      <c r="AT46" s="39">
        <v>23892.510951238401</v>
      </c>
      <c r="AU46" s="39">
        <v>19130.520450936699</v>
      </c>
      <c r="AV46" s="45">
        <f t="shared" si="2"/>
        <v>129609.68924675828</v>
      </c>
    </row>
    <row r="47" spans="1:48" outlineLevel="1">
      <c r="A47" s="37" t="s">
        <v>293</v>
      </c>
      <c r="B47" s="41" t="s">
        <v>260</v>
      </c>
      <c r="C47" s="41" t="s">
        <v>66</v>
      </c>
      <c r="D47" s="37"/>
      <c r="E47" s="40">
        <v>30435.330000000005</v>
      </c>
      <c r="F47" s="38">
        <v>14359.529999999999</v>
      </c>
      <c r="G47" s="38">
        <v>0</v>
      </c>
      <c r="H47" s="38">
        <v>0</v>
      </c>
      <c r="I47" s="38">
        <v>9898.7999999999993</v>
      </c>
      <c r="J47" s="38">
        <v>-36.6</v>
      </c>
      <c r="K47" s="38">
        <v>0</v>
      </c>
      <c r="L47" s="38">
        <v>0</v>
      </c>
      <c r="M47" s="38">
        <v>8925.4499999999989</v>
      </c>
      <c r="N47" s="39"/>
      <c r="O47" s="39">
        <v>4000</v>
      </c>
      <c r="P47" s="39"/>
      <c r="Q47" s="39">
        <v>3000</v>
      </c>
      <c r="R47" s="39">
        <f t="shared" si="3"/>
        <v>40147.18</v>
      </c>
      <c r="S47" s="39"/>
      <c r="T47" s="40">
        <v>25000</v>
      </c>
      <c r="U47" s="40"/>
      <c r="V47" s="39">
        <v>5000</v>
      </c>
      <c r="W47" s="39">
        <v>5000</v>
      </c>
      <c r="X47" s="39">
        <v>5000</v>
      </c>
      <c r="Y47" s="39">
        <v>5000</v>
      </c>
      <c r="Z47" s="39">
        <v>5000</v>
      </c>
      <c r="AA47" s="39">
        <v>5000</v>
      </c>
      <c r="AB47" s="39">
        <v>5000</v>
      </c>
      <c r="AC47" s="39">
        <v>5000</v>
      </c>
      <c r="AD47" s="39">
        <v>5000</v>
      </c>
      <c r="AE47" s="39">
        <v>5000</v>
      </c>
      <c r="AF47" s="39">
        <v>5000</v>
      </c>
      <c r="AG47" s="39">
        <v>5000</v>
      </c>
      <c r="AH47" s="45">
        <f t="shared" si="1"/>
        <v>60000</v>
      </c>
      <c r="AJ47" s="39">
        <v>14359.529999999999</v>
      </c>
      <c r="AK47" s="39">
        <v>0</v>
      </c>
      <c r="AL47" s="39">
        <v>0</v>
      </c>
      <c r="AM47" s="39">
        <v>9898.7999999999993</v>
      </c>
      <c r="AN47" s="39">
        <v>-36.6</v>
      </c>
      <c r="AO47" s="39">
        <v>0</v>
      </c>
      <c r="AP47" s="39">
        <v>0</v>
      </c>
      <c r="AQ47" s="39">
        <v>8925.4499999999989</v>
      </c>
      <c r="AR47" s="39">
        <v>3790.011386564046</v>
      </c>
      <c r="AS47" s="39">
        <v>4372.1390504519504</v>
      </c>
      <c r="AT47" s="39">
        <v>3943.1475579789626</v>
      </c>
      <c r="AU47" s="39">
        <v>3157.2430856233514</v>
      </c>
      <c r="AV47" s="45">
        <f t="shared" si="2"/>
        <v>48409.721080618314</v>
      </c>
    </row>
    <row r="48" spans="1:48" outlineLevel="1">
      <c r="A48" s="37" t="s">
        <v>294</v>
      </c>
      <c r="B48" s="41" t="s">
        <v>295</v>
      </c>
      <c r="C48" s="41" t="s">
        <v>67</v>
      </c>
      <c r="D48" s="37"/>
      <c r="E48" s="40">
        <v>43102.920000000006</v>
      </c>
      <c r="F48" s="38">
        <v>0</v>
      </c>
      <c r="G48" s="38">
        <v>0</v>
      </c>
      <c r="H48" s="38">
        <v>0</v>
      </c>
      <c r="I48" s="38">
        <v>0</v>
      </c>
      <c r="J48" s="38">
        <v>0</v>
      </c>
      <c r="K48" s="38">
        <v>38881.600000000006</v>
      </c>
      <c r="L48" s="38">
        <v>0</v>
      </c>
      <c r="M48" s="38">
        <v>0</v>
      </c>
      <c r="N48" s="39"/>
      <c r="O48" s="39"/>
      <c r="P48" s="39">
        <v>30000</v>
      </c>
      <c r="Q48" s="39"/>
      <c r="R48" s="39">
        <f t="shared" si="3"/>
        <v>68881.600000000006</v>
      </c>
      <c r="S48" s="39"/>
      <c r="T48" s="40">
        <v>77560.277999999991</v>
      </c>
      <c r="U48" s="40"/>
      <c r="V48" s="39">
        <v>0</v>
      </c>
      <c r="W48" s="39">
        <v>0</v>
      </c>
      <c r="X48" s="39">
        <v>30000</v>
      </c>
      <c r="Y48" s="39">
        <v>0</v>
      </c>
      <c r="Z48" s="39">
        <v>0</v>
      </c>
      <c r="AA48" s="39"/>
      <c r="AB48" s="39">
        <v>0</v>
      </c>
      <c r="AC48" s="39">
        <v>40000</v>
      </c>
      <c r="AD48" s="39"/>
      <c r="AE48" s="39"/>
      <c r="AF48" s="39"/>
      <c r="AG48" s="39"/>
      <c r="AH48" s="45">
        <f t="shared" si="1"/>
        <v>70000</v>
      </c>
      <c r="AJ48" s="39">
        <v>0</v>
      </c>
      <c r="AK48" s="39">
        <v>0</v>
      </c>
      <c r="AL48" s="39">
        <v>0</v>
      </c>
      <c r="AM48" s="39">
        <v>0</v>
      </c>
      <c r="AN48" s="39">
        <v>0</v>
      </c>
      <c r="AO48" s="39">
        <v>38881.600000000006</v>
      </c>
      <c r="AP48" s="39">
        <v>0</v>
      </c>
      <c r="AQ48" s="39">
        <v>0</v>
      </c>
      <c r="AR48" s="39">
        <v>11419.396517983208</v>
      </c>
      <c r="AS48" s="39">
        <v>13173.361332334276</v>
      </c>
      <c r="AT48" s="39">
        <v>11880.799528230664</v>
      </c>
      <c r="AU48" s="39">
        <v>9512.8502321148899</v>
      </c>
      <c r="AV48" s="45">
        <f t="shared" si="2"/>
        <v>84868.007610663044</v>
      </c>
    </row>
    <row r="49" spans="1:48" outlineLevel="1">
      <c r="A49" s="13" t="s">
        <v>296</v>
      </c>
      <c r="B49" s="41" t="s">
        <v>64</v>
      </c>
      <c r="C49" s="41" t="s">
        <v>64</v>
      </c>
      <c r="E49" s="40">
        <v>5462.4</v>
      </c>
      <c r="F49" s="38">
        <v>0</v>
      </c>
      <c r="G49" s="38">
        <v>0</v>
      </c>
      <c r="H49" s="38">
        <v>2409.6</v>
      </c>
      <c r="I49" s="38">
        <v>1514.8799999999999</v>
      </c>
      <c r="J49" s="38">
        <v>1452.48</v>
      </c>
      <c r="K49" s="38">
        <v>0</v>
      </c>
      <c r="L49" s="38">
        <v>0</v>
      </c>
      <c r="M49" s="38">
        <v>806.40000000000009</v>
      </c>
      <c r="N49" s="39">
        <v>0</v>
      </c>
      <c r="O49" s="39">
        <v>0</v>
      </c>
      <c r="P49" s="39">
        <v>0</v>
      </c>
      <c r="Q49" s="39">
        <v>0</v>
      </c>
      <c r="R49" s="39">
        <f t="shared" si="3"/>
        <v>6183.3599999999988</v>
      </c>
      <c r="S49" s="39"/>
      <c r="T49" s="39"/>
      <c r="U49" s="39"/>
      <c r="V49" s="39">
        <v>0</v>
      </c>
      <c r="W49" s="39">
        <v>0</v>
      </c>
      <c r="X49" s="39">
        <v>2409.6</v>
      </c>
      <c r="Y49" s="39">
        <v>1514.8799999999999</v>
      </c>
      <c r="Z49" s="39">
        <v>1452.48</v>
      </c>
      <c r="AA49" s="39">
        <v>0</v>
      </c>
      <c r="AB49" s="39">
        <v>0</v>
      </c>
      <c r="AC49" s="39">
        <v>806.40000000000009</v>
      </c>
      <c r="AD49" s="39">
        <v>0</v>
      </c>
      <c r="AE49" s="39">
        <v>0</v>
      </c>
      <c r="AF49" s="39">
        <v>0</v>
      </c>
      <c r="AG49" s="39">
        <v>0</v>
      </c>
      <c r="AH49" s="45">
        <f t="shared" si="1"/>
        <v>6183.3599999999988</v>
      </c>
      <c r="AJ49" s="39">
        <v>0</v>
      </c>
      <c r="AK49" s="39">
        <v>0</v>
      </c>
      <c r="AL49" s="39">
        <v>2409.6</v>
      </c>
      <c r="AM49" s="39">
        <v>1514.8799999999999</v>
      </c>
      <c r="AN49" s="39">
        <v>1452.48</v>
      </c>
      <c r="AO49" s="39">
        <v>0</v>
      </c>
      <c r="AP49" s="39">
        <v>0</v>
      </c>
      <c r="AQ49" s="39">
        <v>806.40000000000009</v>
      </c>
      <c r="AR49" s="39">
        <v>0</v>
      </c>
      <c r="AS49" s="39">
        <v>0</v>
      </c>
      <c r="AT49" s="39">
        <v>0</v>
      </c>
      <c r="AU49" s="39">
        <v>0</v>
      </c>
      <c r="AV49" s="45">
        <f t="shared" si="2"/>
        <v>6183.3599999999988</v>
      </c>
    </row>
    <row r="50" spans="1:48" s="181" customFormat="1" outlineLevel="1">
      <c r="A50" s="401" t="s">
        <v>297</v>
      </c>
      <c r="B50" s="402" t="s">
        <v>267</v>
      </c>
      <c r="C50" s="402" t="s">
        <v>67</v>
      </c>
      <c r="D50" s="401"/>
      <c r="E50" s="403">
        <v>44303.07</v>
      </c>
      <c r="F50" s="404">
        <v>0</v>
      </c>
      <c r="G50" s="404">
        <v>0</v>
      </c>
      <c r="H50" s="404">
        <v>0</v>
      </c>
      <c r="I50" s="404">
        <v>0</v>
      </c>
      <c r="J50" s="404">
        <v>0</v>
      </c>
      <c r="K50" s="404">
        <v>0</v>
      </c>
      <c r="L50" s="404">
        <v>0</v>
      </c>
      <c r="M50" s="404">
        <v>0</v>
      </c>
      <c r="N50" s="404">
        <v>0</v>
      </c>
      <c r="O50" s="404">
        <v>0</v>
      </c>
      <c r="P50" s="404">
        <v>0</v>
      </c>
      <c r="Q50" s="404">
        <v>0</v>
      </c>
      <c r="R50" s="404">
        <f t="shared" si="3"/>
        <v>0</v>
      </c>
      <c r="S50" s="404"/>
      <c r="T50" s="403">
        <v>50991.655499999993</v>
      </c>
      <c r="U50" s="403"/>
      <c r="V50" s="404">
        <v>0</v>
      </c>
      <c r="W50" s="404">
        <v>0</v>
      </c>
      <c r="X50" s="404">
        <v>0</v>
      </c>
      <c r="Y50" s="404">
        <v>0</v>
      </c>
      <c r="Z50" s="404">
        <v>0</v>
      </c>
      <c r="AA50" s="404">
        <v>0</v>
      </c>
      <c r="AB50" s="404">
        <v>0</v>
      </c>
      <c r="AC50" s="404">
        <v>0</v>
      </c>
      <c r="AD50" s="404">
        <v>0</v>
      </c>
      <c r="AE50" s="404">
        <v>0</v>
      </c>
      <c r="AF50" s="404">
        <v>0</v>
      </c>
      <c r="AG50" s="404">
        <v>0</v>
      </c>
      <c r="AH50" s="405">
        <f t="shared" si="1"/>
        <v>0</v>
      </c>
      <c r="AJ50" s="404">
        <v>0</v>
      </c>
      <c r="AK50" s="404">
        <v>0</v>
      </c>
      <c r="AL50" s="404">
        <v>0</v>
      </c>
      <c r="AM50" s="404">
        <v>0</v>
      </c>
      <c r="AN50" s="404">
        <v>0</v>
      </c>
      <c r="AO50" s="404">
        <v>0</v>
      </c>
      <c r="AP50" s="404">
        <v>0</v>
      </c>
      <c r="AQ50" s="404">
        <v>0</v>
      </c>
      <c r="AR50" s="404">
        <v>0</v>
      </c>
      <c r="AS50" s="404">
        <v>0</v>
      </c>
      <c r="AT50" s="404">
        <v>0</v>
      </c>
      <c r="AU50" s="404">
        <v>0</v>
      </c>
      <c r="AV50" s="405">
        <f t="shared" si="2"/>
        <v>0</v>
      </c>
    </row>
    <row r="51" spans="1:48" s="181" customFormat="1" outlineLevel="1">
      <c r="A51" s="401" t="s">
        <v>298</v>
      </c>
      <c r="B51" s="402" t="s">
        <v>299</v>
      </c>
      <c r="C51" s="402" t="s">
        <v>67</v>
      </c>
      <c r="D51" s="401"/>
      <c r="E51" s="403">
        <v>104129.7</v>
      </c>
      <c r="F51" s="404">
        <v>0</v>
      </c>
      <c r="G51" s="404">
        <v>0</v>
      </c>
      <c r="H51" s="404">
        <v>0</v>
      </c>
      <c r="I51" s="404">
        <v>0</v>
      </c>
      <c r="J51" s="404">
        <v>0</v>
      </c>
      <c r="K51" s="404">
        <v>0</v>
      </c>
      <c r="L51" s="404">
        <v>0</v>
      </c>
      <c r="M51" s="404">
        <v>0</v>
      </c>
      <c r="N51" s="404">
        <v>0</v>
      </c>
      <c r="O51" s="404">
        <v>0</v>
      </c>
      <c r="P51" s="404">
        <v>0</v>
      </c>
      <c r="Q51" s="404">
        <v>0</v>
      </c>
      <c r="R51" s="404">
        <f t="shared" si="3"/>
        <v>0</v>
      </c>
      <c r="S51" s="404"/>
      <c r="T51" s="403">
        <v>89000</v>
      </c>
      <c r="U51" s="403"/>
      <c r="V51" s="404">
        <v>0</v>
      </c>
      <c r="W51" s="404">
        <v>0</v>
      </c>
      <c r="X51" s="404">
        <v>0</v>
      </c>
      <c r="Y51" s="404">
        <v>0</v>
      </c>
      <c r="Z51" s="404">
        <v>0</v>
      </c>
      <c r="AA51" s="404">
        <v>0</v>
      </c>
      <c r="AB51" s="404">
        <v>0</v>
      </c>
      <c r="AC51" s="404">
        <v>0</v>
      </c>
      <c r="AD51" s="404">
        <v>0</v>
      </c>
      <c r="AE51" s="404">
        <v>0</v>
      </c>
      <c r="AF51" s="404">
        <v>0</v>
      </c>
      <c r="AG51" s="404">
        <v>0</v>
      </c>
      <c r="AH51" s="405">
        <f t="shared" si="1"/>
        <v>0</v>
      </c>
      <c r="AJ51" s="404">
        <v>0</v>
      </c>
      <c r="AK51" s="404">
        <v>0</v>
      </c>
      <c r="AL51" s="404">
        <v>0</v>
      </c>
      <c r="AM51" s="404">
        <v>0</v>
      </c>
      <c r="AN51" s="404">
        <v>0</v>
      </c>
      <c r="AO51" s="404">
        <v>0</v>
      </c>
      <c r="AP51" s="404">
        <v>0</v>
      </c>
      <c r="AQ51" s="404">
        <v>0</v>
      </c>
      <c r="AR51" s="404">
        <v>0</v>
      </c>
      <c r="AS51" s="404">
        <v>0</v>
      </c>
      <c r="AT51" s="404">
        <v>0</v>
      </c>
      <c r="AU51" s="404">
        <v>0</v>
      </c>
      <c r="AV51" s="405">
        <f t="shared" si="2"/>
        <v>0</v>
      </c>
    </row>
    <row r="52" spans="1:48" outlineLevel="1">
      <c r="A52" s="37" t="s">
        <v>300</v>
      </c>
      <c r="B52" s="41" t="s">
        <v>64</v>
      </c>
      <c r="C52" s="41" t="s">
        <v>64</v>
      </c>
      <c r="D52" s="37"/>
      <c r="E52" s="40"/>
      <c r="F52" s="38">
        <v>0</v>
      </c>
      <c r="G52" s="38">
        <v>0</v>
      </c>
      <c r="H52" s="38">
        <v>0</v>
      </c>
      <c r="I52" s="38">
        <v>0</v>
      </c>
      <c r="J52" s="38">
        <v>0</v>
      </c>
      <c r="K52" s="38">
        <v>0</v>
      </c>
      <c r="L52" s="38">
        <v>513.52</v>
      </c>
      <c r="M52" s="38">
        <v>0</v>
      </c>
      <c r="N52" s="39">
        <v>0</v>
      </c>
      <c r="O52" s="39">
        <v>0</v>
      </c>
      <c r="P52" s="39">
        <v>0</v>
      </c>
      <c r="Q52" s="39">
        <v>0</v>
      </c>
      <c r="R52" s="39">
        <f t="shared" si="3"/>
        <v>513.52</v>
      </c>
      <c r="S52" s="39"/>
      <c r="T52" s="40"/>
      <c r="U52" s="40"/>
      <c r="V52" s="39">
        <v>0</v>
      </c>
      <c r="W52" s="39">
        <v>0</v>
      </c>
      <c r="X52" s="39">
        <v>0</v>
      </c>
      <c r="Y52" s="39">
        <v>0</v>
      </c>
      <c r="Z52" s="39">
        <v>0</v>
      </c>
      <c r="AA52" s="39">
        <v>0</v>
      </c>
      <c r="AB52" s="39">
        <v>513.52</v>
      </c>
      <c r="AC52" s="39">
        <v>0</v>
      </c>
      <c r="AD52" s="39">
        <v>0</v>
      </c>
      <c r="AE52" s="39">
        <v>0</v>
      </c>
      <c r="AF52" s="39">
        <v>0</v>
      </c>
      <c r="AG52" s="39">
        <v>0</v>
      </c>
      <c r="AH52" s="45">
        <f t="shared" si="1"/>
        <v>513.52</v>
      </c>
      <c r="AJ52" s="39">
        <v>0</v>
      </c>
      <c r="AK52" s="39">
        <v>0</v>
      </c>
      <c r="AL52" s="39">
        <v>0</v>
      </c>
      <c r="AM52" s="39">
        <v>0</v>
      </c>
      <c r="AN52" s="39">
        <v>0</v>
      </c>
      <c r="AO52" s="39">
        <v>0</v>
      </c>
      <c r="AP52" s="39">
        <v>513.52</v>
      </c>
      <c r="AQ52" s="39">
        <v>0</v>
      </c>
      <c r="AR52" s="39">
        <v>0</v>
      </c>
      <c r="AS52" s="39">
        <v>0</v>
      </c>
      <c r="AT52" s="39">
        <v>0</v>
      </c>
      <c r="AU52" s="39">
        <v>0</v>
      </c>
      <c r="AV52" s="45">
        <f t="shared" si="2"/>
        <v>513.52</v>
      </c>
    </row>
    <row r="53" spans="1:48" outlineLevel="1">
      <c r="A53" s="37" t="s">
        <v>301</v>
      </c>
      <c r="B53" s="41" t="s">
        <v>263</v>
      </c>
      <c r="C53" s="41" t="s">
        <v>65</v>
      </c>
      <c r="D53" s="37"/>
      <c r="E53" s="40">
        <v>127173.13999999991</v>
      </c>
      <c r="F53" s="38">
        <v>24579.16</v>
      </c>
      <c r="G53" s="38">
        <v>34516.19999999999</v>
      </c>
      <c r="H53" s="38">
        <v>-337.44</v>
      </c>
      <c r="I53" s="38">
        <v>39808.789999999994</v>
      </c>
      <c r="J53" s="38">
        <v>38508.229999999996</v>
      </c>
      <c r="K53" s="38">
        <v>17884.98</v>
      </c>
      <c r="L53" s="38">
        <v>3491.3499999999995</v>
      </c>
      <c r="M53" s="38">
        <v>17206.14</v>
      </c>
      <c r="N53" s="39"/>
      <c r="O53" s="39">
        <v>35000</v>
      </c>
      <c r="P53" s="39"/>
      <c r="Q53" s="39">
        <v>25000</v>
      </c>
      <c r="R53" s="39">
        <f t="shared" si="3"/>
        <v>235657.40999999997</v>
      </c>
      <c r="S53" s="39"/>
      <c r="T53" s="40">
        <v>126720.70299999999</v>
      </c>
      <c r="U53" s="40"/>
      <c r="V53" s="39">
        <v>20000</v>
      </c>
      <c r="W53" s="39">
        <v>20000</v>
      </c>
      <c r="X53" s="39">
        <v>20000</v>
      </c>
      <c r="Y53" s="39">
        <v>20000</v>
      </c>
      <c r="Z53" s="39">
        <v>20000</v>
      </c>
      <c r="AA53" s="39">
        <v>20000</v>
      </c>
      <c r="AB53" s="39">
        <v>20000</v>
      </c>
      <c r="AC53" s="39">
        <v>20000</v>
      </c>
      <c r="AD53" s="39">
        <v>20000</v>
      </c>
      <c r="AE53" s="39">
        <v>20000</v>
      </c>
      <c r="AF53" s="39">
        <v>20000</v>
      </c>
      <c r="AG53" s="39">
        <v>20000</v>
      </c>
      <c r="AH53" s="45">
        <f t="shared" si="1"/>
        <v>240000</v>
      </c>
      <c r="AJ53" s="39">
        <v>13000</v>
      </c>
      <c r="AK53" s="39">
        <v>13000</v>
      </c>
      <c r="AL53" s="39">
        <v>13000</v>
      </c>
      <c r="AM53" s="39">
        <v>13000</v>
      </c>
      <c r="AN53" s="39">
        <v>38508.229999999996</v>
      </c>
      <c r="AO53" s="39">
        <v>17884.98</v>
      </c>
      <c r="AP53" s="39">
        <v>3491.3499999999995</v>
      </c>
      <c r="AQ53" s="39">
        <v>17206.14</v>
      </c>
      <c r="AR53" s="39">
        <v>13473.889133414608</v>
      </c>
      <c r="AS53" s="39">
        <v>15543.414209915782</v>
      </c>
      <c r="AT53" s="39">
        <v>14018.30433049684</v>
      </c>
      <c r="AU53" s="39">
        <v>11224.331265530886</v>
      </c>
      <c r="AV53" s="45">
        <f t="shared" si="2"/>
        <v>183350.63893935815</v>
      </c>
    </row>
    <row r="54" spans="1:48" outlineLevel="1">
      <c r="A54" s="37" t="s">
        <v>302</v>
      </c>
      <c r="B54" s="41" t="s">
        <v>267</v>
      </c>
      <c r="C54" s="41" t="s">
        <v>67</v>
      </c>
      <c r="D54" s="37"/>
      <c r="E54" s="40"/>
      <c r="F54" s="38">
        <v>0</v>
      </c>
      <c r="G54" s="38">
        <v>0</v>
      </c>
      <c r="H54" s="38">
        <v>0</v>
      </c>
      <c r="I54" s="38">
        <v>0</v>
      </c>
      <c r="J54" s="38">
        <v>0</v>
      </c>
      <c r="K54" s="38">
        <v>2897.64</v>
      </c>
      <c r="L54" s="38">
        <v>0</v>
      </c>
      <c r="M54" s="38">
        <v>0</v>
      </c>
      <c r="N54" s="39">
        <v>0</v>
      </c>
      <c r="O54" s="39">
        <v>0</v>
      </c>
      <c r="P54" s="39">
        <v>0</v>
      </c>
      <c r="Q54" s="39">
        <v>0</v>
      </c>
      <c r="R54" s="39">
        <f t="shared" si="3"/>
        <v>2897.64</v>
      </c>
      <c r="S54" s="39"/>
      <c r="T54" s="40"/>
      <c r="U54" s="40"/>
      <c r="V54" s="39">
        <v>0</v>
      </c>
      <c r="W54" s="39">
        <v>4000</v>
      </c>
      <c r="X54" s="39">
        <v>0</v>
      </c>
      <c r="Y54" s="39">
        <v>0</v>
      </c>
      <c r="Z54" s="39">
        <v>0</v>
      </c>
      <c r="AA54" s="39"/>
      <c r="AB54" s="39">
        <v>0</v>
      </c>
      <c r="AC54" s="39">
        <v>4000</v>
      </c>
      <c r="AD54" s="39">
        <v>0</v>
      </c>
      <c r="AE54" s="39">
        <v>0</v>
      </c>
      <c r="AF54" s="39">
        <v>0</v>
      </c>
      <c r="AG54" s="39">
        <v>0</v>
      </c>
      <c r="AH54" s="45">
        <f t="shared" si="1"/>
        <v>8000</v>
      </c>
      <c r="AJ54" s="39">
        <v>0</v>
      </c>
      <c r="AK54" s="39">
        <v>0</v>
      </c>
      <c r="AL54" s="39">
        <v>0</v>
      </c>
      <c r="AM54" s="39">
        <v>0</v>
      </c>
      <c r="AN54" s="39">
        <v>0</v>
      </c>
      <c r="AO54" s="39">
        <v>2897.64</v>
      </c>
      <c r="AP54" s="39">
        <v>0</v>
      </c>
      <c r="AQ54" s="39">
        <v>0</v>
      </c>
      <c r="AR54" s="39">
        <v>0</v>
      </c>
      <c r="AS54" s="39">
        <v>0</v>
      </c>
      <c r="AT54" s="39">
        <v>0</v>
      </c>
      <c r="AU54" s="39">
        <v>0</v>
      </c>
      <c r="AV54" s="45">
        <f t="shared" si="2"/>
        <v>2897.64</v>
      </c>
    </row>
    <row r="55" spans="1:48" outlineLevel="1">
      <c r="A55" s="13" t="s">
        <v>303</v>
      </c>
      <c r="B55" s="41" t="s">
        <v>64</v>
      </c>
      <c r="C55" s="41" t="s">
        <v>64</v>
      </c>
      <c r="E55" s="40">
        <v>34782.960000000006</v>
      </c>
      <c r="F55" s="38">
        <v>3894.9000000000005</v>
      </c>
      <c r="G55" s="38">
        <v>1753.2600000000002</v>
      </c>
      <c r="H55" s="38">
        <v>4537</v>
      </c>
      <c r="I55" s="38">
        <v>520.32000000000005</v>
      </c>
      <c r="J55" s="38">
        <v>2059.1999999999998</v>
      </c>
      <c r="K55" s="38">
        <v>755.7</v>
      </c>
      <c r="L55" s="38">
        <v>714.48</v>
      </c>
      <c r="M55" s="38">
        <v>961.8</v>
      </c>
      <c r="N55" s="39">
        <v>0</v>
      </c>
      <c r="O55" s="39">
        <v>0</v>
      </c>
      <c r="P55" s="39">
        <v>0</v>
      </c>
      <c r="Q55" s="39">
        <v>0</v>
      </c>
      <c r="R55" s="39">
        <f t="shared" si="3"/>
        <v>15196.66</v>
      </c>
      <c r="S55" s="39"/>
      <c r="T55" s="39"/>
      <c r="U55" s="39"/>
      <c r="V55" s="39">
        <v>3894.9000000000005</v>
      </c>
      <c r="W55" s="39">
        <v>1753.2600000000002</v>
      </c>
      <c r="X55" s="39">
        <v>4537</v>
      </c>
      <c r="Y55" s="39">
        <v>520.32000000000005</v>
      </c>
      <c r="Z55" s="39">
        <v>2059.1999999999998</v>
      </c>
      <c r="AA55" s="39">
        <v>755.7</v>
      </c>
      <c r="AB55" s="39">
        <v>714.48</v>
      </c>
      <c r="AC55" s="39">
        <v>961.8</v>
      </c>
      <c r="AD55" s="39">
        <v>0</v>
      </c>
      <c r="AE55" s="39">
        <v>0</v>
      </c>
      <c r="AF55" s="39">
        <v>0</v>
      </c>
      <c r="AG55" s="39">
        <v>0</v>
      </c>
      <c r="AH55" s="45">
        <f t="shared" si="1"/>
        <v>15196.66</v>
      </c>
      <c r="AJ55" s="39">
        <v>3894.9000000000005</v>
      </c>
      <c r="AK55" s="39">
        <v>1753.2600000000002</v>
      </c>
      <c r="AL55" s="39">
        <v>4537</v>
      </c>
      <c r="AM55" s="39">
        <v>520.32000000000005</v>
      </c>
      <c r="AN55" s="39">
        <v>2059.1999999999998</v>
      </c>
      <c r="AO55" s="39">
        <v>755.7</v>
      </c>
      <c r="AP55" s="39">
        <v>714.48</v>
      </c>
      <c r="AQ55" s="39">
        <v>961.8</v>
      </c>
      <c r="AR55" s="39">
        <v>0</v>
      </c>
      <c r="AS55" s="39">
        <v>0</v>
      </c>
      <c r="AT55" s="39">
        <v>0</v>
      </c>
      <c r="AU55" s="39">
        <v>0</v>
      </c>
      <c r="AV55" s="45">
        <f t="shared" si="2"/>
        <v>15196.66</v>
      </c>
    </row>
    <row r="56" spans="1:48" outlineLevel="1">
      <c r="A56" s="37" t="s">
        <v>304</v>
      </c>
      <c r="B56" s="41" t="s">
        <v>305</v>
      </c>
      <c r="C56" s="41" t="s">
        <v>67</v>
      </c>
      <c r="D56" s="37"/>
      <c r="E56" s="40"/>
      <c r="F56" s="38">
        <v>0</v>
      </c>
      <c r="G56" s="38">
        <v>0</v>
      </c>
      <c r="H56" s="38">
        <v>0</v>
      </c>
      <c r="I56" s="38">
        <v>0</v>
      </c>
      <c r="J56" s="38">
        <v>0</v>
      </c>
      <c r="K56" s="38">
        <v>0</v>
      </c>
      <c r="L56" s="38">
        <v>62541.200000000004</v>
      </c>
      <c r="M56" s="38">
        <v>0</v>
      </c>
      <c r="N56" s="39">
        <v>0</v>
      </c>
      <c r="O56" s="39">
        <v>0</v>
      </c>
      <c r="P56" s="39">
        <v>0</v>
      </c>
      <c r="Q56" s="39">
        <v>0</v>
      </c>
      <c r="R56" s="39">
        <f t="shared" si="3"/>
        <v>62541.200000000004</v>
      </c>
      <c r="S56" s="39"/>
      <c r="T56" s="40"/>
      <c r="U56" s="40"/>
      <c r="V56" s="39">
        <v>0</v>
      </c>
      <c r="W56" s="39">
        <v>40000</v>
      </c>
      <c r="X56" s="39">
        <v>0</v>
      </c>
      <c r="Y56" s="39">
        <v>0</v>
      </c>
      <c r="Z56" s="39">
        <v>0</v>
      </c>
      <c r="AA56" s="39">
        <v>0</v>
      </c>
      <c r="AB56" s="39"/>
      <c r="AC56" s="39">
        <v>0</v>
      </c>
      <c r="AD56" s="39">
        <v>0</v>
      </c>
      <c r="AE56" s="39">
        <v>40000</v>
      </c>
      <c r="AF56" s="39">
        <v>0</v>
      </c>
      <c r="AG56" s="39">
        <v>0</v>
      </c>
      <c r="AH56" s="45">
        <f t="shared" si="1"/>
        <v>80000</v>
      </c>
      <c r="AJ56" s="39">
        <v>0</v>
      </c>
      <c r="AK56" s="39">
        <v>0</v>
      </c>
      <c r="AL56" s="39">
        <v>0</v>
      </c>
      <c r="AM56" s="39">
        <v>0</v>
      </c>
      <c r="AN56" s="39">
        <v>0</v>
      </c>
      <c r="AO56" s="39">
        <v>0</v>
      </c>
      <c r="AP56" s="39">
        <v>62541.200000000004</v>
      </c>
      <c r="AQ56" s="39">
        <v>0</v>
      </c>
      <c r="AR56" s="39">
        <v>0</v>
      </c>
      <c r="AS56" s="39">
        <v>0</v>
      </c>
      <c r="AT56" s="39">
        <v>0</v>
      </c>
      <c r="AU56" s="39">
        <v>0</v>
      </c>
      <c r="AV56" s="45">
        <f t="shared" si="2"/>
        <v>62541.200000000004</v>
      </c>
    </row>
    <row r="57" spans="1:48" outlineLevel="1">
      <c r="A57" s="13" t="s">
        <v>306</v>
      </c>
      <c r="B57" s="41" t="s">
        <v>267</v>
      </c>
      <c r="C57" s="41" t="s">
        <v>67</v>
      </c>
      <c r="E57" s="40"/>
      <c r="F57" s="38">
        <v>596.4</v>
      </c>
      <c r="G57" s="38">
        <v>10344.120000000001</v>
      </c>
      <c r="H57" s="38">
        <v>0</v>
      </c>
      <c r="I57" s="38">
        <v>9217.92</v>
      </c>
      <c r="J57" s="38">
        <v>10718.7</v>
      </c>
      <c r="K57" s="38">
        <v>0</v>
      </c>
      <c r="L57" s="38">
        <v>16094.220000000001</v>
      </c>
      <c r="M57" s="38">
        <v>44647.179999999993</v>
      </c>
      <c r="N57" s="39">
        <v>0</v>
      </c>
      <c r="O57" s="39">
        <v>15000</v>
      </c>
      <c r="P57" s="39">
        <v>0</v>
      </c>
      <c r="Q57" s="39">
        <v>15000</v>
      </c>
      <c r="R57" s="39">
        <f t="shared" si="3"/>
        <v>121618.54</v>
      </c>
      <c r="S57" s="39"/>
      <c r="T57" s="40"/>
      <c r="U57" s="40"/>
      <c r="V57" s="39">
        <v>10000</v>
      </c>
      <c r="W57" s="39">
        <v>10000</v>
      </c>
      <c r="X57" s="39">
        <v>10000</v>
      </c>
      <c r="Y57" s="39">
        <v>10000</v>
      </c>
      <c r="Z57" s="39">
        <v>10000</v>
      </c>
      <c r="AA57" s="39">
        <v>10000</v>
      </c>
      <c r="AB57" s="39">
        <v>10000</v>
      </c>
      <c r="AC57" s="39">
        <v>10000</v>
      </c>
      <c r="AD57" s="39">
        <v>10000</v>
      </c>
      <c r="AE57" s="39">
        <v>10000</v>
      </c>
      <c r="AF57" s="39">
        <v>10000</v>
      </c>
      <c r="AG57" s="39">
        <v>10000</v>
      </c>
      <c r="AH57" s="45">
        <f t="shared" si="1"/>
        <v>120000</v>
      </c>
      <c r="AJ57" s="39">
        <v>596.4</v>
      </c>
      <c r="AK57" s="39">
        <v>10344.120000000001</v>
      </c>
      <c r="AL57" s="39">
        <v>0</v>
      </c>
      <c r="AM57" s="39">
        <v>9217.92</v>
      </c>
      <c r="AN57" s="39">
        <v>10718.7</v>
      </c>
      <c r="AO57" s="39">
        <v>0</v>
      </c>
      <c r="AP57" s="39">
        <v>16094.220000000001</v>
      </c>
      <c r="AQ57" s="39">
        <v>44647.179999999993</v>
      </c>
      <c r="AR57" s="39">
        <v>0</v>
      </c>
      <c r="AS57" s="39">
        <v>0</v>
      </c>
      <c r="AT57" s="39">
        <v>0</v>
      </c>
      <c r="AU57" s="39">
        <v>0</v>
      </c>
      <c r="AV57" s="45">
        <f t="shared" si="2"/>
        <v>91618.54</v>
      </c>
    </row>
    <row r="58" spans="1:48" outlineLevel="1">
      <c r="A58" s="37" t="s">
        <v>307</v>
      </c>
      <c r="B58" s="41" t="s">
        <v>263</v>
      </c>
      <c r="C58" s="41" t="s">
        <v>65</v>
      </c>
      <c r="D58" s="37"/>
      <c r="E58" s="40">
        <v>134232.71999999991</v>
      </c>
      <c r="F58" s="38">
        <v>16161.519999999993</v>
      </c>
      <c r="G58" s="38">
        <v>22659.919999999998</v>
      </c>
      <c r="H58" s="38">
        <v>0</v>
      </c>
      <c r="I58" s="38">
        <v>3267.9399999999996</v>
      </c>
      <c r="J58" s="38">
        <v>18148.27</v>
      </c>
      <c r="K58" s="38">
        <v>0</v>
      </c>
      <c r="L58" s="38">
        <v>8121.43</v>
      </c>
      <c r="M58" s="38">
        <v>11179.550000000001</v>
      </c>
      <c r="N58" s="39">
        <v>12868.34423437753</v>
      </c>
      <c r="O58" s="39">
        <v>14844.860503911696</v>
      </c>
      <c r="P58" s="39">
        <v>13388.292268171779</v>
      </c>
      <c r="Q58" s="39">
        <v>10719.886225524671</v>
      </c>
      <c r="R58" s="39">
        <f t="shared" si="3"/>
        <v>131360.01323198565</v>
      </c>
      <c r="S58" s="39"/>
      <c r="T58" s="40">
        <v>129490.8775</v>
      </c>
      <c r="U58" s="40"/>
      <c r="V58" s="39">
        <v>12000</v>
      </c>
      <c r="W58" s="39">
        <v>12000</v>
      </c>
      <c r="X58" s="39">
        <v>12000</v>
      </c>
      <c r="Y58" s="39">
        <v>12000</v>
      </c>
      <c r="Z58" s="39">
        <v>12000</v>
      </c>
      <c r="AA58" s="39">
        <v>12000</v>
      </c>
      <c r="AB58" s="39">
        <v>12000</v>
      </c>
      <c r="AC58" s="39">
        <v>12000</v>
      </c>
      <c r="AD58" s="39">
        <v>12000</v>
      </c>
      <c r="AE58" s="39">
        <v>12000</v>
      </c>
      <c r="AF58" s="39">
        <v>12000</v>
      </c>
      <c r="AG58" s="39">
        <v>12000</v>
      </c>
      <c r="AH58" s="45">
        <f t="shared" si="1"/>
        <v>144000</v>
      </c>
      <c r="AJ58" s="39">
        <v>5500</v>
      </c>
      <c r="AK58" s="39">
        <v>5500</v>
      </c>
      <c r="AL58" s="39">
        <v>5500</v>
      </c>
      <c r="AM58" s="39">
        <v>5500</v>
      </c>
      <c r="AN58" s="39">
        <v>5500</v>
      </c>
      <c r="AO58" s="39">
        <v>5500</v>
      </c>
      <c r="AP58" s="39">
        <v>5500</v>
      </c>
      <c r="AQ58" s="39">
        <v>5500</v>
      </c>
      <c r="AR58" s="39">
        <v>5500</v>
      </c>
      <c r="AS58" s="39">
        <v>5500</v>
      </c>
      <c r="AT58" s="39">
        <v>5500</v>
      </c>
      <c r="AU58" s="39">
        <v>5500</v>
      </c>
      <c r="AV58" s="45">
        <f t="shared" si="2"/>
        <v>66000</v>
      </c>
    </row>
    <row r="59" spans="1:48" outlineLevel="1">
      <c r="A59" s="13" t="s">
        <v>308</v>
      </c>
      <c r="B59" s="41" t="s">
        <v>64</v>
      </c>
      <c r="C59" s="41" t="s">
        <v>64</v>
      </c>
      <c r="E59" s="40">
        <v>9462.8100000000013</v>
      </c>
      <c r="F59" s="38">
        <v>0</v>
      </c>
      <c r="G59" s="38">
        <v>3366.96</v>
      </c>
      <c r="H59" s="38">
        <v>-88.320000000000022</v>
      </c>
      <c r="I59" s="38">
        <v>0</v>
      </c>
      <c r="J59" s="38">
        <v>0</v>
      </c>
      <c r="K59" s="38">
        <v>0</v>
      </c>
      <c r="L59" s="38">
        <v>0</v>
      </c>
      <c r="M59" s="38">
        <v>0</v>
      </c>
      <c r="N59" s="39">
        <v>0</v>
      </c>
      <c r="O59" s="39">
        <v>0</v>
      </c>
      <c r="P59" s="39">
        <v>0</v>
      </c>
      <c r="Q59" s="39">
        <v>0</v>
      </c>
      <c r="R59" s="39">
        <f t="shared" si="3"/>
        <v>3278.64</v>
      </c>
      <c r="S59" s="39"/>
      <c r="T59" s="39"/>
      <c r="U59" s="39"/>
      <c r="V59" s="39">
        <v>0</v>
      </c>
      <c r="W59" s="39">
        <v>3366.96</v>
      </c>
      <c r="X59" s="39">
        <v>-88.320000000000022</v>
      </c>
      <c r="Y59" s="39">
        <v>0</v>
      </c>
      <c r="Z59" s="39">
        <v>0</v>
      </c>
      <c r="AA59" s="39">
        <v>0</v>
      </c>
      <c r="AB59" s="39">
        <v>0</v>
      </c>
      <c r="AC59" s="39">
        <v>0</v>
      </c>
      <c r="AD59" s="39">
        <v>0</v>
      </c>
      <c r="AE59" s="39">
        <v>0</v>
      </c>
      <c r="AF59" s="39">
        <v>0</v>
      </c>
      <c r="AG59" s="39">
        <v>0</v>
      </c>
      <c r="AH59" s="45">
        <f t="shared" si="1"/>
        <v>3278.64</v>
      </c>
      <c r="AJ59" s="39">
        <v>0</v>
      </c>
      <c r="AK59" s="39">
        <v>3366.96</v>
      </c>
      <c r="AL59" s="39">
        <v>-88.320000000000022</v>
      </c>
      <c r="AM59" s="39">
        <v>0</v>
      </c>
      <c r="AN59" s="39">
        <v>0</v>
      </c>
      <c r="AO59" s="39">
        <v>0</v>
      </c>
      <c r="AP59" s="39">
        <v>0</v>
      </c>
      <c r="AQ59" s="39">
        <v>0</v>
      </c>
      <c r="AR59" s="39">
        <v>0</v>
      </c>
      <c r="AS59" s="39">
        <v>0</v>
      </c>
      <c r="AT59" s="39">
        <v>0</v>
      </c>
      <c r="AU59" s="39">
        <v>0</v>
      </c>
      <c r="AV59" s="45">
        <f t="shared" si="2"/>
        <v>3278.64</v>
      </c>
    </row>
    <row r="60" spans="1:48" outlineLevel="1">
      <c r="A60" s="13" t="s">
        <v>309</v>
      </c>
      <c r="B60" s="41" t="s">
        <v>236</v>
      </c>
      <c r="C60" s="41" t="s">
        <v>65</v>
      </c>
      <c r="E60" s="40"/>
      <c r="F60" s="38">
        <v>579.66000000000008</v>
      </c>
      <c r="G60" s="38">
        <v>1527.6899999999998</v>
      </c>
      <c r="H60" s="38">
        <v>1401.96</v>
      </c>
      <c r="I60" s="38">
        <v>1288.42</v>
      </c>
      <c r="J60" s="38">
        <v>1380.8799999999999</v>
      </c>
      <c r="K60" s="38">
        <v>1769.6599999999999</v>
      </c>
      <c r="L60" s="38">
        <v>798.24</v>
      </c>
      <c r="M60" s="38">
        <v>0</v>
      </c>
      <c r="N60" s="39">
        <v>0</v>
      </c>
      <c r="O60" s="39">
        <v>0</v>
      </c>
      <c r="P60" s="39">
        <v>0</v>
      </c>
      <c r="Q60" s="39">
        <v>0</v>
      </c>
      <c r="R60" s="39">
        <f t="shared" si="3"/>
        <v>8746.51</v>
      </c>
      <c r="S60" s="39"/>
      <c r="T60" s="40"/>
      <c r="U60" s="40"/>
      <c r="V60" s="39">
        <v>579.66000000000008</v>
      </c>
      <c r="W60" s="39">
        <v>1527.6899999999998</v>
      </c>
      <c r="X60" s="39">
        <v>1401.96</v>
      </c>
      <c r="Y60" s="39">
        <v>1288.42</v>
      </c>
      <c r="Z60" s="39">
        <v>1380.8799999999999</v>
      </c>
      <c r="AA60" s="39">
        <v>1769.6599999999999</v>
      </c>
      <c r="AB60" s="39">
        <v>798.24</v>
      </c>
      <c r="AC60" s="39">
        <v>0</v>
      </c>
      <c r="AD60" s="39">
        <v>0</v>
      </c>
      <c r="AE60" s="39">
        <v>0</v>
      </c>
      <c r="AF60" s="39">
        <v>0</v>
      </c>
      <c r="AG60" s="39">
        <v>0</v>
      </c>
      <c r="AH60" s="45">
        <f t="shared" si="1"/>
        <v>8746.51</v>
      </c>
      <c r="AJ60" s="39">
        <v>579.66000000000008</v>
      </c>
      <c r="AK60" s="39">
        <v>1527.6899999999998</v>
      </c>
      <c r="AL60" s="39">
        <v>1401.96</v>
      </c>
      <c r="AM60" s="39">
        <v>1288.42</v>
      </c>
      <c r="AN60" s="39">
        <v>1380.8799999999999</v>
      </c>
      <c r="AO60" s="39">
        <v>1769.6599999999999</v>
      </c>
      <c r="AP60" s="39">
        <v>798.24</v>
      </c>
      <c r="AQ60" s="39">
        <v>0</v>
      </c>
      <c r="AR60" s="39">
        <v>0</v>
      </c>
      <c r="AS60" s="39">
        <v>0</v>
      </c>
      <c r="AT60" s="39">
        <v>0</v>
      </c>
      <c r="AU60" s="39">
        <v>0</v>
      </c>
      <c r="AV60" s="45">
        <f t="shared" si="2"/>
        <v>8746.51</v>
      </c>
    </row>
    <row r="61" spans="1:48" outlineLevel="1">
      <c r="A61" s="13" t="s">
        <v>310</v>
      </c>
      <c r="B61" s="41" t="s">
        <v>311</v>
      </c>
      <c r="C61" s="41" t="s">
        <v>66</v>
      </c>
      <c r="E61" s="40"/>
      <c r="F61" s="38">
        <v>827.6</v>
      </c>
      <c r="G61" s="38">
        <v>0</v>
      </c>
      <c r="H61" s="38">
        <v>772.31999999999994</v>
      </c>
      <c r="I61" s="38">
        <v>500.64</v>
      </c>
      <c r="J61" s="38">
        <v>818.18999999999983</v>
      </c>
      <c r="K61" s="38">
        <v>0</v>
      </c>
      <c r="L61" s="38">
        <v>0</v>
      </c>
      <c r="M61" s="38">
        <v>0</v>
      </c>
      <c r="N61" s="39">
        <v>0</v>
      </c>
      <c r="O61" s="39">
        <v>0</v>
      </c>
      <c r="P61" s="39">
        <v>0</v>
      </c>
      <c r="Q61" s="39">
        <v>0</v>
      </c>
      <c r="R61" s="39">
        <f t="shared" si="3"/>
        <v>2918.75</v>
      </c>
      <c r="S61" s="39"/>
      <c r="T61" s="40"/>
      <c r="U61" s="40"/>
      <c r="V61" s="39">
        <v>827.6</v>
      </c>
      <c r="W61" s="39">
        <v>0</v>
      </c>
      <c r="X61" s="39">
        <v>772.31999999999994</v>
      </c>
      <c r="Y61" s="39">
        <v>500.64</v>
      </c>
      <c r="Z61" s="39">
        <v>818.18999999999983</v>
      </c>
      <c r="AA61" s="39">
        <v>0</v>
      </c>
      <c r="AB61" s="39">
        <v>0</v>
      </c>
      <c r="AC61" s="39">
        <v>0</v>
      </c>
      <c r="AD61" s="39">
        <v>0</v>
      </c>
      <c r="AE61" s="39">
        <v>0</v>
      </c>
      <c r="AF61" s="39">
        <v>0</v>
      </c>
      <c r="AG61" s="39">
        <v>0</v>
      </c>
      <c r="AH61" s="45">
        <f t="shared" si="1"/>
        <v>2918.75</v>
      </c>
      <c r="AJ61" s="39">
        <v>827.6</v>
      </c>
      <c r="AK61" s="39">
        <v>0</v>
      </c>
      <c r="AL61" s="39">
        <v>772.31999999999994</v>
      </c>
      <c r="AM61" s="39">
        <v>500.64</v>
      </c>
      <c r="AN61" s="39">
        <v>818.18999999999983</v>
      </c>
      <c r="AO61" s="39">
        <v>0</v>
      </c>
      <c r="AP61" s="39">
        <v>0</v>
      </c>
      <c r="AQ61" s="39">
        <v>0</v>
      </c>
      <c r="AR61" s="39">
        <v>0</v>
      </c>
      <c r="AS61" s="39">
        <v>0</v>
      </c>
      <c r="AT61" s="39">
        <v>0</v>
      </c>
      <c r="AU61" s="39">
        <v>0</v>
      </c>
      <c r="AV61" s="45">
        <f t="shared" si="2"/>
        <v>2918.75</v>
      </c>
    </row>
    <row r="62" spans="1:48" outlineLevel="1">
      <c r="A62" s="37" t="s">
        <v>312</v>
      </c>
      <c r="B62" s="41" t="s">
        <v>313</v>
      </c>
      <c r="C62" s="41" t="s">
        <v>65</v>
      </c>
      <c r="D62" s="37"/>
      <c r="E62" s="40">
        <v>55754.119999999995</v>
      </c>
      <c r="F62" s="38">
        <v>0</v>
      </c>
      <c r="G62" s="38">
        <v>4945.0600000000004</v>
      </c>
      <c r="H62" s="38">
        <v>3619.1299999999997</v>
      </c>
      <c r="I62" s="38">
        <v>0</v>
      </c>
      <c r="J62" s="38">
        <v>0</v>
      </c>
      <c r="K62" s="38">
        <v>4803.54</v>
      </c>
      <c r="L62" s="38">
        <v>0</v>
      </c>
      <c r="M62" s="38">
        <v>0</v>
      </c>
      <c r="N62" s="39">
        <v>947.56063541187302</v>
      </c>
      <c r="O62" s="39">
        <v>1093.1014274632985</v>
      </c>
      <c r="P62" s="39">
        <v>985.84701323249749</v>
      </c>
      <c r="Q62" s="39">
        <v>789.35891194649059</v>
      </c>
      <c r="R62" s="39">
        <f t="shared" si="3"/>
        <v>17183.59798805416</v>
      </c>
      <c r="S62" s="39"/>
      <c r="T62" s="40">
        <v>10000</v>
      </c>
      <c r="U62" s="40"/>
      <c r="V62" s="39">
        <v>0</v>
      </c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45">
        <f t="shared" si="1"/>
        <v>0</v>
      </c>
      <c r="AJ62" s="39">
        <v>0</v>
      </c>
      <c r="AK62" s="39"/>
      <c r="AL62" s="39"/>
      <c r="AM62" s="39"/>
      <c r="AN62" s="39"/>
      <c r="AO62" s="39"/>
      <c r="AP62" s="39"/>
      <c r="AQ62" s="39"/>
      <c r="AR62" s="39"/>
      <c r="AS62" s="39"/>
      <c r="AT62" s="39"/>
      <c r="AU62" s="39"/>
      <c r="AV62" s="45">
        <f t="shared" si="2"/>
        <v>0</v>
      </c>
    </row>
    <row r="63" spans="1:48" outlineLevel="1">
      <c r="A63" s="13" t="s">
        <v>314</v>
      </c>
      <c r="B63" s="41" t="s">
        <v>64</v>
      </c>
      <c r="C63" s="41" t="s">
        <v>64</v>
      </c>
      <c r="E63" s="40">
        <v>33764.149999999994</v>
      </c>
      <c r="F63" s="38">
        <v>4502.6399999999985</v>
      </c>
      <c r="G63" s="38">
        <v>502.5</v>
      </c>
      <c r="H63" s="38">
        <v>962.21</v>
      </c>
      <c r="I63" s="38">
        <v>843.84</v>
      </c>
      <c r="J63" s="38">
        <v>1462.4800000000005</v>
      </c>
      <c r="K63" s="38">
        <v>2459.4700000000003</v>
      </c>
      <c r="L63" s="38">
        <v>1584.04</v>
      </c>
      <c r="M63" s="38">
        <v>672.36</v>
      </c>
      <c r="N63" s="39">
        <v>0</v>
      </c>
      <c r="O63" s="39">
        <v>0</v>
      </c>
      <c r="P63" s="39">
        <v>0</v>
      </c>
      <c r="Q63" s="39">
        <v>0</v>
      </c>
      <c r="R63" s="39">
        <f t="shared" si="3"/>
        <v>12989.54</v>
      </c>
      <c r="S63" s="39"/>
      <c r="T63" s="39"/>
      <c r="U63" s="39"/>
      <c r="V63" s="39">
        <v>4502.6399999999985</v>
      </c>
      <c r="W63" s="39">
        <v>502.5</v>
      </c>
      <c r="X63" s="39">
        <v>962.21</v>
      </c>
      <c r="Y63" s="39">
        <v>843.84</v>
      </c>
      <c r="Z63" s="39">
        <v>1462.4800000000005</v>
      </c>
      <c r="AA63" s="39">
        <v>2459.4700000000003</v>
      </c>
      <c r="AB63" s="39">
        <v>1584.04</v>
      </c>
      <c r="AC63" s="39">
        <v>672.36</v>
      </c>
      <c r="AD63" s="39">
        <v>0</v>
      </c>
      <c r="AE63" s="39">
        <v>0</v>
      </c>
      <c r="AF63" s="39">
        <v>0</v>
      </c>
      <c r="AG63" s="39">
        <v>0</v>
      </c>
      <c r="AH63" s="45">
        <f t="shared" si="1"/>
        <v>12989.54</v>
      </c>
      <c r="AJ63" s="39">
        <v>4502.6399999999985</v>
      </c>
      <c r="AK63" s="39">
        <v>502.5</v>
      </c>
      <c r="AL63" s="39">
        <v>962.21</v>
      </c>
      <c r="AM63" s="39">
        <v>843.84</v>
      </c>
      <c r="AN63" s="39">
        <v>1462.4800000000005</v>
      </c>
      <c r="AO63" s="39">
        <v>2459.4700000000003</v>
      </c>
      <c r="AP63" s="39">
        <v>1584.04</v>
      </c>
      <c r="AQ63" s="39">
        <v>672.36</v>
      </c>
      <c r="AR63" s="39">
        <v>0</v>
      </c>
      <c r="AS63" s="39">
        <v>0</v>
      </c>
      <c r="AT63" s="39">
        <v>0</v>
      </c>
      <c r="AU63" s="39">
        <v>0</v>
      </c>
      <c r="AV63" s="45">
        <f t="shared" si="2"/>
        <v>12989.54</v>
      </c>
    </row>
    <row r="64" spans="1:48" outlineLevel="1">
      <c r="A64" s="13" t="s">
        <v>315</v>
      </c>
      <c r="B64" s="41" t="s">
        <v>64</v>
      </c>
      <c r="C64" s="41" t="s">
        <v>64</v>
      </c>
      <c r="E64" s="40"/>
      <c r="F64" s="38">
        <v>0</v>
      </c>
      <c r="G64" s="38">
        <v>11125.35</v>
      </c>
      <c r="H64" s="38">
        <v>0</v>
      </c>
      <c r="I64" s="38">
        <v>0</v>
      </c>
      <c r="J64" s="38">
        <v>0</v>
      </c>
      <c r="K64" s="38">
        <v>0</v>
      </c>
      <c r="L64" s="38">
        <v>0</v>
      </c>
      <c r="M64" s="38">
        <v>0</v>
      </c>
      <c r="N64" s="39">
        <v>0</v>
      </c>
      <c r="O64" s="39">
        <v>0</v>
      </c>
      <c r="P64" s="39">
        <v>7000</v>
      </c>
      <c r="Q64" s="39">
        <v>0</v>
      </c>
      <c r="R64" s="39">
        <f t="shared" si="3"/>
        <v>18125.349999999999</v>
      </c>
      <c r="S64" s="39"/>
      <c r="T64" s="40"/>
      <c r="U64" s="40"/>
      <c r="V64" s="39">
        <v>0</v>
      </c>
      <c r="W64" s="39">
        <v>11125.35</v>
      </c>
      <c r="X64" s="39">
        <v>0</v>
      </c>
      <c r="Y64" s="39">
        <v>0</v>
      </c>
      <c r="Z64" s="39">
        <v>0</v>
      </c>
      <c r="AA64" s="39">
        <v>0</v>
      </c>
      <c r="AB64" s="39">
        <v>0</v>
      </c>
      <c r="AC64" s="39">
        <v>0</v>
      </c>
      <c r="AD64" s="39">
        <v>0</v>
      </c>
      <c r="AE64" s="39">
        <v>0</v>
      </c>
      <c r="AF64" s="39">
        <v>7000</v>
      </c>
      <c r="AG64" s="39">
        <v>0</v>
      </c>
      <c r="AH64" s="45">
        <f t="shared" si="1"/>
        <v>18125.349999999999</v>
      </c>
      <c r="AJ64" s="39">
        <v>0</v>
      </c>
      <c r="AK64" s="39">
        <v>11125.35</v>
      </c>
      <c r="AL64" s="39">
        <v>0</v>
      </c>
      <c r="AM64" s="39">
        <v>0</v>
      </c>
      <c r="AN64" s="39">
        <v>0</v>
      </c>
      <c r="AO64" s="39">
        <v>0</v>
      </c>
      <c r="AP64" s="39">
        <v>0</v>
      </c>
      <c r="AQ64" s="39">
        <v>0</v>
      </c>
      <c r="AR64" s="39">
        <v>0</v>
      </c>
      <c r="AS64" s="39">
        <v>0</v>
      </c>
      <c r="AT64" s="39">
        <v>0</v>
      </c>
      <c r="AU64" s="39">
        <v>0</v>
      </c>
      <c r="AV64" s="45">
        <f t="shared" si="2"/>
        <v>11125.35</v>
      </c>
    </row>
    <row r="65" spans="1:48" outlineLevel="1">
      <c r="A65" s="13" t="s">
        <v>316</v>
      </c>
      <c r="B65" s="41" t="s">
        <v>64</v>
      </c>
      <c r="C65" s="41" t="s">
        <v>64</v>
      </c>
      <c r="E65" s="40">
        <v>4978.54</v>
      </c>
      <c r="F65" s="38">
        <v>0</v>
      </c>
      <c r="G65" s="38">
        <v>0</v>
      </c>
      <c r="H65" s="38">
        <v>0</v>
      </c>
      <c r="I65" s="38">
        <v>1593.96</v>
      </c>
      <c r="J65" s="38">
        <v>686.40000000000009</v>
      </c>
      <c r="K65" s="38">
        <v>867.6</v>
      </c>
      <c r="L65" s="38">
        <v>0</v>
      </c>
      <c r="M65" s="38">
        <v>0</v>
      </c>
      <c r="N65" s="39">
        <v>0</v>
      </c>
      <c r="O65" s="39">
        <v>0</v>
      </c>
      <c r="P65" s="39">
        <v>0</v>
      </c>
      <c r="Q65" s="39">
        <v>0</v>
      </c>
      <c r="R65" s="39">
        <f t="shared" si="3"/>
        <v>3147.96</v>
      </c>
      <c r="S65" s="39"/>
      <c r="T65" s="39"/>
      <c r="U65" s="39"/>
      <c r="V65" s="39">
        <v>0</v>
      </c>
      <c r="W65" s="39">
        <v>0</v>
      </c>
      <c r="X65" s="39">
        <v>0</v>
      </c>
      <c r="Y65" s="39">
        <v>1593.96</v>
      </c>
      <c r="Z65" s="39">
        <v>686.40000000000009</v>
      </c>
      <c r="AA65" s="39">
        <v>867.6</v>
      </c>
      <c r="AB65" s="39">
        <v>0</v>
      </c>
      <c r="AC65" s="39">
        <v>0</v>
      </c>
      <c r="AD65" s="39">
        <v>0</v>
      </c>
      <c r="AE65" s="39">
        <v>0</v>
      </c>
      <c r="AF65" s="39">
        <v>0</v>
      </c>
      <c r="AG65" s="39">
        <v>0</v>
      </c>
      <c r="AH65" s="45">
        <f t="shared" si="1"/>
        <v>3147.96</v>
      </c>
      <c r="AJ65" s="39">
        <v>0</v>
      </c>
      <c r="AK65" s="39">
        <v>0</v>
      </c>
      <c r="AL65" s="39">
        <v>0</v>
      </c>
      <c r="AM65" s="39">
        <v>1593.96</v>
      </c>
      <c r="AN65" s="39">
        <v>686.40000000000009</v>
      </c>
      <c r="AO65" s="39">
        <v>867.6</v>
      </c>
      <c r="AP65" s="39">
        <v>0</v>
      </c>
      <c r="AQ65" s="39">
        <v>0</v>
      </c>
      <c r="AR65" s="39">
        <v>0</v>
      </c>
      <c r="AS65" s="39">
        <v>0</v>
      </c>
      <c r="AT65" s="39">
        <v>0</v>
      </c>
      <c r="AU65" s="39">
        <v>0</v>
      </c>
      <c r="AV65" s="45">
        <f t="shared" si="2"/>
        <v>3147.96</v>
      </c>
    </row>
    <row r="66" spans="1:48" outlineLevel="1">
      <c r="A66" s="13" t="s">
        <v>317</v>
      </c>
      <c r="B66" s="41" t="s">
        <v>265</v>
      </c>
      <c r="C66" s="41" t="s">
        <v>65</v>
      </c>
      <c r="E66" s="40"/>
      <c r="F66" s="38">
        <v>0</v>
      </c>
      <c r="G66" s="38">
        <v>0</v>
      </c>
      <c r="H66" s="38">
        <v>0</v>
      </c>
      <c r="I66" s="38">
        <v>6608.7400000000007</v>
      </c>
      <c r="J66" s="38">
        <v>0</v>
      </c>
      <c r="K66" s="38">
        <v>0</v>
      </c>
      <c r="L66" s="38">
        <v>0</v>
      </c>
      <c r="M66" s="38">
        <v>0</v>
      </c>
      <c r="N66" s="39">
        <v>0</v>
      </c>
      <c r="O66" s="39">
        <v>0</v>
      </c>
      <c r="P66" s="39">
        <v>0</v>
      </c>
      <c r="Q66" s="39">
        <v>0</v>
      </c>
      <c r="R66" s="39">
        <f t="shared" si="3"/>
        <v>6608.7400000000007</v>
      </c>
      <c r="S66" s="39"/>
      <c r="T66" s="40"/>
      <c r="U66" s="40"/>
      <c r="V66" s="39">
        <v>0</v>
      </c>
      <c r="W66" s="39">
        <v>0</v>
      </c>
      <c r="X66" s="39">
        <v>0</v>
      </c>
      <c r="Y66" s="39">
        <v>6608.7400000000007</v>
      </c>
      <c r="Z66" s="39">
        <v>0</v>
      </c>
      <c r="AA66" s="39">
        <v>0</v>
      </c>
      <c r="AB66" s="39">
        <v>0</v>
      </c>
      <c r="AC66" s="39">
        <v>0</v>
      </c>
      <c r="AD66" s="39">
        <v>0</v>
      </c>
      <c r="AE66" s="39">
        <v>0</v>
      </c>
      <c r="AF66" s="39">
        <v>0</v>
      </c>
      <c r="AG66" s="39">
        <v>0</v>
      </c>
      <c r="AH66" s="45">
        <f t="shared" si="1"/>
        <v>6608.7400000000007</v>
      </c>
      <c r="AJ66" s="39">
        <v>0</v>
      </c>
      <c r="AK66" s="39">
        <v>0</v>
      </c>
      <c r="AL66" s="39">
        <v>0</v>
      </c>
      <c r="AM66" s="39">
        <v>6608.7400000000007</v>
      </c>
      <c r="AN66" s="39">
        <v>0</v>
      </c>
      <c r="AO66" s="39">
        <v>0</v>
      </c>
      <c r="AP66" s="39">
        <v>0</v>
      </c>
      <c r="AQ66" s="39">
        <v>0</v>
      </c>
      <c r="AR66" s="39">
        <v>0</v>
      </c>
      <c r="AS66" s="39">
        <v>0</v>
      </c>
      <c r="AT66" s="39">
        <v>0</v>
      </c>
      <c r="AU66" s="39">
        <v>0</v>
      </c>
      <c r="AV66" s="45">
        <f t="shared" si="2"/>
        <v>6608.7400000000007</v>
      </c>
    </row>
    <row r="67" spans="1:48" outlineLevel="1">
      <c r="A67" s="13" t="s">
        <v>318</v>
      </c>
      <c r="B67" s="41" t="s">
        <v>64</v>
      </c>
      <c r="C67" s="41" t="s">
        <v>64</v>
      </c>
      <c r="E67" s="40"/>
      <c r="F67" s="38"/>
      <c r="G67" s="38"/>
      <c r="H67" s="38"/>
      <c r="I67" s="38">
        <v>2124.3599999999997</v>
      </c>
      <c r="J67" s="38"/>
      <c r="K67" s="38">
        <v>0</v>
      </c>
      <c r="L67" s="38">
        <v>0</v>
      </c>
      <c r="M67" s="38">
        <v>0</v>
      </c>
      <c r="N67" s="39">
        <v>0</v>
      </c>
      <c r="O67" s="39">
        <v>0</v>
      </c>
      <c r="P67" s="39">
        <v>0</v>
      </c>
      <c r="Q67" s="39">
        <v>0</v>
      </c>
      <c r="R67" s="39">
        <f t="shared" si="3"/>
        <v>2124.3599999999997</v>
      </c>
      <c r="S67" s="39"/>
      <c r="T67" s="40"/>
      <c r="U67" s="40"/>
      <c r="V67" s="39"/>
      <c r="W67" s="39"/>
      <c r="X67" s="39"/>
      <c r="Y67" s="39">
        <v>2124.3599999999997</v>
      </c>
      <c r="Z67" s="39"/>
      <c r="AA67" s="39">
        <v>0</v>
      </c>
      <c r="AB67" s="39">
        <v>0</v>
      </c>
      <c r="AC67" s="39">
        <v>0</v>
      </c>
      <c r="AD67" s="39">
        <v>0</v>
      </c>
      <c r="AE67" s="39">
        <v>0</v>
      </c>
      <c r="AF67" s="39">
        <v>0</v>
      </c>
      <c r="AG67" s="39">
        <v>0</v>
      </c>
      <c r="AH67" s="45">
        <f t="shared" si="1"/>
        <v>2124.3599999999997</v>
      </c>
      <c r="AJ67" s="39"/>
      <c r="AK67" s="39"/>
      <c r="AL67" s="39"/>
      <c r="AM67" s="39">
        <v>2124.3599999999997</v>
      </c>
      <c r="AN67" s="39"/>
      <c r="AO67" s="39">
        <v>0</v>
      </c>
      <c r="AP67" s="39">
        <v>0</v>
      </c>
      <c r="AQ67" s="39">
        <v>0</v>
      </c>
      <c r="AR67" s="39">
        <v>0</v>
      </c>
      <c r="AS67" s="39">
        <v>0</v>
      </c>
      <c r="AT67" s="39">
        <v>0</v>
      </c>
      <c r="AU67" s="39">
        <v>0</v>
      </c>
      <c r="AV67" s="45">
        <f t="shared" si="2"/>
        <v>2124.3599999999997</v>
      </c>
    </row>
    <row r="68" spans="1:48" outlineLevel="1">
      <c r="A68" s="37" t="s">
        <v>319</v>
      </c>
      <c r="B68" s="41" t="s">
        <v>320</v>
      </c>
      <c r="C68" s="41" t="s">
        <v>65</v>
      </c>
      <c r="D68" s="37"/>
      <c r="E68" s="40"/>
      <c r="F68" s="38">
        <v>0</v>
      </c>
      <c r="G68" s="38">
        <v>0</v>
      </c>
      <c r="H68" s="38">
        <v>0</v>
      </c>
      <c r="I68" s="38">
        <v>0</v>
      </c>
      <c r="J68" s="38">
        <v>0</v>
      </c>
      <c r="K68" s="38">
        <v>0</v>
      </c>
      <c r="L68" s="38">
        <v>1953.0400000000002</v>
      </c>
      <c r="M68" s="38">
        <v>0</v>
      </c>
      <c r="N68" s="39">
        <v>0</v>
      </c>
      <c r="O68" s="39">
        <v>0</v>
      </c>
      <c r="P68" s="39">
        <v>0</v>
      </c>
      <c r="Q68" s="39">
        <v>0</v>
      </c>
      <c r="R68" s="39">
        <f t="shared" si="3"/>
        <v>1953.0400000000002</v>
      </c>
      <c r="S68" s="39"/>
      <c r="T68" s="40"/>
      <c r="U68" s="40"/>
      <c r="V68" s="39">
        <v>0</v>
      </c>
      <c r="W68" s="39">
        <v>0</v>
      </c>
      <c r="X68" s="39">
        <v>0</v>
      </c>
      <c r="Y68" s="39">
        <v>0</v>
      </c>
      <c r="Z68" s="39">
        <v>0</v>
      </c>
      <c r="AA68" s="39">
        <v>0</v>
      </c>
      <c r="AB68" s="39"/>
      <c r="AC68" s="39">
        <v>0</v>
      </c>
      <c r="AD68" s="39">
        <v>0</v>
      </c>
      <c r="AE68" s="39">
        <v>0</v>
      </c>
      <c r="AF68" s="39">
        <v>0</v>
      </c>
      <c r="AG68" s="39">
        <v>0</v>
      </c>
      <c r="AH68" s="45">
        <f t="shared" ref="AH68:AH86" si="4">SUM(V68:AG68)</f>
        <v>0</v>
      </c>
      <c r="AJ68" s="39">
        <v>0</v>
      </c>
      <c r="AK68" s="39">
        <v>0</v>
      </c>
      <c r="AL68" s="39">
        <v>0</v>
      </c>
      <c r="AM68" s="39">
        <v>0</v>
      </c>
      <c r="AN68" s="39">
        <v>0</v>
      </c>
      <c r="AO68" s="39">
        <v>0</v>
      </c>
      <c r="AP68" s="39"/>
      <c r="AQ68" s="39">
        <v>0</v>
      </c>
      <c r="AR68" s="39">
        <v>0</v>
      </c>
      <c r="AS68" s="39">
        <v>0</v>
      </c>
      <c r="AT68" s="39">
        <v>0</v>
      </c>
      <c r="AU68" s="39">
        <v>0</v>
      </c>
      <c r="AV68" s="45">
        <f t="shared" ref="AV68:AV86" si="5">SUM(AJ68:AU68)</f>
        <v>0</v>
      </c>
    </row>
    <row r="69" spans="1:48" outlineLevel="1">
      <c r="A69" s="13" t="s">
        <v>321</v>
      </c>
      <c r="B69" s="41" t="s">
        <v>322</v>
      </c>
      <c r="C69" s="41" t="s">
        <v>66</v>
      </c>
      <c r="E69" s="40"/>
      <c r="F69" s="38">
        <v>0</v>
      </c>
      <c r="G69" s="38">
        <v>0</v>
      </c>
      <c r="H69" s="38">
        <v>3798.119999999999</v>
      </c>
      <c r="I69" s="38">
        <v>0</v>
      </c>
      <c r="J69" s="38">
        <v>0</v>
      </c>
      <c r="K69" s="38">
        <v>0</v>
      </c>
      <c r="L69" s="38">
        <v>2391.8199999999997</v>
      </c>
      <c r="M69" s="38">
        <v>0</v>
      </c>
      <c r="N69" s="39">
        <v>0</v>
      </c>
      <c r="O69" s="39">
        <v>0</v>
      </c>
      <c r="P69" s="39">
        <v>0</v>
      </c>
      <c r="Q69" s="39">
        <v>0</v>
      </c>
      <c r="R69" s="39">
        <f t="shared" si="3"/>
        <v>6189.9399999999987</v>
      </c>
      <c r="S69" s="39"/>
      <c r="T69" s="40"/>
      <c r="U69" s="40"/>
      <c r="V69" s="39">
        <v>0</v>
      </c>
      <c r="W69" s="39">
        <v>0</v>
      </c>
      <c r="X69" s="39">
        <v>3798.119999999999</v>
      </c>
      <c r="Y69" s="39">
        <v>0</v>
      </c>
      <c r="Z69" s="39">
        <v>0</v>
      </c>
      <c r="AA69" s="39">
        <v>0</v>
      </c>
      <c r="AB69" s="39">
        <v>2391.8199999999997</v>
      </c>
      <c r="AC69" s="39">
        <v>0</v>
      </c>
      <c r="AD69" s="39">
        <v>0</v>
      </c>
      <c r="AE69" s="39">
        <v>0</v>
      </c>
      <c r="AF69" s="39">
        <v>0</v>
      </c>
      <c r="AG69" s="39">
        <v>0</v>
      </c>
      <c r="AH69" s="45">
        <f t="shared" si="4"/>
        <v>6189.9399999999987</v>
      </c>
      <c r="AJ69" s="39">
        <v>0</v>
      </c>
      <c r="AK69" s="39">
        <v>0</v>
      </c>
      <c r="AL69" s="39">
        <v>3798.119999999999</v>
      </c>
      <c r="AM69" s="39">
        <v>0</v>
      </c>
      <c r="AN69" s="39">
        <v>0</v>
      </c>
      <c r="AO69" s="39">
        <v>0</v>
      </c>
      <c r="AP69" s="39">
        <v>2391.8199999999997</v>
      </c>
      <c r="AQ69" s="39">
        <v>0</v>
      </c>
      <c r="AR69" s="39">
        <v>0</v>
      </c>
      <c r="AS69" s="39">
        <v>0</v>
      </c>
      <c r="AT69" s="39">
        <v>0</v>
      </c>
      <c r="AU69" s="39">
        <v>0</v>
      </c>
      <c r="AV69" s="45">
        <f t="shared" si="5"/>
        <v>6189.9399999999987</v>
      </c>
    </row>
    <row r="70" spans="1:48" outlineLevel="1">
      <c r="A70" s="37" t="s">
        <v>323</v>
      </c>
      <c r="B70" s="41" t="s">
        <v>324</v>
      </c>
      <c r="C70" s="41" t="s">
        <v>65</v>
      </c>
      <c r="D70" s="37"/>
      <c r="E70" s="40">
        <v>12104.829999999998</v>
      </c>
      <c r="F70" s="38">
        <v>0</v>
      </c>
      <c r="G70" s="38">
        <v>0</v>
      </c>
      <c r="H70" s="38">
        <v>0</v>
      </c>
      <c r="I70" s="38">
        <v>0</v>
      </c>
      <c r="J70" s="38">
        <v>0</v>
      </c>
      <c r="K70" s="38">
        <v>0</v>
      </c>
      <c r="L70" s="38">
        <v>0</v>
      </c>
      <c r="M70" s="38">
        <v>0</v>
      </c>
      <c r="N70" s="39">
        <v>2049.5585586438392</v>
      </c>
      <c r="O70" s="39">
        <v>2364.3609732155919</v>
      </c>
      <c r="P70" s="39">
        <v>2132.3713839229563</v>
      </c>
      <c r="Q70" s="39">
        <v>1707.3707511271807</v>
      </c>
      <c r="R70" s="39">
        <f t="shared" si="3"/>
        <v>8253.6616669095674</v>
      </c>
      <c r="S70" s="39"/>
      <c r="T70" s="40">
        <v>13920.554499999997</v>
      </c>
      <c r="U70" s="40"/>
      <c r="V70" s="39">
        <v>0</v>
      </c>
      <c r="W70" s="39">
        <v>0</v>
      </c>
      <c r="X70" s="39">
        <v>0</v>
      </c>
      <c r="Y70" s="39">
        <v>0</v>
      </c>
      <c r="Z70" s="39">
        <v>0</v>
      </c>
      <c r="AA70" s="39">
        <v>0</v>
      </c>
      <c r="AB70" s="39">
        <v>0</v>
      </c>
      <c r="AC70" s="39">
        <v>0</v>
      </c>
      <c r="AD70" s="39">
        <v>2049.5585586438392</v>
      </c>
      <c r="AE70" s="39">
        <v>2364.3609732155919</v>
      </c>
      <c r="AF70" s="39">
        <v>2132.3713839229563</v>
      </c>
      <c r="AG70" s="39">
        <v>1707.3707511271807</v>
      </c>
      <c r="AH70" s="45">
        <f t="shared" si="4"/>
        <v>8253.6616669095674</v>
      </c>
      <c r="AJ70" s="39">
        <v>0</v>
      </c>
      <c r="AK70" s="39">
        <v>0</v>
      </c>
      <c r="AL70" s="39">
        <v>0</v>
      </c>
      <c r="AM70" s="39">
        <v>0</v>
      </c>
      <c r="AN70" s="39">
        <v>0</v>
      </c>
      <c r="AO70" s="39">
        <v>0</v>
      </c>
      <c r="AP70" s="39">
        <v>0</v>
      </c>
      <c r="AQ70" s="39">
        <v>0</v>
      </c>
      <c r="AR70" s="39">
        <v>2049.5585586438392</v>
      </c>
      <c r="AS70" s="39">
        <v>2364.3609732155919</v>
      </c>
      <c r="AT70" s="39">
        <v>2132.3713839229563</v>
      </c>
      <c r="AU70" s="39">
        <v>1707.3707511271807</v>
      </c>
      <c r="AV70" s="45">
        <f t="shared" si="5"/>
        <v>8253.6616669095674</v>
      </c>
    </row>
    <row r="71" spans="1:48" outlineLevel="1">
      <c r="A71" s="37" t="s">
        <v>325</v>
      </c>
      <c r="B71" s="41" t="s">
        <v>227</v>
      </c>
      <c r="C71" s="41" t="s">
        <v>67</v>
      </c>
      <c r="D71" s="37"/>
      <c r="E71" s="40">
        <v>11790.460000000001</v>
      </c>
      <c r="F71" s="38">
        <v>0</v>
      </c>
      <c r="G71" s="38">
        <v>0</v>
      </c>
      <c r="H71" s="38">
        <v>0</v>
      </c>
      <c r="I71" s="38">
        <v>0</v>
      </c>
      <c r="J71" s="38">
        <v>0</v>
      </c>
      <c r="K71" s="38">
        <v>1436.76</v>
      </c>
      <c r="L71" s="38">
        <v>0</v>
      </c>
      <c r="M71" s="38">
        <v>0</v>
      </c>
      <c r="N71" s="39">
        <v>1996.3302420065249</v>
      </c>
      <c r="O71" s="39">
        <v>2302.9570411364316</v>
      </c>
      <c r="P71" s="39">
        <v>2076.9923664593607</v>
      </c>
      <c r="Q71" s="39">
        <v>1663.0292657009625</v>
      </c>
      <c r="R71" s="39">
        <f t="shared" si="3"/>
        <v>9476.0689153032799</v>
      </c>
      <c r="S71" s="39"/>
      <c r="T71" s="40">
        <v>13559.028999999999</v>
      </c>
      <c r="U71" s="40"/>
      <c r="V71" s="39">
        <v>0</v>
      </c>
      <c r="W71" s="39">
        <v>0</v>
      </c>
      <c r="X71" s="39">
        <v>0</v>
      </c>
      <c r="Y71" s="39">
        <v>0</v>
      </c>
      <c r="Z71" s="39">
        <v>0</v>
      </c>
      <c r="AA71" s="39">
        <v>1436.76</v>
      </c>
      <c r="AB71" s="39">
        <v>0</v>
      </c>
      <c r="AC71" s="39">
        <v>0</v>
      </c>
      <c r="AD71" s="39">
        <v>1996.3302420065249</v>
      </c>
      <c r="AE71" s="39">
        <v>2302.9570411364316</v>
      </c>
      <c r="AF71" s="39">
        <v>2076.9923664593607</v>
      </c>
      <c r="AG71" s="39">
        <v>1663.0292657009625</v>
      </c>
      <c r="AH71" s="45">
        <f t="shared" si="4"/>
        <v>9476.0689153032799</v>
      </c>
      <c r="AJ71" s="39">
        <v>0</v>
      </c>
      <c r="AK71" s="39">
        <v>0</v>
      </c>
      <c r="AL71" s="39">
        <v>0</v>
      </c>
      <c r="AM71" s="39">
        <v>0</v>
      </c>
      <c r="AN71" s="39">
        <v>0</v>
      </c>
      <c r="AO71" s="39">
        <v>1436.76</v>
      </c>
      <c r="AP71" s="39">
        <v>0</v>
      </c>
      <c r="AQ71" s="39">
        <v>0</v>
      </c>
      <c r="AR71" s="39">
        <v>1996.3302420065249</v>
      </c>
      <c r="AS71" s="39">
        <v>2302.9570411364316</v>
      </c>
      <c r="AT71" s="39">
        <v>2076.9923664593607</v>
      </c>
      <c r="AU71" s="39">
        <v>1663.0292657009625</v>
      </c>
      <c r="AV71" s="45">
        <f t="shared" si="5"/>
        <v>9476.0689153032799</v>
      </c>
    </row>
    <row r="72" spans="1:48" outlineLevel="1">
      <c r="A72" s="37" t="s">
        <v>326</v>
      </c>
      <c r="B72" s="41" t="s">
        <v>327</v>
      </c>
      <c r="C72" s="41" t="s">
        <v>66</v>
      </c>
      <c r="D72" s="37"/>
      <c r="E72" s="40"/>
      <c r="F72" s="38">
        <v>0</v>
      </c>
      <c r="G72" s="38">
        <v>0</v>
      </c>
      <c r="H72" s="38">
        <v>0</v>
      </c>
      <c r="I72" s="38">
        <v>0</v>
      </c>
      <c r="J72" s="38">
        <v>0</v>
      </c>
      <c r="K72" s="38">
        <v>0</v>
      </c>
      <c r="L72" s="38">
        <v>48349.8</v>
      </c>
      <c r="M72" s="38">
        <v>0</v>
      </c>
      <c r="N72" s="39">
        <v>0</v>
      </c>
      <c r="O72" s="39">
        <v>15000</v>
      </c>
      <c r="P72" s="39">
        <v>0</v>
      </c>
      <c r="Q72" s="39">
        <v>10000</v>
      </c>
      <c r="R72" s="39">
        <f t="shared" si="3"/>
        <v>73349.8</v>
      </c>
      <c r="S72" s="39"/>
      <c r="T72" s="40"/>
      <c r="U72" s="40"/>
      <c r="V72" s="39">
        <v>10000</v>
      </c>
      <c r="W72" s="39">
        <v>10000</v>
      </c>
      <c r="X72" s="39">
        <v>10000</v>
      </c>
      <c r="Y72" s="39">
        <v>10000</v>
      </c>
      <c r="Z72" s="39">
        <v>10000</v>
      </c>
      <c r="AA72" s="39">
        <v>10000</v>
      </c>
      <c r="AB72" s="39">
        <v>10000</v>
      </c>
      <c r="AC72" s="39">
        <v>10000</v>
      </c>
      <c r="AD72" s="39">
        <v>10000</v>
      </c>
      <c r="AE72" s="39">
        <v>10000</v>
      </c>
      <c r="AF72" s="39">
        <v>10000</v>
      </c>
      <c r="AG72" s="39">
        <v>10000</v>
      </c>
      <c r="AH72" s="45">
        <f t="shared" si="4"/>
        <v>120000</v>
      </c>
      <c r="AJ72" s="39">
        <v>0</v>
      </c>
      <c r="AK72" s="39">
        <v>0</v>
      </c>
      <c r="AL72" s="39">
        <v>0</v>
      </c>
      <c r="AM72" s="39">
        <v>0</v>
      </c>
      <c r="AN72" s="39">
        <v>0</v>
      </c>
      <c r="AO72" s="39">
        <v>0</v>
      </c>
      <c r="AP72" s="39">
        <v>48349.8</v>
      </c>
      <c r="AQ72" s="39">
        <v>0</v>
      </c>
      <c r="AR72" s="39">
        <v>0</v>
      </c>
      <c r="AS72" s="39">
        <v>0</v>
      </c>
      <c r="AT72" s="39">
        <v>0</v>
      </c>
      <c r="AU72" s="39">
        <v>0</v>
      </c>
      <c r="AV72" s="45">
        <f t="shared" si="5"/>
        <v>48349.8</v>
      </c>
    </row>
    <row r="73" spans="1:48" outlineLevel="1">
      <c r="A73" s="13" t="s">
        <v>328</v>
      </c>
      <c r="B73" s="41" t="s">
        <v>329</v>
      </c>
      <c r="C73" s="41" t="s">
        <v>67</v>
      </c>
      <c r="E73" s="40"/>
      <c r="F73" s="38"/>
      <c r="G73" s="38"/>
      <c r="H73" s="38"/>
      <c r="I73" s="38">
        <v>4540.8600000000006</v>
      </c>
      <c r="J73" s="38"/>
      <c r="K73" s="38">
        <v>0</v>
      </c>
      <c r="L73" s="38">
        <v>0</v>
      </c>
      <c r="M73" s="38">
        <v>0</v>
      </c>
      <c r="N73" s="39">
        <v>0</v>
      </c>
      <c r="O73" s="39">
        <v>0</v>
      </c>
      <c r="P73" s="39">
        <v>0</v>
      </c>
      <c r="Q73" s="39">
        <v>0</v>
      </c>
      <c r="R73" s="39">
        <f t="shared" si="3"/>
        <v>4540.8600000000006</v>
      </c>
      <c r="S73" s="39"/>
      <c r="T73" s="40"/>
      <c r="U73" s="40"/>
      <c r="V73" s="39"/>
      <c r="W73" s="39"/>
      <c r="X73" s="39"/>
      <c r="Y73" s="39">
        <v>4540.8600000000006</v>
      </c>
      <c r="Z73" s="39"/>
      <c r="AA73" s="39">
        <v>0</v>
      </c>
      <c r="AB73" s="39">
        <v>0</v>
      </c>
      <c r="AC73" s="39">
        <v>0</v>
      </c>
      <c r="AD73" s="39">
        <v>0</v>
      </c>
      <c r="AE73" s="39">
        <v>0</v>
      </c>
      <c r="AF73" s="39">
        <v>0</v>
      </c>
      <c r="AG73" s="39">
        <v>0</v>
      </c>
      <c r="AH73" s="45">
        <f t="shared" si="4"/>
        <v>4540.8600000000006</v>
      </c>
      <c r="AJ73" s="39"/>
      <c r="AK73" s="39"/>
      <c r="AL73" s="39"/>
      <c r="AM73" s="39">
        <v>4540.8600000000006</v>
      </c>
      <c r="AN73" s="39"/>
      <c r="AO73" s="39">
        <v>0</v>
      </c>
      <c r="AP73" s="39">
        <v>0</v>
      </c>
      <c r="AQ73" s="39">
        <v>0</v>
      </c>
      <c r="AR73" s="39">
        <v>0</v>
      </c>
      <c r="AS73" s="39">
        <v>0</v>
      </c>
      <c r="AT73" s="39">
        <v>0</v>
      </c>
      <c r="AU73" s="39">
        <v>0</v>
      </c>
      <c r="AV73" s="45">
        <f t="shared" si="5"/>
        <v>4540.8600000000006</v>
      </c>
    </row>
    <row r="74" spans="1:48" outlineLevel="1">
      <c r="A74" s="37" t="s">
        <v>330</v>
      </c>
      <c r="B74" s="41" t="s">
        <v>64</v>
      </c>
      <c r="C74" s="41" t="s">
        <v>64</v>
      </c>
      <c r="D74" s="37"/>
      <c r="E74" s="40">
        <v>243905.6399999999</v>
      </c>
      <c r="F74" s="38">
        <v>17897.899999999998</v>
      </c>
      <c r="G74" s="38">
        <v>47354.539999999994</v>
      </c>
      <c r="H74" s="38">
        <v>29937.739999999998</v>
      </c>
      <c r="I74" s="38">
        <v>9342</v>
      </c>
      <c r="J74" s="38"/>
      <c r="K74" s="38">
        <v>0</v>
      </c>
      <c r="L74" s="38">
        <v>6655.49</v>
      </c>
      <c r="M74" s="38">
        <v>39924.86</v>
      </c>
      <c r="N74" s="39">
        <v>21418.316792845882</v>
      </c>
      <c r="O74" s="39">
        <v>24708.068048800254</v>
      </c>
      <c r="P74" s="39">
        <v>22283.728185390995</v>
      </c>
      <c r="Q74" s="39">
        <v>17842.382437064069</v>
      </c>
      <c r="R74" s="39">
        <f t="shared" si="3"/>
        <v>237365.0254641012</v>
      </c>
      <c r="S74" s="39"/>
      <c r="T74" s="39">
        <v>250004.89409037496</v>
      </c>
      <c r="U74" s="39"/>
      <c r="V74" s="39">
        <v>17897.899999999998</v>
      </c>
      <c r="W74" s="39">
        <v>47354.539999999994</v>
      </c>
      <c r="X74" s="39">
        <v>29937.739999999998</v>
      </c>
      <c r="Y74" s="39">
        <v>9342</v>
      </c>
      <c r="Z74" s="39"/>
      <c r="AA74" s="39">
        <v>0</v>
      </c>
      <c r="AB74" s="39">
        <v>6655.49</v>
      </c>
      <c r="AC74" s="39">
        <v>39924.86</v>
      </c>
      <c r="AD74" s="39">
        <v>21418.316792845882</v>
      </c>
      <c r="AE74" s="39">
        <v>24708.068048800254</v>
      </c>
      <c r="AF74" s="39">
        <v>22283.728185390995</v>
      </c>
      <c r="AG74" s="39">
        <v>17842.382437064069</v>
      </c>
      <c r="AH74" s="45">
        <f t="shared" si="4"/>
        <v>237365.0254641012</v>
      </c>
      <c r="AJ74" s="39">
        <v>17897.899999999998</v>
      </c>
      <c r="AK74" s="39">
        <v>47354.539999999994</v>
      </c>
      <c r="AL74" s="39">
        <v>29937.739999999998</v>
      </c>
      <c r="AM74" s="39">
        <v>9342</v>
      </c>
      <c r="AN74" s="39"/>
      <c r="AO74" s="39">
        <v>0</v>
      </c>
      <c r="AP74" s="39">
        <v>6655.49</v>
      </c>
      <c r="AQ74" s="39">
        <v>39924.86</v>
      </c>
      <c r="AR74" s="39">
        <v>21418.316792845882</v>
      </c>
      <c r="AS74" s="39">
        <v>24708.068048800254</v>
      </c>
      <c r="AT74" s="39">
        <v>22283.728185390995</v>
      </c>
      <c r="AU74" s="39">
        <v>17842.382437064069</v>
      </c>
      <c r="AV74" s="45">
        <f t="shared" si="5"/>
        <v>237365.0254641012</v>
      </c>
    </row>
    <row r="75" spans="1:48" outlineLevel="1">
      <c r="A75" s="13" t="s">
        <v>331</v>
      </c>
      <c r="B75" s="41" t="s">
        <v>64</v>
      </c>
      <c r="C75" s="41" t="s">
        <v>64</v>
      </c>
      <c r="E75" s="40"/>
      <c r="F75" s="38"/>
      <c r="G75" s="38"/>
      <c r="H75" s="38"/>
      <c r="I75" s="38">
        <v>541.66999999999996</v>
      </c>
      <c r="J75" s="38"/>
      <c r="K75" s="38">
        <v>0</v>
      </c>
      <c r="L75" s="38">
        <v>0</v>
      </c>
      <c r="M75" s="38">
        <v>0</v>
      </c>
      <c r="N75" s="39">
        <v>0</v>
      </c>
      <c r="O75" s="39">
        <v>0</v>
      </c>
      <c r="P75" s="39">
        <v>0</v>
      </c>
      <c r="Q75" s="39">
        <v>0</v>
      </c>
      <c r="R75" s="39">
        <f t="shared" si="3"/>
        <v>541.66999999999996</v>
      </c>
      <c r="S75" s="39"/>
      <c r="T75" s="40"/>
      <c r="U75" s="40"/>
      <c r="V75" s="39"/>
      <c r="W75" s="39"/>
      <c r="X75" s="39"/>
      <c r="Y75" s="39">
        <v>541.66999999999996</v>
      </c>
      <c r="Z75" s="39"/>
      <c r="AA75" s="39">
        <v>0</v>
      </c>
      <c r="AB75" s="39">
        <v>0</v>
      </c>
      <c r="AC75" s="39">
        <v>0</v>
      </c>
      <c r="AD75" s="39">
        <v>0</v>
      </c>
      <c r="AE75" s="39">
        <v>0</v>
      </c>
      <c r="AF75" s="39">
        <v>0</v>
      </c>
      <c r="AG75" s="39">
        <v>0</v>
      </c>
      <c r="AH75" s="45">
        <f t="shared" si="4"/>
        <v>541.66999999999996</v>
      </c>
      <c r="AJ75" s="39"/>
      <c r="AK75" s="39"/>
      <c r="AL75" s="39"/>
      <c r="AM75" s="39">
        <v>541.66999999999996</v>
      </c>
      <c r="AN75" s="39"/>
      <c r="AO75" s="39">
        <v>0</v>
      </c>
      <c r="AP75" s="39">
        <v>0</v>
      </c>
      <c r="AQ75" s="39">
        <v>0</v>
      </c>
      <c r="AR75" s="39">
        <v>0</v>
      </c>
      <c r="AS75" s="39">
        <v>0</v>
      </c>
      <c r="AT75" s="39">
        <v>0</v>
      </c>
      <c r="AU75" s="39">
        <v>0</v>
      </c>
      <c r="AV75" s="45">
        <f t="shared" si="5"/>
        <v>541.66999999999996</v>
      </c>
    </row>
    <row r="76" spans="1:48" outlineLevel="1">
      <c r="A76" s="37" t="s">
        <v>332</v>
      </c>
      <c r="B76" s="41" t="s">
        <v>64</v>
      </c>
      <c r="C76" s="41" t="s">
        <v>64</v>
      </c>
      <c r="D76" s="37"/>
      <c r="E76" s="40">
        <v>292065.56000000011</v>
      </c>
      <c r="F76" s="38">
        <v>16407.3</v>
      </c>
      <c r="G76" s="38">
        <v>7910.8199999999979</v>
      </c>
      <c r="H76" s="38">
        <v>12654.309999999998</v>
      </c>
      <c r="I76" s="38">
        <v>14807.339999999998</v>
      </c>
      <c r="J76" s="38"/>
      <c r="K76" s="38">
        <v>9207.36</v>
      </c>
      <c r="L76" s="38">
        <v>11036.189999999999</v>
      </c>
      <c r="M76" s="38">
        <v>11680.660000000003</v>
      </c>
      <c r="N76" s="39">
        <v>35226.264382898909</v>
      </c>
      <c r="O76" s="39">
        <v>40636.85050024173</v>
      </c>
      <c r="P76" s="39">
        <v>36649.588671572681</v>
      </c>
      <c r="Q76" s="39">
        <v>29344.998817028827</v>
      </c>
      <c r="R76" s="39">
        <f t="shared" si="3"/>
        <v>225561.68237174215</v>
      </c>
      <c r="S76" s="39"/>
      <c r="T76" s="39">
        <v>299997.40592977416</v>
      </c>
      <c r="U76" s="39"/>
      <c r="V76" s="39">
        <v>16407.3</v>
      </c>
      <c r="W76" s="39">
        <v>7910.8199999999979</v>
      </c>
      <c r="X76" s="39">
        <v>12654.309999999998</v>
      </c>
      <c r="Y76" s="39">
        <v>14807.339999999998</v>
      </c>
      <c r="Z76" s="39"/>
      <c r="AA76" s="39">
        <v>9207.36</v>
      </c>
      <c r="AB76" s="39">
        <v>11036.189999999999</v>
      </c>
      <c r="AC76" s="39">
        <v>11680.660000000003</v>
      </c>
      <c r="AD76" s="39">
        <v>35226.264382898909</v>
      </c>
      <c r="AE76" s="39">
        <v>40636.85050024173</v>
      </c>
      <c r="AF76" s="39">
        <v>36649.588671572681</v>
      </c>
      <c r="AG76" s="39">
        <v>29344.998817028827</v>
      </c>
      <c r="AH76" s="45">
        <f t="shared" si="4"/>
        <v>225561.68237174215</v>
      </c>
      <c r="AJ76" s="39">
        <v>16407.3</v>
      </c>
      <c r="AK76" s="39">
        <v>7910.8199999999979</v>
      </c>
      <c r="AL76" s="39">
        <v>12654.309999999998</v>
      </c>
      <c r="AM76" s="39">
        <v>14807.339999999998</v>
      </c>
      <c r="AN76" s="39"/>
      <c r="AO76" s="39">
        <v>9207.36</v>
      </c>
      <c r="AP76" s="39">
        <v>11036.189999999999</v>
      </c>
      <c r="AQ76" s="39">
        <v>11680.660000000003</v>
      </c>
      <c r="AR76" s="39">
        <v>35226.264382898909</v>
      </c>
      <c r="AS76" s="39">
        <v>40636.85050024173</v>
      </c>
      <c r="AT76" s="39">
        <v>36649.588671572681</v>
      </c>
      <c r="AU76" s="39">
        <v>29344.998817028827</v>
      </c>
      <c r="AV76" s="45">
        <f t="shared" si="5"/>
        <v>225561.68237174215</v>
      </c>
    </row>
    <row r="77" spans="1:48" outlineLevel="1">
      <c r="A77" s="37" t="s">
        <v>333</v>
      </c>
      <c r="B77" s="41" t="s">
        <v>265</v>
      </c>
      <c r="C77" s="41" t="s">
        <v>65</v>
      </c>
      <c r="D77" s="37"/>
      <c r="E77" s="40">
        <v>0</v>
      </c>
      <c r="F77" s="38">
        <v>0</v>
      </c>
      <c r="G77" s="38">
        <v>0</v>
      </c>
      <c r="H77" s="38">
        <v>6544.08</v>
      </c>
      <c r="I77" s="38">
        <v>0</v>
      </c>
      <c r="J77" s="38">
        <v>16582.239999999998</v>
      </c>
      <c r="K77" s="38">
        <v>0</v>
      </c>
      <c r="L77" s="38">
        <v>0</v>
      </c>
      <c r="M77" s="38">
        <v>0</v>
      </c>
      <c r="N77" s="39"/>
      <c r="O77" s="39">
        <v>5000</v>
      </c>
      <c r="P77" s="39"/>
      <c r="Q77" s="39">
        <v>10000</v>
      </c>
      <c r="R77" s="39">
        <f t="shared" si="3"/>
        <v>38126.32</v>
      </c>
      <c r="S77" s="39"/>
      <c r="T77" s="40">
        <v>40765.9015</v>
      </c>
      <c r="U77" s="40"/>
      <c r="V77" s="39">
        <v>5000</v>
      </c>
      <c r="W77" s="39">
        <v>5000</v>
      </c>
      <c r="X77" s="39">
        <v>5000</v>
      </c>
      <c r="Y77" s="39">
        <v>5000</v>
      </c>
      <c r="Z77" s="39">
        <v>5000</v>
      </c>
      <c r="AA77" s="39">
        <v>5000</v>
      </c>
      <c r="AB77" s="39">
        <v>5000</v>
      </c>
      <c r="AC77" s="39">
        <v>5000</v>
      </c>
      <c r="AD77" s="39">
        <v>5000</v>
      </c>
      <c r="AE77" s="39">
        <v>5000</v>
      </c>
      <c r="AF77" s="39">
        <v>5000</v>
      </c>
      <c r="AG77" s="39">
        <v>5000</v>
      </c>
      <c r="AH77" s="45">
        <f t="shared" si="4"/>
        <v>60000</v>
      </c>
      <c r="AJ77" s="39">
        <v>0</v>
      </c>
      <c r="AK77" s="39">
        <v>0</v>
      </c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45">
        <f t="shared" si="5"/>
        <v>0</v>
      </c>
    </row>
    <row r="78" spans="1:48" outlineLevel="1">
      <c r="A78" s="37" t="s">
        <v>334</v>
      </c>
      <c r="B78" s="41" t="s">
        <v>335</v>
      </c>
      <c r="C78" s="41" t="s">
        <v>66</v>
      </c>
      <c r="D78" s="37"/>
      <c r="E78" s="40"/>
      <c r="F78" s="38">
        <v>0</v>
      </c>
      <c r="G78" s="38">
        <v>0</v>
      </c>
      <c r="H78" s="38">
        <v>0</v>
      </c>
      <c r="I78" s="38">
        <v>0</v>
      </c>
      <c r="J78" s="38">
        <v>0</v>
      </c>
      <c r="K78" s="38">
        <v>8590.16</v>
      </c>
      <c r="L78" s="38">
        <v>0</v>
      </c>
      <c r="M78" s="38">
        <v>0</v>
      </c>
      <c r="N78" s="39">
        <v>0</v>
      </c>
      <c r="O78" s="39">
        <v>0</v>
      </c>
      <c r="P78" s="39">
        <v>0</v>
      </c>
      <c r="Q78" s="39">
        <v>0</v>
      </c>
      <c r="R78" s="39">
        <f t="shared" si="3"/>
        <v>8590.16</v>
      </c>
      <c r="S78" s="39"/>
      <c r="T78" s="40"/>
      <c r="U78" s="40"/>
      <c r="V78" s="39">
        <v>3000</v>
      </c>
      <c r="W78" s="39">
        <v>3000</v>
      </c>
      <c r="X78" s="39">
        <v>3000</v>
      </c>
      <c r="Y78" s="39">
        <v>3000</v>
      </c>
      <c r="Z78" s="39">
        <v>3000</v>
      </c>
      <c r="AA78" s="39">
        <v>3000</v>
      </c>
      <c r="AB78" s="39">
        <v>3000</v>
      </c>
      <c r="AC78" s="39">
        <v>3000</v>
      </c>
      <c r="AD78" s="39">
        <v>3000</v>
      </c>
      <c r="AE78" s="39">
        <v>3000</v>
      </c>
      <c r="AF78" s="39">
        <v>3000</v>
      </c>
      <c r="AG78" s="39">
        <v>3000</v>
      </c>
      <c r="AH78" s="45">
        <f t="shared" si="4"/>
        <v>36000</v>
      </c>
      <c r="AJ78" s="39">
        <v>0</v>
      </c>
      <c r="AK78" s="39">
        <v>0</v>
      </c>
      <c r="AL78" s="39">
        <v>0</v>
      </c>
      <c r="AM78" s="39">
        <v>0</v>
      </c>
      <c r="AN78" s="39">
        <v>0</v>
      </c>
      <c r="AO78" s="39">
        <v>8590.16</v>
      </c>
      <c r="AP78" s="39">
        <v>0</v>
      </c>
      <c r="AQ78" s="39">
        <v>0</v>
      </c>
      <c r="AR78" s="39">
        <v>0</v>
      </c>
      <c r="AS78" s="39">
        <v>0</v>
      </c>
      <c r="AT78" s="39">
        <v>0</v>
      </c>
      <c r="AU78" s="39">
        <v>0</v>
      </c>
      <c r="AV78" s="45">
        <f t="shared" si="5"/>
        <v>8590.16</v>
      </c>
    </row>
    <row r="79" spans="1:48" outlineLevel="1">
      <c r="A79" s="13" t="s">
        <v>336</v>
      </c>
      <c r="B79" s="41" t="s">
        <v>64</v>
      </c>
      <c r="C79" s="41" t="s">
        <v>64</v>
      </c>
      <c r="E79" s="40">
        <v>1018.92</v>
      </c>
      <c r="F79" s="38">
        <v>1154.8799999999999</v>
      </c>
      <c r="G79" s="38">
        <v>0</v>
      </c>
      <c r="H79" s="38">
        <v>0</v>
      </c>
      <c r="I79" s="38">
        <v>0</v>
      </c>
      <c r="J79" s="38">
        <v>0</v>
      </c>
      <c r="K79" s="38">
        <v>0</v>
      </c>
      <c r="L79" s="38">
        <v>0</v>
      </c>
      <c r="M79" s="38">
        <v>0</v>
      </c>
      <c r="N79" s="39">
        <v>0</v>
      </c>
      <c r="O79" s="39">
        <v>0</v>
      </c>
      <c r="P79" s="39">
        <v>0</v>
      </c>
      <c r="Q79" s="39">
        <v>0</v>
      </c>
      <c r="R79" s="39">
        <f t="shared" si="3"/>
        <v>1154.8799999999999</v>
      </c>
      <c r="S79" s="39"/>
      <c r="T79" s="39"/>
      <c r="U79" s="39"/>
      <c r="V79" s="39">
        <v>1154.8799999999999</v>
      </c>
      <c r="W79" s="39">
        <v>0</v>
      </c>
      <c r="X79" s="39">
        <v>0</v>
      </c>
      <c r="Y79" s="39">
        <v>0</v>
      </c>
      <c r="Z79" s="39">
        <v>0</v>
      </c>
      <c r="AA79" s="39">
        <v>0</v>
      </c>
      <c r="AB79" s="39">
        <v>0</v>
      </c>
      <c r="AC79" s="39">
        <v>0</v>
      </c>
      <c r="AD79" s="39">
        <v>0</v>
      </c>
      <c r="AE79" s="39">
        <v>0</v>
      </c>
      <c r="AF79" s="39">
        <v>0</v>
      </c>
      <c r="AG79" s="39">
        <v>0</v>
      </c>
      <c r="AH79" s="45">
        <f t="shared" si="4"/>
        <v>1154.8799999999999</v>
      </c>
      <c r="AJ79" s="39">
        <v>1154.8799999999999</v>
      </c>
      <c r="AK79" s="39">
        <v>0</v>
      </c>
      <c r="AL79" s="39">
        <v>0</v>
      </c>
      <c r="AM79" s="39">
        <v>0</v>
      </c>
      <c r="AN79" s="39">
        <v>0</v>
      </c>
      <c r="AO79" s="39">
        <v>0</v>
      </c>
      <c r="AP79" s="39">
        <v>0</v>
      </c>
      <c r="AQ79" s="39">
        <v>0</v>
      </c>
      <c r="AR79" s="39">
        <v>0</v>
      </c>
      <c r="AS79" s="39">
        <v>0</v>
      </c>
      <c r="AT79" s="39">
        <v>0</v>
      </c>
      <c r="AU79" s="39">
        <v>0</v>
      </c>
      <c r="AV79" s="45">
        <f t="shared" si="5"/>
        <v>1154.8799999999999</v>
      </c>
    </row>
    <row r="80" spans="1:48" s="181" customFormat="1" outlineLevel="1">
      <c r="A80" s="401" t="s">
        <v>337</v>
      </c>
      <c r="B80" s="402" t="s">
        <v>338</v>
      </c>
      <c r="C80" s="402" t="s">
        <v>67</v>
      </c>
      <c r="D80" s="401"/>
      <c r="E80" s="403">
        <v>12135.869999999999</v>
      </c>
      <c r="F80" s="404">
        <v>0</v>
      </c>
      <c r="G80" s="404">
        <v>0</v>
      </c>
      <c r="H80" s="404">
        <v>0</v>
      </c>
      <c r="I80" s="404">
        <v>0</v>
      </c>
      <c r="J80" s="404">
        <v>0</v>
      </c>
      <c r="K80" s="404">
        <v>0</v>
      </c>
      <c r="L80" s="404">
        <v>0</v>
      </c>
      <c r="M80" s="404">
        <v>0</v>
      </c>
      <c r="N80" s="404"/>
      <c r="O80" s="404"/>
      <c r="P80" s="404"/>
      <c r="Q80" s="404"/>
      <c r="R80" s="404">
        <f t="shared" si="3"/>
        <v>0</v>
      </c>
      <c r="S80" s="404"/>
      <c r="T80" s="403">
        <v>13956.250499999998</v>
      </c>
      <c r="U80" s="403"/>
      <c r="V80" s="404">
        <v>0</v>
      </c>
      <c r="W80" s="404">
        <v>0</v>
      </c>
      <c r="X80" s="404">
        <v>0</v>
      </c>
      <c r="Y80" s="404">
        <v>0</v>
      </c>
      <c r="Z80" s="404">
        <v>0</v>
      </c>
      <c r="AA80" s="404">
        <v>0</v>
      </c>
      <c r="AB80" s="404">
        <v>0</v>
      </c>
      <c r="AC80" s="404">
        <v>0</v>
      </c>
      <c r="AD80" s="404"/>
      <c r="AE80" s="404"/>
      <c r="AF80" s="404"/>
      <c r="AG80" s="404"/>
      <c r="AH80" s="405">
        <f t="shared" si="4"/>
        <v>0</v>
      </c>
      <c r="AJ80" s="404">
        <v>0</v>
      </c>
      <c r="AK80" s="404">
        <v>0</v>
      </c>
      <c r="AL80" s="404">
        <v>0</v>
      </c>
      <c r="AM80" s="404">
        <v>0</v>
      </c>
      <c r="AN80" s="404">
        <v>0</v>
      </c>
      <c r="AO80" s="404">
        <v>0</v>
      </c>
      <c r="AP80" s="404">
        <v>0</v>
      </c>
      <c r="AQ80" s="404">
        <v>0</v>
      </c>
      <c r="AR80" s="404">
        <v>1027.40708564635</v>
      </c>
      <c r="AS80" s="404">
        <v>1185.2119114443537</v>
      </c>
      <c r="AT80" s="404">
        <v>1068.9196753283231</v>
      </c>
      <c r="AU80" s="404">
        <v>855.87445166441091</v>
      </c>
      <c r="AV80" s="405">
        <f t="shared" si="5"/>
        <v>4137.4131240834377</v>
      </c>
    </row>
    <row r="81" spans="1:48" outlineLevel="1">
      <c r="A81" s="13" t="s">
        <v>339</v>
      </c>
      <c r="B81" s="41" t="s">
        <v>64</v>
      </c>
      <c r="C81" s="41" t="s">
        <v>64</v>
      </c>
      <c r="E81" s="40">
        <v>1217.76</v>
      </c>
      <c r="F81" s="38">
        <v>330.12</v>
      </c>
      <c r="G81" s="38">
        <v>0</v>
      </c>
      <c r="H81" s="38">
        <v>0</v>
      </c>
      <c r="I81" s="38">
        <v>330.12</v>
      </c>
      <c r="J81" s="38">
        <v>0</v>
      </c>
      <c r="K81" s="38">
        <v>0</v>
      </c>
      <c r="L81" s="38">
        <v>0</v>
      </c>
      <c r="M81" s="38">
        <v>330.12</v>
      </c>
      <c r="N81" s="39">
        <v>0</v>
      </c>
      <c r="O81" s="39">
        <v>0</v>
      </c>
      <c r="P81" s="39">
        <v>0</v>
      </c>
      <c r="Q81" s="39">
        <v>0</v>
      </c>
      <c r="R81" s="39">
        <f t="shared" si="3"/>
        <v>990.36</v>
      </c>
      <c r="S81" s="39"/>
      <c r="T81" s="39"/>
      <c r="U81" s="39"/>
      <c r="V81" s="39">
        <v>330.12</v>
      </c>
      <c r="W81" s="39">
        <v>0</v>
      </c>
      <c r="X81" s="39">
        <v>0</v>
      </c>
      <c r="Y81" s="39">
        <v>330.12</v>
      </c>
      <c r="Z81" s="39">
        <v>0</v>
      </c>
      <c r="AA81" s="39">
        <v>0</v>
      </c>
      <c r="AB81" s="39">
        <v>0</v>
      </c>
      <c r="AC81" s="39">
        <v>330.12</v>
      </c>
      <c r="AD81" s="39">
        <v>0</v>
      </c>
      <c r="AE81" s="39">
        <v>0</v>
      </c>
      <c r="AF81" s="39">
        <v>0</v>
      </c>
      <c r="AG81" s="39">
        <v>0</v>
      </c>
      <c r="AH81" s="45">
        <f t="shared" si="4"/>
        <v>990.36</v>
      </c>
      <c r="AJ81" s="39">
        <v>330.12</v>
      </c>
      <c r="AK81" s="39">
        <v>0</v>
      </c>
      <c r="AL81" s="39">
        <v>0</v>
      </c>
      <c r="AM81" s="39">
        <v>330.12</v>
      </c>
      <c r="AN81" s="39">
        <v>0</v>
      </c>
      <c r="AO81" s="39">
        <v>0</v>
      </c>
      <c r="AP81" s="39">
        <v>0</v>
      </c>
      <c r="AQ81" s="39">
        <v>330.12</v>
      </c>
      <c r="AR81" s="39">
        <v>0</v>
      </c>
      <c r="AS81" s="39">
        <v>0</v>
      </c>
      <c r="AT81" s="39">
        <v>0</v>
      </c>
      <c r="AU81" s="39">
        <v>0</v>
      </c>
      <c r="AV81" s="45">
        <f t="shared" si="5"/>
        <v>990.36</v>
      </c>
    </row>
    <row r="82" spans="1:48" outlineLevel="1">
      <c r="A82" s="37" t="s">
        <v>340</v>
      </c>
      <c r="B82" s="41" t="s">
        <v>311</v>
      </c>
      <c r="C82" s="41" t="s">
        <v>66</v>
      </c>
      <c r="D82" s="37"/>
      <c r="E82" s="40">
        <v>133251.78999999998</v>
      </c>
      <c r="F82" s="38">
        <v>31007.040000000001</v>
      </c>
      <c r="G82" s="38">
        <v>43784.990000000005</v>
      </c>
      <c r="H82" s="38">
        <v>0</v>
      </c>
      <c r="I82" s="38">
        <v>0</v>
      </c>
      <c r="J82" s="38">
        <v>2412.1799999999998</v>
      </c>
      <c r="K82" s="38">
        <v>3122.69</v>
      </c>
      <c r="L82" s="38">
        <v>5197.3999999999996</v>
      </c>
      <c r="M82" s="38">
        <v>20076.009999999998</v>
      </c>
      <c r="N82" s="39"/>
      <c r="O82" s="39">
        <v>13324.057948310745</v>
      </c>
      <c r="P82" s="39">
        <v>12016.709888451682</v>
      </c>
      <c r="Q82" s="39">
        <v>9621.672445527649</v>
      </c>
      <c r="R82" s="39">
        <f t="shared" si="3"/>
        <v>140562.75028229007</v>
      </c>
      <c r="S82" s="39"/>
      <c r="T82" s="40">
        <v>153239.55849999998</v>
      </c>
      <c r="U82" s="40"/>
      <c r="V82" s="39">
        <v>13000</v>
      </c>
      <c r="W82" s="39">
        <v>13000</v>
      </c>
      <c r="X82" s="39">
        <v>13000</v>
      </c>
      <c r="Y82" s="39">
        <v>13000</v>
      </c>
      <c r="Z82" s="39">
        <v>13000</v>
      </c>
      <c r="AA82" s="39">
        <v>13000</v>
      </c>
      <c r="AB82" s="39">
        <v>13000</v>
      </c>
      <c r="AC82" s="39">
        <v>13000</v>
      </c>
      <c r="AD82" s="39">
        <v>13000</v>
      </c>
      <c r="AE82" s="39">
        <v>13000</v>
      </c>
      <c r="AF82" s="39">
        <v>13000</v>
      </c>
      <c r="AG82" s="39">
        <v>13000</v>
      </c>
      <c r="AH82" s="45">
        <f t="shared" si="4"/>
        <v>156000</v>
      </c>
      <c r="AJ82" s="39">
        <v>31007.040000000001</v>
      </c>
      <c r="AK82" s="39">
        <v>43784.990000000005</v>
      </c>
      <c r="AL82" s="39">
        <v>0</v>
      </c>
      <c r="AM82" s="39">
        <v>0</v>
      </c>
      <c r="AN82" s="39">
        <v>2412.1799999999998</v>
      </c>
      <c r="AO82" s="39">
        <v>3122.69</v>
      </c>
      <c r="AP82" s="39">
        <v>5197.3999999999996</v>
      </c>
      <c r="AQ82" s="39">
        <v>20076.009999999998</v>
      </c>
      <c r="AR82" s="39">
        <v>11550.028660254267</v>
      </c>
      <c r="AS82" s="39">
        <v>13324.057948310745</v>
      </c>
      <c r="AT82" s="39">
        <v>12016.709888451682</v>
      </c>
      <c r="AU82" s="39">
        <v>9621.672445527649</v>
      </c>
      <c r="AV82" s="45">
        <f t="shared" si="5"/>
        <v>152112.77894254433</v>
      </c>
    </row>
    <row r="83" spans="1:48" outlineLevel="1">
      <c r="A83" s="13" t="s">
        <v>341</v>
      </c>
      <c r="B83" s="41" t="s">
        <v>267</v>
      </c>
      <c r="C83" s="41" t="s">
        <v>67</v>
      </c>
      <c r="E83" s="40"/>
      <c r="F83" s="38">
        <v>0</v>
      </c>
      <c r="G83" s="38">
        <v>0</v>
      </c>
      <c r="H83" s="38">
        <v>6173.0400000000009</v>
      </c>
      <c r="I83" s="38">
        <v>0</v>
      </c>
      <c r="J83" s="38">
        <v>0</v>
      </c>
      <c r="K83" s="38">
        <v>-275.10000000000002</v>
      </c>
      <c r="L83" s="38">
        <v>0</v>
      </c>
      <c r="M83" s="38">
        <v>5786.58</v>
      </c>
      <c r="N83" s="39">
        <v>0</v>
      </c>
      <c r="O83" s="39">
        <v>0</v>
      </c>
      <c r="P83" s="39">
        <v>0</v>
      </c>
      <c r="Q83" s="39">
        <v>0</v>
      </c>
      <c r="R83" s="39">
        <f t="shared" si="3"/>
        <v>11684.52</v>
      </c>
      <c r="S83" s="39"/>
      <c r="T83" s="40"/>
      <c r="U83" s="40"/>
      <c r="V83" s="39">
        <v>0</v>
      </c>
      <c r="W83" s="39">
        <v>0</v>
      </c>
      <c r="X83" s="39">
        <v>6173.0400000000009</v>
      </c>
      <c r="Y83" s="39">
        <v>0</v>
      </c>
      <c r="Z83" s="39">
        <v>0</v>
      </c>
      <c r="AA83" s="39">
        <v>-275.10000000000002</v>
      </c>
      <c r="AB83" s="39">
        <v>0</v>
      </c>
      <c r="AC83" s="39">
        <v>5786.58</v>
      </c>
      <c r="AD83" s="39">
        <v>0</v>
      </c>
      <c r="AE83" s="39">
        <v>0</v>
      </c>
      <c r="AF83" s="39">
        <v>0</v>
      </c>
      <c r="AG83" s="39">
        <v>0</v>
      </c>
      <c r="AH83" s="45">
        <f t="shared" si="4"/>
        <v>11684.52</v>
      </c>
      <c r="AJ83" s="39">
        <v>0</v>
      </c>
      <c r="AK83" s="39">
        <v>0</v>
      </c>
      <c r="AL83" s="39">
        <v>6173.0400000000009</v>
      </c>
      <c r="AM83" s="39">
        <v>0</v>
      </c>
      <c r="AN83" s="39">
        <v>0</v>
      </c>
      <c r="AO83" s="39">
        <v>-275.10000000000002</v>
      </c>
      <c r="AP83" s="39">
        <v>0</v>
      </c>
      <c r="AQ83" s="39">
        <v>5786.58</v>
      </c>
      <c r="AR83" s="39">
        <v>0</v>
      </c>
      <c r="AS83" s="39">
        <v>0</v>
      </c>
      <c r="AT83" s="39">
        <v>0</v>
      </c>
      <c r="AU83" s="39">
        <v>0</v>
      </c>
      <c r="AV83" s="45">
        <f t="shared" si="5"/>
        <v>11684.52</v>
      </c>
    </row>
    <row r="84" spans="1:48" outlineLevel="1">
      <c r="A84" s="37" t="s">
        <v>342</v>
      </c>
      <c r="B84" s="41" t="s">
        <v>335</v>
      </c>
      <c r="C84" s="41" t="s">
        <v>66</v>
      </c>
      <c r="D84" s="37"/>
      <c r="E84" s="40">
        <v>32815.919999999991</v>
      </c>
      <c r="F84" s="38">
        <v>4456.7199999999993</v>
      </c>
      <c r="G84" s="38">
        <v>3086.2800000000007</v>
      </c>
      <c r="H84" s="38">
        <v>4451.33</v>
      </c>
      <c r="I84" s="38">
        <v>3430.2700000000004</v>
      </c>
      <c r="J84" s="38">
        <v>0</v>
      </c>
      <c r="K84" s="38">
        <v>828.59000000000015</v>
      </c>
      <c r="L84" s="38">
        <v>0</v>
      </c>
      <c r="M84" s="38">
        <v>1429.65</v>
      </c>
      <c r="N84" s="39">
        <v>2510.46559945732</v>
      </c>
      <c r="O84" s="39">
        <v>2896.0611361525084</v>
      </c>
      <c r="P84" s="39">
        <v>2611.9014663079147</v>
      </c>
      <c r="Q84" s="39">
        <v>2091.3262117577979</v>
      </c>
      <c r="R84" s="39">
        <f t="shared" si="3"/>
        <v>27792.594413675539</v>
      </c>
      <c r="S84" s="39"/>
      <c r="T84" s="40">
        <v>29045.354500000001</v>
      </c>
      <c r="U84" s="40"/>
      <c r="V84" s="39">
        <v>3000</v>
      </c>
      <c r="W84" s="39">
        <v>3000</v>
      </c>
      <c r="X84" s="39">
        <v>3000</v>
      </c>
      <c r="Y84" s="39">
        <v>3000</v>
      </c>
      <c r="Z84" s="39">
        <v>3000</v>
      </c>
      <c r="AA84" s="39">
        <v>3000</v>
      </c>
      <c r="AB84" s="39">
        <v>3000</v>
      </c>
      <c r="AC84" s="39">
        <v>3000</v>
      </c>
      <c r="AD84" s="39">
        <v>3000</v>
      </c>
      <c r="AE84" s="39">
        <v>3000</v>
      </c>
      <c r="AF84" s="39">
        <v>3000</v>
      </c>
      <c r="AG84" s="39">
        <v>3000</v>
      </c>
      <c r="AH84" s="45">
        <f t="shared" si="4"/>
        <v>36000</v>
      </c>
      <c r="AJ84" s="39">
        <v>28000</v>
      </c>
      <c r="AK84" s="39">
        <v>28000</v>
      </c>
      <c r="AL84" s="39">
        <v>28000</v>
      </c>
      <c r="AM84" s="39">
        <v>28000</v>
      </c>
      <c r="AN84" s="39">
        <v>28000</v>
      </c>
      <c r="AO84" s="39">
        <v>28000</v>
      </c>
      <c r="AP84" s="39">
        <v>28000</v>
      </c>
      <c r="AQ84" s="39">
        <v>28000</v>
      </c>
      <c r="AR84" s="39">
        <v>28000</v>
      </c>
      <c r="AS84" s="39">
        <v>28000</v>
      </c>
      <c r="AT84" s="39">
        <v>28000</v>
      </c>
      <c r="AU84" s="39">
        <v>28000</v>
      </c>
      <c r="AV84" s="45">
        <f t="shared" si="5"/>
        <v>336000</v>
      </c>
    </row>
    <row r="85" spans="1:48" outlineLevel="1">
      <c r="A85" s="37" t="s">
        <v>343</v>
      </c>
      <c r="B85" s="41" t="s">
        <v>64</v>
      </c>
      <c r="C85" s="41" t="s">
        <v>64</v>
      </c>
      <c r="D85" s="37"/>
      <c r="E85" s="40">
        <v>56645.639999999978</v>
      </c>
      <c r="F85" s="38">
        <v>1817.2800000000002</v>
      </c>
      <c r="G85" s="38">
        <v>10409.380000000001</v>
      </c>
      <c r="H85" s="38">
        <v>7466.4</v>
      </c>
      <c r="I85" s="38">
        <v>4885.92</v>
      </c>
      <c r="J85" s="38"/>
      <c r="K85" s="38">
        <v>709.8</v>
      </c>
      <c r="L85" s="38">
        <v>779.2</v>
      </c>
      <c r="M85" s="38">
        <v>8824.7999999999993</v>
      </c>
      <c r="N85" s="39">
        <v>4853.2172906663573</v>
      </c>
      <c r="O85" s="39">
        <v>5598.6483080431308</v>
      </c>
      <c r="P85" s="39">
        <v>5049.3125102142585</v>
      </c>
      <c r="Q85" s="39">
        <v>4042.9394983626703</v>
      </c>
      <c r="R85" s="39">
        <f t="shared" si="3"/>
        <v>54436.89760728641</v>
      </c>
      <c r="S85" s="39"/>
      <c r="T85" s="39">
        <v>66000</v>
      </c>
      <c r="U85" s="39"/>
      <c r="V85" s="39">
        <v>22000</v>
      </c>
      <c r="W85" s="39">
        <v>22000</v>
      </c>
      <c r="X85" s="39">
        <v>22000</v>
      </c>
      <c r="Y85" s="39">
        <v>22000</v>
      </c>
      <c r="Z85" s="39">
        <v>22000</v>
      </c>
      <c r="AA85" s="39">
        <v>22000</v>
      </c>
      <c r="AB85" s="39">
        <v>22000</v>
      </c>
      <c r="AC85" s="39">
        <v>22000</v>
      </c>
      <c r="AD85" s="39">
        <v>22000</v>
      </c>
      <c r="AE85" s="39">
        <v>22000</v>
      </c>
      <c r="AF85" s="39">
        <v>22000</v>
      </c>
      <c r="AG85" s="39">
        <v>22000</v>
      </c>
      <c r="AH85" s="45">
        <f t="shared" si="4"/>
        <v>264000</v>
      </c>
      <c r="AJ85" s="39">
        <v>22000</v>
      </c>
      <c r="AK85" s="39">
        <v>22000</v>
      </c>
      <c r="AL85" s="39">
        <v>22000</v>
      </c>
      <c r="AM85" s="39">
        <v>22000</v>
      </c>
      <c r="AN85" s="39">
        <v>22000</v>
      </c>
      <c r="AO85" s="39">
        <v>22000</v>
      </c>
      <c r="AP85" s="39">
        <v>22000</v>
      </c>
      <c r="AQ85" s="39">
        <v>22000</v>
      </c>
      <c r="AR85" s="39">
        <v>22000</v>
      </c>
      <c r="AS85" s="39">
        <v>22000</v>
      </c>
      <c r="AT85" s="39">
        <v>22000</v>
      </c>
      <c r="AU85" s="39">
        <v>22000</v>
      </c>
      <c r="AV85" s="45">
        <f t="shared" si="5"/>
        <v>264000</v>
      </c>
    </row>
    <row r="86" spans="1:48" s="181" customFormat="1" outlineLevel="1">
      <c r="A86" s="401" t="s">
        <v>344</v>
      </c>
      <c r="B86" s="402" t="s">
        <v>238</v>
      </c>
      <c r="C86" s="402" t="s">
        <v>67</v>
      </c>
      <c r="D86" s="401"/>
      <c r="E86" s="403">
        <v>159811.84999999989</v>
      </c>
      <c r="F86" s="404">
        <v>2858.96</v>
      </c>
      <c r="G86" s="404">
        <v>15490.08</v>
      </c>
      <c r="H86" s="404">
        <v>1095.5999999999999</v>
      </c>
      <c r="I86" s="404">
        <v>0</v>
      </c>
      <c r="J86" s="404">
        <v>0</v>
      </c>
      <c r="K86" s="404">
        <v>-10164.900000000001</v>
      </c>
      <c r="L86" s="404">
        <v>0</v>
      </c>
      <c r="M86" s="404">
        <v>0</v>
      </c>
      <c r="N86" s="404">
        <v>-2862.8836826685565</v>
      </c>
      <c r="O86" s="404">
        <v>-3302.6089552845642</v>
      </c>
      <c r="P86" s="404">
        <v>-2978.5590729653536</v>
      </c>
      <c r="Q86" s="404">
        <v>-2384.9056876432351</v>
      </c>
      <c r="R86" s="404">
        <f t="shared" si="3"/>
        <v>-2249.2173985617114</v>
      </c>
      <c r="S86" s="404"/>
      <c r="T86" s="403">
        <v>26184.647499999999</v>
      </c>
      <c r="U86" s="403"/>
      <c r="V86" s="404"/>
      <c r="W86" s="404"/>
      <c r="X86" s="404"/>
      <c r="Y86" s="404"/>
      <c r="Z86" s="404"/>
      <c r="AA86" s="404"/>
      <c r="AB86" s="404"/>
      <c r="AC86" s="404"/>
      <c r="AD86" s="404"/>
      <c r="AE86" s="404"/>
      <c r="AF86" s="404"/>
      <c r="AG86" s="404"/>
      <c r="AH86" s="405">
        <f t="shared" si="4"/>
        <v>0</v>
      </c>
      <c r="AJ86" s="404">
        <v>25000</v>
      </c>
      <c r="AK86" s="404">
        <v>25000</v>
      </c>
      <c r="AL86" s="404">
        <v>25000</v>
      </c>
      <c r="AM86" s="404">
        <v>25000</v>
      </c>
      <c r="AN86" s="404">
        <v>25000</v>
      </c>
      <c r="AO86" s="404">
        <v>25000</v>
      </c>
      <c r="AP86" s="404">
        <v>25000</v>
      </c>
      <c r="AQ86" s="404">
        <v>25000</v>
      </c>
      <c r="AR86" s="404">
        <v>25000</v>
      </c>
      <c r="AS86" s="404">
        <v>25000</v>
      </c>
      <c r="AT86" s="404">
        <v>25000</v>
      </c>
      <c r="AU86" s="404">
        <v>25000</v>
      </c>
      <c r="AV86" s="405">
        <f t="shared" si="5"/>
        <v>300000</v>
      </c>
    </row>
    <row r="87" spans="1:48" outlineLevel="1">
      <c r="E87" s="40"/>
      <c r="S87" s="39"/>
      <c r="T87" s="40"/>
      <c r="U87" s="40"/>
    </row>
    <row r="88" spans="1:48" outlineLevel="1">
      <c r="A88" s="42" t="s">
        <v>345</v>
      </c>
      <c r="B88" s="44"/>
      <c r="D88" s="42"/>
      <c r="E88" s="43">
        <f>SUM(E3:E86)</f>
        <v>6975572.5900000008</v>
      </c>
      <c r="F88" s="43">
        <f t="shared" ref="F88:L88" si="6">SUM(F3:F86)</f>
        <v>664598.43000000028</v>
      </c>
      <c r="G88" s="43">
        <f t="shared" si="6"/>
        <v>511858.31</v>
      </c>
      <c r="H88" s="43">
        <f t="shared" si="6"/>
        <v>289271.34999999998</v>
      </c>
      <c r="I88" s="43">
        <f t="shared" si="6"/>
        <v>519227.72</v>
      </c>
      <c r="J88" s="43">
        <f t="shared" si="6"/>
        <v>192719.18</v>
      </c>
      <c r="K88" s="43">
        <f t="shared" si="6"/>
        <v>418370.15999999986</v>
      </c>
      <c r="L88" s="43">
        <f t="shared" si="6"/>
        <v>329766.21000000008</v>
      </c>
      <c r="M88" s="43">
        <f>SUM(M3:M86)</f>
        <v>506223.07999999996</v>
      </c>
      <c r="N88" s="43">
        <f>SUM(N3:N86)</f>
        <v>570315.91850701848</v>
      </c>
      <c r="O88" s="43">
        <f t="shared" ref="O88:Q88" si="7">SUM(O3:O86)</f>
        <v>907717.24006988644</v>
      </c>
      <c r="P88" s="43">
        <f t="shared" si="7"/>
        <v>777579.0092466803</v>
      </c>
      <c r="Q88" s="43">
        <f t="shared" si="7"/>
        <v>719238.86519572884</v>
      </c>
      <c r="R88" s="43">
        <f>SUM(R3:R86)</f>
        <v>6406885.4730193131</v>
      </c>
      <c r="S88" s="39"/>
      <c r="T88" s="43">
        <f>SUM(T3:T86)</f>
        <v>7193130.8120613042</v>
      </c>
      <c r="U88" s="43"/>
      <c r="V88" s="43">
        <f t="shared" ref="V88:AB88" si="8">SUM(V3:V86)</f>
        <v>535901.60000000009</v>
      </c>
      <c r="W88" s="43">
        <f t="shared" si="8"/>
        <v>614171.2699999999</v>
      </c>
      <c r="X88" s="43">
        <f t="shared" si="8"/>
        <v>498984.57999999996</v>
      </c>
      <c r="Y88" s="43">
        <f t="shared" si="8"/>
        <v>524234.6100000001</v>
      </c>
      <c r="Z88" s="43">
        <f t="shared" si="8"/>
        <v>295455.03000000003</v>
      </c>
      <c r="AA88" s="43">
        <f t="shared" si="8"/>
        <v>439245.22</v>
      </c>
      <c r="AB88" s="43">
        <f t="shared" si="8"/>
        <v>291041.14</v>
      </c>
      <c r="AC88" s="43">
        <f>SUM(AC3:AC86)</f>
        <v>677753.47000000009</v>
      </c>
      <c r="AD88" s="43">
        <f t="shared" ref="AD88:AG88" si="9">SUM(AD3:AD86)</f>
        <v>773601.82930587803</v>
      </c>
      <c r="AE88" s="43">
        <f t="shared" si="9"/>
        <v>912263.11970128957</v>
      </c>
      <c r="AF88" s="43">
        <f t="shared" si="9"/>
        <v>748505.50517326756</v>
      </c>
      <c r="AG88" s="43">
        <f t="shared" si="9"/>
        <v>594358.58759025275</v>
      </c>
      <c r="AH88" s="43">
        <f>SUM(AH3:AH86)</f>
        <v>6905515.9617706873</v>
      </c>
      <c r="AJ88" s="43">
        <f t="shared" ref="AJ88:AP88" si="10">SUM(AJ3:AJ86)</f>
        <v>705259.4700000002</v>
      </c>
      <c r="AK88" s="43">
        <f t="shared" si="10"/>
        <v>510494.70999999996</v>
      </c>
      <c r="AL88" s="43">
        <f t="shared" si="10"/>
        <v>359888.45999999996</v>
      </c>
      <c r="AM88" s="43">
        <f t="shared" si="10"/>
        <v>551040.16999999993</v>
      </c>
      <c r="AN88" s="43">
        <f t="shared" si="10"/>
        <v>238488.67</v>
      </c>
      <c r="AO88" s="43">
        <f t="shared" si="10"/>
        <v>483575.66999999993</v>
      </c>
      <c r="AP88" s="43">
        <f t="shared" si="10"/>
        <v>398977.9200000001</v>
      </c>
      <c r="AQ88" s="43">
        <f>SUM(AQ3:AQ86)</f>
        <v>566129.47</v>
      </c>
      <c r="AR88" s="43">
        <f t="shared" ref="AR88:AU88" si="11">SUM(AR3:AR86)</f>
        <v>816038.78188575211</v>
      </c>
      <c r="AS88" s="43">
        <f t="shared" si="11"/>
        <v>929014.02895652282</v>
      </c>
      <c r="AT88" s="43">
        <f t="shared" si="11"/>
        <v>845758.37412351882</v>
      </c>
      <c r="AU88" s="43">
        <f t="shared" si="11"/>
        <v>693235.55576885596</v>
      </c>
      <c r="AV88" s="43">
        <f>SUM(AV3:AV86)</f>
        <v>7097901.2807346489</v>
      </c>
    </row>
    <row r="89" spans="1:48" s="369" customFormat="1" outlineLevel="1">
      <c r="A89" s="395" t="s">
        <v>346</v>
      </c>
      <c r="B89" s="396" t="s">
        <v>265</v>
      </c>
      <c r="C89" s="396" t="s">
        <v>65</v>
      </c>
      <c r="D89" s="395"/>
      <c r="E89" s="397"/>
      <c r="F89" s="398"/>
      <c r="G89" s="398"/>
      <c r="H89" s="398"/>
      <c r="I89" s="398"/>
      <c r="J89" s="398"/>
      <c r="K89" s="398"/>
      <c r="L89" s="398"/>
      <c r="M89" s="398"/>
      <c r="N89" s="398"/>
      <c r="O89" s="398"/>
      <c r="P89" s="398"/>
      <c r="Q89" s="398">
        <v>100000</v>
      </c>
      <c r="R89" s="398">
        <f>SUM(F89:Q89)</f>
        <v>100000</v>
      </c>
      <c r="S89" s="398"/>
      <c r="T89" s="397"/>
      <c r="U89" s="397"/>
      <c r="V89" s="397">
        <v>30000</v>
      </c>
      <c r="W89" s="397">
        <v>30000</v>
      </c>
      <c r="X89" s="397">
        <v>30000</v>
      </c>
      <c r="Y89" s="397">
        <v>30000</v>
      </c>
      <c r="Z89" s="397">
        <v>30000</v>
      </c>
      <c r="AA89" s="397">
        <v>30000</v>
      </c>
      <c r="AB89" s="397">
        <v>30000</v>
      </c>
      <c r="AC89" s="397">
        <v>30000</v>
      </c>
      <c r="AD89" s="397">
        <v>30000</v>
      </c>
      <c r="AE89" s="397">
        <v>30000</v>
      </c>
      <c r="AF89" s="397">
        <v>30000</v>
      </c>
      <c r="AG89" s="397">
        <v>30000</v>
      </c>
      <c r="AH89" s="43">
        <f>SUM(V89:AG89)</f>
        <v>360000</v>
      </c>
      <c r="AI89" s="369" t="s">
        <v>347</v>
      </c>
      <c r="AJ89" s="398"/>
      <c r="AK89" s="398"/>
      <c r="AL89" s="398"/>
      <c r="AM89" s="398"/>
      <c r="AN89" s="398"/>
      <c r="AO89" s="398"/>
      <c r="AP89" s="398"/>
      <c r="AQ89" s="398"/>
      <c r="AR89" s="398"/>
      <c r="AS89" s="398"/>
      <c r="AT89" s="398"/>
      <c r="AU89" s="398"/>
      <c r="AV89" s="397"/>
    </row>
    <row r="90" spans="1:48" s="369" customFormat="1" outlineLevel="1">
      <c r="A90" s="395" t="s">
        <v>348</v>
      </c>
      <c r="B90" s="396" t="s">
        <v>295</v>
      </c>
      <c r="C90" s="396" t="s">
        <v>67</v>
      </c>
      <c r="D90" s="395"/>
      <c r="E90" s="397"/>
      <c r="F90" s="398"/>
      <c r="G90" s="398"/>
      <c r="H90" s="398"/>
      <c r="I90" s="398"/>
      <c r="J90" s="398"/>
      <c r="K90" s="398"/>
      <c r="L90" s="398"/>
      <c r="M90" s="398"/>
      <c r="N90" s="398"/>
      <c r="O90" s="398"/>
      <c r="P90" s="398"/>
      <c r="Q90" s="398">
        <v>42000</v>
      </c>
      <c r="R90" s="398">
        <v>42000</v>
      </c>
      <c r="S90" s="398"/>
      <c r="T90" s="397"/>
      <c r="U90" s="397"/>
      <c r="V90" s="398"/>
      <c r="W90" s="398"/>
      <c r="X90" s="398"/>
      <c r="Y90" s="398"/>
      <c r="Z90" s="398">
        <v>50000</v>
      </c>
      <c r="AA90" s="398"/>
      <c r="AB90" s="398"/>
      <c r="AC90" s="398"/>
      <c r="AD90" s="398"/>
      <c r="AE90" s="398"/>
      <c r="AF90" s="398"/>
      <c r="AG90" s="398"/>
      <c r="AH90" s="43">
        <f>SUM(V90:AG90)</f>
        <v>50000</v>
      </c>
      <c r="AJ90" s="398"/>
      <c r="AK90" s="398"/>
      <c r="AL90" s="398"/>
      <c r="AM90" s="398"/>
      <c r="AN90" s="398"/>
      <c r="AO90" s="398"/>
      <c r="AP90" s="398"/>
      <c r="AQ90" s="398"/>
      <c r="AR90" s="398"/>
      <c r="AS90" s="398"/>
      <c r="AT90" s="398"/>
      <c r="AU90" s="398"/>
      <c r="AV90" s="397"/>
    </row>
    <row r="91" spans="1:48" s="369" customFormat="1" outlineLevel="1">
      <c r="A91" s="395" t="s">
        <v>349</v>
      </c>
      <c r="B91" s="396" t="s">
        <v>274</v>
      </c>
      <c r="C91" s="396" t="s">
        <v>66</v>
      </c>
      <c r="D91" s="395"/>
      <c r="E91" s="397"/>
      <c r="F91" s="398"/>
      <c r="G91" s="398"/>
      <c r="H91" s="398"/>
      <c r="I91" s="398"/>
      <c r="J91" s="398"/>
      <c r="K91" s="398"/>
      <c r="L91" s="398"/>
      <c r="M91" s="398"/>
      <c r="N91" s="398"/>
      <c r="O91" s="398"/>
      <c r="P91" s="398"/>
      <c r="Q91" s="398"/>
      <c r="R91" s="398"/>
      <c r="S91" s="398"/>
      <c r="T91" s="397"/>
      <c r="U91" s="397"/>
      <c r="V91" s="398">
        <v>30000</v>
      </c>
      <c r="W91" s="398"/>
      <c r="X91" s="398"/>
      <c r="Y91" s="398">
        <v>10000</v>
      </c>
      <c r="Z91" s="398"/>
      <c r="AA91" s="398"/>
      <c r="AB91" s="398">
        <v>10000</v>
      </c>
      <c r="AC91" s="398"/>
      <c r="AD91" s="398"/>
      <c r="AE91" s="398"/>
      <c r="AF91" s="398">
        <v>20000</v>
      </c>
      <c r="AG91" s="398"/>
      <c r="AH91" s="43">
        <f>SUM(V91:AG91)</f>
        <v>70000</v>
      </c>
      <c r="AJ91" s="398"/>
      <c r="AK91" s="398"/>
      <c r="AL91" s="398"/>
      <c r="AM91" s="398"/>
      <c r="AN91" s="398"/>
      <c r="AO91" s="398"/>
      <c r="AP91" s="398"/>
      <c r="AQ91" s="398"/>
      <c r="AR91" s="398"/>
      <c r="AS91" s="398"/>
      <c r="AT91" s="398"/>
      <c r="AU91" s="398"/>
      <c r="AV91" s="397"/>
    </row>
    <row r="92" spans="1:48" s="369" customFormat="1" outlineLevel="1">
      <c r="A92" s="395" t="s">
        <v>350</v>
      </c>
      <c r="B92" s="396" t="s">
        <v>247</v>
      </c>
      <c r="C92" s="396" t="s">
        <v>65</v>
      </c>
      <c r="D92" s="395"/>
      <c r="E92" s="397"/>
      <c r="F92" s="398"/>
      <c r="G92" s="398"/>
      <c r="H92" s="398"/>
      <c r="I92" s="398"/>
      <c r="J92" s="398"/>
      <c r="K92" s="398"/>
      <c r="L92" s="398"/>
      <c r="M92" s="398"/>
      <c r="N92" s="398"/>
      <c r="O92" s="398"/>
      <c r="P92" s="398"/>
      <c r="Q92" s="398"/>
      <c r="R92" s="398"/>
      <c r="S92" s="398"/>
      <c r="T92" s="397"/>
      <c r="U92" s="397"/>
      <c r="V92" s="398">
        <v>290000</v>
      </c>
      <c r="W92" s="398"/>
      <c r="X92" s="398">
        <v>25000</v>
      </c>
      <c r="Y92" s="398">
        <v>25000</v>
      </c>
      <c r="Z92" s="398">
        <v>25000</v>
      </c>
      <c r="AA92" s="398">
        <v>25000</v>
      </c>
      <c r="AB92" s="398">
        <v>25000</v>
      </c>
      <c r="AC92" s="398">
        <v>25000</v>
      </c>
      <c r="AD92" s="398">
        <v>25000</v>
      </c>
      <c r="AE92" s="398">
        <v>25000</v>
      </c>
      <c r="AF92" s="398">
        <v>25000</v>
      </c>
      <c r="AG92" s="398">
        <v>25000</v>
      </c>
      <c r="AH92" s="43">
        <f>SUM(V92:AG92)</f>
        <v>540000</v>
      </c>
      <c r="AJ92" s="398"/>
      <c r="AK92" s="398"/>
      <c r="AL92" s="398"/>
      <c r="AM92" s="398"/>
      <c r="AN92" s="398"/>
      <c r="AO92" s="398"/>
      <c r="AP92" s="398"/>
      <c r="AQ92" s="398"/>
      <c r="AR92" s="398"/>
      <c r="AS92" s="398"/>
      <c r="AT92" s="398"/>
      <c r="AU92" s="398"/>
      <c r="AV92" s="397"/>
    </row>
    <row r="93" spans="1:48" s="369" customFormat="1" ht="39" outlineLevel="1">
      <c r="A93" s="406" t="s">
        <v>351</v>
      </c>
      <c r="B93" s="396" t="s">
        <v>67</v>
      </c>
      <c r="C93" s="396"/>
      <c r="D93" s="395"/>
      <c r="E93" s="397"/>
      <c r="F93" s="398"/>
      <c r="G93" s="398"/>
      <c r="H93" s="398"/>
      <c r="I93" s="398"/>
      <c r="J93" s="398"/>
      <c r="K93" s="398"/>
      <c r="L93" s="398"/>
      <c r="M93" s="398"/>
      <c r="N93" s="398"/>
      <c r="O93" s="398"/>
      <c r="P93" s="398"/>
      <c r="Q93" s="398"/>
      <c r="R93" s="398"/>
      <c r="S93" s="398"/>
      <c r="T93" s="397"/>
      <c r="U93" s="397"/>
      <c r="V93" s="398">
        <v>15000</v>
      </c>
      <c r="W93" s="398">
        <v>15000</v>
      </c>
      <c r="X93" s="398">
        <v>15000</v>
      </c>
      <c r="Y93" s="398">
        <v>15000</v>
      </c>
      <c r="Z93" s="398">
        <v>15000</v>
      </c>
      <c r="AA93" s="398">
        <v>15000</v>
      </c>
      <c r="AB93" s="398">
        <v>15000</v>
      </c>
      <c r="AC93" s="398">
        <v>15000</v>
      </c>
      <c r="AD93" s="398">
        <v>15000</v>
      </c>
      <c r="AE93" s="398">
        <v>15000</v>
      </c>
      <c r="AF93" s="398">
        <v>15000</v>
      </c>
      <c r="AG93" s="398">
        <v>15000</v>
      </c>
      <c r="AH93" s="43">
        <f>SUM(V93:AG93)</f>
        <v>180000</v>
      </c>
      <c r="AJ93" s="398"/>
      <c r="AK93" s="398"/>
      <c r="AL93" s="398"/>
      <c r="AM93" s="398"/>
      <c r="AN93" s="398"/>
      <c r="AO93" s="398"/>
      <c r="AP93" s="398"/>
      <c r="AQ93" s="398"/>
      <c r="AR93" s="398"/>
      <c r="AS93" s="398"/>
      <c r="AT93" s="398"/>
      <c r="AU93" s="398"/>
      <c r="AV93" s="397"/>
    </row>
    <row r="94" spans="1:48" outlineLevel="1">
      <c r="A94" s="37" t="s">
        <v>352</v>
      </c>
      <c r="B94" s="41" t="s">
        <v>67</v>
      </c>
      <c r="C94" s="41" t="s">
        <v>67</v>
      </c>
      <c r="D94" s="37"/>
      <c r="E94" s="40"/>
      <c r="F94" s="38"/>
      <c r="G94" s="38"/>
      <c r="H94" s="38"/>
      <c r="I94" s="38"/>
      <c r="J94" s="38"/>
      <c r="K94" s="38"/>
      <c r="L94" s="38"/>
      <c r="M94" s="38"/>
      <c r="N94" s="39"/>
      <c r="O94" s="39"/>
      <c r="P94" s="39"/>
      <c r="Q94" s="39"/>
      <c r="R94" s="39"/>
      <c r="S94" s="39"/>
      <c r="T94" s="40">
        <v>53930</v>
      </c>
      <c r="U94" s="40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40"/>
      <c r="AJ94" s="39"/>
      <c r="AK94" s="39"/>
      <c r="AL94" s="39"/>
      <c r="AM94" s="39"/>
      <c r="AN94" s="39"/>
      <c r="AO94" s="39"/>
      <c r="AP94" s="39"/>
      <c r="AQ94" s="39"/>
      <c r="AR94" s="39"/>
      <c r="AS94" s="39"/>
      <c r="AT94" s="39"/>
      <c r="AU94" s="39"/>
      <c r="AV94" s="40"/>
    </row>
    <row r="95" spans="1:48" outlineLevel="1">
      <c r="A95" s="37" t="s">
        <v>353</v>
      </c>
      <c r="B95" s="41" t="s">
        <v>64</v>
      </c>
      <c r="C95" s="41" t="s">
        <v>64</v>
      </c>
      <c r="D95" s="37"/>
      <c r="E95" s="40">
        <v>0</v>
      </c>
      <c r="F95" s="38"/>
      <c r="G95" s="38"/>
      <c r="H95" s="38"/>
      <c r="I95" s="38"/>
      <c r="J95" s="38"/>
      <c r="K95" s="38"/>
      <c r="L95" s="38"/>
      <c r="M95" s="38"/>
      <c r="N95" s="394">
        <v>54176.959431875002</v>
      </c>
      <c r="O95" s="394">
        <v>62498.28188025394</v>
      </c>
      <c r="P95" s="394">
        <v>56365.990360834825</v>
      </c>
      <c r="Q95" s="394">
        <v>45131.745823448509</v>
      </c>
      <c r="R95" s="39">
        <f>SUM(F95:Q95)</f>
        <v>218172.97749641229</v>
      </c>
      <c r="S95" s="39"/>
      <c r="T95" s="39">
        <v>450000</v>
      </c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J95" s="39"/>
      <c r="AK95" s="39"/>
      <c r="AL95" s="39"/>
      <c r="AM95" s="39"/>
      <c r="AN95" s="39"/>
      <c r="AO95" s="39"/>
      <c r="AP95" s="39"/>
      <c r="AQ95" s="39"/>
      <c r="AR95" s="39"/>
      <c r="AS95" s="39"/>
      <c r="AT95" s="39"/>
      <c r="AU95" s="39"/>
      <c r="AV95" s="39"/>
    </row>
    <row r="96" spans="1:48" ht="13" customHeight="1" outlineLevel="1">
      <c r="A96" s="42" t="s">
        <v>354</v>
      </c>
      <c r="D96" s="42"/>
      <c r="F96" s="45">
        <f>SUM(F88:F95)</f>
        <v>664598.43000000028</v>
      </c>
      <c r="G96" s="45">
        <f t="shared" ref="G96:R96" si="12">SUM(G88:G95)</f>
        <v>511858.31</v>
      </c>
      <c r="H96" s="45">
        <f t="shared" si="12"/>
        <v>289271.34999999998</v>
      </c>
      <c r="I96" s="45">
        <f t="shared" si="12"/>
        <v>519227.72</v>
      </c>
      <c r="J96" s="45">
        <f t="shared" si="12"/>
        <v>192719.18</v>
      </c>
      <c r="K96" s="45">
        <f t="shared" si="12"/>
        <v>418370.15999999986</v>
      </c>
      <c r="L96" s="45">
        <f t="shared" si="12"/>
        <v>329766.21000000008</v>
      </c>
      <c r="M96" s="45">
        <f t="shared" si="12"/>
        <v>506223.07999999996</v>
      </c>
      <c r="N96" s="45">
        <f>SUM(N88:N95)</f>
        <v>624492.87793889351</v>
      </c>
      <c r="O96" s="45">
        <f t="shared" si="12"/>
        <v>970215.52195014036</v>
      </c>
      <c r="P96" s="45">
        <f t="shared" si="12"/>
        <v>833944.99960751517</v>
      </c>
      <c r="Q96" s="45">
        <f t="shared" si="12"/>
        <v>906370.61101917736</v>
      </c>
      <c r="R96" s="45">
        <f t="shared" si="12"/>
        <v>6767058.4505157256</v>
      </c>
      <c r="S96" s="39"/>
      <c r="T96" s="45">
        <f>SUM(T88:T94)</f>
        <v>7247060.8120613042</v>
      </c>
      <c r="V96" s="45">
        <f>SUM(V88:V95)</f>
        <v>900901.60000000009</v>
      </c>
      <c r="W96" s="45">
        <f t="shared" ref="W96:AG96" si="13">SUM(W88:W95)</f>
        <v>659171.2699999999</v>
      </c>
      <c r="X96" s="45">
        <f t="shared" si="13"/>
        <v>568984.57999999996</v>
      </c>
      <c r="Y96" s="45">
        <f t="shared" si="13"/>
        <v>604234.6100000001</v>
      </c>
      <c r="Z96" s="45">
        <f t="shared" si="13"/>
        <v>415455.03</v>
      </c>
      <c r="AA96" s="45">
        <f t="shared" si="13"/>
        <v>509245.22</v>
      </c>
      <c r="AB96" s="45">
        <f t="shared" si="13"/>
        <v>371041.14</v>
      </c>
      <c r="AC96" s="45">
        <f t="shared" si="13"/>
        <v>747753.47000000009</v>
      </c>
      <c r="AD96" s="45">
        <f t="shared" si="13"/>
        <v>843601.82930587803</v>
      </c>
      <c r="AE96" s="45">
        <f t="shared" si="13"/>
        <v>982263.11970128957</v>
      </c>
      <c r="AF96" s="45">
        <f t="shared" si="13"/>
        <v>838505.50517326756</v>
      </c>
      <c r="AG96" s="45">
        <f t="shared" si="13"/>
        <v>664358.58759025275</v>
      </c>
      <c r="AH96" s="45">
        <f>SUM(AH88:AH94)</f>
        <v>8105515.9617706873</v>
      </c>
      <c r="AJ96" s="45">
        <f>SUM(AJ88:AJ95)</f>
        <v>705259.4700000002</v>
      </c>
      <c r="AK96" s="45">
        <f t="shared" ref="AK96:AU96" si="14">SUM(AK88:AK95)</f>
        <v>510494.70999999996</v>
      </c>
      <c r="AL96" s="45">
        <f t="shared" si="14"/>
        <v>359888.45999999996</v>
      </c>
      <c r="AM96" s="45">
        <f t="shared" si="14"/>
        <v>551040.16999999993</v>
      </c>
      <c r="AN96" s="45">
        <f t="shared" si="14"/>
        <v>238488.67</v>
      </c>
      <c r="AO96" s="45">
        <f t="shared" si="14"/>
        <v>483575.66999999993</v>
      </c>
      <c r="AP96" s="45">
        <f t="shared" si="14"/>
        <v>398977.9200000001</v>
      </c>
      <c r="AQ96" s="45">
        <f t="shared" si="14"/>
        <v>566129.47</v>
      </c>
      <c r="AR96" s="45">
        <f t="shared" si="14"/>
        <v>816038.78188575211</v>
      </c>
      <c r="AS96" s="45">
        <f t="shared" si="14"/>
        <v>929014.02895652282</v>
      </c>
      <c r="AT96" s="45">
        <f t="shared" si="14"/>
        <v>845758.37412351882</v>
      </c>
      <c r="AU96" s="45">
        <f t="shared" si="14"/>
        <v>693235.55576885596</v>
      </c>
      <c r="AV96" s="45">
        <f>SUM(AV88:AV94)</f>
        <v>7097901.2807346489</v>
      </c>
    </row>
    <row r="97" spans="1:47">
      <c r="A97" s="181" t="s">
        <v>355</v>
      </c>
      <c r="S97" s="39"/>
    </row>
    <row r="98" spans="1:47">
      <c r="A98" s="13" t="s">
        <v>356</v>
      </c>
      <c r="N98" s="139">
        <f>N89/N88</f>
        <v>0</v>
      </c>
      <c r="O98" s="139">
        <f>O89/O88</f>
        <v>0</v>
      </c>
      <c r="P98" s="139">
        <f>P89/P88</f>
        <v>0</v>
      </c>
      <c r="Q98" s="139">
        <f>Q89/Q88</f>
        <v>0.13903586810869387</v>
      </c>
      <c r="S98" s="39"/>
    </row>
    <row r="100" spans="1:47" outlineLevel="1">
      <c r="A100" s="161" t="s">
        <v>357</v>
      </c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15"/>
    </row>
    <row r="101" spans="1:47" outlineLevel="1">
      <c r="A101" s="50">
        <v>0.03</v>
      </c>
      <c r="B101" s="50"/>
      <c r="C101" s="50"/>
      <c r="D101" s="50"/>
      <c r="E101" s="50"/>
      <c r="F101" s="168">
        <v>0</v>
      </c>
      <c r="G101" s="168">
        <v>0</v>
      </c>
      <c r="H101" s="168">
        <v>0</v>
      </c>
      <c r="I101" s="168">
        <v>0</v>
      </c>
      <c r="J101" s="168">
        <v>5512.4795999999997</v>
      </c>
      <c r="K101" s="168">
        <v>6313.7589368580839</v>
      </c>
      <c r="L101" s="168">
        <v>6949.6414935991588</v>
      </c>
      <c r="M101" s="168">
        <v>8181.0481421153772</v>
      </c>
      <c r="N101" s="168">
        <v>9869.401552018955</v>
      </c>
      <c r="O101" s="168">
        <v>11471.362771272521</v>
      </c>
      <c r="P101" s="168">
        <v>10811.309613098732</v>
      </c>
      <c r="Q101" s="168">
        <v>8872.3977116687383</v>
      </c>
      <c r="R101" s="15"/>
    </row>
    <row r="102" spans="1:47" outlineLevel="1">
      <c r="A102" s="106">
        <v>5.0000000000000001E-3</v>
      </c>
      <c r="B102" s="106"/>
      <c r="C102" s="106"/>
      <c r="D102" s="106"/>
      <c r="E102" s="106"/>
      <c r="F102" s="168">
        <v>0</v>
      </c>
      <c r="G102" s="168">
        <v>0</v>
      </c>
      <c r="H102" s="168">
        <v>0</v>
      </c>
      <c r="I102" s="168">
        <v>0</v>
      </c>
      <c r="J102" s="168">
        <v>2042.9932000000003</v>
      </c>
      <c r="K102" s="168">
        <v>1673.5302791335394</v>
      </c>
      <c r="L102" s="168">
        <v>1882.7805373754243</v>
      </c>
      <c r="M102" s="168">
        <v>2235.7427472393169</v>
      </c>
      <c r="N102" s="168">
        <v>2705.0333245680235</v>
      </c>
      <c r="O102" s="168">
        <v>3120.5135354064632</v>
      </c>
      <c r="P102" s="168">
        <v>2814.3307394366502</v>
      </c>
      <c r="Q102" s="168">
        <v>2253.4095255359512</v>
      </c>
      <c r="R102" s="15"/>
    </row>
    <row r="103" spans="1:47" outlineLevel="1">
      <c r="A103" s="106"/>
      <c r="B103" s="106"/>
      <c r="C103" s="106"/>
      <c r="D103" s="106"/>
      <c r="E103" s="106"/>
      <c r="F103" s="104"/>
      <c r="G103" s="104"/>
      <c r="H103" s="104"/>
      <c r="I103" s="104"/>
      <c r="J103" s="104"/>
      <c r="K103" s="104"/>
      <c r="L103" s="104"/>
      <c r="M103" s="104"/>
      <c r="N103" s="104"/>
      <c r="O103" s="104"/>
      <c r="P103" s="104"/>
      <c r="Q103" s="104"/>
      <c r="R103" s="15"/>
    </row>
    <row r="104" spans="1:47" outlineLevel="1">
      <c r="B104" s="11"/>
      <c r="C104" s="11"/>
      <c r="D104" s="11"/>
      <c r="E104" s="11"/>
      <c r="F104" s="105"/>
      <c r="G104" s="105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5"/>
    </row>
    <row r="105" spans="1:47" s="162" customFormat="1" outlineLevel="1">
      <c r="A105" s="161" t="s">
        <v>128</v>
      </c>
      <c r="B105" s="162" t="s">
        <v>64</v>
      </c>
      <c r="C105" s="162" t="s">
        <v>64</v>
      </c>
      <c r="F105" s="163">
        <v>98521.72</v>
      </c>
      <c r="G105" s="163">
        <v>74865.22</v>
      </c>
      <c r="H105" s="163">
        <v>66008.489999999991</v>
      </c>
      <c r="I105" s="163">
        <v>111327.58558211604</v>
      </c>
      <c r="J105" s="163">
        <v>95699.999999999985</v>
      </c>
      <c r="K105" s="163">
        <v>85799.999999999985</v>
      </c>
      <c r="L105" s="163">
        <v>99751.70740622899</v>
      </c>
      <c r="M105" s="163">
        <v>103982.07158661234</v>
      </c>
      <c r="N105" s="163">
        <v>106311.07626965706</v>
      </c>
      <c r="O105" s="163">
        <v>138240.48843425338</v>
      </c>
      <c r="P105" s="163">
        <v>148025.61702854448</v>
      </c>
      <c r="Q105" s="163">
        <v>126575.6170285445</v>
      </c>
      <c r="V105" s="169">
        <v>98521.72</v>
      </c>
      <c r="W105" s="169">
        <v>74865.22</v>
      </c>
      <c r="X105" s="169">
        <v>66008.489999999991</v>
      </c>
      <c r="Y105" s="169">
        <v>111327.58558211604</v>
      </c>
      <c r="Z105" s="169">
        <v>95699.999999999985</v>
      </c>
      <c r="AA105" s="169">
        <v>85799.999999999985</v>
      </c>
      <c r="AB105" s="169">
        <v>99751.70740622899</v>
      </c>
      <c r="AC105" s="169">
        <v>103982.07158661234</v>
      </c>
      <c r="AD105" s="169">
        <v>106311.07626965706</v>
      </c>
      <c r="AE105" s="169">
        <v>138240.48843425338</v>
      </c>
      <c r="AF105" s="169">
        <v>148025.61702854448</v>
      </c>
      <c r="AG105" s="169">
        <v>126575.6170285445</v>
      </c>
      <c r="AH105" s="169"/>
      <c r="AI105" s="169"/>
      <c r="AJ105" s="169">
        <v>98521.72</v>
      </c>
      <c r="AK105" s="169">
        <v>74865.22</v>
      </c>
      <c r="AL105" s="169">
        <v>66008.489999999991</v>
      </c>
      <c r="AM105" s="169">
        <v>111327.58558211604</v>
      </c>
      <c r="AN105" s="169">
        <v>95699.999999999985</v>
      </c>
      <c r="AO105" s="169">
        <v>85799.999999999985</v>
      </c>
      <c r="AP105" s="169">
        <v>99751.70740622899</v>
      </c>
      <c r="AQ105" s="169">
        <v>103982.07158661234</v>
      </c>
      <c r="AR105" s="169">
        <v>106311.07626965706</v>
      </c>
      <c r="AS105" s="169">
        <v>138240.48843425338</v>
      </c>
      <c r="AT105" s="169">
        <v>148025.61702854448</v>
      </c>
      <c r="AU105" s="169">
        <v>126575.6170285445</v>
      </c>
    </row>
    <row r="106" spans="1:47" s="162" customFormat="1" outlineLevel="1">
      <c r="A106" s="161" t="s">
        <v>128</v>
      </c>
      <c r="B106" s="162" t="s">
        <v>73</v>
      </c>
      <c r="C106" s="162" t="s">
        <v>65</v>
      </c>
      <c r="F106" s="163"/>
      <c r="G106" s="163">
        <v>20000</v>
      </c>
      <c r="H106" s="163"/>
      <c r="I106" s="163">
        <v>4444.4444444444443</v>
      </c>
      <c r="J106" s="163">
        <v>4444.4444444444443</v>
      </c>
      <c r="K106" s="163">
        <v>4444.4444444444443</v>
      </c>
      <c r="L106" s="163">
        <v>4444.4444444444443</v>
      </c>
      <c r="M106" s="163">
        <v>4444.4444444444443</v>
      </c>
      <c r="N106" s="163">
        <v>4444.4444444444443</v>
      </c>
      <c r="O106" s="163">
        <v>4444.4444444444443</v>
      </c>
      <c r="P106" s="163">
        <v>4444.4444444444443</v>
      </c>
      <c r="Q106" s="163">
        <v>4444.4444444444443</v>
      </c>
      <c r="R106" s="162" t="s">
        <v>358</v>
      </c>
      <c r="V106" s="169"/>
      <c r="W106" s="169">
        <v>20000</v>
      </c>
      <c r="X106" s="169"/>
      <c r="Y106" s="169">
        <v>4444.4444444444443</v>
      </c>
      <c r="Z106" s="169">
        <v>4444.4444444444443</v>
      </c>
      <c r="AA106" s="169">
        <v>4444.4444444444443</v>
      </c>
      <c r="AB106" s="169">
        <v>4444.4444444444443</v>
      </c>
      <c r="AC106" s="169">
        <v>4444.4444444444443</v>
      </c>
      <c r="AD106" s="169">
        <v>4444.4444444444443</v>
      </c>
      <c r="AE106" s="169">
        <v>4444.4444444444443</v>
      </c>
      <c r="AF106" s="169">
        <v>4444.4444444444443</v>
      </c>
      <c r="AG106" s="169">
        <v>4444.4444444444443</v>
      </c>
      <c r="AH106" s="169"/>
      <c r="AI106" s="169"/>
      <c r="AJ106" s="169"/>
      <c r="AK106" s="169">
        <v>20000</v>
      </c>
      <c r="AL106" s="169"/>
      <c r="AM106" s="169">
        <v>4444.4444444444443</v>
      </c>
      <c r="AN106" s="169">
        <v>4444.4444444444443</v>
      </c>
      <c r="AO106" s="169">
        <v>4444.4444444444443</v>
      </c>
      <c r="AP106" s="169">
        <v>4444.4444444444443</v>
      </c>
      <c r="AQ106" s="169">
        <v>4444.4444444444443</v>
      </c>
      <c r="AR106" s="169">
        <v>4444.4444444444443</v>
      </c>
      <c r="AS106" s="169">
        <v>4444.4444444444443</v>
      </c>
      <c r="AT106" s="169">
        <v>4444.4444444444443</v>
      </c>
      <c r="AU106" s="169">
        <v>4444.4444444444443</v>
      </c>
    </row>
    <row r="107" spans="1:47" s="162" customFormat="1" outlineLevel="1">
      <c r="A107" s="161" t="s">
        <v>128</v>
      </c>
      <c r="B107" s="162" t="s">
        <v>69</v>
      </c>
      <c r="C107" s="162" t="s">
        <v>65</v>
      </c>
      <c r="F107" s="163">
        <v>20000</v>
      </c>
      <c r="G107" s="163"/>
      <c r="H107" s="163"/>
      <c r="I107" s="163"/>
      <c r="J107" s="163"/>
      <c r="K107" s="163"/>
      <c r="L107" s="163"/>
      <c r="M107" s="163"/>
      <c r="N107" s="163"/>
      <c r="O107" s="163"/>
      <c r="P107" s="163"/>
      <c r="Q107" s="163"/>
      <c r="R107" s="162" t="s">
        <v>359</v>
      </c>
      <c r="V107" s="169">
        <v>20000</v>
      </c>
      <c r="W107" s="169"/>
      <c r="X107" s="169"/>
      <c r="Y107" s="169"/>
      <c r="Z107" s="169"/>
      <c r="AA107" s="169"/>
      <c r="AB107" s="169"/>
      <c r="AC107" s="169"/>
      <c r="AD107" s="169"/>
      <c r="AE107" s="169"/>
      <c r="AF107" s="169"/>
      <c r="AG107" s="169"/>
      <c r="AH107" s="169"/>
      <c r="AI107" s="169"/>
      <c r="AJ107" s="169">
        <v>20000</v>
      </c>
      <c r="AK107" s="169"/>
      <c r="AL107" s="169"/>
      <c r="AM107" s="169"/>
      <c r="AN107" s="169"/>
      <c r="AO107" s="169"/>
      <c r="AP107" s="169"/>
      <c r="AQ107" s="169"/>
      <c r="AR107" s="169"/>
      <c r="AS107" s="169"/>
      <c r="AT107" s="169"/>
      <c r="AU107" s="169"/>
    </row>
    <row r="108" spans="1:47" s="162" customFormat="1" ht="13" outlineLevel="1" thickBot="1">
      <c r="F108" s="164">
        <f>SUM(F105:F107)</f>
        <v>118521.72</v>
      </c>
      <c r="G108" s="164">
        <f t="shared" ref="G108:Q108" si="15">SUM(G105:G107)</f>
        <v>94865.22</v>
      </c>
      <c r="H108" s="164">
        <f t="shared" si="15"/>
        <v>66008.489999999991</v>
      </c>
      <c r="I108" s="164">
        <f t="shared" si="15"/>
        <v>115772.03002656047</v>
      </c>
      <c r="J108" s="164">
        <f t="shared" si="15"/>
        <v>100144.44444444442</v>
      </c>
      <c r="K108" s="164">
        <f t="shared" si="15"/>
        <v>90244.444444444423</v>
      </c>
      <c r="L108" s="164">
        <f t="shared" si="15"/>
        <v>104196.15185067343</v>
      </c>
      <c r="M108" s="164">
        <f t="shared" si="15"/>
        <v>108426.51603105677</v>
      </c>
      <c r="N108" s="164">
        <f t="shared" si="15"/>
        <v>110755.5207141015</v>
      </c>
      <c r="O108" s="164">
        <f t="shared" si="15"/>
        <v>142684.93287869781</v>
      </c>
      <c r="P108" s="164">
        <f t="shared" si="15"/>
        <v>152470.06147298892</v>
      </c>
      <c r="Q108" s="164">
        <f t="shared" si="15"/>
        <v>131020.06147298893</v>
      </c>
      <c r="V108" s="169">
        <v>118521.72</v>
      </c>
      <c r="W108" s="169">
        <v>94865.22</v>
      </c>
      <c r="X108" s="169">
        <v>66008.489999999991</v>
      </c>
      <c r="Y108" s="169">
        <v>115772.03002656047</v>
      </c>
      <c r="Z108" s="169">
        <v>100144.44444444442</v>
      </c>
      <c r="AA108" s="169">
        <v>90244.444444444423</v>
      </c>
      <c r="AB108" s="169">
        <v>104196.15185067343</v>
      </c>
      <c r="AC108" s="169">
        <v>108426.51603105677</v>
      </c>
      <c r="AD108" s="169">
        <v>110755.5207141015</v>
      </c>
      <c r="AE108" s="169">
        <v>142684.93287869781</v>
      </c>
      <c r="AF108" s="169">
        <v>152470.06147298892</v>
      </c>
      <c r="AG108" s="169">
        <v>131020.06147298893</v>
      </c>
      <c r="AH108" s="169"/>
      <c r="AI108" s="169"/>
      <c r="AJ108" s="169">
        <v>118521.72</v>
      </c>
      <c r="AK108" s="169">
        <v>94865.22</v>
      </c>
      <c r="AL108" s="169">
        <v>66008.489999999991</v>
      </c>
      <c r="AM108" s="169">
        <v>115772.03002656047</v>
      </c>
      <c r="AN108" s="169">
        <v>100144.44444444442</v>
      </c>
      <c r="AO108" s="169">
        <v>90244.444444444423</v>
      </c>
      <c r="AP108" s="169">
        <v>104196.15185067343</v>
      </c>
      <c r="AQ108" s="169">
        <v>108426.51603105677</v>
      </c>
      <c r="AR108" s="169">
        <v>110755.5207141015</v>
      </c>
      <c r="AS108" s="169">
        <v>142684.93287869781</v>
      </c>
      <c r="AT108" s="169">
        <v>152470.06147298892</v>
      </c>
      <c r="AU108" s="169">
        <v>131020.06147298893</v>
      </c>
    </row>
    <row r="109" spans="1:47" s="162" customFormat="1" ht="13" outlineLevel="1" thickTop="1">
      <c r="B109" s="161"/>
      <c r="C109" s="161"/>
      <c r="D109" s="161"/>
      <c r="E109" s="161"/>
      <c r="F109" s="165"/>
      <c r="G109" s="165"/>
      <c r="H109" s="165"/>
      <c r="I109" s="165"/>
      <c r="J109" s="165"/>
      <c r="K109" s="165"/>
      <c r="L109" s="165"/>
      <c r="M109" s="165"/>
      <c r="N109" s="165"/>
      <c r="O109" s="165"/>
      <c r="P109" s="165"/>
      <c r="Q109" s="165"/>
      <c r="V109" s="169"/>
      <c r="W109" s="169"/>
      <c r="X109" s="169"/>
      <c r="Y109" s="169"/>
      <c r="Z109" s="169"/>
      <c r="AA109" s="169"/>
      <c r="AB109" s="169"/>
      <c r="AC109" s="169"/>
      <c r="AD109" s="169"/>
      <c r="AE109" s="169"/>
      <c r="AF109" s="169"/>
      <c r="AG109" s="169"/>
      <c r="AH109" s="169"/>
      <c r="AI109" s="169"/>
      <c r="AJ109" s="169"/>
      <c r="AK109" s="169"/>
      <c r="AL109" s="169"/>
      <c r="AM109" s="169"/>
      <c r="AN109" s="169"/>
      <c r="AO109" s="169"/>
      <c r="AP109" s="169"/>
      <c r="AQ109" s="169"/>
      <c r="AR109" s="169"/>
      <c r="AS109" s="169"/>
      <c r="AT109" s="169"/>
      <c r="AU109" s="169"/>
    </row>
    <row r="110" spans="1:47" s="162" customFormat="1" outlineLevel="1">
      <c r="A110" s="161" t="s">
        <v>127</v>
      </c>
      <c r="B110" s="162" t="s">
        <v>64</v>
      </c>
      <c r="C110" s="162" t="s">
        <v>64</v>
      </c>
      <c r="F110" s="163">
        <v>29117</v>
      </c>
      <c r="G110" s="163">
        <v>29117</v>
      </c>
      <c r="H110" s="163">
        <v>29117</v>
      </c>
      <c r="I110" s="163">
        <v>29117</v>
      </c>
      <c r="J110" s="163">
        <v>29117</v>
      </c>
      <c r="K110" s="163">
        <v>29117</v>
      </c>
      <c r="L110" s="163">
        <v>29117</v>
      </c>
      <c r="M110" s="163">
        <v>29117</v>
      </c>
      <c r="N110" s="163">
        <v>29117</v>
      </c>
      <c r="O110" s="163">
        <v>29117</v>
      </c>
      <c r="P110" s="163">
        <v>29117</v>
      </c>
      <c r="Q110" s="163">
        <v>29117</v>
      </c>
      <c r="V110" s="169">
        <v>29117</v>
      </c>
      <c r="W110" s="169">
        <v>29117</v>
      </c>
      <c r="X110" s="169">
        <v>29117</v>
      </c>
      <c r="Y110" s="169">
        <v>29117</v>
      </c>
      <c r="Z110" s="169">
        <v>29117</v>
      </c>
      <c r="AA110" s="169">
        <v>29117</v>
      </c>
      <c r="AB110" s="169">
        <v>29117</v>
      </c>
      <c r="AC110" s="169">
        <v>29117</v>
      </c>
      <c r="AD110" s="169">
        <v>29117</v>
      </c>
      <c r="AE110" s="169">
        <v>29117</v>
      </c>
      <c r="AF110" s="169">
        <v>29117</v>
      </c>
      <c r="AG110" s="169">
        <v>29117</v>
      </c>
      <c r="AH110" s="169"/>
      <c r="AI110" s="169"/>
      <c r="AJ110" s="169">
        <v>29117</v>
      </c>
      <c r="AK110" s="169">
        <v>29117</v>
      </c>
      <c r="AL110" s="169">
        <v>29117</v>
      </c>
      <c r="AM110" s="169">
        <v>29117</v>
      </c>
      <c r="AN110" s="169">
        <v>29117</v>
      </c>
      <c r="AO110" s="169">
        <v>29117</v>
      </c>
      <c r="AP110" s="169">
        <v>29117</v>
      </c>
      <c r="AQ110" s="169">
        <v>29117</v>
      </c>
      <c r="AR110" s="169">
        <v>29117</v>
      </c>
      <c r="AS110" s="169">
        <v>29117</v>
      </c>
      <c r="AT110" s="169">
        <v>29117</v>
      </c>
      <c r="AU110" s="169">
        <v>29117</v>
      </c>
    </row>
    <row r="111" spans="1:47" s="162" customFormat="1" outlineLevel="1">
      <c r="A111" s="161" t="s">
        <v>127</v>
      </c>
      <c r="B111" s="162" t="s">
        <v>73</v>
      </c>
      <c r="C111" s="162" t="s">
        <v>65</v>
      </c>
      <c r="F111" s="163">
        <v>4000</v>
      </c>
      <c r="G111" s="163">
        <v>4000</v>
      </c>
      <c r="H111" s="163">
        <v>4000</v>
      </c>
      <c r="I111" s="163">
        <v>4000</v>
      </c>
      <c r="J111" s="163">
        <v>4000</v>
      </c>
      <c r="K111" s="163">
        <v>4000</v>
      </c>
      <c r="L111" s="163">
        <v>4000</v>
      </c>
      <c r="M111" s="163">
        <v>4000</v>
      </c>
      <c r="N111" s="163">
        <v>4000</v>
      </c>
      <c r="O111" s="163">
        <v>4000</v>
      </c>
      <c r="P111" s="163">
        <v>4000</v>
      </c>
      <c r="Q111" s="163">
        <v>4000</v>
      </c>
      <c r="R111" s="162" t="s">
        <v>360</v>
      </c>
      <c r="V111" s="169">
        <v>4000</v>
      </c>
      <c r="W111" s="169">
        <v>4000</v>
      </c>
      <c r="X111" s="169">
        <v>4000</v>
      </c>
      <c r="Y111" s="169">
        <v>4000</v>
      </c>
      <c r="Z111" s="169">
        <v>4000</v>
      </c>
      <c r="AA111" s="169">
        <v>4000</v>
      </c>
      <c r="AB111" s="169">
        <v>4000</v>
      </c>
      <c r="AC111" s="169">
        <v>4000</v>
      </c>
      <c r="AD111" s="169">
        <v>4000</v>
      </c>
      <c r="AE111" s="169">
        <v>4000</v>
      </c>
      <c r="AF111" s="169">
        <v>4000</v>
      </c>
      <c r="AG111" s="169">
        <v>4000</v>
      </c>
      <c r="AH111" s="169"/>
      <c r="AI111" s="169"/>
      <c r="AJ111" s="169">
        <v>4000</v>
      </c>
      <c r="AK111" s="169">
        <v>4000</v>
      </c>
      <c r="AL111" s="169">
        <v>4000</v>
      </c>
      <c r="AM111" s="169">
        <v>4000</v>
      </c>
      <c r="AN111" s="169">
        <v>4000</v>
      </c>
      <c r="AO111" s="169">
        <v>4000</v>
      </c>
      <c r="AP111" s="169">
        <v>4000</v>
      </c>
      <c r="AQ111" s="169">
        <v>4000</v>
      </c>
      <c r="AR111" s="169">
        <v>4000</v>
      </c>
      <c r="AS111" s="169">
        <v>4000</v>
      </c>
      <c r="AT111" s="169">
        <v>4000</v>
      </c>
      <c r="AU111" s="169">
        <v>4000</v>
      </c>
    </row>
    <row r="112" spans="1:47" s="162" customFormat="1" outlineLevel="1">
      <c r="A112" s="161" t="s">
        <v>127</v>
      </c>
      <c r="B112" s="162" t="s">
        <v>69</v>
      </c>
      <c r="C112" s="162" t="s">
        <v>65</v>
      </c>
      <c r="F112" s="163">
        <v>1000</v>
      </c>
      <c r="G112" s="163">
        <v>1000</v>
      </c>
      <c r="H112" s="163">
        <v>1000</v>
      </c>
      <c r="I112" s="163">
        <v>1000</v>
      </c>
      <c r="J112" s="163">
        <v>1000</v>
      </c>
      <c r="K112" s="163">
        <v>1000</v>
      </c>
      <c r="L112" s="163">
        <v>1000</v>
      </c>
      <c r="M112" s="163">
        <v>1000</v>
      </c>
      <c r="N112" s="163">
        <v>1000</v>
      </c>
      <c r="O112" s="163">
        <v>1000</v>
      </c>
      <c r="P112" s="163">
        <v>1000</v>
      </c>
      <c r="Q112" s="163">
        <v>1000</v>
      </c>
      <c r="V112" s="169">
        <v>1000</v>
      </c>
      <c r="W112" s="169">
        <v>1000</v>
      </c>
      <c r="X112" s="169">
        <v>1000</v>
      </c>
      <c r="Y112" s="169">
        <v>1000</v>
      </c>
      <c r="Z112" s="169">
        <v>1000</v>
      </c>
      <c r="AA112" s="169">
        <v>1000</v>
      </c>
      <c r="AB112" s="169">
        <v>1000</v>
      </c>
      <c r="AC112" s="169">
        <v>1000</v>
      </c>
      <c r="AD112" s="169">
        <v>1000</v>
      </c>
      <c r="AE112" s="169">
        <v>1000</v>
      </c>
      <c r="AF112" s="169">
        <v>1000</v>
      </c>
      <c r="AG112" s="169">
        <v>1000</v>
      </c>
      <c r="AH112" s="169"/>
      <c r="AI112" s="169"/>
      <c r="AJ112" s="169">
        <v>1000</v>
      </c>
      <c r="AK112" s="169">
        <v>1000</v>
      </c>
      <c r="AL112" s="169">
        <v>1000</v>
      </c>
      <c r="AM112" s="169">
        <v>1000</v>
      </c>
      <c r="AN112" s="169">
        <v>1000</v>
      </c>
      <c r="AO112" s="169">
        <v>1000</v>
      </c>
      <c r="AP112" s="169">
        <v>1000</v>
      </c>
      <c r="AQ112" s="169">
        <v>1000</v>
      </c>
      <c r="AR112" s="169">
        <v>1000</v>
      </c>
      <c r="AS112" s="169">
        <v>1000</v>
      </c>
      <c r="AT112" s="169">
        <v>1000</v>
      </c>
      <c r="AU112" s="169">
        <v>1000</v>
      </c>
    </row>
    <row r="113" spans="1:47" s="162" customFormat="1" outlineLevel="1">
      <c r="A113" s="161" t="s">
        <v>127</v>
      </c>
      <c r="B113" s="162" t="s">
        <v>72</v>
      </c>
      <c r="C113" s="162" t="s">
        <v>66</v>
      </c>
      <c r="F113" s="163"/>
      <c r="G113" s="163"/>
      <c r="H113" s="163"/>
      <c r="I113" s="163"/>
      <c r="J113" s="163"/>
      <c r="K113" s="163"/>
      <c r="L113" s="163"/>
      <c r="M113" s="163"/>
      <c r="N113" s="163">
        <v>3333.3333333333335</v>
      </c>
      <c r="O113" s="163">
        <v>3333.3333333333335</v>
      </c>
      <c r="P113" s="163">
        <v>3333.3333333333335</v>
      </c>
      <c r="Q113" s="163"/>
      <c r="R113" s="162" t="s">
        <v>361</v>
      </c>
      <c r="V113" s="169"/>
      <c r="W113" s="169"/>
      <c r="X113" s="169"/>
      <c r="Y113" s="169"/>
      <c r="Z113" s="169"/>
      <c r="AA113" s="169"/>
      <c r="AB113" s="169"/>
      <c r="AC113" s="169"/>
      <c r="AD113" s="169">
        <v>3333.3333333333335</v>
      </c>
      <c r="AE113" s="169">
        <v>3333.3333333333335</v>
      </c>
      <c r="AF113" s="169">
        <v>3333.3333333333335</v>
      </c>
      <c r="AG113" s="169"/>
      <c r="AH113" s="169"/>
      <c r="AI113" s="169"/>
      <c r="AJ113" s="169"/>
      <c r="AK113" s="169"/>
      <c r="AL113" s="169"/>
      <c r="AM113" s="169"/>
      <c r="AN113" s="169"/>
      <c r="AO113" s="169"/>
      <c r="AP113" s="169"/>
      <c r="AQ113" s="169"/>
      <c r="AR113" s="169">
        <v>3333.3333333333335</v>
      </c>
      <c r="AS113" s="169">
        <v>3333.3333333333335</v>
      </c>
      <c r="AT113" s="169">
        <v>3333.3333333333335</v>
      </c>
      <c r="AU113" s="169"/>
    </row>
    <row r="114" spans="1:47" s="162" customFormat="1" outlineLevel="1">
      <c r="A114" s="161" t="s">
        <v>127</v>
      </c>
      <c r="B114" s="162" t="s">
        <v>70</v>
      </c>
      <c r="C114" s="162" t="s">
        <v>66</v>
      </c>
      <c r="F114" s="163"/>
      <c r="G114" s="163"/>
      <c r="H114" s="163"/>
      <c r="I114" s="163"/>
      <c r="J114" s="163"/>
      <c r="K114" s="163"/>
      <c r="L114" s="163"/>
      <c r="M114" s="163">
        <v>4000</v>
      </c>
      <c r="N114" s="163">
        <v>4000</v>
      </c>
      <c r="O114" s="163">
        <v>4000</v>
      </c>
      <c r="P114" s="163"/>
      <c r="Q114" s="163"/>
      <c r="R114" s="162" t="s">
        <v>362</v>
      </c>
      <c r="V114" s="169"/>
      <c r="W114" s="169"/>
      <c r="X114" s="169"/>
      <c r="Y114" s="169"/>
      <c r="Z114" s="169"/>
      <c r="AA114" s="169"/>
      <c r="AB114" s="169"/>
      <c r="AC114" s="169">
        <v>4000</v>
      </c>
      <c r="AD114" s="169">
        <v>4000</v>
      </c>
      <c r="AE114" s="169">
        <v>4000</v>
      </c>
      <c r="AF114" s="169"/>
      <c r="AG114" s="169"/>
      <c r="AH114" s="169"/>
      <c r="AI114" s="169"/>
      <c r="AJ114" s="169"/>
      <c r="AK114" s="169"/>
      <c r="AL114" s="169"/>
      <c r="AM114" s="169"/>
      <c r="AN114" s="169"/>
      <c r="AO114" s="169"/>
      <c r="AP114" s="169"/>
      <c r="AQ114" s="169">
        <v>4000</v>
      </c>
      <c r="AR114" s="169">
        <v>4000</v>
      </c>
      <c r="AS114" s="169">
        <v>4000</v>
      </c>
      <c r="AT114" s="169"/>
      <c r="AU114" s="169"/>
    </row>
    <row r="115" spans="1:47" s="162" customFormat="1" outlineLevel="1">
      <c r="A115" s="161" t="s">
        <v>127</v>
      </c>
      <c r="B115" s="162" t="s">
        <v>68</v>
      </c>
      <c r="C115" s="162" t="s">
        <v>66</v>
      </c>
      <c r="F115" s="163"/>
      <c r="G115" s="163"/>
      <c r="H115" s="163"/>
      <c r="I115" s="163"/>
      <c r="J115" s="163"/>
      <c r="K115" s="163"/>
      <c r="L115" s="163"/>
      <c r="M115" s="163">
        <v>4000</v>
      </c>
      <c r="N115" s="163">
        <v>4000</v>
      </c>
      <c r="O115" s="163">
        <v>4000</v>
      </c>
      <c r="P115" s="163"/>
      <c r="Q115" s="163"/>
      <c r="R115" s="162" t="s">
        <v>363</v>
      </c>
      <c r="V115" s="169"/>
      <c r="W115" s="169"/>
      <c r="X115" s="169"/>
      <c r="Y115" s="169"/>
      <c r="Z115" s="169"/>
      <c r="AA115" s="169"/>
      <c r="AB115" s="169"/>
      <c r="AC115" s="169">
        <v>4000</v>
      </c>
      <c r="AD115" s="169">
        <v>4000</v>
      </c>
      <c r="AE115" s="169">
        <v>4000</v>
      </c>
      <c r="AF115" s="169"/>
      <c r="AG115" s="169"/>
      <c r="AH115" s="169"/>
      <c r="AI115" s="169"/>
      <c r="AJ115" s="169"/>
      <c r="AK115" s="169"/>
      <c r="AL115" s="169"/>
      <c r="AM115" s="169"/>
      <c r="AN115" s="169"/>
      <c r="AO115" s="169"/>
      <c r="AP115" s="169"/>
      <c r="AQ115" s="169">
        <v>4000</v>
      </c>
      <c r="AR115" s="169">
        <v>4000</v>
      </c>
      <c r="AS115" s="169">
        <v>4000</v>
      </c>
      <c r="AT115" s="169"/>
      <c r="AU115" s="169"/>
    </row>
    <row r="116" spans="1:47" s="162" customFormat="1" ht="13" outlineLevel="1" thickBot="1">
      <c r="F116" s="164">
        <f t="shared" ref="F116:Q116" si="16">SUM(F110:F115)</f>
        <v>34117</v>
      </c>
      <c r="G116" s="164">
        <f t="shared" si="16"/>
        <v>34117</v>
      </c>
      <c r="H116" s="164">
        <f t="shared" si="16"/>
        <v>34117</v>
      </c>
      <c r="I116" s="164">
        <f t="shared" si="16"/>
        <v>34117</v>
      </c>
      <c r="J116" s="164">
        <f t="shared" si="16"/>
        <v>34117</v>
      </c>
      <c r="K116" s="164">
        <f t="shared" si="16"/>
        <v>34117</v>
      </c>
      <c r="L116" s="164">
        <f t="shared" si="16"/>
        <v>34117</v>
      </c>
      <c r="M116" s="164">
        <f t="shared" si="16"/>
        <v>42117</v>
      </c>
      <c r="N116" s="164">
        <f t="shared" si="16"/>
        <v>45450.333333333336</v>
      </c>
      <c r="O116" s="164">
        <f t="shared" si="16"/>
        <v>45450.333333333336</v>
      </c>
      <c r="P116" s="164">
        <f t="shared" si="16"/>
        <v>37450.333333333336</v>
      </c>
      <c r="Q116" s="164">
        <f t="shared" si="16"/>
        <v>34117</v>
      </c>
      <c r="R116" s="163"/>
      <c r="V116" s="169">
        <v>34117</v>
      </c>
      <c r="W116" s="169">
        <v>34117</v>
      </c>
      <c r="X116" s="169">
        <v>34117</v>
      </c>
      <c r="Y116" s="169">
        <v>34117</v>
      </c>
      <c r="Z116" s="169">
        <v>34117</v>
      </c>
      <c r="AA116" s="169">
        <v>34117</v>
      </c>
      <c r="AB116" s="169">
        <v>34117</v>
      </c>
      <c r="AC116" s="169">
        <v>42117</v>
      </c>
      <c r="AD116" s="169">
        <v>45450.333333333336</v>
      </c>
      <c r="AE116" s="169">
        <v>45450.333333333336</v>
      </c>
      <c r="AF116" s="169">
        <v>37450.333333333336</v>
      </c>
      <c r="AG116" s="169">
        <v>34117</v>
      </c>
      <c r="AH116" s="169"/>
      <c r="AI116" s="169"/>
      <c r="AJ116" s="169">
        <v>34117</v>
      </c>
      <c r="AK116" s="169">
        <v>34117</v>
      </c>
      <c r="AL116" s="169">
        <v>34117</v>
      </c>
      <c r="AM116" s="169">
        <v>34117</v>
      </c>
      <c r="AN116" s="169">
        <v>34117</v>
      </c>
      <c r="AO116" s="169">
        <v>34117</v>
      </c>
      <c r="AP116" s="169">
        <v>34117</v>
      </c>
      <c r="AQ116" s="169">
        <v>42117</v>
      </c>
      <c r="AR116" s="169">
        <v>45450.333333333336</v>
      </c>
      <c r="AS116" s="169">
        <v>45450.333333333336</v>
      </c>
      <c r="AT116" s="169">
        <v>37450.333333333336</v>
      </c>
      <c r="AU116" s="169">
        <v>34117</v>
      </c>
    </row>
    <row r="117" spans="1:47" s="162" customFormat="1" ht="13" outlineLevel="1" thickTop="1">
      <c r="F117" s="163"/>
      <c r="G117" s="163"/>
      <c r="H117" s="163"/>
      <c r="I117" s="163"/>
      <c r="J117" s="163"/>
      <c r="K117" s="163"/>
      <c r="L117" s="163"/>
      <c r="M117" s="163"/>
      <c r="N117" s="163"/>
      <c r="O117" s="163"/>
      <c r="P117" s="163"/>
      <c r="Q117" s="163"/>
      <c r="R117" s="166"/>
    </row>
    <row r="118" spans="1:47" s="162" customFormat="1" outlineLevel="1">
      <c r="F118" s="167"/>
      <c r="G118" s="167"/>
      <c r="H118" s="167"/>
      <c r="I118" s="167"/>
      <c r="J118" s="167"/>
      <c r="K118" s="167"/>
      <c r="L118" s="167"/>
      <c r="M118" s="167"/>
      <c r="N118" s="167"/>
      <c r="O118" s="167"/>
      <c r="P118" s="167"/>
      <c r="Q118" s="167"/>
      <c r="R118" s="166"/>
    </row>
    <row r="119" spans="1:47" s="162" customFormat="1" outlineLevel="1">
      <c r="A119" s="161" t="s">
        <v>129</v>
      </c>
      <c r="B119" s="162" t="s">
        <v>65</v>
      </c>
      <c r="C119" s="162" t="s">
        <v>65</v>
      </c>
      <c r="F119" s="163">
        <v>8500</v>
      </c>
      <c r="G119" s="163">
        <v>17000</v>
      </c>
      <c r="H119" s="167"/>
      <c r="I119" s="163">
        <v>14000</v>
      </c>
      <c r="J119" s="167"/>
      <c r="K119" s="167"/>
      <c r="L119" s="167"/>
      <c r="M119" s="163"/>
      <c r="O119" s="167"/>
      <c r="P119" s="167"/>
      <c r="Q119" s="167"/>
      <c r="R119" s="166"/>
    </row>
    <row r="120" spans="1:47" s="162" customFormat="1" outlineLevel="1">
      <c r="A120" s="161" t="s">
        <v>129</v>
      </c>
      <c r="B120" s="162" t="s">
        <v>67</v>
      </c>
      <c r="C120" s="162" t="s">
        <v>67</v>
      </c>
      <c r="F120" s="167"/>
      <c r="G120" s="167"/>
      <c r="H120" s="167"/>
      <c r="I120" s="167"/>
      <c r="J120" s="167"/>
      <c r="K120" s="167"/>
      <c r="L120" s="167"/>
      <c r="M120" s="167"/>
      <c r="N120" s="163">
        <v>15000</v>
      </c>
      <c r="O120" s="163"/>
      <c r="P120" s="167"/>
      <c r="Q120" s="167"/>
      <c r="R120" s="166"/>
    </row>
    <row r="121" spans="1:47" s="162" customFormat="1" outlineLevel="1">
      <c r="A121" s="162" t="s">
        <v>129</v>
      </c>
      <c r="F121" s="167" t="s">
        <v>364</v>
      </c>
      <c r="G121" s="167" t="s">
        <v>263</v>
      </c>
      <c r="H121" s="167"/>
      <c r="I121" s="167" t="s">
        <v>365</v>
      </c>
      <c r="J121" s="167"/>
      <c r="K121" s="167"/>
      <c r="L121" s="167"/>
      <c r="M121" s="167"/>
      <c r="N121" s="167" t="s">
        <v>366</v>
      </c>
      <c r="O121" s="167"/>
      <c r="P121" s="167"/>
      <c r="Q121" s="167"/>
      <c r="R121" s="166"/>
    </row>
    <row r="122" spans="1:47" s="162" customFormat="1" outlineLevel="1">
      <c r="A122" s="162" t="s">
        <v>367</v>
      </c>
      <c r="F122" s="167" t="s">
        <v>368</v>
      </c>
      <c r="G122" s="167" t="s">
        <v>369</v>
      </c>
      <c r="H122" s="167"/>
      <c r="I122" s="167" t="s">
        <v>370</v>
      </c>
      <c r="J122" s="167"/>
      <c r="K122" s="167"/>
      <c r="L122" s="167"/>
      <c r="M122" s="167"/>
      <c r="N122" s="167" t="s">
        <v>371</v>
      </c>
      <c r="O122" s="167"/>
      <c r="P122" s="167"/>
      <c r="Q122" s="167"/>
      <c r="R122" s="166"/>
    </row>
    <row r="123" spans="1:47" s="162" customFormat="1" outlineLevel="1">
      <c r="F123" s="167"/>
      <c r="G123" s="167"/>
      <c r="H123" s="167"/>
      <c r="I123" s="167"/>
      <c r="J123" s="167"/>
      <c r="K123" s="167"/>
      <c r="L123" s="167"/>
      <c r="M123" s="167"/>
      <c r="N123" s="167"/>
      <c r="O123" s="167"/>
      <c r="P123" s="167"/>
      <c r="Q123" s="167"/>
      <c r="R123" s="166"/>
    </row>
    <row r="124" spans="1:47" s="162" customFormat="1" outlineLevel="1">
      <c r="A124" s="162" t="s">
        <v>372</v>
      </c>
      <c r="F124" s="167" t="s">
        <v>373</v>
      </c>
      <c r="G124" s="167" t="s">
        <v>373</v>
      </c>
      <c r="H124" s="167"/>
      <c r="I124" s="167" t="s">
        <v>373</v>
      </c>
      <c r="J124" s="167"/>
      <c r="K124" s="167"/>
      <c r="L124" s="167"/>
      <c r="M124" s="167"/>
      <c r="N124" s="167" t="s">
        <v>373</v>
      </c>
      <c r="O124" s="167"/>
      <c r="P124" s="167"/>
      <c r="Q124" s="167"/>
      <c r="R124" s="166"/>
    </row>
    <row r="125" spans="1:47" outlineLevel="1">
      <c r="F125" s="49"/>
      <c r="G125" s="167" t="s">
        <v>374</v>
      </c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15"/>
    </row>
    <row r="126" spans="1:47" outlineLevel="1">
      <c r="O126" s="49"/>
      <c r="P126" s="49"/>
      <c r="Q126" s="49"/>
      <c r="R126" s="15"/>
    </row>
    <row r="127" spans="1:47" outlineLevel="1"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15"/>
    </row>
    <row r="128" spans="1:47" outlineLevel="1"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15"/>
    </row>
    <row r="129" spans="1:19" outlineLevel="1"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15"/>
    </row>
    <row r="130" spans="1:19" outlineLevel="1">
      <c r="A130" s="15" t="s">
        <v>174</v>
      </c>
      <c r="B130" s="15"/>
      <c r="C130" s="15"/>
      <c r="D130" s="15"/>
      <c r="E130" s="15"/>
      <c r="F130" s="16">
        <v>45716</v>
      </c>
      <c r="G130" s="16">
        <v>45747</v>
      </c>
      <c r="H130" s="16">
        <v>45777</v>
      </c>
      <c r="I130" s="16">
        <v>45808</v>
      </c>
      <c r="J130" s="16">
        <v>45838</v>
      </c>
      <c r="K130" s="16">
        <v>45869</v>
      </c>
      <c r="L130" s="16">
        <v>45900</v>
      </c>
      <c r="M130" s="16">
        <v>45930</v>
      </c>
      <c r="N130" s="16">
        <v>45961</v>
      </c>
      <c r="O130" s="16">
        <v>45991</v>
      </c>
      <c r="P130" s="16">
        <v>46022</v>
      </c>
      <c r="Q130" s="16">
        <v>46053</v>
      </c>
      <c r="R130" s="16" t="s">
        <v>174</v>
      </c>
    </row>
    <row r="131" spans="1:19" outlineLevel="1">
      <c r="A131" s="13" t="s">
        <v>277</v>
      </c>
      <c r="F131" s="40">
        <v>180071</v>
      </c>
      <c r="G131" s="40">
        <v>118491</v>
      </c>
      <c r="H131" s="40">
        <v>73647</v>
      </c>
      <c r="I131" s="40">
        <v>220000</v>
      </c>
      <c r="J131" s="40">
        <v>160000</v>
      </c>
      <c r="K131" s="40">
        <v>150000</v>
      </c>
      <c r="L131" s="40">
        <v>170000</v>
      </c>
      <c r="M131" s="40">
        <v>170000</v>
      </c>
      <c r="N131" s="40">
        <v>200000</v>
      </c>
      <c r="O131" s="40">
        <v>260000</v>
      </c>
      <c r="P131" s="40">
        <v>255000</v>
      </c>
      <c r="Q131" s="40">
        <v>250000</v>
      </c>
      <c r="R131" s="40">
        <v>2207209</v>
      </c>
      <c r="S131" s="40"/>
    </row>
    <row r="132" spans="1:19" outlineLevel="1">
      <c r="A132" s="13" t="s">
        <v>248</v>
      </c>
      <c r="F132" s="40">
        <v>62109</v>
      </c>
      <c r="G132" s="40">
        <v>34881</v>
      </c>
      <c r="H132" s="40">
        <v>65462</v>
      </c>
      <c r="I132" s="40">
        <v>70000</v>
      </c>
      <c r="J132" s="40">
        <v>70000</v>
      </c>
      <c r="K132" s="40">
        <v>75000</v>
      </c>
      <c r="L132" s="40">
        <v>83000</v>
      </c>
      <c r="M132" s="40">
        <v>90000</v>
      </c>
      <c r="N132" s="40">
        <v>85000</v>
      </c>
      <c r="O132" s="40">
        <v>100000</v>
      </c>
      <c r="P132" s="40">
        <v>120000</v>
      </c>
      <c r="Q132" s="40">
        <v>80000</v>
      </c>
      <c r="R132" s="40">
        <v>935452</v>
      </c>
      <c r="S132" s="40"/>
    </row>
    <row r="133" spans="1:19" outlineLevel="1">
      <c r="A133" s="13" t="s">
        <v>332</v>
      </c>
      <c r="F133" s="40">
        <v>16407</v>
      </c>
      <c r="G133" s="40">
        <v>7910</v>
      </c>
      <c r="H133" s="40">
        <v>10250</v>
      </c>
      <c r="I133" s="40">
        <v>25000</v>
      </c>
      <c r="J133" s="40">
        <v>30000</v>
      </c>
      <c r="K133" s="40">
        <v>20000</v>
      </c>
      <c r="L133" s="40">
        <v>20000</v>
      </c>
      <c r="M133" s="40">
        <v>25000</v>
      </c>
      <c r="N133" s="40">
        <v>25000</v>
      </c>
      <c r="O133" s="40">
        <v>25000</v>
      </c>
      <c r="P133" s="40">
        <v>45000</v>
      </c>
      <c r="Q133" s="40">
        <v>25000</v>
      </c>
      <c r="R133" s="40">
        <v>274567</v>
      </c>
      <c r="S133" s="40"/>
    </row>
    <row r="134" spans="1:19" outlineLevel="1">
      <c r="A134" s="13" t="s">
        <v>330</v>
      </c>
      <c r="F134" s="40">
        <v>11721</v>
      </c>
      <c r="G134" s="40">
        <v>47354</v>
      </c>
      <c r="H134" s="40">
        <v>29937</v>
      </c>
      <c r="I134" s="40">
        <v>14356.319945806241</v>
      </c>
      <c r="J134" s="40">
        <v>22000</v>
      </c>
      <c r="K134" s="40">
        <v>6000</v>
      </c>
      <c r="L134" s="40">
        <v>22777.901230996969</v>
      </c>
      <c r="M134" s="40">
        <v>23597.18662609805</v>
      </c>
      <c r="N134" s="40">
        <v>5654.7765747183985</v>
      </c>
      <c r="O134" s="40">
        <v>27410.571012889119</v>
      </c>
      <c r="P134" s="40">
        <v>22062.475844074266</v>
      </c>
      <c r="Q134" s="40">
        <v>22062.475844074266</v>
      </c>
      <c r="R134" s="40">
        <v>254933.70707865732</v>
      </c>
      <c r="S134" s="40"/>
    </row>
    <row r="135" spans="1:19" outlineLevel="1">
      <c r="A135" s="13" t="s">
        <v>343</v>
      </c>
      <c r="F135" s="40">
        <v>6950</v>
      </c>
      <c r="G135" s="40">
        <v>10409</v>
      </c>
      <c r="H135" s="40">
        <v>7466</v>
      </c>
      <c r="I135" s="40">
        <v>8000</v>
      </c>
      <c r="J135" s="40">
        <v>8000</v>
      </c>
      <c r="K135" s="40">
        <v>9000</v>
      </c>
      <c r="L135" s="40">
        <v>6500</v>
      </c>
      <c r="M135" s="40">
        <v>6500</v>
      </c>
      <c r="N135" s="40">
        <v>6500</v>
      </c>
      <c r="O135" s="40">
        <v>6500</v>
      </c>
      <c r="P135" s="40">
        <v>6500</v>
      </c>
      <c r="Q135" s="40">
        <v>6500</v>
      </c>
      <c r="R135" s="40">
        <v>88825</v>
      </c>
      <c r="S135" s="40"/>
    </row>
    <row r="136" spans="1:19" outlineLevel="1">
      <c r="A136" s="13" t="s">
        <v>353</v>
      </c>
      <c r="F136" s="40">
        <v>20663.759999999998</v>
      </c>
      <c r="G136" s="40">
        <v>24373.8</v>
      </c>
      <c r="H136" s="40">
        <v>25736.249999999996</v>
      </c>
      <c r="I136" s="40">
        <v>33800</v>
      </c>
      <c r="J136" s="40">
        <v>36900</v>
      </c>
      <c r="K136" s="40">
        <v>27900</v>
      </c>
      <c r="L136" s="40">
        <v>18920.080000000002</v>
      </c>
      <c r="M136" s="40">
        <v>67537.52</v>
      </c>
      <c r="N136" s="40">
        <v>49700</v>
      </c>
      <c r="O136" s="40">
        <v>42555.8</v>
      </c>
      <c r="P136" s="40">
        <v>20600</v>
      </c>
      <c r="Q136" s="40">
        <v>27300</v>
      </c>
      <c r="R136" s="40">
        <v>395987.21</v>
      </c>
      <c r="S136" s="40"/>
    </row>
    <row r="137" spans="1:19" outlineLevel="1">
      <c r="A137" s="11" t="s">
        <v>207</v>
      </c>
      <c r="B137" s="11"/>
      <c r="C137" s="11"/>
      <c r="D137" s="11"/>
      <c r="E137" s="11"/>
      <c r="F137" s="43">
        <f>SUM(F131:F136)</f>
        <v>297921.76</v>
      </c>
      <c r="G137" s="43">
        <f t="shared" ref="G137:R137" si="17">SUM(G131:G136)</f>
        <v>243418.8</v>
      </c>
      <c r="H137" s="43">
        <f t="shared" si="17"/>
        <v>212498.25</v>
      </c>
      <c r="I137" s="43">
        <f t="shared" si="17"/>
        <v>371156.31994580623</v>
      </c>
      <c r="J137" s="43">
        <f t="shared" si="17"/>
        <v>326900</v>
      </c>
      <c r="K137" s="43">
        <f t="shared" si="17"/>
        <v>287900</v>
      </c>
      <c r="L137" s="43">
        <f t="shared" si="17"/>
        <v>321197.98123099696</v>
      </c>
      <c r="M137" s="43">
        <f t="shared" si="17"/>
        <v>382634.70662609808</v>
      </c>
      <c r="N137" s="43">
        <f t="shared" si="17"/>
        <v>371854.77657471842</v>
      </c>
      <c r="O137" s="43">
        <f t="shared" si="17"/>
        <v>461466.37101288908</v>
      </c>
      <c r="P137" s="43">
        <f t="shared" si="17"/>
        <v>469162.47584407427</v>
      </c>
      <c r="Q137" s="43">
        <f t="shared" si="17"/>
        <v>410862.47584407427</v>
      </c>
      <c r="R137" s="43">
        <f t="shared" si="17"/>
        <v>4156973.9170786571</v>
      </c>
      <c r="S137" s="40"/>
    </row>
    <row r="138" spans="1:19" outlineLevel="1"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</row>
    <row r="139" spans="1:19" outlineLevel="1"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</row>
    <row r="140" spans="1:19" outlineLevel="1">
      <c r="A140" s="17" t="s">
        <v>375</v>
      </c>
      <c r="B140" s="17"/>
      <c r="C140" s="17"/>
      <c r="D140" s="17"/>
      <c r="E140" s="17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</row>
    <row r="141" spans="1:19" outlineLevel="1">
      <c r="A141" s="13" t="s">
        <v>376</v>
      </c>
      <c r="F141" s="40">
        <v>63024.85</v>
      </c>
      <c r="G141" s="40">
        <v>41471.850000000006</v>
      </c>
      <c r="H141" s="40">
        <v>25776.45</v>
      </c>
      <c r="I141" s="40">
        <v>72599.999999999985</v>
      </c>
      <c r="J141" s="40">
        <v>52799.999999999993</v>
      </c>
      <c r="K141" s="40">
        <v>49499.999999999993</v>
      </c>
      <c r="L141" s="40">
        <v>56099.999999999993</v>
      </c>
      <c r="M141" s="40">
        <v>56099.999999999993</v>
      </c>
      <c r="N141" s="40">
        <v>65999.999999999985</v>
      </c>
      <c r="O141" s="40">
        <v>85799.999999999985</v>
      </c>
      <c r="P141" s="40">
        <v>84149.999999999985</v>
      </c>
      <c r="Q141" s="40">
        <v>82499.999999999985</v>
      </c>
      <c r="R141" s="40">
        <v>735823.14999999991</v>
      </c>
      <c r="S141" s="40"/>
    </row>
    <row r="142" spans="1:19" outlineLevel="1">
      <c r="A142" s="13" t="s">
        <v>377</v>
      </c>
      <c r="F142" s="40">
        <v>22980.33</v>
      </c>
      <c r="G142" s="40">
        <v>12905.97</v>
      </c>
      <c r="H142" s="40">
        <v>24220.94</v>
      </c>
      <c r="I142" s="40">
        <v>23099.999999999996</v>
      </c>
      <c r="J142" s="40">
        <v>23099.999999999996</v>
      </c>
      <c r="K142" s="40">
        <v>24749.999999999996</v>
      </c>
      <c r="L142" s="40">
        <v>27389.999999999996</v>
      </c>
      <c r="M142" s="40">
        <v>29699.999999999996</v>
      </c>
      <c r="N142" s="40">
        <v>28049.999999999996</v>
      </c>
      <c r="O142" s="40">
        <v>32999.999999999993</v>
      </c>
      <c r="P142" s="40">
        <v>39599.999999999993</v>
      </c>
      <c r="Q142" s="40">
        <v>26399.999999999996</v>
      </c>
      <c r="R142" s="40">
        <v>315197.24</v>
      </c>
      <c r="S142" s="40"/>
    </row>
    <row r="143" spans="1:19" outlineLevel="1">
      <c r="A143" s="13" t="s">
        <v>378</v>
      </c>
      <c r="F143" s="40">
        <v>5250.24</v>
      </c>
      <c r="G143" s="40">
        <v>2531.1999999999998</v>
      </c>
      <c r="H143" s="40">
        <v>3280</v>
      </c>
      <c r="I143" s="40">
        <v>8249.9999999999982</v>
      </c>
      <c r="J143" s="40">
        <v>9899.9999999999982</v>
      </c>
      <c r="K143" s="40">
        <v>6599.9999999999991</v>
      </c>
      <c r="L143" s="40">
        <v>6599.9999999999991</v>
      </c>
      <c r="M143" s="40">
        <v>8249.9999999999982</v>
      </c>
      <c r="N143" s="40">
        <v>8249.9999999999982</v>
      </c>
      <c r="O143" s="40">
        <v>8249.9999999999982</v>
      </c>
      <c r="P143" s="40">
        <v>14849.999999999998</v>
      </c>
      <c r="Q143" s="40">
        <v>8249.9999999999982</v>
      </c>
      <c r="R143" s="40">
        <v>90261.439999999988</v>
      </c>
      <c r="S143" s="40"/>
    </row>
    <row r="144" spans="1:19" outlineLevel="1">
      <c r="A144" s="13" t="s">
        <v>379</v>
      </c>
      <c r="F144" s="40">
        <v>3516.2999999999997</v>
      </c>
      <c r="G144" s="40">
        <v>14206.2</v>
      </c>
      <c r="H144" s="40">
        <v>8981.1</v>
      </c>
      <c r="I144" s="40">
        <v>4737.5855821160585</v>
      </c>
      <c r="J144" s="40">
        <v>7259.9999999999991</v>
      </c>
      <c r="K144" s="40">
        <v>1979.9999999999998</v>
      </c>
      <c r="L144" s="40">
        <v>7516.7074062289994</v>
      </c>
      <c r="M144" s="40">
        <v>7787.0715866123555</v>
      </c>
      <c r="N144" s="40">
        <v>1866.0762696570712</v>
      </c>
      <c r="O144" s="40">
        <v>9045.4884342534078</v>
      </c>
      <c r="P144" s="40">
        <v>7280.6170285445069</v>
      </c>
      <c r="Q144" s="40">
        <v>7280.6170285445069</v>
      </c>
      <c r="R144" s="40">
        <v>81457.763335956915</v>
      </c>
      <c r="S144" s="40"/>
    </row>
    <row r="145" spans="1:48" outlineLevel="1">
      <c r="A145" s="11" t="s">
        <v>207</v>
      </c>
      <c r="B145" s="11"/>
      <c r="C145" s="11"/>
      <c r="D145" s="11"/>
      <c r="E145" s="11"/>
      <c r="F145" s="43">
        <f>SUM(F141:F144)</f>
        <v>94771.72</v>
      </c>
      <c r="G145" s="43">
        <f t="shared" ref="G145:Q145" si="18">SUM(G141:G144)</f>
        <v>71115.22</v>
      </c>
      <c r="H145" s="43">
        <f t="shared" si="18"/>
        <v>62258.49</v>
      </c>
      <c r="I145" s="43">
        <f t="shared" si="18"/>
        <v>108687.58558211604</v>
      </c>
      <c r="J145" s="43">
        <f t="shared" si="18"/>
        <v>93059.999999999985</v>
      </c>
      <c r="K145" s="43">
        <f t="shared" si="18"/>
        <v>82829.999999999985</v>
      </c>
      <c r="L145" s="43">
        <f t="shared" si="18"/>
        <v>97606.70740622899</v>
      </c>
      <c r="M145" s="43">
        <f t="shared" si="18"/>
        <v>101837.07158661234</v>
      </c>
      <c r="N145" s="43">
        <f t="shared" si="18"/>
        <v>104166.07626965706</v>
      </c>
      <c r="O145" s="43">
        <f t="shared" si="18"/>
        <v>136095.48843425338</v>
      </c>
      <c r="P145" s="43">
        <f t="shared" si="18"/>
        <v>145880.61702854448</v>
      </c>
      <c r="Q145" s="43">
        <f t="shared" si="18"/>
        <v>124430.6170285445</v>
      </c>
      <c r="R145" s="43">
        <v>1255109.5933359568</v>
      </c>
      <c r="S145" s="40"/>
    </row>
    <row r="146" spans="1:48" outlineLevel="1">
      <c r="A146" s="11"/>
      <c r="B146" s="11"/>
      <c r="C146" s="11"/>
      <c r="D146" s="11"/>
      <c r="E146" s="11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0"/>
    </row>
    <row r="147" spans="1:48" outlineLevel="1">
      <c r="A147" s="17" t="s">
        <v>380</v>
      </c>
      <c r="B147" s="17"/>
      <c r="C147" s="17"/>
      <c r="D147" s="17"/>
      <c r="E147" s="17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</row>
    <row r="148" spans="1:48" outlineLevel="1">
      <c r="A148" s="13" t="s">
        <v>381</v>
      </c>
      <c r="F148" s="40">
        <v>12500</v>
      </c>
      <c r="G148" s="40">
        <v>12500</v>
      </c>
      <c r="H148" s="40">
        <v>12500</v>
      </c>
      <c r="I148" s="40">
        <v>4400.0000000000164</v>
      </c>
      <c r="J148" s="40">
        <v>3200.0000000000118</v>
      </c>
      <c r="K148" s="40">
        <v>3000.0000000000109</v>
      </c>
      <c r="L148" s="40">
        <v>3400.0000000000123</v>
      </c>
      <c r="M148" s="40">
        <v>3400.0000000000123</v>
      </c>
      <c r="N148" s="40">
        <v>4000.0000000000146</v>
      </c>
      <c r="O148" s="40">
        <v>5200.0000000000191</v>
      </c>
      <c r="P148" s="40">
        <v>5100.0000000000191</v>
      </c>
      <c r="Q148" s="40">
        <v>5000.0000000000182</v>
      </c>
      <c r="R148" s="40">
        <v>74200.000000000146</v>
      </c>
      <c r="S148" s="40"/>
    </row>
    <row r="149" spans="1:48" outlineLevel="1">
      <c r="A149" s="13" t="s">
        <v>382</v>
      </c>
      <c r="F149" s="40">
        <v>11250</v>
      </c>
      <c r="G149" s="40">
        <v>11250</v>
      </c>
      <c r="H149" s="40">
        <v>11250</v>
      </c>
      <c r="I149" s="40">
        <v>1400.0000000000052</v>
      </c>
      <c r="J149" s="40">
        <v>1400.0000000000052</v>
      </c>
      <c r="K149" s="40">
        <v>1500.0000000000055</v>
      </c>
      <c r="L149" s="40">
        <v>1660.0000000000061</v>
      </c>
      <c r="M149" s="40">
        <v>1800.0000000000066</v>
      </c>
      <c r="N149" s="40">
        <v>1700.0000000000061</v>
      </c>
      <c r="O149" s="40">
        <v>2000.0000000000073</v>
      </c>
      <c r="P149" s="40">
        <v>2400.0000000000086</v>
      </c>
      <c r="Q149" s="40">
        <v>1600.0000000000059</v>
      </c>
      <c r="R149" s="40">
        <v>49210.000000000065</v>
      </c>
      <c r="S149" s="40"/>
    </row>
    <row r="150" spans="1:48" outlineLevel="1">
      <c r="A150" s="13" t="s">
        <v>383</v>
      </c>
      <c r="F150" s="40"/>
      <c r="G150" s="40"/>
      <c r="H150" s="40"/>
      <c r="I150" s="40">
        <v>500.00000000000182</v>
      </c>
      <c r="J150" s="40">
        <v>600.00000000000216</v>
      </c>
      <c r="K150" s="40">
        <v>400.00000000000148</v>
      </c>
      <c r="L150" s="40">
        <v>400.00000000000148</v>
      </c>
      <c r="M150" s="40">
        <v>500.00000000000182</v>
      </c>
      <c r="N150" s="40">
        <v>500.00000000000182</v>
      </c>
      <c r="O150" s="40">
        <v>500.00000000000182</v>
      </c>
      <c r="P150" s="40">
        <v>900.0000000000033</v>
      </c>
      <c r="Q150" s="40">
        <v>500.00000000000182</v>
      </c>
      <c r="R150" s="40"/>
      <c r="S150" s="40"/>
    </row>
    <row r="151" spans="1:48" outlineLevel="1">
      <c r="A151" s="13" t="s">
        <v>384</v>
      </c>
      <c r="F151" s="40">
        <v>4167</v>
      </c>
      <c r="G151" s="40">
        <v>4167</v>
      </c>
      <c r="H151" s="40">
        <v>4167</v>
      </c>
      <c r="I151" s="40">
        <v>287.12639891612588</v>
      </c>
      <c r="J151" s="40">
        <v>440.00000000000159</v>
      </c>
      <c r="K151" s="40">
        <v>120.00000000000044</v>
      </c>
      <c r="L151" s="40">
        <v>455.55802461994108</v>
      </c>
      <c r="M151" s="40">
        <v>471.94373252196272</v>
      </c>
      <c r="N151" s="40">
        <v>113.09553149436839</v>
      </c>
      <c r="O151" s="40">
        <v>548.21142025778443</v>
      </c>
      <c r="P151" s="40">
        <v>441.24951688148695</v>
      </c>
      <c r="Q151" s="40">
        <v>441.24951688148695</v>
      </c>
      <c r="R151" s="40">
        <v>15819.434141573158</v>
      </c>
      <c r="S151" s="40"/>
    </row>
    <row r="152" spans="1:48" outlineLevel="1">
      <c r="A152" s="11" t="s">
        <v>207</v>
      </c>
      <c r="B152" s="11"/>
      <c r="C152" s="11"/>
      <c r="D152" s="11"/>
      <c r="E152" s="11"/>
      <c r="F152" s="43">
        <f>SUM(F148:F151)</f>
        <v>27917</v>
      </c>
      <c r="G152" s="43">
        <f t="shared" ref="G152:Q152" si="19">SUM(G148:G151)</f>
        <v>27917</v>
      </c>
      <c r="H152" s="43">
        <f t="shared" si="19"/>
        <v>27917</v>
      </c>
      <c r="I152" s="43">
        <f t="shared" si="19"/>
        <v>6587.1263989161498</v>
      </c>
      <c r="J152" s="43">
        <f t="shared" si="19"/>
        <v>5640.0000000000209</v>
      </c>
      <c r="K152" s="43">
        <f t="shared" si="19"/>
        <v>5020.0000000000182</v>
      </c>
      <c r="L152" s="43">
        <f t="shared" si="19"/>
        <v>5915.5580246199606</v>
      </c>
      <c r="M152" s="43">
        <f t="shared" si="19"/>
        <v>6171.9437325219833</v>
      </c>
      <c r="N152" s="43">
        <f t="shared" si="19"/>
        <v>6313.0955314943913</v>
      </c>
      <c r="O152" s="43">
        <f t="shared" si="19"/>
        <v>8248.2114202578123</v>
      </c>
      <c r="P152" s="43">
        <f t="shared" si="19"/>
        <v>8841.2495168815185</v>
      </c>
      <c r="Q152" s="43">
        <f t="shared" si="19"/>
        <v>7541.2495168815121</v>
      </c>
      <c r="R152" s="43">
        <v>144109.43414157335</v>
      </c>
      <c r="S152" s="40"/>
    </row>
    <row r="153" spans="1:48" outlineLevel="1"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</row>
    <row r="154" spans="1:48" ht="24" customHeight="1">
      <c r="A154" s="182" t="s">
        <v>385</v>
      </c>
      <c r="C154" s="183" t="s">
        <v>219</v>
      </c>
      <c r="F154" s="179">
        <v>45716</v>
      </c>
      <c r="G154" s="179">
        <v>45747</v>
      </c>
      <c r="H154" s="179">
        <v>45777</v>
      </c>
      <c r="I154" s="179">
        <v>45808</v>
      </c>
      <c r="J154" s="179">
        <v>45838</v>
      </c>
      <c r="K154" s="179">
        <v>45869</v>
      </c>
      <c r="L154" s="179">
        <v>45900</v>
      </c>
      <c r="M154" s="179">
        <v>45930</v>
      </c>
      <c r="N154" s="179">
        <v>45961</v>
      </c>
      <c r="O154" s="179">
        <v>45991</v>
      </c>
      <c r="P154" s="179">
        <v>46022</v>
      </c>
      <c r="Q154" s="179">
        <v>46053</v>
      </c>
      <c r="R154" s="179" t="s">
        <v>222</v>
      </c>
      <c r="S154" s="34"/>
      <c r="U154" s="34"/>
      <c r="V154" s="179">
        <v>46054</v>
      </c>
      <c r="W154" s="179">
        <v>46082</v>
      </c>
      <c r="X154" s="179">
        <v>46113</v>
      </c>
      <c r="Y154" s="179">
        <v>46143</v>
      </c>
      <c r="Z154" s="179">
        <v>46174</v>
      </c>
      <c r="AA154" s="179">
        <v>46204</v>
      </c>
      <c r="AB154" s="179">
        <v>46235</v>
      </c>
      <c r="AC154" s="179">
        <v>46266</v>
      </c>
      <c r="AD154" s="179">
        <v>46296</v>
      </c>
      <c r="AE154" s="179">
        <v>46327</v>
      </c>
      <c r="AF154" s="179">
        <v>46357</v>
      </c>
      <c r="AG154" s="179">
        <v>46388</v>
      </c>
      <c r="AH154" s="179" t="s">
        <v>224</v>
      </c>
      <c r="AI154" s="34"/>
      <c r="AJ154" s="179">
        <v>46419</v>
      </c>
      <c r="AK154" s="179">
        <v>46447</v>
      </c>
      <c r="AL154" s="179">
        <v>46478</v>
      </c>
      <c r="AM154" s="179">
        <v>46508</v>
      </c>
      <c r="AN154" s="179">
        <v>46539</v>
      </c>
      <c r="AO154" s="179">
        <v>46569</v>
      </c>
      <c r="AP154" s="179">
        <v>46600</v>
      </c>
      <c r="AQ154" s="179">
        <v>46631</v>
      </c>
      <c r="AR154" s="179">
        <v>46661</v>
      </c>
      <c r="AS154" s="179">
        <v>46692</v>
      </c>
      <c r="AT154" s="179">
        <v>46722</v>
      </c>
      <c r="AU154" s="179">
        <v>46753</v>
      </c>
      <c r="AV154" s="179" t="s">
        <v>225</v>
      </c>
    </row>
    <row r="156" spans="1:48">
      <c r="A156" s="17"/>
      <c r="C156" s="41" t="s">
        <v>65</v>
      </c>
      <c r="F156" s="171">
        <f t="shared" ref="F156:Q156" si="20">SUMIF($C$3:$C$95,$C$156,F3:F95)</f>
        <v>124448.01999999999</v>
      </c>
      <c r="G156" s="171">
        <f t="shared" si="20"/>
        <v>121054.39</v>
      </c>
      <c r="H156" s="171">
        <f t="shared" si="20"/>
        <v>16647.439999999999</v>
      </c>
      <c r="I156" s="171">
        <f t="shared" si="20"/>
        <v>131427.44</v>
      </c>
      <c r="J156" s="171">
        <f t="shared" si="20"/>
        <v>136701.1</v>
      </c>
      <c r="K156" s="171">
        <f t="shared" si="20"/>
        <v>86666.42</v>
      </c>
      <c r="L156" s="171">
        <f t="shared" si="20"/>
        <v>61612.689999999995</v>
      </c>
      <c r="M156" s="171">
        <f t="shared" si="20"/>
        <v>39150.720000000001</v>
      </c>
      <c r="N156" s="171">
        <f t="shared" si="20"/>
        <v>19993.748268357107</v>
      </c>
      <c r="O156" s="171">
        <f t="shared" si="20"/>
        <v>184064.69259667303</v>
      </c>
      <c r="P156" s="171">
        <f t="shared" si="20"/>
        <v>77801.599683501699</v>
      </c>
      <c r="Q156" s="171">
        <f t="shared" si="20"/>
        <v>197655.65536287014</v>
      </c>
      <c r="R156" s="21">
        <f>SUM(F156:Q156)</f>
        <v>1197223.9159114019</v>
      </c>
      <c r="U156" s="41" t="s">
        <v>65</v>
      </c>
      <c r="V156" s="171">
        <f t="shared" ref="V156:AG156" si="21">SUMIF($C$3:$C$95,$C$156,V3:V95)</f>
        <v>428506.32</v>
      </c>
      <c r="W156" s="171">
        <f t="shared" si="21"/>
        <v>113432.70000000001</v>
      </c>
      <c r="X156" s="171">
        <f t="shared" si="21"/>
        <v>139712.6</v>
      </c>
      <c r="Y156" s="171">
        <f t="shared" si="21"/>
        <v>161053.21</v>
      </c>
      <c r="Z156" s="171">
        <f t="shared" si="21"/>
        <v>149729.59</v>
      </c>
      <c r="AA156" s="171">
        <f t="shared" si="21"/>
        <v>141213.38</v>
      </c>
      <c r="AB156" s="171">
        <f t="shared" si="21"/>
        <v>134798.24</v>
      </c>
      <c r="AC156" s="171">
        <f t="shared" si="21"/>
        <v>147374.32</v>
      </c>
      <c r="AD156" s="171">
        <f t="shared" si="21"/>
        <v>167177.8433985677</v>
      </c>
      <c r="AE156" s="171">
        <f t="shared" si="21"/>
        <v>146126.730665298</v>
      </c>
      <c r="AF156" s="171">
        <f t="shared" si="21"/>
        <v>140427.46040209741</v>
      </c>
      <c r="AG156" s="171">
        <f t="shared" si="21"/>
        <v>144146.41022539895</v>
      </c>
      <c r="AH156" s="21">
        <f>SUM(V156:AG156)</f>
        <v>2013698.8046913617</v>
      </c>
      <c r="AI156" s="41" t="s">
        <v>65</v>
      </c>
      <c r="AJ156" s="171">
        <f t="shared" ref="AJ156:AU156" si="22">SUMIF($C$3:$C$95,$C$156,AJ3:AJ95)</f>
        <v>99242.02</v>
      </c>
      <c r="AK156" s="171">
        <f t="shared" si="22"/>
        <v>73676.53</v>
      </c>
      <c r="AL156" s="171">
        <f t="shared" si="22"/>
        <v>25277.879999999997</v>
      </c>
      <c r="AM156" s="171">
        <f t="shared" si="22"/>
        <v>96556.08</v>
      </c>
      <c r="AN156" s="171">
        <f t="shared" si="22"/>
        <v>107470.59000000001</v>
      </c>
      <c r="AO156" s="171">
        <f t="shared" si="22"/>
        <v>68245.42</v>
      </c>
      <c r="AP156" s="171">
        <f t="shared" si="22"/>
        <v>56603.599999999991</v>
      </c>
      <c r="AQ156" s="171">
        <f t="shared" si="22"/>
        <v>34311.56</v>
      </c>
      <c r="AR156" s="171">
        <f t="shared" si="22"/>
        <v>98570.084764401894</v>
      </c>
      <c r="AS156" s="171">
        <f t="shared" si="22"/>
        <v>112865.20567454457</v>
      </c>
      <c r="AT156" s="171">
        <f t="shared" si="22"/>
        <v>102330.60023530746</v>
      </c>
      <c r="AU156" s="171">
        <f t="shared" si="22"/>
        <v>83031.398096189208</v>
      </c>
      <c r="AV156" s="21">
        <f>SUM(AJ156:AU156)</f>
        <v>958180.96877044311</v>
      </c>
    </row>
    <row r="157" spans="1:48">
      <c r="C157" s="41" t="s">
        <v>67</v>
      </c>
      <c r="F157" s="171">
        <f t="shared" ref="F157:Q157" si="23">SUMIF($C$3:$C$95,$C$157,F3:F95)</f>
        <v>171532.06</v>
      </c>
      <c r="G157" s="171">
        <f t="shared" si="23"/>
        <v>77393.98</v>
      </c>
      <c r="H157" s="171">
        <f t="shared" si="23"/>
        <v>7268.6400000000012</v>
      </c>
      <c r="I157" s="171">
        <f t="shared" si="23"/>
        <v>47841.929999999993</v>
      </c>
      <c r="J157" s="171">
        <f t="shared" si="23"/>
        <v>10718.7</v>
      </c>
      <c r="K157" s="171">
        <f t="shared" si="23"/>
        <v>100741.6</v>
      </c>
      <c r="L157" s="171">
        <f t="shared" si="23"/>
        <v>78635.420000000013</v>
      </c>
      <c r="M157" s="171">
        <f t="shared" si="23"/>
        <v>167223.87999999998</v>
      </c>
      <c r="N157" s="171">
        <f t="shared" si="23"/>
        <v>2291.4273857431435</v>
      </c>
      <c r="O157" s="171">
        <f t="shared" si="23"/>
        <v>17643.379698013297</v>
      </c>
      <c r="P157" s="171">
        <f t="shared" si="23"/>
        <v>137384.01296956805</v>
      </c>
      <c r="Q157" s="171">
        <f t="shared" si="23"/>
        <v>188908.85792467347</v>
      </c>
      <c r="R157" s="21">
        <f t="shared" ref="R157:R161" si="24">SUM(F157:Q157)</f>
        <v>1007583.887977998</v>
      </c>
      <c r="U157" s="41" t="s">
        <v>67</v>
      </c>
      <c r="V157" s="171">
        <f t="shared" ref="V157:AG157" si="25">SUMIF($C$3:$C$95,$C$157,V3:V95)</f>
        <v>25000</v>
      </c>
      <c r="W157" s="171">
        <f t="shared" si="25"/>
        <v>209000</v>
      </c>
      <c r="X157" s="171">
        <f t="shared" si="25"/>
        <v>101173.04000000001</v>
      </c>
      <c r="Y157" s="171">
        <f t="shared" si="25"/>
        <v>44506.33</v>
      </c>
      <c r="Z157" s="171">
        <f t="shared" si="25"/>
        <v>130000</v>
      </c>
      <c r="AA157" s="171">
        <f t="shared" si="25"/>
        <v>71161.659999999989</v>
      </c>
      <c r="AB157" s="171">
        <f t="shared" si="25"/>
        <v>10000</v>
      </c>
      <c r="AC157" s="171">
        <f t="shared" si="25"/>
        <v>234786.58</v>
      </c>
      <c r="AD157" s="171">
        <f t="shared" si="25"/>
        <v>90154.311068411698</v>
      </c>
      <c r="AE157" s="171">
        <f t="shared" si="25"/>
        <v>175945.98865329786</v>
      </c>
      <c r="AF157" s="171">
        <f t="shared" si="25"/>
        <v>65362.572042533378</v>
      </c>
      <c r="AG157" s="171">
        <f t="shared" si="25"/>
        <v>14293.763612316723</v>
      </c>
      <c r="AH157" s="21">
        <f>SUM(V157:AG157)</f>
        <v>1171384.2453765597</v>
      </c>
      <c r="AI157" s="41" t="s">
        <v>67</v>
      </c>
      <c r="AJ157" s="171">
        <f t="shared" ref="AJ157:AU157" si="26">SUMIF($C$3:$C$95,$C$157,AJ3:AJ95)</f>
        <v>193673.1</v>
      </c>
      <c r="AK157" s="171">
        <f t="shared" si="26"/>
        <v>86903.9</v>
      </c>
      <c r="AL157" s="171">
        <f t="shared" si="26"/>
        <v>31173.040000000001</v>
      </c>
      <c r="AM157" s="171">
        <f t="shared" si="26"/>
        <v>72841.929999999993</v>
      </c>
      <c r="AN157" s="171">
        <f t="shared" si="26"/>
        <v>35718.699999999997</v>
      </c>
      <c r="AO157" s="171">
        <f t="shared" si="26"/>
        <v>135906.5</v>
      </c>
      <c r="AP157" s="171">
        <f t="shared" si="26"/>
        <v>103635.42000000001</v>
      </c>
      <c r="AQ157" s="171">
        <f t="shared" si="26"/>
        <v>192223.87999999998</v>
      </c>
      <c r="AR157" s="171">
        <f t="shared" si="26"/>
        <v>109025.26169606483</v>
      </c>
      <c r="AS157" s="171">
        <f t="shared" si="26"/>
        <v>121931.14094278765</v>
      </c>
      <c r="AT157" s="171">
        <f t="shared" si="26"/>
        <v>112420.31927396228</v>
      </c>
      <c r="AU157" s="171">
        <f t="shared" si="26"/>
        <v>94996.670049083594</v>
      </c>
      <c r="AV157" s="21">
        <f>SUM(AJ157:AU157)</f>
        <v>1290449.8619618984</v>
      </c>
    </row>
    <row r="158" spans="1:48">
      <c r="C158" s="41" t="s">
        <v>66</v>
      </c>
      <c r="F158" s="171">
        <f t="shared" ref="F158:Q158" si="27">SUMIF($C$3:$C$95,$C$158,F3:F95)</f>
        <v>57365.08</v>
      </c>
      <c r="G158" s="171">
        <f t="shared" si="27"/>
        <v>72274.25</v>
      </c>
      <c r="H158" s="171">
        <f t="shared" si="27"/>
        <v>41709.25</v>
      </c>
      <c r="I158" s="171">
        <f t="shared" si="27"/>
        <v>56168.880000000005</v>
      </c>
      <c r="J158" s="171">
        <f t="shared" si="27"/>
        <v>15392.130000000001</v>
      </c>
      <c r="K158" s="171">
        <f t="shared" si="27"/>
        <v>38808.58</v>
      </c>
      <c r="L158" s="171">
        <f t="shared" si="27"/>
        <v>81003.820000000007</v>
      </c>
      <c r="M158" s="171">
        <f t="shared" si="27"/>
        <v>31392.78</v>
      </c>
      <c r="N158" s="171">
        <f t="shared" si="27"/>
        <v>62799.645562965059</v>
      </c>
      <c r="O158" s="171">
        <f t="shared" si="27"/>
        <v>146248.88935599342</v>
      </c>
      <c r="P158" s="171">
        <f t="shared" si="27"/>
        <v>50556.439344010352</v>
      </c>
      <c r="Q158" s="171">
        <f t="shared" si="27"/>
        <v>70455.9022541296</v>
      </c>
      <c r="R158" s="21">
        <f t="shared" si="24"/>
        <v>724175.64651709853</v>
      </c>
      <c r="U158" s="41" t="s">
        <v>66</v>
      </c>
      <c r="V158" s="171">
        <f t="shared" ref="V158:AG158" si="28">SUMIF($C$3:$C$95,$C$158,V3:V95)</f>
        <v>100959.29000000001</v>
      </c>
      <c r="W158" s="171">
        <f t="shared" si="28"/>
        <v>69012.259999999995</v>
      </c>
      <c r="X158" s="171">
        <f t="shared" si="28"/>
        <v>74919.320000000007</v>
      </c>
      <c r="Y158" s="171">
        <f t="shared" si="28"/>
        <v>85090.63</v>
      </c>
      <c r="Z158" s="171">
        <f t="shared" si="28"/>
        <v>68818.19</v>
      </c>
      <c r="AA158" s="171">
        <f t="shared" si="28"/>
        <v>68426.42</v>
      </c>
      <c r="AB158" s="171">
        <f t="shared" si="28"/>
        <v>81507.820000000007</v>
      </c>
      <c r="AC158" s="171">
        <f t="shared" si="28"/>
        <v>68961.67</v>
      </c>
      <c r="AD158" s="171">
        <f t="shared" si="28"/>
        <v>68891.794839611714</v>
      </c>
      <c r="AE158" s="171">
        <f t="shared" si="28"/>
        <v>69028.770271530171</v>
      </c>
      <c r="AF158" s="171">
        <f t="shared" si="28"/>
        <v>88927.827989250756</v>
      </c>
      <c r="AG158" s="171">
        <f t="shared" si="28"/>
        <v>68742.903596844146</v>
      </c>
      <c r="AH158" s="21">
        <f>SUM(V158:AG158)</f>
        <v>913286.89669723681</v>
      </c>
      <c r="AI158" s="41" t="s">
        <v>66</v>
      </c>
      <c r="AJ158" s="171">
        <f t="shared" ref="AJ158:AU158" si="29">SUMIF($C$3:$C$95,$C$158,AJ3:AJ95)</f>
        <v>80908.36</v>
      </c>
      <c r="AK158" s="171">
        <f t="shared" si="29"/>
        <v>97187.97</v>
      </c>
      <c r="AL158" s="171">
        <f t="shared" si="29"/>
        <v>65257.919999999998</v>
      </c>
      <c r="AM158" s="171">
        <f t="shared" si="29"/>
        <v>80738.61</v>
      </c>
      <c r="AN158" s="171">
        <f t="shared" si="29"/>
        <v>43392.130000000005</v>
      </c>
      <c r="AO158" s="171">
        <f t="shared" si="29"/>
        <v>65979.990000000005</v>
      </c>
      <c r="AP158" s="171">
        <f t="shared" si="29"/>
        <v>109003.82</v>
      </c>
      <c r="AQ158" s="171">
        <f t="shared" si="29"/>
        <v>57963.13</v>
      </c>
      <c r="AR158" s="171">
        <f t="shared" si="29"/>
        <v>106065.55542599861</v>
      </c>
      <c r="AS158" s="171">
        <f t="shared" si="29"/>
        <v>118056.05222802724</v>
      </c>
      <c r="AT158" s="171">
        <f t="shared" si="29"/>
        <v>109219.80987486301</v>
      </c>
      <c r="AU158" s="171">
        <f t="shared" si="29"/>
        <v>93031.977467890276</v>
      </c>
      <c r="AV158" s="21">
        <f>SUM(AJ158:AU158)</f>
        <v>1026805.3249967792</v>
      </c>
    </row>
    <row r="159" spans="1:48">
      <c r="C159" s="41" t="s">
        <v>64</v>
      </c>
      <c r="F159" s="171">
        <f t="shared" ref="F159:Q159" si="30">SUMIF($C$3:$C$95,$C$159,F3:F95)</f>
        <v>311253.27000000008</v>
      </c>
      <c r="G159" s="171">
        <f t="shared" si="30"/>
        <v>241135.69</v>
      </c>
      <c r="H159" s="171">
        <f t="shared" si="30"/>
        <v>223646.01999999996</v>
      </c>
      <c r="I159" s="171">
        <f t="shared" si="30"/>
        <v>283789.46999999991</v>
      </c>
      <c r="J159" s="171">
        <f t="shared" si="30"/>
        <v>29907.250000000004</v>
      </c>
      <c r="K159" s="171">
        <f t="shared" si="30"/>
        <v>192153.56</v>
      </c>
      <c r="L159" s="171">
        <f t="shared" si="30"/>
        <v>108514.27999999998</v>
      </c>
      <c r="M159" s="171">
        <f t="shared" si="30"/>
        <v>268455.7</v>
      </c>
      <c r="N159" s="171">
        <f t="shared" si="30"/>
        <v>539408.05672182818</v>
      </c>
      <c r="O159" s="171">
        <f t="shared" si="30"/>
        <v>622258.56029946054</v>
      </c>
      <c r="P159" s="171">
        <f t="shared" si="30"/>
        <v>568202.94761043508</v>
      </c>
      <c r="Q159" s="171">
        <f t="shared" si="30"/>
        <v>449350.19547750411</v>
      </c>
      <c r="R159" s="21">
        <f t="shared" si="24"/>
        <v>3838075.0001092283</v>
      </c>
      <c r="U159" s="41" t="s">
        <v>64</v>
      </c>
      <c r="V159" s="171">
        <f t="shared" ref="V159:AG159" si="31">SUMIF($C$3:$C$95,$C$159,V3:V95)</f>
        <v>331435.99000000005</v>
      </c>
      <c r="W159" s="171">
        <f t="shared" si="31"/>
        <v>252726.31</v>
      </c>
      <c r="X159" s="171">
        <f t="shared" si="31"/>
        <v>238179.61999999997</v>
      </c>
      <c r="Y159" s="171">
        <f t="shared" si="31"/>
        <v>298584.44</v>
      </c>
      <c r="Z159" s="171">
        <f t="shared" si="31"/>
        <v>51907.25</v>
      </c>
      <c r="AA159" s="171">
        <f t="shared" si="31"/>
        <v>213443.76</v>
      </c>
      <c r="AB159" s="171">
        <f t="shared" si="31"/>
        <v>129735.07999999999</v>
      </c>
      <c r="AC159" s="171">
        <f t="shared" si="31"/>
        <v>281630.90000000002</v>
      </c>
      <c r="AD159" s="171">
        <f t="shared" si="31"/>
        <v>502377.87999928679</v>
      </c>
      <c r="AE159" s="171">
        <f t="shared" si="31"/>
        <v>576161.63011116348</v>
      </c>
      <c r="AF159" s="171">
        <f t="shared" si="31"/>
        <v>528787.64473938593</v>
      </c>
      <c r="AG159" s="171">
        <f t="shared" si="31"/>
        <v>422175.51015569293</v>
      </c>
      <c r="AH159" s="21">
        <f>SUM(V159:AG159)</f>
        <v>3827146.0150055289</v>
      </c>
      <c r="AI159" s="41" t="s">
        <v>64</v>
      </c>
      <c r="AJ159" s="171">
        <f t="shared" ref="AJ159:AU159" si="32">SUMIF($C$3:$C$95,$C$159,AJ3:AJ95)</f>
        <v>331435.99000000005</v>
      </c>
      <c r="AK159" s="171">
        <f t="shared" si="32"/>
        <v>252726.31</v>
      </c>
      <c r="AL159" s="171">
        <f t="shared" si="32"/>
        <v>238179.61999999997</v>
      </c>
      <c r="AM159" s="171">
        <f t="shared" si="32"/>
        <v>300903.54999999993</v>
      </c>
      <c r="AN159" s="171">
        <f t="shared" si="32"/>
        <v>51907.25</v>
      </c>
      <c r="AO159" s="171">
        <f t="shared" si="32"/>
        <v>213443.76</v>
      </c>
      <c r="AP159" s="171">
        <f t="shared" si="32"/>
        <v>129735.07999999999</v>
      </c>
      <c r="AQ159" s="171">
        <f t="shared" si="32"/>
        <v>281630.90000000002</v>
      </c>
      <c r="AR159" s="171">
        <f t="shared" si="32"/>
        <v>502377.87999928679</v>
      </c>
      <c r="AS159" s="171">
        <f t="shared" si="32"/>
        <v>576161.63011116348</v>
      </c>
      <c r="AT159" s="171">
        <f t="shared" si="32"/>
        <v>521787.64473938593</v>
      </c>
      <c r="AU159" s="171">
        <f t="shared" si="32"/>
        <v>422175.51015569293</v>
      </c>
      <c r="AV159" s="21">
        <f>SUM(AJ159:AU159)</f>
        <v>3822465.1250055293</v>
      </c>
    </row>
    <row r="161" spans="6:48">
      <c r="F161" s="21">
        <f t="shared" ref="F161:Q161" si="33">SUM(F156:F159)</f>
        <v>664598.43000000005</v>
      </c>
      <c r="G161" s="21">
        <f t="shared" si="33"/>
        <v>511858.31</v>
      </c>
      <c r="H161" s="21">
        <f t="shared" si="33"/>
        <v>289271.34999999998</v>
      </c>
      <c r="I161" s="21">
        <f t="shared" si="33"/>
        <v>519227.71999999991</v>
      </c>
      <c r="J161" s="21">
        <f t="shared" si="33"/>
        <v>192719.18000000002</v>
      </c>
      <c r="K161" s="21">
        <f t="shared" si="33"/>
        <v>418370.16000000003</v>
      </c>
      <c r="L161" s="21">
        <f t="shared" si="33"/>
        <v>329766.21000000002</v>
      </c>
      <c r="M161" s="21">
        <f t="shared" si="33"/>
        <v>506223.07999999996</v>
      </c>
      <c r="N161" s="21">
        <f t="shared" si="33"/>
        <v>624492.87793889351</v>
      </c>
      <c r="O161" s="21">
        <f t="shared" si="33"/>
        <v>970215.52195014036</v>
      </c>
      <c r="P161" s="21">
        <f t="shared" si="33"/>
        <v>833944.99960751517</v>
      </c>
      <c r="Q161" s="21">
        <f t="shared" si="33"/>
        <v>906370.61101917736</v>
      </c>
      <c r="R161" s="21">
        <f t="shared" si="24"/>
        <v>6767058.4505157266</v>
      </c>
      <c r="V161" s="21">
        <f t="shared" ref="V161:AG161" si="34">SUM(V156:V159)</f>
        <v>885901.60000000009</v>
      </c>
      <c r="W161" s="21">
        <f t="shared" si="34"/>
        <v>644171.27</v>
      </c>
      <c r="X161" s="21">
        <f t="shared" si="34"/>
        <v>553984.57999999996</v>
      </c>
      <c r="Y161" s="21">
        <f t="shared" si="34"/>
        <v>589234.61</v>
      </c>
      <c r="Z161" s="21">
        <f t="shared" si="34"/>
        <v>400455.02999999997</v>
      </c>
      <c r="AA161" s="21">
        <f t="shared" si="34"/>
        <v>494245.22</v>
      </c>
      <c r="AB161" s="21">
        <f t="shared" si="34"/>
        <v>356041.14</v>
      </c>
      <c r="AC161" s="21">
        <f t="shared" si="34"/>
        <v>732753.47</v>
      </c>
      <c r="AD161" s="21">
        <f t="shared" si="34"/>
        <v>828601.82930587791</v>
      </c>
      <c r="AE161" s="21">
        <f t="shared" si="34"/>
        <v>967263.11970128946</v>
      </c>
      <c r="AF161" s="21">
        <f t="shared" si="34"/>
        <v>823505.50517326745</v>
      </c>
      <c r="AG161" s="21">
        <f t="shared" si="34"/>
        <v>649358.58759025275</v>
      </c>
      <c r="AH161" s="21">
        <f>SUM(V161:AG161)</f>
        <v>7925515.9617706882</v>
      </c>
      <c r="AJ161" s="21">
        <f t="shared" ref="AJ161:AU161" si="35">SUM(AJ156:AJ159)</f>
        <v>705259.47</v>
      </c>
      <c r="AK161" s="21">
        <f t="shared" si="35"/>
        <v>510494.70999999996</v>
      </c>
      <c r="AL161" s="21">
        <f t="shared" si="35"/>
        <v>359888.45999999996</v>
      </c>
      <c r="AM161" s="21">
        <f t="shared" si="35"/>
        <v>551040.16999999993</v>
      </c>
      <c r="AN161" s="21">
        <f t="shared" si="35"/>
        <v>238488.67</v>
      </c>
      <c r="AO161" s="21">
        <f t="shared" si="35"/>
        <v>483575.67</v>
      </c>
      <c r="AP161" s="21">
        <f t="shared" si="35"/>
        <v>398977.92000000004</v>
      </c>
      <c r="AQ161" s="21">
        <f t="shared" si="35"/>
        <v>566129.47</v>
      </c>
      <c r="AR161" s="21">
        <f t="shared" si="35"/>
        <v>816038.78188575222</v>
      </c>
      <c r="AS161" s="21">
        <f t="shared" si="35"/>
        <v>929014.02895652293</v>
      </c>
      <c r="AT161" s="21">
        <f t="shared" si="35"/>
        <v>845758.3741235187</v>
      </c>
      <c r="AU161" s="21">
        <f t="shared" si="35"/>
        <v>693235.55576885596</v>
      </c>
      <c r="AV161" s="21">
        <f>SUM(AJ161:AU161)</f>
        <v>7097901.2807346489</v>
      </c>
    </row>
    <row r="165" spans="6:48">
      <c r="AC165" s="21">
        <f>R159</f>
        <v>3838075.0001092283</v>
      </c>
      <c r="AD165" s="13" t="s">
        <v>386</v>
      </c>
      <c r="AE165" s="21">
        <f>AH159</f>
        <v>3827146.0150055289</v>
      </c>
      <c r="AF165" s="139">
        <f>AE165/AC165</f>
        <v>0.99715248266295253</v>
      </c>
      <c r="AG165" s="21">
        <f>AE165</f>
        <v>3827146.0150055289</v>
      </c>
      <c r="AH165" s="139">
        <f>AG165/AC165</f>
        <v>0.99715248266295253</v>
      </c>
      <c r="AQ165" s="21">
        <f>AE165</f>
        <v>3827146.0150055289</v>
      </c>
      <c r="AR165" s="13" t="s">
        <v>386</v>
      </c>
      <c r="AS165" s="21">
        <f>AV159</f>
        <v>3822465.1250055293</v>
      </c>
      <c r="AT165" s="139">
        <f>AS165/AQ165</f>
        <v>0.99877692411482422</v>
      </c>
    </row>
    <row r="166" spans="6:48">
      <c r="AC166" s="21">
        <f>R156</f>
        <v>1197223.9159114019</v>
      </c>
      <c r="AD166" s="13" t="s">
        <v>387</v>
      </c>
      <c r="AE166" s="21">
        <f>AH156</f>
        <v>2013698.8046913617</v>
      </c>
      <c r="AF166" s="139">
        <f t="shared" ref="AF166:AF168" si="36">AE166/AC166</f>
        <v>1.6819734202840477</v>
      </c>
      <c r="AG166" s="107">
        <f>AE166-AH92-AH89</f>
        <v>1113698.8046913617</v>
      </c>
      <c r="AH166" s="139">
        <f t="shared" ref="AH166:AH168" si="37">AG166/AC166</f>
        <v>0.9302343445449337</v>
      </c>
      <c r="AQ166" s="21">
        <f t="shared" ref="AQ166:AQ168" si="38">AE166</f>
        <v>2013698.8046913617</v>
      </c>
      <c r="AR166" s="13" t="s">
        <v>387</v>
      </c>
      <c r="AS166" s="21">
        <f>AV156</f>
        <v>958180.96877044311</v>
      </c>
      <c r="AT166" s="139">
        <f t="shared" ref="AT166:AT168" si="39">AS166/AQ166</f>
        <v>0.47583132419711738</v>
      </c>
    </row>
    <row r="167" spans="6:48">
      <c r="AC167" s="21">
        <f>R158</f>
        <v>724175.64651709853</v>
      </c>
      <c r="AD167" s="13" t="s">
        <v>388</v>
      </c>
      <c r="AE167" s="21">
        <f>AH158</f>
        <v>913286.89669723681</v>
      </c>
      <c r="AF167" s="139">
        <f t="shared" si="36"/>
        <v>1.2611400301703921</v>
      </c>
      <c r="AG167" s="107">
        <f>AE167-AH91</f>
        <v>843286.89669723681</v>
      </c>
      <c r="AH167" s="139">
        <f t="shared" si="37"/>
        <v>1.1644783979591145</v>
      </c>
      <c r="AQ167" s="21">
        <f t="shared" si="38"/>
        <v>913286.89669723681</v>
      </c>
      <c r="AR167" s="13" t="s">
        <v>388</v>
      </c>
      <c r="AS167" s="21">
        <f>AV158</f>
        <v>1026805.3249967792</v>
      </c>
      <c r="AT167" s="139">
        <f t="shared" si="39"/>
        <v>1.1242965695774949</v>
      </c>
    </row>
    <row r="168" spans="6:48">
      <c r="AC168" s="21">
        <f>R157</f>
        <v>1007583.887977998</v>
      </c>
      <c r="AD168" s="13" t="s">
        <v>389</v>
      </c>
      <c r="AE168" s="21">
        <f>AH157</f>
        <v>1171384.2453765597</v>
      </c>
      <c r="AF168" s="139">
        <f t="shared" si="36"/>
        <v>1.162567463962999</v>
      </c>
      <c r="AG168" s="107">
        <f>AE168-AH93</f>
        <v>991384.24537655967</v>
      </c>
      <c r="AH168" s="139">
        <f t="shared" si="37"/>
        <v>0.98392228895804645</v>
      </c>
      <c r="AQ168" s="21">
        <f t="shared" si="38"/>
        <v>1171384.2453765597</v>
      </c>
      <c r="AR168" s="13" t="s">
        <v>389</v>
      </c>
      <c r="AS168" s="21">
        <f>AV157</f>
        <v>1290449.8619618984</v>
      </c>
      <c r="AT168" s="139">
        <f t="shared" si="39"/>
        <v>1.1016452261973724</v>
      </c>
    </row>
  </sheetData>
  <conditionalFormatting sqref="E3:E86">
    <cfRule type="cellIs" dxfId="9" priority="1" operator="greaterThan">
      <formula>200000</formula>
    </cfRule>
  </conditionalFormatting>
  <conditionalFormatting sqref="R3:R86">
    <cfRule type="cellIs" dxfId="8" priority="2" operator="greaterThan">
      <formula>200000</formula>
    </cfRule>
  </conditionalFormatting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ED338-3B09-5F4F-83D7-D99775CD2AF6}">
  <sheetPr>
    <tabColor theme="4" tint="0.79998168889431442"/>
  </sheetPr>
  <dimension ref="A1:AF121"/>
  <sheetViews>
    <sheetView workbookViewId="0">
      <selection activeCell="B105" sqref="B105"/>
    </sheetView>
  </sheetViews>
  <sheetFormatPr baseColWidth="10" defaultColWidth="11.5" defaultRowHeight="15"/>
  <cols>
    <col min="2" max="2" width="12.6640625" customWidth="1"/>
    <col min="3" max="3" width="18" customWidth="1"/>
    <col min="4" max="5" width="17.83203125" customWidth="1"/>
  </cols>
  <sheetData>
    <row r="1" spans="1:32" s="416" customFormat="1">
      <c r="A1" s="416" t="s">
        <v>218</v>
      </c>
      <c r="B1" s="416" t="s">
        <v>390</v>
      </c>
      <c r="C1" s="416" t="s">
        <v>391</v>
      </c>
      <c r="D1" s="416" t="s">
        <v>392</v>
      </c>
      <c r="E1" s="416" t="s">
        <v>393</v>
      </c>
      <c r="F1" s="417">
        <v>45991</v>
      </c>
      <c r="G1" s="417">
        <f>EOMONTH(F1,1)</f>
        <v>46022</v>
      </c>
      <c r="H1" s="417">
        <f t="shared" ref="H1:S1" si="0">EOMONTH(G1,1)</f>
        <v>46053</v>
      </c>
      <c r="I1" s="417">
        <f t="shared" si="0"/>
        <v>46081</v>
      </c>
      <c r="J1" s="417">
        <f t="shared" si="0"/>
        <v>46112</v>
      </c>
      <c r="K1" s="417">
        <f t="shared" si="0"/>
        <v>46142</v>
      </c>
      <c r="L1" s="417">
        <f t="shared" si="0"/>
        <v>46173</v>
      </c>
      <c r="M1" s="417">
        <f t="shared" si="0"/>
        <v>46203</v>
      </c>
      <c r="N1" s="417">
        <f t="shared" si="0"/>
        <v>46234</v>
      </c>
      <c r="O1" s="417">
        <f t="shared" si="0"/>
        <v>46265</v>
      </c>
      <c r="P1" s="417">
        <f t="shared" si="0"/>
        <v>46295</v>
      </c>
      <c r="Q1" s="417">
        <f t="shared" si="0"/>
        <v>46326</v>
      </c>
      <c r="R1" s="417">
        <f t="shared" si="0"/>
        <v>46356</v>
      </c>
      <c r="S1" s="417">
        <f t="shared" si="0"/>
        <v>46387</v>
      </c>
      <c r="T1" s="417">
        <f t="shared" ref="T1:AF1" si="1">EOMONTH(S1,1)</f>
        <v>46418</v>
      </c>
      <c r="U1" s="493">
        <f t="shared" si="1"/>
        <v>46446</v>
      </c>
      <c r="V1" s="493">
        <f t="shared" si="1"/>
        <v>46477</v>
      </c>
      <c r="W1" s="493">
        <f t="shared" si="1"/>
        <v>46507</v>
      </c>
      <c r="X1" s="493">
        <f t="shared" si="1"/>
        <v>46538</v>
      </c>
      <c r="Y1" s="493">
        <f t="shared" si="1"/>
        <v>46568</v>
      </c>
      <c r="Z1" s="493">
        <f t="shared" si="1"/>
        <v>46599</v>
      </c>
      <c r="AA1" s="493">
        <f t="shared" si="1"/>
        <v>46630</v>
      </c>
      <c r="AB1" s="493">
        <f t="shared" si="1"/>
        <v>46660</v>
      </c>
      <c r="AC1" s="493">
        <f t="shared" si="1"/>
        <v>46691</v>
      </c>
      <c r="AD1" s="493">
        <f t="shared" si="1"/>
        <v>46721</v>
      </c>
      <c r="AE1" s="493">
        <f t="shared" si="1"/>
        <v>46752</v>
      </c>
      <c r="AF1" s="493">
        <f t="shared" si="1"/>
        <v>46783</v>
      </c>
    </row>
    <row r="2" spans="1:32">
      <c r="A2" t="s">
        <v>73</v>
      </c>
      <c r="B2" t="str">
        <f>$A2&amp;" P&amp;L"</f>
        <v>ES P&amp;L</v>
      </c>
      <c r="C2" t="s">
        <v>83</v>
      </c>
      <c r="D2" t="s">
        <v>394</v>
      </c>
      <c r="E2" t="s">
        <v>82</v>
      </c>
      <c r="F2" s="415">
        <f ca="1">IFERROR(SUMIFS(INDEX(INDIRECT("'"&amp;$B2&amp;"'!$B:$AU"),,MATCH(F$1,INDIRECT("'"&amp;$B2&amp;"'!$B$3:$AU$3"),0)),INDIRECT("'"&amp;$B2&amp;"'!$B:$B"),$C2),0)</f>
        <v>0</v>
      </c>
      <c r="G2" s="415">
        <f t="shared" ref="G2:S17" ca="1" si="2">IFERROR(SUMIFS(INDEX(INDIRECT("'"&amp;$B2&amp;"'!$B:$AU"),,MATCH(G$1,INDIRECT("'"&amp;$B2&amp;"'!$B$3:$AU$3"),0)),INDIRECT("'"&amp;$B2&amp;"'!$B:$B"),$C2),0)</f>
        <v>0</v>
      </c>
      <c r="H2" s="415">
        <f t="shared" ca="1" si="2"/>
        <v>0</v>
      </c>
      <c r="I2" s="415">
        <f t="shared" ca="1" si="2"/>
        <v>0</v>
      </c>
      <c r="J2" s="415">
        <f t="shared" ca="1" si="2"/>
        <v>0</v>
      </c>
      <c r="K2" s="415">
        <f t="shared" ca="1" si="2"/>
        <v>0</v>
      </c>
      <c r="L2" s="415">
        <f t="shared" ca="1" si="2"/>
        <v>0</v>
      </c>
      <c r="M2" s="415">
        <f t="shared" ca="1" si="2"/>
        <v>0</v>
      </c>
      <c r="N2" s="415">
        <f t="shared" ca="1" si="2"/>
        <v>0</v>
      </c>
      <c r="O2" s="415">
        <f t="shared" ca="1" si="2"/>
        <v>0</v>
      </c>
      <c r="P2" s="415">
        <f t="shared" ca="1" si="2"/>
        <v>0</v>
      </c>
      <c r="Q2" s="415">
        <f t="shared" ca="1" si="2"/>
        <v>0</v>
      </c>
      <c r="R2" s="415">
        <f t="shared" ca="1" si="2"/>
        <v>0</v>
      </c>
      <c r="S2" s="415">
        <f t="shared" ca="1" si="2"/>
        <v>0</v>
      </c>
      <c r="T2" s="415">
        <f t="shared" ref="T2:AF11" ca="1" si="3">IFERROR(SUMIFS(INDEX(INDIRECT("'"&amp;$B2&amp;"'!$B:$AU"),,MATCH(T$1,INDIRECT("'"&amp;$B2&amp;"'!$B$3:$AU$3"),0)),INDIRECT("'"&amp;$B2&amp;"'!$B:$B"),$C2),0)</f>
        <v>0</v>
      </c>
      <c r="U2" s="415">
        <f t="shared" ca="1" si="3"/>
        <v>0</v>
      </c>
      <c r="V2" s="415">
        <f t="shared" ca="1" si="3"/>
        <v>0</v>
      </c>
      <c r="W2" s="415">
        <f t="shared" ca="1" si="3"/>
        <v>0</v>
      </c>
      <c r="X2" s="415">
        <f t="shared" ca="1" si="3"/>
        <v>0</v>
      </c>
      <c r="Y2" s="415">
        <f t="shared" ca="1" si="3"/>
        <v>0</v>
      </c>
      <c r="Z2" s="415">
        <f t="shared" ca="1" si="3"/>
        <v>0</v>
      </c>
      <c r="AA2" s="415">
        <f t="shared" ca="1" si="3"/>
        <v>0</v>
      </c>
      <c r="AB2" s="415">
        <f t="shared" ca="1" si="3"/>
        <v>0</v>
      </c>
      <c r="AC2" s="415">
        <f t="shared" ca="1" si="3"/>
        <v>0</v>
      </c>
      <c r="AD2" s="415">
        <f t="shared" ca="1" si="3"/>
        <v>0</v>
      </c>
      <c r="AE2" s="415">
        <f t="shared" ca="1" si="3"/>
        <v>0</v>
      </c>
      <c r="AF2" s="415">
        <f t="shared" ca="1" si="3"/>
        <v>0</v>
      </c>
    </row>
    <row r="3" spans="1:32">
      <c r="A3" t="s">
        <v>73</v>
      </c>
      <c r="B3" t="str">
        <f t="shared" ref="B3:B66" si="4">$A3&amp;" P&amp;L"</f>
        <v>ES P&amp;L</v>
      </c>
      <c r="C3" t="s">
        <v>84</v>
      </c>
      <c r="D3" t="s">
        <v>395</v>
      </c>
      <c r="E3" t="s">
        <v>82</v>
      </c>
      <c r="F3" s="415">
        <f t="shared" ref="F3:S18" ca="1" si="5">IFERROR(SUMIFS(INDEX(INDIRECT("'"&amp;$B3&amp;"'!$B:$AU"),,MATCH(F$1,INDIRECT("'"&amp;$B3&amp;"'!$B$3:$AU$3"),0)),INDIRECT("'"&amp;$B3&amp;"'!$B:$B"),$C3),0)</f>
        <v>0</v>
      </c>
      <c r="G3" s="415">
        <f t="shared" ca="1" si="2"/>
        <v>0</v>
      </c>
      <c r="H3" s="415">
        <f t="shared" ca="1" si="2"/>
        <v>0</v>
      </c>
      <c r="I3" s="415">
        <f t="shared" ca="1" si="2"/>
        <v>0</v>
      </c>
      <c r="J3" s="415">
        <f t="shared" ca="1" si="2"/>
        <v>0</v>
      </c>
      <c r="K3" s="415">
        <f t="shared" ca="1" si="2"/>
        <v>0</v>
      </c>
      <c r="L3" s="415">
        <f t="shared" ca="1" si="2"/>
        <v>0</v>
      </c>
      <c r="M3" s="415">
        <f t="shared" ca="1" si="2"/>
        <v>0</v>
      </c>
      <c r="N3" s="415">
        <f t="shared" ca="1" si="2"/>
        <v>0</v>
      </c>
      <c r="O3" s="415">
        <f t="shared" ca="1" si="2"/>
        <v>0</v>
      </c>
      <c r="P3" s="415">
        <f t="shared" ca="1" si="2"/>
        <v>0</v>
      </c>
      <c r="Q3" s="415">
        <f t="shared" ca="1" si="2"/>
        <v>0</v>
      </c>
      <c r="R3" s="415">
        <f t="shared" ca="1" si="2"/>
        <v>0</v>
      </c>
      <c r="S3" s="415">
        <f t="shared" ca="1" si="2"/>
        <v>0</v>
      </c>
      <c r="T3" s="415">
        <f t="shared" ca="1" si="3"/>
        <v>0</v>
      </c>
      <c r="U3" s="415">
        <f t="shared" ca="1" si="3"/>
        <v>0</v>
      </c>
      <c r="V3" s="415">
        <f t="shared" ca="1" si="3"/>
        <v>0</v>
      </c>
      <c r="W3" s="415">
        <f t="shared" ca="1" si="3"/>
        <v>0</v>
      </c>
      <c r="X3" s="415">
        <f t="shared" ca="1" si="3"/>
        <v>0</v>
      </c>
      <c r="Y3" s="415">
        <f t="shared" ca="1" si="3"/>
        <v>0</v>
      </c>
      <c r="Z3" s="415">
        <f t="shared" ca="1" si="3"/>
        <v>0</v>
      </c>
      <c r="AA3" s="415">
        <f t="shared" ca="1" si="3"/>
        <v>0</v>
      </c>
      <c r="AB3" s="415">
        <f t="shared" ca="1" si="3"/>
        <v>0</v>
      </c>
      <c r="AC3" s="415">
        <f t="shared" ca="1" si="3"/>
        <v>0</v>
      </c>
      <c r="AD3" s="415">
        <f t="shared" ca="1" si="3"/>
        <v>0</v>
      </c>
      <c r="AE3" s="415">
        <f t="shared" ca="1" si="3"/>
        <v>0</v>
      </c>
      <c r="AF3" s="415">
        <f t="shared" ca="1" si="3"/>
        <v>0</v>
      </c>
    </row>
    <row r="4" spans="1:32">
      <c r="A4" t="s">
        <v>73</v>
      </c>
      <c r="B4" t="str">
        <f t="shared" si="4"/>
        <v>ES P&amp;L</v>
      </c>
      <c r="C4" t="s">
        <v>265</v>
      </c>
      <c r="D4" t="s">
        <v>396</v>
      </c>
      <c r="E4" t="s">
        <v>82</v>
      </c>
      <c r="F4" s="415">
        <f ca="1">IFERROR(SUMIFS(INDEX(INDIRECT("'"&amp;$D4&amp;"'!$a24:$AU40"),,MATCH(F$1,INDIRECT("'"&amp;$D4&amp;"'!$a$1:$AU$1"),0)),INDIRECT("'"&amp;$D4&amp;"'!$a24:$a40"),$C4),0)</f>
        <v>9300</v>
      </c>
      <c r="G4" s="415">
        <f t="shared" ref="G4:AF4" ca="1" si="6">IFERROR(SUMIFS(INDEX(INDIRECT("'"&amp;$D4&amp;"'!$a24:$AU40"),,MATCH(G$1,INDIRECT("'"&amp;$D4&amp;"'!$a$1:$AU$1"),0)),INDIRECT("'"&amp;$D4&amp;"'!$a24:$a40"),$C4),0)</f>
        <v>9300</v>
      </c>
      <c r="H4" s="415">
        <f t="shared" ca="1" si="6"/>
        <v>7200</v>
      </c>
      <c r="I4" s="415">
        <f t="shared" ca="1" si="6"/>
        <v>9716</v>
      </c>
      <c r="J4" s="415">
        <f t="shared" ca="1" si="6"/>
        <v>12810</v>
      </c>
      <c r="K4" s="415">
        <f t="shared" ca="1" si="6"/>
        <v>12231.85</v>
      </c>
      <c r="L4" s="415">
        <f t="shared" ca="1" si="6"/>
        <v>12236.400000000001</v>
      </c>
      <c r="M4" s="415">
        <f t="shared" ca="1" si="6"/>
        <v>9628.1200000000008</v>
      </c>
      <c r="N4" s="415">
        <f t="shared" ca="1" si="6"/>
        <v>11964.08</v>
      </c>
      <c r="O4" s="415">
        <f t="shared" ca="1" si="6"/>
        <v>12237</v>
      </c>
      <c r="P4" s="415">
        <f t="shared" ca="1" si="6"/>
        <v>15939.539999999999</v>
      </c>
      <c r="Q4" s="415">
        <f t="shared" ca="1" si="6"/>
        <v>15547.6</v>
      </c>
      <c r="R4" s="415">
        <f t="shared" ca="1" si="6"/>
        <v>22765.61</v>
      </c>
      <c r="S4" s="415">
        <f t="shared" ca="1" si="6"/>
        <v>22740.690000000002</v>
      </c>
      <c r="T4" s="415">
        <f t="shared" ca="1" si="6"/>
        <v>17164.140000000003</v>
      </c>
      <c r="U4" s="415">
        <f t="shared" ca="1" si="6"/>
        <v>17164.140000000003</v>
      </c>
      <c r="V4" s="415">
        <f t="shared" ca="1" si="6"/>
        <v>18880.554000000004</v>
      </c>
      <c r="W4" s="415">
        <f t="shared" ca="1" si="6"/>
        <v>20768.609400000005</v>
      </c>
      <c r="X4" s="415">
        <f t="shared" ca="1" si="6"/>
        <v>20768.609400000005</v>
      </c>
      <c r="Y4" s="415">
        <f t="shared" ca="1" si="6"/>
        <v>22845.470340000007</v>
      </c>
      <c r="Z4" s="415">
        <f t="shared" ca="1" si="6"/>
        <v>25130.01737400001</v>
      </c>
      <c r="AA4" s="415">
        <f t="shared" ca="1" si="6"/>
        <v>20768.609400000005</v>
      </c>
      <c r="AB4" s="415">
        <f t="shared" ca="1" si="6"/>
        <v>22845.470340000007</v>
      </c>
      <c r="AC4" s="415">
        <f t="shared" ca="1" si="6"/>
        <v>25130.01737400001</v>
      </c>
      <c r="AD4" s="415">
        <f t="shared" ca="1" si="6"/>
        <v>27643.019111400012</v>
      </c>
      <c r="AE4" s="415">
        <f t="shared" ca="1" si="6"/>
        <v>27643.019111400012</v>
      </c>
      <c r="AF4" s="415">
        <f t="shared" ca="1" si="6"/>
        <v>30407.321022540014</v>
      </c>
    </row>
    <row r="5" spans="1:32">
      <c r="A5" t="s">
        <v>73</v>
      </c>
      <c r="B5" t="str">
        <f t="shared" si="4"/>
        <v>ES P&amp;L</v>
      </c>
      <c r="C5" t="s">
        <v>86</v>
      </c>
      <c r="D5" t="s">
        <v>397</v>
      </c>
      <c r="E5" t="s">
        <v>82</v>
      </c>
      <c r="F5" s="415">
        <f t="shared" ca="1" si="5"/>
        <v>0</v>
      </c>
      <c r="G5" s="415">
        <f t="shared" ca="1" si="2"/>
        <v>0</v>
      </c>
      <c r="H5" s="415">
        <f t="shared" ca="1" si="2"/>
        <v>0</v>
      </c>
      <c r="I5" s="415">
        <f t="shared" ca="1" si="2"/>
        <v>0</v>
      </c>
      <c r="J5" s="415">
        <f t="shared" ca="1" si="2"/>
        <v>0</v>
      </c>
      <c r="K5" s="415">
        <f t="shared" ca="1" si="2"/>
        <v>0</v>
      </c>
      <c r="L5" s="415">
        <f t="shared" ca="1" si="2"/>
        <v>0</v>
      </c>
      <c r="M5" s="415">
        <f t="shared" ca="1" si="2"/>
        <v>0</v>
      </c>
      <c r="N5" s="415">
        <f t="shared" ca="1" si="2"/>
        <v>0</v>
      </c>
      <c r="O5" s="415">
        <f t="shared" ca="1" si="2"/>
        <v>0</v>
      </c>
      <c r="P5" s="415">
        <f t="shared" ca="1" si="2"/>
        <v>0</v>
      </c>
      <c r="Q5" s="415">
        <f t="shared" ca="1" si="2"/>
        <v>0</v>
      </c>
      <c r="R5" s="415">
        <f t="shared" ca="1" si="2"/>
        <v>0</v>
      </c>
      <c r="S5" s="415">
        <f t="shared" ca="1" si="2"/>
        <v>0</v>
      </c>
      <c r="T5" s="415">
        <f t="shared" ca="1" si="3"/>
        <v>0</v>
      </c>
      <c r="U5" s="415">
        <f t="shared" ca="1" si="3"/>
        <v>0</v>
      </c>
      <c r="V5" s="415">
        <f t="shared" ca="1" si="3"/>
        <v>0</v>
      </c>
      <c r="W5" s="415">
        <f t="shared" ca="1" si="3"/>
        <v>0</v>
      </c>
      <c r="X5" s="415">
        <f t="shared" ca="1" si="3"/>
        <v>0</v>
      </c>
      <c r="Y5" s="415">
        <f t="shared" ca="1" si="3"/>
        <v>0</v>
      </c>
      <c r="Z5" s="415">
        <f t="shared" ca="1" si="3"/>
        <v>0</v>
      </c>
      <c r="AA5" s="415">
        <f t="shared" ca="1" si="3"/>
        <v>0</v>
      </c>
      <c r="AB5" s="415">
        <f t="shared" ca="1" si="3"/>
        <v>0</v>
      </c>
      <c r="AC5" s="415">
        <f t="shared" ca="1" si="3"/>
        <v>0</v>
      </c>
      <c r="AD5" s="415">
        <f t="shared" ca="1" si="3"/>
        <v>0</v>
      </c>
      <c r="AE5" s="415">
        <f t="shared" ca="1" si="3"/>
        <v>0</v>
      </c>
      <c r="AF5" s="415">
        <f t="shared" ca="1" si="3"/>
        <v>0</v>
      </c>
    </row>
    <row r="6" spans="1:32">
      <c r="A6" t="s">
        <v>69</v>
      </c>
      <c r="B6" t="str">
        <f t="shared" si="4"/>
        <v>IT P&amp;L</v>
      </c>
      <c r="C6" t="s">
        <v>83</v>
      </c>
      <c r="D6" t="s">
        <v>394</v>
      </c>
      <c r="E6" t="s">
        <v>82</v>
      </c>
      <c r="F6" s="415">
        <f t="shared" ca="1" si="5"/>
        <v>68600</v>
      </c>
      <c r="G6" s="415">
        <f t="shared" ca="1" si="2"/>
        <v>18900</v>
      </c>
      <c r="H6" s="415">
        <f t="shared" ca="1" si="2"/>
        <v>43350</v>
      </c>
      <c r="I6" s="415">
        <f t="shared" ca="1" si="2"/>
        <v>40210.860585063827</v>
      </c>
      <c r="J6" s="415">
        <f t="shared" ca="1" si="2"/>
        <v>68013.05946951489</v>
      </c>
      <c r="K6" s="415">
        <f t="shared" ca="1" si="2"/>
        <v>63178.362595314895</v>
      </c>
      <c r="L6" s="415">
        <f t="shared" ca="1" si="2"/>
        <v>46474.044960739477</v>
      </c>
      <c r="M6" s="415">
        <f t="shared" ca="1" si="2"/>
        <v>39612.927245787228</v>
      </c>
      <c r="N6" s="415">
        <f t="shared" ca="1" si="2"/>
        <v>87943.998087489381</v>
      </c>
      <c r="O6" s="415">
        <f t="shared" ca="1" si="2"/>
        <v>49584.097408085108</v>
      </c>
      <c r="P6" s="415">
        <f t="shared" ca="1" si="2"/>
        <v>42509.794918439715</v>
      </c>
      <c r="Q6" s="415">
        <f t="shared" ca="1" si="2"/>
        <v>84295.310978723399</v>
      </c>
      <c r="R6" s="415">
        <f t="shared" ca="1" si="2"/>
        <v>76738.592482269494</v>
      </c>
      <c r="S6" s="415">
        <f t="shared" ca="1" si="2"/>
        <v>45938.482202411345</v>
      </c>
      <c r="T6" s="415">
        <f t="shared" ca="1" si="3"/>
        <v>60443.007519411352</v>
      </c>
      <c r="U6" s="415">
        <f t="shared" ca="1" si="3"/>
        <v>78354.714000212771</v>
      </c>
      <c r="V6" s="415">
        <f t="shared" ca="1" si="3"/>
        <v>106418.83912198582</v>
      </c>
      <c r="W6" s="415">
        <f t="shared" ca="1" si="3"/>
        <v>103003.32417056737</v>
      </c>
      <c r="X6" s="415">
        <f t="shared" ca="1" si="3"/>
        <v>89832.087855697391</v>
      </c>
      <c r="Y6" s="415">
        <f t="shared" ca="1" si="3"/>
        <v>83380.04259659574</v>
      </c>
      <c r="Z6" s="415">
        <f t="shared" ca="1" si="3"/>
        <v>186425.40958382981</v>
      </c>
      <c r="AA6" s="415">
        <f t="shared" ca="1" si="3"/>
        <v>85275.298349148958</v>
      </c>
      <c r="AB6" s="415">
        <f t="shared" ca="1" si="3"/>
        <v>96980.982226004722</v>
      </c>
      <c r="AC6" s="415">
        <f t="shared" ca="1" si="3"/>
        <v>161949.4004255319</v>
      </c>
      <c r="AD6" s="415">
        <f t="shared" ca="1" si="3"/>
        <v>143031.50035460992</v>
      </c>
      <c r="AE6" s="415">
        <f t="shared" ca="1" si="3"/>
        <v>84170.745551773056</v>
      </c>
      <c r="AF6" s="415">
        <f t="shared" ca="1" si="3"/>
        <v>101948.66699177306</v>
      </c>
    </row>
    <row r="7" spans="1:32">
      <c r="A7" t="s">
        <v>69</v>
      </c>
      <c r="B7" t="str">
        <f t="shared" si="4"/>
        <v>IT P&amp;L</v>
      </c>
      <c r="C7" t="s">
        <v>84</v>
      </c>
      <c r="D7" t="s">
        <v>395</v>
      </c>
      <c r="E7" t="s">
        <v>82</v>
      </c>
      <c r="F7" s="415">
        <f t="shared" ca="1" si="5"/>
        <v>51424</v>
      </c>
      <c r="G7" s="415">
        <f t="shared" ca="1" si="2"/>
        <v>13424</v>
      </c>
      <c r="H7" s="415">
        <f t="shared" ca="1" si="2"/>
        <v>46860</v>
      </c>
      <c r="I7" s="415">
        <f t="shared" ca="1" si="2"/>
        <v>43072.289999999994</v>
      </c>
      <c r="J7" s="415">
        <f t="shared" ca="1" si="2"/>
        <v>38961.359999999993</v>
      </c>
      <c r="K7" s="415">
        <f t="shared" ca="1" si="2"/>
        <v>20429.25</v>
      </c>
      <c r="L7" s="415">
        <f t="shared" ca="1" si="2"/>
        <v>25209.850285191529</v>
      </c>
      <c r="M7" s="415">
        <f t="shared" ca="1" si="2"/>
        <v>56291.728714244906</v>
      </c>
      <c r="N7" s="415">
        <f t="shared" ca="1" si="2"/>
        <v>22024.582238988842</v>
      </c>
      <c r="O7" s="415">
        <f t="shared" ca="1" si="2"/>
        <v>15418.057890501668</v>
      </c>
      <c r="P7" s="415">
        <f t="shared" ca="1" si="2"/>
        <v>80009.834580448602</v>
      </c>
      <c r="Q7" s="415">
        <f t="shared" ca="1" si="2"/>
        <v>33025.88140783782</v>
      </c>
      <c r="R7" s="415">
        <f t="shared" ca="1" si="2"/>
        <v>59692.334692152726</v>
      </c>
      <c r="S7" s="415">
        <f t="shared" ca="1" si="2"/>
        <v>15146.797161411017</v>
      </c>
      <c r="T7" s="415">
        <f t="shared" ca="1" si="3"/>
        <v>35280.272556530734</v>
      </c>
      <c r="U7" s="415">
        <f t="shared" ca="1" si="3"/>
        <v>45963.279299999995</v>
      </c>
      <c r="V7" s="415">
        <f t="shared" ca="1" si="3"/>
        <v>41686.042499999996</v>
      </c>
      <c r="W7" s="415">
        <f t="shared" ca="1" si="3"/>
        <v>21450.712500000001</v>
      </c>
      <c r="X7" s="415">
        <f t="shared" ca="1" si="3"/>
        <v>27218.600108006853</v>
      </c>
      <c r="Y7" s="415">
        <f t="shared" ca="1" si="3"/>
        <v>59828.700313884503</v>
      </c>
      <c r="Z7" s="415">
        <f t="shared" ca="1" si="3"/>
        <v>23699.348118107951</v>
      </c>
      <c r="AA7" s="415">
        <f t="shared" ca="1" si="3"/>
        <v>16401.768549241802</v>
      </c>
      <c r="AB7" s="415">
        <f t="shared" ca="1" si="3"/>
        <v>85166.850184384486</v>
      </c>
      <c r="AC7" s="415">
        <f t="shared" ca="1" si="3"/>
        <v>35435.422572964846</v>
      </c>
      <c r="AD7" s="415">
        <f t="shared" ca="1" si="3"/>
        <v>63813.881052843979</v>
      </c>
      <c r="AE7" s="415">
        <f t="shared" ca="1" si="3"/>
        <v>15904.137019481568</v>
      </c>
      <c r="AF7" s="415">
        <f t="shared" ca="1" si="3"/>
        <v>37738.857198704784</v>
      </c>
    </row>
    <row r="8" spans="1:32">
      <c r="A8" t="s">
        <v>69</v>
      </c>
      <c r="B8" t="str">
        <f t="shared" si="4"/>
        <v>IT P&amp;L</v>
      </c>
      <c r="C8" t="s">
        <v>263</v>
      </c>
      <c r="D8" t="s">
        <v>396</v>
      </c>
      <c r="E8" t="s">
        <v>82</v>
      </c>
      <c r="F8" s="415">
        <f ca="1">IFERROR(SUMIFS(INDEX(INDIRECT("'"&amp;$D8&amp;"'!$a24:$AU40"),,MATCH(F$1,INDIRECT("'"&amp;$D8&amp;"'!$a$1:$AU$1"),0)),INDIRECT("'"&amp;$D8&amp;"'!$a24:$a40"),$C8),0)</f>
        <v>18600</v>
      </c>
      <c r="G8" s="415">
        <f t="shared" ref="G8:AF8" ca="1" si="7">IFERROR(SUMIFS(INDEX(INDIRECT("'"&amp;$D8&amp;"'!$a24:$AU40"),,MATCH(G$1,INDIRECT("'"&amp;$D8&amp;"'!$a$1:$AU$1"),0)),INDIRECT("'"&amp;$D8&amp;"'!$a24:$a40"),$C8),0)</f>
        <v>18600</v>
      </c>
      <c r="H8" s="415">
        <f t="shared" ca="1" si="7"/>
        <v>14400</v>
      </c>
      <c r="I8" s="415">
        <f t="shared" ca="1" si="7"/>
        <v>13602.400000000001</v>
      </c>
      <c r="J8" s="415">
        <f t="shared" ca="1" si="7"/>
        <v>17934</v>
      </c>
      <c r="K8" s="415">
        <f t="shared" ca="1" si="7"/>
        <v>17124.59</v>
      </c>
      <c r="L8" s="415">
        <f t="shared" ca="1" si="7"/>
        <v>17130.960000000003</v>
      </c>
      <c r="M8" s="415">
        <f t="shared" ca="1" si="7"/>
        <v>16849.210000000003</v>
      </c>
      <c r="N8" s="415">
        <f t="shared" ca="1" si="7"/>
        <v>17946.12</v>
      </c>
      <c r="O8" s="415">
        <f t="shared" ca="1" si="7"/>
        <v>14684.4</v>
      </c>
      <c r="P8" s="415">
        <f t="shared" ca="1" si="7"/>
        <v>18596.13</v>
      </c>
      <c r="Q8" s="415">
        <f t="shared" ca="1" si="7"/>
        <v>21766.640000000003</v>
      </c>
      <c r="R8" s="415">
        <f t="shared" ca="1" si="7"/>
        <v>22765.61</v>
      </c>
      <c r="S8" s="415">
        <f t="shared" ca="1" si="7"/>
        <v>22740.690000000002</v>
      </c>
      <c r="T8" s="415">
        <f t="shared" ca="1" si="7"/>
        <v>17164.140000000003</v>
      </c>
      <c r="U8" s="415">
        <f t="shared" ca="1" si="7"/>
        <v>18000</v>
      </c>
      <c r="V8" s="415">
        <f t="shared" ca="1" si="7"/>
        <v>18000</v>
      </c>
      <c r="W8" s="415">
        <f t="shared" ca="1" si="7"/>
        <v>18000</v>
      </c>
      <c r="X8" s="415">
        <f t="shared" ca="1" si="7"/>
        <v>18000</v>
      </c>
      <c r="Y8" s="415">
        <f t="shared" ca="1" si="7"/>
        <v>12600</v>
      </c>
      <c r="Z8" s="415">
        <f t="shared" ca="1" si="7"/>
        <v>18600</v>
      </c>
      <c r="AA8" s="415">
        <f t="shared" ca="1" si="7"/>
        <v>18000</v>
      </c>
      <c r="AB8" s="415">
        <f t="shared" ca="1" si="7"/>
        <v>18000</v>
      </c>
      <c r="AC8" s="415">
        <f t="shared" ca="1" si="7"/>
        <v>18000</v>
      </c>
      <c r="AD8" s="415">
        <f t="shared" ca="1" si="7"/>
        <v>18000</v>
      </c>
      <c r="AE8" s="415">
        <f t="shared" ca="1" si="7"/>
        <v>18000</v>
      </c>
      <c r="AF8" s="415">
        <f t="shared" ca="1" si="7"/>
        <v>18000</v>
      </c>
    </row>
    <row r="9" spans="1:32">
      <c r="A9" t="s">
        <v>69</v>
      </c>
      <c r="B9" t="str">
        <f t="shared" si="4"/>
        <v>IT P&amp;L</v>
      </c>
      <c r="C9" t="s">
        <v>86</v>
      </c>
      <c r="D9" t="s">
        <v>397</v>
      </c>
      <c r="E9" t="s">
        <v>82</v>
      </c>
      <c r="F9" s="415">
        <f t="shared" ca="1" si="5"/>
        <v>0</v>
      </c>
      <c r="G9" s="415">
        <f t="shared" ca="1" si="2"/>
        <v>0</v>
      </c>
      <c r="H9" s="415">
        <f t="shared" ca="1" si="2"/>
        <v>0</v>
      </c>
      <c r="I9" s="415">
        <f t="shared" ca="1" si="2"/>
        <v>0</v>
      </c>
      <c r="J9" s="415">
        <f t="shared" ca="1" si="2"/>
        <v>0</v>
      </c>
      <c r="K9" s="415">
        <f t="shared" ca="1" si="2"/>
        <v>0</v>
      </c>
      <c r="L9" s="415">
        <f t="shared" ca="1" si="2"/>
        <v>0</v>
      </c>
      <c r="M9" s="415">
        <f t="shared" ca="1" si="2"/>
        <v>0</v>
      </c>
      <c r="N9" s="415">
        <f t="shared" ca="1" si="2"/>
        <v>0</v>
      </c>
      <c r="O9" s="415">
        <f t="shared" ca="1" si="2"/>
        <v>0</v>
      </c>
      <c r="P9" s="415">
        <f t="shared" ca="1" si="2"/>
        <v>0</v>
      </c>
      <c r="Q9" s="415">
        <f t="shared" ca="1" si="2"/>
        <v>0</v>
      </c>
      <c r="R9" s="415">
        <f t="shared" ca="1" si="2"/>
        <v>0</v>
      </c>
      <c r="S9" s="415">
        <f t="shared" ca="1" si="2"/>
        <v>0</v>
      </c>
      <c r="T9" s="415">
        <f t="shared" ca="1" si="3"/>
        <v>0</v>
      </c>
      <c r="U9" s="415">
        <f t="shared" ca="1" si="3"/>
        <v>0</v>
      </c>
      <c r="V9" s="415">
        <f t="shared" ca="1" si="3"/>
        <v>0</v>
      </c>
      <c r="W9" s="415">
        <f t="shared" ca="1" si="3"/>
        <v>0</v>
      </c>
      <c r="X9" s="415">
        <f t="shared" ca="1" si="3"/>
        <v>0</v>
      </c>
      <c r="Y9" s="415">
        <f t="shared" ca="1" si="3"/>
        <v>0</v>
      </c>
      <c r="Z9" s="415">
        <f t="shared" ca="1" si="3"/>
        <v>0</v>
      </c>
      <c r="AA9" s="415">
        <f t="shared" ca="1" si="3"/>
        <v>0</v>
      </c>
      <c r="AB9" s="415">
        <f t="shared" ca="1" si="3"/>
        <v>0</v>
      </c>
      <c r="AC9" s="415">
        <f t="shared" ca="1" si="3"/>
        <v>0</v>
      </c>
      <c r="AD9" s="415">
        <f t="shared" ca="1" si="3"/>
        <v>0</v>
      </c>
      <c r="AE9" s="415">
        <f t="shared" ca="1" si="3"/>
        <v>0</v>
      </c>
      <c r="AF9" s="415">
        <f t="shared" ca="1" si="3"/>
        <v>0</v>
      </c>
    </row>
    <row r="10" spans="1:32">
      <c r="A10" t="s">
        <v>72</v>
      </c>
      <c r="B10" t="str">
        <f t="shared" si="4"/>
        <v>RO P&amp;L</v>
      </c>
      <c r="C10" t="s">
        <v>83</v>
      </c>
      <c r="D10" t="s">
        <v>394</v>
      </c>
      <c r="E10" t="s">
        <v>82</v>
      </c>
      <c r="F10" s="415">
        <f t="shared" ca="1" si="5"/>
        <v>0</v>
      </c>
      <c r="G10" s="415">
        <f t="shared" ca="1" si="2"/>
        <v>0</v>
      </c>
      <c r="H10" s="415">
        <f t="shared" ca="1" si="2"/>
        <v>0</v>
      </c>
      <c r="I10" s="415">
        <f t="shared" ca="1" si="2"/>
        <v>0</v>
      </c>
      <c r="J10" s="415">
        <f t="shared" ca="1" si="2"/>
        <v>0</v>
      </c>
      <c r="K10" s="415">
        <f t="shared" ca="1" si="2"/>
        <v>0</v>
      </c>
      <c r="L10" s="415">
        <f t="shared" ca="1" si="2"/>
        <v>0</v>
      </c>
      <c r="M10" s="415">
        <f t="shared" ca="1" si="2"/>
        <v>0</v>
      </c>
      <c r="N10" s="415">
        <f t="shared" ca="1" si="2"/>
        <v>0</v>
      </c>
      <c r="O10" s="415">
        <f t="shared" ca="1" si="2"/>
        <v>0</v>
      </c>
      <c r="P10" s="415">
        <f t="shared" ca="1" si="2"/>
        <v>0</v>
      </c>
      <c r="Q10" s="415">
        <f t="shared" ca="1" si="2"/>
        <v>0</v>
      </c>
      <c r="R10" s="415">
        <f t="shared" ca="1" si="2"/>
        <v>0</v>
      </c>
      <c r="S10" s="415">
        <f t="shared" ca="1" si="2"/>
        <v>0</v>
      </c>
      <c r="T10" s="415">
        <f t="shared" ca="1" si="3"/>
        <v>0</v>
      </c>
      <c r="U10" s="415">
        <f t="shared" ca="1" si="3"/>
        <v>0</v>
      </c>
      <c r="V10" s="415">
        <f t="shared" ca="1" si="3"/>
        <v>0</v>
      </c>
      <c r="W10" s="415">
        <f t="shared" ca="1" si="3"/>
        <v>0</v>
      </c>
      <c r="X10" s="415">
        <f t="shared" ca="1" si="3"/>
        <v>0</v>
      </c>
      <c r="Y10" s="415">
        <f t="shared" ca="1" si="3"/>
        <v>0</v>
      </c>
      <c r="Z10" s="415">
        <f t="shared" ca="1" si="3"/>
        <v>0</v>
      </c>
      <c r="AA10" s="415">
        <f t="shared" ca="1" si="3"/>
        <v>0</v>
      </c>
      <c r="AB10" s="415">
        <f t="shared" ca="1" si="3"/>
        <v>0</v>
      </c>
      <c r="AC10" s="415">
        <f t="shared" ca="1" si="3"/>
        <v>0</v>
      </c>
      <c r="AD10" s="415">
        <f t="shared" ca="1" si="3"/>
        <v>0</v>
      </c>
      <c r="AE10" s="415">
        <f t="shared" ca="1" si="3"/>
        <v>0</v>
      </c>
      <c r="AF10" s="415">
        <f t="shared" ca="1" si="3"/>
        <v>0</v>
      </c>
    </row>
    <row r="11" spans="1:32">
      <c r="A11" t="s">
        <v>72</v>
      </c>
      <c r="B11" t="str">
        <f t="shared" si="4"/>
        <v>RO P&amp;L</v>
      </c>
      <c r="C11" t="s">
        <v>84</v>
      </c>
      <c r="D11" t="s">
        <v>395</v>
      </c>
      <c r="E11" t="s">
        <v>82</v>
      </c>
      <c r="F11" s="415">
        <f t="shared" ca="1" si="5"/>
        <v>0</v>
      </c>
      <c r="G11" s="415">
        <f t="shared" ca="1" si="2"/>
        <v>0</v>
      </c>
      <c r="H11" s="415">
        <f t="shared" ca="1" si="2"/>
        <v>0</v>
      </c>
      <c r="I11" s="415">
        <f t="shared" ca="1" si="2"/>
        <v>0</v>
      </c>
      <c r="J11" s="415">
        <f t="shared" ca="1" si="2"/>
        <v>0</v>
      </c>
      <c r="K11" s="415">
        <f t="shared" ca="1" si="2"/>
        <v>0</v>
      </c>
      <c r="L11" s="415">
        <f t="shared" ca="1" si="2"/>
        <v>0</v>
      </c>
      <c r="M11" s="415">
        <f t="shared" ca="1" si="2"/>
        <v>0</v>
      </c>
      <c r="N11" s="415">
        <f t="shared" ca="1" si="2"/>
        <v>0</v>
      </c>
      <c r="O11" s="415">
        <f t="shared" ca="1" si="2"/>
        <v>0</v>
      </c>
      <c r="P11" s="415">
        <f t="shared" ca="1" si="2"/>
        <v>0</v>
      </c>
      <c r="Q11" s="415">
        <f t="shared" ca="1" si="2"/>
        <v>0</v>
      </c>
      <c r="R11" s="415">
        <f t="shared" ca="1" si="2"/>
        <v>0</v>
      </c>
      <c r="S11" s="415">
        <f t="shared" ca="1" si="2"/>
        <v>0</v>
      </c>
      <c r="T11" s="415">
        <f t="shared" ca="1" si="3"/>
        <v>0</v>
      </c>
      <c r="U11" s="415">
        <f t="shared" ca="1" si="3"/>
        <v>0</v>
      </c>
      <c r="V11" s="415">
        <f t="shared" ca="1" si="3"/>
        <v>0</v>
      </c>
      <c r="W11" s="415">
        <f t="shared" ca="1" si="3"/>
        <v>0</v>
      </c>
      <c r="X11" s="415">
        <f t="shared" ca="1" si="3"/>
        <v>0</v>
      </c>
      <c r="Y11" s="415">
        <f t="shared" ca="1" si="3"/>
        <v>0</v>
      </c>
      <c r="Z11" s="415">
        <f t="shared" ca="1" si="3"/>
        <v>0</v>
      </c>
      <c r="AA11" s="415">
        <f t="shared" ca="1" si="3"/>
        <v>0</v>
      </c>
      <c r="AB11" s="415">
        <f t="shared" ca="1" si="3"/>
        <v>0</v>
      </c>
      <c r="AC11" s="415">
        <f t="shared" ca="1" si="3"/>
        <v>0</v>
      </c>
      <c r="AD11" s="415">
        <f t="shared" ca="1" si="3"/>
        <v>0</v>
      </c>
      <c r="AE11" s="415">
        <f t="shared" ca="1" si="3"/>
        <v>0</v>
      </c>
      <c r="AF11" s="415">
        <f t="shared" ca="1" si="3"/>
        <v>0</v>
      </c>
    </row>
    <row r="12" spans="1:32">
      <c r="A12" t="s">
        <v>72</v>
      </c>
      <c r="B12" t="str">
        <f t="shared" si="4"/>
        <v>RO P&amp;L</v>
      </c>
      <c r="C12" t="s">
        <v>292</v>
      </c>
      <c r="D12" t="s">
        <v>396</v>
      </c>
      <c r="E12" t="s">
        <v>82</v>
      </c>
      <c r="F12" s="415">
        <f ca="1">IFERROR(SUMIFS(INDEX(INDIRECT("'"&amp;$D12&amp;"'!$a24:$AU40"),,MATCH(F$1,INDIRECT("'"&amp;$D12&amp;"'!$a$1:$AU$1"),0)),INDIRECT("'"&amp;$D12&amp;"'!$a24:$a40"),$C12),0)</f>
        <v>0</v>
      </c>
      <c r="G12" s="415">
        <f t="shared" ref="G12:AF12" ca="1" si="8">IFERROR(SUMIFS(INDEX(INDIRECT("'"&amp;$D12&amp;"'!$a24:$AU40"),,MATCH(G$1,INDIRECT("'"&amp;$D12&amp;"'!$a$1:$AU$1"),0)),INDIRECT("'"&amp;$D12&amp;"'!$a24:$a40"),$C12),0)</f>
        <v>0</v>
      </c>
      <c r="H12" s="415">
        <f t="shared" ca="1" si="8"/>
        <v>0</v>
      </c>
      <c r="I12" s="415">
        <f t="shared" ca="1" si="8"/>
        <v>0</v>
      </c>
      <c r="J12" s="415">
        <f t="shared" ca="1" si="8"/>
        <v>0</v>
      </c>
      <c r="K12" s="415">
        <f t="shared" ca="1" si="8"/>
        <v>0</v>
      </c>
      <c r="L12" s="415">
        <f t="shared" ca="1" si="8"/>
        <v>0</v>
      </c>
      <c r="M12" s="415">
        <f t="shared" ca="1" si="8"/>
        <v>0</v>
      </c>
      <c r="N12" s="415">
        <f t="shared" ca="1" si="8"/>
        <v>0</v>
      </c>
      <c r="O12" s="415">
        <f t="shared" ca="1" si="8"/>
        <v>0</v>
      </c>
      <c r="P12" s="415">
        <f t="shared" ca="1" si="8"/>
        <v>0</v>
      </c>
      <c r="Q12" s="415">
        <f t="shared" ca="1" si="8"/>
        <v>0</v>
      </c>
      <c r="R12" s="415">
        <f t="shared" ca="1" si="8"/>
        <v>0</v>
      </c>
      <c r="S12" s="415">
        <f t="shared" ca="1" si="8"/>
        <v>0</v>
      </c>
      <c r="T12" s="415">
        <f t="shared" ca="1" si="8"/>
        <v>0</v>
      </c>
      <c r="U12" s="415">
        <f t="shared" ca="1" si="8"/>
        <v>0</v>
      </c>
      <c r="V12" s="415">
        <f t="shared" ca="1" si="8"/>
        <v>0</v>
      </c>
      <c r="W12" s="415">
        <f t="shared" ca="1" si="8"/>
        <v>0</v>
      </c>
      <c r="X12" s="415">
        <f t="shared" ca="1" si="8"/>
        <v>0</v>
      </c>
      <c r="Y12" s="415">
        <f t="shared" ca="1" si="8"/>
        <v>0</v>
      </c>
      <c r="Z12" s="415">
        <f t="shared" ca="1" si="8"/>
        <v>0</v>
      </c>
      <c r="AA12" s="415">
        <f t="shared" ca="1" si="8"/>
        <v>0</v>
      </c>
      <c r="AB12" s="415">
        <f t="shared" ca="1" si="8"/>
        <v>0</v>
      </c>
      <c r="AC12" s="415">
        <f t="shared" ca="1" si="8"/>
        <v>0</v>
      </c>
      <c r="AD12" s="415">
        <f t="shared" ca="1" si="8"/>
        <v>0</v>
      </c>
      <c r="AE12" s="415">
        <f t="shared" ca="1" si="8"/>
        <v>0</v>
      </c>
      <c r="AF12" s="415">
        <f t="shared" ca="1" si="8"/>
        <v>0</v>
      </c>
    </row>
    <row r="13" spans="1:32">
      <c r="A13" t="s">
        <v>72</v>
      </c>
      <c r="B13" t="str">
        <f t="shared" si="4"/>
        <v>RO P&amp;L</v>
      </c>
      <c r="C13" t="s">
        <v>86</v>
      </c>
      <c r="D13" t="s">
        <v>397</v>
      </c>
      <c r="E13" t="s">
        <v>82</v>
      </c>
      <c r="F13" s="415">
        <f t="shared" ca="1" si="5"/>
        <v>0</v>
      </c>
      <c r="G13" s="415">
        <f t="shared" ca="1" si="2"/>
        <v>0</v>
      </c>
      <c r="H13" s="415">
        <f t="shared" ca="1" si="2"/>
        <v>0</v>
      </c>
      <c r="I13" s="415">
        <f t="shared" ca="1" si="2"/>
        <v>0</v>
      </c>
      <c r="J13" s="415">
        <f t="shared" ca="1" si="2"/>
        <v>0</v>
      </c>
      <c r="K13" s="415">
        <f t="shared" ca="1" si="2"/>
        <v>0</v>
      </c>
      <c r="L13" s="415">
        <f t="shared" ca="1" si="2"/>
        <v>0</v>
      </c>
      <c r="M13" s="415">
        <f t="shared" ca="1" si="2"/>
        <v>0</v>
      </c>
      <c r="N13" s="415">
        <f t="shared" ca="1" si="2"/>
        <v>0</v>
      </c>
      <c r="O13" s="415">
        <f t="shared" ca="1" si="2"/>
        <v>0</v>
      </c>
      <c r="P13" s="415">
        <f t="shared" ca="1" si="2"/>
        <v>0</v>
      </c>
      <c r="Q13" s="415">
        <f t="shared" ca="1" si="2"/>
        <v>0</v>
      </c>
      <c r="R13" s="415">
        <f t="shared" ca="1" si="2"/>
        <v>0</v>
      </c>
      <c r="S13" s="415">
        <f t="shared" ca="1" si="2"/>
        <v>0</v>
      </c>
      <c r="T13" s="415">
        <f t="shared" ref="T13:AF21" ca="1" si="9">IFERROR(SUMIFS(INDEX(INDIRECT("'"&amp;$B13&amp;"'!$B:$AU"),,MATCH(T$1,INDIRECT("'"&amp;$B13&amp;"'!$B$3:$AU$3"),0)),INDIRECT("'"&amp;$B13&amp;"'!$B:$B"),$C13),0)</f>
        <v>0</v>
      </c>
      <c r="U13" s="415">
        <f t="shared" ca="1" si="9"/>
        <v>0</v>
      </c>
      <c r="V13" s="415">
        <f t="shared" ca="1" si="9"/>
        <v>0</v>
      </c>
      <c r="W13" s="415">
        <f t="shared" ca="1" si="9"/>
        <v>0</v>
      </c>
      <c r="X13" s="415">
        <f t="shared" ca="1" si="9"/>
        <v>0</v>
      </c>
      <c r="Y13" s="415">
        <f t="shared" ca="1" si="9"/>
        <v>0</v>
      </c>
      <c r="Z13" s="415">
        <f t="shared" ca="1" si="9"/>
        <v>0</v>
      </c>
      <c r="AA13" s="415">
        <f t="shared" ca="1" si="9"/>
        <v>0</v>
      </c>
      <c r="AB13" s="415">
        <f t="shared" ca="1" si="9"/>
        <v>0</v>
      </c>
      <c r="AC13" s="415">
        <f t="shared" ca="1" si="9"/>
        <v>0</v>
      </c>
      <c r="AD13" s="415">
        <f t="shared" ca="1" si="9"/>
        <v>0</v>
      </c>
      <c r="AE13" s="415">
        <f t="shared" ca="1" si="9"/>
        <v>0</v>
      </c>
      <c r="AF13" s="415">
        <f t="shared" ca="1" si="9"/>
        <v>0</v>
      </c>
    </row>
    <row r="14" spans="1:32">
      <c r="A14" t="s">
        <v>71</v>
      </c>
      <c r="B14" t="str">
        <f t="shared" si="4"/>
        <v>CZ P&amp;L</v>
      </c>
      <c r="C14" t="s">
        <v>83</v>
      </c>
      <c r="D14" t="s">
        <v>394</v>
      </c>
      <c r="E14" t="s">
        <v>82</v>
      </c>
      <c r="F14" s="415">
        <f t="shared" ca="1" si="5"/>
        <v>301000</v>
      </c>
      <c r="G14" s="415">
        <f t="shared" ca="1" si="2"/>
        <v>85000</v>
      </c>
      <c r="H14" s="415">
        <f t="shared" ca="1" si="2"/>
        <v>65000</v>
      </c>
      <c r="I14" s="415">
        <f t="shared" ca="1" si="2"/>
        <v>83459.743936000013</v>
      </c>
      <c r="J14" s="415">
        <f t="shared" ca="1" si="2"/>
        <v>187332.42007466665</v>
      </c>
      <c r="K14" s="415">
        <f t="shared" ca="1" si="2"/>
        <v>164927.02460960002</v>
      </c>
      <c r="L14" s="415">
        <f t="shared" ca="1" si="2"/>
        <v>76792.790240088885</v>
      </c>
      <c r="M14" s="415">
        <f t="shared" ca="1" si="2"/>
        <v>72975.517434666661</v>
      </c>
      <c r="N14" s="415">
        <f t="shared" ca="1" si="2"/>
        <v>302547.23100000003</v>
      </c>
      <c r="O14" s="415">
        <f t="shared" ca="1" si="2"/>
        <v>94723.61905915555</v>
      </c>
      <c r="P14" s="415">
        <f t="shared" ca="1" si="2"/>
        <v>95992.055214933323</v>
      </c>
      <c r="Q14" s="415">
        <f t="shared" ca="1" si="2"/>
        <v>391834.97866666666</v>
      </c>
      <c r="R14" s="415">
        <f t="shared" ca="1" si="2"/>
        <v>393496.15556799999</v>
      </c>
      <c r="S14" s="415">
        <f t="shared" ca="1" si="2"/>
        <v>105106.63287157334</v>
      </c>
      <c r="T14" s="415">
        <f t="shared" ca="1" si="9"/>
        <v>104076.57816154312</v>
      </c>
      <c r="U14" s="415">
        <f t="shared" ca="1" si="9"/>
        <v>102266.413169712</v>
      </c>
      <c r="V14" s="415">
        <f t="shared" ca="1" si="9"/>
        <v>227123.3379662933</v>
      </c>
      <c r="W14" s="415">
        <f t="shared" ca="1" si="9"/>
        <v>191141.96522651199</v>
      </c>
      <c r="X14" s="415">
        <f t="shared" ca="1" si="9"/>
        <v>118637.85068085688</v>
      </c>
      <c r="Y14" s="415">
        <f t="shared" ca="1" si="9"/>
        <v>98620.713371989332</v>
      </c>
      <c r="Z14" s="415">
        <f t="shared" ca="1" si="9"/>
        <v>312857.41129680001</v>
      </c>
      <c r="AA14" s="415">
        <f t="shared" ca="1" si="9"/>
        <v>172595.2574849209</v>
      </c>
      <c r="AB14" s="415">
        <f t="shared" ca="1" si="9"/>
        <v>110836.90841115733</v>
      </c>
      <c r="AC14" s="415">
        <f t="shared" ca="1" si="9"/>
        <v>462533.89987555548</v>
      </c>
      <c r="AD14" s="415">
        <f t="shared" ca="1" si="9"/>
        <v>456094.77502976003</v>
      </c>
      <c r="AE14" s="415">
        <f t="shared" ca="1" si="9"/>
        <v>129084.66314429016</v>
      </c>
      <c r="AF14" s="415">
        <f t="shared" ca="1" si="9"/>
        <v>128125.7635556086</v>
      </c>
    </row>
    <row r="15" spans="1:32">
      <c r="A15" t="s">
        <v>71</v>
      </c>
      <c r="B15" t="str">
        <f t="shared" si="4"/>
        <v>CZ P&amp;L</v>
      </c>
      <c r="C15" t="s">
        <v>84</v>
      </c>
      <c r="D15" t="s">
        <v>395</v>
      </c>
      <c r="E15" t="s">
        <v>82</v>
      </c>
      <c r="F15" s="415">
        <f t="shared" ca="1" si="5"/>
        <v>0</v>
      </c>
      <c r="G15" s="415">
        <f t="shared" ca="1" si="2"/>
        <v>0</v>
      </c>
      <c r="H15" s="415">
        <f t="shared" ca="1" si="2"/>
        <v>0</v>
      </c>
      <c r="I15" s="415">
        <f t="shared" ca="1" si="2"/>
        <v>5000</v>
      </c>
      <c r="J15" s="415">
        <f t="shared" ca="1" si="2"/>
        <v>15000</v>
      </c>
      <c r="K15" s="415">
        <f t="shared" ca="1" si="2"/>
        <v>5000</v>
      </c>
      <c r="L15" s="415">
        <f t="shared" ca="1" si="2"/>
        <v>12314.682214808467</v>
      </c>
      <c r="M15" s="415">
        <f t="shared" ca="1" si="2"/>
        <v>19744.749535755094</v>
      </c>
      <c r="N15" s="415">
        <f t="shared" ca="1" si="2"/>
        <v>8767.0877610111565</v>
      </c>
      <c r="O15" s="415">
        <f t="shared" ca="1" si="2"/>
        <v>8797.7578594983297</v>
      </c>
      <c r="P15" s="415">
        <f t="shared" ca="1" si="2"/>
        <v>18655.344169551394</v>
      </c>
      <c r="Q15" s="415">
        <f t="shared" ca="1" si="2"/>
        <v>9980.2968421621845</v>
      </c>
      <c r="R15" s="415">
        <f t="shared" ca="1" si="2"/>
        <v>17102.345797213111</v>
      </c>
      <c r="S15" s="415">
        <f t="shared" ca="1" si="2"/>
        <v>12636.766918545118</v>
      </c>
      <c r="T15" s="415">
        <f t="shared" ca="1" si="9"/>
        <v>11847.632855082953</v>
      </c>
      <c r="U15" s="415">
        <f t="shared" ca="1" si="9"/>
        <v>5250</v>
      </c>
      <c r="V15" s="415">
        <f t="shared" ca="1" si="9"/>
        <v>15750</v>
      </c>
      <c r="W15" s="415">
        <f t="shared" ca="1" si="9"/>
        <v>5250</v>
      </c>
      <c r="X15" s="415">
        <f t="shared" ca="1" si="9"/>
        <v>19230.416325548889</v>
      </c>
      <c r="Y15" s="415">
        <f t="shared" ca="1" si="9"/>
        <v>29131.98701254285</v>
      </c>
      <c r="Z15" s="415">
        <f t="shared" ca="1" si="9"/>
        <v>17605.442149061717</v>
      </c>
      <c r="AA15" s="415">
        <f t="shared" ca="1" si="9"/>
        <v>15537.645752473247</v>
      </c>
      <c r="AB15" s="415">
        <f t="shared" ca="1" si="9"/>
        <v>27988.111378028963</v>
      </c>
      <c r="AC15" s="415">
        <f t="shared" ca="1" si="9"/>
        <v>18879.311684270295</v>
      </c>
      <c r="AD15" s="415">
        <f t="shared" ca="1" si="9"/>
        <v>24257.463087073767</v>
      </c>
      <c r="AE15" s="415">
        <f t="shared" ca="1" si="9"/>
        <v>19568.605264472375</v>
      </c>
      <c r="AF15" s="415">
        <f t="shared" ca="1" si="9"/>
        <v>20840.014497837099</v>
      </c>
    </row>
    <row r="16" spans="1:32">
      <c r="A16" t="s">
        <v>71</v>
      </c>
      <c r="B16" t="str">
        <f t="shared" si="4"/>
        <v>CZ P&amp;L</v>
      </c>
      <c r="C16" t="s">
        <v>327</v>
      </c>
      <c r="D16" t="s">
        <v>396</v>
      </c>
      <c r="E16" t="s">
        <v>82</v>
      </c>
      <c r="F16" s="415">
        <f ca="1">IFERROR(SUMIFS(INDEX(INDIRECT("'"&amp;$D16&amp;"'!$a24:$AU40"),,MATCH(F$1,INDIRECT("'"&amp;$D16&amp;"'!$a$1:$AU$1"),0)),INDIRECT("'"&amp;$D16&amp;"'!$a24:$a40"),$C16),0)</f>
        <v>0</v>
      </c>
      <c r="G16" s="415">
        <f t="shared" ref="G16:AF16" ca="1" si="10">IFERROR(SUMIFS(INDEX(INDIRECT("'"&amp;$D16&amp;"'!$a24:$AU40"),,MATCH(G$1,INDIRECT("'"&amp;$D16&amp;"'!$a$1:$AU$1"),0)),INDIRECT("'"&amp;$D16&amp;"'!$a24:$a40"),$C16),0)</f>
        <v>0</v>
      </c>
      <c r="H16" s="415">
        <f t="shared" ca="1" si="10"/>
        <v>0</v>
      </c>
      <c r="I16" s="415">
        <f t="shared" ca="1" si="10"/>
        <v>0</v>
      </c>
      <c r="J16" s="415">
        <f t="shared" ca="1" si="10"/>
        <v>0</v>
      </c>
      <c r="K16" s="415">
        <f t="shared" ca="1" si="10"/>
        <v>0</v>
      </c>
      <c r="L16" s="415">
        <f t="shared" ca="1" si="10"/>
        <v>0</v>
      </c>
      <c r="M16" s="415">
        <f t="shared" ca="1" si="10"/>
        <v>0</v>
      </c>
      <c r="N16" s="415">
        <f t="shared" ca="1" si="10"/>
        <v>0</v>
      </c>
      <c r="O16" s="415">
        <f t="shared" ca="1" si="10"/>
        <v>0</v>
      </c>
      <c r="P16" s="415">
        <f t="shared" ca="1" si="10"/>
        <v>0</v>
      </c>
      <c r="Q16" s="415">
        <f t="shared" ca="1" si="10"/>
        <v>0</v>
      </c>
      <c r="R16" s="415">
        <f t="shared" ca="1" si="10"/>
        <v>0</v>
      </c>
      <c r="S16" s="415">
        <f t="shared" ca="1" si="10"/>
        <v>0</v>
      </c>
      <c r="T16" s="415">
        <f t="shared" ca="1" si="10"/>
        <v>0</v>
      </c>
      <c r="U16" s="415">
        <f t="shared" ca="1" si="10"/>
        <v>0</v>
      </c>
      <c r="V16" s="415">
        <f t="shared" ca="1" si="10"/>
        <v>0</v>
      </c>
      <c r="W16" s="415">
        <f t="shared" ca="1" si="10"/>
        <v>0</v>
      </c>
      <c r="X16" s="415">
        <f t="shared" ca="1" si="10"/>
        <v>0</v>
      </c>
      <c r="Y16" s="415">
        <f t="shared" ca="1" si="10"/>
        <v>0</v>
      </c>
      <c r="Z16" s="415">
        <f t="shared" ca="1" si="10"/>
        <v>0</v>
      </c>
      <c r="AA16" s="415">
        <f t="shared" ca="1" si="10"/>
        <v>0</v>
      </c>
      <c r="AB16" s="415">
        <f t="shared" ca="1" si="10"/>
        <v>0</v>
      </c>
      <c r="AC16" s="415">
        <f t="shared" ca="1" si="10"/>
        <v>0</v>
      </c>
      <c r="AD16" s="415">
        <f t="shared" ca="1" si="10"/>
        <v>0</v>
      </c>
      <c r="AE16" s="415">
        <f t="shared" ca="1" si="10"/>
        <v>0</v>
      </c>
      <c r="AF16" s="415">
        <f t="shared" ca="1" si="10"/>
        <v>0</v>
      </c>
    </row>
    <row r="17" spans="1:32">
      <c r="A17" t="s">
        <v>71</v>
      </c>
      <c r="B17" t="str">
        <f t="shared" si="4"/>
        <v>CZ P&amp;L</v>
      </c>
      <c r="C17" t="s">
        <v>398</v>
      </c>
      <c r="D17" t="s">
        <v>397</v>
      </c>
      <c r="E17" t="s">
        <v>82</v>
      </c>
      <c r="F17" s="415">
        <f t="shared" ca="1" si="5"/>
        <v>0</v>
      </c>
      <c r="G17" s="415">
        <f t="shared" ca="1" si="2"/>
        <v>0</v>
      </c>
      <c r="H17" s="415">
        <f t="shared" ca="1" si="2"/>
        <v>0</v>
      </c>
      <c r="I17" s="415">
        <f t="shared" ca="1" si="2"/>
        <v>0</v>
      </c>
      <c r="J17" s="415">
        <f t="shared" ca="1" si="2"/>
        <v>0</v>
      </c>
      <c r="K17" s="415">
        <f t="shared" ca="1" si="2"/>
        <v>0</v>
      </c>
      <c r="L17" s="415">
        <f t="shared" ca="1" si="2"/>
        <v>0</v>
      </c>
      <c r="M17" s="415">
        <f t="shared" ca="1" si="2"/>
        <v>0</v>
      </c>
      <c r="N17" s="415">
        <f t="shared" ca="1" si="2"/>
        <v>0</v>
      </c>
      <c r="O17" s="415">
        <f t="shared" ca="1" si="2"/>
        <v>0</v>
      </c>
      <c r="P17" s="415">
        <f t="shared" ca="1" si="2"/>
        <v>0</v>
      </c>
      <c r="Q17" s="415">
        <f t="shared" ca="1" si="2"/>
        <v>0</v>
      </c>
      <c r="R17" s="415">
        <f t="shared" ca="1" si="2"/>
        <v>0</v>
      </c>
      <c r="S17" s="415">
        <f t="shared" ca="1" si="2"/>
        <v>0</v>
      </c>
      <c r="T17" s="415">
        <f t="shared" ca="1" si="9"/>
        <v>0</v>
      </c>
      <c r="U17" s="415">
        <f t="shared" ca="1" si="9"/>
        <v>0</v>
      </c>
      <c r="V17" s="415">
        <f t="shared" ca="1" si="9"/>
        <v>0</v>
      </c>
      <c r="W17" s="415">
        <f t="shared" ca="1" si="9"/>
        <v>0</v>
      </c>
      <c r="X17" s="415">
        <f t="shared" ca="1" si="9"/>
        <v>0</v>
      </c>
      <c r="Y17" s="415">
        <f t="shared" ca="1" si="9"/>
        <v>0</v>
      </c>
      <c r="Z17" s="415">
        <f t="shared" ca="1" si="9"/>
        <v>0</v>
      </c>
      <c r="AA17" s="415">
        <f t="shared" ca="1" si="9"/>
        <v>0</v>
      </c>
      <c r="AB17" s="415">
        <f t="shared" ca="1" si="9"/>
        <v>0</v>
      </c>
      <c r="AC17" s="415">
        <f t="shared" ca="1" si="9"/>
        <v>0</v>
      </c>
      <c r="AD17" s="415">
        <f t="shared" ca="1" si="9"/>
        <v>0</v>
      </c>
      <c r="AE17" s="415">
        <f t="shared" ca="1" si="9"/>
        <v>0</v>
      </c>
      <c r="AF17" s="415">
        <f t="shared" ca="1" si="9"/>
        <v>0</v>
      </c>
    </row>
    <row r="18" spans="1:32">
      <c r="A18" t="s">
        <v>68</v>
      </c>
      <c r="B18" t="str">
        <f t="shared" si="4"/>
        <v>HU P&amp;L</v>
      </c>
      <c r="C18" t="s">
        <v>83</v>
      </c>
      <c r="D18" t="s">
        <v>394</v>
      </c>
      <c r="E18" t="s">
        <v>82</v>
      </c>
      <c r="F18" s="415">
        <f t="shared" ca="1" si="5"/>
        <v>0</v>
      </c>
      <c r="G18" s="415">
        <f t="shared" ca="1" si="5"/>
        <v>0</v>
      </c>
      <c r="H18" s="415">
        <f t="shared" ca="1" si="5"/>
        <v>0</v>
      </c>
      <c r="I18" s="415">
        <f t="shared" ca="1" si="5"/>
        <v>0</v>
      </c>
      <c r="J18" s="415">
        <f t="shared" ca="1" si="5"/>
        <v>0</v>
      </c>
      <c r="K18" s="415">
        <f t="shared" ca="1" si="5"/>
        <v>0</v>
      </c>
      <c r="L18" s="415">
        <f t="shared" ca="1" si="5"/>
        <v>0</v>
      </c>
      <c r="M18" s="415">
        <f t="shared" ca="1" si="5"/>
        <v>0</v>
      </c>
      <c r="N18" s="415">
        <f t="shared" ca="1" si="5"/>
        <v>0</v>
      </c>
      <c r="O18" s="415">
        <f t="shared" ca="1" si="5"/>
        <v>0</v>
      </c>
      <c r="P18" s="415">
        <f t="shared" ca="1" si="5"/>
        <v>0</v>
      </c>
      <c r="Q18" s="415">
        <f t="shared" ca="1" si="5"/>
        <v>0</v>
      </c>
      <c r="R18" s="415">
        <f t="shared" ca="1" si="5"/>
        <v>0</v>
      </c>
      <c r="S18" s="415">
        <f t="shared" ca="1" si="5"/>
        <v>0</v>
      </c>
      <c r="T18" s="415">
        <f t="shared" ca="1" si="9"/>
        <v>0</v>
      </c>
      <c r="U18" s="415">
        <f t="shared" ca="1" si="9"/>
        <v>0</v>
      </c>
      <c r="V18" s="415">
        <f t="shared" ca="1" si="9"/>
        <v>0</v>
      </c>
      <c r="W18" s="415">
        <f t="shared" ca="1" si="9"/>
        <v>0</v>
      </c>
      <c r="X18" s="415">
        <f t="shared" ca="1" si="9"/>
        <v>0</v>
      </c>
      <c r="Y18" s="415">
        <f t="shared" ca="1" si="9"/>
        <v>0</v>
      </c>
      <c r="Z18" s="415">
        <f t="shared" ca="1" si="9"/>
        <v>0</v>
      </c>
      <c r="AA18" s="415">
        <f t="shared" ca="1" si="9"/>
        <v>0</v>
      </c>
      <c r="AB18" s="415">
        <f t="shared" ca="1" si="9"/>
        <v>0</v>
      </c>
      <c r="AC18" s="415">
        <f t="shared" ca="1" si="9"/>
        <v>0</v>
      </c>
      <c r="AD18" s="415">
        <f t="shared" ca="1" si="9"/>
        <v>0</v>
      </c>
      <c r="AE18" s="415">
        <f t="shared" ca="1" si="9"/>
        <v>0</v>
      </c>
      <c r="AF18" s="415">
        <f t="shared" ca="1" si="9"/>
        <v>0</v>
      </c>
    </row>
    <row r="19" spans="1:32">
      <c r="A19" t="s">
        <v>68</v>
      </c>
      <c r="B19" t="str">
        <f t="shared" si="4"/>
        <v>HU P&amp;L</v>
      </c>
      <c r="C19" t="s">
        <v>84</v>
      </c>
      <c r="D19" t="s">
        <v>395</v>
      </c>
      <c r="E19" t="s">
        <v>82</v>
      </c>
      <c r="F19" s="415">
        <f t="shared" ref="F19:S31" ca="1" si="11">IFERROR(SUMIFS(INDEX(INDIRECT("'"&amp;$B19&amp;"'!$B:$AU"),,MATCH(F$1,INDIRECT("'"&amp;$B19&amp;"'!$B$3:$AU$3"),0)),INDIRECT("'"&amp;$B19&amp;"'!$B:$B"),$C19),0)</f>
        <v>0</v>
      </c>
      <c r="G19" s="415">
        <f t="shared" ca="1" si="11"/>
        <v>0</v>
      </c>
      <c r="H19" s="415">
        <f t="shared" ca="1" si="11"/>
        <v>0</v>
      </c>
      <c r="I19" s="415">
        <f t="shared" ca="1" si="11"/>
        <v>0</v>
      </c>
      <c r="J19" s="415">
        <f t="shared" ca="1" si="11"/>
        <v>0</v>
      </c>
      <c r="K19" s="415">
        <f t="shared" ca="1" si="11"/>
        <v>0</v>
      </c>
      <c r="L19" s="415">
        <f t="shared" ca="1" si="11"/>
        <v>0</v>
      </c>
      <c r="M19" s="415">
        <f t="shared" ca="1" si="11"/>
        <v>0</v>
      </c>
      <c r="N19" s="415">
        <f t="shared" ca="1" si="11"/>
        <v>0</v>
      </c>
      <c r="O19" s="415">
        <f t="shared" ca="1" si="11"/>
        <v>0</v>
      </c>
      <c r="P19" s="415">
        <f t="shared" ca="1" si="11"/>
        <v>0</v>
      </c>
      <c r="Q19" s="415">
        <f t="shared" ca="1" si="11"/>
        <v>0</v>
      </c>
      <c r="R19" s="415">
        <f t="shared" ca="1" si="11"/>
        <v>0</v>
      </c>
      <c r="S19" s="415">
        <f t="shared" ca="1" si="11"/>
        <v>0</v>
      </c>
      <c r="T19" s="415">
        <f t="shared" ca="1" si="9"/>
        <v>0</v>
      </c>
      <c r="U19" s="415">
        <f t="shared" ca="1" si="9"/>
        <v>0</v>
      </c>
      <c r="V19" s="415">
        <f t="shared" ca="1" si="9"/>
        <v>0</v>
      </c>
      <c r="W19" s="415">
        <f t="shared" ca="1" si="9"/>
        <v>0</v>
      </c>
      <c r="X19" s="415">
        <f t="shared" ca="1" si="9"/>
        <v>0</v>
      </c>
      <c r="Y19" s="415">
        <f t="shared" ca="1" si="9"/>
        <v>0</v>
      </c>
      <c r="Z19" s="415">
        <f t="shared" ca="1" si="9"/>
        <v>0</v>
      </c>
      <c r="AA19" s="415">
        <f t="shared" ca="1" si="9"/>
        <v>0</v>
      </c>
      <c r="AB19" s="415">
        <f t="shared" ca="1" si="9"/>
        <v>0</v>
      </c>
      <c r="AC19" s="415">
        <f t="shared" ca="1" si="9"/>
        <v>0</v>
      </c>
      <c r="AD19" s="415">
        <f t="shared" ca="1" si="9"/>
        <v>0</v>
      </c>
      <c r="AE19" s="415">
        <f t="shared" ca="1" si="9"/>
        <v>0</v>
      </c>
      <c r="AF19" s="415">
        <f t="shared" ca="1" si="9"/>
        <v>0</v>
      </c>
    </row>
    <row r="20" spans="1:32">
      <c r="A20" t="s">
        <v>68</v>
      </c>
      <c r="B20" t="str">
        <f t="shared" si="4"/>
        <v>HU P&amp;L</v>
      </c>
      <c r="C20" t="s">
        <v>311</v>
      </c>
      <c r="D20" t="s">
        <v>396</v>
      </c>
      <c r="E20" t="s">
        <v>82</v>
      </c>
      <c r="F20" s="415">
        <f ca="1">IFERROR(SUMIFS(INDEX(INDIRECT("'"&amp;$D20&amp;"'!$a24:$AU40"),,MATCH(F$1,INDIRECT("'"&amp;$D20&amp;"'!$a$1:$AU$1"),0)),INDIRECT("'"&amp;$D20&amp;"'!$a24:$a40"),$C20),0)</f>
        <v>0</v>
      </c>
      <c r="G20" s="415">
        <f t="shared" ref="G20:AF20" ca="1" si="12">IFERROR(SUMIFS(INDEX(INDIRECT("'"&amp;$D20&amp;"'!$a24:$AU40"),,MATCH(G$1,INDIRECT("'"&amp;$D20&amp;"'!$a$1:$AU$1"),0)),INDIRECT("'"&amp;$D20&amp;"'!$a24:$a40"),$C20),0)</f>
        <v>0</v>
      </c>
      <c r="H20" s="415">
        <f t="shared" ca="1" si="12"/>
        <v>0</v>
      </c>
      <c r="I20" s="415">
        <f t="shared" ca="1" si="12"/>
        <v>0</v>
      </c>
      <c r="J20" s="415">
        <f t="shared" ca="1" si="12"/>
        <v>0</v>
      </c>
      <c r="K20" s="415">
        <f t="shared" ca="1" si="12"/>
        <v>0</v>
      </c>
      <c r="L20" s="415">
        <f t="shared" ca="1" si="12"/>
        <v>0</v>
      </c>
      <c r="M20" s="415">
        <f t="shared" ca="1" si="12"/>
        <v>0</v>
      </c>
      <c r="N20" s="415">
        <f t="shared" ca="1" si="12"/>
        <v>0</v>
      </c>
      <c r="O20" s="415">
        <f t="shared" ca="1" si="12"/>
        <v>0</v>
      </c>
      <c r="P20" s="415">
        <f t="shared" ca="1" si="12"/>
        <v>0</v>
      </c>
      <c r="Q20" s="415">
        <f t="shared" ca="1" si="12"/>
        <v>0</v>
      </c>
      <c r="R20" s="415">
        <f t="shared" ca="1" si="12"/>
        <v>0</v>
      </c>
      <c r="S20" s="415">
        <f t="shared" ca="1" si="12"/>
        <v>0</v>
      </c>
      <c r="T20" s="415">
        <f t="shared" ca="1" si="12"/>
        <v>0</v>
      </c>
      <c r="U20" s="415">
        <f t="shared" ca="1" si="12"/>
        <v>0</v>
      </c>
      <c r="V20" s="415">
        <f t="shared" ca="1" si="12"/>
        <v>0</v>
      </c>
      <c r="W20" s="415">
        <f t="shared" ca="1" si="12"/>
        <v>0</v>
      </c>
      <c r="X20" s="415">
        <f t="shared" ca="1" si="12"/>
        <v>0</v>
      </c>
      <c r="Y20" s="415">
        <f t="shared" ca="1" si="12"/>
        <v>0</v>
      </c>
      <c r="Z20" s="415">
        <f t="shared" ca="1" si="12"/>
        <v>0</v>
      </c>
      <c r="AA20" s="415">
        <f t="shared" ca="1" si="12"/>
        <v>0</v>
      </c>
      <c r="AB20" s="415">
        <f t="shared" ca="1" si="12"/>
        <v>0</v>
      </c>
      <c r="AC20" s="415">
        <f t="shared" ca="1" si="12"/>
        <v>0</v>
      </c>
      <c r="AD20" s="415">
        <f t="shared" ca="1" si="12"/>
        <v>0</v>
      </c>
      <c r="AE20" s="415">
        <f t="shared" ca="1" si="12"/>
        <v>0</v>
      </c>
      <c r="AF20" s="415">
        <f t="shared" ca="1" si="12"/>
        <v>0</v>
      </c>
    </row>
    <row r="21" spans="1:32">
      <c r="A21" t="s">
        <v>68</v>
      </c>
      <c r="B21" t="str">
        <f t="shared" si="4"/>
        <v>HU P&amp;L</v>
      </c>
      <c r="C21" t="s">
        <v>86</v>
      </c>
      <c r="D21" t="s">
        <v>397</v>
      </c>
      <c r="E21" t="s">
        <v>82</v>
      </c>
      <c r="F21" s="415">
        <f t="shared" ca="1" si="11"/>
        <v>0</v>
      </c>
      <c r="G21" s="415">
        <f t="shared" ca="1" si="11"/>
        <v>0</v>
      </c>
      <c r="H21" s="415">
        <f t="shared" ca="1" si="11"/>
        <v>0</v>
      </c>
      <c r="I21" s="415">
        <f t="shared" ca="1" si="11"/>
        <v>0</v>
      </c>
      <c r="J21" s="415">
        <f t="shared" ca="1" si="11"/>
        <v>0</v>
      </c>
      <c r="K21" s="415">
        <f t="shared" ca="1" si="11"/>
        <v>0</v>
      </c>
      <c r="L21" s="415">
        <f t="shared" ca="1" si="11"/>
        <v>0</v>
      </c>
      <c r="M21" s="415">
        <f t="shared" ca="1" si="11"/>
        <v>0</v>
      </c>
      <c r="N21" s="415">
        <f t="shared" ca="1" si="11"/>
        <v>0</v>
      </c>
      <c r="O21" s="415">
        <f t="shared" ca="1" si="11"/>
        <v>0</v>
      </c>
      <c r="P21" s="415">
        <f t="shared" ca="1" si="11"/>
        <v>0</v>
      </c>
      <c r="Q21" s="415">
        <f t="shared" ca="1" si="11"/>
        <v>0</v>
      </c>
      <c r="R21" s="415">
        <f t="shared" ca="1" si="11"/>
        <v>0</v>
      </c>
      <c r="S21" s="415">
        <f t="shared" ca="1" si="11"/>
        <v>0</v>
      </c>
      <c r="T21" s="415">
        <f t="shared" ca="1" si="9"/>
        <v>0</v>
      </c>
      <c r="U21" s="415">
        <f t="shared" ca="1" si="9"/>
        <v>0</v>
      </c>
      <c r="V21" s="415">
        <f t="shared" ca="1" si="9"/>
        <v>0</v>
      </c>
      <c r="W21" s="415">
        <f t="shared" ca="1" si="9"/>
        <v>0</v>
      </c>
      <c r="X21" s="415">
        <f t="shared" ca="1" si="9"/>
        <v>0</v>
      </c>
      <c r="Y21" s="415">
        <f t="shared" ca="1" si="9"/>
        <v>0</v>
      </c>
      <c r="Z21" s="415">
        <f t="shared" ca="1" si="9"/>
        <v>0</v>
      </c>
      <c r="AA21" s="415">
        <f t="shared" ca="1" si="9"/>
        <v>0</v>
      </c>
      <c r="AB21" s="415">
        <f t="shared" ca="1" si="9"/>
        <v>0</v>
      </c>
      <c r="AC21" s="415">
        <f t="shared" ca="1" si="9"/>
        <v>0</v>
      </c>
      <c r="AD21" s="415">
        <f t="shared" ca="1" si="9"/>
        <v>0</v>
      </c>
      <c r="AE21" s="415">
        <f t="shared" ca="1" si="9"/>
        <v>0</v>
      </c>
      <c r="AF21" s="415">
        <f t="shared" ca="1" si="9"/>
        <v>0</v>
      </c>
    </row>
    <row r="22" spans="1:32">
      <c r="A22" t="s">
        <v>70</v>
      </c>
      <c r="B22" t="str">
        <f t="shared" si="4"/>
        <v>SK P&amp;L</v>
      </c>
      <c r="C22" t="s">
        <v>83</v>
      </c>
      <c r="D22" t="s">
        <v>394</v>
      </c>
      <c r="E22" t="s">
        <v>82</v>
      </c>
      <c r="F22" s="415">
        <f t="shared" ca="1" si="11"/>
        <v>0</v>
      </c>
      <c r="G22" s="415">
        <f t="shared" ca="1" si="11"/>
        <v>0</v>
      </c>
      <c r="H22" s="415">
        <f t="shared" ca="1" si="11"/>
        <v>0</v>
      </c>
      <c r="I22" s="415">
        <f t="shared" ca="1" si="11"/>
        <v>0</v>
      </c>
      <c r="J22" s="415">
        <f t="shared" ca="1" si="11"/>
        <v>0</v>
      </c>
      <c r="K22" s="415">
        <f t="shared" ca="1" si="11"/>
        <v>0</v>
      </c>
      <c r="L22" s="415">
        <f t="shared" ca="1" si="11"/>
        <v>0</v>
      </c>
      <c r="M22" s="415">
        <f t="shared" ca="1" si="11"/>
        <v>0</v>
      </c>
      <c r="N22" s="415">
        <f t="shared" ca="1" si="11"/>
        <v>0</v>
      </c>
      <c r="O22" s="415">
        <f t="shared" ca="1" si="11"/>
        <v>0</v>
      </c>
      <c r="P22" s="415">
        <f t="shared" ca="1" si="11"/>
        <v>0</v>
      </c>
      <c r="Q22" s="415">
        <f t="shared" ca="1" si="11"/>
        <v>0</v>
      </c>
      <c r="R22" s="415">
        <f t="shared" ca="1" si="11"/>
        <v>0</v>
      </c>
      <c r="S22" s="415">
        <f t="shared" ca="1" si="11"/>
        <v>0</v>
      </c>
      <c r="T22" s="415">
        <f t="shared" ref="T22:AF37" ca="1" si="13">IFERROR(SUMIFS(INDEX(INDIRECT("'"&amp;$B22&amp;"'!$B:$AU"),,MATCH(T$1,INDIRECT("'"&amp;$B22&amp;"'!$B$3:$AU$3"),0)),INDIRECT("'"&amp;$B22&amp;"'!$B:$B"),$C22),0)</f>
        <v>0</v>
      </c>
      <c r="U22" s="415">
        <f t="shared" ca="1" si="13"/>
        <v>0</v>
      </c>
      <c r="V22" s="415">
        <f t="shared" ca="1" si="13"/>
        <v>0</v>
      </c>
      <c r="W22" s="415">
        <f t="shared" ca="1" si="13"/>
        <v>0</v>
      </c>
      <c r="X22" s="415">
        <f t="shared" ca="1" si="13"/>
        <v>0</v>
      </c>
      <c r="Y22" s="415">
        <f t="shared" ca="1" si="13"/>
        <v>0</v>
      </c>
      <c r="Z22" s="415">
        <f t="shared" ca="1" si="13"/>
        <v>0</v>
      </c>
      <c r="AA22" s="415">
        <f t="shared" ca="1" si="13"/>
        <v>0</v>
      </c>
      <c r="AB22" s="415">
        <f t="shared" ca="1" si="13"/>
        <v>0</v>
      </c>
      <c r="AC22" s="415">
        <f t="shared" ca="1" si="13"/>
        <v>0</v>
      </c>
      <c r="AD22" s="415">
        <f t="shared" ca="1" si="13"/>
        <v>0</v>
      </c>
      <c r="AE22" s="415">
        <f t="shared" ca="1" si="13"/>
        <v>0</v>
      </c>
      <c r="AF22" s="415">
        <f t="shared" ca="1" si="13"/>
        <v>0</v>
      </c>
    </row>
    <row r="23" spans="1:32">
      <c r="A23" t="s">
        <v>70</v>
      </c>
      <c r="B23" t="str">
        <f t="shared" si="4"/>
        <v>SK P&amp;L</v>
      </c>
      <c r="C23" t="s">
        <v>84</v>
      </c>
      <c r="D23" t="s">
        <v>395</v>
      </c>
      <c r="E23" t="s">
        <v>82</v>
      </c>
      <c r="F23" s="415">
        <f t="shared" ca="1" si="11"/>
        <v>0</v>
      </c>
      <c r="G23" s="415">
        <f t="shared" ca="1" si="11"/>
        <v>0</v>
      </c>
      <c r="H23" s="415">
        <f t="shared" ca="1" si="11"/>
        <v>0</v>
      </c>
      <c r="I23" s="415">
        <f t="shared" ca="1" si="11"/>
        <v>0</v>
      </c>
      <c r="J23" s="415">
        <f t="shared" ca="1" si="11"/>
        <v>0</v>
      </c>
      <c r="K23" s="415">
        <f t="shared" ca="1" si="11"/>
        <v>0</v>
      </c>
      <c r="L23" s="415">
        <f t="shared" ca="1" si="11"/>
        <v>0</v>
      </c>
      <c r="M23" s="415">
        <f t="shared" ca="1" si="11"/>
        <v>0</v>
      </c>
      <c r="N23" s="415">
        <f t="shared" ca="1" si="11"/>
        <v>0</v>
      </c>
      <c r="O23" s="415">
        <f t="shared" ca="1" si="11"/>
        <v>0</v>
      </c>
      <c r="P23" s="415">
        <f t="shared" ca="1" si="11"/>
        <v>0</v>
      </c>
      <c r="Q23" s="415">
        <f t="shared" ca="1" si="11"/>
        <v>0</v>
      </c>
      <c r="R23" s="415">
        <f t="shared" ca="1" si="11"/>
        <v>0</v>
      </c>
      <c r="S23" s="415">
        <f t="shared" ca="1" si="11"/>
        <v>0</v>
      </c>
      <c r="T23" s="415">
        <f t="shared" ca="1" si="13"/>
        <v>0</v>
      </c>
      <c r="U23" s="415">
        <f t="shared" ca="1" si="13"/>
        <v>0</v>
      </c>
      <c r="V23" s="415">
        <f t="shared" ca="1" si="13"/>
        <v>0</v>
      </c>
      <c r="W23" s="415">
        <f t="shared" ca="1" si="13"/>
        <v>0</v>
      </c>
      <c r="X23" s="415">
        <f t="shared" ca="1" si="13"/>
        <v>0</v>
      </c>
      <c r="Y23" s="415">
        <f t="shared" ca="1" si="13"/>
        <v>0</v>
      </c>
      <c r="Z23" s="415">
        <f t="shared" ca="1" si="13"/>
        <v>0</v>
      </c>
      <c r="AA23" s="415">
        <f t="shared" ca="1" si="13"/>
        <v>0</v>
      </c>
      <c r="AB23" s="415">
        <f t="shared" ca="1" si="13"/>
        <v>0</v>
      </c>
      <c r="AC23" s="415">
        <f t="shared" ca="1" si="13"/>
        <v>0</v>
      </c>
      <c r="AD23" s="415">
        <f t="shared" ca="1" si="13"/>
        <v>0</v>
      </c>
      <c r="AE23" s="415">
        <f t="shared" ca="1" si="13"/>
        <v>0</v>
      </c>
      <c r="AF23" s="415">
        <f t="shared" ca="1" si="13"/>
        <v>0</v>
      </c>
    </row>
    <row r="24" spans="1:32">
      <c r="A24" t="s">
        <v>70</v>
      </c>
      <c r="B24" t="str">
        <f t="shared" si="4"/>
        <v>SK P&amp;L</v>
      </c>
      <c r="C24" t="s">
        <v>274</v>
      </c>
      <c r="D24" t="s">
        <v>396</v>
      </c>
      <c r="E24" t="s">
        <v>82</v>
      </c>
      <c r="F24" s="415">
        <f ca="1">IFERROR(SUMIFS(INDEX(INDIRECT("'"&amp;$D24&amp;"'!$a24:$AU40"),,MATCH(F$1,INDIRECT("'"&amp;$D24&amp;"'!$a$1:$AU$1"),0)),INDIRECT("'"&amp;$D24&amp;"'!$a24:$a40"),$C24),0)</f>
        <v>0</v>
      </c>
      <c r="G24" s="415">
        <f t="shared" ref="G24:AF24" ca="1" si="14">IFERROR(SUMIFS(INDEX(INDIRECT("'"&amp;$D24&amp;"'!$a24:$AU40"),,MATCH(G$1,INDIRECT("'"&amp;$D24&amp;"'!$a$1:$AU$1"),0)),INDIRECT("'"&amp;$D24&amp;"'!$a24:$a40"),$C24),0)</f>
        <v>0</v>
      </c>
      <c r="H24" s="415">
        <f t="shared" ca="1" si="14"/>
        <v>0</v>
      </c>
      <c r="I24" s="415">
        <f t="shared" ca="1" si="14"/>
        <v>0</v>
      </c>
      <c r="J24" s="415">
        <f t="shared" ca="1" si="14"/>
        <v>0</v>
      </c>
      <c r="K24" s="415">
        <f t="shared" ca="1" si="14"/>
        <v>0</v>
      </c>
      <c r="L24" s="415">
        <f t="shared" ca="1" si="14"/>
        <v>0</v>
      </c>
      <c r="M24" s="415">
        <f t="shared" ca="1" si="14"/>
        <v>0</v>
      </c>
      <c r="N24" s="415">
        <f t="shared" ca="1" si="14"/>
        <v>0</v>
      </c>
      <c r="O24" s="415">
        <f t="shared" ca="1" si="14"/>
        <v>0</v>
      </c>
      <c r="P24" s="415">
        <f t="shared" ca="1" si="14"/>
        <v>0</v>
      </c>
      <c r="Q24" s="415">
        <f t="shared" ca="1" si="14"/>
        <v>0</v>
      </c>
      <c r="R24" s="415">
        <f t="shared" ca="1" si="14"/>
        <v>0</v>
      </c>
      <c r="S24" s="415">
        <f t="shared" ca="1" si="14"/>
        <v>0</v>
      </c>
      <c r="T24" s="415">
        <f t="shared" ca="1" si="14"/>
        <v>0</v>
      </c>
      <c r="U24" s="415">
        <f t="shared" ca="1" si="14"/>
        <v>0</v>
      </c>
      <c r="V24" s="415">
        <f t="shared" ca="1" si="14"/>
        <v>0</v>
      </c>
      <c r="W24" s="415">
        <f t="shared" ca="1" si="14"/>
        <v>0</v>
      </c>
      <c r="X24" s="415">
        <f t="shared" ca="1" si="14"/>
        <v>0</v>
      </c>
      <c r="Y24" s="415">
        <f t="shared" ca="1" si="14"/>
        <v>0</v>
      </c>
      <c r="Z24" s="415">
        <f t="shared" ca="1" si="14"/>
        <v>0</v>
      </c>
      <c r="AA24" s="415">
        <f t="shared" ca="1" si="14"/>
        <v>0</v>
      </c>
      <c r="AB24" s="415">
        <f t="shared" ca="1" si="14"/>
        <v>0</v>
      </c>
      <c r="AC24" s="415">
        <f t="shared" ca="1" si="14"/>
        <v>0</v>
      </c>
      <c r="AD24" s="415">
        <f t="shared" ca="1" si="14"/>
        <v>0</v>
      </c>
      <c r="AE24" s="415">
        <f t="shared" ca="1" si="14"/>
        <v>0</v>
      </c>
      <c r="AF24" s="415">
        <f t="shared" ca="1" si="14"/>
        <v>0</v>
      </c>
    </row>
    <row r="25" spans="1:32">
      <c r="A25" t="s">
        <v>70</v>
      </c>
      <c r="B25" t="str">
        <f t="shared" si="4"/>
        <v>SK P&amp;L</v>
      </c>
      <c r="C25" t="s">
        <v>86</v>
      </c>
      <c r="D25" t="s">
        <v>397</v>
      </c>
      <c r="E25" t="s">
        <v>82</v>
      </c>
      <c r="F25" s="415">
        <f t="shared" ca="1" si="11"/>
        <v>0</v>
      </c>
      <c r="G25" s="415">
        <f t="shared" ca="1" si="11"/>
        <v>0</v>
      </c>
      <c r="H25" s="415">
        <f t="shared" ca="1" si="11"/>
        <v>0</v>
      </c>
      <c r="I25" s="415">
        <f t="shared" ca="1" si="11"/>
        <v>0</v>
      </c>
      <c r="J25" s="415">
        <f t="shared" ca="1" si="11"/>
        <v>0</v>
      </c>
      <c r="K25" s="415">
        <f t="shared" ca="1" si="11"/>
        <v>0</v>
      </c>
      <c r="L25" s="415">
        <f t="shared" ca="1" si="11"/>
        <v>0</v>
      </c>
      <c r="M25" s="415">
        <f t="shared" ca="1" si="11"/>
        <v>0</v>
      </c>
      <c r="N25" s="415">
        <f t="shared" ca="1" si="11"/>
        <v>0</v>
      </c>
      <c r="O25" s="415">
        <f t="shared" ca="1" si="11"/>
        <v>0</v>
      </c>
      <c r="P25" s="415">
        <f t="shared" ca="1" si="11"/>
        <v>0</v>
      </c>
      <c r="Q25" s="415">
        <f t="shared" ca="1" si="11"/>
        <v>0</v>
      </c>
      <c r="R25" s="415">
        <f t="shared" ca="1" si="11"/>
        <v>0</v>
      </c>
      <c r="S25" s="415">
        <f t="shared" ca="1" si="11"/>
        <v>0</v>
      </c>
      <c r="T25" s="415">
        <f t="shared" ca="1" si="13"/>
        <v>0</v>
      </c>
      <c r="U25" s="415">
        <f t="shared" ca="1" si="13"/>
        <v>0</v>
      </c>
      <c r="V25" s="415">
        <f t="shared" ca="1" si="13"/>
        <v>0</v>
      </c>
      <c r="W25" s="415">
        <f t="shared" ca="1" si="13"/>
        <v>0</v>
      </c>
      <c r="X25" s="415">
        <f t="shared" ca="1" si="13"/>
        <v>0</v>
      </c>
      <c r="Y25" s="415">
        <f t="shared" ca="1" si="13"/>
        <v>0</v>
      </c>
      <c r="Z25" s="415">
        <f t="shared" ca="1" si="13"/>
        <v>0</v>
      </c>
      <c r="AA25" s="415">
        <f t="shared" ca="1" si="13"/>
        <v>0</v>
      </c>
      <c r="AB25" s="415">
        <f t="shared" ca="1" si="13"/>
        <v>0</v>
      </c>
      <c r="AC25" s="415">
        <f t="shared" ca="1" si="13"/>
        <v>0</v>
      </c>
      <c r="AD25" s="415">
        <f t="shared" ca="1" si="13"/>
        <v>0</v>
      </c>
      <c r="AE25" s="415">
        <f t="shared" ca="1" si="13"/>
        <v>0</v>
      </c>
      <c r="AF25" s="415">
        <f t="shared" ca="1" si="13"/>
        <v>0</v>
      </c>
    </row>
    <row r="26" spans="1:32">
      <c r="A26" t="s">
        <v>64</v>
      </c>
      <c r="B26" t="str">
        <f t="shared" si="4"/>
        <v>UK P&amp;L</v>
      </c>
      <c r="C26" t="s">
        <v>83</v>
      </c>
      <c r="D26" t="s">
        <v>394</v>
      </c>
      <c r="E26" t="s">
        <v>82</v>
      </c>
      <c r="F26" s="415">
        <f t="shared" ca="1" si="11"/>
        <v>0</v>
      </c>
      <c r="G26" s="415">
        <f t="shared" ca="1" si="11"/>
        <v>0</v>
      </c>
      <c r="H26" s="415">
        <f t="shared" ca="1" si="11"/>
        <v>0</v>
      </c>
      <c r="I26" s="415">
        <f t="shared" ca="1" si="11"/>
        <v>0</v>
      </c>
      <c r="J26" s="415">
        <f t="shared" ca="1" si="11"/>
        <v>0</v>
      </c>
      <c r="K26" s="415">
        <f t="shared" ca="1" si="11"/>
        <v>0</v>
      </c>
      <c r="L26" s="415">
        <f t="shared" ca="1" si="11"/>
        <v>0</v>
      </c>
      <c r="M26" s="415">
        <f t="shared" ca="1" si="11"/>
        <v>0</v>
      </c>
      <c r="N26" s="415">
        <f t="shared" ca="1" si="11"/>
        <v>0</v>
      </c>
      <c r="O26" s="415">
        <f t="shared" ca="1" si="11"/>
        <v>0</v>
      </c>
      <c r="P26" s="415">
        <f t="shared" ca="1" si="11"/>
        <v>0</v>
      </c>
      <c r="Q26" s="415">
        <f t="shared" ca="1" si="11"/>
        <v>0</v>
      </c>
      <c r="R26" s="415">
        <f t="shared" ca="1" si="11"/>
        <v>0</v>
      </c>
      <c r="S26" s="415">
        <f t="shared" ca="1" si="11"/>
        <v>0</v>
      </c>
      <c r="T26" s="415">
        <f t="shared" ca="1" si="13"/>
        <v>0</v>
      </c>
      <c r="U26" s="415">
        <f t="shared" ca="1" si="13"/>
        <v>0</v>
      </c>
      <c r="V26" s="415">
        <f t="shared" ca="1" si="13"/>
        <v>0</v>
      </c>
      <c r="W26" s="415">
        <f t="shared" ca="1" si="13"/>
        <v>0</v>
      </c>
      <c r="X26" s="415">
        <f t="shared" ca="1" si="13"/>
        <v>0</v>
      </c>
      <c r="Y26" s="415">
        <f t="shared" ca="1" si="13"/>
        <v>0</v>
      </c>
      <c r="Z26" s="415">
        <f t="shared" ca="1" si="13"/>
        <v>0</v>
      </c>
      <c r="AA26" s="415">
        <f t="shared" ca="1" si="13"/>
        <v>0</v>
      </c>
      <c r="AB26" s="415">
        <f t="shared" ca="1" si="13"/>
        <v>0</v>
      </c>
      <c r="AC26" s="415">
        <f t="shared" ca="1" si="13"/>
        <v>0</v>
      </c>
      <c r="AD26" s="415">
        <f t="shared" ca="1" si="13"/>
        <v>0</v>
      </c>
      <c r="AE26" s="415">
        <f t="shared" ca="1" si="13"/>
        <v>0</v>
      </c>
      <c r="AF26" s="415">
        <f t="shared" ca="1" si="13"/>
        <v>0</v>
      </c>
    </row>
    <row r="27" spans="1:32">
      <c r="A27" t="s">
        <v>64</v>
      </c>
      <c r="B27" t="str">
        <f t="shared" si="4"/>
        <v>UK P&amp;L</v>
      </c>
      <c r="C27" t="s">
        <v>84</v>
      </c>
      <c r="D27" t="s">
        <v>395</v>
      </c>
      <c r="E27" t="s">
        <v>82</v>
      </c>
      <c r="F27" s="415">
        <f t="shared" ca="1" si="11"/>
        <v>0</v>
      </c>
      <c r="G27" s="415">
        <f t="shared" ca="1" si="11"/>
        <v>0</v>
      </c>
      <c r="H27" s="415">
        <f t="shared" ca="1" si="11"/>
        <v>0</v>
      </c>
      <c r="I27" s="415">
        <f t="shared" ca="1" si="11"/>
        <v>0</v>
      </c>
      <c r="J27" s="415">
        <f t="shared" ca="1" si="11"/>
        <v>0</v>
      </c>
      <c r="K27" s="415">
        <f t="shared" ca="1" si="11"/>
        <v>0</v>
      </c>
      <c r="L27" s="415">
        <f t="shared" ca="1" si="11"/>
        <v>0</v>
      </c>
      <c r="M27" s="415">
        <f t="shared" ca="1" si="11"/>
        <v>0</v>
      </c>
      <c r="N27" s="415">
        <f t="shared" ca="1" si="11"/>
        <v>0</v>
      </c>
      <c r="O27" s="415">
        <f t="shared" ca="1" si="11"/>
        <v>0</v>
      </c>
      <c r="P27" s="415">
        <f t="shared" ca="1" si="11"/>
        <v>0</v>
      </c>
      <c r="Q27" s="415">
        <f t="shared" ca="1" si="11"/>
        <v>0</v>
      </c>
      <c r="R27" s="415">
        <f t="shared" ca="1" si="11"/>
        <v>0</v>
      </c>
      <c r="S27" s="415">
        <f t="shared" ca="1" si="11"/>
        <v>0</v>
      </c>
      <c r="T27" s="415">
        <f t="shared" ca="1" si="13"/>
        <v>0</v>
      </c>
      <c r="U27" s="415">
        <f t="shared" ca="1" si="13"/>
        <v>0</v>
      </c>
      <c r="V27" s="415">
        <f t="shared" ca="1" si="13"/>
        <v>0</v>
      </c>
      <c r="W27" s="415">
        <f t="shared" ca="1" si="13"/>
        <v>0</v>
      </c>
      <c r="X27" s="415">
        <f t="shared" ca="1" si="13"/>
        <v>0</v>
      </c>
      <c r="Y27" s="415">
        <f t="shared" ca="1" si="13"/>
        <v>0</v>
      </c>
      <c r="Z27" s="415">
        <f t="shared" ca="1" si="13"/>
        <v>0</v>
      </c>
      <c r="AA27" s="415">
        <f t="shared" ca="1" si="13"/>
        <v>0</v>
      </c>
      <c r="AB27" s="415">
        <f t="shared" ca="1" si="13"/>
        <v>0</v>
      </c>
      <c r="AC27" s="415">
        <f t="shared" ca="1" si="13"/>
        <v>0</v>
      </c>
      <c r="AD27" s="415">
        <f t="shared" ca="1" si="13"/>
        <v>0</v>
      </c>
      <c r="AE27" s="415">
        <f t="shared" ca="1" si="13"/>
        <v>0</v>
      </c>
      <c r="AF27" s="415">
        <f t="shared" ca="1" si="13"/>
        <v>0</v>
      </c>
    </row>
    <row r="28" spans="1:32">
      <c r="A28" t="s">
        <v>64</v>
      </c>
      <c r="B28" t="str">
        <f t="shared" si="4"/>
        <v>UK P&amp;L</v>
      </c>
      <c r="C28" t="s">
        <v>64</v>
      </c>
      <c r="D28" t="s">
        <v>396</v>
      </c>
      <c r="E28" t="s">
        <v>82</v>
      </c>
      <c r="F28" s="415">
        <f ca="1">IFERROR(SUMIFS(INDEX(INDIRECT("'"&amp;$D28&amp;"'!$a24:$AU40"),,MATCH(F$1,INDIRECT("'"&amp;$D28&amp;"'!$a$1:$AU$1"),0)),INDIRECT("'"&amp;$D28&amp;"'!$a24:$a40"),$C28),0)</f>
        <v>226300</v>
      </c>
      <c r="G28" s="415">
        <f t="shared" ref="G28:AF28" ca="1" si="15">IFERROR(SUMIFS(INDEX(INDIRECT("'"&amp;$D28&amp;"'!$a24:$AU40"),,MATCH(G$1,INDIRECT("'"&amp;$D28&amp;"'!$a$1:$AU$1"),0)),INDIRECT("'"&amp;$D28&amp;"'!$a24:$a40"),$C28),0)</f>
        <v>226300</v>
      </c>
      <c r="H28" s="415">
        <f t="shared" ca="1" si="15"/>
        <v>175200</v>
      </c>
      <c r="I28" s="415">
        <f t="shared" ca="1" si="15"/>
        <v>143796.79999999999</v>
      </c>
      <c r="J28" s="415">
        <f t="shared" ca="1" si="15"/>
        <v>189588</v>
      </c>
      <c r="K28" s="415">
        <f t="shared" ca="1" si="15"/>
        <v>183477.75</v>
      </c>
      <c r="L28" s="415">
        <f t="shared" ca="1" si="15"/>
        <v>183546</v>
      </c>
      <c r="M28" s="415">
        <f t="shared" ca="1" si="15"/>
        <v>180527.25</v>
      </c>
      <c r="N28" s="415">
        <f t="shared" ca="1" si="15"/>
        <v>224326.5</v>
      </c>
      <c r="O28" s="415">
        <f t="shared" ca="1" si="15"/>
        <v>181107.6</v>
      </c>
      <c r="P28" s="415">
        <f t="shared" ca="1" si="15"/>
        <v>193931.07</v>
      </c>
      <c r="Q28" s="415">
        <f t="shared" ca="1" si="15"/>
        <v>230104.48</v>
      </c>
      <c r="R28" s="415">
        <f t="shared" ca="1" si="15"/>
        <v>230908.33</v>
      </c>
      <c r="S28" s="415">
        <f t="shared" ca="1" si="15"/>
        <v>230655.56999999998</v>
      </c>
      <c r="T28" s="415">
        <f t="shared" ca="1" si="15"/>
        <v>174093.41999999998</v>
      </c>
      <c r="U28" s="415">
        <f t="shared" ca="1" si="15"/>
        <v>145234.76799999998</v>
      </c>
      <c r="V28" s="415">
        <f t="shared" ca="1" si="15"/>
        <v>191483.88</v>
      </c>
      <c r="W28" s="415">
        <f t="shared" ca="1" si="15"/>
        <v>185312.5275</v>
      </c>
      <c r="X28" s="415">
        <f t="shared" ca="1" si="15"/>
        <v>185381.46</v>
      </c>
      <c r="Y28" s="415">
        <f t="shared" ca="1" si="15"/>
        <v>182332.52249999999</v>
      </c>
      <c r="Z28" s="415">
        <f t="shared" ca="1" si="15"/>
        <v>226569.76500000001</v>
      </c>
      <c r="AA28" s="415">
        <f t="shared" ca="1" si="15"/>
        <v>182918.67600000001</v>
      </c>
      <c r="AB28" s="415">
        <f t="shared" ca="1" si="15"/>
        <v>195870.38070000001</v>
      </c>
      <c r="AC28" s="415">
        <f t="shared" ca="1" si="15"/>
        <v>232405.52480000001</v>
      </c>
      <c r="AD28" s="415">
        <f t="shared" ca="1" si="15"/>
        <v>233217.41329999999</v>
      </c>
      <c r="AE28" s="415">
        <f t="shared" ca="1" si="15"/>
        <v>232962.12569999998</v>
      </c>
      <c r="AF28" s="415">
        <f t="shared" ca="1" si="15"/>
        <v>175834.35419999997</v>
      </c>
    </row>
    <row r="29" spans="1:32">
      <c r="A29" t="s">
        <v>64</v>
      </c>
      <c r="B29" t="str">
        <f t="shared" si="4"/>
        <v>UK P&amp;L</v>
      </c>
      <c r="C29" t="s">
        <v>86</v>
      </c>
      <c r="D29" t="s">
        <v>397</v>
      </c>
      <c r="E29" t="s">
        <v>82</v>
      </c>
      <c r="F29" s="415">
        <f t="shared" ca="1" si="11"/>
        <v>0</v>
      </c>
      <c r="G29" s="415">
        <f t="shared" ca="1" si="11"/>
        <v>0</v>
      </c>
      <c r="H29" s="415">
        <f t="shared" ca="1" si="11"/>
        <v>0</v>
      </c>
      <c r="I29" s="415">
        <f t="shared" ca="1" si="11"/>
        <v>0</v>
      </c>
      <c r="J29" s="415">
        <f t="shared" ca="1" si="11"/>
        <v>0</v>
      </c>
      <c r="K29" s="415">
        <f t="shared" ca="1" si="11"/>
        <v>0</v>
      </c>
      <c r="L29" s="415">
        <f t="shared" ca="1" si="11"/>
        <v>0</v>
      </c>
      <c r="M29" s="415">
        <f t="shared" ca="1" si="11"/>
        <v>0</v>
      </c>
      <c r="N29" s="415">
        <f t="shared" ca="1" si="11"/>
        <v>0</v>
      </c>
      <c r="O29" s="415">
        <f t="shared" ca="1" si="11"/>
        <v>0</v>
      </c>
      <c r="P29" s="415">
        <f t="shared" ca="1" si="11"/>
        <v>0</v>
      </c>
      <c r="Q29" s="415">
        <f t="shared" ca="1" si="11"/>
        <v>0</v>
      </c>
      <c r="R29" s="415">
        <f t="shared" ca="1" si="11"/>
        <v>0</v>
      </c>
      <c r="S29" s="415">
        <f t="shared" ca="1" si="11"/>
        <v>0</v>
      </c>
      <c r="T29" s="415">
        <f t="shared" ca="1" si="13"/>
        <v>0</v>
      </c>
      <c r="U29" s="415">
        <f t="shared" ca="1" si="13"/>
        <v>0</v>
      </c>
      <c r="V29" s="415">
        <f t="shared" ca="1" si="13"/>
        <v>0</v>
      </c>
      <c r="W29" s="415">
        <f t="shared" ca="1" si="13"/>
        <v>0</v>
      </c>
      <c r="X29" s="415">
        <f t="shared" ca="1" si="13"/>
        <v>0</v>
      </c>
      <c r="Y29" s="415">
        <f t="shared" ca="1" si="13"/>
        <v>0</v>
      </c>
      <c r="Z29" s="415">
        <f t="shared" ca="1" si="13"/>
        <v>0</v>
      </c>
      <c r="AA29" s="415">
        <f t="shared" ca="1" si="13"/>
        <v>0</v>
      </c>
      <c r="AB29" s="415">
        <f t="shared" ca="1" si="13"/>
        <v>0</v>
      </c>
      <c r="AC29" s="415">
        <f t="shared" ca="1" si="13"/>
        <v>0</v>
      </c>
      <c r="AD29" s="415">
        <f t="shared" ca="1" si="13"/>
        <v>0</v>
      </c>
      <c r="AE29" s="415">
        <f t="shared" ca="1" si="13"/>
        <v>0</v>
      </c>
      <c r="AF29" s="415">
        <f t="shared" ca="1" si="13"/>
        <v>0</v>
      </c>
    </row>
    <row r="30" spans="1:32">
      <c r="A30" t="s">
        <v>67</v>
      </c>
      <c r="B30" t="str">
        <f t="shared" si="4"/>
        <v>ROW P&amp;L</v>
      </c>
      <c r="C30" t="s">
        <v>83</v>
      </c>
      <c r="D30" t="s">
        <v>394</v>
      </c>
      <c r="E30" t="s">
        <v>82</v>
      </c>
      <c r="F30" s="415">
        <f t="shared" ca="1" si="11"/>
        <v>0</v>
      </c>
      <c r="G30" s="415">
        <f t="shared" ca="1" si="11"/>
        <v>0</v>
      </c>
      <c r="H30" s="415">
        <f t="shared" ca="1" si="11"/>
        <v>0</v>
      </c>
      <c r="I30" s="415">
        <f t="shared" ca="1" si="11"/>
        <v>0</v>
      </c>
      <c r="J30" s="415">
        <f t="shared" ca="1" si="11"/>
        <v>0</v>
      </c>
      <c r="K30" s="415">
        <f t="shared" ca="1" si="11"/>
        <v>0</v>
      </c>
      <c r="L30" s="415">
        <f t="shared" ca="1" si="11"/>
        <v>0</v>
      </c>
      <c r="M30" s="415">
        <f t="shared" ca="1" si="11"/>
        <v>0</v>
      </c>
      <c r="N30" s="415">
        <f t="shared" ca="1" si="11"/>
        <v>0</v>
      </c>
      <c r="O30" s="415">
        <f t="shared" ca="1" si="11"/>
        <v>0</v>
      </c>
      <c r="P30" s="415">
        <f t="shared" ca="1" si="11"/>
        <v>0</v>
      </c>
      <c r="Q30" s="415">
        <f t="shared" ca="1" si="11"/>
        <v>0</v>
      </c>
      <c r="R30" s="415">
        <f t="shared" ca="1" si="11"/>
        <v>0</v>
      </c>
      <c r="S30" s="415">
        <f t="shared" ca="1" si="11"/>
        <v>0</v>
      </c>
      <c r="T30" s="415">
        <f t="shared" ca="1" si="13"/>
        <v>0</v>
      </c>
      <c r="U30" s="415">
        <f t="shared" ca="1" si="13"/>
        <v>0</v>
      </c>
      <c r="V30" s="415">
        <f t="shared" ca="1" si="13"/>
        <v>0</v>
      </c>
      <c r="W30" s="415">
        <f t="shared" ca="1" si="13"/>
        <v>0</v>
      </c>
      <c r="X30" s="415">
        <f t="shared" ca="1" si="13"/>
        <v>0</v>
      </c>
      <c r="Y30" s="415">
        <f t="shared" ca="1" si="13"/>
        <v>0</v>
      </c>
      <c r="Z30" s="415">
        <f t="shared" ca="1" si="13"/>
        <v>0</v>
      </c>
      <c r="AA30" s="415">
        <f t="shared" ca="1" si="13"/>
        <v>0</v>
      </c>
      <c r="AB30" s="415">
        <f t="shared" ca="1" si="13"/>
        <v>0</v>
      </c>
      <c r="AC30" s="415">
        <f t="shared" ca="1" si="13"/>
        <v>0</v>
      </c>
      <c r="AD30" s="415">
        <f t="shared" ca="1" si="13"/>
        <v>0</v>
      </c>
      <c r="AE30" s="415">
        <f t="shared" ca="1" si="13"/>
        <v>0</v>
      </c>
      <c r="AF30" s="415">
        <f t="shared" ca="1" si="13"/>
        <v>0</v>
      </c>
    </row>
    <row r="31" spans="1:32">
      <c r="A31" t="s">
        <v>67</v>
      </c>
      <c r="B31" t="str">
        <f t="shared" si="4"/>
        <v>ROW P&amp;L</v>
      </c>
      <c r="C31" t="s">
        <v>84</v>
      </c>
      <c r="D31" t="s">
        <v>395</v>
      </c>
      <c r="E31" t="s">
        <v>82</v>
      </c>
      <c r="F31" s="415">
        <f t="shared" ca="1" si="11"/>
        <v>0</v>
      </c>
      <c r="G31" s="415">
        <f t="shared" ca="1" si="11"/>
        <v>0</v>
      </c>
      <c r="H31" s="415">
        <f t="shared" ca="1" si="11"/>
        <v>0</v>
      </c>
      <c r="I31" s="415">
        <f t="shared" ca="1" si="11"/>
        <v>0</v>
      </c>
      <c r="J31" s="415">
        <f t="shared" ca="1" si="11"/>
        <v>0</v>
      </c>
      <c r="K31" s="415">
        <f t="shared" ca="1" si="11"/>
        <v>0</v>
      </c>
      <c r="L31" s="415">
        <f t="shared" ca="1" si="11"/>
        <v>0</v>
      </c>
      <c r="M31" s="415">
        <f t="shared" ca="1" si="11"/>
        <v>0</v>
      </c>
      <c r="N31" s="415">
        <f t="shared" ca="1" si="11"/>
        <v>0</v>
      </c>
      <c r="O31" s="415">
        <f t="shared" ca="1" si="11"/>
        <v>0</v>
      </c>
      <c r="P31" s="415">
        <f t="shared" ca="1" si="11"/>
        <v>0</v>
      </c>
      <c r="Q31" s="415">
        <f t="shared" ca="1" si="11"/>
        <v>0</v>
      </c>
      <c r="R31" s="415">
        <f t="shared" ca="1" si="11"/>
        <v>0</v>
      </c>
      <c r="S31" s="415">
        <f t="shared" ca="1" si="11"/>
        <v>0</v>
      </c>
      <c r="T31" s="415">
        <f t="shared" ca="1" si="13"/>
        <v>0</v>
      </c>
      <c r="U31" s="415">
        <f t="shared" ca="1" si="13"/>
        <v>0</v>
      </c>
      <c r="V31" s="415">
        <f t="shared" ca="1" si="13"/>
        <v>0</v>
      </c>
      <c r="W31" s="415">
        <f t="shared" ca="1" si="13"/>
        <v>0</v>
      </c>
      <c r="X31" s="415">
        <f t="shared" ca="1" si="13"/>
        <v>0</v>
      </c>
      <c r="Y31" s="415">
        <f t="shared" ca="1" si="13"/>
        <v>0</v>
      </c>
      <c r="Z31" s="415">
        <f t="shared" ca="1" si="13"/>
        <v>0</v>
      </c>
      <c r="AA31" s="415">
        <f t="shared" ca="1" si="13"/>
        <v>0</v>
      </c>
      <c r="AB31" s="415">
        <f t="shared" ca="1" si="13"/>
        <v>0</v>
      </c>
      <c r="AC31" s="415">
        <f t="shared" ca="1" si="13"/>
        <v>0</v>
      </c>
      <c r="AD31" s="415">
        <f t="shared" ca="1" si="13"/>
        <v>0</v>
      </c>
      <c r="AE31" s="415">
        <f t="shared" ca="1" si="13"/>
        <v>0</v>
      </c>
      <c r="AF31" s="415">
        <f t="shared" ca="1" si="13"/>
        <v>0</v>
      </c>
    </row>
    <row r="32" spans="1:32">
      <c r="A32" t="s">
        <v>67</v>
      </c>
      <c r="B32" t="str">
        <f t="shared" si="4"/>
        <v>ROW P&amp;L</v>
      </c>
      <c r="C32" t="s">
        <v>399</v>
      </c>
      <c r="D32" t="s">
        <v>396</v>
      </c>
      <c r="E32" t="s">
        <v>82</v>
      </c>
      <c r="F32" s="415">
        <f ca="1">IFERROR(SUMIFS(INDEX(INDIRECT("'"&amp;$D32&amp;"'!$a24:$AU40"),,MATCH(F$1,INDIRECT("'"&amp;$D32&amp;"'!$a$1:$AU$1"),0)),INDIRECT("'"&amp;$D32&amp;"'!$a24:$a40"),$C32),0)</f>
        <v>0</v>
      </c>
      <c r="G32" s="415">
        <f t="shared" ref="G32:AF32" ca="1" si="16">IFERROR(SUMIFS(INDEX(INDIRECT("'"&amp;$D32&amp;"'!$a24:$AU40"),,MATCH(G$1,INDIRECT("'"&amp;$D32&amp;"'!$a$1:$AU$1"),0)),INDIRECT("'"&amp;$D32&amp;"'!$a24:$a40"),$C32),0)</f>
        <v>0</v>
      </c>
      <c r="H32" s="415">
        <f t="shared" ca="1" si="16"/>
        <v>0</v>
      </c>
      <c r="I32" s="415">
        <f t="shared" ca="1" si="16"/>
        <v>0</v>
      </c>
      <c r="J32" s="415">
        <f t="shared" ca="1" si="16"/>
        <v>0</v>
      </c>
      <c r="K32" s="415">
        <f t="shared" ca="1" si="16"/>
        <v>0</v>
      </c>
      <c r="L32" s="415">
        <f t="shared" ca="1" si="16"/>
        <v>0</v>
      </c>
      <c r="M32" s="415">
        <f t="shared" ca="1" si="16"/>
        <v>0</v>
      </c>
      <c r="N32" s="415">
        <f t="shared" ca="1" si="16"/>
        <v>0</v>
      </c>
      <c r="O32" s="415">
        <f t="shared" ca="1" si="16"/>
        <v>0</v>
      </c>
      <c r="P32" s="415">
        <f t="shared" ca="1" si="16"/>
        <v>0</v>
      </c>
      <c r="Q32" s="415">
        <f t="shared" ca="1" si="16"/>
        <v>0</v>
      </c>
      <c r="R32" s="415">
        <f t="shared" ca="1" si="16"/>
        <v>0</v>
      </c>
      <c r="S32" s="415">
        <f t="shared" ca="1" si="16"/>
        <v>0</v>
      </c>
      <c r="T32" s="415">
        <f t="shared" ca="1" si="16"/>
        <v>0</v>
      </c>
      <c r="U32" s="415">
        <f t="shared" ca="1" si="16"/>
        <v>0</v>
      </c>
      <c r="V32" s="415">
        <f t="shared" ca="1" si="16"/>
        <v>0</v>
      </c>
      <c r="W32" s="415">
        <f t="shared" ca="1" si="16"/>
        <v>0</v>
      </c>
      <c r="X32" s="415">
        <f t="shared" ca="1" si="16"/>
        <v>0</v>
      </c>
      <c r="Y32" s="415">
        <f t="shared" ca="1" si="16"/>
        <v>0</v>
      </c>
      <c r="Z32" s="415">
        <f t="shared" ca="1" si="16"/>
        <v>0</v>
      </c>
      <c r="AA32" s="415">
        <f t="shared" ca="1" si="16"/>
        <v>0</v>
      </c>
      <c r="AB32" s="415">
        <f t="shared" ca="1" si="16"/>
        <v>0</v>
      </c>
      <c r="AC32" s="415">
        <f t="shared" ca="1" si="16"/>
        <v>0</v>
      </c>
      <c r="AD32" s="415">
        <f t="shared" ca="1" si="16"/>
        <v>0</v>
      </c>
      <c r="AE32" s="415">
        <f t="shared" ca="1" si="16"/>
        <v>0</v>
      </c>
      <c r="AF32" s="415">
        <f t="shared" ca="1" si="16"/>
        <v>0</v>
      </c>
    </row>
    <row r="33" spans="1:32">
      <c r="A33" t="s">
        <v>67</v>
      </c>
      <c r="B33" t="str">
        <f t="shared" si="4"/>
        <v>ROW P&amp;L</v>
      </c>
      <c r="C33" t="s">
        <v>86</v>
      </c>
      <c r="D33" t="s">
        <v>397</v>
      </c>
      <c r="E33" t="s">
        <v>82</v>
      </c>
      <c r="F33" s="415">
        <f t="shared" ref="F33:U47" ca="1" si="17">IFERROR(SUMIFS(INDEX(INDIRECT("'"&amp;$B33&amp;"'!$B:$AU"),,MATCH(F$1,INDIRECT("'"&amp;$B33&amp;"'!$B$3:$AU$3"),0)),INDIRECT("'"&amp;$B33&amp;"'!$B:$B"),$C33),0)</f>
        <v>0</v>
      </c>
      <c r="G33" s="415">
        <f t="shared" ca="1" si="17"/>
        <v>0</v>
      </c>
      <c r="H33" s="415">
        <f t="shared" ca="1" si="17"/>
        <v>0</v>
      </c>
      <c r="I33" s="415">
        <f t="shared" ca="1" si="17"/>
        <v>0</v>
      </c>
      <c r="J33" s="415">
        <f t="shared" ca="1" si="17"/>
        <v>0</v>
      </c>
      <c r="K33" s="415">
        <f t="shared" ca="1" si="17"/>
        <v>0</v>
      </c>
      <c r="L33" s="415">
        <f t="shared" ca="1" si="17"/>
        <v>0</v>
      </c>
      <c r="M33" s="415">
        <f t="shared" ca="1" si="17"/>
        <v>0</v>
      </c>
      <c r="N33" s="415">
        <f t="shared" ca="1" si="17"/>
        <v>0</v>
      </c>
      <c r="O33" s="415">
        <f t="shared" ca="1" si="17"/>
        <v>0</v>
      </c>
      <c r="P33" s="415">
        <f t="shared" ca="1" si="17"/>
        <v>0</v>
      </c>
      <c r="Q33" s="415">
        <f t="shared" ca="1" si="17"/>
        <v>0</v>
      </c>
      <c r="R33" s="415">
        <f t="shared" ca="1" si="17"/>
        <v>0</v>
      </c>
      <c r="S33" s="415">
        <f t="shared" ca="1" si="17"/>
        <v>0</v>
      </c>
      <c r="T33" s="415">
        <f t="shared" ca="1" si="13"/>
        <v>0</v>
      </c>
      <c r="U33" s="415">
        <f t="shared" ca="1" si="13"/>
        <v>0</v>
      </c>
      <c r="V33" s="415">
        <f t="shared" ca="1" si="13"/>
        <v>0</v>
      </c>
      <c r="W33" s="415">
        <f t="shared" ca="1" si="13"/>
        <v>0</v>
      </c>
      <c r="X33" s="415">
        <f t="shared" ca="1" si="13"/>
        <v>0</v>
      </c>
      <c r="Y33" s="415">
        <f t="shared" ca="1" si="13"/>
        <v>0</v>
      </c>
      <c r="Z33" s="415">
        <f t="shared" ca="1" si="13"/>
        <v>0</v>
      </c>
      <c r="AA33" s="415">
        <f t="shared" ca="1" si="13"/>
        <v>0</v>
      </c>
      <c r="AB33" s="415">
        <f t="shared" ca="1" si="13"/>
        <v>0</v>
      </c>
      <c r="AC33" s="415">
        <f t="shared" ca="1" si="13"/>
        <v>0</v>
      </c>
      <c r="AD33" s="415">
        <f t="shared" ca="1" si="13"/>
        <v>0</v>
      </c>
      <c r="AE33" s="415">
        <f t="shared" ca="1" si="13"/>
        <v>0</v>
      </c>
      <c r="AF33" s="415">
        <f t="shared" ca="1" si="13"/>
        <v>0</v>
      </c>
    </row>
    <row r="34" spans="1:32">
      <c r="A34" t="s">
        <v>73</v>
      </c>
      <c r="B34" t="str">
        <f t="shared" si="4"/>
        <v>ES P&amp;L</v>
      </c>
      <c r="C34" t="s">
        <v>122</v>
      </c>
      <c r="D34" t="s">
        <v>394</v>
      </c>
      <c r="E34" t="s">
        <v>121</v>
      </c>
      <c r="F34" s="415">
        <f t="shared" ca="1" si="17"/>
        <v>0</v>
      </c>
      <c r="G34" s="415">
        <f t="shared" ca="1" si="17"/>
        <v>0</v>
      </c>
      <c r="H34" s="415">
        <f t="shared" ca="1" si="17"/>
        <v>0</v>
      </c>
      <c r="I34" s="415">
        <f t="shared" ca="1" si="17"/>
        <v>0</v>
      </c>
      <c r="J34" s="415">
        <f t="shared" ca="1" si="17"/>
        <v>0</v>
      </c>
      <c r="K34" s="415">
        <f t="shared" ca="1" si="17"/>
        <v>0</v>
      </c>
      <c r="L34" s="415">
        <f t="shared" ca="1" si="17"/>
        <v>0</v>
      </c>
      <c r="M34" s="415">
        <f t="shared" ca="1" si="17"/>
        <v>0</v>
      </c>
      <c r="N34" s="415">
        <f t="shared" ca="1" si="17"/>
        <v>0</v>
      </c>
      <c r="O34" s="415">
        <f t="shared" ca="1" si="17"/>
        <v>0</v>
      </c>
      <c r="P34" s="415">
        <f t="shared" ca="1" si="17"/>
        <v>0</v>
      </c>
      <c r="Q34" s="415">
        <f t="shared" ca="1" si="17"/>
        <v>0</v>
      </c>
      <c r="R34" s="415">
        <f t="shared" ca="1" si="17"/>
        <v>0</v>
      </c>
      <c r="S34" s="415">
        <f t="shared" ca="1" si="17"/>
        <v>0</v>
      </c>
      <c r="T34" s="415">
        <f t="shared" ca="1" si="13"/>
        <v>0</v>
      </c>
      <c r="U34" s="415">
        <f t="shared" ca="1" si="13"/>
        <v>0</v>
      </c>
      <c r="V34" s="415">
        <f t="shared" ca="1" si="13"/>
        <v>0</v>
      </c>
      <c r="W34" s="415">
        <f t="shared" ca="1" si="13"/>
        <v>0</v>
      </c>
      <c r="X34" s="415">
        <f t="shared" ca="1" si="13"/>
        <v>0</v>
      </c>
      <c r="Y34" s="415">
        <f t="shared" ca="1" si="13"/>
        <v>0</v>
      </c>
      <c r="Z34" s="415">
        <f t="shared" ca="1" si="13"/>
        <v>0</v>
      </c>
      <c r="AA34" s="415">
        <f t="shared" ca="1" si="13"/>
        <v>0</v>
      </c>
      <c r="AB34" s="415">
        <f t="shared" ca="1" si="13"/>
        <v>0</v>
      </c>
      <c r="AC34" s="415">
        <f t="shared" ca="1" si="13"/>
        <v>0</v>
      </c>
      <c r="AD34" s="415">
        <f t="shared" ca="1" si="13"/>
        <v>0</v>
      </c>
      <c r="AE34" s="415">
        <f t="shared" ca="1" si="13"/>
        <v>0</v>
      </c>
      <c r="AF34" s="415">
        <f t="shared" ca="1" si="13"/>
        <v>0</v>
      </c>
    </row>
    <row r="35" spans="1:32">
      <c r="A35" t="s">
        <v>73</v>
      </c>
      <c r="B35" t="str">
        <f t="shared" si="4"/>
        <v>ES P&amp;L</v>
      </c>
      <c r="C35" t="s">
        <v>123</v>
      </c>
      <c r="D35" t="s">
        <v>394</v>
      </c>
      <c r="E35" t="s">
        <v>121</v>
      </c>
      <c r="F35" s="415">
        <f t="shared" ca="1" si="17"/>
        <v>0</v>
      </c>
      <c r="G35" s="415">
        <f t="shared" ca="1" si="17"/>
        <v>0</v>
      </c>
      <c r="H35" s="415">
        <f t="shared" ca="1" si="17"/>
        <v>0</v>
      </c>
      <c r="I35" s="415">
        <f t="shared" ca="1" si="17"/>
        <v>0</v>
      </c>
      <c r="J35" s="415">
        <f t="shared" ca="1" si="17"/>
        <v>0</v>
      </c>
      <c r="K35" s="415">
        <f t="shared" ca="1" si="17"/>
        <v>0</v>
      </c>
      <c r="L35" s="415">
        <f t="shared" ca="1" si="17"/>
        <v>0</v>
      </c>
      <c r="M35" s="415">
        <f t="shared" ca="1" si="17"/>
        <v>0</v>
      </c>
      <c r="N35" s="415">
        <f t="shared" ca="1" si="17"/>
        <v>0</v>
      </c>
      <c r="O35" s="415">
        <f t="shared" ca="1" si="17"/>
        <v>0</v>
      </c>
      <c r="P35" s="415">
        <f t="shared" ca="1" si="17"/>
        <v>0</v>
      </c>
      <c r="Q35" s="415">
        <f t="shared" ca="1" si="17"/>
        <v>0</v>
      </c>
      <c r="R35" s="415">
        <f t="shared" ca="1" si="17"/>
        <v>0</v>
      </c>
      <c r="S35" s="415">
        <f t="shared" ca="1" si="17"/>
        <v>0</v>
      </c>
      <c r="T35" s="415">
        <f t="shared" ca="1" si="13"/>
        <v>0</v>
      </c>
      <c r="U35" s="415">
        <f t="shared" ca="1" si="13"/>
        <v>0</v>
      </c>
      <c r="V35" s="415">
        <f t="shared" ca="1" si="13"/>
        <v>0</v>
      </c>
      <c r="W35" s="415">
        <f t="shared" ca="1" si="13"/>
        <v>0</v>
      </c>
      <c r="X35" s="415">
        <f t="shared" ca="1" si="13"/>
        <v>0</v>
      </c>
      <c r="Y35" s="415">
        <f t="shared" ca="1" si="13"/>
        <v>0</v>
      </c>
      <c r="Z35" s="415">
        <f t="shared" ca="1" si="13"/>
        <v>0</v>
      </c>
      <c r="AA35" s="415">
        <f t="shared" ca="1" si="13"/>
        <v>0</v>
      </c>
      <c r="AB35" s="415">
        <f t="shared" ca="1" si="13"/>
        <v>0</v>
      </c>
      <c r="AC35" s="415">
        <f t="shared" ca="1" si="13"/>
        <v>0</v>
      </c>
      <c r="AD35" s="415">
        <f t="shared" ca="1" si="13"/>
        <v>0</v>
      </c>
      <c r="AE35" s="415">
        <f t="shared" ca="1" si="13"/>
        <v>0</v>
      </c>
      <c r="AF35" s="415">
        <f t="shared" ca="1" si="13"/>
        <v>0</v>
      </c>
    </row>
    <row r="36" spans="1:32">
      <c r="A36" t="s">
        <v>73</v>
      </c>
      <c r="B36" t="str">
        <f t="shared" si="4"/>
        <v>ES P&amp;L</v>
      </c>
      <c r="C36" t="s">
        <v>124</v>
      </c>
      <c r="D36" t="s">
        <v>394</v>
      </c>
      <c r="E36" t="s">
        <v>121</v>
      </c>
      <c r="F36" s="415">
        <f t="shared" ca="1" si="17"/>
        <v>0</v>
      </c>
      <c r="G36" s="415">
        <f t="shared" ca="1" si="17"/>
        <v>0</v>
      </c>
      <c r="H36" s="415">
        <f t="shared" ca="1" si="17"/>
        <v>0</v>
      </c>
      <c r="I36" s="415">
        <f t="shared" ca="1" si="17"/>
        <v>0</v>
      </c>
      <c r="J36" s="415">
        <f t="shared" ca="1" si="17"/>
        <v>0</v>
      </c>
      <c r="K36" s="415">
        <f t="shared" ca="1" si="17"/>
        <v>0</v>
      </c>
      <c r="L36" s="415">
        <f t="shared" ca="1" si="17"/>
        <v>0</v>
      </c>
      <c r="M36" s="415">
        <f t="shared" ca="1" si="17"/>
        <v>0</v>
      </c>
      <c r="N36" s="415">
        <f t="shared" ca="1" si="17"/>
        <v>0</v>
      </c>
      <c r="O36" s="415">
        <f t="shared" ca="1" si="17"/>
        <v>0</v>
      </c>
      <c r="P36" s="415">
        <f t="shared" ca="1" si="17"/>
        <v>0</v>
      </c>
      <c r="Q36" s="415">
        <f t="shared" ca="1" si="17"/>
        <v>0</v>
      </c>
      <c r="R36" s="415">
        <f t="shared" ca="1" si="17"/>
        <v>0</v>
      </c>
      <c r="S36" s="415">
        <f t="shared" ca="1" si="17"/>
        <v>0</v>
      </c>
      <c r="T36" s="415">
        <f t="shared" ca="1" si="13"/>
        <v>0</v>
      </c>
      <c r="U36" s="415">
        <f t="shared" ca="1" si="13"/>
        <v>0</v>
      </c>
      <c r="V36" s="415">
        <f t="shared" ca="1" si="13"/>
        <v>0</v>
      </c>
      <c r="W36" s="415">
        <f t="shared" ca="1" si="13"/>
        <v>0</v>
      </c>
      <c r="X36" s="415">
        <f t="shared" ca="1" si="13"/>
        <v>0</v>
      </c>
      <c r="Y36" s="415">
        <f t="shared" ca="1" si="13"/>
        <v>0</v>
      </c>
      <c r="Z36" s="415">
        <f t="shared" ca="1" si="13"/>
        <v>0</v>
      </c>
      <c r="AA36" s="415">
        <f t="shared" ca="1" si="13"/>
        <v>0</v>
      </c>
      <c r="AB36" s="415">
        <f t="shared" ca="1" si="13"/>
        <v>0</v>
      </c>
      <c r="AC36" s="415">
        <f t="shared" ca="1" si="13"/>
        <v>0</v>
      </c>
      <c r="AD36" s="415">
        <f t="shared" ca="1" si="13"/>
        <v>0</v>
      </c>
      <c r="AE36" s="415">
        <f t="shared" ca="1" si="13"/>
        <v>0</v>
      </c>
      <c r="AF36" s="415">
        <f t="shared" ca="1" si="13"/>
        <v>0</v>
      </c>
    </row>
    <row r="37" spans="1:32">
      <c r="A37" t="s">
        <v>73</v>
      </c>
      <c r="B37" t="str">
        <f t="shared" si="4"/>
        <v>ES P&amp;L</v>
      </c>
      <c r="C37" t="s">
        <v>125</v>
      </c>
      <c r="D37" t="s">
        <v>394</v>
      </c>
      <c r="E37" t="s">
        <v>121</v>
      </c>
      <c r="F37" s="415">
        <f t="shared" ca="1" si="17"/>
        <v>0</v>
      </c>
      <c r="G37" s="415">
        <f t="shared" ca="1" si="17"/>
        <v>0</v>
      </c>
      <c r="H37" s="415">
        <f t="shared" ca="1" si="17"/>
        <v>0</v>
      </c>
      <c r="I37" s="415">
        <f t="shared" ca="1" si="17"/>
        <v>0</v>
      </c>
      <c r="J37" s="415">
        <f t="shared" ca="1" si="17"/>
        <v>0</v>
      </c>
      <c r="K37" s="415">
        <f t="shared" ca="1" si="17"/>
        <v>0</v>
      </c>
      <c r="L37" s="415">
        <f t="shared" ca="1" si="17"/>
        <v>0</v>
      </c>
      <c r="M37" s="415">
        <f t="shared" ca="1" si="17"/>
        <v>0</v>
      </c>
      <c r="N37" s="415">
        <f t="shared" ca="1" si="17"/>
        <v>0</v>
      </c>
      <c r="O37" s="415">
        <f t="shared" ca="1" si="17"/>
        <v>0</v>
      </c>
      <c r="P37" s="415">
        <f t="shared" ca="1" si="17"/>
        <v>0</v>
      </c>
      <c r="Q37" s="415">
        <f t="shared" ca="1" si="17"/>
        <v>0</v>
      </c>
      <c r="R37" s="415">
        <f t="shared" ca="1" si="17"/>
        <v>0</v>
      </c>
      <c r="S37" s="415">
        <f t="shared" ca="1" si="17"/>
        <v>0</v>
      </c>
      <c r="T37" s="415">
        <f t="shared" ca="1" si="13"/>
        <v>0</v>
      </c>
      <c r="U37" s="415">
        <f t="shared" ca="1" si="13"/>
        <v>0</v>
      </c>
      <c r="V37" s="415">
        <f t="shared" ca="1" si="13"/>
        <v>0</v>
      </c>
      <c r="W37" s="415">
        <f t="shared" ca="1" si="13"/>
        <v>0</v>
      </c>
      <c r="X37" s="415">
        <f t="shared" ca="1" si="13"/>
        <v>0</v>
      </c>
      <c r="Y37" s="415">
        <f t="shared" ca="1" si="13"/>
        <v>0</v>
      </c>
      <c r="Z37" s="415">
        <f t="shared" ca="1" si="13"/>
        <v>0</v>
      </c>
      <c r="AA37" s="415">
        <f t="shared" ca="1" si="13"/>
        <v>0</v>
      </c>
      <c r="AB37" s="415">
        <f t="shared" ca="1" si="13"/>
        <v>0</v>
      </c>
      <c r="AC37" s="415">
        <f t="shared" ca="1" si="13"/>
        <v>0</v>
      </c>
      <c r="AD37" s="415">
        <f t="shared" ca="1" si="13"/>
        <v>0</v>
      </c>
      <c r="AE37" s="415">
        <f t="shared" ca="1" si="13"/>
        <v>0</v>
      </c>
      <c r="AF37" s="415">
        <f t="shared" ca="1" si="13"/>
        <v>0</v>
      </c>
    </row>
    <row r="38" spans="1:32">
      <c r="A38" t="s">
        <v>73</v>
      </c>
      <c r="B38" t="str">
        <f t="shared" si="4"/>
        <v>ES P&amp;L</v>
      </c>
      <c r="C38" t="s">
        <v>126</v>
      </c>
      <c r="D38" t="s">
        <v>394</v>
      </c>
      <c r="E38" t="s">
        <v>121</v>
      </c>
      <c r="F38" s="415">
        <f t="shared" ca="1" si="17"/>
        <v>0</v>
      </c>
      <c r="G38" s="415">
        <f t="shared" ca="1" si="17"/>
        <v>0</v>
      </c>
      <c r="H38" s="415">
        <f t="shared" ca="1" si="17"/>
        <v>0</v>
      </c>
      <c r="I38" s="415">
        <f t="shared" ca="1" si="17"/>
        <v>0</v>
      </c>
      <c r="J38" s="415">
        <f t="shared" ca="1" si="17"/>
        <v>0</v>
      </c>
      <c r="K38" s="415">
        <f t="shared" ca="1" si="17"/>
        <v>0</v>
      </c>
      <c r="L38" s="415">
        <f t="shared" ca="1" si="17"/>
        <v>0</v>
      </c>
      <c r="M38" s="415">
        <f t="shared" ca="1" si="17"/>
        <v>0</v>
      </c>
      <c r="N38" s="415">
        <f t="shared" ca="1" si="17"/>
        <v>0</v>
      </c>
      <c r="O38" s="415">
        <f t="shared" ca="1" si="17"/>
        <v>0</v>
      </c>
      <c r="P38" s="415">
        <f t="shared" ca="1" si="17"/>
        <v>0</v>
      </c>
      <c r="Q38" s="415">
        <f t="shared" ca="1" si="17"/>
        <v>0</v>
      </c>
      <c r="R38" s="415">
        <f t="shared" ca="1" si="17"/>
        <v>0</v>
      </c>
      <c r="S38" s="415">
        <f t="shared" ca="1" si="17"/>
        <v>0</v>
      </c>
      <c r="T38" s="415">
        <f t="shared" ca="1" si="17"/>
        <v>0</v>
      </c>
      <c r="U38" s="415">
        <f t="shared" ca="1" si="17"/>
        <v>0</v>
      </c>
      <c r="V38" s="415">
        <f t="shared" ref="T38:AF54" ca="1" si="18">IFERROR(SUMIFS(INDEX(INDIRECT("'"&amp;$B38&amp;"'!$B:$AU"),,MATCH(V$1,INDIRECT("'"&amp;$B38&amp;"'!$B$3:$AU$3"),0)),INDIRECT("'"&amp;$B38&amp;"'!$B:$B"),$C38),0)</f>
        <v>0</v>
      </c>
      <c r="W38" s="415">
        <f t="shared" ca="1" si="18"/>
        <v>0</v>
      </c>
      <c r="X38" s="415">
        <f t="shared" ca="1" si="18"/>
        <v>0</v>
      </c>
      <c r="Y38" s="415">
        <f t="shared" ca="1" si="18"/>
        <v>0</v>
      </c>
      <c r="Z38" s="415">
        <f t="shared" ca="1" si="18"/>
        <v>0</v>
      </c>
      <c r="AA38" s="415">
        <f t="shared" ca="1" si="18"/>
        <v>0</v>
      </c>
      <c r="AB38" s="415">
        <f t="shared" ca="1" si="18"/>
        <v>0</v>
      </c>
      <c r="AC38" s="415">
        <f t="shared" ca="1" si="18"/>
        <v>0</v>
      </c>
      <c r="AD38" s="415">
        <f t="shared" ca="1" si="18"/>
        <v>0</v>
      </c>
      <c r="AE38" s="415">
        <f t="shared" ca="1" si="18"/>
        <v>0</v>
      </c>
      <c r="AF38" s="415">
        <f t="shared" ca="1" si="18"/>
        <v>0</v>
      </c>
    </row>
    <row r="39" spans="1:32">
      <c r="A39" t="s">
        <v>73</v>
      </c>
      <c r="B39" t="str">
        <f t="shared" si="4"/>
        <v>ES P&amp;L</v>
      </c>
      <c r="C39" t="s">
        <v>127</v>
      </c>
      <c r="D39" t="s">
        <v>395</v>
      </c>
      <c r="E39" t="s">
        <v>121</v>
      </c>
      <c r="F39" s="415">
        <f t="shared" ca="1" si="17"/>
        <v>0</v>
      </c>
      <c r="G39" s="415">
        <f t="shared" ca="1" si="17"/>
        <v>0</v>
      </c>
      <c r="H39" s="415">
        <f t="shared" ca="1" si="17"/>
        <v>0</v>
      </c>
      <c r="I39" s="415">
        <f t="shared" ca="1" si="17"/>
        <v>0</v>
      </c>
      <c r="J39" s="415">
        <f t="shared" ca="1" si="17"/>
        <v>0</v>
      </c>
      <c r="K39" s="415">
        <f t="shared" ca="1" si="17"/>
        <v>0</v>
      </c>
      <c r="L39" s="415">
        <f t="shared" ca="1" si="17"/>
        <v>0</v>
      </c>
      <c r="M39" s="415">
        <f t="shared" ca="1" si="17"/>
        <v>0</v>
      </c>
      <c r="N39" s="415">
        <f t="shared" ca="1" si="17"/>
        <v>0</v>
      </c>
      <c r="O39" s="415">
        <f t="shared" ca="1" si="17"/>
        <v>0</v>
      </c>
      <c r="P39" s="415">
        <f t="shared" ca="1" si="17"/>
        <v>0</v>
      </c>
      <c r="Q39" s="415">
        <f t="shared" ca="1" si="17"/>
        <v>0</v>
      </c>
      <c r="R39" s="415">
        <f t="shared" ca="1" si="17"/>
        <v>0</v>
      </c>
      <c r="S39" s="415">
        <f t="shared" ca="1" si="17"/>
        <v>0</v>
      </c>
      <c r="T39" s="415">
        <f t="shared" ca="1" si="18"/>
        <v>0</v>
      </c>
      <c r="U39" s="415">
        <f t="shared" ca="1" si="18"/>
        <v>0</v>
      </c>
      <c r="V39" s="415">
        <f t="shared" ca="1" si="18"/>
        <v>0</v>
      </c>
      <c r="W39" s="415">
        <f t="shared" ca="1" si="18"/>
        <v>0</v>
      </c>
      <c r="X39" s="415">
        <f t="shared" ca="1" si="18"/>
        <v>0</v>
      </c>
      <c r="Y39" s="415">
        <f t="shared" ca="1" si="18"/>
        <v>0</v>
      </c>
      <c r="Z39" s="415">
        <f t="shared" ca="1" si="18"/>
        <v>0</v>
      </c>
      <c r="AA39" s="415">
        <f t="shared" ca="1" si="18"/>
        <v>0</v>
      </c>
      <c r="AB39" s="415">
        <f t="shared" ca="1" si="18"/>
        <v>0</v>
      </c>
      <c r="AC39" s="415">
        <f t="shared" ca="1" si="18"/>
        <v>0</v>
      </c>
      <c r="AD39" s="415">
        <f t="shared" ca="1" si="18"/>
        <v>0</v>
      </c>
      <c r="AE39" s="415">
        <f t="shared" ca="1" si="18"/>
        <v>0</v>
      </c>
      <c r="AF39" s="415">
        <f t="shared" ca="1" si="18"/>
        <v>0</v>
      </c>
    </row>
    <row r="40" spans="1:32">
      <c r="A40" t="s">
        <v>73</v>
      </c>
      <c r="B40" t="str">
        <f t="shared" si="4"/>
        <v>ES P&amp;L</v>
      </c>
      <c r="C40" t="s">
        <v>130</v>
      </c>
      <c r="D40" t="s">
        <v>396</v>
      </c>
      <c r="E40" t="s">
        <v>121</v>
      </c>
      <c r="F40" s="415">
        <f t="shared" ca="1" si="17"/>
        <v>0</v>
      </c>
      <c r="G40" s="415">
        <f t="shared" ca="1" si="17"/>
        <v>0</v>
      </c>
      <c r="H40" s="415">
        <f t="shared" ca="1" si="17"/>
        <v>0</v>
      </c>
      <c r="I40" s="415">
        <f t="shared" ca="1" si="17"/>
        <v>0</v>
      </c>
      <c r="J40" s="415">
        <f t="shared" ca="1" si="17"/>
        <v>0</v>
      </c>
      <c r="K40" s="415">
        <f t="shared" ca="1" si="17"/>
        <v>0</v>
      </c>
      <c r="L40" s="415">
        <f t="shared" ca="1" si="17"/>
        <v>0</v>
      </c>
      <c r="M40" s="415">
        <f t="shared" ca="1" si="17"/>
        <v>0</v>
      </c>
      <c r="N40" s="415">
        <f t="shared" ca="1" si="17"/>
        <v>0</v>
      </c>
      <c r="O40" s="415">
        <f t="shared" ca="1" si="17"/>
        <v>0</v>
      </c>
      <c r="P40" s="415">
        <f t="shared" ca="1" si="17"/>
        <v>0</v>
      </c>
      <c r="Q40" s="415">
        <f t="shared" ca="1" si="17"/>
        <v>0</v>
      </c>
      <c r="R40" s="415">
        <f t="shared" ca="1" si="17"/>
        <v>0</v>
      </c>
      <c r="S40" s="415">
        <f t="shared" ca="1" si="17"/>
        <v>0</v>
      </c>
      <c r="T40" s="415">
        <f t="shared" ca="1" si="18"/>
        <v>0</v>
      </c>
      <c r="U40" s="415">
        <f t="shared" ca="1" si="18"/>
        <v>0</v>
      </c>
      <c r="V40" s="415">
        <f t="shared" ca="1" si="18"/>
        <v>0</v>
      </c>
      <c r="W40" s="415">
        <f t="shared" ca="1" si="18"/>
        <v>0</v>
      </c>
      <c r="X40" s="415">
        <f t="shared" ca="1" si="18"/>
        <v>0</v>
      </c>
      <c r="Y40" s="415">
        <f t="shared" ca="1" si="18"/>
        <v>0</v>
      </c>
      <c r="Z40" s="415">
        <f t="shared" ca="1" si="18"/>
        <v>0</v>
      </c>
      <c r="AA40" s="415">
        <f t="shared" ca="1" si="18"/>
        <v>0</v>
      </c>
      <c r="AB40" s="415">
        <f t="shared" ca="1" si="18"/>
        <v>0</v>
      </c>
      <c r="AC40" s="415">
        <f t="shared" ca="1" si="18"/>
        <v>0</v>
      </c>
      <c r="AD40" s="415">
        <f t="shared" ca="1" si="18"/>
        <v>0</v>
      </c>
      <c r="AE40" s="415">
        <f t="shared" ca="1" si="18"/>
        <v>0</v>
      </c>
      <c r="AF40" s="415">
        <f t="shared" ca="1" si="18"/>
        <v>0</v>
      </c>
    </row>
    <row r="41" spans="1:32">
      <c r="A41" t="s">
        <v>73</v>
      </c>
      <c r="B41" t="str">
        <f t="shared" si="4"/>
        <v>ES P&amp;L</v>
      </c>
      <c r="C41" t="s">
        <v>131</v>
      </c>
      <c r="D41" t="s">
        <v>396</v>
      </c>
      <c r="E41" t="s">
        <v>121</v>
      </c>
      <c r="F41" s="415">
        <f t="shared" ca="1" si="17"/>
        <v>0</v>
      </c>
      <c r="G41" s="415">
        <f t="shared" ca="1" si="17"/>
        <v>0</v>
      </c>
      <c r="H41" s="415">
        <f t="shared" ca="1" si="17"/>
        <v>0</v>
      </c>
      <c r="I41" s="415">
        <f t="shared" ca="1" si="17"/>
        <v>0</v>
      </c>
      <c r="J41" s="415">
        <f t="shared" ca="1" si="17"/>
        <v>0</v>
      </c>
      <c r="K41" s="415">
        <f t="shared" ca="1" si="17"/>
        <v>0</v>
      </c>
      <c r="L41" s="415">
        <f t="shared" ca="1" si="17"/>
        <v>0</v>
      </c>
      <c r="M41" s="415">
        <f t="shared" ca="1" si="17"/>
        <v>0</v>
      </c>
      <c r="N41" s="415">
        <f t="shared" ca="1" si="17"/>
        <v>0</v>
      </c>
      <c r="O41" s="415">
        <f t="shared" ca="1" si="17"/>
        <v>0</v>
      </c>
      <c r="P41" s="415">
        <f t="shared" ca="1" si="17"/>
        <v>0</v>
      </c>
      <c r="Q41" s="415">
        <f t="shared" ca="1" si="17"/>
        <v>0</v>
      </c>
      <c r="R41" s="415">
        <f t="shared" ca="1" si="17"/>
        <v>0</v>
      </c>
      <c r="S41" s="415">
        <f t="shared" ca="1" si="17"/>
        <v>0</v>
      </c>
      <c r="T41" s="415">
        <f t="shared" ca="1" si="18"/>
        <v>0</v>
      </c>
      <c r="U41" s="415">
        <f t="shared" ca="1" si="18"/>
        <v>0</v>
      </c>
      <c r="V41" s="415">
        <f t="shared" ca="1" si="18"/>
        <v>0</v>
      </c>
      <c r="W41" s="415">
        <f t="shared" ca="1" si="18"/>
        <v>0</v>
      </c>
      <c r="X41" s="415">
        <f t="shared" ca="1" si="18"/>
        <v>0</v>
      </c>
      <c r="Y41" s="415">
        <f t="shared" ca="1" si="18"/>
        <v>0</v>
      </c>
      <c r="Z41" s="415">
        <f t="shared" ca="1" si="18"/>
        <v>0</v>
      </c>
      <c r="AA41" s="415">
        <f t="shared" ca="1" si="18"/>
        <v>0</v>
      </c>
      <c r="AB41" s="415">
        <f t="shared" ca="1" si="18"/>
        <v>0</v>
      </c>
      <c r="AC41" s="415">
        <f t="shared" ca="1" si="18"/>
        <v>0</v>
      </c>
      <c r="AD41" s="415">
        <f t="shared" ca="1" si="18"/>
        <v>0</v>
      </c>
      <c r="AE41" s="415">
        <f t="shared" ca="1" si="18"/>
        <v>0</v>
      </c>
      <c r="AF41" s="415">
        <f t="shared" ca="1" si="18"/>
        <v>0</v>
      </c>
    </row>
    <row r="42" spans="1:32">
      <c r="A42" t="s">
        <v>69</v>
      </c>
      <c r="B42" t="str">
        <f t="shared" si="4"/>
        <v>IT P&amp;L</v>
      </c>
      <c r="C42" t="s">
        <v>122</v>
      </c>
      <c r="D42" t="s">
        <v>394</v>
      </c>
      <c r="E42" t="s">
        <v>121</v>
      </c>
      <c r="F42" s="415">
        <f t="shared" ca="1" si="17"/>
        <v>-1139</v>
      </c>
      <c r="G42" s="415">
        <f t="shared" ca="1" si="17"/>
        <v>-980</v>
      </c>
      <c r="H42" s="415">
        <f t="shared" ca="1" si="17"/>
        <v>-1190</v>
      </c>
      <c r="I42" s="415">
        <f t="shared" ca="1" si="17"/>
        <v>-8048.7000000000007</v>
      </c>
      <c r="J42" s="415">
        <f t="shared" ca="1" si="17"/>
        <v>-14322.000000000002</v>
      </c>
      <c r="K42" s="415">
        <f t="shared" ca="1" si="17"/>
        <v>-13186.5</v>
      </c>
      <c r="L42" s="415">
        <f t="shared" ca="1" si="17"/>
        <v>-10112.800000000001</v>
      </c>
      <c r="M42" s="415">
        <f t="shared" ca="1" si="17"/>
        <v>-9118.7999999999993</v>
      </c>
      <c r="N42" s="415">
        <f t="shared" ca="1" si="17"/>
        <v>-31258.799999999999</v>
      </c>
      <c r="O42" s="415">
        <f t="shared" ca="1" si="17"/>
        <v>-17194.5</v>
      </c>
      <c r="P42" s="415">
        <f t="shared" ca="1" si="17"/>
        <v>-12992</v>
      </c>
      <c r="Q42" s="415">
        <f t="shared" ca="1" si="17"/>
        <v>-23400</v>
      </c>
      <c r="R42" s="415">
        <f t="shared" ca="1" si="17"/>
        <v>-19500</v>
      </c>
      <c r="S42" s="415">
        <f t="shared" ca="1" si="17"/>
        <v>-7500</v>
      </c>
      <c r="T42" s="415">
        <f t="shared" ca="1" si="18"/>
        <v>-7500</v>
      </c>
      <c r="U42" s="415">
        <f t="shared" ca="1" si="18"/>
        <v>-16097.400000000001</v>
      </c>
      <c r="V42" s="415">
        <f t="shared" ca="1" si="18"/>
        <v>-28644.000000000004</v>
      </c>
      <c r="W42" s="415">
        <f t="shared" ca="1" si="18"/>
        <v>-26373</v>
      </c>
      <c r="X42" s="415">
        <f t="shared" ca="1" si="18"/>
        <v>-20225.600000000002</v>
      </c>
      <c r="Y42" s="415">
        <f t="shared" ca="1" si="18"/>
        <v>-18237.599999999999</v>
      </c>
      <c r="Z42" s="415">
        <f t="shared" ca="1" si="18"/>
        <v>-62517.599999999999</v>
      </c>
      <c r="AA42" s="415">
        <f t="shared" ca="1" si="18"/>
        <v>-20633.399999999998</v>
      </c>
      <c r="AB42" s="415">
        <f t="shared" ca="1" si="18"/>
        <v>-25984</v>
      </c>
      <c r="AC42" s="415">
        <f t="shared" ca="1" si="18"/>
        <v>-46800</v>
      </c>
      <c r="AD42" s="415">
        <f t="shared" ca="1" si="18"/>
        <v>-39000</v>
      </c>
      <c r="AE42" s="415">
        <f t="shared" ca="1" si="18"/>
        <v>-15000</v>
      </c>
      <c r="AF42" s="415">
        <f t="shared" ca="1" si="18"/>
        <v>-15000</v>
      </c>
    </row>
    <row r="43" spans="1:32">
      <c r="A43" t="s">
        <v>69</v>
      </c>
      <c r="B43" t="str">
        <f t="shared" si="4"/>
        <v>IT P&amp;L</v>
      </c>
      <c r="C43" t="s">
        <v>123</v>
      </c>
      <c r="D43" t="s">
        <v>394</v>
      </c>
      <c r="E43" t="s">
        <v>121</v>
      </c>
      <c r="F43" s="415">
        <f t="shared" ca="1" si="17"/>
        <v>0</v>
      </c>
      <c r="G43" s="415">
        <f t="shared" ca="1" si="17"/>
        <v>0</v>
      </c>
      <c r="H43" s="415">
        <f t="shared" ca="1" si="17"/>
        <v>0</v>
      </c>
      <c r="I43" s="415">
        <f t="shared" ca="1" si="17"/>
        <v>-10000</v>
      </c>
      <c r="J43" s="415">
        <f t="shared" ca="1" si="17"/>
        <v>-5000</v>
      </c>
      <c r="K43" s="415">
        <f t="shared" ca="1" si="17"/>
        <v>-5000</v>
      </c>
      <c r="L43" s="415">
        <f t="shared" ca="1" si="17"/>
        <v>-2500</v>
      </c>
      <c r="M43" s="415">
        <f t="shared" ca="1" si="17"/>
        <v>-2500</v>
      </c>
      <c r="N43" s="415">
        <f t="shared" ca="1" si="17"/>
        <v>-5000</v>
      </c>
      <c r="O43" s="415">
        <f t="shared" ca="1" si="17"/>
        <v>-2500</v>
      </c>
      <c r="P43" s="415">
        <f t="shared" ca="1" si="17"/>
        <v>-5000</v>
      </c>
      <c r="Q43" s="415">
        <f t="shared" ca="1" si="17"/>
        <v>-5000</v>
      </c>
      <c r="R43" s="415">
        <f t="shared" ca="1" si="17"/>
        <v>-2500</v>
      </c>
      <c r="S43" s="415">
        <f t="shared" ca="1" si="17"/>
        <v>-2500</v>
      </c>
      <c r="T43" s="415">
        <f t="shared" ca="1" si="18"/>
        <v>0</v>
      </c>
      <c r="U43" s="415">
        <f t="shared" ca="1" si="18"/>
        <v>0</v>
      </c>
      <c r="V43" s="415">
        <f t="shared" ca="1" si="18"/>
        <v>0</v>
      </c>
      <c r="W43" s="415">
        <f t="shared" ca="1" si="18"/>
        <v>0</v>
      </c>
      <c r="X43" s="415">
        <f t="shared" ca="1" si="18"/>
        <v>0</v>
      </c>
      <c r="Y43" s="415">
        <f t="shared" ca="1" si="18"/>
        <v>0</v>
      </c>
      <c r="Z43" s="415">
        <f t="shared" ca="1" si="18"/>
        <v>0</v>
      </c>
      <c r="AA43" s="415">
        <f t="shared" ca="1" si="18"/>
        <v>0</v>
      </c>
      <c r="AB43" s="415">
        <f t="shared" ca="1" si="18"/>
        <v>0</v>
      </c>
      <c r="AC43" s="415">
        <f t="shared" ca="1" si="18"/>
        <v>0</v>
      </c>
      <c r="AD43" s="415">
        <f t="shared" ca="1" si="18"/>
        <v>0</v>
      </c>
      <c r="AE43" s="415">
        <f t="shared" ca="1" si="18"/>
        <v>0</v>
      </c>
      <c r="AF43" s="415">
        <f t="shared" ca="1" si="18"/>
        <v>0</v>
      </c>
    </row>
    <row r="44" spans="1:32">
      <c r="A44" t="s">
        <v>69</v>
      </c>
      <c r="B44" t="str">
        <f t="shared" si="4"/>
        <v>IT P&amp;L</v>
      </c>
      <c r="C44" t="s">
        <v>124</v>
      </c>
      <c r="D44" t="s">
        <v>394</v>
      </c>
      <c r="E44" t="s">
        <v>121</v>
      </c>
      <c r="F44" s="415">
        <f t="shared" ca="1" si="17"/>
        <v>-12600</v>
      </c>
      <c r="G44" s="415">
        <f t="shared" ca="1" si="17"/>
        <v>-5600</v>
      </c>
      <c r="H44" s="415">
        <f t="shared" ca="1" si="17"/>
        <v>-11050</v>
      </c>
      <c r="I44" s="415">
        <f t="shared" ca="1" si="17"/>
        <v>0</v>
      </c>
      <c r="J44" s="415">
        <f t="shared" ca="1" si="17"/>
        <v>0</v>
      </c>
      <c r="K44" s="415">
        <f t="shared" ca="1" si="17"/>
        <v>0</v>
      </c>
      <c r="L44" s="415">
        <f t="shared" ca="1" si="17"/>
        <v>0</v>
      </c>
      <c r="M44" s="415">
        <f t="shared" ca="1" si="17"/>
        <v>0</v>
      </c>
      <c r="N44" s="415">
        <f t="shared" ca="1" si="17"/>
        <v>0</v>
      </c>
      <c r="O44" s="415">
        <f t="shared" ca="1" si="17"/>
        <v>0</v>
      </c>
      <c r="P44" s="415">
        <f t="shared" ca="1" si="17"/>
        <v>0</v>
      </c>
      <c r="Q44" s="415">
        <f t="shared" ca="1" si="17"/>
        <v>0</v>
      </c>
      <c r="R44" s="415">
        <f t="shared" ca="1" si="17"/>
        <v>0</v>
      </c>
      <c r="S44" s="415">
        <f t="shared" ca="1" si="17"/>
        <v>0</v>
      </c>
      <c r="T44" s="415">
        <f t="shared" ca="1" si="18"/>
        <v>0</v>
      </c>
      <c r="U44" s="415">
        <f t="shared" ca="1" si="18"/>
        <v>0</v>
      </c>
      <c r="V44" s="415">
        <f t="shared" ca="1" si="18"/>
        <v>0</v>
      </c>
      <c r="W44" s="415">
        <f t="shared" ca="1" si="18"/>
        <v>0</v>
      </c>
      <c r="X44" s="415">
        <f t="shared" ca="1" si="18"/>
        <v>0</v>
      </c>
      <c r="Y44" s="415">
        <f t="shared" ca="1" si="18"/>
        <v>0</v>
      </c>
      <c r="Z44" s="415">
        <f t="shared" ca="1" si="18"/>
        <v>0</v>
      </c>
      <c r="AA44" s="415">
        <f t="shared" ca="1" si="18"/>
        <v>0</v>
      </c>
      <c r="AB44" s="415">
        <f t="shared" ca="1" si="18"/>
        <v>0</v>
      </c>
      <c r="AC44" s="415">
        <f t="shared" ca="1" si="18"/>
        <v>0</v>
      </c>
      <c r="AD44" s="415">
        <f t="shared" ca="1" si="18"/>
        <v>0</v>
      </c>
      <c r="AE44" s="415">
        <f t="shared" ca="1" si="18"/>
        <v>0</v>
      </c>
      <c r="AF44" s="415">
        <f t="shared" ca="1" si="18"/>
        <v>0</v>
      </c>
    </row>
    <row r="45" spans="1:32">
      <c r="A45" t="s">
        <v>69</v>
      </c>
      <c r="B45" t="str">
        <f t="shared" si="4"/>
        <v>IT P&amp;L</v>
      </c>
      <c r="C45" t="s">
        <v>125</v>
      </c>
      <c r="D45" t="s">
        <v>394</v>
      </c>
      <c r="E45" t="s">
        <v>121</v>
      </c>
      <c r="F45" s="415">
        <f t="shared" ca="1" si="17"/>
        <v>-2800</v>
      </c>
      <c r="G45" s="415">
        <f t="shared" ca="1" si="17"/>
        <v>-733</v>
      </c>
      <c r="H45" s="415">
        <f t="shared" ca="1" si="17"/>
        <v>-1825</v>
      </c>
      <c r="I45" s="415">
        <f t="shared" ca="1" si="17"/>
        <v>0</v>
      </c>
      <c r="J45" s="415">
        <f t="shared" ca="1" si="17"/>
        <v>0</v>
      </c>
      <c r="K45" s="415">
        <f t="shared" ca="1" si="17"/>
        <v>0</v>
      </c>
      <c r="L45" s="415">
        <f t="shared" ca="1" si="17"/>
        <v>0</v>
      </c>
      <c r="M45" s="415">
        <f t="shared" ca="1" si="17"/>
        <v>0</v>
      </c>
      <c r="N45" s="415">
        <f t="shared" ca="1" si="17"/>
        <v>0</v>
      </c>
      <c r="O45" s="415">
        <f t="shared" ca="1" si="17"/>
        <v>0</v>
      </c>
      <c r="P45" s="415">
        <f t="shared" ca="1" si="17"/>
        <v>0</v>
      </c>
      <c r="Q45" s="415">
        <f t="shared" ca="1" si="17"/>
        <v>0</v>
      </c>
      <c r="R45" s="415">
        <f t="shared" ca="1" si="17"/>
        <v>0</v>
      </c>
      <c r="S45" s="415">
        <f t="shared" ca="1" si="17"/>
        <v>0</v>
      </c>
      <c r="T45" s="415">
        <f t="shared" ca="1" si="18"/>
        <v>0</v>
      </c>
      <c r="U45" s="415">
        <f t="shared" ca="1" si="18"/>
        <v>0</v>
      </c>
      <c r="V45" s="415">
        <f t="shared" ca="1" si="18"/>
        <v>0</v>
      </c>
      <c r="W45" s="415">
        <f t="shared" ca="1" si="18"/>
        <v>0</v>
      </c>
      <c r="X45" s="415">
        <f t="shared" ca="1" si="18"/>
        <v>0</v>
      </c>
      <c r="Y45" s="415">
        <f t="shared" ca="1" si="18"/>
        <v>0</v>
      </c>
      <c r="Z45" s="415">
        <f t="shared" ca="1" si="18"/>
        <v>0</v>
      </c>
      <c r="AA45" s="415">
        <f t="shared" ca="1" si="18"/>
        <v>0</v>
      </c>
      <c r="AB45" s="415">
        <f t="shared" ca="1" si="18"/>
        <v>0</v>
      </c>
      <c r="AC45" s="415">
        <f t="shared" ca="1" si="18"/>
        <v>0</v>
      </c>
      <c r="AD45" s="415">
        <f t="shared" ca="1" si="18"/>
        <v>0</v>
      </c>
      <c r="AE45" s="415">
        <f t="shared" ca="1" si="18"/>
        <v>0</v>
      </c>
      <c r="AF45" s="415">
        <f t="shared" ca="1" si="18"/>
        <v>0</v>
      </c>
    </row>
    <row r="46" spans="1:32">
      <c r="A46" t="s">
        <v>69</v>
      </c>
      <c r="B46" t="str">
        <f t="shared" si="4"/>
        <v>IT P&amp;L</v>
      </c>
      <c r="C46" t="s">
        <v>126</v>
      </c>
      <c r="D46" t="s">
        <v>394</v>
      </c>
      <c r="E46" t="s">
        <v>121</v>
      </c>
      <c r="F46" s="415">
        <f t="shared" ca="1" si="17"/>
        <v>-1400</v>
      </c>
      <c r="G46" s="415">
        <f t="shared" ca="1" si="17"/>
        <v>0</v>
      </c>
      <c r="H46" s="415">
        <f t="shared" ca="1" si="17"/>
        <v>-425</v>
      </c>
      <c r="I46" s="415">
        <f t="shared" ca="1" si="17"/>
        <v>0</v>
      </c>
      <c r="J46" s="415">
        <f t="shared" ca="1" si="17"/>
        <v>0</v>
      </c>
      <c r="K46" s="415">
        <f t="shared" ca="1" si="17"/>
        <v>0</v>
      </c>
      <c r="L46" s="415">
        <f t="shared" ca="1" si="17"/>
        <v>0</v>
      </c>
      <c r="M46" s="415">
        <f t="shared" ca="1" si="17"/>
        <v>0</v>
      </c>
      <c r="N46" s="415">
        <f t="shared" ca="1" si="17"/>
        <v>0</v>
      </c>
      <c r="O46" s="415">
        <f t="shared" ca="1" si="17"/>
        <v>0</v>
      </c>
      <c r="P46" s="415">
        <f t="shared" ca="1" si="17"/>
        <v>0</v>
      </c>
      <c r="Q46" s="415">
        <f t="shared" ca="1" si="17"/>
        <v>0</v>
      </c>
      <c r="R46" s="415">
        <f t="shared" ca="1" si="17"/>
        <v>0</v>
      </c>
      <c r="S46" s="415">
        <f t="shared" ca="1" si="17"/>
        <v>0</v>
      </c>
      <c r="T46" s="415">
        <f t="shared" ca="1" si="18"/>
        <v>0</v>
      </c>
      <c r="U46" s="415">
        <f t="shared" ca="1" si="18"/>
        <v>0</v>
      </c>
      <c r="V46" s="415">
        <f t="shared" ca="1" si="18"/>
        <v>0</v>
      </c>
      <c r="W46" s="415">
        <f t="shared" ca="1" si="18"/>
        <v>0</v>
      </c>
      <c r="X46" s="415">
        <f t="shared" ca="1" si="18"/>
        <v>0</v>
      </c>
      <c r="Y46" s="415">
        <f t="shared" ca="1" si="18"/>
        <v>0</v>
      </c>
      <c r="Z46" s="415">
        <f t="shared" ca="1" si="18"/>
        <v>0</v>
      </c>
      <c r="AA46" s="415">
        <f t="shared" ca="1" si="18"/>
        <v>0</v>
      </c>
      <c r="AB46" s="415">
        <f t="shared" ca="1" si="18"/>
        <v>0</v>
      </c>
      <c r="AC46" s="415">
        <f t="shared" ca="1" si="18"/>
        <v>0</v>
      </c>
      <c r="AD46" s="415">
        <f t="shared" ca="1" si="18"/>
        <v>0</v>
      </c>
      <c r="AE46" s="415">
        <f t="shared" ca="1" si="18"/>
        <v>0</v>
      </c>
      <c r="AF46" s="415">
        <f t="shared" ca="1" si="18"/>
        <v>0</v>
      </c>
    </row>
    <row r="47" spans="1:32">
      <c r="A47" t="s">
        <v>69</v>
      </c>
      <c r="B47" t="str">
        <f t="shared" si="4"/>
        <v>IT P&amp;L</v>
      </c>
      <c r="C47" t="s">
        <v>127</v>
      </c>
      <c r="D47" t="s">
        <v>395</v>
      </c>
      <c r="E47" t="s">
        <v>121</v>
      </c>
      <c r="F47" s="415">
        <f t="shared" ca="1" si="17"/>
        <v>0</v>
      </c>
      <c r="G47" s="415">
        <f t="shared" ca="1" si="17"/>
        <v>0</v>
      </c>
      <c r="H47" s="415">
        <f t="shared" ca="1" si="17"/>
        <v>0</v>
      </c>
      <c r="I47" s="415">
        <f t="shared" ca="1" si="17"/>
        <v>-2457.9160000000002</v>
      </c>
      <c r="J47" s="415">
        <f t="shared" ca="1" si="17"/>
        <v>-2588.7149999999997</v>
      </c>
      <c r="K47" s="415">
        <f t="shared" ca="1" si="17"/>
        <v>0</v>
      </c>
      <c r="L47" s="415">
        <f t="shared" ca="1" si="17"/>
        <v>-2494.1910285191534</v>
      </c>
      <c r="M47" s="415">
        <f t="shared" ca="1" si="17"/>
        <v>-2407.9505464244903</v>
      </c>
      <c r="N47" s="415">
        <f t="shared" ca="1" si="17"/>
        <v>-1911.7892238988843</v>
      </c>
      <c r="O47" s="415">
        <f t="shared" ca="1" si="17"/>
        <v>-709.35921405016688</v>
      </c>
      <c r="P47" s="415">
        <f t="shared" ca="1" si="17"/>
        <v>-3855.0795830448596</v>
      </c>
      <c r="Q47" s="415">
        <f t="shared" ca="1" si="17"/>
        <v>-2527.4903157837821</v>
      </c>
      <c r="R47" s="415">
        <f t="shared" ca="1" si="17"/>
        <v>-3789.7654202786889</v>
      </c>
      <c r="S47" s="415">
        <f t="shared" ca="1" si="17"/>
        <v>0</v>
      </c>
      <c r="T47" s="415">
        <f t="shared" ca="1" si="18"/>
        <v>-2315.2367144917048</v>
      </c>
      <c r="U47" s="415">
        <f t="shared" ca="1" si="18"/>
        <v>-2654.5492800000002</v>
      </c>
      <c r="V47" s="415">
        <f t="shared" ca="1" si="18"/>
        <v>-2795.8121999999998</v>
      </c>
      <c r="W47" s="415">
        <f t="shared" ca="1" si="18"/>
        <v>0</v>
      </c>
      <c r="X47" s="415">
        <f t="shared" ca="1" si="18"/>
        <v>-2693.7263108006855</v>
      </c>
      <c r="Y47" s="415">
        <f t="shared" ca="1" si="18"/>
        <v>-2600.5865901384495</v>
      </c>
      <c r="Z47" s="415">
        <f t="shared" ca="1" si="18"/>
        <v>-2064.7323618107953</v>
      </c>
      <c r="AA47" s="415">
        <f t="shared" ca="1" si="18"/>
        <v>-766.10795117418036</v>
      </c>
      <c r="AB47" s="415">
        <f t="shared" ca="1" si="18"/>
        <v>-4163.4859496884483</v>
      </c>
      <c r="AC47" s="415">
        <f t="shared" ca="1" si="18"/>
        <v>-2729.6895410464849</v>
      </c>
      <c r="AD47" s="415">
        <f t="shared" ca="1" si="18"/>
        <v>-4092.9466539009841</v>
      </c>
      <c r="AE47" s="415">
        <f t="shared" ca="1" si="18"/>
        <v>0</v>
      </c>
      <c r="AF47" s="415">
        <f t="shared" ca="1" si="18"/>
        <v>-2500.4556516510415</v>
      </c>
    </row>
    <row r="48" spans="1:32">
      <c r="A48" t="s">
        <v>69</v>
      </c>
      <c r="B48" t="str">
        <f t="shared" si="4"/>
        <v>IT P&amp;L</v>
      </c>
      <c r="C48" t="s">
        <v>130</v>
      </c>
      <c r="D48" t="s">
        <v>396</v>
      </c>
      <c r="E48" t="s">
        <v>121</v>
      </c>
      <c r="F48" s="415">
        <f t="shared" ref="F48:U63" ca="1" si="19">IFERROR(SUMIFS(INDEX(INDIRECT("'"&amp;$B48&amp;"'!$B:$AU"),,MATCH(F$1,INDIRECT("'"&amp;$B48&amp;"'!$B$3:$AU$3"),0)),INDIRECT("'"&amp;$B48&amp;"'!$B:$B"),$C48),0)</f>
        <v>-3162</v>
      </c>
      <c r="G48" s="415">
        <f t="shared" ca="1" si="19"/>
        <v>-3162</v>
      </c>
      <c r="H48" s="415">
        <f t="shared" ca="1" si="19"/>
        <v>-2448</v>
      </c>
      <c r="I48" s="415">
        <f t="shared" ca="1" si="19"/>
        <v>-3264.576</v>
      </c>
      <c r="J48" s="415">
        <f t="shared" ca="1" si="19"/>
        <v>-4304.16</v>
      </c>
      <c r="K48" s="415">
        <f t="shared" ca="1" si="19"/>
        <v>-4109.9016000000001</v>
      </c>
      <c r="L48" s="415">
        <f t="shared" ca="1" si="19"/>
        <v>-4111.4304000000002</v>
      </c>
      <c r="M48" s="415">
        <f t="shared" ca="1" si="19"/>
        <v>-4043.8104000000003</v>
      </c>
      <c r="N48" s="415">
        <f t="shared" ca="1" si="19"/>
        <v>-4307.0688</v>
      </c>
      <c r="O48" s="415">
        <f t="shared" ca="1" si="19"/>
        <v>-3524.2559999999999</v>
      </c>
      <c r="P48" s="415">
        <f t="shared" ca="1" si="19"/>
        <v>-4463.0712000000003</v>
      </c>
      <c r="Q48" s="415">
        <f t="shared" ca="1" si="19"/>
        <v>-5223.9936000000007</v>
      </c>
      <c r="R48" s="415">
        <f t="shared" ca="1" si="19"/>
        <v>-5463.7464</v>
      </c>
      <c r="S48" s="415">
        <f t="shared" ca="1" si="19"/>
        <v>-5457.7656000000006</v>
      </c>
      <c r="T48" s="415">
        <f t="shared" ca="1" si="18"/>
        <v>-4119.3936000000003</v>
      </c>
      <c r="U48" s="415">
        <f t="shared" ca="1" si="18"/>
        <v>-3240</v>
      </c>
      <c r="V48" s="415">
        <f t="shared" ca="1" si="18"/>
        <v>-3240</v>
      </c>
      <c r="W48" s="415">
        <f t="shared" ca="1" si="18"/>
        <v>-3240</v>
      </c>
      <c r="X48" s="415">
        <f t="shared" ca="1" si="18"/>
        <v>-3240</v>
      </c>
      <c r="Y48" s="415">
        <f t="shared" ca="1" si="18"/>
        <v>-2142</v>
      </c>
      <c r="Z48" s="415">
        <f t="shared" ca="1" si="18"/>
        <v>-3162</v>
      </c>
      <c r="AA48" s="415">
        <f t="shared" ca="1" si="18"/>
        <v>-3060</v>
      </c>
      <c r="AB48" s="415">
        <f t="shared" ca="1" si="18"/>
        <v>-3060</v>
      </c>
      <c r="AC48" s="415">
        <f t="shared" ca="1" si="18"/>
        <v>-3060</v>
      </c>
      <c r="AD48" s="415">
        <f t="shared" ca="1" si="18"/>
        <v>-3060</v>
      </c>
      <c r="AE48" s="415">
        <f t="shared" ca="1" si="18"/>
        <v>-3060</v>
      </c>
      <c r="AF48" s="415">
        <f t="shared" ca="1" si="18"/>
        <v>-3060</v>
      </c>
    </row>
    <row r="49" spans="1:32">
      <c r="A49" t="s">
        <v>69</v>
      </c>
      <c r="B49" t="str">
        <f t="shared" si="4"/>
        <v>IT P&amp;L</v>
      </c>
      <c r="C49" t="s">
        <v>131</v>
      </c>
      <c r="D49" t="s">
        <v>396</v>
      </c>
      <c r="E49" t="s">
        <v>121</v>
      </c>
      <c r="F49" s="415">
        <f t="shared" ca="1" si="19"/>
        <v>0</v>
      </c>
      <c r="G49" s="415">
        <f t="shared" ca="1" si="19"/>
        <v>0</v>
      </c>
      <c r="H49" s="415">
        <f t="shared" ca="1" si="19"/>
        <v>0</v>
      </c>
      <c r="I49" s="415">
        <f t="shared" ca="1" si="19"/>
        <v>0</v>
      </c>
      <c r="J49" s="415">
        <f t="shared" ca="1" si="19"/>
        <v>0</v>
      </c>
      <c r="K49" s="415">
        <f t="shared" ca="1" si="19"/>
        <v>0</v>
      </c>
      <c r="L49" s="415">
        <f t="shared" ca="1" si="19"/>
        <v>0</v>
      </c>
      <c r="M49" s="415">
        <f t="shared" ca="1" si="19"/>
        <v>0</v>
      </c>
      <c r="N49" s="415">
        <f t="shared" ca="1" si="19"/>
        <v>0</v>
      </c>
      <c r="O49" s="415">
        <f t="shared" ca="1" si="19"/>
        <v>0</v>
      </c>
      <c r="P49" s="415">
        <f t="shared" ca="1" si="19"/>
        <v>0</v>
      </c>
      <c r="Q49" s="415">
        <f t="shared" ca="1" si="19"/>
        <v>0</v>
      </c>
      <c r="R49" s="415">
        <f t="shared" ca="1" si="19"/>
        <v>0</v>
      </c>
      <c r="S49" s="415">
        <f t="shared" ca="1" si="19"/>
        <v>0</v>
      </c>
      <c r="T49" s="415">
        <f t="shared" ca="1" si="18"/>
        <v>0</v>
      </c>
      <c r="U49" s="415">
        <f t="shared" ca="1" si="18"/>
        <v>0</v>
      </c>
      <c r="V49" s="415">
        <f t="shared" ca="1" si="18"/>
        <v>0</v>
      </c>
      <c r="W49" s="415">
        <f t="shared" ca="1" si="18"/>
        <v>0</v>
      </c>
      <c r="X49" s="415">
        <f t="shared" ca="1" si="18"/>
        <v>0</v>
      </c>
      <c r="Y49" s="415">
        <f t="shared" ca="1" si="18"/>
        <v>0</v>
      </c>
      <c r="Z49" s="415">
        <f t="shared" ca="1" si="18"/>
        <v>0</v>
      </c>
      <c r="AA49" s="415">
        <f t="shared" ca="1" si="18"/>
        <v>0</v>
      </c>
      <c r="AB49" s="415">
        <f t="shared" ca="1" si="18"/>
        <v>0</v>
      </c>
      <c r="AC49" s="415">
        <f t="shared" ca="1" si="18"/>
        <v>0</v>
      </c>
      <c r="AD49" s="415">
        <f t="shared" ca="1" si="18"/>
        <v>0</v>
      </c>
      <c r="AE49" s="415">
        <f t="shared" ca="1" si="18"/>
        <v>0</v>
      </c>
      <c r="AF49" s="415">
        <f t="shared" ca="1" si="18"/>
        <v>0</v>
      </c>
    </row>
    <row r="50" spans="1:32">
      <c r="A50" t="s">
        <v>72</v>
      </c>
      <c r="B50" t="str">
        <f t="shared" si="4"/>
        <v>RO P&amp;L</v>
      </c>
      <c r="C50" t="s">
        <v>122</v>
      </c>
      <c r="D50" t="s">
        <v>394</v>
      </c>
      <c r="E50" t="s">
        <v>121</v>
      </c>
      <c r="F50" s="415">
        <f t="shared" ca="1" si="19"/>
        <v>0</v>
      </c>
      <c r="G50" s="415">
        <f t="shared" ca="1" si="19"/>
        <v>0</v>
      </c>
      <c r="H50" s="415">
        <f t="shared" ca="1" si="19"/>
        <v>0</v>
      </c>
      <c r="I50" s="415">
        <f t="shared" ca="1" si="19"/>
        <v>0</v>
      </c>
      <c r="J50" s="415">
        <f t="shared" ca="1" si="19"/>
        <v>0</v>
      </c>
      <c r="K50" s="415">
        <f t="shared" ca="1" si="19"/>
        <v>0</v>
      </c>
      <c r="L50" s="415">
        <f t="shared" ca="1" si="19"/>
        <v>0</v>
      </c>
      <c r="M50" s="415">
        <f t="shared" ca="1" si="19"/>
        <v>0</v>
      </c>
      <c r="N50" s="415">
        <f t="shared" ca="1" si="19"/>
        <v>0</v>
      </c>
      <c r="O50" s="415">
        <f t="shared" ca="1" si="19"/>
        <v>0</v>
      </c>
      <c r="P50" s="415">
        <f t="shared" ca="1" si="19"/>
        <v>0</v>
      </c>
      <c r="Q50" s="415">
        <f t="shared" ca="1" si="19"/>
        <v>0</v>
      </c>
      <c r="R50" s="415">
        <f t="shared" ca="1" si="19"/>
        <v>0</v>
      </c>
      <c r="S50" s="415">
        <f t="shared" ca="1" si="19"/>
        <v>0</v>
      </c>
      <c r="T50" s="415">
        <f t="shared" ca="1" si="18"/>
        <v>0</v>
      </c>
      <c r="U50" s="415">
        <f t="shared" ca="1" si="18"/>
        <v>0</v>
      </c>
      <c r="V50" s="415">
        <f t="shared" ca="1" si="18"/>
        <v>0</v>
      </c>
      <c r="W50" s="415">
        <f t="shared" ca="1" si="18"/>
        <v>0</v>
      </c>
      <c r="X50" s="415">
        <f t="shared" ca="1" si="18"/>
        <v>0</v>
      </c>
      <c r="Y50" s="415">
        <f t="shared" ca="1" si="18"/>
        <v>0</v>
      </c>
      <c r="Z50" s="415">
        <f t="shared" ca="1" si="18"/>
        <v>0</v>
      </c>
      <c r="AA50" s="415">
        <f t="shared" ca="1" si="18"/>
        <v>0</v>
      </c>
      <c r="AB50" s="415">
        <f t="shared" ca="1" si="18"/>
        <v>0</v>
      </c>
      <c r="AC50" s="415">
        <f t="shared" ca="1" si="18"/>
        <v>0</v>
      </c>
      <c r="AD50" s="415">
        <f t="shared" ca="1" si="18"/>
        <v>0</v>
      </c>
      <c r="AE50" s="415">
        <f t="shared" ca="1" si="18"/>
        <v>0</v>
      </c>
      <c r="AF50" s="415">
        <f t="shared" ca="1" si="18"/>
        <v>0</v>
      </c>
    </row>
    <row r="51" spans="1:32">
      <c r="A51" t="s">
        <v>72</v>
      </c>
      <c r="B51" t="str">
        <f t="shared" si="4"/>
        <v>RO P&amp;L</v>
      </c>
      <c r="C51" t="s">
        <v>123</v>
      </c>
      <c r="D51" t="s">
        <v>394</v>
      </c>
      <c r="E51" t="s">
        <v>121</v>
      </c>
      <c r="F51" s="415">
        <f t="shared" ca="1" si="19"/>
        <v>0</v>
      </c>
      <c r="G51" s="415">
        <f t="shared" ca="1" si="19"/>
        <v>0</v>
      </c>
      <c r="H51" s="415">
        <f t="shared" ca="1" si="19"/>
        <v>0</v>
      </c>
      <c r="I51" s="415">
        <f t="shared" ca="1" si="19"/>
        <v>0</v>
      </c>
      <c r="J51" s="415">
        <f t="shared" ca="1" si="19"/>
        <v>0</v>
      </c>
      <c r="K51" s="415">
        <f t="shared" ca="1" si="19"/>
        <v>0</v>
      </c>
      <c r="L51" s="415">
        <f t="shared" ca="1" si="19"/>
        <v>0</v>
      </c>
      <c r="M51" s="415">
        <f t="shared" ca="1" si="19"/>
        <v>0</v>
      </c>
      <c r="N51" s="415">
        <f t="shared" ca="1" si="19"/>
        <v>0</v>
      </c>
      <c r="O51" s="415">
        <f t="shared" ca="1" si="19"/>
        <v>0</v>
      </c>
      <c r="P51" s="415">
        <f t="shared" ca="1" si="19"/>
        <v>0</v>
      </c>
      <c r="Q51" s="415">
        <f t="shared" ca="1" si="19"/>
        <v>0</v>
      </c>
      <c r="R51" s="415">
        <f t="shared" ca="1" si="19"/>
        <v>0</v>
      </c>
      <c r="S51" s="415">
        <f t="shared" ca="1" si="19"/>
        <v>0</v>
      </c>
      <c r="T51" s="415">
        <f t="shared" ca="1" si="18"/>
        <v>0</v>
      </c>
      <c r="U51" s="415">
        <f t="shared" ca="1" si="18"/>
        <v>0</v>
      </c>
      <c r="V51" s="415">
        <f t="shared" ca="1" si="18"/>
        <v>0</v>
      </c>
      <c r="W51" s="415">
        <f t="shared" ca="1" si="18"/>
        <v>0</v>
      </c>
      <c r="X51" s="415">
        <f t="shared" ca="1" si="18"/>
        <v>0</v>
      </c>
      <c r="Y51" s="415">
        <f t="shared" ca="1" si="18"/>
        <v>0</v>
      </c>
      <c r="Z51" s="415">
        <f t="shared" ca="1" si="18"/>
        <v>0</v>
      </c>
      <c r="AA51" s="415">
        <f t="shared" ca="1" si="18"/>
        <v>0</v>
      </c>
      <c r="AB51" s="415">
        <f t="shared" ca="1" si="18"/>
        <v>0</v>
      </c>
      <c r="AC51" s="415">
        <f t="shared" ca="1" si="18"/>
        <v>0</v>
      </c>
      <c r="AD51" s="415">
        <f t="shared" ca="1" si="18"/>
        <v>0</v>
      </c>
      <c r="AE51" s="415">
        <f t="shared" ca="1" si="18"/>
        <v>0</v>
      </c>
      <c r="AF51" s="415">
        <f t="shared" ca="1" si="18"/>
        <v>0</v>
      </c>
    </row>
    <row r="52" spans="1:32">
      <c r="A52" t="s">
        <v>72</v>
      </c>
      <c r="B52" t="str">
        <f t="shared" si="4"/>
        <v>RO P&amp;L</v>
      </c>
      <c r="C52" t="s">
        <v>124</v>
      </c>
      <c r="D52" t="s">
        <v>394</v>
      </c>
      <c r="E52" t="s">
        <v>121</v>
      </c>
      <c r="F52" s="415">
        <f t="shared" ca="1" si="19"/>
        <v>0</v>
      </c>
      <c r="G52" s="415">
        <f t="shared" ca="1" si="19"/>
        <v>0</v>
      </c>
      <c r="H52" s="415">
        <f t="shared" ca="1" si="19"/>
        <v>0</v>
      </c>
      <c r="I52" s="415">
        <f t="shared" ca="1" si="19"/>
        <v>0</v>
      </c>
      <c r="J52" s="415">
        <f t="shared" ca="1" si="19"/>
        <v>0</v>
      </c>
      <c r="K52" s="415">
        <f t="shared" ca="1" si="19"/>
        <v>0</v>
      </c>
      <c r="L52" s="415">
        <f t="shared" ca="1" si="19"/>
        <v>0</v>
      </c>
      <c r="M52" s="415">
        <f t="shared" ca="1" si="19"/>
        <v>0</v>
      </c>
      <c r="N52" s="415">
        <f t="shared" ca="1" si="19"/>
        <v>0</v>
      </c>
      <c r="O52" s="415">
        <f t="shared" ca="1" si="19"/>
        <v>0</v>
      </c>
      <c r="P52" s="415">
        <f t="shared" ca="1" si="19"/>
        <v>0</v>
      </c>
      <c r="Q52" s="415">
        <f t="shared" ca="1" si="19"/>
        <v>0</v>
      </c>
      <c r="R52" s="415">
        <f t="shared" ca="1" si="19"/>
        <v>0</v>
      </c>
      <c r="S52" s="415">
        <f t="shared" ca="1" si="19"/>
        <v>0</v>
      </c>
      <c r="T52" s="415">
        <f t="shared" ca="1" si="18"/>
        <v>0</v>
      </c>
      <c r="U52" s="415">
        <f t="shared" ca="1" si="18"/>
        <v>0</v>
      </c>
      <c r="V52" s="415">
        <f t="shared" ca="1" si="18"/>
        <v>0</v>
      </c>
      <c r="W52" s="415">
        <f t="shared" ca="1" si="18"/>
        <v>0</v>
      </c>
      <c r="X52" s="415">
        <f t="shared" ca="1" si="18"/>
        <v>0</v>
      </c>
      <c r="Y52" s="415">
        <f t="shared" ca="1" si="18"/>
        <v>0</v>
      </c>
      <c r="Z52" s="415">
        <f t="shared" ca="1" si="18"/>
        <v>0</v>
      </c>
      <c r="AA52" s="415">
        <f t="shared" ca="1" si="18"/>
        <v>0</v>
      </c>
      <c r="AB52" s="415">
        <f t="shared" ca="1" si="18"/>
        <v>0</v>
      </c>
      <c r="AC52" s="415">
        <f t="shared" ca="1" si="18"/>
        <v>0</v>
      </c>
      <c r="AD52" s="415">
        <f t="shared" ca="1" si="18"/>
        <v>0</v>
      </c>
      <c r="AE52" s="415">
        <f t="shared" ca="1" si="18"/>
        <v>0</v>
      </c>
      <c r="AF52" s="415">
        <f t="shared" ca="1" si="18"/>
        <v>0</v>
      </c>
    </row>
    <row r="53" spans="1:32">
      <c r="A53" t="s">
        <v>72</v>
      </c>
      <c r="B53" t="str">
        <f t="shared" si="4"/>
        <v>RO P&amp;L</v>
      </c>
      <c r="C53" t="s">
        <v>125</v>
      </c>
      <c r="D53" t="s">
        <v>394</v>
      </c>
      <c r="E53" t="s">
        <v>121</v>
      </c>
      <c r="F53" s="415">
        <f t="shared" ca="1" si="19"/>
        <v>0</v>
      </c>
      <c r="G53" s="415">
        <f t="shared" ca="1" si="19"/>
        <v>0</v>
      </c>
      <c r="H53" s="415">
        <f t="shared" ca="1" si="19"/>
        <v>0</v>
      </c>
      <c r="I53" s="415">
        <f t="shared" ca="1" si="19"/>
        <v>0</v>
      </c>
      <c r="J53" s="415">
        <f t="shared" ca="1" si="19"/>
        <v>0</v>
      </c>
      <c r="K53" s="415">
        <f t="shared" ca="1" si="19"/>
        <v>0</v>
      </c>
      <c r="L53" s="415">
        <f t="shared" ca="1" si="19"/>
        <v>0</v>
      </c>
      <c r="M53" s="415">
        <f t="shared" ca="1" si="19"/>
        <v>0</v>
      </c>
      <c r="N53" s="415">
        <f t="shared" ca="1" si="19"/>
        <v>0</v>
      </c>
      <c r="O53" s="415">
        <f t="shared" ca="1" si="19"/>
        <v>0</v>
      </c>
      <c r="P53" s="415">
        <f t="shared" ca="1" si="19"/>
        <v>0</v>
      </c>
      <c r="Q53" s="415">
        <f t="shared" ca="1" si="19"/>
        <v>0</v>
      </c>
      <c r="R53" s="415">
        <f t="shared" ca="1" si="19"/>
        <v>0</v>
      </c>
      <c r="S53" s="415">
        <f t="shared" ca="1" si="19"/>
        <v>0</v>
      </c>
      <c r="T53" s="415">
        <f t="shared" ca="1" si="19"/>
        <v>0</v>
      </c>
      <c r="U53" s="415">
        <f t="shared" ca="1" si="19"/>
        <v>0</v>
      </c>
      <c r="V53" s="415">
        <f t="shared" ca="1" si="18"/>
        <v>0</v>
      </c>
      <c r="W53" s="415">
        <f t="shared" ca="1" si="18"/>
        <v>0</v>
      </c>
      <c r="X53" s="415">
        <f t="shared" ca="1" si="18"/>
        <v>0</v>
      </c>
      <c r="Y53" s="415">
        <f t="shared" ca="1" si="18"/>
        <v>0</v>
      </c>
      <c r="Z53" s="415">
        <f t="shared" ca="1" si="18"/>
        <v>0</v>
      </c>
      <c r="AA53" s="415">
        <f t="shared" ca="1" si="18"/>
        <v>0</v>
      </c>
      <c r="AB53" s="415">
        <f t="shared" ca="1" si="18"/>
        <v>0</v>
      </c>
      <c r="AC53" s="415">
        <f t="shared" ca="1" si="18"/>
        <v>0</v>
      </c>
      <c r="AD53" s="415">
        <f t="shared" ca="1" si="18"/>
        <v>0</v>
      </c>
      <c r="AE53" s="415">
        <f t="shared" ca="1" si="18"/>
        <v>0</v>
      </c>
      <c r="AF53" s="415">
        <f t="shared" ca="1" si="18"/>
        <v>0</v>
      </c>
    </row>
    <row r="54" spans="1:32">
      <c r="A54" t="s">
        <v>72</v>
      </c>
      <c r="B54" t="str">
        <f t="shared" si="4"/>
        <v>RO P&amp;L</v>
      </c>
      <c r="C54" t="s">
        <v>126</v>
      </c>
      <c r="D54" t="s">
        <v>394</v>
      </c>
      <c r="E54" t="s">
        <v>121</v>
      </c>
      <c r="F54" s="415">
        <f t="shared" ca="1" si="19"/>
        <v>0</v>
      </c>
      <c r="G54" s="415">
        <f t="shared" ca="1" si="19"/>
        <v>0</v>
      </c>
      <c r="H54" s="415">
        <f t="shared" ca="1" si="19"/>
        <v>0</v>
      </c>
      <c r="I54" s="415">
        <f t="shared" ca="1" si="19"/>
        <v>0</v>
      </c>
      <c r="J54" s="415">
        <f t="shared" ca="1" si="19"/>
        <v>0</v>
      </c>
      <c r="K54" s="415">
        <f t="shared" ca="1" si="19"/>
        <v>0</v>
      </c>
      <c r="L54" s="415">
        <f t="shared" ca="1" si="19"/>
        <v>0</v>
      </c>
      <c r="M54" s="415">
        <f t="shared" ca="1" si="19"/>
        <v>0</v>
      </c>
      <c r="N54" s="415">
        <f t="shared" ca="1" si="19"/>
        <v>0</v>
      </c>
      <c r="O54" s="415">
        <f t="shared" ca="1" si="19"/>
        <v>0</v>
      </c>
      <c r="P54" s="415">
        <f t="shared" ca="1" si="19"/>
        <v>0</v>
      </c>
      <c r="Q54" s="415">
        <f t="shared" ca="1" si="19"/>
        <v>0</v>
      </c>
      <c r="R54" s="415">
        <f t="shared" ca="1" si="19"/>
        <v>0</v>
      </c>
      <c r="S54" s="415">
        <f t="shared" ca="1" si="19"/>
        <v>0</v>
      </c>
      <c r="T54" s="415">
        <f t="shared" ca="1" si="19"/>
        <v>0</v>
      </c>
      <c r="U54" s="415">
        <f t="shared" ca="1" si="19"/>
        <v>0</v>
      </c>
      <c r="V54" s="415">
        <f t="shared" ca="1" si="18"/>
        <v>0</v>
      </c>
      <c r="W54" s="415">
        <f t="shared" ca="1" si="18"/>
        <v>0</v>
      </c>
      <c r="X54" s="415">
        <f t="shared" ca="1" si="18"/>
        <v>0</v>
      </c>
      <c r="Y54" s="415">
        <f t="shared" ca="1" si="18"/>
        <v>0</v>
      </c>
      <c r="Z54" s="415">
        <f t="shared" ca="1" si="18"/>
        <v>0</v>
      </c>
      <c r="AA54" s="415">
        <f t="shared" ca="1" si="18"/>
        <v>0</v>
      </c>
      <c r="AB54" s="415">
        <f t="shared" ca="1" si="18"/>
        <v>0</v>
      </c>
      <c r="AC54" s="415">
        <f t="shared" ca="1" si="18"/>
        <v>0</v>
      </c>
      <c r="AD54" s="415">
        <f t="shared" ca="1" si="18"/>
        <v>0</v>
      </c>
      <c r="AE54" s="415">
        <f t="shared" ca="1" si="18"/>
        <v>0</v>
      </c>
      <c r="AF54" s="415">
        <f t="shared" ca="1" si="18"/>
        <v>0</v>
      </c>
    </row>
    <row r="55" spans="1:32">
      <c r="A55" t="s">
        <v>72</v>
      </c>
      <c r="B55" t="str">
        <f t="shared" si="4"/>
        <v>RO P&amp;L</v>
      </c>
      <c r="C55" t="s">
        <v>127</v>
      </c>
      <c r="D55" t="s">
        <v>395</v>
      </c>
      <c r="E55" t="s">
        <v>121</v>
      </c>
      <c r="F55" s="415">
        <f t="shared" ca="1" si="19"/>
        <v>0</v>
      </c>
      <c r="G55" s="415">
        <f t="shared" ca="1" si="19"/>
        <v>0</v>
      </c>
      <c r="H55" s="415">
        <f t="shared" ca="1" si="19"/>
        <v>0</v>
      </c>
      <c r="I55" s="415">
        <f t="shared" ca="1" si="19"/>
        <v>0</v>
      </c>
      <c r="J55" s="415">
        <f t="shared" ca="1" si="19"/>
        <v>0</v>
      </c>
      <c r="K55" s="415">
        <f t="shared" ca="1" si="19"/>
        <v>0</v>
      </c>
      <c r="L55" s="415">
        <f t="shared" ca="1" si="19"/>
        <v>0</v>
      </c>
      <c r="M55" s="415">
        <f t="shared" ca="1" si="19"/>
        <v>0</v>
      </c>
      <c r="N55" s="415">
        <f t="shared" ca="1" si="19"/>
        <v>0</v>
      </c>
      <c r="O55" s="415">
        <f t="shared" ca="1" si="19"/>
        <v>0</v>
      </c>
      <c r="P55" s="415">
        <f t="shared" ca="1" si="19"/>
        <v>0</v>
      </c>
      <c r="Q55" s="415">
        <f t="shared" ca="1" si="19"/>
        <v>0</v>
      </c>
      <c r="R55" s="415">
        <f t="shared" ca="1" si="19"/>
        <v>0</v>
      </c>
      <c r="S55" s="415">
        <f t="shared" ca="1" si="19"/>
        <v>0</v>
      </c>
      <c r="T55" s="415">
        <f t="shared" ca="1" si="19"/>
        <v>0</v>
      </c>
      <c r="U55" s="415">
        <f t="shared" ca="1" si="19"/>
        <v>0</v>
      </c>
      <c r="V55" s="415">
        <f t="shared" ref="T55:AF70" ca="1" si="20">IFERROR(SUMIFS(INDEX(INDIRECT("'"&amp;$B55&amp;"'!$B:$AU"),,MATCH(V$1,INDIRECT("'"&amp;$B55&amp;"'!$B$3:$AU$3"),0)),INDIRECT("'"&amp;$B55&amp;"'!$B:$B"),$C55),0)</f>
        <v>0</v>
      </c>
      <c r="W55" s="415">
        <f t="shared" ca="1" si="20"/>
        <v>0</v>
      </c>
      <c r="X55" s="415">
        <f t="shared" ca="1" si="20"/>
        <v>0</v>
      </c>
      <c r="Y55" s="415">
        <f t="shared" ca="1" si="20"/>
        <v>0</v>
      </c>
      <c r="Z55" s="415">
        <f t="shared" ca="1" si="20"/>
        <v>0</v>
      </c>
      <c r="AA55" s="415">
        <f t="shared" ca="1" si="20"/>
        <v>0</v>
      </c>
      <c r="AB55" s="415">
        <f t="shared" ca="1" si="20"/>
        <v>0</v>
      </c>
      <c r="AC55" s="415">
        <f t="shared" ca="1" si="20"/>
        <v>0</v>
      </c>
      <c r="AD55" s="415">
        <f t="shared" ca="1" si="20"/>
        <v>0</v>
      </c>
      <c r="AE55" s="415">
        <f t="shared" ca="1" si="20"/>
        <v>0</v>
      </c>
      <c r="AF55" s="415">
        <f t="shared" ca="1" si="20"/>
        <v>0</v>
      </c>
    </row>
    <row r="56" spans="1:32">
      <c r="A56" t="s">
        <v>72</v>
      </c>
      <c r="B56" t="str">
        <f t="shared" si="4"/>
        <v>RO P&amp;L</v>
      </c>
      <c r="C56" t="s">
        <v>130</v>
      </c>
      <c r="D56" t="s">
        <v>396</v>
      </c>
      <c r="E56" t="s">
        <v>121</v>
      </c>
      <c r="F56" s="415">
        <f t="shared" ca="1" si="19"/>
        <v>0</v>
      </c>
      <c r="G56" s="415">
        <f t="shared" ca="1" si="19"/>
        <v>0</v>
      </c>
      <c r="H56" s="415">
        <f t="shared" ca="1" si="19"/>
        <v>0</v>
      </c>
      <c r="I56" s="415">
        <f t="shared" ca="1" si="19"/>
        <v>0</v>
      </c>
      <c r="J56" s="415">
        <f t="shared" ca="1" si="19"/>
        <v>0</v>
      </c>
      <c r="K56" s="415">
        <f t="shared" ca="1" si="19"/>
        <v>0</v>
      </c>
      <c r="L56" s="415">
        <f t="shared" ca="1" si="19"/>
        <v>0</v>
      </c>
      <c r="M56" s="415">
        <f t="shared" ca="1" si="19"/>
        <v>0</v>
      </c>
      <c r="N56" s="415">
        <f t="shared" ca="1" si="19"/>
        <v>0</v>
      </c>
      <c r="O56" s="415">
        <f t="shared" ca="1" si="19"/>
        <v>0</v>
      </c>
      <c r="P56" s="415">
        <f t="shared" ca="1" si="19"/>
        <v>0</v>
      </c>
      <c r="Q56" s="415">
        <f t="shared" ca="1" si="19"/>
        <v>0</v>
      </c>
      <c r="R56" s="415">
        <f t="shared" ca="1" si="19"/>
        <v>0</v>
      </c>
      <c r="S56" s="415">
        <f t="shared" ca="1" si="19"/>
        <v>0</v>
      </c>
      <c r="T56" s="415">
        <f t="shared" ca="1" si="20"/>
        <v>0</v>
      </c>
      <c r="U56" s="415">
        <f t="shared" ca="1" si="20"/>
        <v>0</v>
      </c>
      <c r="V56" s="415">
        <f t="shared" ca="1" si="20"/>
        <v>0</v>
      </c>
      <c r="W56" s="415">
        <f t="shared" ca="1" si="20"/>
        <v>0</v>
      </c>
      <c r="X56" s="415">
        <f t="shared" ca="1" si="20"/>
        <v>0</v>
      </c>
      <c r="Y56" s="415">
        <f t="shared" ca="1" si="20"/>
        <v>0</v>
      </c>
      <c r="Z56" s="415">
        <f t="shared" ca="1" si="20"/>
        <v>0</v>
      </c>
      <c r="AA56" s="415">
        <f t="shared" ca="1" si="20"/>
        <v>0</v>
      </c>
      <c r="AB56" s="415">
        <f t="shared" ca="1" si="20"/>
        <v>0</v>
      </c>
      <c r="AC56" s="415">
        <f t="shared" ca="1" si="20"/>
        <v>0</v>
      </c>
      <c r="AD56" s="415">
        <f t="shared" ca="1" si="20"/>
        <v>0</v>
      </c>
      <c r="AE56" s="415">
        <f t="shared" ca="1" si="20"/>
        <v>0</v>
      </c>
      <c r="AF56" s="415">
        <f t="shared" ca="1" si="20"/>
        <v>0</v>
      </c>
    </row>
    <row r="57" spans="1:32">
      <c r="A57" t="s">
        <v>72</v>
      </c>
      <c r="B57" t="str">
        <f t="shared" si="4"/>
        <v>RO P&amp;L</v>
      </c>
      <c r="C57" t="s">
        <v>131</v>
      </c>
      <c r="D57" t="s">
        <v>396</v>
      </c>
      <c r="E57" t="s">
        <v>121</v>
      </c>
      <c r="F57" s="415">
        <f t="shared" ca="1" si="19"/>
        <v>0</v>
      </c>
      <c r="G57" s="415">
        <f t="shared" ca="1" si="19"/>
        <v>0</v>
      </c>
      <c r="H57" s="415">
        <f t="shared" ca="1" si="19"/>
        <v>0</v>
      </c>
      <c r="I57" s="415">
        <f t="shared" ca="1" si="19"/>
        <v>0</v>
      </c>
      <c r="J57" s="415">
        <f t="shared" ca="1" si="19"/>
        <v>0</v>
      </c>
      <c r="K57" s="415">
        <f t="shared" ca="1" si="19"/>
        <v>0</v>
      </c>
      <c r="L57" s="415">
        <f t="shared" ca="1" si="19"/>
        <v>0</v>
      </c>
      <c r="M57" s="415">
        <f t="shared" ca="1" si="19"/>
        <v>0</v>
      </c>
      <c r="N57" s="415">
        <f t="shared" ca="1" si="19"/>
        <v>0</v>
      </c>
      <c r="O57" s="415">
        <f t="shared" ca="1" si="19"/>
        <v>0</v>
      </c>
      <c r="P57" s="415">
        <f t="shared" ca="1" si="19"/>
        <v>0</v>
      </c>
      <c r="Q57" s="415">
        <f t="shared" ca="1" si="19"/>
        <v>0</v>
      </c>
      <c r="R57" s="415">
        <f t="shared" ca="1" si="19"/>
        <v>0</v>
      </c>
      <c r="S57" s="415">
        <f t="shared" ca="1" si="19"/>
        <v>0</v>
      </c>
      <c r="T57" s="415">
        <f t="shared" ca="1" si="20"/>
        <v>0</v>
      </c>
      <c r="U57" s="415">
        <f t="shared" ca="1" si="20"/>
        <v>0</v>
      </c>
      <c r="V57" s="415">
        <f t="shared" ca="1" si="20"/>
        <v>0</v>
      </c>
      <c r="W57" s="415">
        <f t="shared" ca="1" si="20"/>
        <v>0</v>
      </c>
      <c r="X57" s="415">
        <f t="shared" ca="1" si="20"/>
        <v>0</v>
      </c>
      <c r="Y57" s="415">
        <f t="shared" ca="1" si="20"/>
        <v>0</v>
      </c>
      <c r="Z57" s="415">
        <f t="shared" ca="1" si="20"/>
        <v>0</v>
      </c>
      <c r="AA57" s="415">
        <f t="shared" ca="1" si="20"/>
        <v>0</v>
      </c>
      <c r="AB57" s="415">
        <f t="shared" ca="1" si="20"/>
        <v>0</v>
      </c>
      <c r="AC57" s="415">
        <f t="shared" ca="1" si="20"/>
        <v>0</v>
      </c>
      <c r="AD57" s="415">
        <f t="shared" ca="1" si="20"/>
        <v>0</v>
      </c>
      <c r="AE57" s="415">
        <f t="shared" ca="1" si="20"/>
        <v>0</v>
      </c>
      <c r="AF57" s="415">
        <f t="shared" ca="1" si="20"/>
        <v>0</v>
      </c>
    </row>
    <row r="58" spans="1:32">
      <c r="A58" t="s">
        <v>70</v>
      </c>
      <c r="B58" t="str">
        <f t="shared" si="4"/>
        <v>SK P&amp;L</v>
      </c>
      <c r="C58" t="s">
        <v>122</v>
      </c>
      <c r="D58" t="s">
        <v>394</v>
      </c>
      <c r="E58" t="s">
        <v>121</v>
      </c>
      <c r="F58" s="415">
        <f t="shared" ca="1" si="19"/>
        <v>0</v>
      </c>
      <c r="G58" s="415">
        <f t="shared" ca="1" si="19"/>
        <v>0</v>
      </c>
      <c r="H58" s="415">
        <f t="shared" ca="1" si="19"/>
        <v>0</v>
      </c>
      <c r="I58" s="415">
        <f t="shared" ca="1" si="19"/>
        <v>0</v>
      </c>
      <c r="J58" s="415">
        <f t="shared" ca="1" si="19"/>
        <v>0</v>
      </c>
      <c r="K58" s="415">
        <f t="shared" ca="1" si="19"/>
        <v>0</v>
      </c>
      <c r="L58" s="415">
        <f t="shared" ca="1" si="19"/>
        <v>0</v>
      </c>
      <c r="M58" s="415">
        <f t="shared" ca="1" si="19"/>
        <v>0</v>
      </c>
      <c r="N58" s="415">
        <f t="shared" ca="1" si="19"/>
        <v>0</v>
      </c>
      <c r="O58" s="415">
        <f t="shared" ca="1" si="19"/>
        <v>0</v>
      </c>
      <c r="P58" s="415">
        <f t="shared" ca="1" si="19"/>
        <v>0</v>
      </c>
      <c r="Q58" s="415">
        <f t="shared" ca="1" si="19"/>
        <v>0</v>
      </c>
      <c r="R58" s="415">
        <f t="shared" ca="1" si="19"/>
        <v>0</v>
      </c>
      <c r="S58" s="415">
        <f t="shared" ca="1" si="19"/>
        <v>0</v>
      </c>
      <c r="T58" s="415">
        <f t="shared" ca="1" si="20"/>
        <v>0</v>
      </c>
      <c r="U58" s="415">
        <f t="shared" ca="1" si="20"/>
        <v>0</v>
      </c>
      <c r="V58" s="415">
        <f t="shared" ca="1" si="20"/>
        <v>0</v>
      </c>
      <c r="W58" s="415">
        <f t="shared" ca="1" si="20"/>
        <v>0</v>
      </c>
      <c r="X58" s="415">
        <f t="shared" ca="1" si="20"/>
        <v>0</v>
      </c>
      <c r="Y58" s="415">
        <f t="shared" ca="1" si="20"/>
        <v>0</v>
      </c>
      <c r="Z58" s="415">
        <f t="shared" ca="1" si="20"/>
        <v>0</v>
      </c>
      <c r="AA58" s="415">
        <f t="shared" ca="1" si="20"/>
        <v>0</v>
      </c>
      <c r="AB58" s="415">
        <f t="shared" ca="1" si="20"/>
        <v>0</v>
      </c>
      <c r="AC58" s="415">
        <f t="shared" ca="1" si="20"/>
        <v>0</v>
      </c>
      <c r="AD58" s="415">
        <f t="shared" ca="1" si="20"/>
        <v>0</v>
      </c>
      <c r="AE58" s="415">
        <f t="shared" ca="1" si="20"/>
        <v>0</v>
      </c>
      <c r="AF58" s="415">
        <f t="shared" ca="1" si="20"/>
        <v>0</v>
      </c>
    </row>
    <row r="59" spans="1:32">
      <c r="A59" t="s">
        <v>70</v>
      </c>
      <c r="B59" t="str">
        <f t="shared" si="4"/>
        <v>SK P&amp;L</v>
      </c>
      <c r="C59" t="s">
        <v>123</v>
      </c>
      <c r="D59" t="s">
        <v>394</v>
      </c>
      <c r="E59" t="s">
        <v>121</v>
      </c>
      <c r="F59" s="415">
        <f t="shared" ca="1" si="19"/>
        <v>0</v>
      </c>
      <c r="G59" s="415">
        <f t="shared" ca="1" si="19"/>
        <v>0</v>
      </c>
      <c r="H59" s="415">
        <f t="shared" ca="1" si="19"/>
        <v>0</v>
      </c>
      <c r="I59" s="415">
        <f t="shared" ca="1" si="19"/>
        <v>0</v>
      </c>
      <c r="J59" s="415">
        <f t="shared" ca="1" si="19"/>
        <v>0</v>
      </c>
      <c r="K59" s="415">
        <f t="shared" ca="1" si="19"/>
        <v>0</v>
      </c>
      <c r="L59" s="415">
        <f t="shared" ca="1" si="19"/>
        <v>0</v>
      </c>
      <c r="M59" s="415">
        <f t="shared" ca="1" si="19"/>
        <v>0</v>
      </c>
      <c r="N59" s="415">
        <f t="shared" ca="1" si="19"/>
        <v>0</v>
      </c>
      <c r="O59" s="415">
        <f t="shared" ca="1" si="19"/>
        <v>0</v>
      </c>
      <c r="P59" s="415">
        <f t="shared" ca="1" si="19"/>
        <v>0</v>
      </c>
      <c r="Q59" s="415">
        <f t="shared" ca="1" si="19"/>
        <v>0</v>
      </c>
      <c r="R59" s="415">
        <f t="shared" ca="1" si="19"/>
        <v>0</v>
      </c>
      <c r="S59" s="415">
        <f t="shared" ca="1" si="19"/>
        <v>0</v>
      </c>
      <c r="T59" s="415">
        <f t="shared" ca="1" si="20"/>
        <v>0</v>
      </c>
      <c r="U59" s="415">
        <f t="shared" ca="1" si="20"/>
        <v>0</v>
      </c>
      <c r="V59" s="415">
        <f t="shared" ca="1" si="20"/>
        <v>0</v>
      </c>
      <c r="W59" s="415">
        <f t="shared" ca="1" si="20"/>
        <v>0</v>
      </c>
      <c r="X59" s="415">
        <f t="shared" ca="1" si="20"/>
        <v>0</v>
      </c>
      <c r="Y59" s="415">
        <f t="shared" ca="1" si="20"/>
        <v>0</v>
      </c>
      <c r="Z59" s="415">
        <f t="shared" ca="1" si="20"/>
        <v>0</v>
      </c>
      <c r="AA59" s="415">
        <f t="shared" ca="1" si="20"/>
        <v>0</v>
      </c>
      <c r="AB59" s="415">
        <f t="shared" ca="1" si="20"/>
        <v>0</v>
      </c>
      <c r="AC59" s="415">
        <f t="shared" ca="1" si="20"/>
        <v>0</v>
      </c>
      <c r="AD59" s="415">
        <f t="shared" ca="1" si="20"/>
        <v>0</v>
      </c>
      <c r="AE59" s="415">
        <f t="shared" ca="1" si="20"/>
        <v>0</v>
      </c>
      <c r="AF59" s="415">
        <f t="shared" ca="1" si="20"/>
        <v>0</v>
      </c>
    </row>
    <row r="60" spans="1:32">
      <c r="A60" t="s">
        <v>70</v>
      </c>
      <c r="B60" t="str">
        <f t="shared" si="4"/>
        <v>SK P&amp;L</v>
      </c>
      <c r="C60" t="s">
        <v>124</v>
      </c>
      <c r="D60" t="s">
        <v>394</v>
      </c>
      <c r="E60" t="s">
        <v>121</v>
      </c>
      <c r="F60" s="415">
        <f t="shared" ca="1" si="19"/>
        <v>0</v>
      </c>
      <c r="G60" s="415">
        <f t="shared" ca="1" si="19"/>
        <v>0</v>
      </c>
      <c r="H60" s="415">
        <f t="shared" ca="1" si="19"/>
        <v>0</v>
      </c>
      <c r="I60" s="415">
        <f t="shared" ca="1" si="19"/>
        <v>0</v>
      </c>
      <c r="J60" s="415">
        <f t="shared" ca="1" si="19"/>
        <v>0</v>
      </c>
      <c r="K60" s="415">
        <f t="shared" ca="1" si="19"/>
        <v>0</v>
      </c>
      <c r="L60" s="415">
        <f t="shared" ca="1" si="19"/>
        <v>0</v>
      </c>
      <c r="M60" s="415">
        <f t="shared" ca="1" si="19"/>
        <v>0</v>
      </c>
      <c r="N60" s="415">
        <f t="shared" ca="1" si="19"/>
        <v>0</v>
      </c>
      <c r="O60" s="415">
        <f t="shared" ca="1" si="19"/>
        <v>0</v>
      </c>
      <c r="P60" s="415">
        <f t="shared" ca="1" si="19"/>
        <v>0</v>
      </c>
      <c r="Q60" s="415">
        <f t="shared" ca="1" si="19"/>
        <v>0</v>
      </c>
      <c r="R60" s="415">
        <f t="shared" ca="1" si="19"/>
        <v>0</v>
      </c>
      <c r="S60" s="415">
        <f t="shared" ca="1" si="19"/>
        <v>0</v>
      </c>
      <c r="T60" s="415">
        <f t="shared" ca="1" si="20"/>
        <v>0</v>
      </c>
      <c r="U60" s="415">
        <f t="shared" ca="1" si="20"/>
        <v>0</v>
      </c>
      <c r="V60" s="415">
        <f t="shared" ca="1" si="20"/>
        <v>0</v>
      </c>
      <c r="W60" s="415">
        <f t="shared" ca="1" si="20"/>
        <v>0</v>
      </c>
      <c r="X60" s="415">
        <f t="shared" ca="1" si="20"/>
        <v>0</v>
      </c>
      <c r="Y60" s="415">
        <f t="shared" ca="1" si="20"/>
        <v>0</v>
      </c>
      <c r="Z60" s="415">
        <f t="shared" ca="1" si="20"/>
        <v>0</v>
      </c>
      <c r="AA60" s="415">
        <f t="shared" ca="1" si="20"/>
        <v>0</v>
      </c>
      <c r="AB60" s="415">
        <f t="shared" ca="1" si="20"/>
        <v>0</v>
      </c>
      <c r="AC60" s="415">
        <f t="shared" ca="1" si="20"/>
        <v>0</v>
      </c>
      <c r="AD60" s="415">
        <f t="shared" ca="1" si="20"/>
        <v>0</v>
      </c>
      <c r="AE60" s="415">
        <f t="shared" ca="1" si="20"/>
        <v>0</v>
      </c>
      <c r="AF60" s="415">
        <f t="shared" ca="1" si="20"/>
        <v>0</v>
      </c>
    </row>
    <row r="61" spans="1:32">
      <c r="A61" t="s">
        <v>70</v>
      </c>
      <c r="B61" t="str">
        <f t="shared" si="4"/>
        <v>SK P&amp;L</v>
      </c>
      <c r="C61" t="s">
        <v>125</v>
      </c>
      <c r="D61" t="s">
        <v>394</v>
      </c>
      <c r="E61" t="s">
        <v>121</v>
      </c>
      <c r="F61" s="415">
        <f t="shared" ca="1" si="19"/>
        <v>0</v>
      </c>
      <c r="G61" s="415">
        <f t="shared" ca="1" si="19"/>
        <v>0</v>
      </c>
      <c r="H61" s="415">
        <f t="shared" ca="1" si="19"/>
        <v>0</v>
      </c>
      <c r="I61" s="415">
        <f t="shared" ca="1" si="19"/>
        <v>0</v>
      </c>
      <c r="J61" s="415">
        <f t="shared" ca="1" si="19"/>
        <v>0</v>
      </c>
      <c r="K61" s="415">
        <f t="shared" ca="1" si="19"/>
        <v>0</v>
      </c>
      <c r="L61" s="415">
        <f t="shared" ca="1" si="19"/>
        <v>0</v>
      </c>
      <c r="M61" s="415">
        <f t="shared" ca="1" si="19"/>
        <v>0</v>
      </c>
      <c r="N61" s="415">
        <f t="shared" ca="1" si="19"/>
        <v>0</v>
      </c>
      <c r="O61" s="415">
        <f t="shared" ca="1" si="19"/>
        <v>0</v>
      </c>
      <c r="P61" s="415">
        <f t="shared" ca="1" si="19"/>
        <v>0</v>
      </c>
      <c r="Q61" s="415">
        <f t="shared" ca="1" si="19"/>
        <v>0</v>
      </c>
      <c r="R61" s="415">
        <f t="shared" ca="1" si="19"/>
        <v>0</v>
      </c>
      <c r="S61" s="415">
        <f t="shared" ca="1" si="19"/>
        <v>0</v>
      </c>
      <c r="T61" s="415">
        <f t="shared" ca="1" si="20"/>
        <v>0</v>
      </c>
      <c r="U61" s="415">
        <f t="shared" ca="1" si="20"/>
        <v>0</v>
      </c>
      <c r="V61" s="415">
        <f t="shared" ca="1" si="20"/>
        <v>0</v>
      </c>
      <c r="W61" s="415">
        <f t="shared" ca="1" si="20"/>
        <v>0</v>
      </c>
      <c r="X61" s="415">
        <f t="shared" ca="1" si="20"/>
        <v>0</v>
      </c>
      <c r="Y61" s="415">
        <f t="shared" ca="1" si="20"/>
        <v>0</v>
      </c>
      <c r="Z61" s="415">
        <f t="shared" ca="1" si="20"/>
        <v>0</v>
      </c>
      <c r="AA61" s="415">
        <f t="shared" ca="1" si="20"/>
        <v>0</v>
      </c>
      <c r="AB61" s="415">
        <f t="shared" ca="1" si="20"/>
        <v>0</v>
      </c>
      <c r="AC61" s="415">
        <f t="shared" ca="1" si="20"/>
        <v>0</v>
      </c>
      <c r="AD61" s="415">
        <f t="shared" ca="1" si="20"/>
        <v>0</v>
      </c>
      <c r="AE61" s="415">
        <f t="shared" ca="1" si="20"/>
        <v>0</v>
      </c>
      <c r="AF61" s="415">
        <f t="shared" ca="1" si="20"/>
        <v>0</v>
      </c>
    </row>
    <row r="62" spans="1:32">
      <c r="A62" t="s">
        <v>70</v>
      </c>
      <c r="B62" t="str">
        <f t="shared" si="4"/>
        <v>SK P&amp;L</v>
      </c>
      <c r="C62" t="s">
        <v>126</v>
      </c>
      <c r="D62" t="s">
        <v>394</v>
      </c>
      <c r="E62" t="s">
        <v>121</v>
      </c>
      <c r="F62" s="415">
        <f t="shared" ca="1" si="19"/>
        <v>0</v>
      </c>
      <c r="G62" s="415">
        <f t="shared" ca="1" si="19"/>
        <v>0</v>
      </c>
      <c r="H62" s="415">
        <f t="shared" ca="1" si="19"/>
        <v>0</v>
      </c>
      <c r="I62" s="415">
        <f t="shared" ca="1" si="19"/>
        <v>0</v>
      </c>
      <c r="J62" s="415">
        <f t="shared" ca="1" si="19"/>
        <v>0</v>
      </c>
      <c r="K62" s="415">
        <f t="shared" ca="1" si="19"/>
        <v>0</v>
      </c>
      <c r="L62" s="415">
        <f t="shared" ca="1" si="19"/>
        <v>0</v>
      </c>
      <c r="M62" s="415">
        <f t="shared" ca="1" si="19"/>
        <v>0</v>
      </c>
      <c r="N62" s="415">
        <f t="shared" ca="1" si="19"/>
        <v>0</v>
      </c>
      <c r="O62" s="415">
        <f t="shared" ca="1" si="19"/>
        <v>0</v>
      </c>
      <c r="P62" s="415">
        <f t="shared" ca="1" si="19"/>
        <v>0</v>
      </c>
      <c r="Q62" s="415">
        <f t="shared" ca="1" si="19"/>
        <v>0</v>
      </c>
      <c r="R62" s="415">
        <f t="shared" ca="1" si="19"/>
        <v>0</v>
      </c>
      <c r="S62" s="415">
        <f t="shared" ca="1" si="19"/>
        <v>0</v>
      </c>
      <c r="T62" s="415">
        <f t="shared" ca="1" si="20"/>
        <v>0</v>
      </c>
      <c r="U62" s="415">
        <f t="shared" ca="1" si="20"/>
        <v>0</v>
      </c>
      <c r="V62" s="415">
        <f t="shared" ca="1" si="20"/>
        <v>0</v>
      </c>
      <c r="W62" s="415">
        <f t="shared" ca="1" si="20"/>
        <v>0</v>
      </c>
      <c r="X62" s="415">
        <f t="shared" ca="1" si="20"/>
        <v>0</v>
      </c>
      <c r="Y62" s="415">
        <f t="shared" ca="1" si="20"/>
        <v>0</v>
      </c>
      <c r="Z62" s="415">
        <f t="shared" ca="1" si="20"/>
        <v>0</v>
      </c>
      <c r="AA62" s="415">
        <f t="shared" ca="1" si="20"/>
        <v>0</v>
      </c>
      <c r="AB62" s="415">
        <f t="shared" ca="1" si="20"/>
        <v>0</v>
      </c>
      <c r="AC62" s="415">
        <f t="shared" ca="1" si="20"/>
        <v>0</v>
      </c>
      <c r="AD62" s="415">
        <f t="shared" ca="1" si="20"/>
        <v>0</v>
      </c>
      <c r="AE62" s="415">
        <f t="shared" ca="1" si="20"/>
        <v>0</v>
      </c>
      <c r="AF62" s="415">
        <f t="shared" ca="1" si="20"/>
        <v>0</v>
      </c>
    </row>
    <row r="63" spans="1:32">
      <c r="A63" t="s">
        <v>70</v>
      </c>
      <c r="B63" t="str">
        <f t="shared" si="4"/>
        <v>SK P&amp;L</v>
      </c>
      <c r="C63" t="s">
        <v>127</v>
      </c>
      <c r="D63" t="s">
        <v>395</v>
      </c>
      <c r="E63" t="s">
        <v>121</v>
      </c>
      <c r="F63" s="415">
        <f t="shared" ca="1" si="19"/>
        <v>0</v>
      </c>
      <c r="G63" s="415">
        <f t="shared" ca="1" si="19"/>
        <v>0</v>
      </c>
      <c r="H63" s="415">
        <f t="shared" ca="1" si="19"/>
        <v>0</v>
      </c>
      <c r="I63" s="415">
        <f t="shared" ca="1" si="19"/>
        <v>0</v>
      </c>
      <c r="J63" s="415">
        <f t="shared" ca="1" si="19"/>
        <v>0</v>
      </c>
      <c r="K63" s="415">
        <f t="shared" ca="1" si="19"/>
        <v>0</v>
      </c>
      <c r="L63" s="415">
        <f t="shared" ca="1" si="19"/>
        <v>0</v>
      </c>
      <c r="M63" s="415">
        <f t="shared" ca="1" si="19"/>
        <v>0</v>
      </c>
      <c r="N63" s="415">
        <f t="shared" ca="1" si="19"/>
        <v>0</v>
      </c>
      <c r="O63" s="415">
        <f t="shared" ca="1" si="19"/>
        <v>0</v>
      </c>
      <c r="P63" s="415">
        <f t="shared" ca="1" si="19"/>
        <v>0</v>
      </c>
      <c r="Q63" s="415">
        <f t="shared" ca="1" si="19"/>
        <v>0</v>
      </c>
      <c r="R63" s="415">
        <f t="shared" ca="1" si="19"/>
        <v>0</v>
      </c>
      <c r="S63" s="415">
        <f t="shared" ca="1" si="19"/>
        <v>0</v>
      </c>
      <c r="T63" s="415">
        <f t="shared" ca="1" si="20"/>
        <v>0</v>
      </c>
      <c r="U63" s="415">
        <f t="shared" ca="1" si="20"/>
        <v>0</v>
      </c>
      <c r="V63" s="415">
        <f t="shared" ca="1" si="20"/>
        <v>0</v>
      </c>
      <c r="W63" s="415">
        <f t="shared" ca="1" si="20"/>
        <v>0</v>
      </c>
      <c r="X63" s="415">
        <f t="shared" ca="1" si="20"/>
        <v>0</v>
      </c>
      <c r="Y63" s="415">
        <f t="shared" ca="1" si="20"/>
        <v>0</v>
      </c>
      <c r="Z63" s="415">
        <f t="shared" ca="1" si="20"/>
        <v>0</v>
      </c>
      <c r="AA63" s="415">
        <f t="shared" ca="1" si="20"/>
        <v>0</v>
      </c>
      <c r="AB63" s="415">
        <f t="shared" ca="1" si="20"/>
        <v>0</v>
      </c>
      <c r="AC63" s="415">
        <f t="shared" ca="1" si="20"/>
        <v>0</v>
      </c>
      <c r="AD63" s="415">
        <f t="shared" ca="1" si="20"/>
        <v>0</v>
      </c>
      <c r="AE63" s="415">
        <f t="shared" ca="1" si="20"/>
        <v>0</v>
      </c>
      <c r="AF63" s="415">
        <f t="shared" ca="1" si="20"/>
        <v>0</v>
      </c>
    </row>
    <row r="64" spans="1:32">
      <c r="A64" t="s">
        <v>70</v>
      </c>
      <c r="B64" t="str">
        <f t="shared" si="4"/>
        <v>SK P&amp;L</v>
      </c>
      <c r="C64" t="s">
        <v>130</v>
      </c>
      <c r="D64" t="s">
        <v>396</v>
      </c>
      <c r="E64" t="s">
        <v>121</v>
      </c>
      <c r="F64" s="415">
        <f t="shared" ref="F64:U79" ca="1" si="21">IFERROR(SUMIFS(INDEX(INDIRECT("'"&amp;$B64&amp;"'!$B:$AU"),,MATCH(F$1,INDIRECT("'"&amp;$B64&amp;"'!$B$3:$AU$3"),0)),INDIRECT("'"&amp;$B64&amp;"'!$B:$B"),$C64),0)</f>
        <v>0</v>
      </c>
      <c r="G64" s="415">
        <f t="shared" ca="1" si="21"/>
        <v>0</v>
      </c>
      <c r="H64" s="415">
        <f t="shared" ca="1" si="21"/>
        <v>0</v>
      </c>
      <c r="I64" s="415">
        <f t="shared" ca="1" si="21"/>
        <v>0</v>
      </c>
      <c r="J64" s="415">
        <f t="shared" ca="1" si="21"/>
        <v>0</v>
      </c>
      <c r="K64" s="415">
        <f t="shared" ca="1" si="21"/>
        <v>0</v>
      </c>
      <c r="L64" s="415">
        <f t="shared" ca="1" si="21"/>
        <v>0</v>
      </c>
      <c r="M64" s="415">
        <f t="shared" ca="1" si="21"/>
        <v>0</v>
      </c>
      <c r="N64" s="415">
        <f t="shared" ca="1" si="21"/>
        <v>0</v>
      </c>
      <c r="O64" s="415">
        <f t="shared" ca="1" si="21"/>
        <v>0</v>
      </c>
      <c r="P64" s="415">
        <f t="shared" ca="1" si="21"/>
        <v>0</v>
      </c>
      <c r="Q64" s="415">
        <f t="shared" ca="1" si="21"/>
        <v>0</v>
      </c>
      <c r="R64" s="415">
        <f t="shared" ca="1" si="21"/>
        <v>0</v>
      </c>
      <c r="S64" s="415">
        <f t="shared" ca="1" si="21"/>
        <v>0</v>
      </c>
      <c r="T64" s="415">
        <f t="shared" ca="1" si="20"/>
        <v>0</v>
      </c>
      <c r="U64" s="415">
        <f t="shared" ca="1" si="20"/>
        <v>0</v>
      </c>
      <c r="V64" s="415">
        <f t="shared" ca="1" si="20"/>
        <v>0</v>
      </c>
      <c r="W64" s="415">
        <f t="shared" ca="1" si="20"/>
        <v>0</v>
      </c>
      <c r="X64" s="415">
        <f t="shared" ca="1" si="20"/>
        <v>0</v>
      </c>
      <c r="Y64" s="415">
        <f t="shared" ca="1" si="20"/>
        <v>0</v>
      </c>
      <c r="Z64" s="415">
        <f t="shared" ca="1" si="20"/>
        <v>0</v>
      </c>
      <c r="AA64" s="415">
        <f t="shared" ca="1" si="20"/>
        <v>0</v>
      </c>
      <c r="AB64" s="415">
        <f t="shared" ca="1" si="20"/>
        <v>0</v>
      </c>
      <c r="AC64" s="415">
        <f t="shared" ca="1" si="20"/>
        <v>0</v>
      </c>
      <c r="AD64" s="415">
        <f t="shared" ca="1" si="20"/>
        <v>0</v>
      </c>
      <c r="AE64" s="415">
        <f t="shared" ca="1" si="20"/>
        <v>0</v>
      </c>
      <c r="AF64" s="415">
        <f t="shared" ca="1" si="20"/>
        <v>0</v>
      </c>
    </row>
    <row r="65" spans="1:32">
      <c r="A65" t="s">
        <v>70</v>
      </c>
      <c r="B65" t="str">
        <f t="shared" si="4"/>
        <v>SK P&amp;L</v>
      </c>
      <c r="C65" t="s">
        <v>131</v>
      </c>
      <c r="D65" t="s">
        <v>396</v>
      </c>
      <c r="E65" t="s">
        <v>121</v>
      </c>
      <c r="F65" s="415">
        <f t="shared" ca="1" si="21"/>
        <v>0</v>
      </c>
      <c r="G65" s="415">
        <f t="shared" ca="1" si="21"/>
        <v>0</v>
      </c>
      <c r="H65" s="415">
        <f t="shared" ca="1" si="21"/>
        <v>0</v>
      </c>
      <c r="I65" s="415">
        <f t="shared" ca="1" si="21"/>
        <v>0</v>
      </c>
      <c r="J65" s="415">
        <f t="shared" ca="1" si="21"/>
        <v>0</v>
      </c>
      <c r="K65" s="415">
        <f t="shared" ca="1" si="21"/>
        <v>0</v>
      </c>
      <c r="L65" s="415">
        <f t="shared" ca="1" si="21"/>
        <v>0</v>
      </c>
      <c r="M65" s="415">
        <f t="shared" ca="1" si="21"/>
        <v>0</v>
      </c>
      <c r="N65" s="415">
        <f t="shared" ca="1" si="21"/>
        <v>0</v>
      </c>
      <c r="O65" s="415">
        <f t="shared" ca="1" si="21"/>
        <v>0</v>
      </c>
      <c r="P65" s="415">
        <f t="shared" ca="1" si="21"/>
        <v>0</v>
      </c>
      <c r="Q65" s="415">
        <f t="shared" ca="1" si="21"/>
        <v>0</v>
      </c>
      <c r="R65" s="415">
        <f t="shared" ca="1" si="21"/>
        <v>0</v>
      </c>
      <c r="S65" s="415">
        <f t="shared" ca="1" si="21"/>
        <v>0</v>
      </c>
      <c r="T65" s="415">
        <f t="shared" ca="1" si="20"/>
        <v>0</v>
      </c>
      <c r="U65" s="415">
        <f t="shared" ca="1" si="20"/>
        <v>0</v>
      </c>
      <c r="V65" s="415">
        <f t="shared" ca="1" si="20"/>
        <v>0</v>
      </c>
      <c r="W65" s="415">
        <f t="shared" ca="1" si="20"/>
        <v>0</v>
      </c>
      <c r="X65" s="415">
        <f t="shared" ca="1" si="20"/>
        <v>0</v>
      </c>
      <c r="Y65" s="415">
        <f t="shared" ca="1" si="20"/>
        <v>0</v>
      </c>
      <c r="Z65" s="415">
        <f t="shared" ca="1" si="20"/>
        <v>0</v>
      </c>
      <c r="AA65" s="415">
        <f t="shared" ca="1" si="20"/>
        <v>0</v>
      </c>
      <c r="AB65" s="415">
        <f t="shared" ca="1" si="20"/>
        <v>0</v>
      </c>
      <c r="AC65" s="415">
        <f t="shared" ca="1" si="20"/>
        <v>0</v>
      </c>
      <c r="AD65" s="415">
        <f t="shared" ca="1" si="20"/>
        <v>0</v>
      </c>
      <c r="AE65" s="415">
        <f t="shared" ca="1" si="20"/>
        <v>0</v>
      </c>
      <c r="AF65" s="415">
        <f t="shared" ca="1" si="20"/>
        <v>0</v>
      </c>
    </row>
    <row r="66" spans="1:32">
      <c r="A66" t="s">
        <v>68</v>
      </c>
      <c r="B66" t="str">
        <f t="shared" si="4"/>
        <v>HU P&amp;L</v>
      </c>
      <c r="C66" t="s">
        <v>122</v>
      </c>
      <c r="D66" t="s">
        <v>394</v>
      </c>
      <c r="E66" t="s">
        <v>121</v>
      </c>
      <c r="F66" s="415">
        <f t="shared" ca="1" si="21"/>
        <v>0</v>
      </c>
      <c r="G66" s="415">
        <f t="shared" ca="1" si="21"/>
        <v>0</v>
      </c>
      <c r="H66" s="415">
        <f t="shared" ca="1" si="21"/>
        <v>0</v>
      </c>
      <c r="I66" s="415">
        <f t="shared" ca="1" si="21"/>
        <v>0</v>
      </c>
      <c r="J66" s="415">
        <f t="shared" ca="1" si="21"/>
        <v>0</v>
      </c>
      <c r="K66" s="415">
        <f t="shared" ca="1" si="21"/>
        <v>0</v>
      </c>
      <c r="L66" s="415">
        <f t="shared" ca="1" si="21"/>
        <v>0</v>
      </c>
      <c r="M66" s="415">
        <f t="shared" ca="1" si="21"/>
        <v>0</v>
      </c>
      <c r="N66" s="415">
        <f t="shared" ca="1" si="21"/>
        <v>0</v>
      </c>
      <c r="O66" s="415">
        <f t="shared" ca="1" si="21"/>
        <v>0</v>
      </c>
      <c r="P66" s="415">
        <f t="shared" ca="1" si="21"/>
        <v>0</v>
      </c>
      <c r="Q66" s="415">
        <f t="shared" ca="1" si="21"/>
        <v>0</v>
      </c>
      <c r="R66" s="415">
        <f t="shared" ca="1" si="21"/>
        <v>0</v>
      </c>
      <c r="S66" s="415">
        <f t="shared" ca="1" si="21"/>
        <v>0</v>
      </c>
      <c r="T66" s="415">
        <f t="shared" ca="1" si="20"/>
        <v>0</v>
      </c>
      <c r="U66" s="415">
        <f t="shared" ca="1" si="20"/>
        <v>0</v>
      </c>
      <c r="V66" s="415">
        <f t="shared" ca="1" si="20"/>
        <v>0</v>
      </c>
      <c r="W66" s="415">
        <f t="shared" ca="1" si="20"/>
        <v>0</v>
      </c>
      <c r="X66" s="415">
        <f t="shared" ca="1" si="20"/>
        <v>0</v>
      </c>
      <c r="Y66" s="415">
        <f t="shared" ca="1" si="20"/>
        <v>0</v>
      </c>
      <c r="Z66" s="415">
        <f t="shared" ca="1" si="20"/>
        <v>0</v>
      </c>
      <c r="AA66" s="415">
        <f t="shared" ca="1" si="20"/>
        <v>0</v>
      </c>
      <c r="AB66" s="415">
        <f t="shared" ca="1" si="20"/>
        <v>0</v>
      </c>
      <c r="AC66" s="415">
        <f t="shared" ca="1" si="20"/>
        <v>0</v>
      </c>
      <c r="AD66" s="415">
        <f t="shared" ca="1" si="20"/>
        <v>0</v>
      </c>
      <c r="AE66" s="415">
        <f t="shared" ca="1" si="20"/>
        <v>0</v>
      </c>
      <c r="AF66" s="415">
        <f t="shared" ca="1" si="20"/>
        <v>0</v>
      </c>
    </row>
    <row r="67" spans="1:32">
      <c r="A67" t="s">
        <v>68</v>
      </c>
      <c r="B67" t="str">
        <f t="shared" ref="B67:B103" si="22">$A67&amp;" P&amp;L"</f>
        <v>HU P&amp;L</v>
      </c>
      <c r="C67" t="s">
        <v>123</v>
      </c>
      <c r="D67" t="s">
        <v>394</v>
      </c>
      <c r="E67" t="s">
        <v>121</v>
      </c>
      <c r="F67" s="415">
        <f t="shared" ca="1" si="21"/>
        <v>0</v>
      </c>
      <c r="G67" s="415">
        <f t="shared" ca="1" si="21"/>
        <v>0</v>
      </c>
      <c r="H67" s="415">
        <f t="shared" ca="1" si="21"/>
        <v>0</v>
      </c>
      <c r="I67" s="415">
        <f t="shared" ca="1" si="21"/>
        <v>0</v>
      </c>
      <c r="J67" s="415">
        <f t="shared" ca="1" si="21"/>
        <v>0</v>
      </c>
      <c r="K67" s="415">
        <f t="shared" ca="1" si="21"/>
        <v>0</v>
      </c>
      <c r="L67" s="415">
        <f t="shared" ca="1" si="21"/>
        <v>0</v>
      </c>
      <c r="M67" s="415">
        <f t="shared" ca="1" si="21"/>
        <v>0</v>
      </c>
      <c r="N67" s="415">
        <f t="shared" ca="1" si="21"/>
        <v>0</v>
      </c>
      <c r="O67" s="415">
        <f t="shared" ca="1" si="21"/>
        <v>0</v>
      </c>
      <c r="P67" s="415">
        <f t="shared" ca="1" si="21"/>
        <v>0</v>
      </c>
      <c r="Q67" s="415">
        <f t="shared" ca="1" si="21"/>
        <v>0</v>
      </c>
      <c r="R67" s="415">
        <f t="shared" ca="1" si="21"/>
        <v>0</v>
      </c>
      <c r="S67" s="415">
        <f t="shared" ca="1" si="21"/>
        <v>0</v>
      </c>
      <c r="T67" s="415">
        <f t="shared" ca="1" si="20"/>
        <v>0</v>
      </c>
      <c r="U67" s="415">
        <f t="shared" ca="1" si="20"/>
        <v>0</v>
      </c>
      <c r="V67" s="415">
        <f t="shared" ca="1" si="20"/>
        <v>0</v>
      </c>
      <c r="W67" s="415">
        <f t="shared" ca="1" si="20"/>
        <v>0</v>
      </c>
      <c r="X67" s="415">
        <f t="shared" ca="1" si="20"/>
        <v>0</v>
      </c>
      <c r="Y67" s="415">
        <f t="shared" ca="1" si="20"/>
        <v>0</v>
      </c>
      <c r="Z67" s="415">
        <f t="shared" ca="1" si="20"/>
        <v>0</v>
      </c>
      <c r="AA67" s="415">
        <f t="shared" ca="1" si="20"/>
        <v>0</v>
      </c>
      <c r="AB67" s="415">
        <f t="shared" ca="1" si="20"/>
        <v>0</v>
      </c>
      <c r="AC67" s="415">
        <f t="shared" ca="1" si="20"/>
        <v>0</v>
      </c>
      <c r="AD67" s="415">
        <f t="shared" ca="1" si="20"/>
        <v>0</v>
      </c>
      <c r="AE67" s="415">
        <f t="shared" ca="1" si="20"/>
        <v>0</v>
      </c>
      <c r="AF67" s="415">
        <f t="shared" ca="1" si="20"/>
        <v>0</v>
      </c>
    </row>
    <row r="68" spans="1:32">
      <c r="A68" t="s">
        <v>68</v>
      </c>
      <c r="B68" t="str">
        <f t="shared" si="22"/>
        <v>HU P&amp;L</v>
      </c>
      <c r="C68" t="s">
        <v>124</v>
      </c>
      <c r="D68" t="s">
        <v>394</v>
      </c>
      <c r="E68" t="s">
        <v>121</v>
      </c>
      <c r="F68" s="415">
        <f t="shared" ca="1" si="21"/>
        <v>0</v>
      </c>
      <c r="G68" s="415">
        <f t="shared" ca="1" si="21"/>
        <v>0</v>
      </c>
      <c r="H68" s="415">
        <f t="shared" ca="1" si="21"/>
        <v>0</v>
      </c>
      <c r="I68" s="415">
        <f t="shared" ca="1" si="21"/>
        <v>0</v>
      </c>
      <c r="J68" s="415">
        <f t="shared" ca="1" si="21"/>
        <v>0</v>
      </c>
      <c r="K68" s="415">
        <f t="shared" ca="1" si="21"/>
        <v>0</v>
      </c>
      <c r="L68" s="415">
        <f t="shared" ca="1" si="21"/>
        <v>0</v>
      </c>
      <c r="M68" s="415">
        <f t="shared" ca="1" si="21"/>
        <v>0</v>
      </c>
      <c r="N68" s="415">
        <f t="shared" ca="1" si="21"/>
        <v>0</v>
      </c>
      <c r="O68" s="415">
        <f t="shared" ca="1" si="21"/>
        <v>0</v>
      </c>
      <c r="P68" s="415">
        <f t="shared" ca="1" si="21"/>
        <v>0</v>
      </c>
      <c r="Q68" s="415">
        <f t="shared" ca="1" si="21"/>
        <v>0</v>
      </c>
      <c r="R68" s="415">
        <f t="shared" ca="1" si="21"/>
        <v>0</v>
      </c>
      <c r="S68" s="415">
        <f t="shared" ca="1" si="21"/>
        <v>0</v>
      </c>
      <c r="T68" s="415">
        <f t="shared" ca="1" si="20"/>
        <v>0</v>
      </c>
      <c r="U68" s="415">
        <f t="shared" ca="1" si="20"/>
        <v>0</v>
      </c>
      <c r="V68" s="415">
        <f t="shared" ca="1" si="20"/>
        <v>0</v>
      </c>
      <c r="W68" s="415">
        <f t="shared" ca="1" si="20"/>
        <v>0</v>
      </c>
      <c r="X68" s="415">
        <f t="shared" ca="1" si="20"/>
        <v>0</v>
      </c>
      <c r="Y68" s="415">
        <f t="shared" ca="1" si="20"/>
        <v>0</v>
      </c>
      <c r="Z68" s="415">
        <f t="shared" ca="1" si="20"/>
        <v>0</v>
      </c>
      <c r="AA68" s="415">
        <f t="shared" ca="1" si="20"/>
        <v>0</v>
      </c>
      <c r="AB68" s="415">
        <f t="shared" ca="1" si="20"/>
        <v>0</v>
      </c>
      <c r="AC68" s="415">
        <f t="shared" ca="1" si="20"/>
        <v>0</v>
      </c>
      <c r="AD68" s="415">
        <f t="shared" ca="1" si="20"/>
        <v>0</v>
      </c>
      <c r="AE68" s="415">
        <f t="shared" ca="1" si="20"/>
        <v>0</v>
      </c>
      <c r="AF68" s="415">
        <f t="shared" ca="1" si="20"/>
        <v>0</v>
      </c>
    </row>
    <row r="69" spans="1:32">
      <c r="A69" t="s">
        <v>68</v>
      </c>
      <c r="B69" t="str">
        <f t="shared" si="22"/>
        <v>HU P&amp;L</v>
      </c>
      <c r="C69" t="s">
        <v>125</v>
      </c>
      <c r="D69" t="s">
        <v>394</v>
      </c>
      <c r="E69" t="s">
        <v>121</v>
      </c>
      <c r="F69" s="415">
        <f t="shared" ca="1" si="21"/>
        <v>0</v>
      </c>
      <c r="G69" s="415">
        <f t="shared" ca="1" si="21"/>
        <v>0</v>
      </c>
      <c r="H69" s="415">
        <f t="shared" ca="1" si="21"/>
        <v>0</v>
      </c>
      <c r="I69" s="415">
        <f t="shared" ca="1" si="21"/>
        <v>0</v>
      </c>
      <c r="J69" s="415">
        <f t="shared" ca="1" si="21"/>
        <v>0</v>
      </c>
      <c r="K69" s="415">
        <f t="shared" ca="1" si="21"/>
        <v>0</v>
      </c>
      <c r="L69" s="415">
        <f t="shared" ca="1" si="21"/>
        <v>0</v>
      </c>
      <c r="M69" s="415">
        <f t="shared" ca="1" si="21"/>
        <v>0</v>
      </c>
      <c r="N69" s="415">
        <f t="shared" ca="1" si="21"/>
        <v>0</v>
      </c>
      <c r="O69" s="415">
        <f t="shared" ca="1" si="21"/>
        <v>0</v>
      </c>
      <c r="P69" s="415">
        <f t="shared" ca="1" si="21"/>
        <v>0</v>
      </c>
      <c r="Q69" s="415">
        <f t="shared" ca="1" si="21"/>
        <v>0</v>
      </c>
      <c r="R69" s="415">
        <f t="shared" ca="1" si="21"/>
        <v>0</v>
      </c>
      <c r="S69" s="415">
        <f t="shared" ca="1" si="21"/>
        <v>0</v>
      </c>
      <c r="T69" s="415">
        <f t="shared" ca="1" si="21"/>
        <v>0</v>
      </c>
      <c r="U69" s="415">
        <f t="shared" ca="1" si="21"/>
        <v>0</v>
      </c>
      <c r="V69" s="415">
        <f t="shared" ca="1" si="20"/>
        <v>0</v>
      </c>
      <c r="W69" s="415">
        <f t="shared" ca="1" si="20"/>
        <v>0</v>
      </c>
      <c r="X69" s="415">
        <f t="shared" ca="1" si="20"/>
        <v>0</v>
      </c>
      <c r="Y69" s="415">
        <f t="shared" ca="1" si="20"/>
        <v>0</v>
      </c>
      <c r="Z69" s="415">
        <f t="shared" ca="1" si="20"/>
        <v>0</v>
      </c>
      <c r="AA69" s="415">
        <f t="shared" ca="1" si="20"/>
        <v>0</v>
      </c>
      <c r="AB69" s="415">
        <f t="shared" ca="1" si="20"/>
        <v>0</v>
      </c>
      <c r="AC69" s="415">
        <f t="shared" ca="1" si="20"/>
        <v>0</v>
      </c>
      <c r="AD69" s="415">
        <f t="shared" ca="1" si="20"/>
        <v>0</v>
      </c>
      <c r="AE69" s="415">
        <f t="shared" ca="1" si="20"/>
        <v>0</v>
      </c>
      <c r="AF69" s="415">
        <f t="shared" ca="1" si="20"/>
        <v>0</v>
      </c>
    </row>
    <row r="70" spans="1:32">
      <c r="A70" t="s">
        <v>68</v>
      </c>
      <c r="B70" t="str">
        <f t="shared" si="22"/>
        <v>HU P&amp;L</v>
      </c>
      <c r="C70" t="s">
        <v>126</v>
      </c>
      <c r="D70" t="s">
        <v>394</v>
      </c>
      <c r="E70" t="s">
        <v>121</v>
      </c>
      <c r="F70" s="415">
        <f t="shared" ca="1" si="21"/>
        <v>0</v>
      </c>
      <c r="G70" s="415">
        <f t="shared" ca="1" si="21"/>
        <v>0</v>
      </c>
      <c r="H70" s="415">
        <f t="shared" ca="1" si="21"/>
        <v>0</v>
      </c>
      <c r="I70" s="415">
        <f t="shared" ca="1" si="21"/>
        <v>0</v>
      </c>
      <c r="J70" s="415">
        <f t="shared" ca="1" si="21"/>
        <v>0</v>
      </c>
      <c r="K70" s="415">
        <f t="shared" ca="1" si="21"/>
        <v>0</v>
      </c>
      <c r="L70" s="415">
        <f t="shared" ca="1" si="21"/>
        <v>0</v>
      </c>
      <c r="M70" s="415">
        <f t="shared" ca="1" si="21"/>
        <v>0</v>
      </c>
      <c r="N70" s="415">
        <f t="shared" ca="1" si="21"/>
        <v>0</v>
      </c>
      <c r="O70" s="415">
        <f t="shared" ca="1" si="21"/>
        <v>0</v>
      </c>
      <c r="P70" s="415">
        <f t="shared" ca="1" si="21"/>
        <v>0</v>
      </c>
      <c r="Q70" s="415">
        <f t="shared" ca="1" si="21"/>
        <v>0</v>
      </c>
      <c r="R70" s="415">
        <f t="shared" ca="1" si="21"/>
        <v>0</v>
      </c>
      <c r="S70" s="415">
        <f t="shared" ca="1" si="21"/>
        <v>0</v>
      </c>
      <c r="T70" s="415">
        <f t="shared" ca="1" si="20"/>
        <v>0</v>
      </c>
      <c r="U70" s="415">
        <f t="shared" ca="1" si="20"/>
        <v>0</v>
      </c>
      <c r="V70" s="415">
        <f t="shared" ca="1" si="20"/>
        <v>0</v>
      </c>
      <c r="W70" s="415">
        <f t="shared" ca="1" si="20"/>
        <v>0</v>
      </c>
      <c r="X70" s="415">
        <f t="shared" ca="1" si="20"/>
        <v>0</v>
      </c>
      <c r="Y70" s="415">
        <f t="shared" ca="1" si="20"/>
        <v>0</v>
      </c>
      <c r="Z70" s="415">
        <f t="shared" ca="1" si="20"/>
        <v>0</v>
      </c>
      <c r="AA70" s="415">
        <f t="shared" ca="1" si="20"/>
        <v>0</v>
      </c>
      <c r="AB70" s="415">
        <f t="shared" ca="1" si="20"/>
        <v>0</v>
      </c>
      <c r="AC70" s="415">
        <f t="shared" ca="1" si="20"/>
        <v>0</v>
      </c>
      <c r="AD70" s="415">
        <f t="shared" ca="1" si="20"/>
        <v>0</v>
      </c>
      <c r="AE70" s="415">
        <f t="shared" ca="1" si="20"/>
        <v>0</v>
      </c>
      <c r="AF70" s="415">
        <f t="shared" ca="1" si="20"/>
        <v>0</v>
      </c>
    </row>
    <row r="71" spans="1:32">
      <c r="A71" t="s">
        <v>68</v>
      </c>
      <c r="B71" t="str">
        <f t="shared" si="22"/>
        <v>HU P&amp;L</v>
      </c>
      <c r="C71" t="s">
        <v>127</v>
      </c>
      <c r="D71" t="s">
        <v>395</v>
      </c>
      <c r="E71" t="s">
        <v>121</v>
      </c>
      <c r="F71" s="415">
        <f t="shared" ca="1" si="21"/>
        <v>0</v>
      </c>
      <c r="G71" s="415">
        <f t="shared" ca="1" si="21"/>
        <v>0</v>
      </c>
      <c r="H71" s="415">
        <f t="shared" ca="1" si="21"/>
        <v>0</v>
      </c>
      <c r="I71" s="415">
        <f t="shared" ca="1" si="21"/>
        <v>0</v>
      </c>
      <c r="J71" s="415">
        <f t="shared" ca="1" si="21"/>
        <v>0</v>
      </c>
      <c r="K71" s="415">
        <f t="shared" ca="1" si="21"/>
        <v>0</v>
      </c>
      <c r="L71" s="415">
        <f t="shared" ca="1" si="21"/>
        <v>0</v>
      </c>
      <c r="M71" s="415">
        <f t="shared" ca="1" si="21"/>
        <v>0</v>
      </c>
      <c r="N71" s="415">
        <f t="shared" ca="1" si="21"/>
        <v>0</v>
      </c>
      <c r="O71" s="415">
        <f t="shared" ca="1" si="21"/>
        <v>0</v>
      </c>
      <c r="P71" s="415">
        <f t="shared" ca="1" si="21"/>
        <v>0</v>
      </c>
      <c r="Q71" s="415">
        <f t="shared" ca="1" si="21"/>
        <v>0</v>
      </c>
      <c r="R71" s="415">
        <f t="shared" ca="1" si="21"/>
        <v>0</v>
      </c>
      <c r="S71" s="415">
        <f t="shared" ca="1" si="21"/>
        <v>0</v>
      </c>
      <c r="T71" s="415">
        <f t="shared" ca="1" si="21"/>
        <v>0</v>
      </c>
      <c r="U71" s="415">
        <f t="shared" ca="1" si="21"/>
        <v>0</v>
      </c>
      <c r="V71" s="415">
        <f t="shared" ref="T71:AF86" ca="1" si="23">IFERROR(SUMIFS(INDEX(INDIRECT("'"&amp;$B71&amp;"'!$B:$AU"),,MATCH(V$1,INDIRECT("'"&amp;$B71&amp;"'!$B$3:$AU$3"),0)),INDIRECT("'"&amp;$B71&amp;"'!$B:$B"),$C71),0)</f>
        <v>0</v>
      </c>
      <c r="W71" s="415">
        <f t="shared" ca="1" si="23"/>
        <v>0</v>
      </c>
      <c r="X71" s="415">
        <f t="shared" ca="1" si="23"/>
        <v>0</v>
      </c>
      <c r="Y71" s="415">
        <f t="shared" ca="1" si="23"/>
        <v>0</v>
      </c>
      <c r="Z71" s="415">
        <f t="shared" ca="1" si="23"/>
        <v>0</v>
      </c>
      <c r="AA71" s="415">
        <f t="shared" ca="1" si="23"/>
        <v>0</v>
      </c>
      <c r="AB71" s="415">
        <f t="shared" ca="1" si="23"/>
        <v>0</v>
      </c>
      <c r="AC71" s="415">
        <f t="shared" ca="1" si="23"/>
        <v>0</v>
      </c>
      <c r="AD71" s="415">
        <f t="shared" ca="1" si="23"/>
        <v>0</v>
      </c>
      <c r="AE71" s="415">
        <f t="shared" ca="1" si="23"/>
        <v>0</v>
      </c>
      <c r="AF71" s="415">
        <f t="shared" ca="1" si="23"/>
        <v>0</v>
      </c>
    </row>
    <row r="72" spans="1:32">
      <c r="A72" t="s">
        <v>68</v>
      </c>
      <c r="B72" t="str">
        <f t="shared" si="22"/>
        <v>HU P&amp;L</v>
      </c>
      <c r="C72" t="s">
        <v>130</v>
      </c>
      <c r="D72" t="s">
        <v>396</v>
      </c>
      <c r="E72" t="s">
        <v>121</v>
      </c>
      <c r="F72" s="415">
        <f t="shared" ca="1" si="21"/>
        <v>0</v>
      </c>
      <c r="G72" s="415">
        <f t="shared" ca="1" si="21"/>
        <v>0</v>
      </c>
      <c r="H72" s="415">
        <f t="shared" ca="1" si="21"/>
        <v>0</v>
      </c>
      <c r="I72" s="415">
        <f t="shared" ca="1" si="21"/>
        <v>0</v>
      </c>
      <c r="J72" s="415">
        <f t="shared" ca="1" si="21"/>
        <v>0</v>
      </c>
      <c r="K72" s="415">
        <f t="shared" ca="1" si="21"/>
        <v>0</v>
      </c>
      <c r="L72" s="415">
        <f t="shared" ca="1" si="21"/>
        <v>0</v>
      </c>
      <c r="M72" s="415">
        <f t="shared" ca="1" si="21"/>
        <v>0</v>
      </c>
      <c r="N72" s="415">
        <f t="shared" ca="1" si="21"/>
        <v>0</v>
      </c>
      <c r="O72" s="415">
        <f t="shared" ca="1" si="21"/>
        <v>0</v>
      </c>
      <c r="P72" s="415">
        <f t="shared" ca="1" si="21"/>
        <v>0</v>
      </c>
      <c r="Q72" s="415">
        <f t="shared" ca="1" si="21"/>
        <v>0</v>
      </c>
      <c r="R72" s="415">
        <f t="shared" ca="1" si="21"/>
        <v>0</v>
      </c>
      <c r="S72" s="415">
        <f t="shared" ca="1" si="21"/>
        <v>0</v>
      </c>
      <c r="T72" s="415">
        <f t="shared" ca="1" si="23"/>
        <v>0</v>
      </c>
      <c r="U72" s="415">
        <f t="shared" ca="1" si="23"/>
        <v>0</v>
      </c>
      <c r="V72" s="415">
        <f t="shared" ca="1" si="23"/>
        <v>0</v>
      </c>
      <c r="W72" s="415">
        <f t="shared" ca="1" si="23"/>
        <v>0</v>
      </c>
      <c r="X72" s="415">
        <f t="shared" ca="1" si="23"/>
        <v>0</v>
      </c>
      <c r="Y72" s="415">
        <f t="shared" ca="1" si="23"/>
        <v>0</v>
      </c>
      <c r="Z72" s="415">
        <f t="shared" ca="1" si="23"/>
        <v>0</v>
      </c>
      <c r="AA72" s="415">
        <f t="shared" ca="1" si="23"/>
        <v>0</v>
      </c>
      <c r="AB72" s="415">
        <f t="shared" ca="1" si="23"/>
        <v>0</v>
      </c>
      <c r="AC72" s="415">
        <f t="shared" ca="1" si="23"/>
        <v>0</v>
      </c>
      <c r="AD72" s="415">
        <f t="shared" ca="1" si="23"/>
        <v>0</v>
      </c>
      <c r="AE72" s="415">
        <f t="shared" ca="1" si="23"/>
        <v>0</v>
      </c>
      <c r="AF72" s="415">
        <f t="shared" ca="1" si="23"/>
        <v>0</v>
      </c>
    </row>
    <row r="73" spans="1:32">
      <c r="A73" t="s">
        <v>68</v>
      </c>
      <c r="B73" t="str">
        <f t="shared" si="22"/>
        <v>HU P&amp;L</v>
      </c>
      <c r="C73" t="s">
        <v>131</v>
      </c>
      <c r="D73" t="s">
        <v>396</v>
      </c>
      <c r="E73" t="s">
        <v>121</v>
      </c>
      <c r="F73" s="415">
        <f t="shared" ca="1" si="21"/>
        <v>0</v>
      </c>
      <c r="G73" s="415">
        <f t="shared" ca="1" si="21"/>
        <v>0</v>
      </c>
      <c r="H73" s="415">
        <f t="shared" ca="1" si="21"/>
        <v>0</v>
      </c>
      <c r="I73" s="415">
        <f t="shared" ca="1" si="21"/>
        <v>0</v>
      </c>
      <c r="J73" s="415">
        <f t="shared" ca="1" si="21"/>
        <v>0</v>
      </c>
      <c r="K73" s="415">
        <f t="shared" ca="1" si="21"/>
        <v>0</v>
      </c>
      <c r="L73" s="415">
        <f t="shared" ca="1" si="21"/>
        <v>0</v>
      </c>
      <c r="M73" s="415">
        <f t="shared" ca="1" si="21"/>
        <v>0</v>
      </c>
      <c r="N73" s="415">
        <f t="shared" ca="1" si="21"/>
        <v>0</v>
      </c>
      <c r="O73" s="415">
        <f t="shared" ca="1" si="21"/>
        <v>0</v>
      </c>
      <c r="P73" s="415">
        <f t="shared" ca="1" si="21"/>
        <v>0</v>
      </c>
      <c r="Q73" s="415">
        <f t="shared" ca="1" si="21"/>
        <v>0</v>
      </c>
      <c r="R73" s="415">
        <f t="shared" ca="1" si="21"/>
        <v>0</v>
      </c>
      <c r="S73" s="415">
        <f t="shared" ca="1" si="21"/>
        <v>0</v>
      </c>
      <c r="T73" s="415">
        <f t="shared" ca="1" si="23"/>
        <v>0</v>
      </c>
      <c r="U73" s="415">
        <f t="shared" ca="1" si="23"/>
        <v>0</v>
      </c>
      <c r="V73" s="415">
        <f t="shared" ca="1" si="23"/>
        <v>0</v>
      </c>
      <c r="W73" s="415">
        <f t="shared" ca="1" si="23"/>
        <v>0</v>
      </c>
      <c r="X73" s="415">
        <f t="shared" ca="1" si="23"/>
        <v>0</v>
      </c>
      <c r="Y73" s="415">
        <f t="shared" ca="1" si="23"/>
        <v>0</v>
      </c>
      <c r="Z73" s="415">
        <f t="shared" ca="1" si="23"/>
        <v>0</v>
      </c>
      <c r="AA73" s="415">
        <f t="shared" ca="1" si="23"/>
        <v>0</v>
      </c>
      <c r="AB73" s="415">
        <f t="shared" ca="1" si="23"/>
        <v>0</v>
      </c>
      <c r="AC73" s="415">
        <f t="shared" ca="1" si="23"/>
        <v>0</v>
      </c>
      <c r="AD73" s="415">
        <f t="shared" ca="1" si="23"/>
        <v>0</v>
      </c>
      <c r="AE73" s="415">
        <f t="shared" ca="1" si="23"/>
        <v>0</v>
      </c>
      <c r="AF73" s="415">
        <f t="shared" ca="1" si="23"/>
        <v>0</v>
      </c>
    </row>
    <row r="74" spans="1:32">
      <c r="A74" t="s">
        <v>64</v>
      </c>
      <c r="B74" t="str">
        <f t="shared" si="22"/>
        <v>UK P&amp;L</v>
      </c>
      <c r="C74" t="s">
        <v>122</v>
      </c>
      <c r="D74" t="s">
        <v>394</v>
      </c>
      <c r="E74" t="s">
        <v>121</v>
      </c>
      <c r="F74" s="415">
        <f t="shared" ca="1" si="21"/>
        <v>0</v>
      </c>
      <c r="G74" s="415">
        <f t="shared" ca="1" si="21"/>
        <v>0</v>
      </c>
      <c r="H74" s="415">
        <f t="shared" ca="1" si="21"/>
        <v>0</v>
      </c>
      <c r="I74" s="415">
        <f t="shared" ca="1" si="21"/>
        <v>0</v>
      </c>
      <c r="J74" s="415">
        <f t="shared" ca="1" si="21"/>
        <v>0</v>
      </c>
      <c r="K74" s="415">
        <f t="shared" ca="1" si="21"/>
        <v>0</v>
      </c>
      <c r="L74" s="415">
        <f t="shared" ca="1" si="21"/>
        <v>0</v>
      </c>
      <c r="M74" s="415">
        <f t="shared" ca="1" si="21"/>
        <v>0</v>
      </c>
      <c r="N74" s="415">
        <f t="shared" ca="1" si="21"/>
        <v>0</v>
      </c>
      <c r="O74" s="415">
        <f t="shared" ca="1" si="21"/>
        <v>0</v>
      </c>
      <c r="P74" s="415">
        <f t="shared" ca="1" si="21"/>
        <v>0</v>
      </c>
      <c r="Q74" s="415">
        <f t="shared" ca="1" si="21"/>
        <v>0</v>
      </c>
      <c r="R74" s="415">
        <f t="shared" ca="1" si="21"/>
        <v>0</v>
      </c>
      <c r="S74" s="415">
        <f t="shared" ca="1" si="21"/>
        <v>0</v>
      </c>
      <c r="T74" s="415">
        <f t="shared" ca="1" si="23"/>
        <v>0</v>
      </c>
      <c r="U74" s="415">
        <f t="shared" ca="1" si="23"/>
        <v>0</v>
      </c>
      <c r="V74" s="415">
        <f t="shared" ca="1" si="23"/>
        <v>0</v>
      </c>
      <c r="W74" s="415">
        <f t="shared" ca="1" si="23"/>
        <v>0</v>
      </c>
      <c r="X74" s="415">
        <f t="shared" ca="1" si="23"/>
        <v>0</v>
      </c>
      <c r="Y74" s="415">
        <f t="shared" ca="1" si="23"/>
        <v>0</v>
      </c>
      <c r="Z74" s="415">
        <f t="shared" ca="1" si="23"/>
        <v>0</v>
      </c>
      <c r="AA74" s="415">
        <f t="shared" ca="1" si="23"/>
        <v>0</v>
      </c>
      <c r="AB74" s="415">
        <f t="shared" ca="1" si="23"/>
        <v>0</v>
      </c>
      <c r="AC74" s="415">
        <f t="shared" ca="1" si="23"/>
        <v>0</v>
      </c>
      <c r="AD74" s="415">
        <f t="shared" ca="1" si="23"/>
        <v>0</v>
      </c>
      <c r="AE74" s="415">
        <f t="shared" ca="1" si="23"/>
        <v>0</v>
      </c>
      <c r="AF74" s="415">
        <f t="shared" ca="1" si="23"/>
        <v>0</v>
      </c>
    </row>
    <row r="75" spans="1:32">
      <c r="A75" t="s">
        <v>64</v>
      </c>
      <c r="B75" t="str">
        <f t="shared" si="22"/>
        <v>UK P&amp;L</v>
      </c>
      <c r="C75" t="s">
        <v>123</v>
      </c>
      <c r="D75" t="s">
        <v>394</v>
      </c>
      <c r="E75" t="s">
        <v>121</v>
      </c>
      <c r="F75" s="415">
        <f t="shared" ca="1" si="21"/>
        <v>0</v>
      </c>
      <c r="G75" s="415">
        <f t="shared" ca="1" si="21"/>
        <v>0</v>
      </c>
      <c r="H75" s="415">
        <f t="shared" ca="1" si="21"/>
        <v>0</v>
      </c>
      <c r="I75" s="415">
        <f t="shared" ca="1" si="21"/>
        <v>0</v>
      </c>
      <c r="J75" s="415">
        <f t="shared" ca="1" si="21"/>
        <v>0</v>
      </c>
      <c r="K75" s="415">
        <f t="shared" ca="1" si="21"/>
        <v>0</v>
      </c>
      <c r="L75" s="415">
        <f t="shared" ca="1" si="21"/>
        <v>0</v>
      </c>
      <c r="M75" s="415">
        <f t="shared" ca="1" si="21"/>
        <v>0</v>
      </c>
      <c r="N75" s="415">
        <f t="shared" ca="1" si="21"/>
        <v>0</v>
      </c>
      <c r="O75" s="415">
        <f t="shared" ca="1" si="21"/>
        <v>0</v>
      </c>
      <c r="P75" s="415">
        <f t="shared" ca="1" si="21"/>
        <v>0</v>
      </c>
      <c r="Q75" s="415">
        <f t="shared" ca="1" si="21"/>
        <v>0</v>
      </c>
      <c r="R75" s="415">
        <f t="shared" ca="1" si="21"/>
        <v>0</v>
      </c>
      <c r="S75" s="415">
        <f t="shared" ca="1" si="21"/>
        <v>0</v>
      </c>
      <c r="T75" s="415">
        <f t="shared" ca="1" si="23"/>
        <v>0</v>
      </c>
      <c r="U75" s="415">
        <f t="shared" ca="1" si="23"/>
        <v>0</v>
      </c>
      <c r="V75" s="415">
        <f t="shared" ca="1" si="23"/>
        <v>0</v>
      </c>
      <c r="W75" s="415">
        <f t="shared" ca="1" si="23"/>
        <v>0</v>
      </c>
      <c r="X75" s="415">
        <f t="shared" ca="1" si="23"/>
        <v>0</v>
      </c>
      <c r="Y75" s="415">
        <f t="shared" ca="1" si="23"/>
        <v>0</v>
      </c>
      <c r="Z75" s="415">
        <f t="shared" ca="1" si="23"/>
        <v>0</v>
      </c>
      <c r="AA75" s="415">
        <f t="shared" ca="1" si="23"/>
        <v>0</v>
      </c>
      <c r="AB75" s="415">
        <f t="shared" ca="1" si="23"/>
        <v>0</v>
      </c>
      <c r="AC75" s="415">
        <f t="shared" ca="1" si="23"/>
        <v>0</v>
      </c>
      <c r="AD75" s="415">
        <f t="shared" ca="1" si="23"/>
        <v>0</v>
      </c>
      <c r="AE75" s="415">
        <f t="shared" ca="1" si="23"/>
        <v>0</v>
      </c>
      <c r="AF75" s="415">
        <f t="shared" ca="1" si="23"/>
        <v>0</v>
      </c>
    </row>
    <row r="76" spans="1:32">
      <c r="A76" t="s">
        <v>64</v>
      </c>
      <c r="B76" t="str">
        <f t="shared" si="22"/>
        <v>UK P&amp;L</v>
      </c>
      <c r="C76" t="s">
        <v>124</v>
      </c>
      <c r="D76" t="s">
        <v>394</v>
      </c>
      <c r="E76" t="s">
        <v>121</v>
      </c>
      <c r="F76" s="415">
        <f t="shared" ca="1" si="21"/>
        <v>0</v>
      </c>
      <c r="G76" s="415">
        <f t="shared" ca="1" si="21"/>
        <v>0</v>
      </c>
      <c r="H76" s="415">
        <f t="shared" ca="1" si="21"/>
        <v>0</v>
      </c>
      <c r="I76" s="415">
        <f t="shared" ca="1" si="21"/>
        <v>0</v>
      </c>
      <c r="J76" s="415">
        <f t="shared" ca="1" si="21"/>
        <v>0</v>
      </c>
      <c r="K76" s="415">
        <f t="shared" ca="1" si="21"/>
        <v>0</v>
      </c>
      <c r="L76" s="415">
        <f t="shared" ca="1" si="21"/>
        <v>0</v>
      </c>
      <c r="M76" s="415">
        <f t="shared" ca="1" si="21"/>
        <v>0</v>
      </c>
      <c r="N76" s="415">
        <f t="shared" ca="1" si="21"/>
        <v>0</v>
      </c>
      <c r="O76" s="415">
        <f t="shared" ca="1" si="21"/>
        <v>0</v>
      </c>
      <c r="P76" s="415">
        <f t="shared" ca="1" si="21"/>
        <v>0</v>
      </c>
      <c r="Q76" s="415">
        <f t="shared" ca="1" si="21"/>
        <v>0</v>
      </c>
      <c r="R76" s="415">
        <f t="shared" ca="1" si="21"/>
        <v>0</v>
      </c>
      <c r="S76" s="415">
        <f t="shared" ca="1" si="21"/>
        <v>0</v>
      </c>
      <c r="T76" s="415">
        <f t="shared" ca="1" si="23"/>
        <v>0</v>
      </c>
      <c r="U76" s="415">
        <f t="shared" ca="1" si="23"/>
        <v>0</v>
      </c>
      <c r="V76" s="415">
        <f t="shared" ca="1" si="23"/>
        <v>0</v>
      </c>
      <c r="W76" s="415">
        <f t="shared" ca="1" si="23"/>
        <v>0</v>
      </c>
      <c r="X76" s="415">
        <f t="shared" ca="1" si="23"/>
        <v>0</v>
      </c>
      <c r="Y76" s="415">
        <f t="shared" ca="1" si="23"/>
        <v>0</v>
      </c>
      <c r="Z76" s="415">
        <f t="shared" ca="1" si="23"/>
        <v>0</v>
      </c>
      <c r="AA76" s="415">
        <f t="shared" ca="1" si="23"/>
        <v>0</v>
      </c>
      <c r="AB76" s="415">
        <f t="shared" ca="1" si="23"/>
        <v>0</v>
      </c>
      <c r="AC76" s="415">
        <f t="shared" ca="1" si="23"/>
        <v>0</v>
      </c>
      <c r="AD76" s="415">
        <f t="shared" ca="1" si="23"/>
        <v>0</v>
      </c>
      <c r="AE76" s="415">
        <f t="shared" ca="1" si="23"/>
        <v>0</v>
      </c>
      <c r="AF76" s="415">
        <f t="shared" ca="1" si="23"/>
        <v>0</v>
      </c>
    </row>
    <row r="77" spans="1:32">
      <c r="A77" t="s">
        <v>64</v>
      </c>
      <c r="B77" t="str">
        <f t="shared" si="22"/>
        <v>UK P&amp;L</v>
      </c>
      <c r="C77" t="s">
        <v>125</v>
      </c>
      <c r="D77" t="s">
        <v>394</v>
      </c>
      <c r="E77" t="s">
        <v>121</v>
      </c>
      <c r="F77" s="415">
        <f t="shared" ca="1" si="21"/>
        <v>0</v>
      </c>
      <c r="G77" s="415">
        <f t="shared" ca="1" si="21"/>
        <v>0</v>
      </c>
      <c r="H77" s="415">
        <f t="shared" ca="1" si="21"/>
        <v>0</v>
      </c>
      <c r="I77" s="415">
        <f t="shared" ca="1" si="21"/>
        <v>0</v>
      </c>
      <c r="J77" s="415">
        <f t="shared" ca="1" si="21"/>
        <v>0</v>
      </c>
      <c r="K77" s="415">
        <f t="shared" ca="1" si="21"/>
        <v>0</v>
      </c>
      <c r="L77" s="415">
        <f t="shared" ca="1" si="21"/>
        <v>0</v>
      </c>
      <c r="M77" s="415">
        <f t="shared" ca="1" si="21"/>
        <v>0</v>
      </c>
      <c r="N77" s="415">
        <f t="shared" ca="1" si="21"/>
        <v>0</v>
      </c>
      <c r="O77" s="415">
        <f t="shared" ca="1" si="21"/>
        <v>0</v>
      </c>
      <c r="P77" s="415">
        <f t="shared" ca="1" si="21"/>
        <v>0</v>
      </c>
      <c r="Q77" s="415">
        <f t="shared" ca="1" si="21"/>
        <v>0</v>
      </c>
      <c r="R77" s="415">
        <f t="shared" ca="1" si="21"/>
        <v>0</v>
      </c>
      <c r="S77" s="415">
        <f t="shared" ca="1" si="21"/>
        <v>0</v>
      </c>
      <c r="T77" s="415">
        <f t="shared" ca="1" si="23"/>
        <v>0</v>
      </c>
      <c r="U77" s="415">
        <f t="shared" ca="1" si="23"/>
        <v>0</v>
      </c>
      <c r="V77" s="415">
        <f t="shared" ca="1" si="23"/>
        <v>0</v>
      </c>
      <c r="W77" s="415">
        <f t="shared" ca="1" si="23"/>
        <v>0</v>
      </c>
      <c r="X77" s="415">
        <f t="shared" ca="1" si="23"/>
        <v>0</v>
      </c>
      <c r="Y77" s="415">
        <f t="shared" ca="1" si="23"/>
        <v>0</v>
      </c>
      <c r="Z77" s="415">
        <f t="shared" ca="1" si="23"/>
        <v>0</v>
      </c>
      <c r="AA77" s="415">
        <f t="shared" ca="1" si="23"/>
        <v>0</v>
      </c>
      <c r="AB77" s="415">
        <f t="shared" ca="1" si="23"/>
        <v>0</v>
      </c>
      <c r="AC77" s="415">
        <f t="shared" ca="1" si="23"/>
        <v>0</v>
      </c>
      <c r="AD77" s="415">
        <f t="shared" ca="1" si="23"/>
        <v>0</v>
      </c>
      <c r="AE77" s="415">
        <f t="shared" ca="1" si="23"/>
        <v>0</v>
      </c>
      <c r="AF77" s="415">
        <f t="shared" ca="1" si="23"/>
        <v>0</v>
      </c>
    </row>
    <row r="78" spans="1:32">
      <c r="A78" t="s">
        <v>64</v>
      </c>
      <c r="B78" t="str">
        <f t="shared" si="22"/>
        <v>UK P&amp;L</v>
      </c>
      <c r="C78" t="s">
        <v>126</v>
      </c>
      <c r="D78" t="s">
        <v>394</v>
      </c>
      <c r="E78" t="s">
        <v>121</v>
      </c>
      <c r="F78" s="415">
        <f t="shared" ca="1" si="21"/>
        <v>0</v>
      </c>
      <c r="G78" s="415">
        <f t="shared" ca="1" si="21"/>
        <v>0</v>
      </c>
      <c r="H78" s="415">
        <f t="shared" ca="1" si="21"/>
        <v>0</v>
      </c>
      <c r="I78" s="415">
        <f t="shared" ca="1" si="21"/>
        <v>0</v>
      </c>
      <c r="J78" s="415">
        <f t="shared" ca="1" si="21"/>
        <v>0</v>
      </c>
      <c r="K78" s="415">
        <f t="shared" ca="1" si="21"/>
        <v>0</v>
      </c>
      <c r="L78" s="415">
        <f t="shared" ca="1" si="21"/>
        <v>0</v>
      </c>
      <c r="M78" s="415">
        <f t="shared" ca="1" si="21"/>
        <v>0</v>
      </c>
      <c r="N78" s="415">
        <f t="shared" ca="1" si="21"/>
        <v>0</v>
      </c>
      <c r="O78" s="415">
        <f t="shared" ca="1" si="21"/>
        <v>0</v>
      </c>
      <c r="P78" s="415">
        <f t="shared" ca="1" si="21"/>
        <v>0</v>
      </c>
      <c r="Q78" s="415">
        <f t="shared" ca="1" si="21"/>
        <v>0</v>
      </c>
      <c r="R78" s="415">
        <f t="shared" ca="1" si="21"/>
        <v>0</v>
      </c>
      <c r="S78" s="415">
        <f t="shared" ca="1" si="21"/>
        <v>0</v>
      </c>
      <c r="T78" s="415">
        <f t="shared" ca="1" si="23"/>
        <v>0</v>
      </c>
      <c r="U78" s="415">
        <f t="shared" ca="1" si="23"/>
        <v>0</v>
      </c>
      <c r="V78" s="415">
        <f t="shared" ca="1" si="23"/>
        <v>0</v>
      </c>
      <c r="W78" s="415">
        <f t="shared" ca="1" si="23"/>
        <v>0</v>
      </c>
      <c r="X78" s="415">
        <f t="shared" ca="1" si="23"/>
        <v>0</v>
      </c>
      <c r="Y78" s="415">
        <f t="shared" ca="1" si="23"/>
        <v>0</v>
      </c>
      <c r="Z78" s="415">
        <f t="shared" ca="1" si="23"/>
        <v>0</v>
      </c>
      <c r="AA78" s="415">
        <f t="shared" ca="1" si="23"/>
        <v>0</v>
      </c>
      <c r="AB78" s="415">
        <f t="shared" ca="1" si="23"/>
        <v>0</v>
      </c>
      <c r="AC78" s="415">
        <f t="shared" ca="1" si="23"/>
        <v>0</v>
      </c>
      <c r="AD78" s="415">
        <f t="shared" ca="1" si="23"/>
        <v>0</v>
      </c>
      <c r="AE78" s="415">
        <f t="shared" ca="1" si="23"/>
        <v>0</v>
      </c>
      <c r="AF78" s="415">
        <f t="shared" ca="1" si="23"/>
        <v>0</v>
      </c>
    </row>
    <row r="79" spans="1:32">
      <c r="A79" t="s">
        <v>64</v>
      </c>
      <c r="B79" t="str">
        <f t="shared" si="22"/>
        <v>UK P&amp;L</v>
      </c>
      <c r="C79" t="s">
        <v>127</v>
      </c>
      <c r="D79" t="s">
        <v>395</v>
      </c>
      <c r="E79" t="s">
        <v>121</v>
      </c>
      <c r="F79" s="415">
        <f t="shared" ca="1" si="21"/>
        <v>0</v>
      </c>
      <c r="G79" s="415">
        <f t="shared" ca="1" si="21"/>
        <v>0</v>
      </c>
      <c r="H79" s="415">
        <f t="shared" ca="1" si="21"/>
        <v>0</v>
      </c>
      <c r="I79" s="415">
        <f t="shared" ca="1" si="21"/>
        <v>0</v>
      </c>
      <c r="J79" s="415">
        <f t="shared" ca="1" si="21"/>
        <v>0</v>
      </c>
      <c r="K79" s="415">
        <f t="shared" ca="1" si="21"/>
        <v>0</v>
      </c>
      <c r="L79" s="415">
        <f t="shared" ca="1" si="21"/>
        <v>0</v>
      </c>
      <c r="M79" s="415">
        <f t="shared" ca="1" si="21"/>
        <v>0</v>
      </c>
      <c r="N79" s="415">
        <f t="shared" ca="1" si="21"/>
        <v>0</v>
      </c>
      <c r="O79" s="415">
        <f t="shared" ca="1" si="21"/>
        <v>0</v>
      </c>
      <c r="P79" s="415">
        <f t="shared" ca="1" si="21"/>
        <v>0</v>
      </c>
      <c r="Q79" s="415">
        <f t="shared" ca="1" si="21"/>
        <v>0</v>
      </c>
      <c r="R79" s="415">
        <f t="shared" ca="1" si="21"/>
        <v>0</v>
      </c>
      <c r="S79" s="415">
        <f t="shared" ca="1" si="21"/>
        <v>0</v>
      </c>
      <c r="T79" s="415">
        <f t="shared" ca="1" si="23"/>
        <v>0</v>
      </c>
      <c r="U79" s="415">
        <f t="shared" ca="1" si="23"/>
        <v>0</v>
      </c>
      <c r="V79" s="415">
        <f t="shared" ca="1" si="23"/>
        <v>0</v>
      </c>
      <c r="W79" s="415">
        <f t="shared" ca="1" si="23"/>
        <v>0</v>
      </c>
      <c r="X79" s="415">
        <f t="shared" ca="1" si="23"/>
        <v>0</v>
      </c>
      <c r="Y79" s="415">
        <f t="shared" ca="1" si="23"/>
        <v>0</v>
      </c>
      <c r="Z79" s="415">
        <f t="shared" ca="1" si="23"/>
        <v>0</v>
      </c>
      <c r="AA79" s="415">
        <f t="shared" ca="1" si="23"/>
        <v>0</v>
      </c>
      <c r="AB79" s="415">
        <f t="shared" ca="1" si="23"/>
        <v>0</v>
      </c>
      <c r="AC79" s="415">
        <f t="shared" ca="1" si="23"/>
        <v>0</v>
      </c>
      <c r="AD79" s="415">
        <f t="shared" ca="1" si="23"/>
        <v>0</v>
      </c>
      <c r="AE79" s="415">
        <f t="shared" ca="1" si="23"/>
        <v>0</v>
      </c>
      <c r="AF79" s="415">
        <f t="shared" ca="1" si="23"/>
        <v>0</v>
      </c>
    </row>
    <row r="80" spans="1:32">
      <c r="A80" t="s">
        <v>64</v>
      </c>
      <c r="B80" t="str">
        <f t="shared" si="22"/>
        <v>UK P&amp;L</v>
      </c>
      <c r="C80" t="s">
        <v>130</v>
      </c>
      <c r="D80" t="s">
        <v>396</v>
      </c>
      <c r="E80" t="s">
        <v>121</v>
      </c>
      <c r="F80" s="415">
        <f t="shared" ref="F80:U95" ca="1" si="24">IFERROR(SUMIFS(INDEX(INDIRECT("'"&amp;$B80&amp;"'!$B:$AU"),,MATCH(F$1,INDIRECT("'"&amp;$B80&amp;"'!$B$3:$AU$3"),0)),INDIRECT("'"&amp;$B80&amp;"'!$B:$B"),$C80),0)</f>
        <v>0</v>
      </c>
      <c r="G80" s="415">
        <f t="shared" ca="1" si="24"/>
        <v>0</v>
      </c>
      <c r="H80" s="415">
        <f t="shared" ca="1" si="24"/>
        <v>0</v>
      </c>
      <c r="I80" s="415">
        <f t="shared" ca="1" si="24"/>
        <v>0</v>
      </c>
      <c r="J80" s="415">
        <f t="shared" ca="1" si="24"/>
        <v>0</v>
      </c>
      <c r="K80" s="415">
        <f t="shared" ca="1" si="24"/>
        <v>0</v>
      </c>
      <c r="L80" s="415">
        <f t="shared" ca="1" si="24"/>
        <v>0</v>
      </c>
      <c r="M80" s="415">
        <f t="shared" ca="1" si="24"/>
        <v>0</v>
      </c>
      <c r="N80" s="415">
        <f t="shared" ca="1" si="24"/>
        <v>0</v>
      </c>
      <c r="O80" s="415">
        <f t="shared" ca="1" si="24"/>
        <v>0</v>
      </c>
      <c r="P80" s="415">
        <f t="shared" ca="1" si="24"/>
        <v>0</v>
      </c>
      <c r="Q80" s="415">
        <f t="shared" ca="1" si="24"/>
        <v>0</v>
      </c>
      <c r="R80" s="415">
        <f t="shared" ca="1" si="24"/>
        <v>0</v>
      </c>
      <c r="S80" s="415">
        <f t="shared" ca="1" si="24"/>
        <v>0</v>
      </c>
      <c r="T80" s="415">
        <f t="shared" ca="1" si="23"/>
        <v>0</v>
      </c>
      <c r="U80" s="415">
        <f t="shared" ca="1" si="23"/>
        <v>0</v>
      </c>
      <c r="V80" s="415">
        <f t="shared" ca="1" si="23"/>
        <v>0</v>
      </c>
      <c r="W80" s="415">
        <f t="shared" ca="1" si="23"/>
        <v>0</v>
      </c>
      <c r="X80" s="415">
        <f t="shared" ca="1" si="23"/>
        <v>0</v>
      </c>
      <c r="Y80" s="415">
        <f t="shared" ca="1" si="23"/>
        <v>0</v>
      </c>
      <c r="Z80" s="415">
        <f t="shared" ca="1" si="23"/>
        <v>0</v>
      </c>
      <c r="AA80" s="415">
        <f t="shared" ca="1" si="23"/>
        <v>0</v>
      </c>
      <c r="AB80" s="415">
        <f t="shared" ca="1" si="23"/>
        <v>0</v>
      </c>
      <c r="AC80" s="415">
        <f t="shared" ca="1" si="23"/>
        <v>0</v>
      </c>
      <c r="AD80" s="415">
        <f t="shared" ca="1" si="23"/>
        <v>0</v>
      </c>
      <c r="AE80" s="415">
        <f t="shared" ca="1" si="23"/>
        <v>0</v>
      </c>
      <c r="AF80" s="415">
        <f t="shared" ca="1" si="23"/>
        <v>0</v>
      </c>
    </row>
    <row r="81" spans="1:32">
      <c r="A81" t="s">
        <v>64</v>
      </c>
      <c r="B81" t="str">
        <f t="shared" si="22"/>
        <v>UK P&amp;L</v>
      </c>
      <c r="C81" t="s">
        <v>131</v>
      </c>
      <c r="D81" t="s">
        <v>396</v>
      </c>
      <c r="E81" t="s">
        <v>121</v>
      </c>
      <c r="F81" s="415">
        <f t="shared" ca="1" si="24"/>
        <v>0</v>
      </c>
      <c r="G81" s="415">
        <f t="shared" ca="1" si="24"/>
        <v>0</v>
      </c>
      <c r="H81" s="415">
        <f t="shared" ca="1" si="24"/>
        <v>0</v>
      </c>
      <c r="I81" s="415">
        <f t="shared" ca="1" si="24"/>
        <v>0</v>
      </c>
      <c r="J81" s="415">
        <f t="shared" ca="1" si="24"/>
        <v>0</v>
      </c>
      <c r="K81" s="415">
        <f t="shared" ca="1" si="24"/>
        <v>0</v>
      </c>
      <c r="L81" s="415">
        <f t="shared" ca="1" si="24"/>
        <v>0</v>
      </c>
      <c r="M81" s="415">
        <f t="shared" ca="1" si="24"/>
        <v>0</v>
      </c>
      <c r="N81" s="415">
        <f t="shared" ca="1" si="24"/>
        <v>0</v>
      </c>
      <c r="O81" s="415">
        <f t="shared" ca="1" si="24"/>
        <v>0</v>
      </c>
      <c r="P81" s="415">
        <f t="shared" ca="1" si="24"/>
        <v>0</v>
      </c>
      <c r="Q81" s="415">
        <f t="shared" ca="1" si="24"/>
        <v>0</v>
      </c>
      <c r="R81" s="415">
        <f t="shared" ca="1" si="24"/>
        <v>0</v>
      </c>
      <c r="S81" s="415">
        <f t="shared" ca="1" si="24"/>
        <v>0</v>
      </c>
      <c r="T81" s="415">
        <f t="shared" ca="1" si="23"/>
        <v>0</v>
      </c>
      <c r="U81" s="415">
        <f t="shared" ca="1" si="23"/>
        <v>0</v>
      </c>
      <c r="V81" s="415">
        <f t="shared" ca="1" si="23"/>
        <v>0</v>
      </c>
      <c r="W81" s="415">
        <f t="shared" ca="1" si="23"/>
        <v>0</v>
      </c>
      <c r="X81" s="415">
        <f t="shared" ca="1" si="23"/>
        <v>0</v>
      </c>
      <c r="Y81" s="415">
        <f t="shared" ca="1" si="23"/>
        <v>0</v>
      </c>
      <c r="Z81" s="415">
        <f t="shared" ca="1" si="23"/>
        <v>0</v>
      </c>
      <c r="AA81" s="415">
        <f t="shared" ca="1" si="23"/>
        <v>0</v>
      </c>
      <c r="AB81" s="415">
        <f t="shared" ca="1" si="23"/>
        <v>0</v>
      </c>
      <c r="AC81" s="415">
        <f t="shared" ca="1" si="23"/>
        <v>0</v>
      </c>
      <c r="AD81" s="415">
        <f t="shared" ca="1" si="23"/>
        <v>0</v>
      </c>
      <c r="AE81" s="415">
        <f t="shared" ca="1" si="23"/>
        <v>0</v>
      </c>
      <c r="AF81" s="415">
        <f t="shared" ca="1" si="23"/>
        <v>0</v>
      </c>
    </row>
    <row r="82" spans="1:32">
      <c r="A82" t="s">
        <v>67</v>
      </c>
      <c r="B82" t="str">
        <f t="shared" si="22"/>
        <v>ROW P&amp;L</v>
      </c>
      <c r="C82" t="s">
        <v>122</v>
      </c>
      <c r="D82" t="s">
        <v>394</v>
      </c>
      <c r="E82" t="s">
        <v>121</v>
      </c>
      <c r="F82" s="415">
        <f t="shared" ca="1" si="24"/>
        <v>0</v>
      </c>
      <c r="G82" s="415">
        <f t="shared" ca="1" si="24"/>
        <v>0</v>
      </c>
      <c r="H82" s="415">
        <f t="shared" ca="1" si="24"/>
        <v>0</v>
      </c>
      <c r="I82" s="415">
        <f t="shared" ca="1" si="24"/>
        <v>0</v>
      </c>
      <c r="J82" s="415">
        <f t="shared" ca="1" si="24"/>
        <v>0</v>
      </c>
      <c r="K82" s="415">
        <f t="shared" ca="1" si="24"/>
        <v>0</v>
      </c>
      <c r="L82" s="415">
        <f t="shared" ca="1" si="24"/>
        <v>0</v>
      </c>
      <c r="M82" s="415">
        <f t="shared" ca="1" si="24"/>
        <v>0</v>
      </c>
      <c r="N82" s="415">
        <f t="shared" ca="1" si="24"/>
        <v>0</v>
      </c>
      <c r="O82" s="415">
        <f t="shared" ca="1" si="24"/>
        <v>0</v>
      </c>
      <c r="P82" s="415">
        <f t="shared" ca="1" si="24"/>
        <v>0</v>
      </c>
      <c r="Q82" s="415">
        <f t="shared" ca="1" si="24"/>
        <v>0</v>
      </c>
      <c r="R82" s="415">
        <f t="shared" ca="1" si="24"/>
        <v>0</v>
      </c>
      <c r="S82" s="415">
        <f t="shared" ca="1" si="24"/>
        <v>0</v>
      </c>
      <c r="T82" s="415">
        <f t="shared" ca="1" si="23"/>
        <v>0</v>
      </c>
      <c r="U82" s="415">
        <f t="shared" ca="1" si="23"/>
        <v>0</v>
      </c>
      <c r="V82" s="415">
        <f t="shared" ca="1" si="23"/>
        <v>0</v>
      </c>
      <c r="W82" s="415">
        <f t="shared" ca="1" si="23"/>
        <v>0</v>
      </c>
      <c r="X82" s="415">
        <f t="shared" ca="1" si="23"/>
        <v>0</v>
      </c>
      <c r="Y82" s="415">
        <f t="shared" ca="1" si="23"/>
        <v>0</v>
      </c>
      <c r="Z82" s="415">
        <f t="shared" ca="1" si="23"/>
        <v>0</v>
      </c>
      <c r="AA82" s="415">
        <f t="shared" ca="1" si="23"/>
        <v>0</v>
      </c>
      <c r="AB82" s="415">
        <f t="shared" ca="1" si="23"/>
        <v>0</v>
      </c>
      <c r="AC82" s="415">
        <f t="shared" ca="1" si="23"/>
        <v>0</v>
      </c>
      <c r="AD82" s="415">
        <f t="shared" ca="1" si="23"/>
        <v>0</v>
      </c>
      <c r="AE82" s="415">
        <f t="shared" ca="1" si="23"/>
        <v>0</v>
      </c>
      <c r="AF82" s="415">
        <f t="shared" ca="1" si="23"/>
        <v>0</v>
      </c>
    </row>
    <row r="83" spans="1:32">
      <c r="A83" t="s">
        <v>67</v>
      </c>
      <c r="B83" t="str">
        <f t="shared" si="22"/>
        <v>ROW P&amp;L</v>
      </c>
      <c r="C83" t="s">
        <v>123</v>
      </c>
      <c r="D83" t="s">
        <v>394</v>
      </c>
      <c r="E83" t="s">
        <v>121</v>
      </c>
      <c r="F83" s="415">
        <f t="shared" ca="1" si="24"/>
        <v>0</v>
      </c>
      <c r="G83" s="415">
        <f t="shared" ca="1" si="24"/>
        <v>0</v>
      </c>
      <c r="H83" s="415">
        <f t="shared" ca="1" si="24"/>
        <v>0</v>
      </c>
      <c r="I83" s="415">
        <f t="shared" ca="1" si="24"/>
        <v>0</v>
      </c>
      <c r="J83" s="415">
        <f t="shared" ca="1" si="24"/>
        <v>0</v>
      </c>
      <c r="K83" s="415">
        <f t="shared" ca="1" si="24"/>
        <v>0</v>
      </c>
      <c r="L83" s="415">
        <f t="shared" ca="1" si="24"/>
        <v>0</v>
      </c>
      <c r="M83" s="415">
        <f t="shared" ca="1" si="24"/>
        <v>0</v>
      </c>
      <c r="N83" s="415">
        <f t="shared" ca="1" si="24"/>
        <v>0</v>
      </c>
      <c r="O83" s="415">
        <f t="shared" ca="1" si="24"/>
        <v>0</v>
      </c>
      <c r="P83" s="415">
        <f t="shared" ca="1" si="24"/>
        <v>0</v>
      </c>
      <c r="Q83" s="415">
        <f t="shared" ca="1" si="24"/>
        <v>0</v>
      </c>
      <c r="R83" s="415">
        <f t="shared" ca="1" si="24"/>
        <v>0</v>
      </c>
      <c r="S83" s="415">
        <f t="shared" ca="1" si="24"/>
        <v>0</v>
      </c>
      <c r="T83" s="415">
        <f t="shared" ca="1" si="23"/>
        <v>0</v>
      </c>
      <c r="U83" s="415">
        <f t="shared" ca="1" si="23"/>
        <v>0</v>
      </c>
      <c r="V83" s="415">
        <f t="shared" ca="1" si="23"/>
        <v>0</v>
      </c>
      <c r="W83" s="415">
        <f t="shared" ca="1" si="23"/>
        <v>0</v>
      </c>
      <c r="X83" s="415">
        <f t="shared" ca="1" si="23"/>
        <v>0</v>
      </c>
      <c r="Y83" s="415">
        <f t="shared" ca="1" si="23"/>
        <v>0</v>
      </c>
      <c r="Z83" s="415">
        <f t="shared" ca="1" si="23"/>
        <v>0</v>
      </c>
      <c r="AA83" s="415">
        <f t="shared" ca="1" si="23"/>
        <v>0</v>
      </c>
      <c r="AB83" s="415">
        <f t="shared" ca="1" si="23"/>
        <v>0</v>
      </c>
      <c r="AC83" s="415">
        <f t="shared" ca="1" si="23"/>
        <v>0</v>
      </c>
      <c r="AD83" s="415">
        <f t="shared" ca="1" si="23"/>
        <v>0</v>
      </c>
      <c r="AE83" s="415">
        <f t="shared" ca="1" si="23"/>
        <v>0</v>
      </c>
      <c r="AF83" s="415">
        <f t="shared" ca="1" si="23"/>
        <v>0</v>
      </c>
    </row>
    <row r="84" spans="1:32">
      <c r="A84" t="s">
        <v>67</v>
      </c>
      <c r="B84" t="str">
        <f t="shared" si="22"/>
        <v>ROW P&amp;L</v>
      </c>
      <c r="C84" t="s">
        <v>124</v>
      </c>
      <c r="D84" t="s">
        <v>394</v>
      </c>
      <c r="E84" t="s">
        <v>121</v>
      </c>
      <c r="F84" s="415">
        <f t="shared" ca="1" si="24"/>
        <v>0</v>
      </c>
      <c r="G84" s="415">
        <f t="shared" ca="1" si="24"/>
        <v>0</v>
      </c>
      <c r="H84" s="415">
        <f t="shared" ca="1" si="24"/>
        <v>0</v>
      </c>
      <c r="I84" s="415">
        <f t="shared" ca="1" si="24"/>
        <v>0</v>
      </c>
      <c r="J84" s="415">
        <f t="shared" ca="1" si="24"/>
        <v>0</v>
      </c>
      <c r="K84" s="415">
        <f t="shared" ca="1" si="24"/>
        <v>0</v>
      </c>
      <c r="L84" s="415">
        <f t="shared" ca="1" si="24"/>
        <v>0</v>
      </c>
      <c r="M84" s="415">
        <f t="shared" ca="1" si="24"/>
        <v>0</v>
      </c>
      <c r="N84" s="415">
        <f t="shared" ca="1" si="24"/>
        <v>0</v>
      </c>
      <c r="O84" s="415">
        <f t="shared" ca="1" si="24"/>
        <v>0</v>
      </c>
      <c r="P84" s="415">
        <f t="shared" ca="1" si="24"/>
        <v>0</v>
      </c>
      <c r="Q84" s="415">
        <f t="shared" ca="1" si="24"/>
        <v>0</v>
      </c>
      <c r="R84" s="415">
        <f t="shared" ca="1" si="24"/>
        <v>0</v>
      </c>
      <c r="S84" s="415">
        <f t="shared" ca="1" si="24"/>
        <v>0</v>
      </c>
      <c r="T84" s="415">
        <f t="shared" ca="1" si="23"/>
        <v>0</v>
      </c>
      <c r="U84" s="415">
        <f t="shared" ca="1" si="23"/>
        <v>0</v>
      </c>
      <c r="V84" s="415">
        <f t="shared" ca="1" si="23"/>
        <v>0</v>
      </c>
      <c r="W84" s="415">
        <f t="shared" ca="1" si="23"/>
        <v>0</v>
      </c>
      <c r="X84" s="415">
        <f t="shared" ca="1" si="23"/>
        <v>0</v>
      </c>
      <c r="Y84" s="415">
        <f t="shared" ca="1" si="23"/>
        <v>0</v>
      </c>
      <c r="Z84" s="415">
        <f t="shared" ca="1" si="23"/>
        <v>0</v>
      </c>
      <c r="AA84" s="415">
        <f t="shared" ca="1" si="23"/>
        <v>0</v>
      </c>
      <c r="AB84" s="415">
        <f t="shared" ca="1" si="23"/>
        <v>0</v>
      </c>
      <c r="AC84" s="415">
        <f t="shared" ca="1" si="23"/>
        <v>0</v>
      </c>
      <c r="AD84" s="415">
        <f t="shared" ca="1" si="23"/>
        <v>0</v>
      </c>
      <c r="AE84" s="415">
        <f t="shared" ca="1" si="23"/>
        <v>0</v>
      </c>
      <c r="AF84" s="415">
        <f t="shared" ca="1" si="23"/>
        <v>0</v>
      </c>
    </row>
    <row r="85" spans="1:32">
      <c r="A85" t="s">
        <v>67</v>
      </c>
      <c r="B85" t="str">
        <f t="shared" si="22"/>
        <v>ROW P&amp;L</v>
      </c>
      <c r="C85" t="s">
        <v>125</v>
      </c>
      <c r="D85" t="s">
        <v>394</v>
      </c>
      <c r="E85" t="s">
        <v>121</v>
      </c>
      <c r="F85" s="415">
        <f t="shared" ca="1" si="24"/>
        <v>0</v>
      </c>
      <c r="G85" s="415">
        <f t="shared" ca="1" si="24"/>
        <v>0</v>
      </c>
      <c r="H85" s="415">
        <f t="shared" ca="1" si="24"/>
        <v>0</v>
      </c>
      <c r="I85" s="415">
        <f t="shared" ca="1" si="24"/>
        <v>0</v>
      </c>
      <c r="J85" s="415">
        <f t="shared" ca="1" si="24"/>
        <v>0</v>
      </c>
      <c r="K85" s="415">
        <f t="shared" ca="1" si="24"/>
        <v>0</v>
      </c>
      <c r="L85" s="415">
        <f t="shared" ca="1" si="24"/>
        <v>0</v>
      </c>
      <c r="M85" s="415">
        <f t="shared" ca="1" si="24"/>
        <v>0</v>
      </c>
      <c r="N85" s="415">
        <f t="shared" ca="1" si="24"/>
        <v>0</v>
      </c>
      <c r="O85" s="415">
        <f t="shared" ca="1" si="24"/>
        <v>0</v>
      </c>
      <c r="P85" s="415">
        <f t="shared" ca="1" si="24"/>
        <v>0</v>
      </c>
      <c r="Q85" s="415">
        <f t="shared" ca="1" si="24"/>
        <v>0</v>
      </c>
      <c r="R85" s="415">
        <f t="shared" ca="1" si="24"/>
        <v>0</v>
      </c>
      <c r="S85" s="415">
        <f t="shared" ca="1" si="24"/>
        <v>0</v>
      </c>
      <c r="T85" s="415">
        <f t="shared" ca="1" si="24"/>
        <v>0</v>
      </c>
      <c r="U85" s="415">
        <f t="shared" ca="1" si="24"/>
        <v>0</v>
      </c>
      <c r="V85" s="415">
        <f t="shared" ca="1" si="23"/>
        <v>0</v>
      </c>
      <c r="W85" s="415">
        <f t="shared" ca="1" si="23"/>
        <v>0</v>
      </c>
      <c r="X85" s="415">
        <f t="shared" ca="1" si="23"/>
        <v>0</v>
      </c>
      <c r="Y85" s="415">
        <f t="shared" ca="1" si="23"/>
        <v>0</v>
      </c>
      <c r="Z85" s="415">
        <f t="shared" ca="1" si="23"/>
        <v>0</v>
      </c>
      <c r="AA85" s="415">
        <f t="shared" ca="1" si="23"/>
        <v>0</v>
      </c>
      <c r="AB85" s="415">
        <f t="shared" ca="1" si="23"/>
        <v>0</v>
      </c>
      <c r="AC85" s="415">
        <f t="shared" ca="1" si="23"/>
        <v>0</v>
      </c>
      <c r="AD85" s="415">
        <f t="shared" ca="1" si="23"/>
        <v>0</v>
      </c>
      <c r="AE85" s="415">
        <f t="shared" ca="1" si="23"/>
        <v>0</v>
      </c>
      <c r="AF85" s="415">
        <f t="shared" ca="1" si="23"/>
        <v>0</v>
      </c>
    </row>
    <row r="86" spans="1:32">
      <c r="A86" t="s">
        <v>67</v>
      </c>
      <c r="B86" t="str">
        <f t="shared" si="22"/>
        <v>ROW P&amp;L</v>
      </c>
      <c r="C86" t="s">
        <v>126</v>
      </c>
      <c r="D86" t="s">
        <v>394</v>
      </c>
      <c r="E86" t="s">
        <v>121</v>
      </c>
      <c r="F86" s="415">
        <f t="shared" ca="1" si="24"/>
        <v>0</v>
      </c>
      <c r="G86" s="415">
        <f t="shared" ca="1" si="24"/>
        <v>0</v>
      </c>
      <c r="H86" s="415">
        <f t="shared" ca="1" si="24"/>
        <v>0</v>
      </c>
      <c r="I86" s="415">
        <f t="shared" ca="1" si="24"/>
        <v>0</v>
      </c>
      <c r="J86" s="415">
        <f t="shared" ca="1" si="24"/>
        <v>0</v>
      </c>
      <c r="K86" s="415">
        <f t="shared" ca="1" si="24"/>
        <v>0</v>
      </c>
      <c r="L86" s="415">
        <f t="shared" ca="1" si="24"/>
        <v>0</v>
      </c>
      <c r="M86" s="415">
        <f t="shared" ca="1" si="24"/>
        <v>0</v>
      </c>
      <c r="N86" s="415">
        <f t="shared" ca="1" si="24"/>
        <v>0</v>
      </c>
      <c r="O86" s="415">
        <f t="shared" ca="1" si="24"/>
        <v>0</v>
      </c>
      <c r="P86" s="415">
        <f t="shared" ca="1" si="24"/>
        <v>0</v>
      </c>
      <c r="Q86" s="415">
        <f t="shared" ca="1" si="24"/>
        <v>0</v>
      </c>
      <c r="R86" s="415">
        <f t="shared" ca="1" si="24"/>
        <v>0</v>
      </c>
      <c r="S86" s="415">
        <f t="shared" ca="1" si="24"/>
        <v>0</v>
      </c>
      <c r="T86" s="415">
        <f t="shared" ca="1" si="23"/>
        <v>0</v>
      </c>
      <c r="U86" s="415">
        <f t="shared" ca="1" si="23"/>
        <v>0</v>
      </c>
      <c r="V86" s="415">
        <f t="shared" ca="1" si="23"/>
        <v>0</v>
      </c>
      <c r="W86" s="415">
        <f t="shared" ca="1" si="23"/>
        <v>0</v>
      </c>
      <c r="X86" s="415">
        <f t="shared" ca="1" si="23"/>
        <v>0</v>
      </c>
      <c r="Y86" s="415">
        <f t="shared" ca="1" si="23"/>
        <v>0</v>
      </c>
      <c r="Z86" s="415">
        <f t="shared" ca="1" si="23"/>
        <v>0</v>
      </c>
      <c r="AA86" s="415">
        <f t="shared" ca="1" si="23"/>
        <v>0</v>
      </c>
      <c r="AB86" s="415">
        <f t="shared" ca="1" si="23"/>
        <v>0</v>
      </c>
      <c r="AC86" s="415">
        <f t="shared" ca="1" si="23"/>
        <v>0</v>
      </c>
      <c r="AD86" s="415">
        <f t="shared" ca="1" si="23"/>
        <v>0</v>
      </c>
      <c r="AE86" s="415">
        <f t="shared" ca="1" si="23"/>
        <v>0</v>
      </c>
      <c r="AF86" s="415">
        <f t="shared" ca="1" si="23"/>
        <v>0</v>
      </c>
    </row>
    <row r="87" spans="1:32">
      <c r="A87" t="s">
        <v>67</v>
      </c>
      <c r="B87" t="str">
        <f t="shared" si="22"/>
        <v>ROW P&amp;L</v>
      </c>
      <c r="C87" t="s">
        <v>127</v>
      </c>
      <c r="D87" t="s">
        <v>395</v>
      </c>
      <c r="E87" t="s">
        <v>121</v>
      </c>
      <c r="F87" s="415">
        <f t="shared" ca="1" si="24"/>
        <v>0</v>
      </c>
      <c r="G87" s="415">
        <f t="shared" ca="1" si="24"/>
        <v>0</v>
      </c>
      <c r="H87" s="415">
        <f t="shared" ca="1" si="24"/>
        <v>0</v>
      </c>
      <c r="I87" s="415">
        <f t="shared" ca="1" si="24"/>
        <v>0</v>
      </c>
      <c r="J87" s="415">
        <f t="shared" ca="1" si="24"/>
        <v>0</v>
      </c>
      <c r="K87" s="415">
        <f t="shared" ca="1" si="24"/>
        <v>0</v>
      </c>
      <c r="L87" s="415">
        <f t="shared" ca="1" si="24"/>
        <v>0</v>
      </c>
      <c r="M87" s="415">
        <f t="shared" ca="1" si="24"/>
        <v>0</v>
      </c>
      <c r="N87" s="415">
        <f t="shared" ca="1" si="24"/>
        <v>0</v>
      </c>
      <c r="O87" s="415">
        <f t="shared" ca="1" si="24"/>
        <v>0</v>
      </c>
      <c r="P87" s="415">
        <f t="shared" ca="1" si="24"/>
        <v>0</v>
      </c>
      <c r="Q87" s="415">
        <f t="shared" ca="1" si="24"/>
        <v>0</v>
      </c>
      <c r="R87" s="415">
        <f t="shared" ca="1" si="24"/>
        <v>0</v>
      </c>
      <c r="S87" s="415">
        <f t="shared" ca="1" si="24"/>
        <v>0</v>
      </c>
      <c r="T87" s="415">
        <f t="shared" ca="1" si="24"/>
        <v>0</v>
      </c>
      <c r="U87" s="415">
        <f t="shared" ca="1" si="24"/>
        <v>0</v>
      </c>
      <c r="V87" s="415">
        <f t="shared" ref="T87:AF97" ca="1" si="25">IFERROR(SUMIFS(INDEX(INDIRECT("'"&amp;$B87&amp;"'!$B:$AU"),,MATCH(V$1,INDIRECT("'"&amp;$B87&amp;"'!$B$3:$AU$3"),0)),INDIRECT("'"&amp;$B87&amp;"'!$B:$B"),$C87),0)</f>
        <v>0</v>
      </c>
      <c r="W87" s="415">
        <f t="shared" ca="1" si="25"/>
        <v>0</v>
      </c>
      <c r="X87" s="415">
        <f t="shared" ca="1" si="25"/>
        <v>0</v>
      </c>
      <c r="Y87" s="415">
        <f t="shared" ca="1" si="25"/>
        <v>0</v>
      </c>
      <c r="Z87" s="415">
        <f t="shared" ca="1" si="25"/>
        <v>0</v>
      </c>
      <c r="AA87" s="415">
        <f t="shared" ca="1" si="25"/>
        <v>0</v>
      </c>
      <c r="AB87" s="415">
        <f t="shared" ca="1" si="25"/>
        <v>0</v>
      </c>
      <c r="AC87" s="415">
        <f t="shared" ca="1" si="25"/>
        <v>0</v>
      </c>
      <c r="AD87" s="415">
        <f t="shared" ca="1" si="25"/>
        <v>0</v>
      </c>
      <c r="AE87" s="415">
        <f t="shared" ca="1" si="25"/>
        <v>0</v>
      </c>
      <c r="AF87" s="415">
        <f t="shared" ca="1" si="25"/>
        <v>0</v>
      </c>
    </row>
    <row r="88" spans="1:32">
      <c r="A88" t="s">
        <v>67</v>
      </c>
      <c r="B88" t="str">
        <f t="shared" si="22"/>
        <v>ROW P&amp;L</v>
      </c>
      <c r="C88" t="s">
        <v>130</v>
      </c>
      <c r="D88" t="s">
        <v>396</v>
      </c>
      <c r="E88" t="s">
        <v>121</v>
      </c>
      <c r="F88" s="415">
        <f t="shared" ca="1" si="24"/>
        <v>0</v>
      </c>
      <c r="G88" s="415">
        <f t="shared" ca="1" si="24"/>
        <v>0</v>
      </c>
      <c r="H88" s="415">
        <f t="shared" ca="1" si="24"/>
        <v>0</v>
      </c>
      <c r="I88" s="415">
        <f t="shared" ca="1" si="24"/>
        <v>0</v>
      </c>
      <c r="J88" s="415">
        <f t="shared" ca="1" si="24"/>
        <v>0</v>
      </c>
      <c r="K88" s="415">
        <f t="shared" ca="1" si="24"/>
        <v>0</v>
      </c>
      <c r="L88" s="415">
        <f t="shared" ca="1" si="24"/>
        <v>0</v>
      </c>
      <c r="M88" s="415">
        <f t="shared" ca="1" si="24"/>
        <v>0</v>
      </c>
      <c r="N88" s="415">
        <f t="shared" ca="1" si="24"/>
        <v>0</v>
      </c>
      <c r="O88" s="415">
        <f t="shared" ca="1" si="24"/>
        <v>0</v>
      </c>
      <c r="P88" s="415">
        <f t="shared" ca="1" si="24"/>
        <v>0</v>
      </c>
      <c r="Q88" s="415">
        <f t="shared" ca="1" si="24"/>
        <v>0</v>
      </c>
      <c r="R88" s="415">
        <f t="shared" ca="1" si="24"/>
        <v>0</v>
      </c>
      <c r="S88" s="415">
        <f t="shared" ca="1" si="24"/>
        <v>0</v>
      </c>
      <c r="T88" s="415">
        <f t="shared" ca="1" si="25"/>
        <v>0</v>
      </c>
      <c r="U88" s="415">
        <f t="shared" ca="1" si="25"/>
        <v>0</v>
      </c>
      <c r="V88" s="415">
        <f t="shared" ca="1" si="25"/>
        <v>0</v>
      </c>
      <c r="W88" s="415">
        <f t="shared" ca="1" si="25"/>
        <v>0</v>
      </c>
      <c r="X88" s="415">
        <f t="shared" ca="1" si="25"/>
        <v>0</v>
      </c>
      <c r="Y88" s="415">
        <f t="shared" ca="1" si="25"/>
        <v>0</v>
      </c>
      <c r="Z88" s="415">
        <f t="shared" ca="1" si="25"/>
        <v>0</v>
      </c>
      <c r="AA88" s="415">
        <f t="shared" ca="1" si="25"/>
        <v>0</v>
      </c>
      <c r="AB88" s="415">
        <f t="shared" ca="1" si="25"/>
        <v>0</v>
      </c>
      <c r="AC88" s="415">
        <f t="shared" ca="1" si="25"/>
        <v>0</v>
      </c>
      <c r="AD88" s="415">
        <f t="shared" ca="1" si="25"/>
        <v>0</v>
      </c>
      <c r="AE88" s="415">
        <f t="shared" ca="1" si="25"/>
        <v>0</v>
      </c>
      <c r="AF88" s="415">
        <f t="shared" ca="1" si="25"/>
        <v>0</v>
      </c>
    </row>
    <row r="89" spans="1:32">
      <c r="A89" t="s">
        <v>67</v>
      </c>
      <c r="B89" t="str">
        <f t="shared" si="22"/>
        <v>ROW P&amp;L</v>
      </c>
      <c r="C89" t="s">
        <v>131</v>
      </c>
      <c r="D89" t="s">
        <v>396</v>
      </c>
      <c r="E89" t="s">
        <v>121</v>
      </c>
      <c r="F89" s="415">
        <f t="shared" ca="1" si="24"/>
        <v>0</v>
      </c>
      <c r="G89" s="415">
        <f t="shared" ca="1" si="24"/>
        <v>0</v>
      </c>
      <c r="H89" s="415">
        <f t="shared" ca="1" si="24"/>
        <v>0</v>
      </c>
      <c r="I89" s="415">
        <f t="shared" ca="1" si="24"/>
        <v>0</v>
      </c>
      <c r="J89" s="415">
        <f t="shared" ca="1" si="24"/>
        <v>0</v>
      </c>
      <c r="K89" s="415">
        <f t="shared" ca="1" si="24"/>
        <v>0</v>
      </c>
      <c r="L89" s="415">
        <f t="shared" ca="1" si="24"/>
        <v>0</v>
      </c>
      <c r="M89" s="415">
        <f t="shared" ca="1" si="24"/>
        <v>0</v>
      </c>
      <c r="N89" s="415">
        <f t="shared" ca="1" si="24"/>
        <v>0</v>
      </c>
      <c r="O89" s="415">
        <f t="shared" ca="1" si="24"/>
        <v>0</v>
      </c>
      <c r="P89" s="415">
        <f t="shared" ca="1" si="24"/>
        <v>0</v>
      </c>
      <c r="Q89" s="415">
        <f t="shared" ca="1" si="24"/>
        <v>0</v>
      </c>
      <c r="R89" s="415">
        <f t="shared" ca="1" si="24"/>
        <v>0</v>
      </c>
      <c r="S89" s="415">
        <f t="shared" ca="1" si="24"/>
        <v>0</v>
      </c>
      <c r="T89" s="415">
        <f t="shared" ca="1" si="25"/>
        <v>0</v>
      </c>
      <c r="U89" s="415">
        <f t="shared" ca="1" si="25"/>
        <v>0</v>
      </c>
      <c r="V89" s="415">
        <f t="shared" ca="1" si="25"/>
        <v>0</v>
      </c>
      <c r="W89" s="415">
        <f t="shared" ca="1" si="25"/>
        <v>0</v>
      </c>
      <c r="X89" s="415">
        <f t="shared" ca="1" si="25"/>
        <v>0</v>
      </c>
      <c r="Y89" s="415">
        <f t="shared" ca="1" si="25"/>
        <v>0</v>
      </c>
      <c r="Z89" s="415">
        <f t="shared" ca="1" si="25"/>
        <v>0</v>
      </c>
      <c r="AA89" s="415">
        <f t="shared" ca="1" si="25"/>
        <v>0</v>
      </c>
      <c r="AB89" s="415">
        <f t="shared" ca="1" si="25"/>
        <v>0</v>
      </c>
      <c r="AC89" s="415">
        <f t="shared" ca="1" si="25"/>
        <v>0</v>
      </c>
      <c r="AD89" s="415">
        <f t="shared" ca="1" si="25"/>
        <v>0</v>
      </c>
      <c r="AE89" s="415">
        <f t="shared" ca="1" si="25"/>
        <v>0</v>
      </c>
      <c r="AF89" s="415">
        <f t="shared" ca="1" si="25"/>
        <v>0</v>
      </c>
    </row>
    <row r="90" spans="1:32">
      <c r="A90" t="s">
        <v>71</v>
      </c>
      <c r="B90" t="str">
        <f t="shared" si="22"/>
        <v>CZ P&amp;L</v>
      </c>
      <c r="C90" t="s">
        <v>122</v>
      </c>
      <c r="D90" t="s">
        <v>394</v>
      </c>
      <c r="E90" t="s">
        <v>121</v>
      </c>
      <c r="F90" s="415">
        <f t="shared" ca="1" si="24"/>
        <v>-2408</v>
      </c>
      <c r="G90" s="415">
        <f t="shared" ca="1" si="24"/>
        <v>-1275</v>
      </c>
      <c r="H90" s="415">
        <f t="shared" ca="1" si="24"/>
        <v>-1105</v>
      </c>
      <c r="I90" s="415">
        <f t="shared" ca="1" si="24"/>
        <v>-20685.600000000002</v>
      </c>
      <c r="J90" s="415">
        <f t="shared" ca="1" si="24"/>
        <v>-43323</v>
      </c>
      <c r="K90" s="415">
        <f t="shared" ca="1" si="24"/>
        <v>-40283.100000000006</v>
      </c>
      <c r="L90" s="415">
        <f t="shared" ca="1" si="24"/>
        <v>-21085.9</v>
      </c>
      <c r="M90" s="415">
        <f t="shared" ca="1" si="24"/>
        <v>-20842.800000000003</v>
      </c>
      <c r="N90" s="415">
        <f t="shared" ca="1" si="24"/>
        <v>-64215</v>
      </c>
      <c r="O90" s="415">
        <f t="shared" ca="1" si="24"/>
        <v>-24301.600000000002</v>
      </c>
      <c r="P90" s="415">
        <f t="shared" ca="1" si="24"/>
        <v>-26041.200000000001</v>
      </c>
      <c r="Q90" s="415">
        <f t="shared" ca="1" si="24"/>
        <v>-91000</v>
      </c>
      <c r="R90" s="415">
        <f t="shared" ca="1" si="24"/>
        <v>-117000</v>
      </c>
      <c r="S90" s="415">
        <f t="shared" ca="1" si="24"/>
        <v>-19500</v>
      </c>
      <c r="T90" s="415">
        <f t="shared" ca="1" si="25"/>
        <v>-26000</v>
      </c>
      <c r="U90" s="415">
        <f t="shared" ca="1" si="25"/>
        <v>-26891.280000000002</v>
      </c>
      <c r="V90" s="415">
        <f t="shared" ca="1" si="25"/>
        <v>-56319.9</v>
      </c>
      <c r="W90" s="415">
        <f t="shared" ca="1" si="25"/>
        <v>-52368.030000000006</v>
      </c>
      <c r="X90" s="415">
        <f t="shared" ca="1" si="25"/>
        <v>-27411.670000000002</v>
      </c>
      <c r="Y90" s="415">
        <f t="shared" ca="1" si="25"/>
        <v>-27095.640000000003</v>
      </c>
      <c r="Z90" s="415">
        <f t="shared" ca="1" si="25"/>
        <v>-83479.5</v>
      </c>
      <c r="AA90" s="415">
        <f t="shared" ca="1" si="25"/>
        <v>-31592.080000000005</v>
      </c>
      <c r="AB90" s="415">
        <f t="shared" ca="1" si="25"/>
        <v>-33853.560000000005</v>
      </c>
      <c r="AC90" s="415">
        <f t="shared" ca="1" si="25"/>
        <v>-118300</v>
      </c>
      <c r="AD90" s="415">
        <f t="shared" ca="1" si="25"/>
        <v>-152100</v>
      </c>
      <c r="AE90" s="415">
        <f t="shared" ca="1" si="25"/>
        <v>-25350</v>
      </c>
      <c r="AF90" s="415">
        <f t="shared" ca="1" si="25"/>
        <v>-33800</v>
      </c>
    </row>
    <row r="91" spans="1:32">
      <c r="A91" t="s">
        <v>71</v>
      </c>
      <c r="B91" t="str">
        <f t="shared" si="22"/>
        <v>CZ P&amp;L</v>
      </c>
      <c r="C91" t="s">
        <v>123</v>
      </c>
      <c r="D91" t="s">
        <v>394</v>
      </c>
      <c r="E91" t="s">
        <v>121</v>
      </c>
      <c r="F91" s="415">
        <f t="shared" ca="1" si="24"/>
        <v>-2000</v>
      </c>
      <c r="G91" s="415">
        <f t="shared" ca="1" si="24"/>
        <v>-1500</v>
      </c>
      <c r="H91" s="415">
        <f t="shared" ca="1" si="24"/>
        <v>0</v>
      </c>
      <c r="I91" s="415">
        <f t="shared" ca="1" si="24"/>
        <v>-1500</v>
      </c>
      <c r="J91" s="415">
        <f t="shared" ca="1" si="24"/>
        <v>-1500</v>
      </c>
      <c r="K91" s="415">
        <f t="shared" ca="1" si="24"/>
        <v>-1500</v>
      </c>
      <c r="L91" s="415">
        <f t="shared" ca="1" si="24"/>
        <v>-1500</v>
      </c>
      <c r="M91" s="415">
        <f t="shared" ca="1" si="24"/>
        <v>-1500</v>
      </c>
      <c r="N91" s="415">
        <f t="shared" ca="1" si="24"/>
        <v>-1500</v>
      </c>
      <c r="O91" s="415">
        <f t="shared" ca="1" si="24"/>
        <v>-1500</v>
      </c>
      <c r="P91" s="415">
        <f t="shared" ca="1" si="24"/>
        <v>-2000</v>
      </c>
      <c r="Q91" s="415">
        <f t="shared" ca="1" si="24"/>
        <v>-3000</v>
      </c>
      <c r="R91" s="415">
        <f t="shared" ca="1" si="24"/>
        <v>-3000</v>
      </c>
      <c r="S91" s="415">
        <f t="shared" ca="1" si="24"/>
        <v>-1500</v>
      </c>
      <c r="T91" s="415">
        <f t="shared" ca="1" si="25"/>
        <v>-1500</v>
      </c>
      <c r="U91" s="415">
        <f t="shared" ca="1" si="25"/>
        <v>-1500</v>
      </c>
      <c r="V91" s="415">
        <f t="shared" ca="1" si="25"/>
        <v>-1500</v>
      </c>
      <c r="W91" s="415">
        <f t="shared" ca="1" si="25"/>
        <v>-1500</v>
      </c>
      <c r="X91" s="415">
        <f t="shared" ca="1" si="25"/>
        <v>-1500</v>
      </c>
      <c r="Y91" s="415">
        <f t="shared" ca="1" si="25"/>
        <v>-1500</v>
      </c>
      <c r="Z91" s="415">
        <f t="shared" ca="1" si="25"/>
        <v>-1500</v>
      </c>
      <c r="AA91" s="415">
        <f t="shared" ca="1" si="25"/>
        <v>-1500</v>
      </c>
      <c r="AB91" s="415">
        <f t="shared" ca="1" si="25"/>
        <v>-1500</v>
      </c>
      <c r="AC91" s="415">
        <f t="shared" ca="1" si="25"/>
        <v>-1500</v>
      </c>
      <c r="AD91" s="415">
        <f t="shared" ca="1" si="25"/>
        <v>-1500</v>
      </c>
      <c r="AE91" s="415">
        <f t="shared" ca="1" si="25"/>
        <v>-1500</v>
      </c>
      <c r="AF91" s="415">
        <f t="shared" ca="1" si="25"/>
        <v>-1500</v>
      </c>
    </row>
    <row r="92" spans="1:32">
      <c r="A92" t="s">
        <v>71</v>
      </c>
      <c r="B92" t="str">
        <f t="shared" si="22"/>
        <v>CZ P&amp;L</v>
      </c>
      <c r="C92" t="s">
        <v>124</v>
      </c>
      <c r="D92" t="s">
        <v>394</v>
      </c>
      <c r="E92" t="s">
        <v>121</v>
      </c>
      <c r="F92" s="415">
        <f t="shared" ca="1" si="24"/>
        <v>-31500</v>
      </c>
      <c r="G92" s="415">
        <f t="shared" ca="1" si="24"/>
        <v>-11900</v>
      </c>
      <c r="H92" s="415">
        <f t="shared" ca="1" si="24"/>
        <v>-9000</v>
      </c>
      <c r="I92" s="415">
        <f t="shared" ca="1" si="24"/>
        <v>0</v>
      </c>
      <c r="J92" s="415">
        <f t="shared" ca="1" si="24"/>
        <v>0</v>
      </c>
      <c r="K92" s="415">
        <f t="shared" ca="1" si="24"/>
        <v>0</v>
      </c>
      <c r="L92" s="415">
        <f t="shared" ca="1" si="24"/>
        <v>0</v>
      </c>
      <c r="M92" s="415">
        <f t="shared" ca="1" si="24"/>
        <v>0</v>
      </c>
      <c r="N92" s="415">
        <f t="shared" ca="1" si="24"/>
        <v>0</v>
      </c>
      <c r="O92" s="415">
        <f t="shared" ca="1" si="24"/>
        <v>0</v>
      </c>
      <c r="P92" s="415">
        <f t="shared" ca="1" si="24"/>
        <v>0</v>
      </c>
      <c r="Q92" s="415">
        <f t="shared" ca="1" si="24"/>
        <v>0</v>
      </c>
      <c r="R92" s="415">
        <f t="shared" ca="1" si="24"/>
        <v>0</v>
      </c>
      <c r="S92" s="415">
        <f t="shared" ca="1" si="24"/>
        <v>0</v>
      </c>
      <c r="T92" s="415">
        <f t="shared" ca="1" si="25"/>
        <v>0</v>
      </c>
      <c r="U92" s="415">
        <f t="shared" ca="1" si="25"/>
        <v>0</v>
      </c>
      <c r="V92" s="415">
        <f t="shared" ca="1" si="25"/>
        <v>0</v>
      </c>
      <c r="W92" s="415">
        <f t="shared" ca="1" si="25"/>
        <v>0</v>
      </c>
      <c r="X92" s="415">
        <f t="shared" ca="1" si="25"/>
        <v>0</v>
      </c>
      <c r="Y92" s="415">
        <f t="shared" ca="1" si="25"/>
        <v>0</v>
      </c>
      <c r="Z92" s="415">
        <f t="shared" ca="1" si="25"/>
        <v>0</v>
      </c>
      <c r="AA92" s="415">
        <f t="shared" ca="1" si="25"/>
        <v>0</v>
      </c>
      <c r="AB92" s="415">
        <f t="shared" ca="1" si="25"/>
        <v>0</v>
      </c>
      <c r="AC92" s="415">
        <f t="shared" ca="1" si="25"/>
        <v>0</v>
      </c>
      <c r="AD92" s="415">
        <f t="shared" ca="1" si="25"/>
        <v>0</v>
      </c>
      <c r="AE92" s="415">
        <f t="shared" ca="1" si="25"/>
        <v>0</v>
      </c>
      <c r="AF92" s="415">
        <f t="shared" ca="1" si="25"/>
        <v>0</v>
      </c>
    </row>
    <row r="93" spans="1:32">
      <c r="A93" t="s">
        <v>71</v>
      </c>
      <c r="B93" t="str">
        <f t="shared" si="22"/>
        <v>CZ P&amp;L</v>
      </c>
      <c r="C93" t="s">
        <v>125</v>
      </c>
      <c r="D93" t="s">
        <v>394</v>
      </c>
      <c r="E93" t="s">
        <v>121</v>
      </c>
      <c r="F93" s="415">
        <f t="shared" ca="1" si="24"/>
        <v>-12000</v>
      </c>
      <c r="G93" s="415">
        <f t="shared" ca="1" si="24"/>
        <v>-5100</v>
      </c>
      <c r="H93" s="415">
        <f t="shared" ca="1" si="24"/>
        <v>-4100</v>
      </c>
      <c r="I93" s="415">
        <f t="shared" ca="1" si="24"/>
        <v>0</v>
      </c>
      <c r="J93" s="415">
        <f t="shared" ca="1" si="24"/>
        <v>0</v>
      </c>
      <c r="K93" s="415">
        <f t="shared" ca="1" si="24"/>
        <v>0</v>
      </c>
      <c r="L93" s="415">
        <f t="shared" ca="1" si="24"/>
        <v>0</v>
      </c>
      <c r="M93" s="415">
        <f t="shared" ca="1" si="24"/>
        <v>0</v>
      </c>
      <c r="N93" s="415">
        <f t="shared" ca="1" si="24"/>
        <v>0</v>
      </c>
      <c r="O93" s="415">
        <f t="shared" ca="1" si="24"/>
        <v>0</v>
      </c>
      <c r="P93" s="415">
        <f t="shared" ca="1" si="24"/>
        <v>0</v>
      </c>
      <c r="Q93" s="415">
        <f t="shared" ca="1" si="24"/>
        <v>0</v>
      </c>
      <c r="R93" s="415">
        <f t="shared" ca="1" si="24"/>
        <v>0</v>
      </c>
      <c r="S93" s="415">
        <f t="shared" ca="1" si="24"/>
        <v>0</v>
      </c>
      <c r="T93" s="415">
        <f t="shared" ca="1" si="24"/>
        <v>0</v>
      </c>
      <c r="U93" s="415">
        <f t="shared" ca="1" si="24"/>
        <v>0</v>
      </c>
      <c r="V93" s="415">
        <f t="shared" ca="1" si="25"/>
        <v>0</v>
      </c>
      <c r="W93" s="415">
        <f t="shared" ca="1" si="25"/>
        <v>0</v>
      </c>
      <c r="X93" s="415">
        <f t="shared" ca="1" si="25"/>
        <v>0</v>
      </c>
      <c r="Y93" s="415">
        <f t="shared" ca="1" si="25"/>
        <v>0</v>
      </c>
      <c r="Z93" s="415">
        <f t="shared" ca="1" si="25"/>
        <v>0</v>
      </c>
      <c r="AA93" s="415">
        <f t="shared" ca="1" si="25"/>
        <v>0</v>
      </c>
      <c r="AB93" s="415">
        <f t="shared" ca="1" si="25"/>
        <v>0</v>
      </c>
      <c r="AC93" s="415">
        <f t="shared" ca="1" si="25"/>
        <v>0</v>
      </c>
      <c r="AD93" s="415">
        <f t="shared" ca="1" si="25"/>
        <v>0</v>
      </c>
      <c r="AE93" s="415">
        <f t="shared" ca="1" si="25"/>
        <v>0</v>
      </c>
      <c r="AF93" s="415">
        <f t="shared" ca="1" si="25"/>
        <v>0</v>
      </c>
    </row>
    <row r="94" spans="1:32">
      <c r="A94" t="s">
        <v>71</v>
      </c>
      <c r="B94" t="str">
        <f t="shared" si="22"/>
        <v>CZ P&amp;L</v>
      </c>
      <c r="C94" t="s">
        <v>126</v>
      </c>
      <c r="D94" t="s">
        <v>394</v>
      </c>
      <c r="E94" t="s">
        <v>121</v>
      </c>
      <c r="F94" s="415">
        <f t="shared" ca="1" si="24"/>
        <v>-18000</v>
      </c>
      <c r="G94" s="415">
        <f t="shared" ca="1" si="24"/>
        <v>-8500</v>
      </c>
      <c r="H94" s="415">
        <f t="shared" ca="1" si="24"/>
        <v>-7500</v>
      </c>
      <c r="I94" s="415">
        <f t="shared" ca="1" si="24"/>
        <v>0</v>
      </c>
      <c r="J94" s="415">
        <f t="shared" ca="1" si="24"/>
        <v>0</v>
      </c>
      <c r="K94" s="415">
        <f t="shared" ca="1" si="24"/>
        <v>0</v>
      </c>
      <c r="L94" s="415">
        <f t="shared" ca="1" si="24"/>
        <v>0</v>
      </c>
      <c r="M94" s="415">
        <f t="shared" ca="1" si="24"/>
        <v>0</v>
      </c>
      <c r="N94" s="415">
        <f t="shared" ca="1" si="24"/>
        <v>0</v>
      </c>
      <c r="O94" s="415">
        <f t="shared" ca="1" si="24"/>
        <v>0</v>
      </c>
      <c r="P94" s="415">
        <f t="shared" ca="1" si="24"/>
        <v>0</v>
      </c>
      <c r="Q94" s="415">
        <f t="shared" ca="1" si="24"/>
        <v>0</v>
      </c>
      <c r="R94" s="415">
        <f t="shared" ca="1" si="24"/>
        <v>0</v>
      </c>
      <c r="S94" s="415">
        <f t="shared" ca="1" si="24"/>
        <v>0</v>
      </c>
      <c r="T94" s="415">
        <f t="shared" ca="1" si="25"/>
        <v>0</v>
      </c>
      <c r="U94" s="415">
        <f t="shared" ca="1" si="25"/>
        <v>0</v>
      </c>
      <c r="V94" s="415">
        <f t="shared" ca="1" si="25"/>
        <v>0</v>
      </c>
      <c r="W94" s="415">
        <f t="shared" ca="1" si="25"/>
        <v>0</v>
      </c>
      <c r="X94" s="415">
        <f t="shared" ca="1" si="25"/>
        <v>0</v>
      </c>
      <c r="Y94" s="415">
        <f t="shared" ca="1" si="25"/>
        <v>0</v>
      </c>
      <c r="Z94" s="415">
        <f t="shared" ca="1" si="25"/>
        <v>0</v>
      </c>
      <c r="AA94" s="415">
        <f t="shared" ca="1" si="25"/>
        <v>0</v>
      </c>
      <c r="AB94" s="415">
        <f t="shared" ca="1" si="25"/>
        <v>0</v>
      </c>
      <c r="AC94" s="415">
        <f t="shared" ca="1" si="25"/>
        <v>0</v>
      </c>
      <c r="AD94" s="415">
        <f t="shared" ca="1" si="25"/>
        <v>0</v>
      </c>
      <c r="AE94" s="415">
        <f t="shared" ca="1" si="25"/>
        <v>0</v>
      </c>
      <c r="AF94" s="415">
        <f t="shared" ca="1" si="25"/>
        <v>0</v>
      </c>
    </row>
    <row r="95" spans="1:32">
      <c r="A95" t="s">
        <v>71</v>
      </c>
      <c r="B95" t="str">
        <f t="shared" si="22"/>
        <v>CZ P&amp;L</v>
      </c>
      <c r="C95" t="s">
        <v>127</v>
      </c>
      <c r="D95" t="s">
        <v>395</v>
      </c>
      <c r="E95" t="s">
        <v>121</v>
      </c>
      <c r="F95" s="415">
        <f t="shared" ca="1" si="24"/>
        <v>0</v>
      </c>
      <c r="G95" s="415">
        <f t="shared" ca="1" si="24"/>
        <v>0</v>
      </c>
      <c r="H95" s="415">
        <f t="shared" ca="1" si="24"/>
        <v>0</v>
      </c>
      <c r="I95" s="415">
        <f t="shared" ca="1" si="24"/>
        <v>-500</v>
      </c>
      <c r="J95" s="415">
        <f t="shared" ca="1" si="24"/>
        <v>-1500</v>
      </c>
      <c r="K95" s="415">
        <f t="shared" ca="1" si="24"/>
        <v>-500</v>
      </c>
      <c r="L95" s="415">
        <f t="shared" ca="1" si="24"/>
        <v>-1231.4682214808468</v>
      </c>
      <c r="M95" s="415">
        <f t="shared" ca="1" si="24"/>
        <v>-1974.4749535755095</v>
      </c>
      <c r="N95" s="415">
        <f t="shared" ca="1" si="24"/>
        <v>-876.70877610111575</v>
      </c>
      <c r="O95" s="415">
        <f t="shared" ca="1" si="24"/>
        <v>-879.77578594983299</v>
      </c>
      <c r="P95" s="415">
        <f t="shared" ca="1" si="24"/>
        <v>-1865.5344169551395</v>
      </c>
      <c r="Q95" s="415">
        <f t="shared" ca="1" si="24"/>
        <v>-998.02968421621858</v>
      </c>
      <c r="R95" s="415">
        <f t="shared" ca="1" si="24"/>
        <v>-1710.2345797213113</v>
      </c>
      <c r="S95" s="415">
        <f t="shared" ca="1" si="24"/>
        <v>-1263.6766918545118</v>
      </c>
      <c r="T95" s="415">
        <f t="shared" ca="1" si="25"/>
        <v>-1184.7632855082952</v>
      </c>
      <c r="U95" s="415">
        <f t="shared" ca="1" si="25"/>
        <v>-262.5</v>
      </c>
      <c r="V95" s="415">
        <f t="shared" ca="1" si="25"/>
        <v>-787.5</v>
      </c>
      <c r="W95" s="415">
        <f t="shared" ca="1" si="25"/>
        <v>-262.5</v>
      </c>
      <c r="X95" s="415">
        <f t="shared" ca="1" si="25"/>
        <v>-904.54163255488902</v>
      </c>
      <c r="Y95" s="415">
        <f t="shared" ca="1" si="25"/>
        <v>-1285.698701254285</v>
      </c>
      <c r="Z95" s="415">
        <f t="shared" ca="1" si="25"/>
        <v>-658.04421490617142</v>
      </c>
      <c r="AA95" s="415">
        <f t="shared" ca="1" si="25"/>
        <v>-535.26457524732461</v>
      </c>
      <c r="AB95" s="415">
        <f t="shared" ca="1" si="25"/>
        <v>-1171.3111378028966</v>
      </c>
      <c r="AC95" s="415">
        <f t="shared" ca="1" si="25"/>
        <v>-785.43116842702955</v>
      </c>
      <c r="AD95" s="415">
        <f t="shared" ca="1" si="25"/>
        <v>-1008.2463087073768</v>
      </c>
      <c r="AE95" s="415">
        <f t="shared" ca="1" si="25"/>
        <v>-801.86052644723736</v>
      </c>
      <c r="AF95" s="415">
        <f t="shared" ca="1" si="25"/>
        <v>-719.00144978370997</v>
      </c>
    </row>
    <row r="96" spans="1:32">
      <c r="A96" t="s">
        <v>71</v>
      </c>
      <c r="B96" t="str">
        <f t="shared" si="22"/>
        <v>CZ P&amp;L</v>
      </c>
      <c r="C96" t="s">
        <v>130</v>
      </c>
      <c r="D96" t="s">
        <v>396</v>
      </c>
      <c r="E96" t="s">
        <v>121</v>
      </c>
      <c r="F96" s="415">
        <f t="shared" ref="F96:S97" ca="1" si="26">IFERROR(SUMIFS(INDEX(INDIRECT("'"&amp;$B96&amp;"'!$B:$AU"),,MATCH(F$1,INDIRECT("'"&amp;$B96&amp;"'!$B$3:$AU$3"),0)),INDIRECT("'"&amp;$B96&amp;"'!$B:$B"),$C96),0)</f>
        <v>0</v>
      </c>
      <c r="G96" s="415">
        <f t="shared" ca="1" si="26"/>
        <v>0</v>
      </c>
      <c r="H96" s="415">
        <f t="shared" ca="1" si="26"/>
        <v>0</v>
      </c>
      <c r="I96" s="415">
        <f t="shared" ca="1" si="26"/>
        <v>0</v>
      </c>
      <c r="J96" s="415">
        <f t="shared" ca="1" si="26"/>
        <v>0</v>
      </c>
      <c r="K96" s="415">
        <f t="shared" ca="1" si="26"/>
        <v>0</v>
      </c>
      <c r="L96" s="415">
        <f t="shared" ca="1" si="26"/>
        <v>0</v>
      </c>
      <c r="M96" s="415">
        <f t="shared" ca="1" si="26"/>
        <v>0</v>
      </c>
      <c r="N96" s="415">
        <f t="shared" ca="1" si="26"/>
        <v>0</v>
      </c>
      <c r="O96" s="415">
        <f t="shared" ca="1" si="26"/>
        <v>0</v>
      </c>
      <c r="P96" s="415">
        <f t="shared" ca="1" si="26"/>
        <v>0</v>
      </c>
      <c r="Q96" s="415">
        <f t="shared" ca="1" si="26"/>
        <v>0</v>
      </c>
      <c r="R96" s="415">
        <f t="shared" ca="1" si="26"/>
        <v>0</v>
      </c>
      <c r="S96" s="415">
        <f t="shared" ca="1" si="26"/>
        <v>0</v>
      </c>
      <c r="T96" s="415">
        <f t="shared" ca="1" si="25"/>
        <v>0</v>
      </c>
      <c r="U96" s="415">
        <f t="shared" ca="1" si="25"/>
        <v>0</v>
      </c>
      <c r="V96" s="415">
        <f t="shared" ca="1" si="25"/>
        <v>0</v>
      </c>
      <c r="W96" s="415">
        <f t="shared" ca="1" si="25"/>
        <v>0</v>
      </c>
      <c r="X96" s="415">
        <f t="shared" ca="1" si="25"/>
        <v>0</v>
      </c>
      <c r="Y96" s="415">
        <f t="shared" ca="1" si="25"/>
        <v>0</v>
      </c>
      <c r="Z96" s="415">
        <f t="shared" ca="1" si="25"/>
        <v>0</v>
      </c>
      <c r="AA96" s="415">
        <f t="shared" ca="1" si="25"/>
        <v>0</v>
      </c>
      <c r="AB96" s="415">
        <f t="shared" ca="1" si="25"/>
        <v>0</v>
      </c>
      <c r="AC96" s="415">
        <f t="shared" ca="1" si="25"/>
        <v>0</v>
      </c>
      <c r="AD96" s="415">
        <f t="shared" ca="1" si="25"/>
        <v>0</v>
      </c>
      <c r="AE96" s="415">
        <f t="shared" ca="1" si="25"/>
        <v>0</v>
      </c>
      <c r="AF96" s="415">
        <f t="shared" ca="1" si="25"/>
        <v>0</v>
      </c>
    </row>
    <row r="97" spans="1:32">
      <c r="A97" t="s">
        <v>71</v>
      </c>
      <c r="B97" t="str">
        <f t="shared" si="22"/>
        <v>CZ P&amp;L</v>
      </c>
      <c r="C97" t="s">
        <v>131</v>
      </c>
      <c r="D97" t="s">
        <v>396</v>
      </c>
      <c r="E97" t="s">
        <v>121</v>
      </c>
      <c r="F97" s="415">
        <f t="shared" ca="1" si="26"/>
        <v>0</v>
      </c>
      <c r="G97" s="415">
        <f t="shared" ca="1" si="26"/>
        <v>0</v>
      </c>
      <c r="H97" s="415">
        <f t="shared" ca="1" si="26"/>
        <v>0</v>
      </c>
      <c r="I97" s="415">
        <f t="shared" ca="1" si="26"/>
        <v>0</v>
      </c>
      <c r="J97" s="415">
        <f t="shared" ca="1" si="26"/>
        <v>0</v>
      </c>
      <c r="K97" s="415">
        <f t="shared" ca="1" si="26"/>
        <v>0</v>
      </c>
      <c r="L97" s="415">
        <f t="shared" ca="1" si="26"/>
        <v>0</v>
      </c>
      <c r="M97" s="415">
        <f t="shared" ca="1" si="26"/>
        <v>0</v>
      </c>
      <c r="N97" s="415">
        <f t="shared" ca="1" si="26"/>
        <v>0</v>
      </c>
      <c r="O97" s="415">
        <f t="shared" ca="1" si="26"/>
        <v>0</v>
      </c>
      <c r="P97" s="415">
        <f t="shared" ca="1" si="26"/>
        <v>0</v>
      </c>
      <c r="Q97" s="415">
        <f t="shared" ca="1" si="26"/>
        <v>0</v>
      </c>
      <c r="R97" s="415">
        <f t="shared" ca="1" si="26"/>
        <v>0</v>
      </c>
      <c r="S97" s="415">
        <f t="shared" ca="1" si="26"/>
        <v>0</v>
      </c>
      <c r="T97" s="415">
        <f t="shared" ca="1" si="25"/>
        <v>0</v>
      </c>
      <c r="U97" s="415">
        <f t="shared" ca="1" si="25"/>
        <v>0</v>
      </c>
      <c r="V97" s="415">
        <f t="shared" ca="1" si="25"/>
        <v>0</v>
      </c>
      <c r="W97" s="415">
        <f t="shared" ca="1" si="25"/>
        <v>0</v>
      </c>
      <c r="X97" s="415">
        <f t="shared" ca="1" si="25"/>
        <v>0</v>
      </c>
      <c r="Y97" s="415">
        <f t="shared" ca="1" si="25"/>
        <v>0</v>
      </c>
      <c r="Z97" s="415">
        <f t="shared" ca="1" si="25"/>
        <v>0</v>
      </c>
      <c r="AA97" s="415">
        <f t="shared" ca="1" si="25"/>
        <v>0</v>
      </c>
      <c r="AB97" s="415">
        <f t="shared" ca="1" si="25"/>
        <v>0</v>
      </c>
      <c r="AC97" s="415">
        <f t="shared" ca="1" si="25"/>
        <v>0</v>
      </c>
      <c r="AD97" s="415">
        <f t="shared" ca="1" si="25"/>
        <v>0</v>
      </c>
      <c r="AE97" s="415">
        <f t="shared" ca="1" si="25"/>
        <v>0</v>
      </c>
      <c r="AF97" s="415">
        <f t="shared" ca="1" si="25"/>
        <v>0</v>
      </c>
    </row>
    <row r="98" spans="1:32">
      <c r="A98" t="s">
        <v>67</v>
      </c>
      <c r="B98" t="str">
        <f t="shared" si="22"/>
        <v>ROW P&amp;L</v>
      </c>
      <c r="C98" s="13" t="s">
        <v>320</v>
      </c>
      <c r="D98" t="s">
        <v>396</v>
      </c>
      <c r="E98" t="s">
        <v>82</v>
      </c>
      <c r="F98" s="415">
        <f ca="1">IFERROR(SUMIFS(INDEX(INDIRECT("'"&amp;$D98&amp;"'!$a24:$AU40"),,MATCH(F$1,INDIRECT("'"&amp;$D98&amp;"'!$a$1:$AU$1"),0)),INDIRECT("'"&amp;$D98&amp;"'!$a24:$a40"),$C98),0)</f>
        <v>12400</v>
      </c>
      <c r="G98" s="415">
        <f t="shared" ref="G98:AF103" ca="1" si="27">IFERROR(SUMIFS(INDEX(INDIRECT("'"&amp;$D98&amp;"'!$a24:$AU40"),,MATCH(G$1,INDIRECT("'"&amp;$D98&amp;"'!$a$1:$AU$1"),0)),INDIRECT("'"&amp;$D98&amp;"'!$a24:$a40"),$C98),0)</f>
        <v>12400</v>
      </c>
      <c r="H98" s="415">
        <f t="shared" ca="1" si="27"/>
        <v>9600</v>
      </c>
      <c r="I98" s="415">
        <f t="shared" ca="1" si="27"/>
        <v>1943.2</v>
      </c>
      <c r="J98" s="415">
        <f t="shared" ca="1" si="27"/>
        <v>2562</v>
      </c>
      <c r="K98" s="415">
        <f t="shared" ca="1" si="27"/>
        <v>2446.37</v>
      </c>
      <c r="L98" s="415">
        <f t="shared" ca="1" si="27"/>
        <v>2447.2800000000002</v>
      </c>
      <c r="M98" s="415">
        <f t="shared" ca="1" si="27"/>
        <v>2407.0300000000002</v>
      </c>
      <c r="N98" s="415">
        <f t="shared" ca="1" si="27"/>
        <v>2991.02</v>
      </c>
      <c r="O98" s="415">
        <f t="shared" ca="1" si="27"/>
        <v>2447.4</v>
      </c>
      <c r="P98" s="415">
        <f t="shared" ca="1" si="27"/>
        <v>2656.59</v>
      </c>
      <c r="Q98" s="415">
        <f t="shared" ca="1" si="27"/>
        <v>3109.52</v>
      </c>
      <c r="R98" s="415">
        <f t="shared" ca="1" si="27"/>
        <v>3252.23</v>
      </c>
      <c r="S98" s="415">
        <f t="shared" ca="1" si="27"/>
        <v>3248.67</v>
      </c>
      <c r="T98" s="415">
        <f t="shared" ca="1" si="27"/>
        <v>2452.02</v>
      </c>
      <c r="U98" s="415">
        <f t="shared" ca="1" si="27"/>
        <v>1943.2</v>
      </c>
      <c r="V98" s="415">
        <f t="shared" ca="1" si="27"/>
        <v>2562</v>
      </c>
      <c r="W98" s="415">
        <f t="shared" ca="1" si="27"/>
        <v>2446.37</v>
      </c>
      <c r="X98" s="415">
        <f t="shared" ca="1" si="27"/>
        <v>2447.2800000000002</v>
      </c>
      <c r="Y98" s="415">
        <f t="shared" ca="1" si="27"/>
        <v>2407.0300000000002</v>
      </c>
      <c r="Z98" s="415">
        <f t="shared" ca="1" si="27"/>
        <v>2991.02</v>
      </c>
      <c r="AA98" s="415">
        <f t="shared" ca="1" si="27"/>
        <v>2447.4</v>
      </c>
      <c r="AB98" s="415">
        <f t="shared" ca="1" si="27"/>
        <v>2656.59</v>
      </c>
      <c r="AC98" s="415">
        <f t="shared" ca="1" si="27"/>
        <v>3109.52</v>
      </c>
      <c r="AD98" s="415">
        <f t="shared" ca="1" si="27"/>
        <v>3252.23</v>
      </c>
      <c r="AE98" s="415">
        <f t="shared" ca="1" si="27"/>
        <v>3248.67</v>
      </c>
      <c r="AF98" s="415">
        <f t="shared" ca="1" si="27"/>
        <v>2452.02</v>
      </c>
    </row>
    <row r="99" spans="1:32">
      <c r="A99" t="s">
        <v>67</v>
      </c>
      <c r="B99" t="str">
        <f t="shared" si="22"/>
        <v>ROW P&amp;L</v>
      </c>
      <c r="C99" s="13" t="s">
        <v>236</v>
      </c>
      <c r="D99" t="s">
        <v>396</v>
      </c>
      <c r="E99" t="s">
        <v>82</v>
      </c>
      <c r="F99" s="415">
        <f t="shared" ref="F99:F103" ca="1" si="28">IFERROR(SUMIFS(INDEX(INDIRECT("'"&amp;$D99&amp;"'!$a24:$AU40"),,MATCH(F$1,INDIRECT("'"&amp;$D99&amp;"'!$a$1:$AU$1"),0)),INDIRECT("'"&amp;$D99&amp;"'!$a24:$a40"),$C99),0)</f>
        <v>31000</v>
      </c>
      <c r="G99" s="415">
        <f t="shared" ca="1" si="27"/>
        <v>31000</v>
      </c>
      <c r="H99" s="415">
        <f t="shared" ca="1" si="27"/>
        <v>24000</v>
      </c>
      <c r="I99" s="415">
        <f t="shared" ca="1" si="27"/>
        <v>18250</v>
      </c>
      <c r="J99" s="415">
        <f t="shared" ca="1" si="27"/>
        <v>33500</v>
      </c>
      <c r="K99" s="415">
        <f t="shared" ca="1" si="27"/>
        <v>25200</v>
      </c>
      <c r="L99" s="415">
        <f t="shared" ca="1" si="27"/>
        <v>22500</v>
      </c>
      <c r="M99" s="415">
        <f t="shared" ca="1" si="27"/>
        <v>21276.595744680853</v>
      </c>
      <c r="N99" s="415">
        <f t="shared" ca="1" si="27"/>
        <v>38525</v>
      </c>
      <c r="O99" s="415">
        <f t="shared" ca="1" si="27"/>
        <v>22500</v>
      </c>
      <c r="P99" s="415">
        <f t="shared" ca="1" si="27"/>
        <v>25531.914893617024</v>
      </c>
      <c r="Q99" s="415">
        <f t="shared" ca="1" si="27"/>
        <v>38524.9</v>
      </c>
      <c r="R99" s="415">
        <f t="shared" ca="1" si="27"/>
        <v>46229.88</v>
      </c>
      <c r="S99" s="415">
        <f t="shared" ca="1" si="27"/>
        <v>41606.892</v>
      </c>
      <c r="T99" s="415">
        <f t="shared" ca="1" si="27"/>
        <v>41606.892</v>
      </c>
      <c r="U99" s="415">
        <f t="shared" ca="1" si="27"/>
        <v>36500</v>
      </c>
      <c r="V99" s="415">
        <f t="shared" ca="1" si="27"/>
        <v>43550</v>
      </c>
      <c r="W99" s="415">
        <f t="shared" ca="1" si="27"/>
        <v>31500</v>
      </c>
      <c r="X99" s="415">
        <f t="shared" ca="1" si="27"/>
        <v>28125</v>
      </c>
      <c r="Y99" s="415">
        <f t="shared" ca="1" si="27"/>
        <v>26595.744680851065</v>
      </c>
      <c r="Z99" s="415">
        <f t="shared" ca="1" si="27"/>
        <v>48156.25</v>
      </c>
      <c r="AA99" s="415">
        <f t="shared" ca="1" si="27"/>
        <v>28125</v>
      </c>
      <c r="AB99" s="415">
        <f t="shared" ca="1" si="27"/>
        <v>31914.89361702128</v>
      </c>
      <c r="AC99" s="415">
        <f t="shared" ca="1" si="27"/>
        <v>48156.125</v>
      </c>
      <c r="AD99" s="415">
        <f t="shared" ca="1" si="27"/>
        <v>57787.35</v>
      </c>
      <c r="AE99" s="415">
        <f t="shared" ca="1" si="27"/>
        <v>52008.614999999998</v>
      </c>
      <c r="AF99" s="415">
        <f t="shared" ca="1" si="27"/>
        <v>52008.614999999998</v>
      </c>
    </row>
    <row r="100" spans="1:32">
      <c r="A100" t="s">
        <v>67</v>
      </c>
      <c r="B100" t="str">
        <f t="shared" si="22"/>
        <v>ROW P&amp;L</v>
      </c>
      <c r="C100" s="13" t="s">
        <v>255</v>
      </c>
      <c r="D100" t="s">
        <v>396</v>
      </c>
      <c r="E100" t="s">
        <v>82</v>
      </c>
      <c r="F100" s="415">
        <f t="shared" ca="1" si="28"/>
        <v>0</v>
      </c>
      <c r="G100" s="415">
        <f t="shared" ca="1" si="27"/>
        <v>0</v>
      </c>
      <c r="H100" s="415">
        <f t="shared" ca="1" si="27"/>
        <v>0</v>
      </c>
      <c r="I100" s="415">
        <f t="shared" ca="1" si="27"/>
        <v>0</v>
      </c>
      <c r="J100" s="415">
        <f t="shared" ca="1" si="27"/>
        <v>0</v>
      </c>
      <c r="K100" s="415">
        <f t="shared" ca="1" si="27"/>
        <v>0</v>
      </c>
      <c r="L100" s="415">
        <f t="shared" ca="1" si="27"/>
        <v>0</v>
      </c>
      <c r="M100" s="415">
        <f t="shared" ca="1" si="27"/>
        <v>0</v>
      </c>
      <c r="N100" s="415">
        <f t="shared" ca="1" si="27"/>
        <v>0</v>
      </c>
      <c r="O100" s="415">
        <f t="shared" ca="1" si="27"/>
        <v>0</v>
      </c>
      <c r="P100" s="415">
        <f t="shared" ca="1" si="27"/>
        <v>0</v>
      </c>
      <c r="Q100" s="415">
        <f t="shared" ca="1" si="27"/>
        <v>0</v>
      </c>
      <c r="R100" s="415">
        <f t="shared" ca="1" si="27"/>
        <v>0</v>
      </c>
      <c r="S100" s="415">
        <f t="shared" ca="1" si="27"/>
        <v>0</v>
      </c>
      <c r="T100" s="415">
        <f t="shared" ca="1" si="27"/>
        <v>0</v>
      </c>
      <c r="U100" s="415">
        <f t="shared" ca="1" si="27"/>
        <v>0</v>
      </c>
      <c r="V100" s="415">
        <f t="shared" ca="1" si="27"/>
        <v>0</v>
      </c>
      <c r="W100" s="415">
        <f t="shared" ca="1" si="27"/>
        <v>0</v>
      </c>
      <c r="X100" s="415">
        <f t="shared" ca="1" si="27"/>
        <v>0</v>
      </c>
      <c r="Y100" s="415">
        <f t="shared" ca="1" si="27"/>
        <v>0</v>
      </c>
      <c r="Z100" s="415">
        <f t="shared" ca="1" si="27"/>
        <v>0</v>
      </c>
      <c r="AA100" s="415">
        <f t="shared" ca="1" si="27"/>
        <v>0</v>
      </c>
      <c r="AB100" s="415">
        <f t="shared" ca="1" si="27"/>
        <v>0</v>
      </c>
      <c r="AC100" s="415">
        <f t="shared" ca="1" si="27"/>
        <v>0</v>
      </c>
      <c r="AD100" s="415">
        <f t="shared" ca="1" si="27"/>
        <v>0</v>
      </c>
      <c r="AE100" s="415">
        <f t="shared" ca="1" si="27"/>
        <v>0</v>
      </c>
      <c r="AF100" s="415">
        <f t="shared" ca="1" si="27"/>
        <v>0</v>
      </c>
    </row>
    <row r="101" spans="1:32">
      <c r="A101" t="s">
        <v>67</v>
      </c>
      <c r="B101" t="str">
        <f t="shared" si="22"/>
        <v>ROW P&amp;L</v>
      </c>
      <c r="C101" s="13" t="s">
        <v>400</v>
      </c>
      <c r="D101" t="s">
        <v>396</v>
      </c>
      <c r="E101" t="s">
        <v>82</v>
      </c>
      <c r="F101" s="415">
        <f t="shared" ca="1" si="28"/>
        <v>0</v>
      </c>
      <c r="G101" s="415">
        <f t="shared" ca="1" si="27"/>
        <v>0</v>
      </c>
      <c r="H101" s="415">
        <f t="shared" ca="1" si="27"/>
        <v>0</v>
      </c>
      <c r="I101" s="415">
        <f t="shared" ca="1" si="27"/>
        <v>1554.56</v>
      </c>
      <c r="J101" s="415">
        <f t="shared" ca="1" si="27"/>
        <v>2562</v>
      </c>
      <c r="K101" s="415">
        <f t="shared" ca="1" si="27"/>
        <v>2446.37</v>
      </c>
      <c r="L101" s="415">
        <f t="shared" ca="1" si="27"/>
        <v>2447.2800000000002</v>
      </c>
      <c r="M101" s="415">
        <f t="shared" ca="1" si="27"/>
        <v>2407.0300000000002</v>
      </c>
      <c r="N101" s="415">
        <f t="shared" ca="1" si="27"/>
        <v>2991.02</v>
      </c>
      <c r="O101" s="415">
        <f t="shared" ca="1" si="27"/>
        <v>2447.4</v>
      </c>
      <c r="P101" s="415">
        <f t="shared" ca="1" si="27"/>
        <v>2656.59</v>
      </c>
      <c r="Q101" s="415">
        <f t="shared" ca="1" si="27"/>
        <v>3109.52</v>
      </c>
      <c r="R101" s="415">
        <f t="shared" ca="1" si="27"/>
        <v>3252.23</v>
      </c>
      <c r="S101" s="415">
        <f t="shared" ca="1" si="27"/>
        <v>3248.67</v>
      </c>
      <c r="T101" s="415">
        <f t="shared" ca="1" si="27"/>
        <v>2452.02</v>
      </c>
      <c r="U101" s="415">
        <f t="shared" ca="1" si="27"/>
        <v>1632.288</v>
      </c>
      <c r="V101" s="415">
        <f t="shared" ca="1" si="27"/>
        <v>2690.1</v>
      </c>
      <c r="W101" s="415">
        <f t="shared" ca="1" si="27"/>
        <v>2568.6885000000002</v>
      </c>
      <c r="X101" s="415">
        <f t="shared" ca="1" si="27"/>
        <v>2569.6440000000002</v>
      </c>
      <c r="Y101" s="415">
        <f t="shared" ca="1" si="27"/>
        <v>2527.3815000000004</v>
      </c>
      <c r="Z101" s="415">
        <f t="shared" ca="1" si="27"/>
        <v>3140.5709999999999</v>
      </c>
      <c r="AA101" s="415">
        <f t="shared" ca="1" si="27"/>
        <v>2569.77</v>
      </c>
      <c r="AB101" s="415">
        <f t="shared" ca="1" si="27"/>
        <v>2789.4195000000004</v>
      </c>
      <c r="AC101" s="415">
        <f t="shared" ca="1" si="27"/>
        <v>3264.9960000000001</v>
      </c>
      <c r="AD101" s="415">
        <f t="shared" ca="1" si="27"/>
        <v>3414.8415</v>
      </c>
      <c r="AE101" s="415">
        <f t="shared" ca="1" si="27"/>
        <v>3411.1035000000002</v>
      </c>
      <c r="AF101" s="415">
        <f t="shared" ca="1" si="27"/>
        <v>2574.6210000000001</v>
      </c>
    </row>
    <row r="102" spans="1:32">
      <c r="A102" t="s">
        <v>67</v>
      </c>
      <c r="B102" t="str">
        <f t="shared" si="22"/>
        <v>ROW P&amp;L</v>
      </c>
      <c r="C102" s="13" t="s">
        <v>401</v>
      </c>
      <c r="D102" t="s">
        <v>396</v>
      </c>
      <c r="E102" t="s">
        <v>82</v>
      </c>
      <c r="F102" s="415">
        <f t="shared" ca="1" si="28"/>
        <v>12400</v>
      </c>
      <c r="G102" s="415">
        <f t="shared" ca="1" si="27"/>
        <v>12400</v>
      </c>
      <c r="H102" s="415">
        <f t="shared" ca="1" si="27"/>
        <v>9600</v>
      </c>
      <c r="I102" s="415">
        <f t="shared" ca="1" si="27"/>
        <v>6218.24</v>
      </c>
      <c r="J102" s="415">
        <f t="shared" ca="1" si="27"/>
        <v>10248</v>
      </c>
      <c r="K102" s="415">
        <f t="shared" ca="1" si="27"/>
        <v>9785.48</v>
      </c>
      <c r="L102" s="415">
        <f t="shared" ca="1" si="27"/>
        <v>9789.1200000000008</v>
      </c>
      <c r="M102" s="415">
        <f t="shared" ca="1" si="27"/>
        <v>9628.1200000000008</v>
      </c>
      <c r="N102" s="415">
        <f t="shared" ca="1" si="27"/>
        <v>11964.08</v>
      </c>
      <c r="O102" s="415">
        <f t="shared" ca="1" si="27"/>
        <v>9789.6</v>
      </c>
      <c r="P102" s="415">
        <f t="shared" ca="1" si="27"/>
        <v>10626.36</v>
      </c>
      <c r="Q102" s="415">
        <f t="shared" ca="1" si="27"/>
        <v>12438.08</v>
      </c>
      <c r="R102" s="415">
        <f t="shared" ca="1" si="27"/>
        <v>13008.92</v>
      </c>
      <c r="S102" s="415">
        <f t="shared" ca="1" si="27"/>
        <v>12994.68</v>
      </c>
      <c r="T102" s="415">
        <f t="shared" ca="1" si="27"/>
        <v>9808.08</v>
      </c>
      <c r="U102" s="415">
        <f t="shared" ca="1" si="27"/>
        <v>6218.24</v>
      </c>
      <c r="V102" s="415">
        <f t="shared" ca="1" si="27"/>
        <v>10248</v>
      </c>
      <c r="W102" s="415">
        <f t="shared" ca="1" si="27"/>
        <v>9785.48</v>
      </c>
      <c r="X102" s="415">
        <f t="shared" ca="1" si="27"/>
        <v>9789.1200000000008</v>
      </c>
      <c r="Y102" s="415">
        <f t="shared" ca="1" si="27"/>
        <v>9628.1200000000008</v>
      </c>
      <c r="Z102" s="415">
        <f t="shared" ca="1" si="27"/>
        <v>11964.08</v>
      </c>
      <c r="AA102" s="415">
        <f t="shared" ca="1" si="27"/>
        <v>9789.6</v>
      </c>
      <c r="AB102" s="415">
        <f t="shared" ca="1" si="27"/>
        <v>10626.36</v>
      </c>
      <c r="AC102" s="415">
        <f t="shared" ca="1" si="27"/>
        <v>12438.08</v>
      </c>
      <c r="AD102" s="415">
        <f t="shared" ca="1" si="27"/>
        <v>13008.92</v>
      </c>
      <c r="AE102" s="415">
        <f t="shared" ca="1" si="27"/>
        <v>12994.68</v>
      </c>
      <c r="AF102" s="415">
        <f t="shared" ca="1" si="27"/>
        <v>9808.08</v>
      </c>
    </row>
    <row r="103" spans="1:32">
      <c r="A103" t="s">
        <v>67</v>
      </c>
      <c r="B103" t="str">
        <f t="shared" si="22"/>
        <v>ROW P&amp;L</v>
      </c>
      <c r="C103" s="13" t="s">
        <v>305</v>
      </c>
      <c r="D103" t="s">
        <v>396</v>
      </c>
      <c r="E103" t="s">
        <v>82</v>
      </c>
      <c r="F103" s="415">
        <f t="shared" ca="1" si="28"/>
        <v>0</v>
      </c>
      <c r="G103" s="415">
        <f t="shared" ca="1" si="27"/>
        <v>0</v>
      </c>
      <c r="H103" s="415">
        <f t="shared" ca="1" si="27"/>
        <v>0</v>
      </c>
      <c r="I103" s="415">
        <f t="shared" ca="1" si="27"/>
        <v>0</v>
      </c>
      <c r="J103" s="415">
        <f t="shared" ca="1" si="27"/>
        <v>0</v>
      </c>
      <c r="K103" s="415">
        <f t="shared" ca="1" si="27"/>
        <v>0</v>
      </c>
      <c r="L103" s="415">
        <f t="shared" ca="1" si="27"/>
        <v>0</v>
      </c>
      <c r="M103" s="415">
        <f t="shared" ca="1" si="27"/>
        <v>0</v>
      </c>
      <c r="N103" s="415">
        <f t="shared" ca="1" si="27"/>
        <v>0</v>
      </c>
      <c r="O103" s="415">
        <f t="shared" ca="1" si="27"/>
        <v>0</v>
      </c>
      <c r="P103" s="415">
        <f t="shared" ca="1" si="27"/>
        <v>0</v>
      </c>
      <c r="Q103" s="415">
        <f t="shared" ca="1" si="27"/>
        <v>0</v>
      </c>
      <c r="R103" s="415">
        <f t="shared" ca="1" si="27"/>
        <v>0</v>
      </c>
      <c r="S103" s="415">
        <f t="shared" ca="1" si="27"/>
        <v>0</v>
      </c>
      <c r="T103" s="415">
        <f t="shared" ca="1" si="27"/>
        <v>0</v>
      </c>
      <c r="U103" s="415">
        <f t="shared" ca="1" si="27"/>
        <v>0</v>
      </c>
      <c r="V103" s="415">
        <f t="shared" ca="1" si="27"/>
        <v>0</v>
      </c>
      <c r="W103" s="415">
        <f t="shared" ca="1" si="27"/>
        <v>0</v>
      </c>
      <c r="X103" s="415">
        <f t="shared" ca="1" si="27"/>
        <v>0</v>
      </c>
      <c r="Y103" s="415">
        <f t="shared" ca="1" si="27"/>
        <v>0</v>
      </c>
      <c r="Z103" s="415">
        <f t="shared" ca="1" si="27"/>
        <v>0</v>
      </c>
      <c r="AA103" s="415">
        <f t="shared" ca="1" si="27"/>
        <v>0</v>
      </c>
      <c r="AB103" s="415">
        <f t="shared" ca="1" si="27"/>
        <v>0</v>
      </c>
      <c r="AC103" s="415">
        <f t="shared" ca="1" si="27"/>
        <v>0</v>
      </c>
      <c r="AD103" s="415">
        <f t="shared" ca="1" si="27"/>
        <v>0</v>
      </c>
      <c r="AE103" s="415">
        <f t="shared" ca="1" si="27"/>
        <v>0</v>
      </c>
      <c r="AF103" s="415">
        <f t="shared" ca="1" si="27"/>
        <v>0</v>
      </c>
    </row>
    <row r="104" spans="1:32">
      <c r="B104" t="s">
        <v>277</v>
      </c>
      <c r="C104" t="s">
        <v>277</v>
      </c>
      <c r="D104" t="s">
        <v>395</v>
      </c>
      <c r="E104" t="s">
        <v>82</v>
      </c>
      <c r="F104" s="415">
        <f ca="1">IFERROR(SUMIFS(INDEX(INDIRECT("'"&amp;$D104&amp;"'!$a1:$AU110"),,MATCH(F$1,INDIRECT("'"&amp;$D104&amp;"'!$a$1:$AU$1"),0)),INDIRECT("'"&amp;$D104&amp;"'!$a1:$a110"),$C104),0)</f>
        <v>0</v>
      </c>
      <c r="G104" s="415">
        <f t="shared" ref="G104:V119" ca="1" si="29">IFERROR(SUMIFS(INDEX(INDIRECT("'"&amp;$D104&amp;"'!$a1:$AU110"),,MATCH(G$1,INDIRECT("'"&amp;$D104&amp;"'!$a$1:$AU$1"),0)),INDIRECT("'"&amp;$D104&amp;"'!$a1:$a110"),$C104),0)</f>
        <v>0</v>
      </c>
      <c r="H104" s="415">
        <f t="shared" ca="1" si="29"/>
        <v>0</v>
      </c>
      <c r="I104" s="415">
        <f t="shared" ca="1" si="29"/>
        <v>0</v>
      </c>
      <c r="J104" s="415">
        <f t="shared" ca="1" si="29"/>
        <v>0</v>
      </c>
      <c r="K104" s="415">
        <f t="shared" ca="1" si="29"/>
        <v>0</v>
      </c>
      <c r="L104" s="415">
        <f t="shared" ca="1" si="29"/>
        <v>0</v>
      </c>
      <c r="M104" s="415">
        <f t="shared" ca="1" si="29"/>
        <v>0</v>
      </c>
      <c r="N104" s="415">
        <f t="shared" ca="1" si="29"/>
        <v>0</v>
      </c>
      <c r="O104" s="415">
        <f t="shared" ca="1" si="29"/>
        <v>0</v>
      </c>
      <c r="P104" s="415">
        <f t="shared" ca="1" si="29"/>
        <v>0</v>
      </c>
      <c r="Q104" s="415">
        <f t="shared" ca="1" si="29"/>
        <v>0</v>
      </c>
      <c r="R104" s="415">
        <f t="shared" ca="1" si="29"/>
        <v>0</v>
      </c>
      <c r="S104" s="415">
        <f t="shared" ca="1" si="29"/>
        <v>0</v>
      </c>
      <c r="T104" s="415">
        <f t="shared" ca="1" si="29"/>
        <v>0</v>
      </c>
      <c r="U104" s="415">
        <f t="shared" ca="1" si="29"/>
        <v>0</v>
      </c>
      <c r="V104" s="415">
        <f t="shared" ca="1" si="29"/>
        <v>0</v>
      </c>
      <c r="W104" s="415">
        <f t="shared" ref="W104:AF119" ca="1" si="30">IFERROR(SUMIFS(INDEX(INDIRECT("'"&amp;$D104&amp;"'!$a1:$AU110"),,MATCH(W$1,INDIRECT("'"&amp;$D104&amp;"'!$a$1:$AU$1"),0)),INDIRECT("'"&amp;$D104&amp;"'!$a1:$a110"),$C104),0)</f>
        <v>0</v>
      </c>
      <c r="X104" s="415">
        <f t="shared" ca="1" si="30"/>
        <v>0</v>
      </c>
      <c r="Y104" s="415">
        <f t="shared" ca="1" si="30"/>
        <v>0</v>
      </c>
      <c r="Z104" s="415">
        <f t="shared" ca="1" si="30"/>
        <v>0</v>
      </c>
      <c r="AA104" s="415">
        <f t="shared" ca="1" si="30"/>
        <v>0</v>
      </c>
      <c r="AB104" s="415">
        <f t="shared" ca="1" si="30"/>
        <v>0</v>
      </c>
      <c r="AC104" s="415">
        <f t="shared" ca="1" si="30"/>
        <v>0</v>
      </c>
      <c r="AD104" s="415">
        <f t="shared" ca="1" si="30"/>
        <v>0</v>
      </c>
      <c r="AE104" s="415">
        <f t="shared" ca="1" si="30"/>
        <v>0</v>
      </c>
      <c r="AF104" s="415">
        <f t="shared" ca="1" si="30"/>
        <v>0</v>
      </c>
    </row>
    <row r="105" spans="1:32">
      <c r="B105" t="s">
        <v>248</v>
      </c>
      <c r="C105" s="37" t="s">
        <v>248</v>
      </c>
      <c r="D105" t="s">
        <v>395</v>
      </c>
      <c r="E105" t="s">
        <v>82</v>
      </c>
      <c r="F105" s="415">
        <f t="shared" ref="F105:U120" ca="1" si="31">IFERROR(SUMIFS(INDEX(INDIRECT("'"&amp;$D105&amp;"'!$a1:$AU110"),,MATCH(F$1,INDIRECT("'"&amp;$D105&amp;"'!$a$1:$AU$1"),0)),INDIRECT("'"&amp;$D105&amp;"'!$a1:$a110"),$C105),0)</f>
        <v>0</v>
      </c>
      <c r="G105" s="415">
        <f t="shared" ca="1" si="29"/>
        <v>0</v>
      </c>
      <c r="H105" s="415">
        <f t="shared" ca="1" si="29"/>
        <v>0</v>
      </c>
      <c r="I105" s="415">
        <f t="shared" ca="1" si="29"/>
        <v>0</v>
      </c>
      <c r="J105" s="415">
        <f t="shared" ca="1" si="29"/>
        <v>0</v>
      </c>
      <c r="K105" s="415">
        <f t="shared" ca="1" si="29"/>
        <v>0</v>
      </c>
      <c r="L105" s="415">
        <f t="shared" ca="1" si="29"/>
        <v>0</v>
      </c>
      <c r="M105" s="415">
        <f t="shared" ca="1" si="29"/>
        <v>0</v>
      </c>
      <c r="N105" s="415">
        <f t="shared" ca="1" si="29"/>
        <v>0</v>
      </c>
      <c r="O105" s="415">
        <f t="shared" ca="1" si="29"/>
        <v>0</v>
      </c>
      <c r="P105" s="415">
        <f t="shared" ca="1" si="29"/>
        <v>0</v>
      </c>
      <c r="Q105" s="415">
        <f t="shared" ca="1" si="29"/>
        <v>0</v>
      </c>
      <c r="R105" s="415">
        <f t="shared" ca="1" si="29"/>
        <v>0</v>
      </c>
      <c r="S105" s="415">
        <f t="shared" ca="1" si="29"/>
        <v>0</v>
      </c>
      <c r="T105" s="415">
        <f t="shared" ca="1" si="29"/>
        <v>0</v>
      </c>
      <c r="U105" s="415">
        <f t="shared" ca="1" si="29"/>
        <v>0</v>
      </c>
      <c r="V105" s="415">
        <f t="shared" ca="1" si="29"/>
        <v>0</v>
      </c>
      <c r="W105" s="415">
        <f t="shared" ca="1" si="30"/>
        <v>0</v>
      </c>
      <c r="X105" s="415">
        <f t="shared" ca="1" si="30"/>
        <v>0</v>
      </c>
      <c r="Y105" s="415">
        <f t="shared" ca="1" si="30"/>
        <v>0</v>
      </c>
      <c r="Z105" s="415">
        <f t="shared" ca="1" si="30"/>
        <v>0</v>
      </c>
      <c r="AA105" s="415">
        <f t="shared" ca="1" si="30"/>
        <v>0</v>
      </c>
      <c r="AB105" s="415">
        <f t="shared" ca="1" si="30"/>
        <v>0</v>
      </c>
      <c r="AC105" s="415">
        <f t="shared" ca="1" si="30"/>
        <v>0</v>
      </c>
      <c r="AD105" s="415">
        <f t="shared" ca="1" si="30"/>
        <v>0</v>
      </c>
      <c r="AE105" s="415">
        <f t="shared" ca="1" si="30"/>
        <v>0</v>
      </c>
      <c r="AF105" s="415">
        <f t="shared" ca="1" si="30"/>
        <v>0</v>
      </c>
    </row>
    <row r="106" spans="1:32">
      <c r="B106" t="s">
        <v>330</v>
      </c>
      <c r="C106" t="s">
        <v>330</v>
      </c>
      <c r="D106" t="s">
        <v>395</v>
      </c>
      <c r="E106" t="s">
        <v>82</v>
      </c>
      <c r="F106" s="415">
        <f t="shared" ca="1" si="31"/>
        <v>0</v>
      </c>
      <c r="G106" s="415">
        <f t="shared" ca="1" si="29"/>
        <v>0</v>
      </c>
      <c r="H106" s="415">
        <f t="shared" ca="1" si="29"/>
        <v>0</v>
      </c>
      <c r="I106" s="415">
        <f t="shared" ca="1" si="29"/>
        <v>0</v>
      </c>
      <c r="J106" s="415">
        <f t="shared" ca="1" si="29"/>
        <v>0</v>
      </c>
      <c r="K106" s="415">
        <f t="shared" ca="1" si="29"/>
        <v>0</v>
      </c>
      <c r="L106" s="415">
        <f t="shared" ca="1" si="29"/>
        <v>0</v>
      </c>
      <c r="M106" s="415">
        <f t="shared" ca="1" si="29"/>
        <v>0</v>
      </c>
      <c r="N106" s="415">
        <f t="shared" ca="1" si="29"/>
        <v>0</v>
      </c>
      <c r="O106" s="415">
        <f t="shared" ca="1" si="29"/>
        <v>0</v>
      </c>
      <c r="P106" s="415">
        <f t="shared" ca="1" si="29"/>
        <v>0</v>
      </c>
      <c r="Q106" s="415">
        <f t="shared" ca="1" si="29"/>
        <v>0</v>
      </c>
      <c r="R106" s="415">
        <f t="shared" ca="1" si="29"/>
        <v>0</v>
      </c>
      <c r="S106" s="415">
        <f t="shared" ca="1" si="29"/>
        <v>0</v>
      </c>
      <c r="T106" s="415">
        <f t="shared" ca="1" si="29"/>
        <v>0</v>
      </c>
      <c r="U106" s="415">
        <f t="shared" ca="1" si="29"/>
        <v>0</v>
      </c>
      <c r="V106" s="415">
        <f t="shared" ca="1" si="29"/>
        <v>0</v>
      </c>
      <c r="W106" s="415">
        <f t="shared" ca="1" si="30"/>
        <v>0</v>
      </c>
      <c r="X106" s="415">
        <f t="shared" ca="1" si="30"/>
        <v>0</v>
      </c>
      <c r="Y106" s="415">
        <f t="shared" ca="1" si="30"/>
        <v>0</v>
      </c>
      <c r="Z106" s="415">
        <f t="shared" ca="1" si="30"/>
        <v>0</v>
      </c>
      <c r="AA106" s="415">
        <f t="shared" ca="1" si="30"/>
        <v>0</v>
      </c>
      <c r="AB106" s="415">
        <f t="shared" ca="1" si="30"/>
        <v>0</v>
      </c>
      <c r="AC106" s="415">
        <f t="shared" ca="1" si="30"/>
        <v>0</v>
      </c>
      <c r="AD106" s="415">
        <f t="shared" ca="1" si="30"/>
        <v>0</v>
      </c>
      <c r="AE106" s="415">
        <f t="shared" ca="1" si="30"/>
        <v>0</v>
      </c>
      <c r="AF106" s="415">
        <f t="shared" ca="1" si="30"/>
        <v>0</v>
      </c>
    </row>
    <row r="107" spans="1:32">
      <c r="B107" t="s">
        <v>343</v>
      </c>
      <c r="C107" t="s">
        <v>343</v>
      </c>
      <c r="D107" t="s">
        <v>395</v>
      </c>
      <c r="E107" t="s">
        <v>82</v>
      </c>
      <c r="F107" s="415">
        <f t="shared" ca="1" si="31"/>
        <v>0</v>
      </c>
      <c r="G107" s="415">
        <f t="shared" ca="1" si="29"/>
        <v>0</v>
      </c>
      <c r="H107" s="415">
        <f t="shared" ca="1" si="29"/>
        <v>0</v>
      </c>
      <c r="I107" s="415">
        <f t="shared" ca="1" si="29"/>
        <v>0</v>
      </c>
      <c r="J107" s="415">
        <f t="shared" ca="1" si="29"/>
        <v>0</v>
      </c>
      <c r="K107" s="415">
        <f t="shared" ca="1" si="29"/>
        <v>0</v>
      </c>
      <c r="L107" s="415">
        <f t="shared" ca="1" si="29"/>
        <v>0</v>
      </c>
      <c r="M107" s="415">
        <f t="shared" ca="1" si="29"/>
        <v>0</v>
      </c>
      <c r="N107" s="415">
        <f t="shared" ca="1" si="29"/>
        <v>0</v>
      </c>
      <c r="O107" s="415">
        <f t="shared" ca="1" si="29"/>
        <v>0</v>
      </c>
      <c r="P107" s="415">
        <f t="shared" ca="1" si="29"/>
        <v>0</v>
      </c>
      <c r="Q107" s="415">
        <f t="shared" ca="1" si="29"/>
        <v>0</v>
      </c>
      <c r="R107" s="415">
        <f t="shared" ca="1" si="29"/>
        <v>0</v>
      </c>
      <c r="S107" s="415">
        <f t="shared" ca="1" si="29"/>
        <v>0</v>
      </c>
      <c r="T107" s="415">
        <f t="shared" ca="1" si="29"/>
        <v>0</v>
      </c>
      <c r="U107" s="415">
        <f t="shared" ca="1" si="29"/>
        <v>0</v>
      </c>
      <c r="V107" s="415">
        <f t="shared" ca="1" si="29"/>
        <v>0</v>
      </c>
      <c r="W107" s="415">
        <f t="shared" ca="1" si="30"/>
        <v>0</v>
      </c>
      <c r="X107" s="415">
        <f t="shared" ca="1" si="30"/>
        <v>0</v>
      </c>
      <c r="Y107" s="415">
        <f t="shared" ca="1" si="30"/>
        <v>0</v>
      </c>
      <c r="Z107" s="415">
        <f t="shared" ca="1" si="30"/>
        <v>0</v>
      </c>
      <c r="AA107" s="415">
        <f t="shared" ca="1" si="30"/>
        <v>0</v>
      </c>
      <c r="AB107" s="415">
        <f t="shared" ca="1" si="30"/>
        <v>0</v>
      </c>
      <c r="AC107" s="415">
        <f t="shared" ca="1" si="30"/>
        <v>0</v>
      </c>
      <c r="AD107" s="415">
        <f t="shared" ca="1" si="30"/>
        <v>0</v>
      </c>
      <c r="AE107" s="415">
        <f t="shared" ca="1" si="30"/>
        <v>0</v>
      </c>
      <c r="AF107" s="415">
        <f t="shared" ca="1" si="30"/>
        <v>0</v>
      </c>
    </row>
    <row r="108" spans="1:32">
      <c r="B108" t="s">
        <v>332</v>
      </c>
      <c r="C108" t="s">
        <v>332</v>
      </c>
      <c r="D108" t="s">
        <v>395</v>
      </c>
      <c r="E108" t="s">
        <v>82</v>
      </c>
      <c r="F108" s="415">
        <f t="shared" ca="1" si="31"/>
        <v>0</v>
      </c>
      <c r="G108" s="415">
        <f t="shared" ca="1" si="29"/>
        <v>0</v>
      </c>
      <c r="H108" s="415">
        <f t="shared" ca="1" si="29"/>
        <v>0</v>
      </c>
      <c r="I108" s="415">
        <f t="shared" ca="1" si="29"/>
        <v>0</v>
      </c>
      <c r="J108" s="415">
        <f t="shared" ca="1" si="29"/>
        <v>0</v>
      </c>
      <c r="K108" s="415">
        <f t="shared" ca="1" si="29"/>
        <v>0</v>
      </c>
      <c r="L108" s="415">
        <f t="shared" ca="1" si="29"/>
        <v>0</v>
      </c>
      <c r="M108" s="415">
        <f t="shared" ca="1" si="29"/>
        <v>0</v>
      </c>
      <c r="N108" s="415">
        <f t="shared" ca="1" si="29"/>
        <v>0</v>
      </c>
      <c r="O108" s="415">
        <f t="shared" ca="1" si="29"/>
        <v>0</v>
      </c>
      <c r="P108" s="415">
        <f t="shared" ca="1" si="29"/>
        <v>0</v>
      </c>
      <c r="Q108" s="415">
        <f t="shared" ca="1" si="29"/>
        <v>0</v>
      </c>
      <c r="R108" s="415">
        <f t="shared" ca="1" si="29"/>
        <v>0</v>
      </c>
      <c r="S108" s="415">
        <f t="shared" ca="1" si="29"/>
        <v>0</v>
      </c>
      <c r="T108" s="415">
        <f t="shared" ca="1" si="29"/>
        <v>0</v>
      </c>
      <c r="U108" s="415">
        <f t="shared" ca="1" si="29"/>
        <v>0</v>
      </c>
      <c r="V108" s="415">
        <f t="shared" ca="1" si="29"/>
        <v>0</v>
      </c>
      <c r="W108" s="415">
        <f t="shared" ca="1" si="30"/>
        <v>0</v>
      </c>
      <c r="X108" s="415">
        <f t="shared" ca="1" si="30"/>
        <v>0</v>
      </c>
      <c r="Y108" s="415">
        <f t="shared" ca="1" si="30"/>
        <v>0</v>
      </c>
      <c r="Z108" s="415">
        <f t="shared" ca="1" si="30"/>
        <v>0</v>
      </c>
      <c r="AA108" s="415">
        <f t="shared" ca="1" si="30"/>
        <v>0</v>
      </c>
      <c r="AB108" s="415">
        <f t="shared" ca="1" si="30"/>
        <v>0</v>
      </c>
      <c r="AC108" s="415">
        <f t="shared" ca="1" si="30"/>
        <v>0</v>
      </c>
      <c r="AD108" s="415">
        <f t="shared" ca="1" si="30"/>
        <v>0</v>
      </c>
      <c r="AE108" s="415">
        <f t="shared" ca="1" si="30"/>
        <v>0</v>
      </c>
      <c r="AF108" s="415">
        <f t="shared" ca="1" si="30"/>
        <v>0</v>
      </c>
    </row>
    <row r="109" spans="1:32">
      <c r="B109" t="s">
        <v>402</v>
      </c>
      <c r="C109" s="13" t="s">
        <v>314</v>
      </c>
      <c r="D109" t="s">
        <v>395</v>
      </c>
      <c r="E109" t="s">
        <v>82</v>
      </c>
      <c r="F109" s="415">
        <f t="shared" ca="1" si="31"/>
        <v>0</v>
      </c>
      <c r="G109" s="415">
        <f t="shared" ca="1" si="29"/>
        <v>0</v>
      </c>
      <c r="H109" s="415">
        <f t="shared" ca="1" si="29"/>
        <v>0</v>
      </c>
      <c r="I109" s="415">
        <f t="shared" ca="1" si="29"/>
        <v>0</v>
      </c>
      <c r="J109" s="415">
        <f t="shared" ca="1" si="29"/>
        <v>0</v>
      </c>
      <c r="K109" s="415">
        <f t="shared" ca="1" si="29"/>
        <v>0</v>
      </c>
      <c r="L109" s="415">
        <f t="shared" ca="1" si="29"/>
        <v>0</v>
      </c>
      <c r="M109" s="415">
        <f t="shared" ca="1" si="29"/>
        <v>0</v>
      </c>
      <c r="N109" s="415">
        <f t="shared" ca="1" si="29"/>
        <v>0</v>
      </c>
      <c r="O109" s="415">
        <f t="shared" ca="1" si="29"/>
        <v>0</v>
      </c>
      <c r="P109" s="415">
        <f t="shared" ca="1" si="29"/>
        <v>0</v>
      </c>
      <c r="Q109" s="415">
        <f t="shared" ca="1" si="29"/>
        <v>0</v>
      </c>
      <c r="R109" s="415">
        <f t="shared" ca="1" si="29"/>
        <v>0</v>
      </c>
      <c r="S109" s="415">
        <f t="shared" ca="1" si="29"/>
        <v>0</v>
      </c>
      <c r="T109" s="415">
        <f t="shared" ca="1" si="29"/>
        <v>0</v>
      </c>
      <c r="U109" s="415">
        <f t="shared" ca="1" si="29"/>
        <v>0</v>
      </c>
      <c r="V109" s="415">
        <f t="shared" ca="1" si="29"/>
        <v>0</v>
      </c>
      <c r="W109" s="415">
        <f t="shared" ca="1" si="30"/>
        <v>0</v>
      </c>
      <c r="X109" s="415">
        <f t="shared" ca="1" si="30"/>
        <v>0</v>
      </c>
      <c r="Y109" s="415">
        <f t="shared" ca="1" si="30"/>
        <v>0</v>
      </c>
      <c r="Z109" s="415">
        <f t="shared" ca="1" si="30"/>
        <v>0</v>
      </c>
      <c r="AA109" s="415">
        <f t="shared" ca="1" si="30"/>
        <v>0</v>
      </c>
      <c r="AB109" s="415">
        <f t="shared" ca="1" si="30"/>
        <v>0</v>
      </c>
      <c r="AC109" s="415">
        <f t="shared" ca="1" si="30"/>
        <v>0</v>
      </c>
      <c r="AD109" s="415">
        <f t="shared" ca="1" si="30"/>
        <v>0</v>
      </c>
      <c r="AE109" s="415">
        <f t="shared" ca="1" si="30"/>
        <v>0</v>
      </c>
      <c r="AF109" s="415">
        <f t="shared" ca="1" si="30"/>
        <v>0</v>
      </c>
    </row>
    <row r="110" spans="1:32">
      <c r="B110" t="s">
        <v>403</v>
      </c>
      <c r="C110" t="s">
        <v>403</v>
      </c>
      <c r="D110" t="s">
        <v>395</v>
      </c>
      <c r="E110" t="s">
        <v>82</v>
      </c>
      <c r="F110" s="415">
        <f t="shared" ca="1" si="31"/>
        <v>0</v>
      </c>
      <c r="G110" s="415">
        <f t="shared" ca="1" si="29"/>
        <v>0</v>
      </c>
      <c r="H110" s="415">
        <f t="shared" ca="1" si="29"/>
        <v>0</v>
      </c>
      <c r="I110" s="415">
        <f t="shared" ca="1" si="29"/>
        <v>0</v>
      </c>
      <c r="J110" s="415">
        <f t="shared" ca="1" si="29"/>
        <v>0</v>
      </c>
      <c r="K110" s="415">
        <f t="shared" ca="1" si="29"/>
        <v>0</v>
      </c>
      <c r="L110" s="415">
        <f t="shared" ca="1" si="29"/>
        <v>0</v>
      </c>
      <c r="M110" s="415">
        <f t="shared" ca="1" si="29"/>
        <v>0</v>
      </c>
      <c r="N110" s="415">
        <f t="shared" ca="1" si="29"/>
        <v>0</v>
      </c>
      <c r="O110" s="415">
        <f t="shared" ca="1" si="29"/>
        <v>0</v>
      </c>
      <c r="P110" s="415">
        <f t="shared" ca="1" si="29"/>
        <v>0</v>
      </c>
      <c r="Q110" s="415">
        <f t="shared" ca="1" si="29"/>
        <v>0</v>
      </c>
      <c r="R110" s="415">
        <f t="shared" ca="1" si="29"/>
        <v>0</v>
      </c>
      <c r="S110" s="415">
        <f t="shared" ca="1" si="29"/>
        <v>0</v>
      </c>
      <c r="T110" s="415">
        <f t="shared" ca="1" si="29"/>
        <v>0</v>
      </c>
      <c r="U110" s="415">
        <f t="shared" ca="1" si="29"/>
        <v>0</v>
      </c>
      <c r="V110" s="415">
        <f t="shared" ca="1" si="29"/>
        <v>0</v>
      </c>
      <c r="W110" s="415">
        <f t="shared" ca="1" si="30"/>
        <v>0</v>
      </c>
      <c r="X110" s="415">
        <f t="shared" ca="1" si="30"/>
        <v>0</v>
      </c>
      <c r="Y110" s="415">
        <f t="shared" ca="1" si="30"/>
        <v>0</v>
      </c>
      <c r="Z110" s="415">
        <f t="shared" ca="1" si="30"/>
        <v>0</v>
      </c>
      <c r="AA110" s="415">
        <f t="shared" ca="1" si="30"/>
        <v>0</v>
      </c>
      <c r="AB110" s="415">
        <f t="shared" ca="1" si="30"/>
        <v>0</v>
      </c>
      <c r="AC110" s="415">
        <f t="shared" ca="1" si="30"/>
        <v>0</v>
      </c>
      <c r="AD110" s="415">
        <f t="shared" ca="1" si="30"/>
        <v>0</v>
      </c>
      <c r="AE110" s="415">
        <f t="shared" ca="1" si="30"/>
        <v>0</v>
      </c>
      <c r="AF110" s="415">
        <f t="shared" ca="1" si="30"/>
        <v>0</v>
      </c>
    </row>
    <row r="111" spans="1:32">
      <c r="B111" t="s">
        <v>404</v>
      </c>
      <c r="C111" t="s">
        <v>405</v>
      </c>
      <c r="D111" t="s">
        <v>395</v>
      </c>
      <c r="E111" t="s">
        <v>82</v>
      </c>
      <c r="F111" s="415">
        <f t="shared" ca="1" si="31"/>
        <v>0</v>
      </c>
      <c r="G111" s="415">
        <f t="shared" ca="1" si="29"/>
        <v>0</v>
      </c>
      <c r="H111" s="415">
        <f t="shared" ca="1" si="29"/>
        <v>0</v>
      </c>
      <c r="I111" s="415">
        <f t="shared" ca="1" si="29"/>
        <v>0</v>
      </c>
      <c r="J111" s="415">
        <f t="shared" ca="1" si="29"/>
        <v>0</v>
      </c>
      <c r="K111" s="415">
        <f t="shared" ca="1" si="29"/>
        <v>0</v>
      </c>
      <c r="L111" s="415">
        <f t="shared" ca="1" si="29"/>
        <v>0</v>
      </c>
      <c r="M111" s="415">
        <f t="shared" ca="1" si="29"/>
        <v>0</v>
      </c>
      <c r="N111" s="415">
        <f t="shared" ca="1" si="29"/>
        <v>0</v>
      </c>
      <c r="O111" s="415">
        <f t="shared" ca="1" si="29"/>
        <v>0</v>
      </c>
      <c r="P111" s="415">
        <f t="shared" ca="1" si="29"/>
        <v>0</v>
      </c>
      <c r="Q111" s="415">
        <f t="shared" ca="1" si="29"/>
        <v>0</v>
      </c>
      <c r="R111" s="415">
        <f t="shared" ca="1" si="29"/>
        <v>0</v>
      </c>
      <c r="S111" s="415">
        <f t="shared" ca="1" si="29"/>
        <v>0</v>
      </c>
      <c r="T111" s="415">
        <f t="shared" ca="1" si="29"/>
        <v>0</v>
      </c>
      <c r="U111" s="415">
        <f t="shared" ca="1" si="29"/>
        <v>0</v>
      </c>
      <c r="V111" s="415">
        <f t="shared" ca="1" si="29"/>
        <v>0</v>
      </c>
      <c r="W111" s="415">
        <f t="shared" ca="1" si="30"/>
        <v>0</v>
      </c>
      <c r="X111" s="415">
        <f t="shared" ca="1" si="30"/>
        <v>0</v>
      </c>
      <c r="Y111" s="415">
        <f t="shared" ca="1" si="30"/>
        <v>0</v>
      </c>
      <c r="Z111" s="415">
        <f t="shared" ca="1" si="30"/>
        <v>0</v>
      </c>
      <c r="AA111" s="415">
        <f t="shared" ca="1" si="30"/>
        <v>0</v>
      </c>
      <c r="AB111" s="415">
        <f t="shared" ca="1" si="30"/>
        <v>0</v>
      </c>
      <c r="AC111" s="415">
        <f t="shared" ca="1" si="30"/>
        <v>0</v>
      </c>
      <c r="AD111" s="415">
        <f t="shared" ca="1" si="30"/>
        <v>0</v>
      </c>
      <c r="AE111" s="415">
        <f t="shared" ca="1" si="30"/>
        <v>0</v>
      </c>
      <c r="AF111" s="415">
        <f t="shared" ca="1" si="30"/>
        <v>0</v>
      </c>
    </row>
    <row r="112" spans="1:32">
      <c r="B112" t="s">
        <v>360</v>
      </c>
      <c r="C112" t="s">
        <v>406</v>
      </c>
      <c r="D112" t="s">
        <v>395</v>
      </c>
      <c r="E112" t="s">
        <v>82</v>
      </c>
      <c r="F112" s="415">
        <f t="shared" ca="1" si="31"/>
        <v>0</v>
      </c>
      <c r="G112" s="415">
        <f t="shared" ca="1" si="29"/>
        <v>0</v>
      </c>
      <c r="H112" s="415">
        <f t="shared" ca="1" si="29"/>
        <v>0</v>
      </c>
      <c r="I112" s="415">
        <f t="shared" ca="1" si="29"/>
        <v>0</v>
      </c>
      <c r="J112" s="415">
        <f t="shared" ca="1" si="29"/>
        <v>0</v>
      </c>
      <c r="K112" s="415">
        <f t="shared" ca="1" si="29"/>
        <v>0</v>
      </c>
      <c r="L112" s="415">
        <f t="shared" ca="1" si="29"/>
        <v>0</v>
      </c>
      <c r="M112" s="415">
        <f t="shared" ca="1" si="29"/>
        <v>0</v>
      </c>
      <c r="N112" s="415">
        <f t="shared" ca="1" si="29"/>
        <v>0</v>
      </c>
      <c r="O112" s="415">
        <f t="shared" ca="1" si="29"/>
        <v>0</v>
      </c>
      <c r="P112" s="415">
        <f t="shared" ca="1" si="29"/>
        <v>0</v>
      </c>
      <c r="Q112" s="415">
        <f t="shared" ca="1" si="29"/>
        <v>0</v>
      </c>
      <c r="R112" s="415">
        <f t="shared" ca="1" si="29"/>
        <v>0</v>
      </c>
      <c r="S112" s="415">
        <f t="shared" ca="1" si="29"/>
        <v>0</v>
      </c>
      <c r="T112" s="415">
        <f t="shared" ca="1" si="29"/>
        <v>0</v>
      </c>
      <c r="U112" s="415">
        <f t="shared" ca="1" si="29"/>
        <v>0</v>
      </c>
      <c r="V112" s="415">
        <f t="shared" ca="1" si="29"/>
        <v>0</v>
      </c>
      <c r="W112" s="415">
        <f t="shared" ca="1" si="30"/>
        <v>0</v>
      </c>
      <c r="X112" s="415">
        <f t="shared" ca="1" si="30"/>
        <v>0</v>
      </c>
      <c r="Y112" s="415">
        <f t="shared" ca="1" si="30"/>
        <v>0</v>
      </c>
      <c r="Z112" s="415">
        <f t="shared" ca="1" si="30"/>
        <v>0</v>
      </c>
      <c r="AA112" s="415">
        <f t="shared" ca="1" si="30"/>
        <v>0</v>
      </c>
      <c r="AB112" s="415">
        <f t="shared" ca="1" si="30"/>
        <v>0</v>
      </c>
      <c r="AC112" s="415">
        <f t="shared" ca="1" si="30"/>
        <v>0</v>
      </c>
      <c r="AD112" s="415">
        <f t="shared" ca="1" si="30"/>
        <v>0</v>
      </c>
      <c r="AE112" s="415">
        <f t="shared" ca="1" si="30"/>
        <v>0</v>
      </c>
      <c r="AF112" s="415">
        <f t="shared" ca="1" si="30"/>
        <v>0</v>
      </c>
    </row>
    <row r="113" spans="2:32">
      <c r="B113" t="s">
        <v>407</v>
      </c>
      <c r="C113" s="37" t="s">
        <v>273</v>
      </c>
      <c r="D113" t="s">
        <v>395</v>
      </c>
      <c r="E113" t="s">
        <v>82</v>
      </c>
      <c r="F113" s="415">
        <f t="shared" ca="1" si="31"/>
        <v>0</v>
      </c>
      <c r="G113" s="415">
        <f t="shared" ca="1" si="29"/>
        <v>0</v>
      </c>
      <c r="H113" s="415">
        <f t="shared" ca="1" si="29"/>
        <v>0</v>
      </c>
      <c r="I113" s="415">
        <f t="shared" ca="1" si="29"/>
        <v>0</v>
      </c>
      <c r="J113" s="415">
        <f t="shared" ca="1" si="29"/>
        <v>0</v>
      </c>
      <c r="K113" s="415">
        <f t="shared" ca="1" si="29"/>
        <v>0</v>
      </c>
      <c r="L113" s="415">
        <f t="shared" ca="1" si="29"/>
        <v>0</v>
      </c>
      <c r="M113" s="415">
        <f t="shared" ca="1" si="29"/>
        <v>0</v>
      </c>
      <c r="N113" s="415">
        <f t="shared" ca="1" si="29"/>
        <v>0</v>
      </c>
      <c r="O113" s="415">
        <f t="shared" ca="1" si="29"/>
        <v>0</v>
      </c>
      <c r="P113" s="415">
        <f t="shared" ca="1" si="29"/>
        <v>0</v>
      </c>
      <c r="Q113" s="415">
        <f t="shared" ca="1" si="29"/>
        <v>0</v>
      </c>
      <c r="R113" s="415">
        <f t="shared" ca="1" si="29"/>
        <v>0</v>
      </c>
      <c r="S113" s="415">
        <f t="shared" ca="1" si="29"/>
        <v>0</v>
      </c>
      <c r="T113" s="415">
        <f t="shared" ca="1" si="29"/>
        <v>0</v>
      </c>
      <c r="U113" s="415">
        <f t="shared" ca="1" si="29"/>
        <v>0</v>
      </c>
      <c r="V113" s="415">
        <f t="shared" ca="1" si="29"/>
        <v>0</v>
      </c>
      <c r="W113" s="415">
        <f t="shared" ca="1" si="30"/>
        <v>0</v>
      </c>
      <c r="X113" s="415">
        <f t="shared" ca="1" si="30"/>
        <v>0</v>
      </c>
      <c r="Y113" s="415">
        <f t="shared" ca="1" si="30"/>
        <v>0</v>
      </c>
      <c r="Z113" s="415">
        <f t="shared" ca="1" si="30"/>
        <v>0</v>
      </c>
      <c r="AA113" s="415">
        <f t="shared" ca="1" si="30"/>
        <v>0</v>
      </c>
      <c r="AB113" s="415">
        <f t="shared" ca="1" si="30"/>
        <v>0</v>
      </c>
      <c r="AC113" s="415">
        <f t="shared" ca="1" si="30"/>
        <v>0</v>
      </c>
      <c r="AD113" s="415">
        <f t="shared" ca="1" si="30"/>
        <v>0</v>
      </c>
      <c r="AE113" s="415">
        <f t="shared" ca="1" si="30"/>
        <v>0</v>
      </c>
      <c r="AF113" s="415">
        <f t="shared" ca="1" si="30"/>
        <v>0</v>
      </c>
    </row>
    <row r="114" spans="2:32">
      <c r="B114" t="s">
        <v>349</v>
      </c>
      <c r="C114" t="s">
        <v>349</v>
      </c>
      <c r="D114" t="s">
        <v>395</v>
      </c>
      <c r="E114" t="s">
        <v>82</v>
      </c>
      <c r="F114" s="415">
        <f t="shared" ca="1" si="31"/>
        <v>0</v>
      </c>
      <c r="G114" s="415">
        <f t="shared" ca="1" si="29"/>
        <v>0</v>
      </c>
      <c r="H114" s="415">
        <f t="shared" ca="1" si="29"/>
        <v>0</v>
      </c>
      <c r="I114" s="415">
        <f t="shared" ca="1" si="29"/>
        <v>0</v>
      </c>
      <c r="J114" s="415">
        <f t="shared" ca="1" si="29"/>
        <v>0</v>
      </c>
      <c r="K114" s="415">
        <f t="shared" ca="1" si="29"/>
        <v>0</v>
      </c>
      <c r="L114" s="415">
        <f t="shared" ca="1" si="29"/>
        <v>0</v>
      </c>
      <c r="M114" s="415">
        <f t="shared" ca="1" si="29"/>
        <v>0</v>
      </c>
      <c r="N114" s="415">
        <f t="shared" ca="1" si="29"/>
        <v>0</v>
      </c>
      <c r="O114" s="415">
        <f t="shared" ca="1" si="29"/>
        <v>0</v>
      </c>
      <c r="P114" s="415">
        <f t="shared" ca="1" si="29"/>
        <v>0</v>
      </c>
      <c r="Q114" s="415">
        <f t="shared" ca="1" si="29"/>
        <v>0</v>
      </c>
      <c r="R114" s="415">
        <f t="shared" ca="1" si="29"/>
        <v>0</v>
      </c>
      <c r="S114" s="415">
        <f t="shared" ca="1" si="29"/>
        <v>0</v>
      </c>
      <c r="T114" s="415">
        <f t="shared" ca="1" si="29"/>
        <v>0</v>
      </c>
      <c r="U114" s="415">
        <f t="shared" ca="1" si="29"/>
        <v>0</v>
      </c>
      <c r="V114" s="415">
        <f t="shared" ca="1" si="29"/>
        <v>0</v>
      </c>
      <c r="W114" s="415">
        <f t="shared" ca="1" si="30"/>
        <v>0</v>
      </c>
      <c r="X114" s="415">
        <f t="shared" ca="1" si="30"/>
        <v>0</v>
      </c>
      <c r="Y114" s="415">
        <f t="shared" ca="1" si="30"/>
        <v>0</v>
      </c>
      <c r="Z114" s="415">
        <f t="shared" ca="1" si="30"/>
        <v>0</v>
      </c>
      <c r="AA114" s="415">
        <f t="shared" ca="1" si="30"/>
        <v>0</v>
      </c>
      <c r="AB114" s="415">
        <f t="shared" ca="1" si="30"/>
        <v>0</v>
      </c>
      <c r="AC114" s="415">
        <f t="shared" ca="1" si="30"/>
        <v>0</v>
      </c>
      <c r="AD114" s="415">
        <f t="shared" ca="1" si="30"/>
        <v>0</v>
      </c>
      <c r="AE114" s="415">
        <f t="shared" ca="1" si="30"/>
        <v>0</v>
      </c>
      <c r="AF114" s="415">
        <f t="shared" ca="1" si="30"/>
        <v>0</v>
      </c>
    </row>
    <row r="115" spans="2:32">
      <c r="B115" t="s">
        <v>408</v>
      </c>
      <c r="C115" s="37" t="s">
        <v>291</v>
      </c>
      <c r="D115" t="s">
        <v>395</v>
      </c>
      <c r="E115" t="s">
        <v>82</v>
      </c>
      <c r="F115" s="415">
        <f t="shared" ca="1" si="31"/>
        <v>0</v>
      </c>
      <c r="G115" s="415">
        <f t="shared" ca="1" si="29"/>
        <v>0</v>
      </c>
      <c r="H115" s="415">
        <f t="shared" ca="1" si="29"/>
        <v>0</v>
      </c>
      <c r="I115" s="415">
        <f t="shared" ca="1" si="29"/>
        <v>0</v>
      </c>
      <c r="J115" s="415">
        <f t="shared" ca="1" si="29"/>
        <v>0</v>
      </c>
      <c r="K115" s="415">
        <f t="shared" ca="1" si="29"/>
        <v>0</v>
      </c>
      <c r="L115" s="415">
        <f t="shared" ca="1" si="29"/>
        <v>0</v>
      </c>
      <c r="M115" s="415">
        <f t="shared" ca="1" si="29"/>
        <v>0</v>
      </c>
      <c r="N115" s="415">
        <f t="shared" ca="1" si="29"/>
        <v>0</v>
      </c>
      <c r="O115" s="415">
        <f t="shared" ca="1" si="29"/>
        <v>0</v>
      </c>
      <c r="P115" s="415">
        <f t="shared" ca="1" si="29"/>
        <v>0</v>
      </c>
      <c r="Q115" s="415">
        <f t="shared" ca="1" si="29"/>
        <v>0</v>
      </c>
      <c r="R115" s="415">
        <f t="shared" ca="1" si="29"/>
        <v>0</v>
      </c>
      <c r="S115" s="415">
        <f t="shared" ca="1" si="29"/>
        <v>0</v>
      </c>
      <c r="T115" s="415">
        <f t="shared" ca="1" si="29"/>
        <v>0</v>
      </c>
      <c r="U115" s="415">
        <f t="shared" ca="1" si="29"/>
        <v>0</v>
      </c>
      <c r="V115" s="415">
        <f t="shared" ca="1" si="29"/>
        <v>0</v>
      </c>
      <c r="W115" s="415">
        <f t="shared" ca="1" si="30"/>
        <v>0</v>
      </c>
      <c r="X115" s="415">
        <f t="shared" ca="1" si="30"/>
        <v>0</v>
      </c>
      <c r="Y115" s="415">
        <f t="shared" ca="1" si="30"/>
        <v>0</v>
      </c>
      <c r="Z115" s="415">
        <f t="shared" ca="1" si="30"/>
        <v>0</v>
      </c>
      <c r="AA115" s="415">
        <f t="shared" ca="1" si="30"/>
        <v>0</v>
      </c>
      <c r="AB115" s="415">
        <f t="shared" ca="1" si="30"/>
        <v>0</v>
      </c>
      <c r="AC115" s="415">
        <f t="shared" ca="1" si="30"/>
        <v>0</v>
      </c>
      <c r="AD115" s="415">
        <f t="shared" ca="1" si="30"/>
        <v>0</v>
      </c>
      <c r="AE115" s="415">
        <f t="shared" ca="1" si="30"/>
        <v>0</v>
      </c>
      <c r="AF115" s="415">
        <f t="shared" ca="1" si="30"/>
        <v>0</v>
      </c>
    </row>
    <row r="116" spans="2:32">
      <c r="B116" t="s">
        <v>409</v>
      </c>
      <c r="C116" t="s">
        <v>410</v>
      </c>
      <c r="D116" t="s">
        <v>395</v>
      </c>
      <c r="E116" t="s">
        <v>82</v>
      </c>
      <c r="F116" s="415">
        <f t="shared" ca="1" si="31"/>
        <v>0</v>
      </c>
      <c r="G116" s="415">
        <f t="shared" ca="1" si="29"/>
        <v>0</v>
      </c>
      <c r="H116" s="415">
        <f t="shared" ca="1" si="29"/>
        <v>0</v>
      </c>
      <c r="I116" s="415">
        <f t="shared" ca="1" si="29"/>
        <v>0</v>
      </c>
      <c r="J116" s="415">
        <f t="shared" ca="1" si="29"/>
        <v>0</v>
      </c>
      <c r="K116" s="415">
        <f t="shared" ca="1" si="29"/>
        <v>0</v>
      </c>
      <c r="L116" s="415">
        <f t="shared" ca="1" si="29"/>
        <v>0</v>
      </c>
      <c r="M116" s="415">
        <f t="shared" ca="1" si="29"/>
        <v>0</v>
      </c>
      <c r="N116" s="415">
        <f t="shared" ca="1" si="29"/>
        <v>0</v>
      </c>
      <c r="O116" s="415">
        <f t="shared" ca="1" si="29"/>
        <v>0</v>
      </c>
      <c r="P116" s="415">
        <f t="shared" ca="1" si="29"/>
        <v>0</v>
      </c>
      <c r="Q116" s="415">
        <f t="shared" ca="1" si="29"/>
        <v>0</v>
      </c>
      <c r="R116" s="415">
        <f t="shared" ca="1" si="29"/>
        <v>0</v>
      </c>
      <c r="S116" s="415">
        <f t="shared" ca="1" si="29"/>
        <v>0</v>
      </c>
      <c r="T116" s="415">
        <f t="shared" ca="1" si="29"/>
        <v>0</v>
      </c>
      <c r="U116" s="415">
        <f t="shared" ca="1" si="29"/>
        <v>0</v>
      </c>
      <c r="V116" s="415">
        <f t="shared" ca="1" si="29"/>
        <v>0</v>
      </c>
      <c r="W116" s="415">
        <f t="shared" ca="1" si="30"/>
        <v>0</v>
      </c>
      <c r="X116" s="415">
        <f t="shared" ca="1" si="30"/>
        <v>0</v>
      </c>
      <c r="Y116" s="415">
        <f t="shared" ca="1" si="30"/>
        <v>0</v>
      </c>
      <c r="Z116" s="415">
        <f t="shared" ca="1" si="30"/>
        <v>0</v>
      </c>
      <c r="AA116" s="415">
        <f t="shared" ca="1" si="30"/>
        <v>0</v>
      </c>
      <c r="AB116" s="415">
        <f t="shared" ca="1" si="30"/>
        <v>0</v>
      </c>
      <c r="AC116" s="415">
        <f t="shared" ca="1" si="30"/>
        <v>0</v>
      </c>
      <c r="AD116" s="415">
        <f t="shared" ca="1" si="30"/>
        <v>0</v>
      </c>
      <c r="AE116" s="415">
        <f t="shared" ca="1" si="30"/>
        <v>0</v>
      </c>
      <c r="AF116" s="415">
        <f t="shared" ca="1" si="30"/>
        <v>0</v>
      </c>
    </row>
    <row r="117" spans="2:32">
      <c r="B117" t="s">
        <v>411</v>
      </c>
      <c r="C117" s="37" t="s">
        <v>307</v>
      </c>
      <c r="D117" t="s">
        <v>395</v>
      </c>
      <c r="E117" t="s">
        <v>82</v>
      </c>
      <c r="F117" s="415">
        <f t="shared" ca="1" si="31"/>
        <v>0</v>
      </c>
      <c r="G117" s="415">
        <f t="shared" ca="1" si="29"/>
        <v>0</v>
      </c>
      <c r="H117" s="415">
        <f t="shared" ca="1" si="29"/>
        <v>0</v>
      </c>
      <c r="I117" s="415">
        <f t="shared" ca="1" si="29"/>
        <v>0</v>
      </c>
      <c r="J117" s="415">
        <f t="shared" ca="1" si="29"/>
        <v>0</v>
      </c>
      <c r="K117" s="415">
        <f t="shared" ca="1" si="29"/>
        <v>0</v>
      </c>
      <c r="L117" s="415">
        <f t="shared" ca="1" si="29"/>
        <v>0</v>
      </c>
      <c r="M117" s="415">
        <f t="shared" ca="1" si="29"/>
        <v>0</v>
      </c>
      <c r="N117" s="415">
        <f t="shared" ca="1" si="29"/>
        <v>0</v>
      </c>
      <c r="O117" s="415">
        <f t="shared" ca="1" si="29"/>
        <v>0</v>
      </c>
      <c r="P117" s="415">
        <f t="shared" ca="1" si="29"/>
        <v>0</v>
      </c>
      <c r="Q117" s="415">
        <f t="shared" ca="1" si="29"/>
        <v>0</v>
      </c>
      <c r="R117" s="415">
        <f t="shared" ca="1" si="29"/>
        <v>0</v>
      </c>
      <c r="S117" s="415">
        <f t="shared" ca="1" si="29"/>
        <v>0</v>
      </c>
      <c r="T117" s="415">
        <f t="shared" ca="1" si="29"/>
        <v>0</v>
      </c>
      <c r="U117" s="415">
        <f t="shared" ca="1" si="29"/>
        <v>0</v>
      </c>
      <c r="V117" s="415">
        <f t="shared" ca="1" si="29"/>
        <v>0</v>
      </c>
      <c r="W117" s="415">
        <f t="shared" ca="1" si="30"/>
        <v>0</v>
      </c>
      <c r="X117" s="415">
        <f t="shared" ca="1" si="30"/>
        <v>0</v>
      </c>
      <c r="Y117" s="415">
        <f t="shared" ca="1" si="30"/>
        <v>0</v>
      </c>
      <c r="Z117" s="415">
        <f t="shared" ca="1" si="30"/>
        <v>0</v>
      </c>
      <c r="AA117" s="415">
        <f t="shared" ca="1" si="30"/>
        <v>0</v>
      </c>
      <c r="AB117" s="415">
        <f t="shared" ca="1" si="30"/>
        <v>0</v>
      </c>
      <c r="AC117" s="415">
        <f t="shared" ca="1" si="30"/>
        <v>0</v>
      </c>
      <c r="AD117" s="415">
        <f t="shared" ca="1" si="30"/>
        <v>0</v>
      </c>
      <c r="AE117" s="415">
        <f t="shared" ca="1" si="30"/>
        <v>0</v>
      </c>
      <c r="AF117" s="415">
        <f t="shared" ca="1" si="30"/>
        <v>0</v>
      </c>
    </row>
    <row r="118" spans="2:32">
      <c r="B118" t="s">
        <v>363</v>
      </c>
      <c r="C118" s="37" t="s">
        <v>340</v>
      </c>
      <c r="D118" t="s">
        <v>395</v>
      </c>
      <c r="E118" t="s">
        <v>82</v>
      </c>
      <c r="F118" s="415">
        <f t="shared" ca="1" si="31"/>
        <v>0</v>
      </c>
      <c r="G118" s="415">
        <f t="shared" ca="1" si="29"/>
        <v>0</v>
      </c>
      <c r="H118" s="415">
        <f t="shared" ca="1" si="29"/>
        <v>0</v>
      </c>
      <c r="I118" s="415">
        <f t="shared" ca="1" si="29"/>
        <v>0</v>
      </c>
      <c r="J118" s="415">
        <f t="shared" ca="1" si="29"/>
        <v>0</v>
      </c>
      <c r="K118" s="415">
        <f t="shared" ca="1" si="29"/>
        <v>0</v>
      </c>
      <c r="L118" s="415">
        <f t="shared" ca="1" si="29"/>
        <v>0</v>
      </c>
      <c r="M118" s="415">
        <f t="shared" ca="1" si="29"/>
        <v>0</v>
      </c>
      <c r="N118" s="415">
        <f t="shared" ca="1" si="29"/>
        <v>0</v>
      </c>
      <c r="O118" s="415">
        <f t="shared" ca="1" si="29"/>
        <v>0</v>
      </c>
      <c r="P118" s="415">
        <f t="shared" ca="1" si="29"/>
        <v>0</v>
      </c>
      <c r="Q118" s="415">
        <f t="shared" ca="1" si="29"/>
        <v>0</v>
      </c>
      <c r="R118" s="415">
        <f t="shared" ca="1" si="29"/>
        <v>0</v>
      </c>
      <c r="S118" s="415">
        <f t="shared" ca="1" si="29"/>
        <v>0</v>
      </c>
      <c r="T118" s="415">
        <f t="shared" ca="1" si="29"/>
        <v>0</v>
      </c>
      <c r="U118" s="415">
        <f t="shared" ca="1" si="29"/>
        <v>0</v>
      </c>
      <c r="V118" s="415">
        <f t="shared" ca="1" si="29"/>
        <v>0</v>
      </c>
      <c r="W118" s="415">
        <f t="shared" ca="1" si="30"/>
        <v>0</v>
      </c>
      <c r="X118" s="415">
        <f t="shared" ca="1" si="30"/>
        <v>0</v>
      </c>
      <c r="Y118" s="415">
        <f t="shared" ca="1" si="30"/>
        <v>0</v>
      </c>
      <c r="Z118" s="415">
        <f t="shared" ca="1" si="30"/>
        <v>0</v>
      </c>
      <c r="AA118" s="415">
        <f t="shared" ca="1" si="30"/>
        <v>0</v>
      </c>
      <c r="AB118" s="415">
        <f t="shared" ca="1" si="30"/>
        <v>0</v>
      </c>
      <c r="AC118" s="415">
        <f t="shared" ca="1" si="30"/>
        <v>0</v>
      </c>
      <c r="AD118" s="415">
        <f t="shared" ca="1" si="30"/>
        <v>0</v>
      </c>
      <c r="AE118" s="415">
        <f t="shared" ca="1" si="30"/>
        <v>0</v>
      </c>
      <c r="AF118" s="415">
        <f t="shared" ca="1" si="30"/>
        <v>0</v>
      </c>
    </row>
    <row r="119" spans="2:32">
      <c r="B119" t="s">
        <v>412</v>
      </c>
      <c r="C119" s="37" t="s">
        <v>326</v>
      </c>
      <c r="D119" t="s">
        <v>395</v>
      </c>
      <c r="E119" t="s">
        <v>82</v>
      </c>
      <c r="F119" s="415">
        <f t="shared" ca="1" si="31"/>
        <v>0</v>
      </c>
      <c r="G119" s="415">
        <f t="shared" ca="1" si="29"/>
        <v>0</v>
      </c>
      <c r="H119" s="415">
        <f t="shared" ca="1" si="29"/>
        <v>0</v>
      </c>
      <c r="I119" s="415">
        <f t="shared" ca="1" si="29"/>
        <v>0</v>
      </c>
      <c r="J119" s="415">
        <f t="shared" ca="1" si="29"/>
        <v>0</v>
      </c>
      <c r="K119" s="415">
        <f t="shared" ca="1" si="29"/>
        <v>0</v>
      </c>
      <c r="L119" s="415">
        <f t="shared" ca="1" si="29"/>
        <v>0</v>
      </c>
      <c r="M119" s="415">
        <f t="shared" ca="1" si="29"/>
        <v>0</v>
      </c>
      <c r="N119" s="415">
        <f t="shared" ca="1" si="29"/>
        <v>0</v>
      </c>
      <c r="O119" s="415">
        <f t="shared" ca="1" si="29"/>
        <v>0</v>
      </c>
      <c r="P119" s="415">
        <f t="shared" ca="1" si="29"/>
        <v>0</v>
      </c>
      <c r="Q119" s="415">
        <f t="shared" ca="1" si="29"/>
        <v>0</v>
      </c>
      <c r="R119" s="415">
        <f t="shared" ca="1" si="29"/>
        <v>0</v>
      </c>
      <c r="S119" s="415">
        <f t="shared" ca="1" si="29"/>
        <v>0</v>
      </c>
      <c r="T119" s="415">
        <f t="shared" ca="1" si="29"/>
        <v>0</v>
      </c>
      <c r="U119" s="415">
        <f t="shared" ca="1" si="29"/>
        <v>0</v>
      </c>
      <c r="V119" s="415">
        <f t="shared" ref="V119:AF121" ca="1" si="32">IFERROR(SUMIFS(INDEX(INDIRECT("'"&amp;$D119&amp;"'!$a1:$AU110"),,MATCH(V$1,INDIRECT("'"&amp;$D119&amp;"'!$a$1:$AU$1"),0)),INDIRECT("'"&amp;$D119&amp;"'!$a1:$a110"),$C119),0)</f>
        <v>0</v>
      </c>
      <c r="W119" s="415">
        <f t="shared" ca="1" si="30"/>
        <v>0</v>
      </c>
      <c r="X119" s="415">
        <f t="shared" ca="1" si="30"/>
        <v>0</v>
      </c>
      <c r="Y119" s="415">
        <f t="shared" ca="1" si="30"/>
        <v>0</v>
      </c>
      <c r="Z119" s="415">
        <f t="shared" ca="1" si="30"/>
        <v>0</v>
      </c>
      <c r="AA119" s="415">
        <f t="shared" ca="1" si="30"/>
        <v>0</v>
      </c>
      <c r="AB119" s="415">
        <f t="shared" ca="1" si="30"/>
        <v>0</v>
      </c>
      <c r="AC119" s="415">
        <f t="shared" ca="1" si="30"/>
        <v>0</v>
      </c>
      <c r="AD119" s="415">
        <f t="shared" ca="1" si="30"/>
        <v>0</v>
      </c>
      <c r="AE119" s="415">
        <f t="shared" ca="1" si="30"/>
        <v>0</v>
      </c>
      <c r="AF119" s="415">
        <f t="shared" ca="1" si="30"/>
        <v>0</v>
      </c>
    </row>
    <row r="120" spans="2:32">
      <c r="B120" t="s">
        <v>413</v>
      </c>
      <c r="C120" t="s">
        <v>413</v>
      </c>
      <c r="D120" t="s">
        <v>395</v>
      </c>
      <c r="E120" t="s">
        <v>82</v>
      </c>
      <c r="F120" s="415">
        <f t="shared" ca="1" si="31"/>
        <v>0</v>
      </c>
      <c r="G120" s="415">
        <f t="shared" ca="1" si="31"/>
        <v>0</v>
      </c>
      <c r="H120" s="415">
        <f t="shared" ca="1" si="31"/>
        <v>0</v>
      </c>
      <c r="I120" s="415">
        <f t="shared" ca="1" si="31"/>
        <v>0</v>
      </c>
      <c r="J120" s="415">
        <f t="shared" ca="1" si="31"/>
        <v>0</v>
      </c>
      <c r="K120" s="415">
        <f t="shared" ca="1" si="31"/>
        <v>0</v>
      </c>
      <c r="L120" s="415">
        <f t="shared" ca="1" si="31"/>
        <v>0</v>
      </c>
      <c r="M120" s="415">
        <f t="shared" ca="1" si="31"/>
        <v>0</v>
      </c>
      <c r="N120" s="415">
        <f t="shared" ca="1" si="31"/>
        <v>0</v>
      </c>
      <c r="O120" s="415">
        <f t="shared" ca="1" si="31"/>
        <v>0</v>
      </c>
      <c r="P120" s="415">
        <f t="shared" ca="1" si="31"/>
        <v>0</v>
      </c>
      <c r="Q120" s="415">
        <f t="shared" ca="1" si="31"/>
        <v>0</v>
      </c>
      <c r="R120" s="415">
        <f t="shared" ca="1" si="31"/>
        <v>0</v>
      </c>
      <c r="S120" s="415">
        <f t="shared" ca="1" si="31"/>
        <v>0</v>
      </c>
      <c r="T120" s="415">
        <f t="shared" ca="1" si="31"/>
        <v>0</v>
      </c>
      <c r="U120" s="415">
        <f t="shared" ca="1" si="31"/>
        <v>0</v>
      </c>
      <c r="V120" s="415">
        <f t="shared" ca="1" si="32"/>
        <v>0</v>
      </c>
      <c r="W120" s="415">
        <f t="shared" ca="1" si="32"/>
        <v>0</v>
      </c>
      <c r="X120" s="415">
        <f t="shared" ca="1" si="32"/>
        <v>0</v>
      </c>
      <c r="Y120" s="415">
        <f t="shared" ca="1" si="32"/>
        <v>0</v>
      </c>
      <c r="Z120" s="415">
        <f t="shared" ca="1" si="32"/>
        <v>0</v>
      </c>
      <c r="AA120" s="415">
        <f t="shared" ca="1" si="32"/>
        <v>0</v>
      </c>
      <c r="AB120" s="415">
        <f t="shared" ca="1" si="32"/>
        <v>0</v>
      </c>
      <c r="AC120" s="415">
        <f t="shared" ca="1" si="32"/>
        <v>0</v>
      </c>
      <c r="AD120" s="415">
        <f t="shared" ca="1" si="32"/>
        <v>0</v>
      </c>
      <c r="AE120" s="415">
        <f t="shared" ca="1" si="32"/>
        <v>0</v>
      </c>
      <c r="AF120" s="415">
        <f t="shared" ca="1" si="32"/>
        <v>0</v>
      </c>
    </row>
    <row r="121" spans="2:32">
      <c r="B121" t="s">
        <v>266</v>
      </c>
      <c r="C121" t="s">
        <v>266</v>
      </c>
      <c r="D121" t="s">
        <v>395</v>
      </c>
      <c r="E121" t="s">
        <v>82</v>
      </c>
      <c r="F121" s="415">
        <f t="shared" ref="F121:U121" ca="1" si="33">IFERROR(SUMIFS(INDEX(INDIRECT("'"&amp;$D121&amp;"'!$a1:$AU110"),,MATCH(F$1,INDIRECT("'"&amp;$D121&amp;"'!$a$1:$AU$1"),0)),INDIRECT("'"&amp;$D121&amp;"'!$a1:$a110"),$C121),0)</f>
        <v>0</v>
      </c>
      <c r="G121" s="415">
        <f t="shared" ca="1" si="33"/>
        <v>0</v>
      </c>
      <c r="H121" s="415">
        <f t="shared" ca="1" si="33"/>
        <v>0</v>
      </c>
      <c r="I121" s="415">
        <f t="shared" ca="1" si="33"/>
        <v>0</v>
      </c>
      <c r="J121" s="415">
        <f t="shared" ca="1" si="33"/>
        <v>0</v>
      </c>
      <c r="K121" s="415">
        <f t="shared" ca="1" si="33"/>
        <v>0</v>
      </c>
      <c r="L121" s="415">
        <f t="shared" ca="1" si="33"/>
        <v>0</v>
      </c>
      <c r="M121" s="415">
        <f t="shared" ca="1" si="33"/>
        <v>0</v>
      </c>
      <c r="N121" s="415">
        <f t="shared" ca="1" si="33"/>
        <v>0</v>
      </c>
      <c r="O121" s="415">
        <f t="shared" ca="1" si="33"/>
        <v>0</v>
      </c>
      <c r="P121" s="415">
        <f t="shared" ca="1" si="33"/>
        <v>0</v>
      </c>
      <c r="Q121" s="415">
        <f t="shared" ca="1" si="33"/>
        <v>0</v>
      </c>
      <c r="R121" s="415">
        <f t="shared" ca="1" si="33"/>
        <v>0</v>
      </c>
      <c r="S121" s="415">
        <f t="shared" ca="1" si="33"/>
        <v>0</v>
      </c>
      <c r="T121" s="415">
        <f t="shared" ca="1" si="33"/>
        <v>0</v>
      </c>
      <c r="U121" s="415">
        <f t="shared" ca="1" si="33"/>
        <v>0</v>
      </c>
      <c r="V121" s="415">
        <f t="shared" ca="1" si="32"/>
        <v>0</v>
      </c>
      <c r="W121" s="415">
        <f t="shared" ca="1" si="32"/>
        <v>0</v>
      </c>
      <c r="X121" s="415">
        <f t="shared" ca="1" si="32"/>
        <v>0</v>
      </c>
      <c r="Y121" s="415">
        <f t="shared" ca="1" si="32"/>
        <v>0</v>
      </c>
      <c r="Z121" s="415">
        <f t="shared" ca="1" si="32"/>
        <v>0</v>
      </c>
      <c r="AA121" s="415">
        <f t="shared" ca="1" si="32"/>
        <v>0</v>
      </c>
      <c r="AB121" s="415">
        <f t="shared" ca="1" si="32"/>
        <v>0</v>
      </c>
      <c r="AC121" s="415">
        <f t="shared" ca="1" si="32"/>
        <v>0</v>
      </c>
      <c r="AD121" s="415">
        <f t="shared" ca="1" si="32"/>
        <v>0</v>
      </c>
      <c r="AE121" s="415">
        <f t="shared" ca="1" si="32"/>
        <v>0</v>
      </c>
      <c r="AF121" s="415">
        <f t="shared" ca="1" si="32"/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F9F4-59A9-4068-B09B-E3E9A30D031A}">
  <sheetPr codeName="Sheet20"/>
  <dimension ref="A1:AX267"/>
  <sheetViews>
    <sheetView zoomScaleNormal="80" workbookViewId="0">
      <pane xSplit="5" ySplit="6" topLeftCell="AB32" activePane="bottomRight" state="frozen"/>
      <selection pane="topRight" activeCell="F1" sqref="F1"/>
      <selection pane="bottomLeft" activeCell="A4" sqref="A4"/>
      <selection pane="bottomRight" activeCell="AH41" sqref="AH41"/>
    </sheetView>
  </sheetViews>
  <sheetFormatPr baseColWidth="10" defaultColWidth="8.5" defaultRowHeight="12" outlineLevelRow="1" outlineLevelCol="2"/>
  <cols>
    <col min="1" max="1" width="48.83203125" style="13" bestFit="1" customWidth="1"/>
    <col min="2" max="2" width="11.5" style="13" bestFit="1" customWidth="1"/>
    <col min="3" max="3" width="8.5" style="13"/>
    <col min="4" max="4" width="11" style="13" customWidth="1"/>
    <col min="5" max="5" width="12" style="13" customWidth="1"/>
    <col min="6" max="13" width="10.5" style="13" customWidth="1" outlineLevel="2"/>
    <col min="14" max="14" width="12.5" style="13" customWidth="1" outlineLevel="1"/>
    <col min="15" max="16" width="11.83203125" style="13" customWidth="1" outlineLevel="1"/>
    <col min="17" max="17" width="11.5" style="13" customWidth="1" outlineLevel="1"/>
    <col min="18" max="18" width="12" style="13" customWidth="1"/>
    <col min="19" max="19" width="11.1640625" style="13" customWidth="1" outlineLevel="1"/>
    <col min="20" max="20" width="13.1640625" style="13" customWidth="1" outlineLevel="1"/>
    <col min="21" max="21" width="8.33203125" style="13" customWidth="1"/>
    <col min="22" max="24" width="10.5" style="13" customWidth="1" outlineLevel="1"/>
    <col min="25" max="25" width="14" style="13" customWidth="1" outlineLevel="1"/>
    <col min="26" max="26" width="11.1640625" style="13" bestFit="1" customWidth="1" outlineLevel="1"/>
    <col min="27" max="32" width="12.5" style="13" customWidth="1" outlineLevel="1"/>
    <col min="33" max="33" width="11.1640625" style="13" customWidth="1" outlineLevel="1"/>
    <col min="34" max="34" width="10.83203125" style="13" customWidth="1"/>
    <col min="35" max="35" width="10.33203125" style="13" bestFit="1" customWidth="1"/>
    <col min="36" max="36" width="8.5" style="13"/>
    <col min="37" max="43" width="10.5" style="13" bestFit="1" customWidth="1" outlineLevel="1"/>
    <col min="44" max="44" width="11.83203125" style="13" bestFit="1" customWidth="1" outlineLevel="1"/>
    <col min="45" max="45" width="13" style="13" customWidth="1" outlineLevel="1"/>
    <col min="46" max="46" width="11.83203125" style="13" bestFit="1" customWidth="1" outlineLevel="1"/>
    <col min="47" max="48" width="10.5" style="13" bestFit="1" customWidth="1" outlineLevel="1"/>
    <col min="49" max="49" width="11.83203125" style="13" bestFit="1" customWidth="1"/>
    <col min="50" max="50" width="10.33203125" style="13" bestFit="1" customWidth="1"/>
    <col min="51" max="16384" width="8.5" style="13"/>
  </cols>
  <sheetData>
    <row r="1" spans="1:50">
      <c r="R1" s="45">
        <f>SUM(R8,R13,R17,R33,R71,R89,)</f>
        <v>651311.64</v>
      </c>
      <c r="AH1" s="45">
        <f>SUM(AH8,AH13,AH17,AH33,AH71,AH89,)</f>
        <v>353777.42</v>
      </c>
    </row>
    <row r="2" spans="1:50">
      <c r="R2" s="13">
        <f>9078+10300+7642+5340+3417+1014</f>
        <v>36791</v>
      </c>
      <c r="S2" s="107">
        <f>R2/R1</f>
        <v>5.6487551796249182E-2</v>
      </c>
    </row>
    <row r="3" spans="1:50">
      <c r="F3" s="13">
        <f>EOMONTH(F6,0)</f>
        <v>45716</v>
      </c>
      <c r="G3" s="13">
        <f t="shared" ref="G3:AW3" si="0">EOMONTH(G6,0)</f>
        <v>45747</v>
      </c>
      <c r="H3" s="13">
        <f t="shared" si="0"/>
        <v>45777</v>
      </c>
      <c r="I3" s="13">
        <f t="shared" si="0"/>
        <v>45808</v>
      </c>
      <c r="J3" s="13">
        <f t="shared" si="0"/>
        <v>45838</v>
      </c>
      <c r="K3" s="13">
        <f t="shared" si="0"/>
        <v>45869</v>
      </c>
      <c r="L3" s="13">
        <f t="shared" si="0"/>
        <v>45900</v>
      </c>
      <c r="M3" s="13">
        <f t="shared" si="0"/>
        <v>45930</v>
      </c>
      <c r="N3" s="13">
        <f t="shared" si="0"/>
        <v>45961</v>
      </c>
      <c r="O3" s="13">
        <f t="shared" si="0"/>
        <v>45991</v>
      </c>
      <c r="P3" s="13">
        <f t="shared" si="0"/>
        <v>46022</v>
      </c>
      <c r="Q3" s="13">
        <f t="shared" si="0"/>
        <v>46053</v>
      </c>
      <c r="R3" s="13" t="e">
        <f t="shared" si="0"/>
        <v>#VALUE!</v>
      </c>
      <c r="S3" s="13">
        <f t="shared" si="0"/>
        <v>31</v>
      </c>
      <c r="T3" s="13" t="e">
        <f t="shared" si="0"/>
        <v>#VALUE!</v>
      </c>
      <c r="U3" s="13">
        <f t="shared" si="0"/>
        <v>31</v>
      </c>
      <c r="V3" s="13">
        <f t="shared" si="0"/>
        <v>46081</v>
      </c>
      <c r="W3" s="13">
        <f t="shared" si="0"/>
        <v>46112</v>
      </c>
      <c r="X3" s="13">
        <f t="shared" si="0"/>
        <v>46142</v>
      </c>
      <c r="Y3" s="13">
        <f t="shared" si="0"/>
        <v>46173</v>
      </c>
      <c r="Z3" s="13">
        <f t="shared" si="0"/>
        <v>46203</v>
      </c>
      <c r="AA3" s="13">
        <f t="shared" si="0"/>
        <v>46234</v>
      </c>
      <c r="AB3" s="13">
        <f t="shared" si="0"/>
        <v>46265</v>
      </c>
      <c r="AC3" s="13">
        <f t="shared" si="0"/>
        <v>46295</v>
      </c>
      <c r="AD3" s="13">
        <f t="shared" si="0"/>
        <v>46326</v>
      </c>
      <c r="AE3" s="13">
        <f t="shared" si="0"/>
        <v>46356</v>
      </c>
      <c r="AF3" s="13">
        <f t="shared" si="0"/>
        <v>46387</v>
      </c>
      <c r="AG3" s="13">
        <f t="shared" si="0"/>
        <v>46418</v>
      </c>
      <c r="AH3" s="13" t="e">
        <f t="shared" si="0"/>
        <v>#VALUE!</v>
      </c>
      <c r="AI3" s="13" t="e">
        <f t="shared" si="0"/>
        <v>#VALUE!</v>
      </c>
      <c r="AJ3" s="13">
        <f t="shared" si="0"/>
        <v>31</v>
      </c>
      <c r="AK3" s="13">
        <f t="shared" si="0"/>
        <v>46446</v>
      </c>
      <c r="AL3" s="13">
        <f t="shared" si="0"/>
        <v>46477</v>
      </c>
      <c r="AM3" s="13">
        <f t="shared" si="0"/>
        <v>46507</v>
      </c>
      <c r="AN3" s="13">
        <f t="shared" si="0"/>
        <v>46538</v>
      </c>
      <c r="AO3" s="13">
        <f t="shared" si="0"/>
        <v>46568</v>
      </c>
      <c r="AP3" s="13">
        <f t="shared" si="0"/>
        <v>46599</v>
      </c>
      <c r="AQ3" s="13">
        <f t="shared" si="0"/>
        <v>46630</v>
      </c>
      <c r="AR3" s="13">
        <f t="shared" si="0"/>
        <v>46660</v>
      </c>
      <c r="AS3" s="13">
        <f t="shared" si="0"/>
        <v>46691</v>
      </c>
      <c r="AT3" s="13">
        <f t="shared" si="0"/>
        <v>46721</v>
      </c>
      <c r="AU3" s="13">
        <f t="shared" si="0"/>
        <v>46752</v>
      </c>
      <c r="AV3" s="13">
        <f t="shared" si="0"/>
        <v>46783</v>
      </c>
      <c r="AW3" s="13" t="e">
        <f t="shared" si="0"/>
        <v>#VALUE!</v>
      </c>
    </row>
    <row r="4" spans="1:50" outlineLevel="1">
      <c r="A4" s="37"/>
      <c r="B4" s="41"/>
      <c r="C4" s="41"/>
      <c r="D4" s="37"/>
      <c r="E4" s="40"/>
      <c r="F4" s="38">
        <f>'Combined P&amp;L'!F8</f>
        <v>289271</v>
      </c>
      <c r="G4" s="38">
        <f>'Combined P&amp;L'!G8</f>
        <v>509722</v>
      </c>
      <c r="H4" s="38">
        <f>'Combined P&amp;L'!H8</f>
        <v>591785</v>
      </c>
      <c r="I4" s="38">
        <f>'Combined P&amp;L'!I8</f>
        <v>418370</v>
      </c>
      <c r="J4" s="38">
        <f>'Combined P&amp;L'!J8</f>
        <v>329766</v>
      </c>
      <c r="K4" s="38">
        <f>'Combined P&amp;L'!K8</f>
        <v>506223</v>
      </c>
      <c r="L4" s="38">
        <f>'Combined P&amp;L'!L8</f>
        <v>705912</v>
      </c>
      <c r="M4" s="38">
        <f>'Combined P&amp;L'!M8</f>
        <v>764505</v>
      </c>
      <c r="N4" s="38">
        <f>'Combined P&amp;L'!N8</f>
        <v>767320</v>
      </c>
      <c r="O4" s="39">
        <f>'Combined P&amp;L'!O8</f>
        <v>569633</v>
      </c>
      <c r="P4" s="39">
        <f>'Combined P&amp;L'!P8</f>
        <v>0</v>
      </c>
      <c r="Q4" s="39">
        <f>'Combined P&amp;L'!Q8</f>
        <v>6628963</v>
      </c>
      <c r="R4" s="39"/>
      <c r="S4" s="39"/>
      <c r="T4" s="40"/>
      <c r="U4" s="40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45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45"/>
    </row>
    <row r="5" spans="1:50">
      <c r="F5" s="31" t="s">
        <v>180</v>
      </c>
      <c r="G5" s="31" t="s">
        <v>180</v>
      </c>
      <c r="H5" s="31" t="s">
        <v>180</v>
      </c>
      <c r="I5" s="31" t="s">
        <v>180</v>
      </c>
      <c r="J5" s="31" t="s">
        <v>180</v>
      </c>
      <c r="K5" s="31" t="s">
        <v>180</v>
      </c>
      <c r="L5" s="31" t="s">
        <v>180</v>
      </c>
      <c r="M5" s="31" t="s">
        <v>180</v>
      </c>
      <c r="N5" s="31" t="s">
        <v>180</v>
      </c>
      <c r="O5" s="177" t="s">
        <v>42</v>
      </c>
      <c r="P5" s="177" t="s">
        <v>42</v>
      </c>
      <c r="Q5" s="177" t="s">
        <v>42</v>
      </c>
      <c r="R5" s="178"/>
      <c r="T5" s="178"/>
      <c r="V5" s="177" t="s">
        <v>42</v>
      </c>
      <c r="W5" s="177" t="s">
        <v>42</v>
      </c>
      <c r="X5" s="177" t="s">
        <v>42</v>
      </c>
      <c r="Y5" s="177" t="s">
        <v>42</v>
      </c>
      <c r="Z5" s="177" t="s">
        <v>42</v>
      </c>
      <c r="AA5" s="177" t="s">
        <v>42</v>
      </c>
      <c r="AB5" s="177" t="s">
        <v>42</v>
      </c>
      <c r="AC5" s="177" t="s">
        <v>42</v>
      </c>
      <c r="AD5" s="177" t="s">
        <v>42</v>
      </c>
      <c r="AE5" s="177" t="s">
        <v>42</v>
      </c>
      <c r="AF5" s="177" t="s">
        <v>42</v>
      </c>
      <c r="AG5" s="177" t="s">
        <v>42</v>
      </c>
      <c r="AH5" s="178"/>
      <c r="AI5" s="45"/>
      <c r="AK5" s="177" t="s">
        <v>42</v>
      </c>
      <c r="AL5" s="177" t="s">
        <v>42</v>
      </c>
      <c r="AM5" s="177" t="s">
        <v>42</v>
      </c>
      <c r="AN5" s="177" t="s">
        <v>42</v>
      </c>
      <c r="AO5" s="177" t="s">
        <v>42</v>
      </c>
      <c r="AP5" s="177" t="s">
        <v>42</v>
      </c>
      <c r="AQ5" s="177" t="s">
        <v>42</v>
      </c>
      <c r="AR5" s="177" t="s">
        <v>42</v>
      </c>
      <c r="AS5" s="177" t="s">
        <v>42</v>
      </c>
      <c r="AT5" s="177" t="s">
        <v>42</v>
      </c>
      <c r="AU5" s="177" t="s">
        <v>42</v>
      </c>
      <c r="AV5" s="177" t="s">
        <v>42</v>
      </c>
      <c r="AW5" s="178"/>
    </row>
    <row r="6" spans="1:50" s="36" customFormat="1" ht="26">
      <c r="A6" s="32" t="s">
        <v>217</v>
      </c>
      <c r="B6" s="32" t="s">
        <v>218</v>
      </c>
      <c r="C6" s="32" t="s">
        <v>219</v>
      </c>
      <c r="D6" s="32" t="s">
        <v>220</v>
      </c>
      <c r="E6" s="35" t="s">
        <v>221</v>
      </c>
      <c r="F6" s="33">
        <v>45689</v>
      </c>
      <c r="G6" s="33">
        <v>45717</v>
      </c>
      <c r="H6" s="33">
        <v>45748</v>
      </c>
      <c r="I6" s="33">
        <v>45808</v>
      </c>
      <c r="J6" s="33">
        <v>45838</v>
      </c>
      <c r="K6" s="33">
        <v>45869</v>
      </c>
      <c r="L6" s="33">
        <v>45900</v>
      </c>
      <c r="M6" s="33">
        <v>45930</v>
      </c>
      <c r="N6" s="33">
        <v>45961</v>
      </c>
      <c r="O6" s="179">
        <v>45991</v>
      </c>
      <c r="P6" s="179">
        <v>46022</v>
      </c>
      <c r="Q6" s="179">
        <v>46053</v>
      </c>
      <c r="R6" s="179" t="s">
        <v>222</v>
      </c>
      <c r="S6" s="34"/>
      <c r="T6" s="179" t="s">
        <v>223</v>
      </c>
      <c r="U6" s="34"/>
      <c r="V6" s="179">
        <v>46054</v>
      </c>
      <c r="W6" s="179">
        <v>46082</v>
      </c>
      <c r="X6" s="179">
        <v>46113</v>
      </c>
      <c r="Y6" s="179">
        <v>46143</v>
      </c>
      <c r="Z6" s="179">
        <v>46174</v>
      </c>
      <c r="AA6" s="179">
        <v>46204</v>
      </c>
      <c r="AB6" s="179">
        <v>46235</v>
      </c>
      <c r="AC6" s="179">
        <v>46266</v>
      </c>
      <c r="AD6" s="179">
        <v>46296</v>
      </c>
      <c r="AE6" s="179">
        <v>46327</v>
      </c>
      <c r="AF6" s="179">
        <v>46357</v>
      </c>
      <c r="AG6" s="179">
        <v>46388</v>
      </c>
      <c r="AH6" s="179" t="s">
        <v>224</v>
      </c>
      <c r="AI6" s="179" t="s">
        <v>414</v>
      </c>
      <c r="AJ6" s="34"/>
      <c r="AK6" s="179">
        <v>46419</v>
      </c>
      <c r="AL6" s="179">
        <v>46447</v>
      </c>
      <c r="AM6" s="179">
        <v>46478</v>
      </c>
      <c r="AN6" s="179">
        <v>46508</v>
      </c>
      <c r="AO6" s="179">
        <v>46539</v>
      </c>
      <c r="AP6" s="179">
        <v>46569</v>
      </c>
      <c r="AQ6" s="179">
        <v>46600</v>
      </c>
      <c r="AR6" s="179">
        <v>46631</v>
      </c>
      <c r="AS6" s="179">
        <v>46661</v>
      </c>
      <c r="AT6" s="179">
        <v>46692</v>
      </c>
      <c r="AU6" s="179">
        <v>46722</v>
      </c>
      <c r="AV6" s="179">
        <v>46753</v>
      </c>
      <c r="AW6" s="179" t="s">
        <v>225</v>
      </c>
      <c r="AX6" s="179" t="s">
        <v>414</v>
      </c>
    </row>
    <row r="7" spans="1:50" outlineLevel="1">
      <c r="A7" s="37" t="s">
        <v>226</v>
      </c>
      <c r="B7" s="41" t="s">
        <v>227</v>
      </c>
      <c r="C7" s="41" t="s">
        <v>67</v>
      </c>
      <c r="D7" s="37"/>
      <c r="E7" s="40">
        <v>41841.599999999999</v>
      </c>
      <c r="F7" s="420">
        <v>0</v>
      </c>
      <c r="G7" s="420">
        <v>0</v>
      </c>
      <c r="H7" s="420">
        <v>0</v>
      </c>
      <c r="I7" s="420">
        <v>0</v>
      </c>
      <c r="J7" s="420">
        <v>0</v>
      </c>
      <c r="K7" s="420">
        <v>0</v>
      </c>
      <c r="L7" s="420">
        <v>0</v>
      </c>
      <c r="M7" s="420">
        <v>0</v>
      </c>
      <c r="N7" s="420">
        <v>0</v>
      </c>
      <c r="O7" s="39">
        <v>0</v>
      </c>
      <c r="P7" s="39">
        <v>20000</v>
      </c>
      <c r="Q7" s="39">
        <v>0</v>
      </c>
      <c r="R7" s="39">
        <f t="shared" ref="R7:R14" si="1">SUM(F7:Q7)</f>
        <v>20000</v>
      </c>
      <c r="S7" s="39"/>
      <c r="T7" s="40">
        <v>38117.839999999997</v>
      </c>
      <c r="U7" s="40"/>
      <c r="V7" s="39">
        <v>0</v>
      </c>
      <c r="W7" s="39">
        <v>0</v>
      </c>
      <c r="X7" s="39">
        <v>0</v>
      </c>
      <c r="Y7" s="39">
        <v>0</v>
      </c>
      <c r="Z7" s="39">
        <v>20000</v>
      </c>
      <c r="AA7" s="39">
        <v>0</v>
      </c>
      <c r="AB7" s="39">
        <v>0</v>
      </c>
      <c r="AC7" s="39">
        <v>0</v>
      </c>
      <c r="AD7" s="39">
        <v>0</v>
      </c>
      <c r="AE7" s="39">
        <v>0</v>
      </c>
      <c r="AF7" s="39">
        <v>0</v>
      </c>
      <c r="AG7" s="39">
        <v>0</v>
      </c>
      <c r="AH7" s="45">
        <f>SUM(V7:AG7)</f>
        <v>20000</v>
      </c>
      <c r="AI7" s="139">
        <f>IFERROR(AH7/R7-1,0)</f>
        <v>0</v>
      </c>
      <c r="AJ7" s="405"/>
      <c r="AK7" s="39">
        <f t="shared" ref="AK7:AV12" si="2">V7*1.05</f>
        <v>0</v>
      </c>
      <c r="AL7" s="39">
        <f t="shared" si="2"/>
        <v>0</v>
      </c>
      <c r="AM7" s="39">
        <f t="shared" si="2"/>
        <v>0</v>
      </c>
      <c r="AN7" s="39">
        <f t="shared" si="2"/>
        <v>0</v>
      </c>
      <c r="AO7" s="39">
        <f t="shared" si="2"/>
        <v>21000</v>
      </c>
      <c r="AP7" s="39">
        <f t="shared" si="2"/>
        <v>0</v>
      </c>
      <c r="AQ7" s="39">
        <f t="shared" si="2"/>
        <v>0</v>
      </c>
      <c r="AR7" s="39">
        <f t="shared" si="2"/>
        <v>0</v>
      </c>
      <c r="AS7" s="39">
        <f t="shared" si="2"/>
        <v>0</v>
      </c>
      <c r="AT7" s="39">
        <f t="shared" si="2"/>
        <v>0</v>
      </c>
      <c r="AU7" s="39">
        <f t="shared" si="2"/>
        <v>0</v>
      </c>
      <c r="AV7" s="39">
        <f t="shared" si="2"/>
        <v>0</v>
      </c>
      <c r="AW7" s="45">
        <f>SUM(AK7:AV7)</f>
        <v>21000</v>
      </c>
      <c r="AX7" s="139">
        <f t="shared" ref="AX7:AX38" si="3">IFERROR(AW7/AH7-1,0)</f>
        <v>5.0000000000000044E-2</v>
      </c>
    </row>
    <row r="8" spans="1:50" outlineLevel="1">
      <c r="A8" s="37" t="s">
        <v>228</v>
      </c>
      <c r="B8" s="41" t="s">
        <v>415</v>
      </c>
      <c r="C8" s="41" t="s">
        <v>67</v>
      </c>
      <c r="D8" s="37"/>
      <c r="E8" s="40">
        <v>158929.26</v>
      </c>
      <c r="F8" s="420">
        <v>54858.6</v>
      </c>
      <c r="G8" s="420">
        <v>0</v>
      </c>
      <c r="H8" s="420">
        <v>0</v>
      </c>
      <c r="I8" s="420">
        <v>0</v>
      </c>
      <c r="J8" s="420">
        <v>0</v>
      </c>
      <c r="K8" s="420">
        <v>0</v>
      </c>
      <c r="L8" s="420">
        <v>0</v>
      </c>
      <c r="M8" s="420">
        <v>0</v>
      </c>
      <c r="N8" s="420">
        <v>0</v>
      </c>
      <c r="O8" s="39">
        <v>0</v>
      </c>
      <c r="P8" s="39">
        <v>148000</v>
      </c>
      <c r="Q8" s="39">
        <v>0</v>
      </c>
      <c r="R8" s="39">
        <f t="shared" si="1"/>
        <v>202858.6</v>
      </c>
      <c r="S8" s="39"/>
      <c r="T8" s="40">
        <v>155713.32500000001</v>
      </c>
      <c r="U8" s="40"/>
      <c r="V8" s="39">
        <v>0</v>
      </c>
      <c r="W8" s="39">
        <v>0</v>
      </c>
      <c r="X8" s="39">
        <v>0</v>
      </c>
      <c r="Y8" s="39">
        <v>50000</v>
      </c>
      <c r="Z8" s="39">
        <v>0</v>
      </c>
      <c r="AA8" s="39">
        <v>0</v>
      </c>
      <c r="AB8" s="39">
        <v>0</v>
      </c>
      <c r="AC8" s="39">
        <v>0</v>
      </c>
      <c r="AD8" s="39">
        <v>40000</v>
      </c>
      <c r="AE8" s="39">
        <v>0</v>
      </c>
      <c r="AF8" s="39">
        <v>0</v>
      </c>
      <c r="AG8" s="39">
        <v>0</v>
      </c>
      <c r="AH8" s="45">
        <f t="shared" ref="AH8:AH74" si="4">SUM(V8:AG8)</f>
        <v>90000</v>
      </c>
      <c r="AI8" s="139">
        <f t="shared" ref="AI8:AI71" si="5">IFERROR(AH8/R8-1,0)</f>
        <v>-0.55634121501380762</v>
      </c>
      <c r="AJ8" s="405"/>
      <c r="AK8" s="39">
        <f t="shared" si="2"/>
        <v>0</v>
      </c>
      <c r="AL8" s="39">
        <f t="shared" si="2"/>
        <v>0</v>
      </c>
      <c r="AM8" s="39">
        <f t="shared" si="2"/>
        <v>0</v>
      </c>
      <c r="AN8" s="39">
        <v>40000</v>
      </c>
      <c r="AO8" s="39">
        <f t="shared" si="2"/>
        <v>0</v>
      </c>
      <c r="AP8" s="39">
        <f t="shared" si="2"/>
        <v>0</v>
      </c>
      <c r="AQ8" s="39">
        <f t="shared" si="2"/>
        <v>0</v>
      </c>
      <c r="AR8" s="39">
        <f t="shared" si="2"/>
        <v>0</v>
      </c>
      <c r="AS8" s="39">
        <v>20000</v>
      </c>
      <c r="AT8" s="39">
        <f t="shared" si="2"/>
        <v>0</v>
      </c>
      <c r="AU8" s="39">
        <f t="shared" si="2"/>
        <v>0</v>
      </c>
      <c r="AV8" s="39">
        <f t="shared" si="2"/>
        <v>0</v>
      </c>
      <c r="AW8" s="45">
        <f t="shared" ref="AW8:AW74" si="6">SUM(AK8:AV8)</f>
        <v>60000</v>
      </c>
      <c r="AX8" s="139">
        <f t="shared" si="3"/>
        <v>-0.33333333333333337</v>
      </c>
    </row>
    <row r="9" spans="1:50" s="181" customFormat="1" outlineLevel="1">
      <c r="A9" s="401" t="s">
        <v>230</v>
      </c>
      <c r="B9" s="402" t="s">
        <v>231</v>
      </c>
      <c r="C9" s="402" t="s">
        <v>67</v>
      </c>
      <c r="D9" s="401"/>
      <c r="E9" s="403">
        <v>48136.380000000005</v>
      </c>
      <c r="F9" s="421">
        <v>0</v>
      </c>
      <c r="G9" s="421">
        <v>0</v>
      </c>
      <c r="H9" s="421">
        <v>0</v>
      </c>
      <c r="I9" s="421">
        <v>0</v>
      </c>
      <c r="J9" s="421">
        <v>0</v>
      </c>
      <c r="K9" s="421">
        <v>0</v>
      </c>
      <c r="L9" s="421">
        <v>0</v>
      </c>
      <c r="M9" s="421">
        <v>0</v>
      </c>
      <c r="N9" s="421">
        <v>0</v>
      </c>
      <c r="O9" s="39">
        <v>0</v>
      </c>
      <c r="P9" s="404">
        <v>0</v>
      </c>
      <c r="Q9" s="404">
        <v>0</v>
      </c>
      <c r="R9" s="404">
        <f t="shared" si="1"/>
        <v>0</v>
      </c>
      <c r="S9" s="404"/>
      <c r="T9" s="403">
        <v>45356.837</v>
      </c>
      <c r="U9" s="481"/>
      <c r="V9" s="404">
        <v>0</v>
      </c>
      <c r="W9" s="404">
        <v>0</v>
      </c>
      <c r="X9" s="404">
        <v>0</v>
      </c>
      <c r="Y9" s="404">
        <v>0</v>
      </c>
      <c r="Z9" s="404">
        <v>0</v>
      </c>
      <c r="AA9" s="404">
        <v>0</v>
      </c>
      <c r="AB9" s="404">
        <v>0</v>
      </c>
      <c r="AC9" s="404">
        <v>0</v>
      </c>
      <c r="AD9" s="404">
        <v>0</v>
      </c>
      <c r="AE9" s="404">
        <v>0</v>
      </c>
      <c r="AF9" s="404">
        <v>0</v>
      </c>
      <c r="AG9" s="404">
        <v>0</v>
      </c>
      <c r="AH9" s="405">
        <f t="shared" si="4"/>
        <v>0</v>
      </c>
      <c r="AI9" s="139">
        <f t="shared" si="5"/>
        <v>0</v>
      </c>
      <c r="AJ9" s="405"/>
      <c r="AK9" s="39">
        <f t="shared" si="2"/>
        <v>0</v>
      </c>
      <c r="AL9" s="39">
        <f t="shared" si="2"/>
        <v>0</v>
      </c>
      <c r="AM9" s="39">
        <f t="shared" si="2"/>
        <v>0</v>
      </c>
      <c r="AN9" s="39">
        <f t="shared" si="2"/>
        <v>0</v>
      </c>
      <c r="AO9" s="39">
        <f t="shared" si="2"/>
        <v>0</v>
      </c>
      <c r="AP9" s="39">
        <f t="shared" si="2"/>
        <v>0</v>
      </c>
      <c r="AQ9" s="39">
        <f t="shared" si="2"/>
        <v>0</v>
      </c>
      <c r="AR9" s="39">
        <f t="shared" si="2"/>
        <v>0</v>
      </c>
      <c r="AS9" s="39">
        <f t="shared" si="2"/>
        <v>0</v>
      </c>
      <c r="AT9" s="39">
        <f t="shared" si="2"/>
        <v>0</v>
      </c>
      <c r="AU9" s="39">
        <f t="shared" si="2"/>
        <v>0</v>
      </c>
      <c r="AV9" s="39">
        <f t="shared" si="2"/>
        <v>0</v>
      </c>
      <c r="AW9" s="405">
        <f t="shared" si="6"/>
        <v>0</v>
      </c>
      <c r="AX9" s="139">
        <f t="shared" si="3"/>
        <v>0</v>
      </c>
    </row>
    <row r="10" spans="1:50" s="181" customFormat="1" outlineLevel="1">
      <c r="A10" s="401" t="s">
        <v>232</v>
      </c>
      <c r="B10" s="402" t="s">
        <v>233</v>
      </c>
      <c r="C10" s="402" t="s">
        <v>66</v>
      </c>
      <c r="D10" s="401"/>
      <c r="E10" s="403">
        <v>16076.550000000001</v>
      </c>
      <c r="F10" s="421">
        <v>0</v>
      </c>
      <c r="G10" s="421">
        <v>0</v>
      </c>
      <c r="H10" s="421">
        <v>0</v>
      </c>
      <c r="I10" s="421">
        <v>0</v>
      </c>
      <c r="J10" s="421">
        <v>-1962</v>
      </c>
      <c r="K10" s="421">
        <v>0</v>
      </c>
      <c r="L10" s="421">
        <v>0</v>
      </c>
      <c r="M10" s="421">
        <v>0</v>
      </c>
      <c r="N10" s="421">
        <v>0</v>
      </c>
      <c r="O10" s="39">
        <v>0</v>
      </c>
      <c r="P10" s="404">
        <v>0</v>
      </c>
      <c r="Q10" s="404">
        <v>0</v>
      </c>
      <c r="R10" s="404">
        <f t="shared" si="1"/>
        <v>-1962</v>
      </c>
      <c r="S10" s="404"/>
      <c r="T10" s="403">
        <v>18488.032499999998</v>
      </c>
      <c r="U10" s="481"/>
      <c r="V10" s="404">
        <v>0</v>
      </c>
      <c r="W10" s="404">
        <v>0</v>
      </c>
      <c r="X10" s="404">
        <v>0</v>
      </c>
      <c r="Y10" s="404">
        <v>0</v>
      </c>
      <c r="Z10" s="404">
        <v>0</v>
      </c>
      <c r="AA10" s="404">
        <v>0</v>
      </c>
      <c r="AB10" s="404">
        <v>0</v>
      </c>
      <c r="AC10" s="404">
        <v>0</v>
      </c>
      <c r="AD10" s="404">
        <v>0</v>
      </c>
      <c r="AE10" s="404">
        <v>0</v>
      </c>
      <c r="AF10" s="404">
        <v>0</v>
      </c>
      <c r="AG10" s="404">
        <v>0</v>
      </c>
      <c r="AH10" s="405">
        <f t="shared" si="4"/>
        <v>0</v>
      </c>
      <c r="AI10" s="139">
        <f t="shared" si="5"/>
        <v>-1</v>
      </c>
      <c r="AJ10" s="405"/>
      <c r="AK10" s="39">
        <f t="shared" si="2"/>
        <v>0</v>
      </c>
      <c r="AL10" s="39">
        <f t="shared" si="2"/>
        <v>0</v>
      </c>
      <c r="AM10" s="39">
        <f t="shared" si="2"/>
        <v>0</v>
      </c>
      <c r="AN10" s="39">
        <f t="shared" si="2"/>
        <v>0</v>
      </c>
      <c r="AO10" s="39">
        <f t="shared" si="2"/>
        <v>0</v>
      </c>
      <c r="AP10" s="39">
        <f t="shared" si="2"/>
        <v>0</v>
      </c>
      <c r="AQ10" s="39">
        <f t="shared" si="2"/>
        <v>0</v>
      </c>
      <c r="AR10" s="39">
        <f t="shared" si="2"/>
        <v>0</v>
      </c>
      <c r="AS10" s="39">
        <f t="shared" si="2"/>
        <v>0</v>
      </c>
      <c r="AT10" s="39">
        <f t="shared" si="2"/>
        <v>0</v>
      </c>
      <c r="AU10" s="39">
        <f t="shared" si="2"/>
        <v>0</v>
      </c>
      <c r="AV10" s="39">
        <f t="shared" si="2"/>
        <v>0</v>
      </c>
      <c r="AW10" s="405">
        <f t="shared" si="6"/>
        <v>0</v>
      </c>
      <c r="AX10" s="139">
        <f t="shared" si="3"/>
        <v>0</v>
      </c>
    </row>
    <row r="11" spans="1:50" outlineLevel="1">
      <c r="A11" s="37" t="s">
        <v>234</v>
      </c>
      <c r="B11" s="41" t="s">
        <v>64</v>
      </c>
      <c r="C11" s="41" t="s">
        <v>64</v>
      </c>
      <c r="D11" s="37"/>
      <c r="E11" s="40">
        <v>87627.180000000022</v>
      </c>
      <c r="F11" s="420">
        <v>6505.6200000000008</v>
      </c>
      <c r="G11" s="420">
        <v>8602.86</v>
      </c>
      <c r="H11" s="420">
        <v>4624.32</v>
      </c>
      <c r="I11" s="420">
        <v>6294.420000000001</v>
      </c>
      <c r="J11" s="420">
        <v>0</v>
      </c>
      <c r="K11" s="420">
        <v>340.08</v>
      </c>
      <c r="L11" s="420">
        <v>0</v>
      </c>
      <c r="M11" s="420">
        <v>10675.740000000002</v>
      </c>
      <c r="N11" s="420">
        <v>5042.2199999999993</v>
      </c>
      <c r="O11" s="39">
        <v>4000</v>
      </c>
      <c r="P11" s="39">
        <v>2500</v>
      </c>
      <c r="Q11" s="39">
        <v>0</v>
      </c>
      <c r="R11" s="39">
        <f t="shared" si="1"/>
        <v>48585.260000000009</v>
      </c>
      <c r="S11" s="39"/>
      <c r="T11" s="39"/>
      <c r="U11" s="40"/>
      <c r="V11" s="39">
        <v>6505.6200000000008</v>
      </c>
      <c r="W11" s="39">
        <v>8602.86</v>
      </c>
      <c r="X11" s="39">
        <v>4624.32</v>
      </c>
      <c r="Y11" s="39">
        <v>6294.420000000001</v>
      </c>
      <c r="Z11" s="39">
        <v>0</v>
      </c>
      <c r="AA11" s="39">
        <v>340.08</v>
      </c>
      <c r="AB11" s="39">
        <v>2000</v>
      </c>
      <c r="AC11" s="39">
        <v>11209.527000000002</v>
      </c>
      <c r="AD11" s="39">
        <v>5294.3309999999992</v>
      </c>
      <c r="AE11" s="39">
        <v>4200</v>
      </c>
      <c r="AF11" s="39">
        <v>2625</v>
      </c>
      <c r="AG11" s="39">
        <v>125</v>
      </c>
      <c r="AH11" s="45">
        <f t="shared" si="4"/>
        <v>51821.158000000003</v>
      </c>
      <c r="AI11" s="139">
        <f t="shared" si="5"/>
        <v>6.6602463380868837E-2</v>
      </c>
      <c r="AJ11" s="405"/>
      <c r="AK11" s="39">
        <f>V11*1.15</f>
        <v>7481.4630000000006</v>
      </c>
      <c r="AL11" s="39">
        <f t="shared" ref="AL11:AW11" si="7">W11*1.15</f>
        <v>9893.2890000000007</v>
      </c>
      <c r="AM11" s="39">
        <f t="shared" si="7"/>
        <v>5317.9679999999989</v>
      </c>
      <c r="AN11" s="39">
        <f t="shared" si="7"/>
        <v>7238.5830000000005</v>
      </c>
      <c r="AO11" s="39">
        <f t="shared" si="7"/>
        <v>0</v>
      </c>
      <c r="AP11" s="39">
        <f t="shared" si="7"/>
        <v>391.09199999999993</v>
      </c>
      <c r="AQ11" s="39">
        <f t="shared" si="7"/>
        <v>2300</v>
      </c>
      <c r="AR11" s="39">
        <f t="shared" si="7"/>
        <v>12890.956050000001</v>
      </c>
      <c r="AS11" s="39">
        <f t="shared" si="7"/>
        <v>6088.4806499999986</v>
      </c>
      <c r="AT11" s="39">
        <f t="shared" si="7"/>
        <v>4830</v>
      </c>
      <c r="AU11" s="39">
        <f t="shared" si="7"/>
        <v>3018.7499999999995</v>
      </c>
      <c r="AV11" s="39">
        <f t="shared" si="7"/>
        <v>143.75</v>
      </c>
      <c r="AW11" s="39">
        <f t="shared" si="7"/>
        <v>59594.331700000002</v>
      </c>
      <c r="AX11" s="139">
        <f t="shared" si="3"/>
        <v>0.14999999999999991</v>
      </c>
    </row>
    <row r="12" spans="1:50" outlineLevel="1">
      <c r="A12" s="37" t="s">
        <v>235</v>
      </c>
      <c r="B12" s="41" t="s">
        <v>236</v>
      </c>
      <c r="C12" s="41" t="s">
        <v>65</v>
      </c>
      <c r="D12" s="37"/>
      <c r="E12" s="40"/>
      <c r="F12" s="420">
        <v>0</v>
      </c>
      <c r="G12" s="420">
        <v>0</v>
      </c>
      <c r="H12" s="420">
        <v>0</v>
      </c>
      <c r="I12" s="420">
        <v>0</v>
      </c>
      <c r="J12" s="420">
        <v>0</v>
      </c>
      <c r="K12" s="420">
        <v>2691.12</v>
      </c>
      <c r="L12" s="420">
        <v>0</v>
      </c>
      <c r="M12" s="420">
        <v>0</v>
      </c>
      <c r="N12" s="420">
        <v>0</v>
      </c>
      <c r="O12" s="39">
        <v>0</v>
      </c>
      <c r="P12" s="39">
        <v>5000</v>
      </c>
      <c r="Q12" s="39">
        <v>0</v>
      </c>
      <c r="R12" s="39">
        <f t="shared" si="1"/>
        <v>7691.12</v>
      </c>
      <c r="S12" s="39"/>
      <c r="T12" s="40"/>
      <c r="U12" s="40"/>
      <c r="V12" s="39">
        <v>0</v>
      </c>
      <c r="W12" s="39">
        <v>0</v>
      </c>
      <c r="X12" s="39">
        <v>0</v>
      </c>
      <c r="Y12" s="39">
        <v>0</v>
      </c>
      <c r="Z12" s="39">
        <v>0</v>
      </c>
      <c r="AA12" s="39">
        <v>0</v>
      </c>
      <c r="AB12" s="39">
        <v>0</v>
      </c>
      <c r="AC12" s="39">
        <v>0</v>
      </c>
      <c r="AD12" s="39">
        <v>0</v>
      </c>
      <c r="AE12" s="39">
        <v>0</v>
      </c>
      <c r="AF12" s="39">
        <v>0</v>
      </c>
      <c r="AG12" s="39">
        <v>0</v>
      </c>
      <c r="AH12" s="45">
        <f t="shared" si="4"/>
        <v>0</v>
      </c>
      <c r="AI12" s="139">
        <f t="shared" si="5"/>
        <v>-1</v>
      </c>
      <c r="AJ12" s="405"/>
      <c r="AK12" s="39">
        <f t="shared" si="2"/>
        <v>0</v>
      </c>
      <c r="AL12" s="39">
        <f t="shared" si="2"/>
        <v>0</v>
      </c>
      <c r="AM12" s="39">
        <f t="shared" si="2"/>
        <v>0</v>
      </c>
      <c r="AN12" s="39">
        <f t="shared" si="2"/>
        <v>0</v>
      </c>
      <c r="AO12" s="39">
        <f t="shared" si="2"/>
        <v>0</v>
      </c>
      <c r="AP12" s="39">
        <f t="shared" si="2"/>
        <v>0</v>
      </c>
      <c r="AQ12" s="39">
        <f t="shared" si="2"/>
        <v>0</v>
      </c>
      <c r="AR12" s="39">
        <f t="shared" si="2"/>
        <v>0</v>
      </c>
      <c r="AS12" s="39">
        <f t="shared" si="2"/>
        <v>0</v>
      </c>
      <c r="AT12" s="39">
        <f t="shared" si="2"/>
        <v>0</v>
      </c>
      <c r="AU12" s="39">
        <f t="shared" si="2"/>
        <v>0</v>
      </c>
      <c r="AV12" s="39">
        <f t="shared" si="2"/>
        <v>0</v>
      </c>
      <c r="AW12" s="45">
        <f t="shared" si="6"/>
        <v>0</v>
      </c>
      <c r="AX12" s="139">
        <f t="shared" si="3"/>
        <v>0</v>
      </c>
    </row>
    <row r="13" spans="1:50" outlineLevel="1">
      <c r="A13" s="37" t="s">
        <v>237</v>
      </c>
      <c r="B13" s="41" t="s">
        <v>238</v>
      </c>
      <c r="C13" s="41" t="s">
        <v>67</v>
      </c>
      <c r="D13" s="37"/>
      <c r="E13" s="40"/>
      <c r="F13" s="420">
        <v>0</v>
      </c>
      <c r="G13" s="420">
        <v>0</v>
      </c>
      <c r="H13" s="420">
        <v>0</v>
      </c>
      <c r="I13" s="420">
        <v>0</v>
      </c>
      <c r="J13" s="420">
        <v>0</v>
      </c>
      <c r="K13" s="420">
        <v>0</v>
      </c>
      <c r="L13" s="420">
        <v>0</v>
      </c>
      <c r="M13" s="420">
        <v>92940</v>
      </c>
      <c r="N13" s="420">
        <v>0</v>
      </c>
      <c r="O13" s="39">
        <v>0</v>
      </c>
      <c r="P13" s="39">
        <v>0</v>
      </c>
      <c r="Q13" s="39">
        <v>0</v>
      </c>
      <c r="R13" s="39">
        <f t="shared" si="1"/>
        <v>92940</v>
      </c>
      <c r="S13" s="39"/>
      <c r="T13" s="40"/>
      <c r="U13" s="40"/>
      <c r="V13" s="39">
        <v>0</v>
      </c>
      <c r="W13" s="39">
        <v>0</v>
      </c>
      <c r="X13" s="39">
        <v>0</v>
      </c>
      <c r="Y13" s="39">
        <v>50000</v>
      </c>
      <c r="Z13" s="39">
        <v>0</v>
      </c>
      <c r="AA13" s="39">
        <v>0</v>
      </c>
      <c r="AB13" s="39">
        <v>50000</v>
      </c>
      <c r="AC13" s="39">
        <v>0</v>
      </c>
      <c r="AD13" s="39">
        <v>0</v>
      </c>
      <c r="AE13" s="39">
        <v>0</v>
      </c>
      <c r="AF13" s="39">
        <v>0</v>
      </c>
      <c r="AG13" s="39">
        <v>0</v>
      </c>
      <c r="AH13" s="45">
        <f t="shared" si="4"/>
        <v>100000</v>
      </c>
      <c r="AI13" s="139">
        <f t="shared" si="5"/>
        <v>7.5962986873251648E-2</v>
      </c>
      <c r="AJ13" s="405"/>
      <c r="AK13" s="39">
        <f t="shared" ref="AK13:AK34" si="8">V13*1.05</f>
        <v>0</v>
      </c>
      <c r="AL13" s="39">
        <f t="shared" ref="AL13:AL34" si="9">W13*1.05</f>
        <v>0</v>
      </c>
      <c r="AM13" s="39">
        <f t="shared" ref="AM13:AM34" si="10">X13*1.05</f>
        <v>0</v>
      </c>
      <c r="AN13" s="39">
        <v>40000</v>
      </c>
      <c r="AO13" s="39">
        <f t="shared" ref="AO13:AO34" si="11">Z13*1.05</f>
        <v>0</v>
      </c>
      <c r="AP13" s="39">
        <f t="shared" ref="AP13:AP34" si="12">AA13*1.05</f>
        <v>0</v>
      </c>
      <c r="AQ13" s="39">
        <v>40000</v>
      </c>
      <c r="AR13" s="39">
        <f t="shared" ref="AR13:AR34" si="13">AC13*1.05</f>
        <v>0</v>
      </c>
      <c r="AS13" s="39">
        <v>0</v>
      </c>
      <c r="AT13" s="39">
        <f t="shared" ref="AT13:AT34" si="14">AE13*1.05</f>
        <v>0</v>
      </c>
      <c r="AU13" s="39">
        <f t="shared" ref="AU13:AU34" si="15">AF13*1.05</f>
        <v>0</v>
      </c>
      <c r="AV13" s="39">
        <f t="shared" ref="AV13:AV34" si="16">AG13*1.05</f>
        <v>0</v>
      </c>
      <c r="AW13" s="45">
        <f t="shared" si="6"/>
        <v>80000</v>
      </c>
      <c r="AX13" s="139">
        <f t="shared" si="3"/>
        <v>-0.19999999999999996</v>
      </c>
    </row>
    <row r="14" spans="1:50" outlineLevel="1">
      <c r="A14" s="13" t="s">
        <v>239</v>
      </c>
      <c r="B14" s="41" t="s">
        <v>64</v>
      </c>
      <c r="C14" s="41" t="s">
        <v>64</v>
      </c>
      <c r="D14" s="37"/>
      <c r="E14" s="40">
        <v>51676.290000000008</v>
      </c>
      <c r="F14" s="420">
        <v>0</v>
      </c>
      <c r="G14" s="420">
        <v>2554.92</v>
      </c>
      <c r="H14" s="420">
        <v>0</v>
      </c>
      <c r="I14" s="420">
        <v>3820.5000000000009</v>
      </c>
      <c r="J14" s="420">
        <v>2239.2599999999998</v>
      </c>
      <c r="K14" s="420">
        <v>0</v>
      </c>
      <c r="L14" s="420">
        <v>1571.6399999999999</v>
      </c>
      <c r="M14" s="420">
        <v>0</v>
      </c>
      <c r="N14" s="420">
        <v>0</v>
      </c>
      <c r="O14" s="39">
        <v>0</v>
      </c>
      <c r="P14" s="39">
        <v>0</v>
      </c>
      <c r="Q14" s="39">
        <v>0</v>
      </c>
      <c r="R14" s="39">
        <f t="shared" si="1"/>
        <v>10186.32</v>
      </c>
      <c r="S14" s="39"/>
      <c r="T14" s="39"/>
      <c r="U14" s="40"/>
      <c r="V14" s="39">
        <v>0</v>
      </c>
      <c r="W14" s="39">
        <v>0</v>
      </c>
      <c r="X14" s="39">
        <v>0</v>
      </c>
      <c r="Y14" s="39">
        <v>0</v>
      </c>
      <c r="Z14" s="39">
        <v>0</v>
      </c>
      <c r="AA14" s="39">
        <v>0</v>
      </c>
      <c r="AB14" s="39">
        <v>0</v>
      </c>
      <c r="AC14" s="39">
        <v>0</v>
      </c>
      <c r="AD14" s="39">
        <v>0</v>
      </c>
      <c r="AE14" s="39">
        <v>0</v>
      </c>
      <c r="AF14" s="39">
        <v>0</v>
      </c>
      <c r="AG14" s="39">
        <v>0</v>
      </c>
      <c r="AH14" s="45">
        <f t="shared" si="4"/>
        <v>0</v>
      </c>
      <c r="AI14" s="139">
        <f t="shared" si="5"/>
        <v>-1</v>
      </c>
      <c r="AJ14" s="405"/>
      <c r="AK14" s="39">
        <f t="shared" si="8"/>
        <v>0</v>
      </c>
      <c r="AL14" s="39">
        <f t="shared" si="9"/>
        <v>0</v>
      </c>
      <c r="AM14" s="39">
        <f t="shared" si="10"/>
        <v>0</v>
      </c>
      <c r="AN14" s="39">
        <f t="shared" ref="AN14:AN34" si="17">Y14*1.05</f>
        <v>0</v>
      </c>
      <c r="AO14" s="39">
        <f t="shared" si="11"/>
        <v>0</v>
      </c>
      <c r="AP14" s="39">
        <f t="shared" si="12"/>
        <v>0</v>
      </c>
      <c r="AQ14" s="39">
        <f t="shared" ref="AQ14:AQ34" si="18">AB14*1.05</f>
        <v>0</v>
      </c>
      <c r="AR14" s="39">
        <f t="shared" si="13"/>
        <v>0</v>
      </c>
      <c r="AS14" s="39">
        <f t="shared" ref="AS14:AS34" si="19">AD14*1.05</f>
        <v>0</v>
      </c>
      <c r="AT14" s="39">
        <f t="shared" si="14"/>
        <v>0</v>
      </c>
      <c r="AU14" s="39">
        <f t="shared" si="15"/>
        <v>0</v>
      </c>
      <c r="AV14" s="39">
        <f t="shared" si="16"/>
        <v>0</v>
      </c>
      <c r="AW14" s="45">
        <f t="shared" si="6"/>
        <v>0</v>
      </c>
      <c r="AX14" s="139">
        <f t="shared" si="3"/>
        <v>0</v>
      </c>
    </row>
    <row r="15" spans="1:50" outlineLevel="1">
      <c r="A15" s="13" t="s">
        <v>416</v>
      </c>
      <c r="B15" s="41" t="s">
        <v>417</v>
      </c>
      <c r="C15" s="41" t="s">
        <v>67</v>
      </c>
      <c r="D15" s="37"/>
      <c r="E15" s="40"/>
      <c r="F15" s="420"/>
      <c r="G15" s="420"/>
      <c r="H15" s="420"/>
      <c r="I15" s="420"/>
      <c r="J15" s="420"/>
      <c r="K15" s="420"/>
      <c r="L15" s="420"/>
      <c r="M15" s="420"/>
      <c r="N15" s="420">
        <v>7888</v>
      </c>
      <c r="O15" s="39">
        <v>0</v>
      </c>
      <c r="P15" s="39"/>
      <c r="Q15" s="39"/>
      <c r="R15" s="39"/>
      <c r="S15" s="39"/>
      <c r="T15" s="39"/>
      <c r="U15" s="40"/>
      <c r="V15" s="39">
        <v>0</v>
      </c>
      <c r="W15" s="39">
        <v>0</v>
      </c>
      <c r="X15" s="39">
        <v>0</v>
      </c>
      <c r="Y15" s="39">
        <v>0</v>
      </c>
      <c r="Z15" s="39">
        <v>0</v>
      </c>
      <c r="AA15" s="39">
        <v>0</v>
      </c>
      <c r="AB15" s="39">
        <v>0</v>
      </c>
      <c r="AC15" s="39">
        <v>0</v>
      </c>
      <c r="AD15" s="39">
        <v>0</v>
      </c>
      <c r="AE15" s="39">
        <v>0</v>
      </c>
      <c r="AF15" s="39">
        <v>0</v>
      </c>
      <c r="AG15" s="39">
        <v>0</v>
      </c>
      <c r="AH15" s="45">
        <f t="shared" si="4"/>
        <v>0</v>
      </c>
      <c r="AI15" s="139">
        <f t="shared" si="5"/>
        <v>0</v>
      </c>
      <c r="AJ15" s="405"/>
      <c r="AK15" s="39">
        <f t="shared" si="8"/>
        <v>0</v>
      </c>
      <c r="AL15" s="39">
        <f t="shared" si="9"/>
        <v>0</v>
      </c>
      <c r="AM15" s="39">
        <f t="shared" si="10"/>
        <v>0</v>
      </c>
      <c r="AN15" s="39">
        <f t="shared" si="17"/>
        <v>0</v>
      </c>
      <c r="AO15" s="39">
        <f t="shared" si="11"/>
        <v>0</v>
      </c>
      <c r="AP15" s="39">
        <f t="shared" si="12"/>
        <v>0</v>
      </c>
      <c r="AQ15" s="39">
        <f t="shared" si="18"/>
        <v>0</v>
      </c>
      <c r="AR15" s="39">
        <f t="shared" si="13"/>
        <v>0</v>
      </c>
      <c r="AS15" s="39">
        <f t="shared" si="19"/>
        <v>0</v>
      </c>
      <c r="AT15" s="39">
        <f t="shared" si="14"/>
        <v>0</v>
      </c>
      <c r="AU15" s="39">
        <f t="shared" si="15"/>
        <v>0</v>
      </c>
      <c r="AV15" s="39">
        <f t="shared" si="16"/>
        <v>0</v>
      </c>
      <c r="AW15" s="45"/>
      <c r="AX15" s="139">
        <f t="shared" si="3"/>
        <v>0</v>
      </c>
    </row>
    <row r="16" spans="1:50" outlineLevel="1">
      <c r="A16" s="13" t="s">
        <v>240</v>
      </c>
      <c r="B16" s="41" t="s">
        <v>64</v>
      </c>
      <c r="C16" s="41" t="s">
        <v>64</v>
      </c>
      <c r="D16" s="37"/>
      <c r="E16" s="40"/>
      <c r="F16" s="420">
        <v>0</v>
      </c>
      <c r="G16" s="420">
        <v>0</v>
      </c>
      <c r="H16" s="420">
        <v>2809.7999999999997</v>
      </c>
      <c r="I16" s="420">
        <v>1899.0000000000002</v>
      </c>
      <c r="J16" s="420">
        <v>188.1</v>
      </c>
      <c r="K16" s="420">
        <v>0</v>
      </c>
      <c r="L16" s="420">
        <v>0</v>
      </c>
      <c r="M16" s="420">
        <v>0</v>
      </c>
      <c r="N16" s="420">
        <v>0</v>
      </c>
      <c r="O16" s="39">
        <v>0</v>
      </c>
      <c r="P16" s="39">
        <v>0</v>
      </c>
      <c r="Q16" s="39">
        <v>0</v>
      </c>
      <c r="R16" s="39">
        <f t="shared" ref="R16:R47" si="20">SUM(F16:Q16)</f>
        <v>4896.9000000000005</v>
      </c>
      <c r="S16" s="39"/>
      <c r="T16" s="40"/>
      <c r="U16" s="40"/>
      <c r="V16" s="39">
        <v>0</v>
      </c>
      <c r="W16" s="39">
        <v>0</v>
      </c>
      <c r="X16" s="39">
        <v>0</v>
      </c>
      <c r="Y16" s="39">
        <v>0</v>
      </c>
      <c r="Z16" s="39">
        <v>0</v>
      </c>
      <c r="AA16" s="39">
        <v>0</v>
      </c>
      <c r="AB16" s="39">
        <v>0</v>
      </c>
      <c r="AC16" s="39">
        <v>0</v>
      </c>
      <c r="AD16" s="39">
        <v>0</v>
      </c>
      <c r="AE16" s="39">
        <v>0</v>
      </c>
      <c r="AF16" s="39">
        <v>0</v>
      </c>
      <c r="AG16" s="39">
        <v>0</v>
      </c>
      <c r="AH16" s="45">
        <f t="shared" si="4"/>
        <v>0</v>
      </c>
      <c r="AI16" s="139">
        <f t="shared" si="5"/>
        <v>-1</v>
      </c>
      <c r="AJ16" s="405"/>
      <c r="AK16" s="39">
        <f t="shared" si="8"/>
        <v>0</v>
      </c>
      <c r="AL16" s="39">
        <f t="shared" si="9"/>
        <v>0</v>
      </c>
      <c r="AM16" s="39">
        <f t="shared" si="10"/>
        <v>0</v>
      </c>
      <c r="AN16" s="39">
        <f t="shared" si="17"/>
        <v>0</v>
      </c>
      <c r="AO16" s="39">
        <f t="shared" si="11"/>
        <v>0</v>
      </c>
      <c r="AP16" s="39">
        <f t="shared" si="12"/>
        <v>0</v>
      </c>
      <c r="AQ16" s="39">
        <f t="shared" si="18"/>
        <v>0</v>
      </c>
      <c r="AR16" s="39">
        <f t="shared" si="13"/>
        <v>0</v>
      </c>
      <c r="AS16" s="39">
        <f t="shared" si="19"/>
        <v>0</v>
      </c>
      <c r="AT16" s="39">
        <f t="shared" si="14"/>
        <v>0</v>
      </c>
      <c r="AU16" s="39">
        <f t="shared" si="15"/>
        <v>0</v>
      </c>
      <c r="AV16" s="39">
        <f t="shared" si="16"/>
        <v>0</v>
      </c>
      <c r="AW16" s="45">
        <f t="shared" si="6"/>
        <v>0</v>
      </c>
      <c r="AX16" s="139">
        <f t="shared" si="3"/>
        <v>0</v>
      </c>
    </row>
    <row r="17" spans="1:50" outlineLevel="1">
      <c r="A17" s="13" t="s">
        <v>241</v>
      </c>
      <c r="B17" s="41" t="s">
        <v>242</v>
      </c>
      <c r="C17" s="41" t="s">
        <v>67</v>
      </c>
      <c r="D17" s="37"/>
      <c r="E17" s="40"/>
      <c r="F17" s="420">
        <v>0</v>
      </c>
      <c r="G17" s="420">
        <v>39927.300000000003</v>
      </c>
      <c r="H17" s="420">
        <v>0</v>
      </c>
      <c r="I17" s="420">
        <v>0</v>
      </c>
      <c r="J17" s="420">
        <v>0</v>
      </c>
      <c r="K17" s="420">
        <v>0</v>
      </c>
      <c r="L17" s="420">
        <v>0</v>
      </c>
      <c r="M17" s="420">
        <v>23850.12</v>
      </c>
      <c r="N17" s="420">
        <v>0</v>
      </c>
      <c r="O17" s="39">
        <v>0</v>
      </c>
      <c r="P17" s="39">
        <v>0</v>
      </c>
      <c r="Q17" s="39">
        <v>0</v>
      </c>
      <c r="R17" s="39">
        <f t="shared" si="20"/>
        <v>63777.42</v>
      </c>
      <c r="S17" s="39"/>
      <c r="T17" s="40"/>
      <c r="U17" s="40"/>
      <c r="V17" s="39">
        <v>0</v>
      </c>
      <c r="W17" s="39">
        <v>39927.300000000003</v>
      </c>
      <c r="X17" s="39">
        <v>0</v>
      </c>
      <c r="Y17" s="39">
        <v>0</v>
      </c>
      <c r="Z17" s="39">
        <v>0</v>
      </c>
      <c r="AA17" s="39">
        <v>0</v>
      </c>
      <c r="AB17" s="39">
        <v>0</v>
      </c>
      <c r="AC17" s="39">
        <v>23850.12</v>
      </c>
      <c r="AD17" s="39">
        <v>0</v>
      </c>
      <c r="AE17" s="39">
        <v>0</v>
      </c>
      <c r="AF17" s="39">
        <v>0</v>
      </c>
      <c r="AG17" s="39">
        <v>0</v>
      </c>
      <c r="AH17" s="45">
        <f t="shared" si="4"/>
        <v>63777.42</v>
      </c>
      <c r="AI17" s="139">
        <f t="shared" si="5"/>
        <v>0</v>
      </c>
      <c r="AJ17" s="405"/>
      <c r="AK17" s="39">
        <f t="shared" si="8"/>
        <v>0</v>
      </c>
      <c r="AL17" s="39">
        <v>20000</v>
      </c>
      <c r="AM17" s="39">
        <f t="shared" si="10"/>
        <v>0</v>
      </c>
      <c r="AN17" s="39">
        <v>10000</v>
      </c>
      <c r="AO17" s="39">
        <f t="shared" si="11"/>
        <v>0</v>
      </c>
      <c r="AP17" s="39">
        <v>20000</v>
      </c>
      <c r="AQ17" s="39">
        <f t="shared" si="18"/>
        <v>0</v>
      </c>
      <c r="AR17" s="39">
        <f t="shared" si="13"/>
        <v>25042.626</v>
      </c>
      <c r="AS17" s="39">
        <f t="shared" si="19"/>
        <v>0</v>
      </c>
      <c r="AT17" s="39">
        <v>10000</v>
      </c>
      <c r="AU17" s="39">
        <f t="shared" si="15"/>
        <v>0</v>
      </c>
      <c r="AV17" s="39">
        <f t="shared" si="16"/>
        <v>0</v>
      </c>
      <c r="AW17" s="45">
        <f t="shared" si="6"/>
        <v>85042.626000000004</v>
      </c>
      <c r="AX17" s="139">
        <f t="shared" si="3"/>
        <v>0.3334284453651466</v>
      </c>
    </row>
    <row r="18" spans="1:50" outlineLevel="1">
      <c r="A18" s="13" t="s">
        <v>243</v>
      </c>
      <c r="B18" s="41" t="s">
        <v>64</v>
      </c>
      <c r="C18" s="41" t="s">
        <v>64</v>
      </c>
      <c r="D18" s="37"/>
      <c r="E18" s="40">
        <v>42153.359999999993</v>
      </c>
      <c r="F18" s="420">
        <v>3526.04</v>
      </c>
      <c r="G18" s="420">
        <v>2494.7599999999998</v>
      </c>
      <c r="H18" s="420">
        <v>4227.84</v>
      </c>
      <c r="I18" s="420">
        <v>3011.1699999999996</v>
      </c>
      <c r="J18" s="420">
        <v>3377.64</v>
      </c>
      <c r="K18" s="420">
        <v>2867.64</v>
      </c>
      <c r="L18" s="420">
        <v>5044.6000000000004</v>
      </c>
      <c r="M18" s="420">
        <v>2260.3200000000002</v>
      </c>
      <c r="N18" s="420">
        <v>2515</v>
      </c>
      <c r="O18" s="39">
        <v>3117.5787500000001</v>
      </c>
      <c r="P18" s="39">
        <v>3195.4310937499999</v>
      </c>
      <c r="Q18" s="39">
        <v>3066.3799804687501</v>
      </c>
      <c r="R18" s="39">
        <f t="shared" si="20"/>
        <v>38704.399824218752</v>
      </c>
      <c r="S18" s="39"/>
      <c r="T18" s="39"/>
      <c r="U18" s="40"/>
      <c r="V18" s="39">
        <v>2800</v>
      </c>
      <c r="W18" s="39">
        <v>2800</v>
      </c>
      <c r="X18" s="39">
        <v>3800</v>
      </c>
      <c r="Y18" s="39">
        <v>3800</v>
      </c>
      <c r="Z18" s="39">
        <v>2800</v>
      </c>
      <c r="AA18" s="39">
        <v>3800</v>
      </c>
      <c r="AB18" s="39">
        <v>3800</v>
      </c>
      <c r="AC18" s="39">
        <v>2800</v>
      </c>
      <c r="AD18" s="39">
        <v>4300</v>
      </c>
      <c r="AE18" s="39">
        <v>4300</v>
      </c>
      <c r="AF18" s="39">
        <v>2800</v>
      </c>
      <c r="AG18" s="39">
        <v>2800</v>
      </c>
      <c r="AH18" s="45">
        <f t="shared" si="4"/>
        <v>40600</v>
      </c>
      <c r="AI18" s="139">
        <f t="shared" si="5"/>
        <v>4.8976348538935399E-2</v>
      </c>
      <c r="AJ18" s="405"/>
      <c r="AK18" s="39">
        <f>V18*1.08</f>
        <v>3024</v>
      </c>
      <c r="AL18" s="39">
        <f t="shared" ref="AL18:AW18" si="21">W18*1.08</f>
        <v>3024</v>
      </c>
      <c r="AM18" s="39">
        <f t="shared" si="21"/>
        <v>4104</v>
      </c>
      <c r="AN18" s="39">
        <f t="shared" si="21"/>
        <v>4104</v>
      </c>
      <c r="AO18" s="39">
        <f t="shared" si="21"/>
        <v>3024</v>
      </c>
      <c r="AP18" s="39">
        <f t="shared" si="21"/>
        <v>4104</v>
      </c>
      <c r="AQ18" s="39">
        <f t="shared" si="21"/>
        <v>4104</v>
      </c>
      <c r="AR18" s="39">
        <f t="shared" si="21"/>
        <v>3024</v>
      </c>
      <c r="AS18" s="39">
        <f t="shared" si="21"/>
        <v>4644</v>
      </c>
      <c r="AT18" s="39">
        <f t="shared" si="21"/>
        <v>4644</v>
      </c>
      <c r="AU18" s="39">
        <f t="shared" si="21"/>
        <v>3024</v>
      </c>
      <c r="AV18" s="39">
        <f t="shared" si="21"/>
        <v>3024</v>
      </c>
      <c r="AW18" s="39">
        <f t="shared" si="21"/>
        <v>43848</v>
      </c>
      <c r="AX18" s="139">
        <f t="shared" si="3"/>
        <v>8.0000000000000071E-2</v>
      </c>
    </row>
    <row r="19" spans="1:50" outlineLevel="1">
      <c r="A19" s="13" t="s">
        <v>244</v>
      </c>
      <c r="B19" s="41" t="s">
        <v>245</v>
      </c>
      <c r="C19" s="41" t="s">
        <v>65</v>
      </c>
      <c r="D19" s="37"/>
      <c r="E19" s="40"/>
      <c r="F19" s="420">
        <v>0</v>
      </c>
      <c r="G19" s="420">
        <v>0</v>
      </c>
      <c r="H19" s="420">
        <v>3800.4699999999993</v>
      </c>
      <c r="I19" s="420">
        <v>0</v>
      </c>
      <c r="J19" s="420">
        <v>0</v>
      </c>
      <c r="K19" s="420">
        <v>2848.8799999999997</v>
      </c>
      <c r="L19" s="420">
        <v>434.61999999999989</v>
      </c>
      <c r="M19" s="420">
        <v>0</v>
      </c>
      <c r="N19" s="420">
        <v>0</v>
      </c>
      <c r="O19" s="39">
        <v>5000</v>
      </c>
      <c r="P19" s="39">
        <v>0</v>
      </c>
      <c r="Q19" s="39">
        <v>0</v>
      </c>
      <c r="R19" s="39">
        <f t="shared" si="20"/>
        <v>12083.969999999998</v>
      </c>
      <c r="S19" s="39"/>
      <c r="T19" s="40"/>
      <c r="U19" s="40"/>
      <c r="V19" s="39">
        <v>0</v>
      </c>
      <c r="W19" s="39">
        <v>0</v>
      </c>
      <c r="X19" s="39">
        <v>2000</v>
      </c>
      <c r="Y19" s="39">
        <v>0</v>
      </c>
      <c r="Z19" s="39">
        <v>0</v>
      </c>
      <c r="AA19" s="39">
        <v>2000</v>
      </c>
      <c r="AB19" s="39">
        <v>0</v>
      </c>
      <c r="AC19" s="39">
        <v>0</v>
      </c>
      <c r="AD19" s="39">
        <v>2000</v>
      </c>
      <c r="AE19" s="39">
        <v>0</v>
      </c>
      <c r="AF19" s="39">
        <v>0</v>
      </c>
      <c r="AG19" s="39">
        <v>2000</v>
      </c>
      <c r="AH19" s="45">
        <f t="shared" si="4"/>
        <v>8000</v>
      </c>
      <c r="AI19" s="139">
        <f t="shared" si="5"/>
        <v>-0.33796591683031307</v>
      </c>
      <c r="AJ19" s="405"/>
      <c r="AK19" s="39">
        <v>1000</v>
      </c>
      <c r="AL19" s="39">
        <v>1000</v>
      </c>
      <c r="AM19" s="39">
        <f t="shared" si="10"/>
        <v>2100</v>
      </c>
      <c r="AN19" s="39">
        <f t="shared" si="17"/>
        <v>0</v>
      </c>
      <c r="AO19" s="39">
        <v>1000</v>
      </c>
      <c r="AP19" s="39">
        <f t="shared" si="12"/>
        <v>2100</v>
      </c>
      <c r="AQ19" s="39">
        <f t="shared" si="18"/>
        <v>0</v>
      </c>
      <c r="AR19" s="39">
        <v>1000</v>
      </c>
      <c r="AS19" s="39">
        <f t="shared" si="19"/>
        <v>2100</v>
      </c>
      <c r="AT19" s="39">
        <f t="shared" si="14"/>
        <v>0</v>
      </c>
      <c r="AU19" s="39">
        <f t="shared" si="15"/>
        <v>0</v>
      </c>
      <c r="AV19" s="39">
        <f t="shared" si="16"/>
        <v>2100</v>
      </c>
      <c r="AW19" s="45">
        <f t="shared" si="6"/>
        <v>12400</v>
      </c>
      <c r="AX19" s="139">
        <f t="shared" si="3"/>
        <v>0.55000000000000004</v>
      </c>
    </row>
    <row r="20" spans="1:50" outlineLevel="1">
      <c r="A20" s="37" t="s">
        <v>246</v>
      </c>
      <c r="B20" s="41" t="s">
        <v>247</v>
      </c>
      <c r="C20" s="41" t="s">
        <v>65</v>
      </c>
      <c r="D20" s="37"/>
      <c r="E20" s="40">
        <v>18095.309999999998</v>
      </c>
      <c r="F20" s="420">
        <v>2965.3200000000006</v>
      </c>
      <c r="G20" s="420">
        <v>0</v>
      </c>
      <c r="H20" s="420">
        <v>0</v>
      </c>
      <c r="I20" s="420">
        <v>9368.82</v>
      </c>
      <c r="J20" s="420">
        <v>0</v>
      </c>
      <c r="K20" s="420">
        <v>0</v>
      </c>
      <c r="L20" s="420">
        <v>0</v>
      </c>
      <c r="M20" s="420">
        <v>0</v>
      </c>
      <c r="N20" s="420">
        <v>0</v>
      </c>
      <c r="O20" s="39">
        <v>2058.358609943195</v>
      </c>
      <c r="P20" s="39">
        <v>1856.3937771840724</v>
      </c>
      <c r="Q20" s="39">
        <v>1486.3979425138975</v>
      </c>
      <c r="R20" s="39">
        <f t="shared" si="20"/>
        <v>17735.290329641164</v>
      </c>
      <c r="S20" s="39"/>
      <c r="T20" s="40">
        <v>20809.606499999994</v>
      </c>
      <c r="U20" s="40"/>
      <c r="V20" s="39">
        <v>1500</v>
      </c>
      <c r="W20" s="39">
        <v>1500</v>
      </c>
      <c r="X20" s="39">
        <v>1500</v>
      </c>
      <c r="Y20" s="39">
        <v>1500</v>
      </c>
      <c r="Z20" s="39">
        <v>1500</v>
      </c>
      <c r="AA20" s="39">
        <v>1500</v>
      </c>
      <c r="AB20" s="39">
        <v>1500</v>
      </c>
      <c r="AC20" s="39">
        <v>1500</v>
      </c>
      <c r="AD20" s="39">
        <v>1500</v>
      </c>
      <c r="AE20" s="39">
        <v>1500</v>
      </c>
      <c r="AF20" s="39">
        <v>1500</v>
      </c>
      <c r="AG20" s="39">
        <v>1500</v>
      </c>
      <c r="AH20" s="45">
        <f t="shared" si="4"/>
        <v>18000</v>
      </c>
      <c r="AI20" s="139">
        <f t="shared" si="5"/>
        <v>1.4925589907960113E-2</v>
      </c>
      <c r="AJ20" s="405"/>
      <c r="AK20" s="39">
        <f t="shared" si="8"/>
        <v>1575</v>
      </c>
      <c r="AL20" s="39">
        <f t="shared" si="9"/>
        <v>1575</v>
      </c>
      <c r="AM20" s="39">
        <f t="shared" si="10"/>
        <v>1575</v>
      </c>
      <c r="AN20" s="39">
        <f t="shared" si="17"/>
        <v>1575</v>
      </c>
      <c r="AO20" s="39">
        <f t="shared" si="11"/>
        <v>1575</v>
      </c>
      <c r="AP20" s="39">
        <f t="shared" si="12"/>
        <v>1575</v>
      </c>
      <c r="AQ20" s="39">
        <f t="shared" si="18"/>
        <v>1575</v>
      </c>
      <c r="AR20" s="39">
        <f t="shared" si="13"/>
        <v>1575</v>
      </c>
      <c r="AS20" s="39">
        <f t="shared" si="19"/>
        <v>1575</v>
      </c>
      <c r="AT20" s="39">
        <f t="shared" si="14"/>
        <v>1575</v>
      </c>
      <c r="AU20" s="39">
        <f t="shared" si="15"/>
        <v>1575</v>
      </c>
      <c r="AV20" s="39">
        <f t="shared" si="16"/>
        <v>1575</v>
      </c>
      <c r="AW20" s="45">
        <f t="shared" si="6"/>
        <v>18900</v>
      </c>
      <c r="AX20" s="139">
        <f t="shared" si="3"/>
        <v>5.0000000000000044E-2</v>
      </c>
    </row>
    <row r="21" spans="1:50" outlineLevel="1">
      <c r="A21" s="37" t="s">
        <v>248</v>
      </c>
      <c r="B21" s="41" t="s">
        <v>64</v>
      </c>
      <c r="C21" s="41" t="s">
        <v>64</v>
      </c>
      <c r="D21" s="37"/>
      <c r="E21" s="40">
        <v>954811.47999999986</v>
      </c>
      <c r="F21" s="420">
        <v>62109.889999999992</v>
      </c>
      <c r="G21" s="420">
        <v>34881.200000000004</v>
      </c>
      <c r="H21" s="420">
        <v>65462.32</v>
      </c>
      <c r="I21" s="420">
        <v>56611.38</v>
      </c>
      <c r="J21" s="420">
        <v>41852.039999999994</v>
      </c>
      <c r="K21" s="420">
        <v>52025.279999999999</v>
      </c>
      <c r="L21" s="420">
        <v>55500.08</v>
      </c>
      <c r="M21" s="420">
        <v>53579.94</v>
      </c>
      <c r="N21" s="420">
        <v>71597.51999999999</v>
      </c>
      <c r="O21" s="39">
        <v>85389.5345967045</v>
      </c>
      <c r="P21" s="39">
        <v>99992.361590475004</v>
      </c>
      <c r="Q21" s="39">
        <v>64440.877585813003</v>
      </c>
      <c r="R21" s="39">
        <f t="shared" si="20"/>
        <v>743442.42377299257</v>
      </c>
      <c r="S21" s="39"/>
      <c r="T21" s="39">
        <v>1100005.3665411538</v>
      </c>
      <c r="U21" s="40"/>
      <c r="V21" s="39">
        <v>59004.395499999991</v>
      </c>
      <c r="W21" s="39">
        <v>33137.14</v>
      </c>
      <c r="X21" s="39">
        <v>62189.203999999998</v>
      </c>
      <c r="Y21" s="39">
        <v>53780.810999999994</v>
      </c>
      <c r="Z21" s="39">
        <v>41852.039999999994</v>
      </c>
      <c r="AA21" s="39">
        <v>52025.279999999999</v>
      </c>
      <c r="AB21" s="39">
        <v>155500.08000000002</v>
      </c>
      <c r="AC21" s="39">
        <f>153579.94+170000</f>
        <v>323579.94</v>
      </c>
      <c r="AD21" s="39">
        <v>57278.015999999996</v>
      </c>
      <c r="AE21" s="39">
        <v>68311.627677363605</v>
      </c>
      <c r="AF21" s="39">
        <v>79993.889272380009</v>
      </c>
      <c r="AG21" s="39">
        <v>51552.702068650404</v>
      </c>
      <c r="AH21" s="45">
        <f t="shared" si="4"/>
        <v>1038205.1255183939</v>
      </c>
      <c r="AI21" s="139">
        <f t="shared" si="5"/>
        <v>0.39648356391806616</v>
      </c>
      <c r="AJ21" s="405"/>
      <c r="AK21" s="39">
        <f>V21*1.15</f>
        <v>67855.054824999985</v>
      </c>
      <c r="AL21" s="39">
        <f t="shared" ref="AL21:AV21" si="22">W21*1.15</f>
        <v>38107.710999999996</v>
      </c>
      <c r="AM21" s="39">
        <f t="shared" si="22"/>
        <v>71517.584599999987</v>
      </c>
      <c r="AN21" s="39">
        <f t="shared" si="22"/>
        <v>61847.932649999988</v>
      </c>
      <c r="AO21" s="39">
        <f t="shared" si="22"/>
        <v>48129.84599999999</v>
      </c>
      <c r="AP21" s="39">
        <f t="shared" si="22"/>
        <v>59829.071999999993</v>
      </c>
      <c r="AQ21" s="39">
        <f t="shared" si="22"/>
        <v>178825.092</v>
      </c>
      <c r="AR21" s="39">
        <f t="shared" si="22"/>
        <v>372116.93099999998</v>
      </c>
      <c r="AS21" s="39">
        <f t="shared" si="22"/>
        <v>65869.718399999983</v>
      </c>
      <c r="AT21" s="39">
        <f t="shared" si="22"/>
        <v>78558.371828968142</v>
      </c>
      <c r="AU21" s="39">
        <f t="shared" si="22"/>
        <v>91992.972663237</v>
      </c>
      <c r="AV21" s="39">
        <f t="shared" si="22"/>
        <v>59285.607378947963</v>
      </c>
      <c r="AW21" s="45">
        <f t="shared" si="6"/>
        <v>1193935.8943461531</v>
      </c>
      <c r="AX21" s="139">
        <f t="shared" si="3"/>
        <v>0.15000000000000013</v>
      </c>
    </row>
    <row r="22" spans="1:50" outlineLevel="1">
      <c r="A22" s="13" t="s">
        <v>249</v>
      </c>
      <c r="B22" s="41" t="s">
        <v>245</v>
      </c>
      <c r="C22" s="41" t="s">
        <v>65</v>
      </c>
      <c r="D22" s="37"/>
      <c r="E22" s="40"/>
      <c r="F22" s="420">
        <v>0</v>
      </c>
      <c r="G22" s="420">
        <v>3756.6799999999994</v>
      </c>
      <c r="H22" s="420">
        <v>-3756.6799999999994</v>
      </c>
      <c r="I22" s="420">
        <v>0</v>
      </c>
      <c r="J22" s="420">
        <v>0</v>
      </c>
      <c r="K22" s="420">
        <v>0</v>
      </c>
      <c r="L22" s="420">
        <v>0</v>
      </c>
      <c r="M22" s="420">
        <v>0</v>
      </c>
      <c r="N22" s="420">
        <v>0</v>
      </c>
      <c r="O22" s="39">
        <v>0</v>
      </c>
      <c r="P22" s="39">
        <v>0</v>
      </c>
      <c r="Q22" s="39">
        <v>0</v>
      </c>
      <c r="R22" s="39">
        <f t="shared" si="20"/>
        <v>0</v>
      </c>
      <c r="S22" s="39"/>
      <c r="T22" s="40"/>
      <c r="U22" s="40"/>
      <c r="V22" s="39">
        <v>0</v>
      </c>
      <c r="W22" s="39">
        <v>0</v>
      </c>
      <c r="X22" s="39">
        <v>0</v>
      </c>
      <c r="Y22" s="39">
        <v>0</v>
      </c>
      <c r="Z22" s="39">
        <v>0</v>
      </c>
      <c r="AA22" s="39">
        <v>0</v>
      </c>
      <c r="AB22" s="39">
        <v>0</v>
      </c>
      <c r="AC22" s="39">
        <v>0</v>
      </c>
      <c r="AD22" s="39">
        <v>0</v>
      </c>
      <c r="AE22" s="39">
        <v>0</v>
      </c>
      <c r="AF22" s="39">
        <v>0</v>
      </c>
      <c r="AG22" s="39">
        <v>0</v>
      </c>
      <c r="AH22" s="45">
        <f t="shared" si="4"/>
        <v>0</v>
      </c>
      <c r="AI22" s="139">
        <f t="shared" si="5"/>
        <v>0</v>
      </c>
      <c r="AJ22" s="405"/>
      <c r="AK22" s="39">
        <f t="shared" si="8"/>
        <v>0</v>
      </c>
      <c r="AL22" s="39">
        <f t="shared" si="9"/>
        <v>0</v>
      </c>
      <c r="AM22" s="39">
        <f t="shared" si="10"/>
        <v>0</v>
      </c>
      <c r="AN22" s="39">
        <f t="shared" si="17"/>
        <v>0</v>
      </c>
      <c r="AO22" s="39">
        <f t="shared" si="11"/>
        <v>0</v>
      </c>
      <c r="AP22" s="39">
        <f t="shared" si="12"/>
        <v>0</v>
      </c>
      <c r="AQ22" s="39">
        <f t="shared" si="18"/>
        <v>0</v>
      </c>
      <c r="AR22" s="39">
        <f t="shared" si="13"/>
        <v>0</v>
      </c>
      <c r="AS22" s="39">
        <f t="shared" si="19"/>
        <v>0</v>
      </c>
      <c r="AT22" s="39">
        <f t="shared" si="14"/>
        <v>0</v>
      </c>
      <c r="AU22" s="39">
        <f t="shared" si="15"/>
        <v>0</v>
      </c>
      <c r="AV22" s="39">
        <f t="shared" si="16"/>
        <v>0</v>
      </c>
      <c r="AW22" s="45">
        <f t="shared" si="6"/>
        <v>0</v>
      </c>
      <c r="AX22" s="139">
        <f t="shared" si="3"/>
        <v>0</v>
      </c>
    </row>
    <row r="23" spans="1:50" outlineLevel="1">
      <c r="A23" s="13" t="s">
        <v>250</v>
      </c>
      <c r="B23" s="41" t="s">
        <v>251</v>
      </c>
      <c r="C23" s="41" t="s">
        <v>65</v>
      </c>
      <c r="D23" s="37"/>
      <c r="E23" s="40"/>
      <c r="F23" s="420">
        <v>2359.1899999999996</v>
      </c>
      <c r="G23" s="420">
        <v>3946.66</v>
      </c>
      <c r="H23" s="420">
        <v>1109.07</v>
      </c>
      <c r="I23" s="420">
        <v>3231.1200000000003</v>
      </c>
      <c r="J23" s="420">
        <v>2233.6499999999996</v>
      </c>
      <c r="K23" s="420">
        <v>1401.2899999999997</v>
      </c>
      <c r="L23" s="420">
        <v>1400.9800000000002</v>
      </c>
      <c r="M23" s="420">
        <v>1672.2599999999995</v>
      </c>
      <c r="N23" s="420">
        <v>3578</v>
      </c>
      <c r="O23" s="39">
        <v>2315.0362499999997</v>
      </c>
      <c r="P23" s="39">
        <v>2111.0832812500003</v>
      </c>
      <c r="Q23" s="39">
        <v>2236.33494140625</v>
      </c>
      <c r="R23" s="39">
        <f t="shared" si="20"/>
        <v>27594.67447265625</v>
      </c>
      <c r="S23" s="39"/>
      <c r="T23" s="40"/>
      <c r="U23" s="40"/>
      <c r="V23" s="39">
        <v>2359.1899999999996</v>
      </c>
      <c r="W23" s="39">
        <v>3946.66</v>
      </c>
      <c r="X23" s="39">
        <v>1109.07</v>
      </c>
      <c r="Y23" s="39">
        <v>3231.1200000000003</v>
      </c>
      <c r="Z23" s="39">
        <v>2233.6499999999996</v>
      </c>
      <c r="AA23" s="39">
        <v>1401.2899999999997</v>
      </c>
      <c r="AB23" s="39">
        <v>1400.9800000000002</v>
      </c>
      <c r="AC23" s="39">
        <v>1672.2599999999995</v>
      </c>
      <c r="AD23" s="39">
        <v>3847.1799999999994</v>
      </c>
      <c r="AE23" s="39">
        <v>2315.0362499999997</v>
      </c>
      <c r="AF23" s="39">
        <v>2111.0832812500003</v>
      </c>
      <c r="AG23" s="39">
        <v>2236.33494140625</v>
      </c>
      <c r="AH23" s="45">
        <f t="shared" si="4"/>
        <v>27863.85447265625</v>
      </c>
      <c r="AI23" s="139">
        <f t="shared" si="5"/>
        <v>9.7547807736138026E-3</v>
      </c>
      <c r="AJ23" s="405"/>
      <c r="AK23" s="39">
        <f t="shared" si="8"/>
        <v>2477.1494999999995</v>
      </c>
      <c r="AL23" s="39">
        <f t="shared" si="9"/>
        <v>4143.9930000000004</v>
      </c>
      <c r="AM23" s="39">
        <f t="shared" si="10"/>
        <v>1164.5235</v>
      </c>
      <c r="AN23" s="39">
        <f t="shared" si="17"/>
        <v>3392.6760000000004</v>
      </c>
      <c r="AO23" s="39">
        <f t="shared" si="11"/>
        <v>2345.3324999999995</v>
      </c>
      <c r="AP23" s="39">
        <f t="shared" si="12"/>
        <v>1471.3544999999997</v>
      </c>
      <c r="AQ23" s="39">
        <f t="shared" si="18"/>
        <v>1471.0290000000002</v>
      </c>
      <c r="AR23" s="39">
        <f t="shared" si="13"/>
        <v>1755.8729999999996</v>
      </c>
      <c r="AS23" s="39">
        <f t="shared" si="19"/>
        <v>4039.5389999999993</v>
      </c>
      <c r="AT23" s="39">
        <f t="shared" si="14"/>
        <v>2430.7880624999998</v>
      </c>
      <c r="AU23" s="39">
        <f t="shared" si="15"/>
        <v>2216.6374453125004</v>
      </c>
      <c r="AV23" s="39">
        <f t="shared" si="16"/>
        <v>2348.1516884765624</v>
      </c>
      <c r="AW23" s="45">
        <f t="shared" si="6"/>
        <v>29257.047196289062</v>
      </c>
      <c r="AX23" s="139">
        <f t="shared" si="3"/>
        <v>5.0000000000000044E-2</v>
      </c>
    </row>
    <row r="24" spans="1:50" outlineLevel="1">
      <c r="A24" s="13" t="s">
        <v>252</v>
      </c>
      <c r="B24" s="41" t="s">
        <v>64</v>
      </c>
      <c r="C24" s="41" t="s">
        <v>64</v>
      </c>
      <c r="D24" s="37"/>
      <c r="E24" s="40">
        <v>4400.76</v>
      </c>
      <c r="F24" s="420">
        <v>2958.36</v>
      </c>
      <c r="G24" s="420">
        <v>0</v>
      </c>
      <c r="H24" s="420">
        <v>0</v>
      </c>
      <c r="I24" s="420">
        <v>0</v>
      </c>
      <c r="J24" s="420">
        <v>0</v>
      </c>
      <c r="K24" s="420">
        <v>0</v>
      </c>
      <c r="L24" s="420">
        <v>0</v>
      </c>
      <c r="M24" s="420">
        <v>1116.24</v>
      </c>
      <c r="N24" s="420">
        <v>742.68</v>
      </c>
      <c r="O24" s="39">
        <v>0</v>
      </c>
      <c r="P24" s="39">
        <v>0</v>
      </c>
      <c r="Q24" s="39">
        <v>0</v>
      </c>
      <c r="R24" s="39">
        <f t="shared" si="20"/>
        <v>4817.2800000000007</v>
      </c>
      <c r="S24" s="39"/>
      <c r="T24" s="39"/>
      <c r="U24" s="40"/>
      <c r="V24" s="39">
        <v>0</v>
      </c>
      <c r="W24" s="39">
        <v>0</v>
      </c>
      <c r="X24" s="39">
        <v>0</v>
      </c>
      <c r="Y24" s="39">
        <v>0</v>
      </c>
      <c r="Z24" s="39">
        <v>0</v>
      </c>
      <c r="AA24" s="39">
        <v>0</v>
      </c>
      <c r="AB24" s="39">
        <v>0</v>
      </c>
      <c r="AC24" s="39">
        <v>0</v>
      </c>
      <c r="AD24" s="39">
        <v>0</v>
      </c>
      <c r="AE24" s="39">
        <v>0</v>
      </c>
      <c r="AF24" s="39">
        <v>0</v>
      </c>
      <c r="AG24" s="39">
        <v>0</v>
      </c>
      <c r="AH24" s="45">
        <f t="shared" si="4"/>
        <v>0</v>
      </c>
      <c r="AI24" s="139">
        <f t="shared" si="5"/>
        <v>-1</v>
      </c>
      <c r="AJ24" s="405"/>
      <c r="AK24" s="39">
        <f t="shared" si="8"/>
        <v>0</v>
      </c>
      <c r="AL24" s="39">
        <f t="shared" si="9"/>
        <v>0</v>
      </c>
      <c r="AM24" s="39">
        <f t="shared" si="10"/>
        <v>0</v>
      </c>
      <c r="AN24" s="39">
        <f t="shared" si="17"/>
        <v>0</v>
      </c>
      <c r="AO24" s="39">
        <f t="shared" si="11"/>
        <v>0</v>
      </c>
      <c r="AP24" s="39">
        <f t="shared" si="12"/>
        <v>0</v>
      </c>
      <c r="AQ24" s="39">
        <f t="shared" si="18"/>
        <v>0</v>
      </c>
      <c r="AR24" s="39">
        <f t="shared" si="13"/>
        <v>0</v>
      </c>
      <c r="AS24" s="39">
        <f t="shared" si="19"/>
        <v>0</v>
      </c>
      <c r="AT24" s="39">
        <f t="shared" si="14"/>
        <v>0</v>
      </c>
      <c r="AU24" s="39">
        <f t="shared" si="15"/>
        <v>0</v>
      </c>
      <c r="AV24" s="39">
        <f t="shared" si="16"/>
        <v>0</v>
      </c>
      <c r="AW24" s="45">
        <f t="shared" si="6"/>
        <v>0</v>
      </c>
      <c r="AX24" s="139">
        <f t="shared" si="3"/>
        <v>0</v>
      </c>
    </row>
    <row r="25" spans="1:50" outlineLevel="1">
      <c r="A25" s="13" t="s">
        <v>253</v>
      </c>
      <c r="B25" s="41" t="s">
        <v>236</v>
      </c>
      <c r="C25" s="41" t="s">
        <v>65</v>
      </c>
      <c r="D25" s="37"/>
      <c r="E25" s="40"/>
      <c r="F25" s="420">
        <v>0</v>
      </c>
      <c r="G25" s="420">
        <v>1622.2</v>
      </c>
      <c r="H25" s="420">
        <v>0</v>
      </c>
      <c r="I25" s="420">
        <v>0</v>
      </c>
      <c r="J25" s="420">
        <v>0</v>
      </c>
      <c r="K25" s="420">
        <v>1943.4900000000002</v>
      </c>
      <c r="L25" s="420">
        <v>282.53999999999974</v>
      </c>
      <c r="M25" s="420">
        <v>0</v>
      </c>
      <c r="N25" s="420">
        <v>0</v>
      </c>
      <c r="O25" s="39">
        <v>5000</v>
      </c>
      <c r="P25" s="39">
        <v>0</v>
      </c>
      <c r="Q25" s="39">
        <v>0</v>
      </c>
      <c r="R25" s="39">
        <f t="shared" si="20"/>
        <v>8848.23</v>
      </c>
      <c r="S25" s="39"/>
      <c r="T25" s="40"/>
      <c r="U25" s="40"/>
      <c r="V25" s="39">
        <v>0</v>
      </c>
      <c r="W25" s="39">
        <v>2000</v>
      </c>
      <c r="X25" s="39">
        <v>0</v>
      </c>
      <c r="Y25" s="39">
        <v>0</v>
      </c>
      <c r="Z25" s="39">
        <v>2000</v>
      </c>
      <c r="AA25" s="39">
        <v>0</v>
      </c>
      <c r="AB25" s="39">
        <v>0</v>
      </c>
      <c r="AC25" s="39">
        <v>0</v>
      </c>
      <c r="AD25" s="39">
        <v>2000</v>
      </c>
      <c r="AE25" s="39">
        <v>0</v>
      </c>
      <c r="AF25" s="39">
        <v>0</v>
      </c>
      <c r="AG25" s="39">
        <v>0</v>
      </c>
      <c r="AH25" s="45">
        <f t="shared" si="4"/>
        <v>6000</v>
      </c>
      <c r="AI25" s="139">
        <f t="shared" si="5"/>
        <v>-0.32189827796067683</v>
      </c>
      <c r="AJ25" s="405"/>
      <c r="AK25" s="39">
        <f t="shared" si="8"/>
        <v>0</v>
      </c>
      <c r="AL25" s="39">
        <f t="shared" si="9"/>
        <v>2100</v>
      </c>
      <c r="AM25" s="39">
        <f t="shared" si="10"/>
        <v>0</v>
      </c>
      <c r="AN25" s="39">
        <f t="shared" si="17"/>
        <v>0</v>
      </c>
      <c r="AO25" s="39">
        <f t="shared" si="11"/>
        <v>2100</v>
      </c>
      <c r="AP25" s="39">
        <f t="shared" si="12"/>
        <v>0</v>
      </c>
      <c r="AQ25" s="39">
        <f t="shared" si="18"/>
        <v>0</v>
      </c>
      <c r="AR25" s="39">
        <f t="shared" si="13"/>
        <v>0</v>
      </c>
      <c r="AS25" s="39">
        <f t="shared" si="19"/>
        <v>2100</v>
      </c>
      <c r="AT25" s="39">
        <f t="shared" si="14"/>
        <v>0</v>
      </c>
      <c r="AU25" s="39">
        <f t="shared" si="15"/>
        <v>0</v>
      </c>
      <c r="AV25" s="39">
        <f t="shared" si="16"/>
        <v>0</v>
      </c>
      <c r="AW25" s="45">
        <f t="shared" si="6"/>
        <v>6300</v>
      </c>
      <c r="AX25" s="139">
        <f t="shared" si="3"/>
        <v>5.0000000000000044E-2</v>
      </c>
    </row>
    <row r="26" spans="1:50" outlineLevel="1">
      <c r="A26" s="13" t="s">
        <v>254</v>
      </c>
      <c r="B26" s="41" t="s">
        <v>255</v>
      </c>
      <c r="C26" s="41" t="s">
        <v>66</v>
      </c>
      <c r="D26" s="37"/>
      <c r="E26" s="40"/>
      <c r="F26" s="420">
        <v>0</v>
      </c>
      <c r="G26" s="420">
        <v>571.32000000000005</v>
      </c>
      <c r="H26" s="420">
        <v>0</v>
      </c>
      <c r="I26" s="420">
        <v>450.58000000000004</v>
      </c>
      <c r="J26" s="420">
        <v>0</v>
      </c>
      <c r="K26" s="420">
        <v>520.41999999999996</v>
      </c>
      <c r="L26" s="420">
        <v>0</v>
      </c>
      <c r="M26" s="420">
        <v>0</v>
      </c>
      <c r="N26" s="420">
        <v>0</v>
      </c>
      <c r="O26" s="39">
        <v>0</v>
      </c>
      <c r="P26" s="39">
        <v>0</v>
      </c>
      <c r="Q26" s="39">
        <v>0</v>
      </c>
      <c r="R26" s="39">
        <f t="shared" si="20"/>
        <v>1542.3200000000002</v>
      </c>
      <c r="S26" s="39"/>
      <c r="T26" s="40"/>
      <c r="U26" s="40"/>
      <c r="V26" s="39">
        <v>0</v>
      </c>
      <c r="W26" s="39">
        <v>0</v>
      </c>
      <c r="X26" s="39">
        <v>0</v>
      </c>
      <c r="Y26" s="39">
        <v>0</v>
      </c>
      <c r="Z26" s="39">
        <v>0</v>
      </c>
      <c r="AA26" s="39">
        <v>0</v>
      </c>
      <c r="AB26" s="39">
        <v>0</v>
      </c>
      <c r="AC26" s="39">
        <v>0</v>
      </c>
      <c r="AD26" s="39">
        <v>0</v>
      </c>
      <c r="AE26" s="39">
        <v>0</v>
      </c>
      <c r="AF26" s="39">
        <v>0</v>
      </c>
      <c r="AG26" s="39">
        <v>0</v>
      </c>
      <c r="AH26" s="45">
        <f t="shared" si="4"/>
        <v>0</v>
      </c>
      <c r="AI26" s="139">
        <f t="shared" si="5"/>
        <v>-1</v>
      </c>
      <c r="AJ26" s="405"/>
      <c r="AK26" s="39">
        <f t="shared" si="8"/>
        <v>0</v>
      </c>
      <c r="AL26" s="39">
        <f t="shared" si="9"/>
        <v>0</v>
      </c>
      <c r="AM26" s="39">
        <f t="shared" si="10"/>
        <v>0</v>
      </c>
      <c r="AN26" s="39">
        <f t="shared" si="17"/>
        <v>0</v>
      </c>
      <c r="AO26" s="39">
        <f t="shared" si="11"/>
        <v>0</v>
      </c>
      <c r="AP26" s="39">
        <f t="shared" si="12"/>
        <v>0</v>
      </c>
      <c r="AQ26" s="39">
        <f t="shared" si="18"/>
        <v>0</v>
      </c>
      <c r="AR26" s="39">
        <f t="shared" si="13"/>
        <v>0</v>
      </c>
      <c r="AS26" s="39">
        <f t="shared" si="19"/>
        <v>0</v>
      </c>
      <c r="AT26" s="39">
        <f t="shared" si="14"/>
        <v>0</v>
      </c>
      <c r="AU26" s="39">
        <f t="shared" si="15"/>
        <v>0</v>
      </c>
      <c r="AV26" s="39">
        <f t="shared" si="16"/>
        <v>0</v>
      </c>
      <c r="AW26" s="45">
        <f t="shared" si="6"/>
        <v>0</v>
      </c>
      <c r="AX26" s="139">
        <f t="shared" si="3"/>
        <v>0</v>
      </c>
    </row>
    <row r="27" spans="1:50" outlineLevel="1">
      <c r="A27" s="37" t="s">
        <v>256</v>
      </c>
      <c r="B27" s="41" t="s">
        <v>257</v>
      </c>
      <c r="C27" s="41" t="s">
        <v>65</v>
      </c>
      <c r="D27" s="37"/>
      <c r="E27" s="40">
        <v>19777.700000000004</v>
      </c>
      <c r="F27" s="420">
        <v>0</v>
      </c>
      <c r="G27" s="420">
        <v>0</v>
      </c>
      <c r="H27" s="420">
        <v>0</v>
      </c>
      <c r="I27" s="420">
        <v>0</v>
      </c>
      <c r="J27" s="420">
        <v>0</v>
      </c>
      <c r="K27" s="420">
        <v>0</v>
      </c>
      <c r="L27" s="420">
        <v>0</v>
      </c>
      <c r="M27" s="420">
        <v>0</v>
      </c>
      <c r="N27" s="420">
        <v>3207.2400000000007</v>
      </c>
      <c r="O27" s="39">
        <v>0</v>
      </c>
      <c r="P27" s="39">
        <v>0</v>
      </c>
      <c r="Q27" s="39">
        <v>0</v>
      </c>
      <c r="R27" s="39">
        <f t="shared" si="20"/>
        <v>3207.2400000000007</v>
      </c>
      <c r="S27" s="39"/>
      <c r="T27" s="40">
        <v>16614.532999999996</v>
      </c>
      <c r="U27" s="40"/>
      <c r="V27" s="39">
        <v>0</v>
      </c>
      <c r="W27" s="39">
        <v>0</v>
      </c>
      <c r="X27" s="39">
        <v>3000</v>
      </c>
      <c r="Y27" s="39">
        <v>0</v>
      </c>
      <c r="Z27" s="39">
        <v>0</v>
      </c>
      <c r="AA27" s="39">
        <v>0</v>
      </c>
      <c r="AB27" s="39">
        <v>0</v>
      </c>
      <c r="AC27" s="39">
        <v>0</v>
      </c>
      <c r="AD27" s="39">
        <v>3000</v>
      </c>
      <c r="AE27" s="39">
        <v>0</v>
      </c>
      <c r="AF27" s="39">
        <v>0</v>
      </c>
      <c r="AG27" s="39">
        <v>0</v>
      </c>
      <c r="AH27" s="45">
        <f t="shared" si="4"/>
        <v>6000</v>
      </c>
      <c r="AI27" s="139">
        <f t="shared" si="5"/>
        <v>0.8707673887828784</v>
      </c>
      <c r="AJ27" s="405"/>
      <c r="AK27" s="39">
        <f t="shared" si="8"/>
        <v>0</v>
      </c>
      <c r="AL27" s="39">
        <f t="shared" si="9"/>
        <v>0</v>
      </c>
      <c r="AM27" s="39">
        <f t="shared" si="10"/>
        <v>3150</v>
      </c>
      <c r="AN27" s="39">
        <f t="shared" si="17"/>
        <v>0</v>
      </c>
      <c r="AO27" s="39">
        <f t="shared" si="11"/>
        <v>0</v>
      </c>
      <c r="AP27" s="39">
        <f t="shared" si="12"/>
        <v>0</v>
      </c>
      <c r="AQ27" s="39">
        <f t="shared" si="18"/>
        <v>0</v>
      </c>
      <c r="AR27" s="39">
        <f t="shared" si="13"/>
        <v>0</v>
      </c>
      <c r="AS27" s="39">
        <f t="shared" si="19"/>
        <v>3150</v>
      </c>
      <c r="AT27" s="39">
        <f t="shared" si="14"/>
        <v>0</v>
      </c>
      <c r="AU27" s="39">
        <f t="shared" si="15"/>
        <v>0</v>
      </c>
      <c r="AV27" s="39">
        <f t="shared" si="16"/>
        <v>0</v>
      </c>
      <c r="AW27" s="45">
        <f t="shared" si="6"/>
        <v>6300</v>
      </c>
      <c r="AX27" s="139">
        <f t="shared" si="3"/>
        <v>5.0000000000000044E-2</v>
      </c>
    </row>
    <row r="28" spans="1:50" outlineLevel="1">
      <c r="A28" s="37" t="s">
        <v>258</v>
      </c>
      <c r="B28" s="41" t="s">
        <v>251</v>
      </c>
      <c r="C28" s="41" t="s">
        <v>65</v>
      </c>
      <c r="D28" s="37"/>
      <c r="E28" s="40">
        <v>14915.29</v>
      </c>
      <c r="F28" s="420">
        <v>5629.73</v>
      </c>
      <c r="G28" s="420">
        <v>-1265.96</v>
      </c>
      <c r="H28" s="420">
        <v>3837.5999999999995</v>
      </c>
      <c r="I28" s="420">
        <v>-138.58000000000001</v>
      </c>
      <c r="J28" s="420">
        <v>0</v>
      </c>
      <c r="K28" s="420">
        <v>2188.15</v>
      </c>
      <c r="L28" s="420">
        <v>0</v>
      </c>
      <c r="M28" s="420">
        <v>3374.3199999999997</v>
      </c>
      <c r="N28" s="420">
        <v>0</v>
      </c>
      <c r="O28" s="39">
        <v>1125.3126092828784</v>
      </c>
      <c r="P28" s="39">
        <v>1014.8976544554392</v>
      </c>
      <c r="Q28" s="39">
        <v>812.61950130700336</v>
      </c>
      <c r="R28" s="39">
        <f t="shared" si="20"/>
        <v>16578.089765045319</v>
      </c>
      <c r="S28" s="39"/>
      <c r="T28" s="40">
        <v>14688.248499999996</v>
      </c>
      <c r="U28" s="40"/>
      <c r="V28" s="39">
        <v>1000</v>
      </c>
      <c r="W28" s="39">
        <v>1000</v>
      </c>
      <c r="X28" s="39">
        <v>2500</v>
      </c>
      <c r="Y28" s="39">
        <v>1000</v>
      </c>
      <c r="Z28" s="39">
        <v>1000</v>
      </c>
      <c r="AA28" s="39">
        <v>2500</v>
      </c>
      <c r="AB28" s="39">
        <v>1000</v>
      </c>
      <c r="AC28" s="39">
        <v>1000</v>
      </c>
      <c r="AD28" s="39">
        <v>2500</v>
      </c>
      <c r="AE28" s="39">
        <v>1000</v>
      </c>
      <c r="AF28" s="39">
        <v>1000</v>
      </c>
      <c r="AG28" s="39">
        <v>1000</v>
      </c>
      <c r="AH28" s="45">
        <f t="shared" si="4"/>
        <v>16500</v>
      </c>
      <c r="AI28" s="139">
        <f t="shared" si="5"/>
        <v>-4.710419967080326E-3</v>
      </c>
      <c r="AJ28" s="405"/>
      <c r="AK28" s="39">
        <f t="shared" si="8"/>
        <v>1050</v>
      </c>
      <c r="AL28" s="39">
        <f t="shared" si="9"/>
        <v>1050</v>
      </c>
      <c r="AM28" s="39">
        <f t="shared" si="10"/>
        <v>2625</v>
      </c>
      <c r="AN28" s="39">
        <f t="shared" si="17"/>
        <v>1050</v>
      </c>
      <c r="AO28" s="39">
        <f t="shared" si="11"/>
        <v>1050</v>
      </c>
      <c r="AP28" s="39">
        <f t="shared" si="12"/>
        <v>2625</v>
      </c>
      <c r="AQ28" s="39">
        <f t="shared" si="18"/>
        <v>1050</v>
      </c>
      <c r="AR28" s="39">
        <f t="shared" si="13"/>
        <v>1050</v>
      </c>
      <c r="AS28" s="39">
        <f t="shared" si="19"/>
        <v>2625</v>
      </c>
      <c r="AT28" s="39">
        <f t="shared" si="14"/>
        <v>1050</v>
      </c>
      <c r="AU28" s="39">
        <f t="shared" si="15"/>
        <v>1050</v>
      </c>
      <c r="AV28" s="39">
        <f t="shared" si="16"/>
        <v>1050</v>
      </c>
      <c r="AW28" s="45">
        <f t="shared" si="6"/>
        <v>17325</v>
      </c>
      <c r="AX28" s="139">
        <f t="shared" si="3"/>
        <v>5.0000000000000044E-2</v>
      </c>
    </row>
    <row r="29" spans="1:50" s="181" customFormat="1" outlineLevel="1">
      <c r="A29" s="401" t="s">
        <v>259</v>
      </c>
      <c r="B29" s="402" t="s">
        <v>260</v>
      </c>
      <c r="C29" s="402" t="s">
        <v>66</v>
      </c>
      <c r="D29" s="401"/>
      <c r="E29" s="403">
        <v>23461.119999999995</v>
      </c>
      <c r="F29" s="421">
        <v>0</v>
      </c>
      <c r="G29" s="421">
        <v>0</v>
      </c>
      <c r="H29" s="421">
        <v>0</v>
      </c>
      <c r="I29" s="421">
        <v>0</v>
      </c>
      <c r="J29" s="421">
        <v>0</v>
      </c>
      <c r="K29" s="421">
        <v>0</v>
      </c>
      <c r="L29" s="421">
        <v>0</v>
      </c>
      <c r="M29" s="421">
        <v>0</v>
      </c>
      <c r="N29" s="421">
        <v>0</v>
      </c>
      <c r="O29" s="39">
        <v>0</v>
      </c>
      <c r="P29" s="404">
        <v>0</v>
      </c>
      <c r="Q29" s="404">
        <v>0</v>
      </c>
      <c r="R29" s="404">
        <f t="shared" si="20"/>
        <v>0</v>
      </c>
      <c r="S29" s="404"/>
      <c r="T29" s="403">
        <v>26980.287999999997</v>
      </c>
      <c r="U29" s="481"/>
      <c r="V29" s="404">
        <v>0</v>
      </c>
      <c r="W29" s="404">
        <v>0</v>
      </c>
      <c r="X29" s="404">
        <v>0</v>
      </c>
      <c r="Y29" s="404">
        <v>0</v>
      </c>
      <c r="Z29" s="404">
        <v>0</v>
      </c>
      <c r="AA29" s="404">
        <v>0</v>
      </c>
      <c r="AB29" s="404">
        <v>0</v>
      </c>
      <c r="AC29" s="404">
        <v>0</v>
      </c>
      <c r="AD29" s="404">
        <v>0</v>
      </c>
      <c r="AE29" s="404">
        <v>0</v>
      </c>
      <c r="AF29" s="404">
        <v>0</v>
      </c>
      <c r="AG29" s="404">
        <v>0</v>
      </c>
      <c r="AH29" s="405">
        <f t="shared" si="4"/>
        <v>0</v>
      </c>
      <c r="AI29" s="139">
        <f t="shared" si="5"/>
        <v>0</v>
      </c>
      <c r="AJ29" s="405"/>
      <c r="AK29" s="39">
        <f t="shared" si="8"/>
        <v>0</v>
      </c>
      <c r="AL29" s="39">
        <f t="shared" si="9"/>
        <v>0</v>
      </c>
      <c r="AM29" s="39">
        <f t="shared" si="10"/>
        <v>0</v>
      </c>
      <c r="AN29" s="39">
        <f t="shared" si="17"/>
        <v>0</v>
      </c>
      <c r="AO29" s="39">
        <f t="shared" si="11"/>
        <v>0</v>
      </c>
      <c r="AP29" s="39">
        <f t="shared" si="12"/>
        <v>0</v>
      </c>
      <c r="AQ29" s="39">
        <f t="shared" si="18"/>
        <v>0</v>
      </c>
      <c r="AR29" s="39">
        <f t="shared" si="13"/>
        <v>0</v>
      </c>
      <c r="AS29" s="39">
        <f t="shared" si="19"/>
        <v>0</v>
      </c>
      <c r="AT29" s="39">
        <f t="shared" si="14"/>
        <v>0</v>
      </c>
      <c r="AU29" s="39">
        <f t="shared" si="15"/>
        <v>0</v>
      </c>
      <c r="AV29" s="39">
        <f t="shared" si="16"/>
        <v>0</v>
      </c>
      <c r="AW29" s="405">
        <f t="shared" si="6"/>
        <v>0</v>
      </c>
      <c r="AX29" s="139">
        <f t="shared" si="3"/>
        <v>0</v>
      </c>
    </row>
    <row r="30" spans="1:50" outlineLevel="1">
      <c r="A30" s="37" t="s">
        <v>261</v>
      </c>
      <c r="B30" s="41" t="s">
        <v>260</v>
      </c>
      <c r="C30" s="41" t="s">
        <v>66</v>
      </c>
      <c r="D30" s="37"/>
      <c r="E30" s="40"/>
      <c r="F30" s="420">
        <v>0</v>
      </c>
      <c r="G30" s="420">
        <v>0</v>
      </c>
      <c r="H30" s="420">
        <v>0</v>
      </c>
      <c r="I30" s="420">
        <v>0</v>
      </c>
      <c r="J30" s="420">
        <v>0</v>
      </c>
      <c r="K30" s="420">
        <v>426.42</v>
      </c>
      <c r="L30" s="420">
        <v>0</v>
      </c>
      <c r="M30" s="420">
        <v>0</v>
      </c>
      <c r="N30" s="420">
        <v>0</v>
      </c>
      <c r="O30" s="39">
        <v>0</v>
      </c>
      <c r="P30" s="39">
        <v>0</v>
      </c>
      <c r="Q30" s="39">
        <v>0</v>
      </c>
      <c r="R30" s="39">
        <f t="shared" si="20"/>
        <v>426.42</v>
      </c>
      <c r="S30" s="39"/>
      <c r="T30" s="40"/>
      <c r="U30" s="40"/>
      <c r="V30" s="39">
        <v>0</v>
      </c>
      <c r="W30" s="39">
        <v>0</v>
      </c>
      <c r="X30" s="39">
        <v>0</v>
      </c>
      <c r="Y30" s="39">
        <v>0</v>
      </c>
      <c r="Z30" s="39">
        <v>0</v>
      </c>
      <c r="AA30" s="39">
        <v>0</v>
      </c>
      <c r="AB30" s="39">
        <v>0</v>
      </c>
      <c r="AC30" s="39">
        <v>0</v>
      </c>
      <c r="AD30" s="39">
        <v>0</v>
      </c>
      <c r="AE30" s="39">
        <v>0</v>
      </c>
      <c r="AF30" s="39">
        <v>0</v>
      </c>
      <c r="AG30" s="39">
        <v>0</v>
      </c>
      <c r="AH30" s="45">
        <f t="shared" si="4"/>
        <v>0</v>
      </c>
      <c r="AI30" s="139">
        <f t="shared" si="5"/>
        <v>-1</v>
      </c>
      <c r="AJ30" s="405"/>
      <c r="AK30" s="39">
        <f t="shared" si="8"/>
        <v>0</v>
      </c>
      <c r="AL30" s="39">
        <f t="shared" si="9"/>
        <v>0</v>
      </c>
      <c r="AM30" s="39">
        <f t="shared" si="10"/>
        <v>0</v>
      </c>
      <c r="AN30" s="39">
        <f t="shared" si="17"/>
        <v>0</v>
      </c>
      <c r="AO30" s="39">
        <f t="shared" si="11"/>
        <v>0</v>
      </c>
      <c r="AP30" s="39">
        <f t="shared" si="12"/>
        <v>0</v>
      </c>
      <c r="AQ30" s="39">
        <f t="shared" si="18"/>
        <v>0</v>
      </c>
      <c r="AR30" s="39">
        <f t="shared" si="13"/>
        <v>0</v>
      </c>
      <c r="AS30" s="39">
        <f t="shared" si="19"/>
        <v>0</v>
      </c>
      <c r="AT30" s="39">
        <f t="shared" si="14"/>
        <v>0</v>
      </c>
      <c r="AU30" s="39">
        <f t="shared" si="15"/>
        <v>0</v>
      </c>
      <c r="AV30" s="39">
        <f t="shared" si="16"/>
        <v>0</v>
      </c>
      <c r="AW30" s="45">
        <f t="shared" si="6"/>
        <v>0</v>
      </c>
      <c r="AX30" s="139">
        <f t="shared" si="3"/>
        <v>0</v>
      </c>
    </row>
    <row r="31" spans="1:50" outlineLevel="1">
      <c r="A31" s="37" t="s">
        <v>262</v>
      </c>
      <c r="B31" s="41" t="s">
        <v>263</v>
      </c>
      <c r="C31" s="41" t="s">
        <v>65</v>
      </c>
      <c r="D31" s="37"/>
      <c r="E31" s="40">
        <v>12527.330000000005</v>
      </c>
      <c r="F31" s="420">
        <v>2331.6099999999997</v>
      </c>
      <c r="G31" s="420">
        <v>414.28999999999996</v>
      </c>
      <c r="H31" s="420">
        <v>429.25</v>
      </c>
      <c r="I31" s="420">
        <v>0</v>
      </c>
      <c r="J31" s="420">
        <v>2352.56</v>
      </c>
      <c r="K31" s="420">
        <v>406.69</v>
      </c>
      <c r="L31" s="420">
        <v>0</v>
      </c>
      <c r="M31" s="420">
        <v>0</v>
      </c>
      <c r="N31" s="420">
        <v>0</v>
      </c>
      <c r="O31" s="39">
        <v>1578.698472856358</v>
      </c>
      <c r="P31" s="39">
        <v>1423.7975865349433</v>
      </c>
      <c r="Q31" s="39">
        <v>1140.0220304508948</v>
      </c>
      <c r="R31" s="39">
        <f t="shared" si="20"/>
        <v>10076.918089842195</v>
      </c>
      <c r="S31" s="39"/>
      <c r="T31" s="40">
        <v>12469.990499999998</v>
      </c>
      <c r="U31" s="40"/>
      <c r="V31" s="39">
        <v>2331.6099999999997</v>
      </c>
      <c r="W31" s="39">
        <v>414.28999999999996</v>
      </c>
      <c r="X31" s="39">
        <v>429.25</v>
      </c>
      <c r="Y31" s="39">
        <v>0</v>
      </c>
      <c r="Z31" s="39">
        <v>2352.56</v>
      </c>
      <c r="AA31" s="39">
        <v>406.69</v>
      </c>
      <c r="AB31" s="39">
        <v>0</v>
      </c>
      <c r="AC31" s="39">
        <v>0</v>
      </c>
      <c r="AD31" s="39">
        <v>0</v>
      </c>
      <c r="AE31" s="39">
        <v>1578.698472856358</v>
      </c>
      <c r="AF31" s="39">
        <v>1423.7975865349433</v>
      </c>
      <c r="AG31" s="39">
        <v>1140.0220304508948</v>
      </c>
      <c r="AH31" s="39">
        <f t="shared" si="4"/>
        <v>10076.918089842195</v>
      </c>
      <c r="AI31" s="139">
        <f t="shared" si="5"/>
        <v>0</v>
      </c>
      <c r="AJ31" s="405"/>
      <c r="AK31" s="39">
        <f t="shared" si="8"/>
        <v>2448.1904999999997</v>
      </c>
      <c r="AL31" s="39">
        <f t="shared" si="9"/>
        <v>435.00450000000001</v>
      </c>
      <c r="AM31" s="39">
        <f t="shared" si="10"/>
        <v>450.71250000000003</v>
      </c>
      <c r="AN31" s="39">
        <f t="shared" si="17"/>
        <v>0</v>
      </c>
      <c r="AO31" s="39">
        <f t="shared" si="11"/>
        <v>2470.1880000000001</v>
      </c>
      <c r="AP31" s="39">
        <f t="shared" si="12"/>
        <v>427.02449999999999</v>
      </c>
      <c r="AQ31" s="39">
        <f t="shared" si="18"/>
        <v>0</v>
      </c>
      <c r="AR31" s="39">
        <f t="shared" si="13"/>
        <v>0</v>
      </c>
      <c r="AS31" s="39">
        <f t="shared" si="19"/>
        <v>0</v>
      </c>
      <c r="AT31" s="39">
        <f t="shared" si="14"/>
        <v>1657.6333964991759</v>
      </c>
      <c r="AU31" s="39">
        <f t="shared" si="15"/>
        <v>1494.9874658616905</v>
      </c>
      <c r="AV31" s="39">
        <f t="shared" si="16"/>
        <v>1197.0231319734396</v>
      </c>
      <c r="AW31" s="39">
        <f t="shared" si="6"/>
        <v>10580.763994334304</v>
      </c>
      <c r="AX31" s="139">
        <f t="shared" si="3"/>
        <v>5.0000000000000044E-2</v>
      </c>
    </row>
    <row r="32" spans="1:50" outlineLevel="1">
      <c r="A32" s="37" t="s">
        <v>264</v>
      </c>
      <c r="B32" s="41" t="s">
        <v>265</v>
      </c>
      <c r="C32" s="41" t="s">
        <v>65</v>
      </c>
      <c r="D32" s="37"/>
      <c r="E32" s="40">
        <v>720640.37000000046</v>
      </c>
      <c r="F32" s="420">
        <v>69841.83</v>
      </c>
      <c r="G32" s="420">
        <v>48931.65</v>
      </c>
      <c r="H32" s="420">
        <v>0</v>
      </c>
      <c r="I32" s="420">
        <v>67066.38</v>
      </c>
      <c r="J32" s="420">
        <v>58821.040000000008</v>
      </c>
      <c r="K32" s="420">
        <v>34460.04</v>
      </c>
      <c r="L32" s="420">
        <v>45130.49</v>
      </c>
      <c r="M32" s="420">
        <v>-840.39</v>
      </c>
      <c r="N32" s="420">
        <v>0</v>
      </c>
      <c r="O32" s="39">
        <v>114000</v>
      </c>
      <c r="P32" s="39">
        <v>40000</v>
      </c>
      <c r="Q32" s="39">
        <v>40406.176320486535</v>
      </c>
      <c r="R32" s="39">
        <f t="shared" si="20"/>
        <v>517817.21632048651</v>
      </c>
      <c r="S32" s="39"/>
      <c r="T32" s="40">
        <v>850000</v>
      </c>
      <c r="U32" s="40"/>
      <c r="V32" s="39">
        <v>27000</v>
      </c>
      <c r="W32" s="39">
        <v>45000</v>
      </c>
      <c r="X32" s="39">
        <v>41400</v>
      </c>
      <c r="Y32" s="39">
        <v>40500</v>
      </c>
      <c r="Z32" s="39">
        <v>48600</v>
      </c>
      <c r="AA32" s="39">
        <v>24300</v>
      </c>
      <c r="AB32" s="39">
        <v>32400</v>
      </c>
      <c r="AC32" s="39">
        <f>18000+20000</f>
        <v>38000</v>
      </c>
      <c r="AD32" s="39">
        <v>41400</v>
      </c>
      <c r="AE32" s="39">
        <v>48600</v>
      </c>
      <c r="AF32" s="39">
        <v>32400</v>
      </c>
      <c r="AG32" s="39">
        <v>32400</v>
      </c>
      <c r="AH32" s="39">
        <f t="shared" si="4"/>
        <v>452000</v>
      </c>
      <c r="AI32" s="139">
        <f t="shared" si="5"/>
        <v>-0.12710511401720381</v>
      </c>
      <c r="AJ32" s="405"/>
      <c r="AK32" s="39">
        <f>V32*1.08</f>
        <v>29160.000000000004</v>
      </c>
      <c r="AL32" s="39">
        <f t="shared" ref="AL32:AV32" si="23">W32*1.08</f>
        <v>48600</v>
      </c>
      <c r="AM32" s="39">
        <f t="shared" si="23"/>
        <v>44712</v>
      </c>
      <c r="AN32" s="39">
        <f t="shared" si="23"/>
        <v>43740</v>
      </c>
      <c r="AO32" s="39">
        <f t="shared" si="23"/>
        <v>52488</v>
      </c>
      <c r="AP32" s="39">
        <f t="shared" si="23"/>
        <v>26244</v>
      </c>
      <c r="AQ32" s="39">
        <f t="shared" si="23"/>
        <v>34992</v>
      </c>
      <c r="AR32" s="39">
        <f t="shared" si="23"/>
        <v>41040</v>
      </c>
      <c r="AS32" s="39">
        <f t="shared" si="23"/>
        <v>44712</v>
      </c>
      <c r="AT32" s="39">
        <f t="shared" si="23"/>
        <v>52488</v>
      </c>
      <c r="AU32" s="39">
        <f t="shared" si="23"/>
        <v>34992</v>
      </c>
      <c r="AV32" s="39">
        <f t="shared" si="23"/>
        <v>34992</v>
      </c>
      <c r="AW32" s="39">
        <f t="shared" si="6"/>
        <v>488160</v>
      </c>
      <c r="AX32" s="139">
        <f t="shared" si="3"/>
        <v>8.0000000000000071E-2</v>
      </c>
    </row>
    <row r="33" spans="1:50" outlineLevel="1">
      <c r="A33" s="37" t="s">
        <v>266</v>
      </c>
      <c r="B33" s="41" t="s">
        <v>267</v>
      </c>
      <c r="C33" s="41" t="s">
        <v>67</v>
      </c>
      <c r="D33" s="37"/>
      <c r="E33" s="40">
        <v>148468.67999999996</v>
      </c>
      <c r="F33" s="420">
        <v>113218.10000000002</v>
      </c>
      <c r="G33" s="420">
        <v>0</v>
      </c>
      <c r="H33" s="420">
        <v>0</v>
      </c>
      <c r="I33" s="420">
        <v>0</v>
      </c>
      <c r="J33" s="420">
        <v>0</v>
      </c>
      <c r="K33" s="420">
        <v>67965.600000000006</v>
      </c>
      <c r="L33" s="420">
        <v>0</v>
      </c>
      <c r="M33" s="420">
        <v>0</v>
      </c>
      <c r="N33" s="420">
        <v>-3209.6</v>
      </c>
      <c r="O33" s="39">
        <v>0</v>
      </c>
      <c r="P33" s="39">
        <v>50000</v>
      </c>
      <c r="Q33" s="39">
        <v>0</v>
      </c>
      <c r="R33" s="39">
        <f t="shared" si="20"/>
        <v>227974.1</v>
      </c>
      <c r="S33" s="39"/>
      <c r="T33" s="40">
        <v>207913.68700000001</v>
      </c>
      <c r="U33" s="40"/>
      <c r="V33" s="39">
        <v>0</v>
      </c>
      <c r="W33" s="39">
        <v>0</v>
      </c>
      <c r="X33" s="39">
        <v>50000</v>
      </c>
      <c r="Y33" s="39">
        <v>0</v>
      </c>
      <c r="Z33" s="39">
        <v>50000</v>
      </c>
      <c r="AA33" s="39">
        <v>0</v>
      </c>
      <c r="AB33" s="39">
        <v>0</v>
      </c>
      <c r="AC33" s="39">
        <v>0</v>
      </c>
      <c r="AD33" s="39">
        <v>0</v>
      </c>
      <c r="AE33" s="39">
        <v>0</v>
      </c>
      <c r="AF33" s="39">
        <v>0</v>
      </c>
      <c r="AG33" s="39">
        <v>0</v>
      </c>
      <c r="AH33" s="39">
        <f t="shared" si="4"/>
        <v>100000</v>
      </c>
      <c r="AI33" s="139">
        <f t="shared" si="5"/>
        <v>-0.56135368008909792</v>
      </c>
      <c r="AJ33" s="405"/>
      <c r="AK33" s="39">
        <f t="shared" si="8"/>
        <v>0</v>
      </c>
      <c r="AL33" s="39">
        <f t="shared" si="9"/>
        <v>0</v>
      </c>
      <c r="AM33" s="39">
        <f t="shared" si="10"/>
        <v>52500</v>
      </c>
      <c r="AN33" s="39">
        <f t="shared" si="17"/>
        <v>0</v>
      </c>
      <c r="AO33" s="39">
        <f t="shared" si="11"/>
        <v>52500</v>
      </c>
      <c r="AP33" s="39">
        <f t="shared" si="12"/>
        <v>0</v>
      </c>
      <c r="AQ33" s="39">
        <f t="shared" si="18"/>
        <v>0</v>
      </c>
      <c r="AR33" s="39">
        <v>50000</v>
      </c>
      <c r="AS33" s="39">
        <f t="shared" si="19"/>
        <v>0</v>
      </c>
      <c r="AT33" s="39">
        <f t="shared" si="14"/>
        <v>0</v>
      </c>
      <c r="AU33" s="39">
        <f t="shared" si="15"/>
        <v>0</v>
      </c>
      <c r="AV33" s="39">
        <f t="shared" si="16"/>
        <v>0</v>
      </c>
      <c r="AW33" s="39">
        <f t="shared" si="6"/>
        <v>155000</v>
      </c>
      <c r="AX33" s="139">
        <f t="shared" si="3"/>
        <v>0.55000000000000004</v>
      </c>
    </row>
    <row r="34" spans="1:50" outlineLevel="1">
      <c r="A34" s="13" t="s">
        <v>268</v>
      </c>
      <c r="B34" s="41" t="s">
        <v>64</v>
      </c>
      <c r="C34" s="41" t="s">
        <v>64</v>
      </c>
      <c r="D34" s="37"/>
      <c r="E34" s="40">
        <v>24378.69</v>
      </c>
      <c r="F34" s="420">
        <v>0</v>
      </c>
      <c r="G34" s="420">
        <v>1907.96</v>
      </c>
      <c r="H34" s="420">
        <v>1212.18</v>
      </c>
      <c r="I34" s="420">
        <v>2147.6999999999998</v>
      </c>
      <c r="J34" s="420">
        <v>1855.53</v>
      </c>
      <c r="K34" s="420">
        <v>495</v>
      </c>
      <c r="L34" s="420">
        <v>165</v>
      </c>
      <c r="M34" s="420">
        <v>1723.6799999999998</v>
      </c>
      <c r="N34" s="420">
        <v>2213.64</v>
      </c>
      <c r="O34" s="39">
        <v>1465.0862499999998</v>
      </c>
      <c r="P34" s="39">
        <v>1409.72703125</v>
      </c>
      <c r="Q34" s="39">
        <v>1434.42041015625</v>
      </c>
      <c r="R34" s="39">
        <f t="shared" si="20"/>
        <v>16029.923691406249</v>
      </c>
      <c r="S34" s="39"/>
      <c r="T34" s="39"/>
      <c r="U34" s="40"/>
      <c r="V34" s="39">
        <v>1500</v>
      </c>
      <c r="W34" s="39">
        <v>1500</v>
      </c>
      <c r="X34" s="39">
        <v>1500</v>
      </c>
      <c r="Y34" s="39">
        <v>1500</v>
      </c>
      <c r="Z34" s="39">
        <v>1500</v>
      </c>
      <c r="AA34" s="39">
        <v>1500</v>
      </c>
      <c r="AB34" s="39">
        <v>1500</v>
      </c>
      <c r="AC34" s="39">
        <v>10500</v>
      </c>
      <c r="AD34" s="39">
        <v>1500</v>
      </c>
      <c r="AE34" s="39">
        <v>1500</v>
      </c>
      <c r="AF34" s="39">
        <v>1500</v>
      </c>
      <c r="AG34" s="39">
        <v>1500</v>
      </c>
      <c r="AH34" s="39">
        <f t="shared" si="4"/>
        <v>27000</v>
      </c>
      <c r="AI34" s="139">
        <f t="shared" si="5"/>
        <v>0.68434987712854078</v>
      </c>
      <c r="AJ34" s="405"/>
      <c r="AK34" s="39">
        <f t="shared" si="8"/>
        <v>1575</v>
      </c>
      <c r="AL34" s="39">
        <f t="shared" si="9"/>
        <v>1575</v>
      </c>
      <c r="AM34" s="39">
        <f t="shared" si="10"/>
        <v>1575</v>
      </c>
      <c r="AN34" s="39">
        <f t="shared" si="17"/>
        <v>1575</v>
      </c>
      <c r="AO34" s="39">
        <f t="shared" si="11"/>
        <v>1575</v>
      </c>
      <c r="AP34" s="39">
        <f t="shared" si="12"/>
        <v>1575</v>
      </c>
      <c r="AQ34" s="39">
        <f t="shared" si="18"/>
        <v>1575</v>
      </c>
      <c r="AR34" s="39">
        <f t="shared" si="13"/>
        <v>11025</v>
      </c>
      <c r="AS34" s="39">
        <f t="shared" si="19"/>
        <v>1575</v>
      </c>
      <c r="AT34" s="39">
        <f t="shared" si="14"/>
        <v>1575</v>
      </c>
      <c r="AU34" s="39">
        <f t="shared" si="15"/>
        <v>1575</v>
      </c>
      <c r="AV34" s="39">
        <f t="shared" si="16"/>
        <v>1575</v>
      </c>
      <c r="AW34" s="39">
        <f t="shared" si="6"/>
        <v>28350</v>
      </c>
      <c r="AX34" s="139">
        <f t="shared" si="3"/>
        <v>5.0000000000000044E-2</v>
      </c>
    </row>
    <row r="35" spans="1:50" outlineLevel="1">
      <c r="A35" s="13" t="s">
        <v>269</v>
      </c>
      <c r="B35" s="41" t="s">
        <v>64</v>
      </c>
      <c r="C35" s="41" t="s">
        <v>64</v>
      </c>
      <c r="D35" s="37"/>
      <c r="E35" s="40">
        <v>18437.640000000003</v>
      </c>
      <c r="F35" s="420">
        <v>0</v>
      </c>
      <c r="G35" s="420">
        <v>2241.1800000000003</v>
      </c>
      <c r="H35" s="420">
        <v>6243.5399999999991</v>
      </c>
      <c r="I35" s="420">
        <v>1948.74</v>
      </c>
      <c r="J35" s="420">
        <v>1762.7999999999997</v>
      </c>
      <c r="K35" s="420">
        <v>777.9</v>
      </c>
      <c r="L35" s="420">
        <v>1326.84</v>
      </c>
      <c r="M35" s="420">
        <v>4085</v>
      </c>
      <c r="N35" s="420">
        <v>1092</v>
      </c>
      <c r="O35" s="39">
        <v>1082.8250195570299</v>
      </c>
      <c r="P35" s="39">
        <v>976.57891990957216</v>
      </c>
      <c r="Q35" s="39">
        <v>781.93803227347223</v>
      </c>
      <c r="R35" s="39">
        <f t="shared" si="20"/>
        <v>22319.341971740072</v>
      </c>
      <c r="S35" s="39"/>
      <c r="T35" s="39">
        <v>15840.606000000002</v>
      </c>
      <c r="U35" s="40"/>
      <c r="V35" s="39">
        <v>1000</v>
      </c>
      <c r="W35" s="39">
        <v>1000</v>
      </c>
      <c r="X35" s="39">
        <v>3500</v>
      </c>
      <c r="Y35" s="39">
        <v>3500</v>
      </c>
      <c r="Z35" s="39">
        <v>1000</v>
      </c>
      <c r="AA35" s="39">
        <v>1000</v>
      </c>
      <c r="AB35" s="39">
        <v>1000</v>
      </c>
      <c r="AC35" s="39">
        <v>10500</v>
      </c>
      <c r="AD35" s="39">
        <v>1000</v>
      </c>
      <c r="AE35" s="39">
        <v>1000</v>
      </c>
      <c r="AF35" s="39">
        <v>1000</v>
      </c>
      <c r="AG35" s="39">
        <v>1000</v>
      </c>
      <c r="AH35" s="45">
        <f t="shared" si="4"/>
        <v>26500</v>
      </c>
      <c r="AI35" s="139">
        <f t="shared" si="5"/>
        <v>0.18731098943478375</v>
      </c>
      <c r="AJ35" s="405"/>
      <c r="AK35" s="39">
        <f>V35*4</f>
        <v>4000</v>
      </c>
      <c r="AL35" s="39">
        <f t="shared" ref="AL35:AV35" si="24">W35*4</f>
        <v>4000</v>
      </c>
      <c r="AM35" s="39">
        <f t="shared" si="24"/>
        <v>14000</v>
      </c>
      <c r="AN35" s="39">
        <f t="shared" si="24"/>
        <v>14000</v>
      </c>
      <c r="AO35" s="39">
        <f t="shared" si="24"/>
        <v>4000</v>
      </c>
      <c r="AP35" s="39">
        <f t="shared" si="24"/>
        <v>4000</v>
      </c>
      <c r="AQ35" s="39">
        <f t="shared" si="24"/>
        <v>4000</v>
      </c>
      <c r="AR35" s="39">
        <f t="shared" si="24"/>
        <v>42000</v>
      </c>
      <c r="AS35" s="39">
        <f t="shared" si="24"/>
        <v>4000</v>
      </c>
      <c r="AT35" s="39">
        <f t="shared" si="24"/>
        <v>4000</v>
      </c>
      <c r="AU35" s="39">
        <f t="shared" si="24"/>
        <v>4000</v>
      </c>
      <c r="AV35" s="39">
        <f t="shared" si="24"/>
        <v>4000</v>
      </c>
      <c r="AW35" s="45">
        <f t="shared" si="6"/>
        <v>106000</v>
      </c>
      <c r="AX35" s="139">
        <f t="shared" si="3"/>
        <v>3</v>
      </c>
    </row>
    <row r="36" spans="1:50" outlineLevel="1">
      <c r="A36" s="13" t="s">
        <v>270</v>
      </c>
      <c r="B36" s="41" t="s">
        <v>64</v>
      </c>
      <c r="C36" s="41" t="s">
        <v>64</v>
      </c>
      <c r="D36" s="37"/>
      <c r="E36" s="40"/>
      <c r="F36" s="420">
        <v>0</v>
      </c>
      <c r="G36" s="420">
        <v>0</v>
      </c>
      <c r="H36" s="420">
        <v>0</v>
      </c>
      <c r="I36" s="420">
        <v>0</v>
      </c>
      <c r="J36" s="420">
        <v>8553</v>
      </c>
      <c r="K36" s="420">
        <v>0</v>
      </c>
      <c r="L36" s="420">
        <v>0</v>
      </c>
      <c r="M36" s="420">
        <v>0</v>
      </c>
      <c r="N36" s="420">
        <v>0</v>
      </c>
      <c r="O36" s="39">
        <v>0</v>
      </c>
      <c r="P36" s="39">
        <v>0</v>
      </c>
      <c r="Q36" s="39">
        <v>10000</v>
      </c>
      <c r="R36" s="39">
        <f t="shared" si="20"/>
        <v>18553</v>
      </c>
      <c r="S36" s="39"/>
      <c r="T36" s="40"/>
      <c r="U36" s="40"/>
      <c r="V36" s="39">
        <v>0</v>
      </c>
      <c r="W36" s="39">
        <v>0</v>
      </c>
      <c r="X36" s="39">
        <v>0</v>
      </c>
      <c r="Y36" s="39">
        <v>0</v>
      </c>
      <c r="Z36" s="39">
        <v>0</v>
      </c>
      <c r="AA36" s="39">
        <v>0</v>
      </c>
      <c r="AB36" s="39">
        <v>0</v>
      </c>
      <c r="AC36" s="39">
        <v>0</v>
      </c>
      <c r="AD36" s="39">
        <v>0</v>
      </c>
      <c r="AE36" s="39">
        <v>0</v>
      </c>
      <c r="AF36" s="39">
        <v>0</v>
      </c>
      <c r="AG36" s="39">
        <v>0</v>
      </c>
      <c r="AH36" s="45">
        <f t="shared" si="4"/>
        <v>0</v>
      </c>
      <c r="AI36" s="139">
        <f t="shared" si="5"/>
        <v>-1</v>
      </c>
      <c r="AJ36" s="405"/>
      <c r="AK36" s="39">
        <f t="shared" ref="AK36:AK62" si="25">V36*1.05</f>
        <v>0</v>
      </c>
      <c r="AL36" s="39">
        <f t="shared" ref="AL36:AL62" si="26">W36*1.05</f>
        <v>0</v>
      </c>
      <c r="AM36" s="39">
        <f t="shared" ref="AM36:AM61" si="27">X36*1.05</f>
        <v>0</v>
      </c>
      <c r="AN36" s="39">
        <f t="shared" ref="AN36:AN61" si="28">Y36*1.05</f>
        <v>0</v>
      </c>
      <c r="AO36" s="39">
        <f t="shared" ref="AO36:AO61" si="29">Z36*1.05</f>
        <v>0</v>
      </c>
      <c r="AP36" s="39">
        <f t="shared" ref="AP36:AP61" si="30">AA36*1.05</f>
        <v>0</v>
      </c>
      <c r="AQ36" s="39">
        <f t="shared" ref="AQ36:AQ61" si="31">AB36*1.05</f>
        <v>0</v>
      </c>
      <c r="AR36" s="39">
        <f t="shared" ref="AR36:AR61" si="32">AC36*1.05</f>
        <v>0</v>
      </c>
      <c r="AS36" s="39">
        <f t="shared" ref="AS36:AS61" si="33">AD36*1.05</f>
        <v>0</v>
      </c>
      <c r="AT36" s="39">
        <f t="shared" ref="AT36:AT61" si="34">AE36*1.05</f>
        <v>0</v>
      </c>
      <c r="AU36" s="39">
        <f t="shared" ref="AU36:AU61" si="35">AF36*1.05</f>
        <v>0</v>
      </c>
      <c r="AV36" s="39">
        <f t="shared" ref="AV36:AV61" si="36">AG36*1.05</f>
        <v>0</v>
      </c>
      <c r="AW36" s="45">
        <f t="shared" si="6"/>
        <v>0</v>
      </c>
      <c r="AX36" s="139">
        <f t="shared" si="3"/>
        <v>0</v>
      </c>
    </row>
    <row r="37" spans="1:50" outlineLevel="1">
      <c r="A37" s="37" t="s">
        <v>271</v>
      </c>
      <c r="B37" s="41" t="s">
        <v>272</v>
      </c>
      <c r="C37" s="41" t="s">
        <v>67</v>
      </c>
      <c r="D37" s="37"/>
      <c r="E37" s="40">
        <v>146564.1</v>
      </c>
      <c r="F37" s="420">
        <v>0</v>
      </c>
      <c r="G37" s="420">
        <v>0</v>
      </c>
      <c r="H37" s="420">
        <v>0</v>
      </c>
      <c r="I37" s="420">
        <v>0</v>
      </c>
      <c r="J37" s="420">
        <v>0</v>
      </c>
      <c r="K37" s="420">
        <v>0</v>
      </c>
      <c r="L37" s="420">
        <v>0</v>
      </c>
      <c r="M37" s="420">
        <v>0</v>
      </c>
      <c r="N37" s="420">
        <v>0</v>
      </c>
      <c r="O37" s="39">
        <v>0</v>
      </c>
      <c r="P37" s="39">
        <v>0</v>
      </c>
      <c r="Q37" s="39">
        <v>0</v>
      </c>
      <c r="R37" s="39">
        <f t="shared" si="20"/>
        <v>0</v>
      </c>
      <c r="S37" s="39"/>
      <c r="T37" s="40">
        <v>186490.78499999997</v>
      </c>
      <c r="U37" s="40"/>
      <c r="V37" s="39">
        <v>0</v>
      </c>
      <c r="W37" s="39">
        <v>0</v>
      </c>
      <c r="X37" s="39">
        <v>0</v>
      </c>
      <c r="Y37" s="39">
        <v>0</v>
      </c>
      <c r="Z37" s="39">
        <v>0</v>
      </c>
      <c r="AA37" s="39">
        <v>0</v>
      </c>
      <c r="AB37" s="39">
        <v>0</v>
      </c>
      <c r="AC37" s="39">
        <v>0</v>
      </c>
      <c r="AD37" s="39">
        <v>0</v>
      </c>
      <c r="AE37" s="39">
        <v>0</v>
      </c>
      <c r="AF37" s="39">
        <v>0</v>
      </c>
      <c r="AG37" s="39">
        <v>0</v>
      </c>
      <c r="AH37" s="45">
        <f t="shared" si="4"/>
        <v>0</v>
      </c>
      <c r="AI37" s="139">
        <f t="shared" si="5"/>
        <v>0</v>
      </c>
      <c r="AJ37" s="405"/>
      <c r="AK37" s="39">
        <f t="shared" si="25"/>
        <v>0</v>
      </c>
      <c r="AL37" s="39">
        <f t="shared" si="26"/>
        <v>0</v>
      </c>
      <c r="AM37" s="39">
        <f t="shared" si="27"/>
        <v>0</v>
      </c>
      <c r="AN37" s="39">
        <f t="shared" si="28"/>
        <v>0</v>
      </c>
      <c r="AO37" s="39">
        <f t="shared" si="29"/>
        <v>0</v>
      </c>
      <c r="AP37" s="39">
        <f t="shared" si="30"/>
        <v>0</v>
      </c>
      <c r="AQ37" s="39">
        <f t="shared" si="31"/>
        <v>0</v>
      </c>
      <c r="AR37" s="39">
        <f t="shared" si="32"/>
        <v>0</v>
      </c>
      <c r="AS37" s="39">
        <f t="shared" si="33"/>
        <v>0</v>
      </c>
      <c r="AT37" s="39">
        <f t="shared" si="34"/>
        <v>0</v>
      </c>
      <c r="AU37" s="39">
        <f t="shared" si="35"/>
        <v>0</v>
      </c>
      <c r="AV37" s="39">
        <f t="shared" si="36"/>
        <v>0</v>
      </c>
      <c r="AW37" s="45">
        <f t="shared" si="6"/>
        <v>0</v>
      </c>
      <c r="AX37" s="139">
        <f t="shared" si="3"/>
        <v>0</v>
      </c>
    </row>
    <row r="38" spans="1:50" outlineLevel="1">
      <c r="A38" s="37" t="s">
        <v>273</v>
      </c>
      <c r="B38" s="41" t="s">
        <v>274</v>
      </c>
      <c r="C38" s="41" t="s">
        <v>66</v>
      </c>
      <c r="D38" s="37"/>
      <c r="E38" s="40">
        <v>334442.17</v>
      </c>
      <c r="F38" s="420">
        <v>0</v>
      </c>
      <c r="G38" s="420">
        <v>23819.399999999998</v>
      </c>
      <c r="H38" s="420">
        <v>30338.6</v>
      </c>
      <c r="I38" s="420">
        <v>25227.000000000004</v>
      </c>
      <c r="J38" s="420">
        <v>0</v>
      </c>
      <c r="K38" s="420">
        <v>15042.6</v>
      </c>
      <c r="L38" s="420">
        <v>23948.800000000003</v>
      </c>
      <c r="M38" s="420">
        <v>0</v>
      </c>
      <c r="N38" s="420">
        <v>25953.1</v>
      </c>
      <c r="O38" s="39">
        <v>70000</v>
      </c>
      <c r="P38" s="39">
        <v>20000</v>
      </c>
      <c r="Q38" s="39">
        <v>30000</v>
      </c>
      <c r="R38" s="39">
        <f t="shared" si="20"/>
        <v>264329.5</v>
      </c>
      <c r="S38" s="39"/>
      <c r="T38" s="40">
        <v>301608.49550000002</v>
      </c>
      <c r="U38" s="40"/>
      <c r="V38" s="39">
        <v>0</v>
      </c>
      <c r="W38" s="39">
        <v>23819.399999999998</v>
      </c>
      <c r="X38" s="39">
        <v>30338.6</v>
      </c>
      <c r="Y38" s="39">
        <v>25227.000000000004</v>
      </c>
      <c r="Z38" s="39">
        <v>10000</v>
      </c>
      <c r="AA38" s="39">
        <v>15042.6</v>
      </c>
      <c r="AB38" s="39">
        <v>23948.800000000003</v>
      </c>
      <c r="AC38" s="39">
        <v>0</v>
      </c>
      <c r="AD38" s="39">
        <v>26124.100000000002</v>
      </c>
      <c r="AE38" s="39">
        <v>70000</v>
      </c>
      <c r="AF38" s="39">
        <v>10000</v>
      </c>
      <c r="AG38" s="39">
        <v>30000</v>
      </c>
      <c r="AH38" s="45">
        <f t="shared" si="4"/>
        <v>264500.5</v>
      </c>
      <c r="AI38" s="139">
        <f t="shared" si="5"/>
        <v>6.4691984814402304E-4</v>
      </c>
      <c r="AJ38" s="405"/>
      <c r="AK38" s="39">
        <f t="shared" si="25"/>
        <v>0</v>
      </c>
      <c r="AL38" s="39">
        <f t="shared" si="26"/>
        <v>25010.37</v>
      </c>
      <c r="AM38" s="39">
        <f t="shared" si="27"/>
        <v>31855.53</v>
      </c>
      <c r="AN38" s="39">
        <f t="shared" si="28"/>
        <v>26488.350000000006</v>
      </c>
      <c r="AO38" s="39">
        <f t="shared" si="29"/>
        <v>10500</v>
      </c>
      <c r="AP38" s="39">
        <f t="shared" si="30"/>
        <v>15794.730000000001</v>
      </c>
      <c r="AQ38" s="39">
        <f t="shared" si="31"/>
        <v>25146.240000000005</v>
      </c>
      <c r="AR38" s="39">
        <f t="shared" si="32"/>
        <v>0</v>
      </c>
      <c r="AS38" s="39">
        <f t="shared" si="33"/>
        <v>27430.305000000004</v>
      </c>
      <c r="AT38" s="39">
        <f t="shared" si="34"/>
        <v>73500</v>
      </c>
      <c r="AU38" s="39">
        <f t="shared" si="35"/>
        <v>10500</v>
      </c>
      <c r="AV38" s="39">
        <f t="shared" si="36"/>
        <v>31500</v>
      </c>
      <c r="AW38" s="45">
        <f t="shared" si="6"/>
        <v>277725.52500000002</v>
      </c>
      <c r="AX38" s="139">
        <f t="shared" si="3"/>
        <v>5.0000000000000044E-2</v>
      </c>
    </row>
    <row r="39" spans="1:50" s="181" customFormat="1" outlineLevel="1">
      <c r="A39" s="401" t="s">
        <v>275</v>
      </c>
      <c r="B39" s="402" t="s">
        <v>265</v>
      </c>
      <c r="C39" s="402" t="s">
        <v>65</v>
      </c>
      <c r="D39" s="401"/>
      <c r="E39" s="403">
        <v>28578.950000000004</v>
      </c>
      <c r="F39" s="421">
        <v>0</v>
      </c>
      <c r="G39" s="421">
        <v>0</v>
      </c>
      <c r="H39" s="421">
        <v>0</v>
      </c>
      <c r="I39" s="421">
        <v>925.81</v>
      </c>
      <c r="J39" s="421">
        <v>0</v>
      </c>
      <c r="K39" s="421">
        <v>0</v>
      </c>
      <c r="L39" s="421">
        <v>0</v>
      </c>
      <c r="M39" s="421">
        <v>0</v>
      </c>
      <c r="N39" s="421">
        <v>0</v>
      </c>
      <c r="O39" s="39">
        <v>0</v>
      </c>
      <c r="P39" s="404">
        <v>0</v>
      </c>
      <c r="Q39" s="404">
        <v>0</v>
      </c>
      <c r="R39" s="404">
        <f t="shared" si="20"/>
        <v>925.81</v>
      </c>
      <c r="S39" s="404"/>
      <c r="T39" s="403">
        <v>15890</v>
      </c>
      <c r="U39" s="481"/>
      <c r="V39" s="404">
        <v>0</v>
      </c>
      <c r="W39" s="404">
        <v>0</v>
      </c>
      <c r="X39" s="404">
        <v>0</v>
      </c>
      <c r="Y39" s="404">
        <v>0</v>
      </c>
      <c r="Z39" s="404">
        <v>0</v>
      </c>
      <c r="AA39" s="404">
        <v>0</v>
      </c>
      <c r="AB39" s="404">
        <v>0</v>
      </c>
      <c r="AC39" s="404">
        <v>0</v>
      </c>
      <c r="AD39" s="404">
        <v>0</v>
      </c>
      <c r="AE39" s="404">
        <v>0</v>
      </c>
      <c r="AF39" s="404">
        <v>0</v>
      </c>
      <c r="AG39" s="404">
        <v>0</v>
      </c>
      <c r="AH39" s="405">
        <f t="shared" si="4"/>
        <v>0</v>
      </c>
      <c r="AI39" s="139">
        <f t="shared" si="5"/>
        <v>-1</v>
      </c>
      <c r="AJ39" s="405"/>
      <c r="AK39" s="39">
        <f t="shared" si="25"/>
        <v>0</v>
      </c>
      <c r="AL39" s="39">
        <f t="shared" si="26"/>
        <v>0</v>
      </c>
      <c r="AM39" s="39">
        <f t="shared" si="27"/>
        <v>0</v>
      </c>
      <c r="AN39" s="39">
        <f t="shared" si="28"/>
        <v>0</v>
      </c>
      <c r="AO39" s="39">
        <f t="shared" si="29"/>
        <v>0</v>
      </c>
      <c r="AP39" s="39">
        <f t="shared" si="30"/>
        <v>0</v>
      </c>
      <c r="AQ39" s="39">
        <f t="shared" si="31"/>
        <v>0</v>
      </c>
      <c r="AR39" s="39">
        <f t="shared" si="32"/>
        <v>0</v>
      </c>
      <c r="AS39" s="39">
        <f t="shared" si="33"/>
        <v>0</v>
      </c>
      <c r="AT39" s="39">
        <f t="shared" si="34"/>
        <v>0</v>
      </c>
      <c r="AU39" s="39">
        <f t="shared" si="35"/>
        <v>0</v>
      </c>
      <c r="AV39" s="39">
        <f t="shared" si="36"/>
        <v>0</v>
      </c>
      <c r="AW39" s="405">
        <f t="shared" si="6"/>
        <v>0</v>
      </c>
      <c r="AX39" s="139">
        <f t="shared" ref="AX39:AX70" si="37">IFERROR(AW39/AH39-1,0)</f>
        <v>0</v>
      </c>
    </row>
    <row r="40" spans="1:50" outlineLevel="1">
      <c r="A40" s="37" t="s">
        <v>276</v>
      </c>
      <c r="B40" s="41" t="s">
        <v>263</v>
      </c>
      <c r="C40" s="41" t="s">
        <v>65</v>
      </c>
      <c r="D40" s="37"/>
      <c r="E40" s="40"/>
      <c r="F40" s="420">
        <v>0</v>
      </c>
      <c r="G40" s="420">
        <v>0</v>
      </c>
      <c r="H40" s="420">
        <v>0</v>
      </c>
      <c r="I40" s="420">
        <v>0</v>
      </c>
      <c r="J40" s="420">
        <v>0</v>
      </c>
      <c r="K40" s="420">
        <v>16268.579999999998</v>
      </c>
      <c r="L40" s="420">
        <v>0</v>
      </c>
      <c r="M40" s="420">
        <v>0</v>
      </c>
      <c r="N40" s="420">
        <v>0</v>
      </c>
      <c r="O40" s="39">
        <v>0</v>
      </c>
      <c r="P40" s="39">
        <v>0</v>
      </c>
      <c r="Q40" s="39">
        <v>10000</v>
      </c>
      <c r="R40" s="39">
        <f t="shared" si="20"/>
        <v>26268.579999999998</v>
      </c>
      <c r="S40" s="39"/>
      <c r="T40" s="40"/>
      <c r="U40" s="40"/>
      <c r="V40" s="39">
        <v>0</v>
      </c>
      <c r="W40" s="39">
        <v>0</v>
      </c>
      <c r="X40" s="39">
        <v>15000</v>
      </c>
      <c r="Y40" s="39">
        <v>0</v>
      </c>
      <c r="Z40" s="39">
        <v>0</v>
      </c>
      <c r="AA40" s="39">
        <v>0</v>
      </c>
      <c r="AB40" s="39">
        <v>0</v>
      </c>
      <c r="AC40" s="39">
        <v>15000</v>
      </c>
      <c r="AD40" s="39">
        <v>0</v>
      </c>
      <c r="AE40" s="39">
        <v>0</v>
      </c>
      <c r="AF40" s="39">
        <v>0</v>
      </c>
      <c r="AG40" s="39">
        <v>0</v>
      </c>
      <c r="AH40" s="45">
        <f t="shared" si="4"/>
        <v>30000</v>
      </c>
      <c r="AI40" s="139">
        <f t="shared" si="5"/>
        <v>0.14204878984703417</v>
      </c>
      <c r="AJ40" s="405"/>
      <c r="AK40" s="39">
        <f t="shared" si="25"/>
        <v>0</v>
      </c>
      <c r="AL40" s="39">
        <f t="shared" si="26"/>
        <v>0</v>
      </c>
      <c r="AM40" s="39">
        <f t="shared" si="27"/>
        <v>15750</v>
      </c>
      <c r="AN40" s="39">
        <f t="shared" si="28"/>
        <v>0</v>
      </c>
      <c r="AO40" s="39">
        <f t="shared" si="29"/>
        <v>0</v>
      </c>
      <c r="AP40" s="39">
        <f t="shared" si="30"/>
        <v>0</v>
      </c>
      <c r="AQ40" s="39">
        <f t="shared" si="31"/>
        <v>0</v>
      </c>
      <c r="AR40" s="39">
        <f t="shared" si="32"/>
        <v>15750</v>
      </c>
      <c r="AS40" s="39">
        <f t="shared" si="33"/>
        <v>0</v>
      </c>
      <c r="AT40" s="39">
        <f t="shared" si="34"/>
        <v>0</v>
      </c>
      <c r="AU40" s="39">
        <f t="shared" si="35"/>
        <v>0</v>
      </c>
      <c r="AV40" s="39">
        <f t="shared" si="36"/>
        <v>0</v>
      </c>
      <c r="AW40" s="45">
        <f t="shared" si="6"/>
        <v>31500</v>
      </c>
      <c r="AX40" s="139">
        <f t="shared" si="37"/>
        <v>5.0000000000000044E-2</v>
      </c>
    </row>
    <row r="41" spans="1:50" outlineLevel="1">
      <c r="A41" s="37" t="s">
        <v>277</v>
      </c>
      <c r="B41" s="41" t="s">
        <v>64</v>
      </c>
      <c r="C41" s="41" t="s">
        <v>64</v>
      </c>
      <c r="D41" s="37"/>
      <c r="E41" s="40">
        <v>2176137.2600000002</v>
      </c>
      <c r="F41" s="420">
        <v>190148.34000000003</v>
      </c>
      <c r="G41" s="420">
        <v>103455.44</v>
      </c>
      <c r="H41" s="420">
        <v>73647.419999999984</v>
      </c>
      <c r="I41" s="420">
        <v>167069.18</v>
      </c>
      <c r="J41" s="420">
        <v>307927</v>
      </c>
      <c r="K41" s="420">
        <v>114295.98999999999</v>
      </c>
      <c r="L41" s="420">
        <v>19059.36</v>
      </c>
      <c r="M41" s="420">
        <v>128435.87999999999</v>
      </c>
      <c r="N41" s="420">
        <v>354805.07999999996</v>
      </c>
      <c r="O41" s="39">
        <v>222519.604587668</v>
      </c>
      <c r="P41" s="39">
        <v>143347.23074372619</v>
      </c>
      <c r="Q41" s="39">
        <v>210687.58904807299</v>
      </c>
      <c r="R41" s="39">
        <f t="shared" si="20"/>
        <v>2035398.1143794672</v>
      </c>
      <c r="S41" s="39"/>
      <c r="T41" s="39">
        <v>2499500</v>
      </c>
      <c r="U41" s="40"/>
      <c r="V41" s="39">
        <v>216463.06640000001</v>
      </c>
      <c r="W41" s="39">
        <v>124861.7824</v>
      </c>
      <c r="X41" s="39">
        <f>86092.1032+20000</f>
        <v>106092.1032</v>
      </c>
      <c r="Y41" s="39">
        <v>123317.2328</v>
      </c>
      <c r="Z41" s="39">
        <v>192682.91999999998</v>
      </c>
      <c r="AA41" s="39">
        <v>117428.16039999999</v>
      </c>
      <c r="AB41" s="39">
        <f>101060.6256+20000</f>
        <v>121060.6256</v>
      </c>
      <c r="AC41" s="39">
        <f>138562.5648+150000</f>
        <v>288562.56479999999</v>
      </c>
      <c r="AD41" s="39">
        <v>366163.79680000001</v>
      </c>
      <c r="AE41" s="39">
        <f>198636.215816493-40000</f>
        <v>158636.215816493</v>
      </c>
      <c r="AF41" s="39">
        <v>208318.11077025096</v>
      </c>
      <c r="AG41" s="39">
        <v>206498.49643807707</v>
      </c>
      <c r="AH41" s="45">
        <f t="shared" si="4"/>
        <v>2230085.0754248211</v>
      </c>
      <c r="AI41" s="139">
        <f t="shared" si="5"/>
        <v>9.5650555864206455E-2</v>
      </c>
      <c r="AJ41" s="405"/>
      <c r="AK41" s="39">
        <f t="shared" si="25"/>
        <v>227286.21972000002</v>
      </c>
      <c r="AL41" s="39">
        <f t="shared" si="26"/>
        <v>131104.87152000002</v>
      </c>
      <c r="AM41" s="39">
        <f t="shared" si="27"/>
        <v>111396.70836</v>
      </c>
      <c r="AN41" s="39">
        <f t="shared" si="28"/>
        <v>129483.09444</v>
      </c>
      <c r="AO41" s="39">
        <f t="shared" si="29"/>
        <v>202317.06599999999</v>
      </c>
      <c r="AP41" s="39">
        <f t="shared" si="30"/>
        <v>123299.56842</v>
      </c>
      <c r="AQ41" s="39">
        <f t="shared" si="31"/>
        <v>127113.65688000001</v>
      </c>
      <c r="AR41" s="39">
        <f t="shared" si="32"/>
        <v>302990.69303999998</v>
      </c>
      <c r="AS41" s="39">
        <f t="shared" si="33"/>
        <v>384471.98664000002</v>
      </c>
      <c r="AT41" s="39">
        <f t="shared" si="34"/>
        <v>166568.02660731765</v>
      </c>
      <c r="AU41" s="39">
        <f t="shared" si="35"/>
        <v>218734.01630876353</v>
      </c>
      <c r="AV41" s="39">
        <f t="shared" si="36"/>
        <v>216823.42125998094</v>
      </c>
      <c r="AW41" s="45">
        <f t="shared" si="6"/>
        <v>2341589.3291960624</v>
      </c>
      <c r="AX41" s="139">
        <f t="shared" si="37"/>
        <v>5.0000000000000044E-2</v>
      </c>
    </row>
    <row r="42" spans="1:50" outlineLevel="1">
      <c r="A42" s="13" t="s">
        <v>278</v>
      </c>
      <c r="B42" s="41" t="s">
        <v>64</v>
      </c>
      <c r="C42" s="41" t="s">
        <v>64</v>
      </c>
      <c r="D42" s="37"/>
      <c r="E42" s="40"/>
      <c r="F42" s="420"/>
      <c r="G42" s="420"/>
      <c r="H42" s="420"/>
      <c r="I42" s="420">
        <v>2319.1099999999997</v>
      </c>
      <c r="J42" s="420">
        <v>0</v>
      </c>
      <c r="K42" s="420">
        <v>0</v>
      </c>
      <c r="L42" s="420">
        <v>0</v>
      </c>
      <c r="M42" s="420">
        <v>0</v>
      </c>
      <c r="N42" s="420">
        <v>0</v>
      </c>
      <c r="O42" s="39">
        <v>0</v>
      </c>
      <c r="P42" s="39">
        <v>0</v>
      </c>
      <c r="Q42" s="39">
        <v>0</v>
      </c>
      <c r="R42" s="39">
        <f t="shared" si="20"/>
        <v>2319.1099999999997</v>
      </c>
      <c r="S42" s="39"/>
      <c r="T42" s="40"/>
      <c r="U42" s="40"/>
      <c r="V42" s="39">
        <v>0</v>
      </c>
      <c r="W42" s="39">
        <v>0</v>
      </c>
      <c r="X42" s="39">
        <v>0</v>
      </c>
      <c r="Y42" s="39">
        <v>0</v>
      </c>
      <c r="Z42" s="39">
        <v>0</v>
      </c>
      <c r="AA42" s="39">
        <v>0</v>
      </c>
      <c r="AB42" s="39">
        <v>0</v>
      </c>
      <c r="AC42" s="39">
        <v>0</v>
      </c>
      <c r="AD42" s="39">
        <v>0</v>
      </c>
      <c r="AE42" s="39">
        <v>0</v>
      </c>
      <c r="AF42" s="39">
        <v>0</v>
      </c>
      <c r="AG42" s="39">
        <v>0</v>
      </c>
      <c r="AH42" s="45">
        <f t="shared" si="4"/>
        <v>0</v>
      </c>
      <c r="AI42" s="139">
        <f t="shared" si="5"/>
        <v>-1</v>
      </c>
      <c r="AJ42" s="405"/>
      <c r="AK42" s="39">
        <f t="shared" si="25"/>
        <v>0</v>
      </c>
      <c r="AL42" s="39">
        <f t="shared" si="26"/>
        <v>0</v>
      </c>
      <c r="AM42" s="39">
        <f t="shared" si="27"/>
        <v>0</v>
      </c>
      <c r="AN42" s="39">
        <f t="shared" si="28"/>
        <v>0</v>
      </c>
      <c r="AO42" s="39">
        <f t="shared" si="29"/>
        <v>0</v>
      </c>
      <c r="AP42" s="39">
        <f t="shared" si="30"/>
        <v>0</v>
      </c>
      <c r="AQ42" s="39">
        <f t="shared" si="31"/>
        <v>0</v>
      </c>
      <c r="AR42" s="39">
        <f t="shared" si="32"/>
        <v>0</v>
      </c>
      <c r="AS42" s="39">
        <f t="shared" si="33"/>
        <v>0</v>
      </c>
      <c r="AT42" s="39">
        <f t="shared" si="34"/>
        <v>0</v>
      </c>
      <c r="AU42" s="39">
        <f t="shared" si="35"/>
        <v>0</v>
      </c>
      <c r="AV42" s="39">
        <f t="shared" si="36"/>
        <v>0</v>
      </c>
      <c r="AW42" s="45">
        <f t="shared" si="6"/>
        <v>0</v>
      </c>
      <c r="AX42" s="139">
        <f t="shared" si="37"/>
        <v>0</v>
      </c>
    </row>
    <row r="43" spans="1:50" outlineLevel="1">
      <c r="A43" s="13" t="s">
        <v>279</v>
      </c>
      <c r="B43" s="41" t="s">
        <v>280</v>
      </c>
      <c r="C43" s="41" t="s">
        <v>67</v>
      </c>
      <c r="D43" s="37"/>
      <c r="E43" s="40"/>
      <c r="F43" s="420">
        <v>0</v>
      </c>
      <c r="G43" s="420">
        <v>11632.479999999998</v>
      </c>
      <c r="H43" s="420">
        <v>0</v>
      </c>
      <c r="I43" s="420">
        <v>4117.6799999999994</v>
      </c>
      <c r="J43" s="420">
        <v>0</v>
      </c>
      <c r="K43" s="420">
        <v>0</v>
      </c>
      <c r="L43" s="420">
        <v>0</v>
      </c>
      <c r="M43" s="420">
        <v>0</v>
      </c>
      <c r="N43" s="420">
        <v>0</v>
      </c>
      <c r="O43" s="39">
        <v>0</v>
      </c>
      <c r="P43" s="39">
        <v>0</v>
      </c>
      <c r="Q43" s="39">
        <v>5000</v>
      </c>
      <c r="R43" s="39">
        <f t="shared" si="20"/>
        <v>20750.159999999996</v>
      </c>
      <c r="S43" s="39"/>
      <c r="T43" s="40"/>
      <c r="U43" s="40"/>
      <c r="V43" s="39">
        <v>0</v>
      </c>
      <c r="W43" s="39">
        <v>0</v>
      </c>
      <c r="X43" s="39">
        <v>0</v>
      </c>
      <c r="Y43" s="39">
        <v>5000</v>
      </c>
      <c r="Z43" s="39">
        <v>0</v>
      </c>
      <c r="AA43" s="39">
        <v>0</v>
      </c>
      <c r="AB43" s="39">
        <v>0</v>
      </c>
      <c r="AC43" s="39">
        <v>0</v>
      </c>
      <c r="AD43" s="39">
        <v>5000</v>
      </c>
      <c r="AE43" s="39">
        <v>0</v>
      </c>
      <c r="AF43" s="39">
        <v>0</v>
      </c>
      <c r="AG43" s="39">
        <v>0</v>
      </c>
      <c r="AH43" s="45">
        <f t="shared" si="4"/>
        <v>10000</v>
      </c>
      <c r="AI43" s="139">
        <f t="shared" si="5"/>
        <v>-0.51807600519706831</v>
      </c>
      <c r="AJ43" s="405"/>
      <c r="AK43" s="39">
        <f t="shared" si="25"/>
        <v>0</v>
      </c>
      <c r="AL43" s="39">
        <f t="shared" si="26"/>
        <v>0</v>
      </c>
      <c r="AM43" s="39">
        <f t="shared" si="27"/>
        <v>0</v>
      </c>
      <c r="AN43" s="39">
        <f t="shared" si="28"/>
        <v>5250</v>
      </c>
      <c r="AO43" s="39">
        <f t="shared" si="29"/>
        <v>0</v>
      </c>
      <c r="AP43" s="39">
        <f t="shared" si="30"/>
        <v>0</v>
      </c>
      <c r="AQ43" s="39">
        <f t="shared" si="31"/>
        <v>0</v>
      </c>
      <c r="AR43" s="39">
        <f t="shared" si="32"/>
        <v>0</v>
      </c>
      <c r="AS43" s="39">
        <f t="shared" si="33"/>
        <v>5250</v>
      </c>
      <c r="AT43" s="39">
        <f t="shared" si="34"/>
        <v>0</v>
      </c>
      <c r="AU43" s="39">
        <f t="shared" si="35"/>
        <v>0</v>
      </c>
      <c r="AV43" s="39">
        <f t="shared" si="36"/>
        <v>0</v>
      </c>
      <c r="AW43" s="45">
        <f t="shared" si="6"/>
        <v>10500</v>
      </c>
      <c r="AX43" s="139">
        <f t="shared" si="37"/>
        <v>5.0000000000000044E-2</v>
      </c>
    </row>
    <row r="44" spans="1:50" outlineLevel="1">
      <c r="A44" s="37" t="s">
        <v>281</v>
      </c>
      <c r="B44" s="41" t="s">
        <v>282</v>
      </c>
      <c r="C44" s="41" t="s">
        <v>67</v>
      </c>
      <c r="D44" s="37"/>
      <c r="E44" s="40">
        <v>18454.750000000004</v>
      </c>
      <c r="F44" s="420">
        <v>0</v>
      </c>
      <c r="G44" s="420">
        <v>0</v>
      </c>
      <c r="H44" s="420">
        <v>0</v>
      </c>
      <c r="I44" s="420">
        <v>28956.77</v>
      </c>
      <c r="J44" s="420">
        <v>0</v>
      </c>
      <c r="K44" s="420">
        <v>0</v>
      </c>
      <c r="L44" s="420">
        <v>0</v>
      </c>
      <c r="M44" s="420">
        <v>0</v>
      </c>
      <c r="N44" s="420">
        <v>0</v>
      </c>
      <c r="O44" s="39">
        <v>0</v>
      </c>
      <c r="P44" s="39">
        <v>0</v>
      </c>
      <c r="Q44" s="39">
        <v>10000</v>
      </c>
      <c r="R44" s="39">
        <f t="shared" si="20"/>
        <v>38956.770000000004</v>
      </c>
      <c r="S44" s="39"/>
      <c r="T44" s="40">
        <v>21416.702999999994</v>
      </c>
      <c r="U44" s="40"/>
      <c r="V44" s="39">
        <v>0</v>
      </c>
      <c r="W44" s="39">
        <v>0</v>
      </c>
      <c r="X44" s="39">
        <v>30000</v>
      </c>
      <c r="Y44" s="39">
        <v>0</v>
      </c>
      <c r="Z44" s="39">
        <v>0</v>
      </c>
      <c r="AA44" s="39">
        <v>0</v>
      </c>
      <c r="AB44" s="39">
        <v>0</v>
      </c>
      <c r="AC44" s="39">
        <v>0</v>
      </c>
      <c r="AD44" s="39">
        <v>10000</v>
      </c>
      <c r="AE44" s="39">
        <v>0</v>
      </c>
      <c r="AF44" s="39">
        <v>0</v>
      </c>
      <c r="AG44" s="39">
        <v>0</v>
      </c>
      <c r="AH44" s="45">
        <f t="shared" si="4"/>
        <v>40000</v>
      </c>
      <c r="AI44" s="139">
        <f t="shared" si="5"/>
        <v>2.67791708604177E-2</v>
      </c>
      <c r="AJ44" s="405"/>
      <c r="AK44" s="39">
        <f t="shared" si="25"/>
        <v>0</v>
      </c>
      <c r="AL44" s="39">
        <f t="shared" si="26"/>
        <v>0</v>
      </c>
      <c r="AM44" s="39">
        <f t="shared" si="27"/>
        <v>31500</v>
      </c>
      <c r="AN44" s="39">
        <f t="shared" si="28"/>
        <v>0</v>
      </c>
      <c r="AO44" s="39">
        <f t="shared" si="29"/>
        <v>0</v>
      </c>
      <c r="AP44" s="39">
        <f t="shared" si="30"/>
        <v>0</v>
      </c>
      <c r="AQ44" s="39">
        <f t="shared" si="31"/>
        <v>0</v>
      </c>
      <c r="AR44" s="39">
        <f t="shared" si="32"/>
        <v>0</v>
      </c>
      <c r="AS44" s="39">
        <f t="shared" si="33"/>
        <v>10500</v>
      </c>
      <c r="AT44" s="39">
        <f t="shared" si="34"/>
        <v>0</v>
      </c>
      <c r="AU44" s="39">
        <f t="shared" si="35"/>
        <v>0</v>
      </c>
      <c r="AV44" s="39">
        <f t="shared" si="36"/>
        <v>0</v>
      </c>
      <c r="AW44" s="45">
        <f t="shared" si="6"/>
        <v>42000</v>
      </c>
      <c r="AX44" s="139">
        <f t="shared" si="37"/>
        <v>5.0000000000000044E-2</v>
      </c>
    </row>
    <row r="45" spans="1:50" outlineLevel="1">
      <c r="A45" s="13" t="s">
        <v>283</v>
      </c>
      <c r="B45" s="41" t="s">
        <v>64</v>
      </c>
      <c r="C45" s="41" t="s">
        <v>64</v>
      </c>
      <c r="D45" s="37"/>
      <c r="E45" s="40">
        <v>37449.85</v>
      </c>
      <c r="F45" s="420">
        <v>0</v>
      </c>
      <c r="G45" s="420">
        <v>1610.8999999999999</v>
      </c>
      <c r="H45" s="420">
        <v>2121.48</v>
      </c>
      <c r="I45" s="420">
        <v>1570.4599999999998</v>
      </c>
      <c r="J45" s="420">
        <v>7092</v>
      </c>
      <c r="K45" s="420">
        <v>5815.8</v>
      </c>
      <c r="L45" s="420">
        <v>2924.7000000000003</v>
      </c>
      <c r="M45" s="420">
        <v>655.6</v>
      </c>
      <c r="N45" s="420">
        <v>3045.3599999999997</v>
      </c>
      <c r="O45" s="39">
        <v>3000</v>
      </c>
      <c r="P45" s="39">
        <v>1500</v>
      </c>
      <c r="Q45" s="39">
        <v>1500</v>
      </c>
      <c r="R45" s="39">
        <f t="shared" si="20"/>
        <v>30836.3</v>
      </c>
      <c r="S45" s="39"/>
      <c r="T45" s="39"/>
      <c r="U45" s="40"/>
      <c r="V45" s="39">
        <v>0</v>
      </c>
      <c r="W45" s="39">
        <v>1610.8999999999999</v>
      </c>
      <c r="X45" s="39">
        <v>2121.48</v>
      </c>
      <c r="Y45" s="39">
        <v>1570.4599999999998</v>
      </c>
      <c r="Z45" s="39">
        <v>7092</v>
      </c>
      <c r="AA45" s="39">
        <v>5815.8</v>
      </c>
      <c r="AB45" s="39">
        <v>2924.7000000000003</v>
      </c>
      <c r="AC45" s="39">
        <v>655.6</v>
      </c>
      <c r="AD45" s="39">
        <v>3045.3599999999997</v>
      </c>
      <c r="AE45" s="39">
        <v>3000</v>
      </c>
      <c r="AF45" s="39">
        <v>1500</v>
      </c>
      <c r="AG45" s="39">
        <v>1500</v>
      </c>
      <c r="AH45" s="45">
        <f t="shared" si="4"/>
        <v>30836.3</v>
      </c>
      <c r="AI45" s="139">
        <f t="shared" si="5"/>
        <v>0</v>
      </c>
      <c r="AJ45" s="405"/>
      <c r="AK45" s="39">
        <f t="shared" si="25"/>
        <v>0</v>
      </c>
      <c r="AL45" s="39">
        <f t="shared" si="26"/>
        <v>1691.4449999999999</v>
      </c>
      <c r="AM45" s="39">
        <f t="shared" si="27"/>
        <v>2227.5540000000001</v>
      </c>
      <c r="AN45" s="39">
        <f t="shared" si="28"/>
        <v>1648.9829999999999</v>
      </c>
      <c r="AO45" s="39">
        <f t="shared" si="29"/>
        <v>7446.6</v>
      </c>
      <c r="AP45" s="39">
        <f t="shared" si="30"/>
        <v>6106.59</v>
      </c>
      <c r="AQ45" s="39">
        <f t="shared" si="31"/>
        <v>3070.9350000000004</v>
      </c>
      <c r="AR45" s="39">
        <f t="shared" si="32"/>
        <v>688.38000000000011</v>
      </c>
      <c r="AS45" s="39">
        <f t="shared" si="33"/>
        <v>3197.6279999999997</v>
      </c>
      <c r="AT45" s="39">
        <f t="shared" si="34"/>
        <v>3150</v>
      </c>
      <c r="AU45" s="39">
        <f t="shared" si="35"/>
        <v>1575</v>
      </c>
      <c r="AV45" s="39">
        <f t="shared" si="36"/>
        <v>1575</v>
      </c>
      <c r="AW45" s="45">
        <f t="shared" si="6"/>
        <v>32378.115000000002</v>
      </c>
      <c r="AX45" s="139">
        <f t="shared" si="37"/>
        <v>5.0000000000000044E-2</v>
      </c>
    </row>
    <row r="46" spans="1:50" outlineLevel="1">
      <c r="A46" s="13" t="s">
        <v>284</v>
      </c>
      <c r="B46" s="41" t="s">
        <v>64</v>
      </c>
      <c r="C46" s="41" t="s">
        <v>64</v>
      </c>
      <c r="D46" s="37"/>
      <c r="E46" s="40">
        <v>26445.07</v>
      </c>
      <c r="F46" s="420">
        <v>0</v>
      </c>
      <c r="G46" s="420">
        <v>963.65999999999985</v>
      </c>
      <c r="H46" s="420">
        <v>5418.1799999999994</v>
      </c>
      <c r="I46" s="420">
        <v>593.4</v>
      </c>
      <c r="J46" s="420">
        <v>590.4</v>
      </c>
      <c r="K46" s="420">
        <v>1535.9399999999998</v>
      </c>
      <c r="L46" s="420">
        <v>1639.14</v>
      </c>
      <c r="M46" s="420">
        <v>2721.7799999999997</v>
      </c>
      <c r="N46" s="420">
        <v>3128.22</v>
      </c>
      <c r="O46" s="39">
        <v>3175.410467653729</v>
      </c>
      <c r="P46" s="39">
        <v>2863.8412197378129</v>
      </c>
      <c r="Q46" s="39">
        <v>2293.052125590425</v>
      </c>
      <c r="R46" s="39">
        <f t="shared" si="20"/>
        <v>24923.023812981963</v>
      </c>
      <c r="S46" s="39"/>
      <c r="T46" s="39">
        <v>25670.978499999997</v>
      </c>
      <c r="U46" s="40"/>
      <c r="V46" s="39">
        <v>2000</v>
      </c>
      <c r="W46" s="39">
        <v>2000</v>
      </c>
      <c r="X46" s="39">
        <v>2000</v>
      </c>
      <c r="Y46" s="39">
        <v>2000</v>
      </c>
      <c r="Z46" s="39">
        <v>2000</v>
      </c>
      <c r="AA46" s="39">
        <v>2000</v>
      </c>
      <c r="AB46" s="39">
        <v>2000</v>
      </c>
      <c r="AC46" s="39">
        <v>2000</v>
      </c>
      <c r="AD46" s="39">
        <v>2000</v>
      </c>
      <c r="AE46" s="39">
        <v>2000</v>
      </c>
      <c r="AF46" s="39">
        <v>2000</v>
      </c>
      <c r="AG46" s="39">
        <v>2000</v>
      </c>
      <c r="AH46" s="45">
        <f t="shared" si="4"/>
        <v>24000</v>
      </c>
      <c r="AI46" s="139">
        <f t="shared" si="5"/>
        <v>-3.7034984996530684E-2</v>
      </c>
      <c r="AJ46" s="405"/>
      <c r="AK46" s="39">
        <f t="shared" si="25"/>
        <v>2100</v>
      </c>
      <c r="AL46" s="39">
        <f t="shared" si="26"/>
        <v>2100</v>
      </c>
      <c r="AM46" s="39">
        <f t="shared" si="27"/>
        <v>2100</v>
      </c>
      <c r="AN46" s="39">
        <f t="shared" si="28"/>
        <v>2100</v>
      </c>
      <c r="AO46" s="39">
        <f t="shared" si="29"/>
        <v>2100</v>
      </c>
      <c r="AP46" s="39">
        <f t="shared" si="30"/>
        <v>2100</v>
      </c>
      <c r="AQ46" s="39">
        <f t="shared" si="31"/>
        <v>2100</v>
      </c>
      <c r="AR46" s="39">
        <f t="shared" si="32"/>
        <v>2100</v>
      </c>
      <c r="AS46" s="39">
        <f t="shared" si="33"/>
        <v>2100</v>
      </c>
      <c r="AT46" s="39">
        <f t="shared" si="34"/>
        <v>2100</v>
      </c>
      <c r="AU46" s="39">
        <f t="shared" si="35"/>
        <v>2100</v>
      </c>
      <c r="AV46" s="39">
        <f t="shared" si="36"/>
        <v>2100</v>
      </c>
      <c r="AW46" s="45">
        <f t="shared" si="6"/>
        <v>25200</v>
      </c>
      <c r="AX46" s="139">
        <f t="shared" si="37"/>
        <v>5.0000000000000044E-2</v>
      </c>
    </row>
    <row r="47" spans="1:50" outlineLevel="1">
      <c r="A47" s="37" t="s">
        <v>285</v>
      </c>
      <c r="B47" s="41" t="s">
        <v>236</v>
      </c>
      <c r="C47" s="41" t="s">
        <v>65</v>
      </c>
      <c r="D47" s="37"/>
      <c r="E47" s="40"/>
      <c r="F47" s="420">
        <v>0</v>
      </c>
      <c r="G47" s="420">
        <v>0</v>
      </c>
      <c r="H47" s="420">
        <v>0</v>
      </c>
      <c r="I47" s="420">
        <v>0</v>
      </c>
      <c r="J47" s="420">
        <v>0</v>
      </c>
      <c r="K47" s="420">
        <v>0</v>
      </c>
      <c r="L47" s="420">
        <v>0</v>
      </c>
      <c r="M47" s="420">
        <v>6558.84</v>
      </c>
      <c r="N47" s="420">
        <v>0</v>
      </c>
      <c r="O47" s="39">
        <v>0</v>
      </c>
      <c r="P47" s="39">
        <v>5000</v>
      </c>
      <c r="Q47" s="39">
        <v>0</v>
      </c>
      <c r="R47" s="39">
        <f t="shared" si="20"/>
        <v>11558.84</v>
      </c>
      <c r="S47" s="39"/>
      <c r="T47" s="40"/>
      <c r="U47" s="40"/>
      <c r="V47" s="39">
        <v>0</v>
      </c>
      <c r="W47" s="39">
        <v>2000</v>
      </c>
      <c r="X47" s="39">
        <v>2000</v>
      </c>
      <c r="Y47" s="39">
        <v>0</v>
      </c>
      <c r="Z47" s="39">
        <v>2000</v>
      </c>
      <c r="AA47" s="39">
        <v>2000</v>
      </c>
      <c r="AB47" s="39">
        <v>0</v>
      </c>
      <c r="AC47" s="39">
        <v>2000</v>
      </c>
      <c r="AD47" s="39">
        <v>2000</v>
      </c>
      <c r="AE47" s="39">
        <v>0</v>
      </c>
      <c r="AF47" s="39">
        <v>2000</v>
      </c>
      <c r="AG47" s="39">
        <v>2000</v>
      </c>
      <c r="AH47" s="45">
        <f t="shared" si="4"/>
        <v>16000</v>
      </c>
      <c r="AI47" s="139">
        <f t="shared" si="5"/>
        <v>0.38422194614684524</v>
      </c>
      <c r="AJ47" s="405"/>
      <c r="AK47" s="39">
        <f t="shared" si="25"/>
        <v>0</v>
      </c>
      <c r="AL47" s="39">
        <f t="shared" si="26"/>
        <v>2100</v>
      </c>
      <c r="AM47" s="39">
        <f t="shared" si="27"/>
        <v>2100</v>
      </c>
      <c r="AN47" s="39">
        <f t="shared" si="28"/>
        <v>0</v>
      </c>
      <c r="AO47" s="39">
        <f t="shared" si="29"/>
        <v>2100</v>
      </c>
      <c r="AP47" s="39">
        <f t="shared" si="30"/>
        <v>2100</v>
      </c>
      <c r="AQ47" s="39">
        <f t="shared" si="31"/>
        <v>0</v>
      </c>
      <c r="AR47" s="39">
        <f t="shared" si="32"/>
        <v>2100</v>
      </c>
      <c r="AS47" s="39">
        <f t="shared" si="33"/>
        <v>2100</v>
      </c>
      <c r="AT47" s="39">
        <f t="shared" si="34"/>
        <v>0</v>
      </c>
      <c r="AU47" s="39">
        <f t="shared" si="35"/>
        <v>2100</v>
      </c>
      <c r="AV47" s="39">
        <f t="shared" si="36"/>
        <v>2100</v>
      </c>
      <c r="AW47" s="45">
        <f t="shared" si="6"/>
        <v>16800</v>
      </c>
      <c r="AX47" s="139">
        <f t="shared" si="37"/>
        <v>5.0000000000000044E-2</v>
      </c>
    </row>
    <row r="48" spans="1:50" outlineLevel="1">
      <c r="A48" s="13" t="s">
        <v>286</v>
      </c>
      <c r="B48" s="41" t="s">
        <v>287</v>
      </c>
      <c r="C48" s="41" t="s">
        <v>67</v>
      </c>
      <c r="D48" s="37"/>
      <c r="E48" s="40"/>
      <c r="F48" s="420">
        <v>0</v>
      </c>
      <c r="G48" s="420">
        <v>0</v>
      </c>
      <c r="H48" s="420">
        <v>0</v>
      </c>
      <c r="I48" s="420">
        <v>1008.7</v>
      </c>
      <c r="J48" s="420">
        <v>0</v>
      </c>
      <c r="K48" s="420">
        <v>0</v>
      </c>
      <c r="L48" s="420">
        <v>0</v>
      </c>
      <c r="M48" s="420">
        <v>0</v>
      </c>
      <c r="N48" s="420">
        <v>0</v>
      </c>
      <c r="O48" s="39">
        <v>0</v>
      </c>
      <c r="P48" s="39">
        <v>0</v>
      </c>
      <c r="Q48" s="39">
        <v>0</v>
      </c>
      <c r="R48" s="39">
        <f t="shared" ref="R48:R81" si="38">SUM(F48:Q48)</f>
        <v>1008.7</v>
      </c>
      <c r="S48" s="39"/>
      <c r="T48" s="40"/>
      <c r="U48" s="40"/>
      <c r="V48" s="39">
        <v>0</v>
      </c>
      <c r="W48" s="39">
        <v>0</v>
      </c>
      <c r="X48" s="39">
        <v>0</v>
      </c>
      <c r="Y48" s="39">
        <v>0</v>
      </c>
      <c r="Z48" s="39">
        <v>0</v>
      </c>
      <c r="AA48" s="39">
        <v>0</v>
      </c>
      <c r="AB48" s="39">
        <v>0</v>
      </c>
      <c r="AC48" s="39">
        <v>0</v>
      </c>
      <c r="AD48" s="39">
        <v>0</v>
      </c>
      <c r="AE48" s="39">
        <v>0</v>
      </c>
      <c r="AF48" s="39">
        <v>0</v>
      </c>
      <c r="AG48" s="39">
        <v>0</v>
      </c>
      <c r="AH48" s="45">
        <f t="shared" si="4"/>
        <v>0</v>
      </c>
      <c r="AI48" s="139">
        <f t="shared" si="5"/>
        <v>-1</v>
      </c>
      <c r="AJ48" s="405"/>
      <c r="AK48" s="39">
        <f t="shared" si="25"/>
        <v>0</v>
      </c>
      <c r="AL48" s="39">
        <f t="shared" si="26"/>
        <v>0</v>
      </c>
      <c r="AM48" s="39">
        <f t="shared" si="27"/>
        <v>0</v>
      </c>
      <c r="AN48" s="39">
        <f t="shared" si="28"/>
        <v>0</v>
      </c>
      <c r="AO48" s="39">
        <f t="shared" si="29"/>
        <v>0</v>
      </c>
      <c r="AP48" s="39">
        <f t="shared" si="30"/>
        <v>0</v>
      </c>
      <c r="AQ48" s="39">
        <f t="shared" si="31"/>
        <v>0</v>
      </c>
      <c r="AR48" s="39">
        <f t="shared" si="32"/>
        <v>0</v>
      </c>
      <c r="AS48" s="39">
        <f t="shared" si="33"/>
        <v>0</v>
      </c>
      <c r="AT48" s="39">
        <f t="shared" si="34"/>
        <v>0</v>
      </c>
      <c r="AU48" s="39">
        <f t="shared" si="35"/>
        <v>0</v>
      </c>
      <c r="AV48" s="39">
        <f t="shared" si="36"/>
        <v>0</v>
      </c>
      <c r="AW48" s="45">
        <f t="shared" si="6"/>
        <v>0</v>
      </c>
      <c r="AX48" s="139">
        <f t="shared" si="37"/>
        <v>0</v>
      </c>
    </row>
    <row r="49" spans="1:50" s="181" customFormat="1" outlineLevel="1">
      <c r="A49" s="401" t="s">
        <v>288</v>
      </c>
      <c r="B49" s="402" t="s">
        <v>255</v>
      </c>
      <c r="C49" s="402" t="s">
        <v>66</v>
      </c>
      <c r="D49" s="401"/>
      <c r="E49" s="403">
        <v>20150.689999999999</v>
      </c>
      <c r="F49" s="421">
        <v>2131.69</v>
      </c>
      <c r="G49" s="421">
        <v>1012.26</v>
      </c>
      <c r="H49" s="421">
        <v>2348.8799999999997</v>
      </c>
      <c r="I49" s="421">
        <v>6589.9900000000007</v>
      </c>
      <c r="J49" s="421">
        <v>0</v>
      </c>
      <c r="K49" s="421">
        <v>0</v>
      </c>
      <c r="L49" s="421">
        <v>1115.9999999999998</v>
      </c>
      <c r="M49" s="421">
        <v>961.67</v>
      </c>
      <c r="N49" s="421">
        <v>2056.7799999999997</v>
      </c>
      <c r="O49" s="39">
        <v>1028.7702715301675</v>
      </c>
      <c r="P49" s="404">
        <v>927.82798925075406</v>
      </c>
      <c r="Q49" s="404">
        <v>742.90359684414045</v>
      </c>
      <c r="R49" s="404">
        <f t="shared" si="38"/>
        <v>18916.771857625063</v>
      </c>
      <c r="S49" s="404"/>
      <c r="T49" s="403">
        <v>16941.569999999996</v>
      </c>
      <c r="U49" s="481"/>
      <c r="V49" s="404">
        <v>1500</v>
      </c>
      <c r="W49" s="404">
        <v>1500</v>
      </c>
      <c r="X49" s="404">
        <v>1500</v>
      </c>
      <c r="Y49" s="404">
        <v>1500</v>
      </c>
      <c r="Z49" s="404">
        <v>1500</v>
      </c>
      <c r="AA49" s="404">
        <v>1500</v>
      </c>
      <c r="AB49" s="404">
        <v>1500</v>
      </c>
      <c r="AC49" s="404">
        <v>1500</v>
      </c>
      <c r="AD49" s="404">
        <v>1500</v>
      </c>
      <c r="AE49" s="404">
        <v>1500</v>
      </c>
      <c r="AF49" s="404">
        <v>1500</v>
      </c>
      <c r="AG49" s="404">
        <v>1500</v>
      </c>
      <c r="AH49" s="405">
        <f t="shared" si="4"/>
        <v>18000</v>
      </c>
      <c r="AI49" s="139">
        <f t="shared" si="5"/>
        <v>-4.8463441041898814E-2</v>
      </c>
      <c r="AJ49" s="405"/>
      <c r="AK49" s="39">
        <f t="shared" si="25"/>
        <v>1575</v>
      </c>
      <c r="AL49" s="39">
        <f t="shared" si="26"/>
        <v>1575</v>
      </c>
      <c r="AM49" s="39">
        <f t="shared" si="27"/>
        <v>1575</v>
      </c>
      <c r="AN49" s="39">
        <f t="shared" si="28"/>
        <v>1575</v>
      </c>
      <c r="AO49" s="39">
        <f t="shared" si="29"/>
        <v>1575</v>
      </c>
      <c r="AP49" s="39">
        <f t="shared" si="30"/>
        <v>1575</v>
      </c>
      <c r="AQ49" s="39">
        <f t="shared" si="31"/>
        <v>1575</v>
      </c>
      <c r="AR49" s="39">
        <f t="shared" si="32"/>
        <v>1575</v>
      </c>
      <c r="AS49" s="39">
        <f t="shared" si="33"/>
        <v>1575</v>
      </c>
      <c r="AT49" s="39">
        <f t="shared" si="34"/>
        <v>1575</v>
      </c>
      <c r="AU49" s="39">
        <f t="shared" si="35"/>
        <v>1575</v>
      </c>
      <c r="AV49" s="39">
        <f t="shared" si="36"/>
        <v>1575</v>
      </c>
      <c r="AW49" s="405">
        <f t="shared" si="6"/>
        <v>18900</v>
      </c>
      <c r="AX49" s="139">
        <f t="shared" si="37"/>
        <v>5.0000000000000044E-2</v>
      </c>
    </row>
    <row r="50" spans="1:50" outlineLevel="1">
      <c r="A50" s="37" t="s">
        <v>289</v>
      </c>
      <c r="B50" s="41" t="s">
        <v>290</v>
      </c>
      <c r="C50" s="41" t="s">
        <v>66</v>
      </c>
      <c r="D50" s="37"/>
      <c r="E50" s="40">
        <v>14389.159999999994</v>
      </c>
      <c r="F50" s="420">
        <v>0</v>
      </c>
      <c r="G50" s="420">
        <v>0</v>
      </c>
      <c r="H50" s="420">
        <v>0</v>
      </c>
      <c r="I50" s="420">
        <v>0</v>
      </c>
      <c r="J50" s="420">
        <v>0</v>
      </c>
      <c r="K50" s="420">
        <v>0</v>
      </c>
      <c r="L50" s="420">
        <v>0</v>
      </c>
      <c r="M50" s="420">
        <v>0</v>
      </c>
      <c r="N50" s="420">
        <v>0</v>
      </c>
      <c r="O50" s="39">
        <v>0</v>
      </c>
      <c r="P50" s="39">
        <v>0</v>
      </c>
      <c r="Q50" s="39">
        <v>0</v>
      </c>
      <c r="R50" s="39">
        <f t="shared" si="38"/>
        <v>0</v>
      </c>
      <c r="S50" s="39"/>
      <c r="T50" s="40">
        <v>16547.534</v>
      </c>
      <c r="U50" s="40"/>
      <c r="V50" s="39">
        <v>0</v>
      </c>
      <c r="W50" s="39">
        <v>0</v>
      </c>
      <c r="X50" s="39">
        <v>0</v>
      </c>
      <c r="Y50" s="39">
        <v>0</v>
      </c>
      <c r="Z50" s="39">
        <v>0</v>
      </c>
      <c r="AA50" s="39">
        <v>0</v>
      </c>
      <c r="AB50" s="39">
        <v>0</v>
      </c>
      <c r="AC50" s="39">
        <v>0</v>
      </c>
      <c r="AD50" s="39">
        <v>0</v>
      </c>
      <c r="AE50" s="39">
        <v>0</v>
      </c>
      <c r="AF50" s="39">
        <v>0</v>
      </c>
      <c r="AG50" s="39">
        <v>0</v>
      </c>
      <c r="AH50" s="45">
        <f t="shared" si="4"/>
        <v>0</v>
      </c>
      <c r="AI50" s="139">
        <f t="shared" si="5"/>
        <v>0</v>
      </c>
      <c r="AJ50" s="405"/>
      <c r="AK50" s="39">
        <f t="shared" si="25"/>
        <v>0</v>
      </c>
      <c r="AL50" s="39">
        <f t="shared" si="26"/>
        <v>0</v>
      </c>
      <c r="AM50" s="39">
        <f t="shared" si="27"/>
        <v>0</v>
      </c>
      <c r="AN50" s="39">
        <f t="shared" si="28"/>
        <v>0</v>
      </c>
      <c r="AO50" s="39">
        <f t="shared" si="29"/>
        <v>0</v>
      </c>
      <c r="AP50" s="39">
        <f t="shared" si="30"/>
        <v>0</v>
      </c>
      <c r="AQ50" s="39">
        <f t="shared" si="31"/>
        <v>0</v>
      </c>
      <c r="AR50" s="39">
        <f t="shared" si="32"/>
        <v>0</v>
      </c>
      <c r="AS50" s="39">
        <f t="shared" si="33"/>
        <v>0</v>
      </c>
      <c r="AT50" s="39">
        <f t="shared" si="34"/>
        <v>0</v>
      </c>
      <c r="AU50" s="39">
        <f t="shared" si="35"/>
        <v>0</v>
      </c>
      <c r="AV50" s="39">
        <f t="shared" si="36"/>
        <v>0</v>
      </c>
      <c r="AW50" s="45">
        <f t="shared" si="6"/>
        <v>0</v>
      </c>
      <c r="AX50" s="139">
        <f t="shared" si="37"/>
        <v>0</v>
      </c>
    </row>
    <row r="51" spans="1:50" outlineLevel="1">
      <c r="A51" s="37" t="s">
        <v>291</v>
      </c>
      <c r="B51" s="41" t="s">
        <v>292</v>
      </c>
      <c r="C51" s="41" t="s">
        <v>66</v>
      </c>
      <c r="D51" s="37"/>
      <c r="E51" s="40">
        <v>182259.50000000003</v>
      </c>
      <c r="F51" s="420">
        <v>4582.5</v>
      </c>
      <c r="G51" s="420">
        <v>0</v>
      </c>
      <c r="H51" s="420">
        <v>0</v>
      </c>
      <c r="I51" s="420">
        <v>10071.599999999999</v>
      </c>
      <c r="J51" s="420">
        <v>12198.36</v>
      </c>
      <c r="K51" s="420">
        <v>10277.700000000001</v>
      </c>
      <c r="L51" s="420">
        <v>0</v>
      </c>
      <c r="M51" s="420">
        <v>0</v>
      </c>
      <c r="N51" s="420">
        <v>25055.5</v>
      </c>
      <c r="O51" s="39">
        <v>40000</v>
      </c>
      <c r="P51" s="39">
        <v>15000</v>
      </c>
      <c r="Q51" s="39">
        <v>15000</v>
      </c>
      <c r="R51" s="39">
        <f t="shared" si="38"/>
        <v>132185.66</v>
      </c>
      <c r="S51" s="39"/>
      <c r="T51" s="40">
        <v>170629.27549999999</v>
      </c>
      <c r="U51" s="40"/>
      <c r="V51" s="39">
        <v>10000</v>
      </c>
      <c r="W51" s="39">
        <v>0</v>
      </c>
      <c r="X51" s="39">
        <v>0</v>
      </c>
      <c r="Y51" s="39">
        <v>10000</v>
      </c>
      <c r="Z51" s="39">
        <v>0</v>
      </c>
      <c r="AA51" s="39">
        <v>10000</v>
      </c>
      <c r="AB51" s="39">
        <v>0</v>
      </c>
      <c r="AC51" s="39">
        <v>0</v>
      </c>
      <c r="AD51" s="39">
        <v>30000</v>
      </c>
      <c r="AE51" s="39">
        <v>20000</v>
      </c>
      <c r="AF51" s="39">
        <v>0</v>
      </c>
      <c r="AG51" s="39">
        <v>10000</v>
      </c>
      <c r="AH51" s="45">
        <f t="shared" si="4"/>
        <v>90000</v>
      </c>
      <c r="AI51" s="139">
        <f t="shared" si="5"/>
        <v>-0.31913945884901584</v>
      </c>
      <c r="AJ51" s="405"/>
      <c r="AK51" s="39">
        <f t="shared" si="25"/>
        <v>10500</v>
      </c>
      <c r="AL51" s="39">
        <f t="shared" si="26"/>
        <v>0</v>
      </c>
      <c r="AM51" s="39">
        <f t="shared" si="27"/>
        <v>0</v>
      </c>
      <c r="AN51" s="39">
        <f t="shared" si="28"/>
        <v>10500</v>
      </c>
      <c r="AO51" s="39">
        <f t="shared" si="29"/>
        <v>0</v>
      </c>
      <c r="AP51" s="39">
        <f t="shared" si="30"/>
        <v>10500</v>
      </c>
      <c r="AQ51" s="39">
        <f t="shared" si="31"/>
        <v>0</v>
      </c>
      <c r="AR51" s="39">
        <f t="shared" si="32"/>
        <v>0</v>
      </c>
      <c r="AS51" s="39">
        <f t="shared" si="33"/>
        <v>31500</v>
      </c>
      <c r="AT51" s="39">
        <f t="shared" si="34"/>
        <v>21000</v>
      </c>
      <c r="AU51" s="39">
        <f t="shared" si="35"/>
        <v>0</v>
      </c>
      <c r="AV51" s="39">
        <f t="shared" si="36"/>
        <v>10500</v>
      </c>
      <c r="AW51" s="45">
        <f t="shared" si="6"/>
        <v>94500</v>
      </c>
      <c r="AX51" s="139">
        <f t="shared" si="37"/>
        <v>5.0000000000000044E-2</v>
      </c>
    </row>
    <row r="52" spans="1:50" outlineLevel="1">
      <c r="A52" s="37" t="s">
        <v>293</v>
      </c>
      <c r="B52" s="41" t="s">
        <v>260</v>
      </c>
      <c r="C52" s="41" t="s">
        <v>66</v>
      </c>
      <c r="D52" s="37"/>
      <c r="E52" s="40">
        <v>30435.330000000005</v>
      </c>
      <c r="F52" s="420">
        <v>14359.529999999999</v>
      </c>
      <c r="G52" s="420">
        <v>0</v>
      </c>
      <c r="H52" s="420">
        <v>0</v>
      </c>
      <c r="I52" s="420">
        <v>9898.7999999999993</v>
      </c>
      <c r="J52" s="420">
        <v>-36.6</v>
      </c>
      <c r="K52" s="420">
        <v>0</v>
      </c>
      <c r="L52" s="420">
        <v>0</v>
      </c>
      <c r="M52" s="420">
        <v>8925.4499999999989</v>
      </c>
      <c r="N52" s="420">
        <v>0</v>
      </c>
      <c r="O52" s="39">
        <v>4372.1390504519504</v>
      </c>
      <c r="P52" s="39">
        <v>0</v>
      </c>
      <c r="Q52" s="39">
        <v>3157.2430856233514</v>
      </c>
      <c r="R52" s="39">
        <f t="shared" si="38"/>
        <v>40676.562136075299</v>
      </c>
      <c r="S52" s="39"/>
      <c r="T52" s="40">
        <v>25000</v>
      </c>
      <c r="U52" s="40"/>
      <c r="V52" s="39">
        <v>4000</v>
      </c>
      <c r="W52" s="39">
        <v>4000</v>
      </c>
      <c r="X52" s="39">
        <v>4000</v>
      </c>
      <c r="Y52" s="39">
        <v>4000</v>
      </c>
      <c r="Z52" s="39">
        <v>4000</v>
      </c>
      <c r="AA52" s="39">
        <v>4000</v>
      </c>
      <c r="AB52" s="39">
        <v>4000</v>
      </c>
      <c r="AC52" s="39">
        <v>5500</v>
      </c>
      <c r="AD52" s="39">
        <v>5500</v>
      </c>
      <c r="AE52" s="39">
        <v>5500</v>
      </c>
      <c r="AF52" s="39">
        <v>4000</v>
      </c>
      <c r="AG52" s="39">
        <v>4000</v>
      </c>
      <c r="AH52" s="45">
        <f t="shared" si="4"/>
        <v>52500</v>
      </c>
      <c r="AI52" s="139">
        <f t="shared" si="5"/>
        <v>0.29066954636853914</v>
      </c>
      <c r="AJ52" s="405"/>
      <c r="AK52" s="39">
        <f t="shared" si="25"/>
        <v>4200</v>
      </c>
      <c r="AL52" s="39">
        <f t="shared" si="26"/>
        <v>4200</v>
      </c>
      <c r="AM52" s="39">
        <f t="shared" si="27"/>
        <v>4200</v>
      </c>
      <c r="AN52" s="39">
        <f t="shared" si="28"/>
        <v>4200</v>
      </c>
      <c r="AO52" s="39">
        <f t="shared" si="29"/>
        <v>4200</v>
      </c>
      <c r="AP52" s="39">
        <f t="shared" si="30"/>
        <v>4200</v>
      </c>
      <c r="AQ52" s="39">
        <f t="shared" si="31"/>
        <v>4200</v>
      </c>
      <c r="AR52" s="39">
        <f t="shared" si="32"/>
        <v>5775</v>
      </c>
      <c r="AS52" s="39">
        <f t="shared" si="33"/>
        <v>5775</v>
      </c>
      <c r="AT52" s="39">
        <f t="shared" si="34"/>
        <v>5775</v>
      </c>
      <c r="AU52" s="39">
        <f t="shared" si="35"/>
        <v>4200</v>
      </c>
      <c r="AV52" s="39">
        <f t="shared" si="36"/>
        <v>4200</v>
      </c>
      <c r="AW52" s="45">
        <f t="shared" si="6"/>
        <v>55125</v>
      </c>
      <c r="AX52" s="139">
        <f t="shared" si="37"/>
        <v>5.0000000000000044E-2</v>
      </c>
    </row>
    <row r="53" spans="1:50" outlineLevel="1">
      <c r="A53" s="37" t="s">
        <v>294</v>
      </c>
      <c r="B53" s="41" t="s">
        <v>295</v>
      </c>
      <c r="C53" s="41" t="s">
        <v>67</v>
      </c>
      <c r="D53" s="37"/>
      <c r="E53" s="40">
        <v>43102.920000000006</v>
      </c>
      <c r="F53" s="420">
        <v>0</v>
      </c>
      <c r="G53" s="420">
        <v>0</v>
      </c>
      <c r="H53" s="420">
        <v>0</v>
      </c>
      <c r="I53" s="420">
        <v>0</v>
      </c>
      <c r="J53" s="420">
        <v>0</v>
      </c>
      <c r="K53" s="420">
        <v>38881.600000000006</v>
      </c>
      <c r="L53" s="420">
        <v>0</v>
      </c>
      <c r="M53" s="420">
        <v>0</v>
      </c>
      <c r="N53" s="420">
        <v>0</v>
      </c>
      <c r="O53" s="39">
        <v>0</v>
      </c>
      <c r="P53" s="39">
        <v>30000</v>
      </c>
      <c r="Q53" s="39">
        <v>0</v>
      </c>
      <c r="R53" s="39">
        <f t="shared" si="38"/>
        <v>68881.600000000006</v>
      </c>
      <c r="S53" s="39"/>
      <c r="T53" s="40">
        <v>77560.277999999991</v>
      </c>
      <c r="U53" s="40"/>
      <c r="V53" s="39">
        <v>0</v>
      </c>
      <c r="W53" s="39">
        <v>0</v>
      </c>
      <c r="X53" s="39">
        <v>0</v>
      </c>
      <c r="Y53" s="39">
        <v>0</v>
      </c>
      <c r="Z53" s="39">
        <v>0</v>
      </c>
      <c r="AA53" s="39">
        <v>0</v>
      </c>
      <c r="AB53" s="39">
        <v>0</v>
      </c>
      <c r="AC53" s="39">
        <v>0</v>
      </c>
      <c r="AD53" s="39">
        <v>0</v>
      </c>
      <c r="AE53" s="39">
        <v>0</v>
      </c>
      <c r="AF53" s="39">
        <v>0</v>
      </c>
      <c r="AG53" s="39">
        <v>0</v>
      </c>
      <c r="AH53" s="45">
        <f t="shared" si="4"/>
        <v>0</v>
      </c>
      <c r="AI53" s="139">
        <f t="shared" si="5"/>
        <v>-1</v>
      </c>
      <c r="AJ53" s="405"/>
      <c r="AK53" s="39">
        <f t="shared" si="25"/>
        <v>0</v>
      </c>
      <c r="AL53" s="39">
        <f t="shared" si="26"/>
        <v>0</v>
      </c>
      <c r="AM53" s="39">
        <f t="shared" si="27"/>
        <v>0</v>
      </c>
      <c r="AN53" s="39">
        <f t="shared" si="28"/>
        <v>0</v>
      </c>
      <c r="AO53" s="39">
        <f t="shared" si="29"/>
        <v>0</v>
      </c>
      <c r="AP53" s="39">
        <f t="shared" si="30"/>
        <v>0</v>
      </c>
      <c r="AQ53" s="39">
        <f t="shared" si="31"/>
        <v>0</v>
      </c>
      <c r="AR53" s="39">
        <f t="shared" si="32"/>
        <v>0</v>
      </c>
      <c r="AS53" s="39">
        <f t="shared" si="33"/>
        <v>0</v>
      </c>
      <c r="AT53" s="39">
        <f t="shared" si="34"/>
        <v>0</v>
      </c>
      <c r="AU53" s="39">
        <f t="shared" si="35"/>
        <v>0</v>
      </c>
      <c r="AV53" s="39">
        <f t="shared" si="36"/>
        <v>0</v>
      </c>
      <c r="AW53" s="45">
        <f t="shared" si="6"/>
        <v>0</v>
      </c>
      <c r="AX53" s="139">
        <f t="shared" si="37"/>
        <v>0</v>
      </c>
    </row>
    <row r="54" spans="1:50" outlineLevel="1">
      <c r="A54" s="13" t="s">
        <v>296</v>
      </c>
      <c r="B54" s="41" t="s">
        <v>64</v>
      </c>
      <c r="C54" s="41" t="s">
        <v>64</v>
      </c>
      <c r="D54" s="37"/>
      <c r="E54" s="40">
        <v>5462.4</v>
      </c>
      <c r="F54" s="420">
        <v>0</v>
      </c>
      <c r="G54" s="420">
        <v>0</v>
      </c>
      <c r="H54" s="420">
        <v>2409.6</v>
      </c>
      <c r="I54" s="420">
        <v>1514.8799999999999</v>
      </c>
      <c r="J54" s="420">
        <v>1452.48</v>
      </c>
      <c r="K54" s="420">
        <v>0</v>
      </c>
      <c r="L54" s="420">
        <v>0</v>
      </c>
      <c r="M54" s="420">
        <v>806.40000000000009</v>
      </c>
      <c r="N54" s="420">
        <v>0</v>
      </c>
      <c r="O54" s="39">
        <v>0</v>
      </c>
      <c r="P54" s="39">
        <v>1500</v>
      </c>
      <c r="Q54" s="39">
        <v>0</v>
      </c>
      <c r="R54" s="39">
        <f t="shared" si="38"/>
        <v>7683.3599999999988</v>
      </c>
      <c r="S54" s="39"/>
      <c r="T54" s="39"/>
      <c r="U54" s="40"/>
      <c r="V54" s="39">
        <v>0</v>
      </c>
      <c r="W54" s="39">
        <v>0</v>
      </c>
      <c r="X54" s="39">
        <v>2500</v>
      </c>
      <c r="Y54" s="39">
        <v>0</v>
      </c>
      <c r="Z54" s="39">
        <v>0</v>
      </c>
      <c r="AA54" s="39">
        <v>2500</v>
      </c>
      <c r="AB54" s="39">
        <v>0</v>
      </c>
      <c r="AC54" s="39">
        <v>0</v>
      </c>
      <c r="AD54" s="39">
        <v>2500</v>
      </c>
      <c r="AE54" s="39">
        <v>1000</v>
      </c>
      <c r="AF54" s="39">
        <v>0</v>
      </c>
      <c r="AG54" s="39">
        <v>0</v>
      </c>
      <c r="AH54" s="45">
        <f t="shared" si="4"/>
        <v>8500</v>
      </c>
      <c r="AI54" s="139">
        <f t="shared" si="5"/>
        <v>0.10628683284396434</v>
      </c>
      <c r="AJ54" s="405"/>
      <c r="AK54" s="39">
        <f t="shared" si="25"/>
        <v>0</v>
      </c>
      <c r="AL54" s="39">
        <f t="shared" si="26"/>
        <v>0</v>
      </c>
      <c r="AM54" s="39">
        <f t="shared" si="27"/>
        <v>2625</v>
      </c>
      <c r="AN54" s="39">
        <f t="shared" si="28"/>
        <v>0</v>
      </c>
      <c r="AO54" s="39">
        <f t="shared" si="29"/>
        <v>0</v>
      </c>
      <c r="AP54" s="39">
        <f t="shared" si="30"/>
        <v>2625</v>
      </c>
      <c r="AQ54" s="39">
        <f t="shared" si="31"/>
        <v>0</v>
      </c>
      <c r="AR54" s="39">
        <f t="shared" si="32"/>
        <v>0</v>
      </c>
      <c r="AS54" s="39">
        <f t="shared" si="33"/>
        <v>2625</v>
      </c>
      <c r="AT54" s="39">
        <f t="shared" si="34"/>
        <v>1050</v>
      </c>
      <c r="AU54" s="39">
        <f t="shared" si="35"/>
        <v>0</v>
      </c>
      <c r="AV54" s="39">
        <f t="shared" si="36"/>
        <v>0</v>
      </c>
      <c r="AW54" s="45">
        <f t="shared" si="6"/>
        <v>8925</v>
      </c>
      <c r="AX54" s="139">
        <f t="shared" si="37"/>
        <v>5.0000000000000044E-2</v>
      </c>
    </row>
    <row r="55" spans="1:50" s="181" customFormat="1" outlineLevel="1">
      <c r="A55" s="401" t="s">
        <v>297</v>
      </c>
      <c r="B55" s="402" t="s">
        <v>267</v>
      </c>
      <c r="C55" s="402" t="s">
        <v>67</v>
      </c>
      <c r="D55" s="401"/>
      <c r="E55" s="403">
        <v>44303.07</v>
      </c>
      <c r="F55" s="421">
        <v>0</v>
      </c>
      <c r="G55" s="421">
        <v>0</v>
      </c>
      <c r="H55" s="421">
        <v>0</v>
      </c>
      <c r="I55" s="421">
        <v>0</v>
      </c>
      <c r="J55" s="421">
        <v>0</v>
      </c>
      <c r="K55" s="421">
        <v>0</v>
      </c>
      <c r="L55" s="421">
        <v>0</v>
      </c>
      <c r="M55" s="421">
        <v>0</v>
      </c>
      <c r="N55" s="421">
        <v>0</v>
      </c>
      <c r="O55" s="39">
        <v>0</v>
      </c>
      <c r="P55" s="404">
        <v>0</v>
      </c>
      <c r="Q55" s="404">
        <v>0</v>
      </c>
      <c r="R55" s="404">
        <f t="shared" si="38"/>
        <v>0</v>
      </c>
      <c r="S55" s="404"/>
      <c r="T55" s="403">
        <v>50991.655499999993</v>
      </c>
      <c r="U55" s="481"/>
      <c r="V55" s="404">
        <v>0</v>
      </c>
      <c r="W55" s="404">
        <v>0</v>
      </c>
      <c r="X55" s="404">
        <v>0</v>
      </c>
      <c r="Y55" s="404">
        <v>0</v>
      </c>
      <c r="Z55" s="404">
        <v>0</v>
      </c>
      <c r="AA55" s="404">
        <v>0</v>
      </c>
      <c r="AB55" s="404">
        <v>0</v>
      </c>
      <c r="AC55" s="404">
        <v>0</v>
      </c>
      <c r="AD55" s="404">
        <v>0</v>
      </c>
      <c r="AE55" s="404">
        <v>0</v>
      </c>
      <c r="AF55" s="404">
        <v>0</v>
      </c>
      <c r="AG55" s="404">
        <v>0</v>
      </c>
      <c r="AH55" s="405">
        <f t="shared" si="4"/>
        <v>0</v>
      </c>
      <c r="AI55" s="139">
        <f t="shared" si="5"/>
        <v>0</v>
      </c>
      <c r="AJ55" s="405"/>
      <c r="AK55" s="39">
        <f t="shared" si="25"/>
        <v>0</v>
      </c>
      <c r="AL55" s="39">
        <f t="shared" si="26"/>
        <v>0</v>
      </c>
      <c r="AM55" s="39">
        <f t="shared" si="27"/>
        <v>0</v>
      </c>
      <c r="AN55" s="39">
        <f t="shared" si="28"/>
        <v>0</v>
      </c>
      <c r="AO55" s="39">
        <f t="shared" si="29"/>
        <v>0</v>
      </c>
      <c r="AP55" s="39">
        <f t="shared" si="30"/>
        <v>0</v>
      </c>
      <c r="AQ55" s="39">
        <f t="shared" si="31"/>
        <v>0</v>
      </c>
      <c r="AR55" s="39">
        <f t="shared" si="32"/>
        <v>0</v>
      </c>
      <c r="AS55" s="39">
        <f t="shared" si="33"/>
        <v>0</v>
      </c>
      <c r="AT55" s="39">
        <f t="shared" si="34"/>
        <v>0</v>
      </c>
      <c r="AU55" s="39">
        <f t="shared" si="35"/>
        <v>0</v>
      </c>
      <c r="AV55" s="39">
        <f t="shared" si="36"/>
        <v>0</v>
      </c>
      <c r="AW55" s="405">
        <f t="shared" si="6"/>
        <v>0</v>
      </c>
      <c r="AX55" s="139">
        <f t="shared" si="37"/>
        <v>0</v>
      </c>
    </row>
    <row r="56" spans="1:50" s="181" customFormat="1" outlineLevel="1">
      <c r="A56" s="401" t="s">
        <v>298</v>
      </c>
      <c r="B56" s="402" t="s">
        <v>299</v>
      </c>
      <c r="C56" s="402" t="s">
        <v>67</v>
      </c>
      <c r="D56" s="401"/>
      <c r="E56" s="403">
        <v>104129.7</v>
      </c>
      <c r="F56" s="421">
        <v>0</v>
      </c>
      <c r="G56" s="421">
        <v>0</v>
      </c>
      <c r="H56" s="421">
        <v>0</v>
      </c>
      <c r="I56" s="421">
        <v>0</v>
      </c>
      <c r="J56" s="421">
        <v>0</v>
      </c>
      <c r="K56" s="421">
        <v>0</v>
      </c>
      <c r="L56" s="421">
        <v>0</v>
      </c>
      <c r="M56" s="421">
        <v>0</v>
      </c>
      <c r="N56" s="421">
        <v>0</v>
      </c>
      <c r="O56" s="39">
        <v>0</v>
      </c>
      <c r="P56" s="404">
        <v>0</v>
      </c>
      <c r="Q56" s="404">
        <v>0</v>
      </c>
      <c r="R56" s="404">
        <f t="shared" si="38"/>
        <v>0</v>
      </c>
      <c r="S56" s="404"/>
      <c r="T56" s="403">
        <v>89000</v>
      </c>
      <c r="U56" s="481"/>
      <c r="V56" s="404">
        <v>0</v>
      </c>
      <c r="W56" s="404">
        <v>0</v>
      </c>
      <c r="X56" s="404">
        <v>0</v>
      </c>
      <c r="Y56" s="404">
        <v>0</v>
      </c>
      <c r="Z56" s="404">
        <v>0</v>
      </c>
      <c r="AA56" s="404">
        <v>0</v>
      </c>
      <c r="AB56" s="404">
        <v>0</v>
      </c>
      <c r="AC56" s="404">
        <v>0</v>
      </c>
      <c r="AD56" s="404">
        <v>0</v>
      </c>
      <c r="AE56" s="404">
        <v>0</v>
      </c>
      <c r="AF56" s="404">
        <v>0</v>
      </c>
      <c r="AG56" s="404">
        <v>0</v>
      </c>
      <c r="AH56" s="405">
        <f t="shared" si="4"/>
        <v>0</v>
      </c>
      <c r="AI56" s="139">
        <f t="shared" si="5"/>
        <v>0</v>
      </c>
      <c r="AJ56" s="405"/>
      <c r="AK56" s="39">
        <f t="shared" si="25"/>
        <v>0</v>
      </c>
      <c r="AL56" s="39">
        <f t="shared" si="26"/>
        <v>0</v>
      </c>
      <c r="AM56" s="39">
        <f t="shared" si="27"/>
        <v>0</v>
      </c>
      <c r="AN56" s="39">
        <f t="shared" si="28"/>
        <v>0</v>
      </c>
      <c r="AO56" s="39">
        <f t="shared" si="29"/>
        <v>0</v>
      </c>
      <c r="AP56" s="39">
        <f t="shared" si="30"/>
        <v>0</v>
      </c>
      <c r="AQ56" s="39">
        <f t="shared" si="31"/>
        <v>0</v>
      </c>
      <c r="AR56" s="39">
        <f t="shared" si="32"/>
        <v>0</v>
      </c>
      <c r="AS56" s="39">
        <f t="shared" si="33"/>
        <v>0</v>
      </c>
      <c r="AT56" s="39">
        <f t="shared" si="34"/>
        <v>0</v>
      </c>
      <c r="AU56" s="39">
        <f t="shared" si="35"/>
        <v>0</v>
      </c>
      <c r="AV56" s="39">
        <f t="shared" si="36"/>
        <v>0</v>
      </c>
      <c r="AW56" s="405">
        <f t="shared" si="6"/>
        <v>0</v>
      </c>
      <c r="AX56" s="139">
        <f t="shared" si="37"/>
        <v>0</v>
      </c>
    </row>
    <row r="57" spans="1:50" outlineLevel="1">
      <c r="A57" s="37" t="s">
        <v>300</v>
      </c>
      <c r="B57" s="41" t="s">
        <v>64</v>
      </c>
      <c r="C57" s="41" t="s">
        <v>64</v>
      </c>
      <c r="D57" s="37"/>
      <c r="E57" s="40"/>
      <c r="F57" s="420">
        <v>0</v>
      </c>
      <c r="G57" s="420">
        <v>0</v>
      </c>
      <c r="H57" s="420">
        <v>0</v>
      </c>
      <c r="I57" s="420">
        <v>0</v>
      </c>
      <c r="J57" s="420">
        <v>5980.7599999999993</v>
      </c>
      <c r="K57" s="420">
        <v>0</v>
      </c>
      <c r="L57" s="420">
        <v>513.52</v>
      </c>
      <c r="M57" s="420">
        <v>0</v>
      </c>
      <c r="N57" s="420">
        <v>513.52</v>
      </c>
      <c r="O57" s="39">
        <v>0</v>
      </c>
      <c r="P57" s="39">
        <v>0</v>
      </c>
      <c r="Q57" s="39">
        <v>0</v>
      </c>
      <c r="R57" s="39">
        <f t="shared" si="38"/>
        <v>7007.7999999999993</v>
      </c>
      <c r="S57" s="39"/>
      <c r="T57" s="40"/>
      <c r="U57" s="40"/>
      <c r="V57" s="39">
        <v>1000</v>
      </c>
      <c r="W57" s="39">
        <v>1050</v>
      </c>
      <c r="X57" s="39">
        <v>1050</v>
      </c>
      <c r="Y57" s="39">
        <v>1050</v>
      </c>
      <c r="Z57" s="39">
        <v>1050</v>
      </c>
      <c r="AA57" s="39">
        <v>1050</v>
      </c>
      <c r="AB57" s="39">
        <v>1050</v>
      </c>
      <c r="AC57" s="39">
        <v>31050</v>
      </c>
      <c r="AD57" s="39">
        <v>1050</v>
      </c>
      <c r="AE57" s="39">
        <v>1050</v>
      </c>
      <c r="AF57" s="39">
        <v>1050</v>
      </c>
      <c r="AG57" s="39">
        <v>1050</v>
      </c>
      <c r="AH57" s="45">
        <f t="shared" si="4"/>
        <v>42550</v>
      </c>
      <c r="AI57" s="139">
        <f t="shared" si="5"/>
        <v>5.0718057022175298</v>
      </c>
      <c r="AJ57" s="405"/>
      <c r="AK57" s="39">
        <f t="shared" si="25"/>
        <v>1050</v>
      </c>
      <c r="AL57" s="39">
        <f t="shared" si="26"/>
        <v>1102.5</v>
      </c>
      <c r="AM57" s="39">
        <f t="shared" si="27"/>
        <v>1102.5</v>
      </c>
      <c r="AN57" s="39">
        <f t="shared" si="28"/>
        <v>1102.5</v>
      </c>
      <c r="AO57" s="39">
        <f t="shared" si="29"/>
        <v>1102.5</v>
      </c>
      <c r="AP57" s="39">
        <f t="shared" si="30"/>
        <v>1102.5</v>
      </c>
      <c r="AQ57" s="39">
        <f t="shared" si="31"/>
        <v>1102.5</v>
      </c>
      <c r="AR57" s="39">
        <f t="shared" si="32"/>
        <v>32602.5</v>
      </c>
      <c r="AS57" s="39">
        <f t="shared" si="33"/>
        <v>1102.5</v>
      </c>
      <c r="AT57" s="39">
        <f t="shared" si="34"/>
        <v>1102.5</v>
      </c>
      <c r="AU57" s="39">
        <f t="shared" si="35"/>
        <v>1102.5</v>
      </c>
      <c r="AV57" s="39">
        <f t="shared" si="36"/>
        <v>1102.5</v>
      </c>
      <c r="AW57" s="45">
        <f t="shared" si="6"/>
        <v>44677.5</v>
      </c>
      <c r="AX57" s="139">
        <f t="shared" si="37"/>
        <v>5.0000000000000044E-2</v>
      </c>
    </row>
    <row r="58" spans="1:50" outlineLevel="1">
      <c r="A58" s="37" t="s">
        <v>301</v>
      </c>
      <c r="B58" s="41" t="s">
        <v>263</v>
      </c>
      <c r="C58" s="41" t="s">
        <v>65</v>
      </c>
      <c r="D58" s="37"/>
      <c r="E58" s="40">
        <v>127173.13999999991</v>
      </c>
      <c r="F58" s="420">
        <v>24579.16</v>
      </c>
      <c r="G58" s="420">
        <v>0</v>
      </c>
      <c r="H58" s="420">
        <v>-337.44</v>
      </c>
      <c r="I58" s="420">
        <v>39808.789999999994</v>
      </c>
      <c r="J58" s="420">
        <v>38432.339999999997</v>
      </c>
      <c r="K58" s="420">
        <v>17884.98</v>
      </c>
      <c r="L58" s="420">
        <v>3491.3499999999995</v>
      </c>
      <c r="M58" s="420">
        <v>17206.14</v>
      </c>
      <c r="N58" s="420">
        <v>30255.200000000004</v>
      </c>
      <c r="O58" s="39">
        <v>35000</v>
      </c>
      <c r="P58" s="39">
        <v>0</v>
      </c>
      <c r="Q58" s="39">
        <v>25000</v>
      </c>
      <c r="R58" s="39">
        <f t="shared" si="38"/>
        <v>231320.52000000002</v>
      </c>
      <c r="S58" s="139"/>
      <c r="T58" s="40">
        <v>126720.70299999999</v>
      </c>
      <c r="U58" s="40"/>
      <c r="V58" s="39">
        <v>24579.16</v>
      </c>
      <c r="W58" s="39">
        <v>25887.149999999994</v>
      </c>
      <c r="X58" s="39">
        <v>0</v>
      </c>
      <c r="Y58" s="39">
        <v>24941.91028519153</v>
      </c>
      <c r="Z58" s="39">
        <v>24079.505464244903</v>
      </c>
      <c r="AA58" s="39">
        <v>19117.892238988843</v>
      </c>
      <c r="AB58" s="39">
        <v>7093.5921405016688</v>
      </c>
      <c r="AC58" s="39">
        <f>18550.7958304486+20000</f>
        <v>38550.795830448595</v>
      </c>
      <c r="AD58" s="39">
        <v>25274.90315783782</v>
      </c>
      <c r="AE58" s="39">
        <v>37897.654202786885</v>
      </c>
      <c r="AF58" s="39">
        <v>0</v>
      </c>
      <c r="AG58" s="39">
        <v>23152.367144917047</v>
      </c>
      <c r="AH58" s="45">
        <f t="shared" si="4"/>
        <v>250574.93046491727</v>
      </c>
      <c r="AI58" s="139">
        <f t="shared" si="5"/>
        <v>8.3236932308976552E-2</v>
      </c>
      <c r="AJ58" s="405"/>
      <c r="AK58" s="39">
        <f>V58*1.08</f>
        <v>26545.4928</v>
      </c>
      <c r="AL58" s="39">
        <f t="shared" ref="AL58:AV58" si="39">W58*1.08</f>
        <v>27958.121999999996</v>
      </c>
      <c r="AM58" s="39">
        <f t="shared" si="39"/>
        <v>0</v>
      </c>
      <c r="AN58" s="39">
        <f t="shared" si="39"/>
        <v>26937.263108006853</v>
      </c>
      <c r="AO58" s="39">
        <f t="shared" si="39"/>
        <v>26005.865901384495</v>
      </c>
      <c r="AP58" s="39">
        <f t="shared" si="39"/>
        <v>20647.323618107952</v>
      </c>
      <c r="AQ58" s="39">
        <f t="shared" si="39"/>
        <v>7661.0795117418029</v>
      </c>
      <c r="AR58" s="39">
        <f t="shared" si="39"/>
        <v>41634.859496884485</v>
      </c>
      <c r="AS58" s="39">
        <f t="shared" si="39"/>
        <v>27296.895410464847</v>
      </c>
      <c r="AT58" s="39">
        <f t="shared" si="39"/>
        <v>40929.466539009838</v>
      </c>
      <c r="AU58" s="39">
        <f t="shared" si="39"/>
        <v>0</v>
      </c>
      <c r="AV58" s="39">
        <f t="shared" si="39"/>
        <v>25004.556516510413</v>
      </c>
      <c r="AW58" s="45">
        <f t="shared" si="6"/>
        <v>270620.92490211071</v>
      </c>
      <c r="AX58" s="139">
        <f t="shared" si="37"/>
        <v>8.0000000000000293E-2</v>
      </c>
    </row>
    <row r="59" spans="1:50" outlineLevel="1">
      <c r="A59" s="37" t="s">
        <v>418</v>
      </c>
      <c r="B59" s="41" t="s">
        <v>327</v>
      </c>
      <c r="C59" s="41" t="s">
        <v>66</v>
      </c>
      <c r="D59" s="37"/>
      <c r="E59" s="40"/>
      <c r="F59" s="420">
        <v>0</v>
      </c>
      <c r="G59" s="420">
        <v>34516.19999999999</v>
      </c>
      <c r="H59" s="420">
        <v>0</v>
      </c>
      <c r="I59" s="420">
        <v>0</v>
      </c>
      <c r="J59" s="420">
        <v>0</v>
      </c>
      <c r="K59" s="420">
        <v>0</v>
      </c>
      <c r="L59" s="420">
        <v>0</v>
      </c>
      <c r="M59" s="420">
        <v>0</v>
      </c>
      <c r="N59" s="420">
        <v>0</v>
      </c>
      <c r="O59" s="39">
        <v>0</v>
      </c>
      <c r="P59" s="39">
        <v>0</v>
      </c>
      <c r="Q59" s="39">
        <v>0</v>
      </c>
      <c r="R59" s="39">
        <f t="shared" si="38"/>
        <v>34516.19999999999</v>
      </c>
      <c r="S59" s="39"/>
      <c r="T59" s="40"/>
      <c r="U59" s="40"/>
      <c r="V59" s="39"/>
      <c r="W59" s="39"/>
      <c r="X59" s="39"/>
      <c r="Y59" s="39">
        <v>4914.6822148084666</v>
      </c>
      <c r="Z59" s="39">
        <v>4744.7495357550943</v>
      </c>
      <c r="AA59" s="39">
        <v>3767.0877610111565</v>
      </c>
      <c r="AB59" s="39">
        <v>1397.7578594983295</v>
      </c>
      <c r="AC59" s="39">
        <v>3655.3441695513948</v>
      </c>
      <c r="AD59" s="39">
        <v>4980.2968421621854</v>
      </c>
      <c r="AE59" s="39">
        <v>2102.3457972131123</v>
      </c>
      <c r="AF59" s="39">
        <v>2636.7669185451182</v>
      </c>
      <c r="AG59" s="39">
        <v>1847.6328550829523</v>
      </c>
      <c r="AH59" s="45">
        <f t="shared" si="4"/>
        <v>30046.663953627809</v>
      </c>
      <c r="AI59" s="139">
        <f t="shared" si="5"/>
        <v>-0.12949096500692958</v>
      </c>
      <c r="AJ59" s="405"/>
      <c r="AK59" s="39">
        <f t="shared" si="25"/>
        <v>0</v>
      </c>
      <c r="AL59" s="39">
        <f t="shared" si="26"/>
        <v>0</v>
      </c>
      <c r="AM59" s="39">
        <f t="shared" si="27"/>
        <v>0</v>
      </c>
      <c r="AN59" s="39">
        <f t="shared" si="28"/>
        <v>5160.4163255488902</v>
      </c>
      <c r="AO59" s="39">
        <f t="shared" si="29"/>
        <v>4981.9870125428488</v>
      </c>
      <c r="AP59" s="39">
        <f t="shared" si="30"/>
        <v>3955.4421490617146</v>
      </c>
      <c r="AQ59" s="39">
        <f t="shared" si="31"/>
        <v>1467.6457524732459</v>
      </c>
      <c r="AR59" s="39">
        <f t="shared" si="32"/>
        <v>3838.1113780289647</v>
      </c>
      <c r="AS59" s="39">
        <f t="shared" si="33"/>
        <v>5229.3116842702948</v>
      </c>
      <c r="AT59" s="39">
        <f t="shared" si="34"/>
        <v>2207.4630870737678</v>
      </c>
      <c r="AU59" s="39">
        <f t="shared" si="35"/>
        <v>2768.6052644723741</v>
      </c>
      <c r="AV59" s="39">
        <f t="shared" si="36"/>
        <v>1940.0144978371</v>
      </c>
      <c r="AW59" s="45">
        <f>SUM(AK59:AV59)</f>
        <v>31548.997151309199</v>
      </c>
      <c r="AX59" s="139">
        <f t="shared" si="37"/>
        <v>5.0000000000000044E-2</v>
      </c>
    </row>
    <row r="60" spans="1:50" outlineLevel="1">
      <c r="A60" s="37" t="s">
        <v>302</v>
      </c>
      <c r="B60" s="41" t="s">
        <v>267</v>
      </c>
      <c r="C60" s="41" t="s">
        <v>67</v>
      </c>
      <c r="D60" s="37"/>
      <c r="E60" s="40"/>
      <c r="F60" s="420">
        <v>0</v>
      </c>
      <c r="G60" s="420">
        <v>0</v>
      </c>
      <c r="H60" s="420">
        <v>0</v>
      </c>
      <c r="I60" s="420">
        <v>0</v>
      </c>
      <c r="J60" s="420">
        <v>0</v>
      </c>
      <c r="K60" s="420">
        <v>2897.64</v>
      </c>
      <c r="L60" s="420">
        <v>0</v>
      </c>
      <c r="M60" s="420">
        <v>0</v>
      </c>
      <c r="N60" s="420">
        <v>0</v>
      </c>
      <c r="O60" s="39">
        <v>0</v>
      </c>
      <c r="P60" s="39">
        <v>0</v>
      </c>
      <c r="Q60" s="39">
        <v>0</v>
      </c>
      <c r="R60" s="39">
        <f t="shared" si="38"/>
        <v>2897.64</v>
      </c>
      <c r="S60" s="39"/>
      <c r="T60" s="40"/>
      <c r="U60" s="40"/>
      <c r="V60" s="39">
        <v>0</v>
      </c>
      <c r="W60" s="39">
        <v>0</v>
      </c>
      <c r="X60" s="39">
        <v>3000</v>
      </c>
      <c r="Y60" s="39">
        <v>0</v>
      </c>
      <c r="Z60" s="39">
        <v>0</v>
      </c>
      <c r="AA60" s="39">
        <v>2897.64</v>
      </c>
      <c r="AB60" s="39">
        <v>0</v>
      </c>
      <c r="AC60" s="39">
        <v>0</v>
      </c>
      <c r="AD60" s="39">
        <v>3000</v>
      </c>
      <c r="AE60" s="39">
        <v>0</v>
      </c>
      <c r="AF60" s="39">
        <v>0</v>
      </c>
      <c r="AG60" s="39">
        <v>0</v>
      </c>
      <c r="AH60" s="45">
        <f t="shared" si="4"/>
        <v>8897.64</v>
      </c>
      <c r="AI60" s="139">
        <f t="shared" si="5"/>
        <v>2.0706505984180228</v>
      </c>
      <c r="AJ60" s="405"/>
      <c r="AK60" s="39">
        <f t="shared" si="25"/>
        <v>0</v>
      </c>
      <c r="AL60" s="39">
        <f t="shared" si="26"/>
        <v>0</v>
      </c>
      <c r="AM60" s="39">
        <f t="shared" si="27"/>
        <v>3150</v>
      </c>
      <c r="AN60" s="39">
        <f t="shared" si="28"/>
        <v>0</v>
      </c>
      <c r="AO60" s="39">
        <f t="shared" si="29"/>
        <v>0</v>
      </c>
      <c r="AP60" s="39">
        <f t="shared" si="30"/>
        <v>3042.5219999999999</v>
      </c>
      <c r="AQ60" s="39">
        <f t="shared" si="31"/>
        <v>0</v>
      </c>
      <c r="AR60" s="39">
        <f t="shared" si="32"/>
        <v>0</v>
      </c>
      <c r="AS60" s="39">
        <f t="shared" si="33"/>
        <v>3150</v>
      </c>
      <c r="AT60" s="39">
        <f t="shared" si="34"/>
        <v>0</v>
      </c>
      <c r="AU60" s="39">
        <f t="shared" si="35"/>
        <v>0</v>
      </c>
      <c r="AV60" s="39">
        <f t="shared" si="36"/>
        <v>0</v>
      </c>
      <c r="AW60" s="45">
        <f t="shared" si="6"/>
        <v>9342.5220000000008</v>
      </c>
      <c r="AX60" s="139">
        <f t="shared" si="37"/>
        <v>5.0000000000000266E-2</v>
      </c>
    </row>
    <row r="61" spans="1:50" outlineLevel="1">
      <c r="A61" s="13" t="s">
        <v>303</v>
      </c>
      <c r="B61" s="41" t="s">
        <v>64</v>
      </c>
      <c r="C61" s="41" t="s">
        <v>64</v>
      </c>
      <c r="D61" s="37"/>
      <c r="E61" s="40">
        <v>34782.960000000006</v>
      </c>
      <c r="F61" s="420">
        <v>3894.9000000000005</v>
      </c>
      <c r="G61" s="420">
        <v>1753.2600000000002</v>
      </c>
      <c r="H61" s="420">
        <v>4537</v>
      </c>
      <c r="I61" s="420">
        <v>520.32000000000005</v>
      </c>
      <c r="J61" s="420">
        <v>2059.1999999999998</v>
      </c>
      <c r="K61" s="420">
        <v>755.7</v>
      </c>
      <c r="L61" s="420">
        <v>714.48</v>
      </c>
      <c r="M61" s="420">
        <v>961.8</v>
      </c>
      <c r="N61" s="420">
        <v>2349.6</v>
      </c>
      <c r="O61" s="39">
        <v>1706.4199999999998</v>
      </c>
      <c r="P61" s="39">
        <v>1700.5649999999998</v>
      </c>
      <c r="Q61" s="39">
        <v>1346.0106250000001</v>
      </c>
      <c r="R61" s="39">
        <f t="shared" si="38"/>
        <v>22299.255624999994</v>
      </c>
      <c r="S61" s="39"/>
      <c r="T61" s="39"/>
      <c r="U61" s="40"/>
      <c r="V61" s="39">
        <v>3992.2725</v>
      </c>
      <c r="W61" s="39">
        <v>1797.0915</v>
      </c>
      <c r="X61" s="39">
        <v>4650.4249999999993</v>
      </c>
      <c r="Y61" s="39">
        <v>533.32799999999997</v>
      </c>
      <c r="Z61" s="39">
        <v>2110.6799999999998</v>
      </c>
      <c r="AA61" s="39">
        <v>774.59249999999997</v>
      </c>
      <c r="AB61" s="39">
        <v>732.34199999999998</v>
      </c>
      <c r="AC61" s="39">
        <v>985.84500000000025</v>
      </c>
      <c r="AD61" s="39">
        <v>2408.3399999999997</v>
      </c>
      <c r="AE61" s="39">
        <v>1749.0804999999998</v>
      </c>
      <c r="AF61" s="39">
        <v>1743.0791249999997</v>
      </c>
      <c r="AG61" s="39">
        <v>1379.6608906250001</v>
      </c>
      <c r="AH61" s="45">
        <f t="shared" si="4"/>
        <v>22856.737015625</v>
      </c>
      <c r="AI61" s="139">
        <f t="shared" si="5"/>
        <v>2.5000000000000355E-2</v>
      </c>
      <c r="AJ61" s="405"/>
      <c r="AK61" s="39">
        <f t="shared" si="25"/>
        <v>4191.886125</v>
      </c>
      <c r="AL61" s="39">
        <f t="shared" si="26"/>
        <v>1886.9460750000001</v>
      </c>
      <c r="AM61" s="39">
        <f t="shared" si="27"/>
        <v>4882.9462499999991</v>
      </c>
      <c r="AN61" s="39">
        <f t="shared" si="28"/>
        <v>559.99440000000004</v>
      </c>
      <c r="AO61" s="39">
        <f t="shared" si="29"/>
        <v>2216.2139999999999</v>
      </c>
      <c r="AP61" s="39">
        <f t="shared" si="30"/>
        <v>813.32212500000003</v>
      </c>
      <c r="AQ61" s="39">
        <f t="shared" si="31"/>
        <v>768.95910000000003</v>
      </c>
      <c r="AR61" s="39">
        <f t="shared" si="32"/>
        <v>1035.1372500000002</v>
      </c>
      <c r="AS61" s="39">
        <f t="shared" si="33"/>
        <v>2528.7569999999996</v>
      </c>
      <c r="AT61" s="39">
        <f t="shared" si="34"/>
        <v>1836.5345249999998</v>
      </c>
      <c r="AU61" s="39">
        <f t="shared" si="35"/>
        <v>1830.2330812499997</v>
      </c>
      <c r="AV61" s="39">
        <f t="shared" si="36"/>
        <v>1448.6439351562501</v>
      </c>
      <c r="AW61" s="45">
        <f t="shared" si="6"/>
        <v>23999.573866406248</v>
      </c>
      <c r="AX61" s="139">
        <f t="shared" si="37"/>
        <v>4.9999999999999822E-2</v>
      </c>
    </row>
    <row r="62" spans="1:50" outlineLevel="1">
      <c r="A62" s="37" t="s">
        <v>304</v>
      </c>
      <c r="B62" s="41" t="s">
        <v>305</v>
      </c>
      <c r="C62" s="41" t="s">
        <v>67</v>
      </c>
      <c r="D62" s="37"/>
      <c r="E62" s="40"/>
      <c r="F62" s="420">
        <v>0</v>
      </c>
      <c r="G62" s="420">
        <v>0</v>
      </c>
      <c r="H62" s="420">
        <v>0</v>
      </c>
      <c r="I62" s="420">
        <v>0</v>
      </c>
      <c r="J62" s="420">
        <v>0</v>
      </c>
      <c r="K62" s="420">
        <v>0</v>
      </c>
      <c r="L62" s="420">
        <v>62541.200000000004</v>
      </c>
      <c r="M62" s="420">
        <v>0</v>
      </c>
      <c r="N62" s="420">
        <v>0</v>
      </c>
      <c r="O62" s="39">
        <v>0</v>
      </c>
      <c r="P62" s="39">
        <v>0</v>
      </c>
      <c r="Q62" s="39">
        <v>0</v>
      </c>
      <c r="R62" s="39">
        <f t="shared" si="38"/>
        <v>62541.200000000004</v>
      </c>
      <c r="S62" s="39"/>
      <c r="T62" s="40"/>
      <c r="U62" s="40"/>
      <c r="V62" s="39">
        <v>0</v>
      </c>
      <c r="W62" s="39">
        <v>0</v>
      </c>
      <c r="X62" s="39">
        <v>50000</v>
      </c>
      <c r="Y62" s="39">
        <v>0</v>
      </c>
      <c r="Z62" s="39">
        <v>0</v>
      </c>
      <c r="AA62" s="39">
        <v>0</v>
      </c>
      <c r="AB62" s="39">
        <v>25000</v>
      </c>
      <c r="AC62" s="39">
        <v>45000</v>
      </c>
      <c r="AD62" s="39">
        <v>0</v>
      </c>
      <c r="AE62" s="39">
        <v>0</v>
      </c>
      <c r="AF62" s="39">
        <v>0</v>
      </c>
      <c r="AG62" s="39">
        <v>0</v>
      </c>
      <c r="AH62" s="45">
        <f t="shared" si="4"/>
        <v>120000</v>
      </c>
      <c r="AI62" s="139">
        <f t="shared" si="5"/>
        <v>0.91873516977608349</v>
      </c>
      <c r="AJ62" s="405"/>
      <c r="AK62" s="39">
        <f t="shared" si="25"/>
        <v>0</v>
      </c>
      <c r="AL62" s="39">
        <f t="shared" si="26"/>
        <v>0</v>
      </c>
      <c r="AM62" s="39">
        <f>X62*1.05</f>
        <v>52500</v>
      </c>
      <c r="AN62" s="39">
        <f>Y62*1.05</f>
        <v>0</v>
      </c>
      <c r="AO62" s="39">
        <f>Z62*1.05</f>
        <v>0</v>
      </c>
      <c r="AP62" s="39">
        <v>25000</v>
      </c>
      <c r="AQ62" s="39">
        <f t="shared" ref="AQ62:AV62" si="40">AB62*1.05</f>
        <v>26250</v>
      </c>
      <c r="AR62" s="39">
        <f t="shared" si="40"/>
        <v>47250</v>
      </c>
      <c r="AS62" s="39">
        <f t="shared" si="40"/>
        <v>0</v>
      </c>
      <c r="AT62" s="39">
        <f t="shared" si="40"/>
        <v>0</v>
      </c>
      <c r="AU62" s="39">
        <f t="shared" si="40"/>
        <v>0</v>
      </c>
      <c r="AV62" s="39">
        <f t="shared" si="40"/>
        <v>0</v>
      </c>
      <c r="AW62" s="45">
        <f t="shared" si="6"/>
        <v>151000</v>
      </c>
      <c r="AX62" s="139">
        <f t="shared" si="37"/>
        <v>0.2583333333333333</v>
      </c>
    </row>
    <row r="63" spans="1:50" outlineLevel="1">
      <c r="A63" s="13" t="s">
        <v>306</v>
      </c>
      <c r="B63" s="41" t="s">
        <v>267</v>
      </c>
      <c r="C63" s="41" t="s">
        <v>67</v>
      </c>
      <c r="D63" s="37"/>
      <c r="E63" s="40"/>
      <c r="F63" s="420">
        <v>596.4</v>
      </c>
      <c r="G63" s="420">
        <v>10344.120000000001</v>
      </c>
      <c r="H63" s="420">
        <v>0</v>
      </c>
      <c r="I63" s="420">
        <v>9217.92</v>
      </c>
      <c r="J63" s="420">
        <v>10718.7</v>
      </c>
      <c r="K63" s="420">
        <v>0</v>
      </c>
      <c r="L63" s="420">
        <v>16094.220000000001</v>
      </c>
      <c r="M63" s="420">
        <v>44647.179999999993</v>
      </c>
      <c r="N63" s="420">
        <v>0</v>
      </c>
      <c r="O63" s="39">
        <v>15000</v>
      </c>
      <c r="P63" s="39">
        <v>0</v>
      </c>
      <c r="Q63" s="39">
        <v>15000</v>
      </c>
      <c r="R63" s="39">
        <f t="shared" si="38"/>
        <v>121618.54</v>
      </c>
      <c r="S63" s="39"/>
      <c r="T63" s="40"/>
      <c r="U63" s="40"/>
      <c r="V63" s="39">
        <v>715.68</v>
      </c>
      <c r="W63" s="39">
        <v>12412.944000000001</v>
      </c>
      <c r="X63" s="39">
        <v>0</v>
      </c>
      <c r="Y63" s="39">
        <v>11061.504000000001</v>
      </c>
      <c r="Z63" s="39">
        <v>12862.44</v>
      </c>
      <c r="AA63" s="39">
        <v>0</v>
      </c>
      <c r="AB63" s="39">
        <v>19313.064000000002</v>
      </c>
      <c r="AC63" s="39">
        <v>53576.615999999995</v>
      </c>
      <c r="AD63" s="39">
        <v>0</v>
      </c>
      <c r="AE63" s="39">
        <v>18000</v>
      </c>
      <c r="AF63" s="39">
        <v>0</v>
      </c>
      <c r="AG63" s="39">
        <v>18000</v>
      </c>
      <c r="AH63" s="45">
        <f t="shared" si="4"/>
        <v>145942.24800000002</v>
      </c>
      <c r="AI63" s="139">
        <f t="shared" si="5"/>
        <v>0.20000000000000018</v>
      </c>
      <c r="AJ63" s="405"/>
      <c r="AK63" s="39">
        <f t="shared" ref="AK63:AV63" si="41">V63*1.1</f>
        <v>787.24800000000005</v>
      </c>
      <c r="AL63" s="39">
        <f t="shared" si="41"/>
        <v>13654.238400000002</v>
      </c>
      <c r="AM63" s="39">
        <f t="shared" si="41"/>
        <v>0</v>
      </c>
      <c r="AN63" s="39">
        <f t="shared" si="41"/>
        <v>12167.654400000001</v>
      </c>
      <c r="AO63" s="39">
        <f t="shared" si="41"/>
        <v>14148.684000000001</v>
      </c>
      <c r="AP63" s="39">
        <f t="shared" si="41"/>
        <v>0</v>
      </c>
      <c r="AQ63" s="39">
        <f t="shared" si="41"/>
        <v>21244.370400000003</v>
      </c>
      <c r="AR63" s="39">
        <f t="shared" si="41"/>
        <v>58934.277600000001</v>
      </c>
      <c r="AS63" s="39">
        <f t="shared" si="41"/>
        <v>0</v>
      </c>
      <c r="AT63" s="39">
        <f t="shared" si="41"/>
        <v>19800</v>
      </c>
      <c r="AU63" s="39">
        <f t="shared" si="41"/>
        <v>0</v>
      </c>
      <c r="AV63" s="39">
        <f t="shared" si="41"/>
        <v>19800</v>
      </c>
      <c r="AW63" s="45">
        <f t="shared" si="6"/>
        <v>160536.47279999999</v>
      </c>
      <c r="AX63" s="139">
        <f t="shared" si="37"/>
        <v>9.9999999999999867E-2</v>
      </c>
    </row>
    <row r="64" spans="1:50" outlineLevel="1">
      <c r="A64" s="37" t="s">
        <v>307</v>
      </c>
      <c r="B64" s="41" t="s">
        <v>263</v>
      </c>
      <c r="C64" s="41" t="s">
        <v>65</v>
      </c>
      <c r="D64" s="37"/>
      <c r="E64" s="40">
        <v>134232.71999999991</v>
      </c>
      <c r="F64" s="420">
        <v>16161.519999999993</v>
      </c>
      <c r="G64" s="420">
        <v>22659.919999999998</v>
      </c>
      <c r="H64" s="420">
        <v>0</v>
      </c>
      <c r="I64" s="420">
        <v>3267.9399999999996</v>
      </c>
      <c r="J64" s="420">
        <v>24253.33</v>
      </c>
      <c r="K64" s="420">
        <v>0</v>
      </c>
      <c r="L64" s="420">
        <v>8121.43</v>
      </c>
      <c r="M64" s="420">
        <v>11179.550000000001</v>
      </c>
      <c r="N64" s="420">
        <v>7561.93</v>
      </c>
      <c r="O64" s="39">
        <v>14844.860503911696</v>
      </c>
      <c r="P64" s="39">
        <v>12000</v>
      </c>
      <c r="Q64" s="39">
        <v>10719.886225524671</v>
      </c>
      <c r="R64" s="39">
        <f t="shared" si="38"/>
        <v>130770.36672943635</v>
      </c>
      <c r="S64" s="39"/>
      <c r="T64" s="40">
        <v>129490.8775</v>
      </c>
      <c r="U64" s="40"/>
      <c r="V64" s="39">
        <v>16161.519999999993</v>
      </c>
      <c r="W64" s="39">
        <v>12659.919999999998</v>
      </c>
      <c r="X64" s="39">
        <v>5000</v>
      </c>
      <c r="Y64" s="39">
        <v>267.9399999999996</v>
      </c>
      <c r="Z64" s="39">
        <v>29859.663250000001</v>
      </c>
      <c r="AA64" s="39">
        <v>2500</v>
      </c>
      <c r="AB64" s="39">
        <v>8324.4657499999994</v>
      </c>
      <c r="AC64" s="39">
        <f>16459.03875+10000</f>
        <v>26459.03875</v>
      </c>
      <c r="AD64" s="39">
        <v>7750.9782500000001</v>
      </c>
      <c r="AE64" s="39">
        <v>20215.982016509486</v>
      </c>
      <c r="AF64" s="39">
        <v>13722.999574876074</v>
      </c>
      <c r="AG64" s="39">
        <v>10987.883381162788</v>
      </c>
      <c r="AH64" s="45">
        <f t="shared" si="4"/>
        <v>153910.39097254837</v>
      </c>
      <c r="AI64" s="139">
        <f t="shared" si="5"/>
        <v>0.17695158942995604</v>
      </c>
      <c r="AJ64" s="405"/>
      <c r="AK64" s="39">
        <f t="shared" ref="AK64:AK81" si="42">V64*1.05</f>
        <v>16969.595999999994</v>
      </c>
      <c r="AL64" s="39">
        <f t="shared" ref="AL64:AL81" si="43">W64*1.05</f>
        <v>13292.915999999999</v>
      </c>
      <c r="AM64" s="39">
        <f t="shared" ref="AM64:AM81" si="44">X64*1.05</f>
        <v>5250</v>
      </c>
      <c r="AN64" s="39">
        <f t="shared" ref="AN64:AN81" si="45">Y64*1.05</f>
        <v>281.33699999999959</v>
      </c>
      <c r="AO64" s="39">
        <f t="shared" ref="AO64:AO81" si="46">Z64*1.05</f>
        <v>31352.646412500002</v>
      </c>
      <c r="AP64" s="39">
        <f t="shared" ref="AP64:AP81" si="47">AA64*1.05</f>
        <v>2625</v>
      </c>
      <c r="AQ64" s="39">
        <f t="shared" ref="AQ64:AQ81" si="48">AB64*1.05</f>
        <v>8740.6890375000003</v>
      </c>
      <c r="AR64" s="39">
        <f t="shared" ref="AR64:AR81" si="49">AC64*1.05</f>
        <v>27781.990687500002</v>
      </c>
      <c r="AS64" s="39">
        <f t="shared" ref="AS64:AS81" si="50">AD64*1.05</f>
        <v>8138.5271625000005</v>
      </c>
      <c r="AT64" s="39">
        <f t="shared" ref="AT64:AT81" si="51">AE64*1.05</f>
        <v>21226.781117334962</v>
      </c>
      <c r="AU64" s="39">
        <f t="shared" ref="AU64:AU81" si="52">AF64*1.05</f>
        <v>14409.149553619878</v>
      </c>
      <c r="AV64" s="39">
        <f t="shared" ref="AV64:AV81" si="53">AG64*1.05</f>
        <v>11537.277550220928</v>
      </c>
      <c r="AW64" s="45">
        <f t="shared" si="6"/>
        <v>161605.91052117577</v>
      </c>
      <c r="AX64" s="139">
        <f t="shared" si="37"/>
        <v>4.9999999999999822E-2</v>
      </c>
    </row>
    <row r="65" spans="1:50" outlineLevel="1">
      <c r="A65" s="13" t="s">
        <v>308</v>
      </c>
      <c r="B65" s="41" t="s">
        <v>64</v>
      </c>
      <c r="C65" s="41" t="s">
        <v>64</v>
      </c>
      <c r="D65" s="37"/>
      <c r="E65" s="40">
        <v>9462.8100000000013</v>
      </c>
      <c r="F65" s="420">
        <v>0</v>
      </c>
      <c r="G65" s="420">
        <v>3366.96</v>
      </c>
      <c r="H65" s="420">
        <v>-88.320000000000022</v>
      </c>
      <c r="I65" s="420">
        <v>0</v>
      </c>
      <c r="J65" s="420">
        <v>0</v>
      </c>
      <c r="K65" s="420">
        <v>0</v>
      </c>
      <c r="L65" s="420">
        <v>0</v>
      </c>
      <c r="M65" s="420">
        <v>0</v>
      </c>
      <c r="N65" s="420">
        <v>0</v>
      </c>
      <c r="O65" s="39">
        <v>0</v>
      </c>
      <c r="P65" s="39">
        <v>0</v>
      </c>
      <c r="Q65" s="39">
        <v>0</v>
      </c>
      <c r="R65" s="39">
        <f t="shared" si="38"/>
        <v>3278.64</v>
      </c>
      <c r="S65" s="39"/>
      <c r="T65" s="39"/>
      <c r="U65" s="40"/>
      <c r="V65" s="39">
        <v>0</v>
      </c>
      <c r="W65" s="39">
        <v>0</v>
      </c>
      <c r="X65" s="39">
        <v>0</v>
      </c>
      <c r="Y65" s="39">
        <v>0</v>
      </c>
      <c r="Z65" s="39">
        <v>0</v>
      </c>
      <c r="AA65" s="39">
        <v>0</v>
      </c>
      <c r="AB65" s="39">
        <v>0</v>
      </c>
      <c r="AC65" s="39">
        <v>0</v>
      </c>
      <c r="AD65" s="39">
        <v>0</v>
      </c>
      <c r="AE65" s="39">
        <v>0</v>
      </c>
      <c r="AF65" s="39">
        <v>0</v>
      </c>
      <c r="AG65" s="39">
        <v>0</v>
      </c>
      <c r="AH65" s="45">
        <f t="shared" si="4"/>
        <v>0</v>
      </c>
      <c r="AI65" s="139">
        <f t="shared" si="5"/>
        <v>-1</v>
      </c>
      <c r="AJ65" s="405"/>
      <c r="AK65" s="39">
        <f t="shared" si="42"/>
        <v>0</v>
      </c>
      <c r="AL65" s="39">
        <f t="shared" si="43"/>
        <v>0</v>
      </c>
      <c r="AM65" s="39">
        <f t="shared" si="44"/>
        <v>0</v>
      </c>
      <c r="AN65" s="39">
        <f t="shared" si="45"/>
        <v>0</v>
      </c>
      <c r="AO65" s="39">
        <f t="shared" si="46"/>
        <v>0</v>
      </c>
      <c r="AP65" s="39">
        <f t="shared" si="47"/>
        <v>0</v>
      </c>
      <c r="AQ65" s="39">
        <f t="shared" si="48"/>
        <v>0</v>
      </c>
      <c r="AR65" s="39">
        <f t="shared" si="49"/>
        <v>0</v>
      </c>
      <c r="AS65" s="39">
        <f t="shared" si="50"/>
        <v>0</v>
      </c>
      <c r="AT65" s="39">
        <f t="shared" si="51"/>
        <v>0</v>
      </c>
      <c r="AU65" s="39">
        <f t="shared" si="52"/>
        <v>0</v>
      </c>
      <c r="AV65" s="39">
        <f t="shared" si="53"/>
        <v>0</v>
      </c>
      <c r="AW65" s="45">
        <f t="shared" si="6"/>
        <v>0</v>
      </c>
      <c r="AX65" s="139">
        <f t="shared" si="37"/>
        <v>0</v>
      </c>
    </row>
    <row r="66" spans="1:50" outlineLevel="1">
      <c r="A66" s="13" t="s">
        <v>309</v>
      </c>
      <c r="B66" s="41" t="s">
        <v>236</v>
      </c>
      <c r="C66" s="41" t="s">
        <v>65</v>
      </c>
      <c r="D66" s="37"/>
      <c r="E66" s="40"/>
      <c r="F66" s="420">
        <v>579.66000000000008</v>
      </c>
      <c r="G66" s="420">
        <v>1527.6899999999998</v>
      </c>
      <c r="H66" s="420">
        <v>1401.96</v>
      </c>
      <c r="I66" s="420">
        <v>1288.42</v>
      </c>
      <c r="J66" s="420">
        <v>1380.8799999999999</v>
      </c>
      <c r="K66" s="420">
        <v>1769.6599999999999</v>
      </c>
      <c r="L66" s="420">
        <v>798.24</v>
      </c>
      <c r="M66" s="420">
        <v>0</v>
      </c>
      <c r="N66" s="420">
        <v>0</v>
      </c>
      <c r="O66" s="39">
        <v>1020.8562499999999</v>
      </c>
      <c r="P66" s="39">
        <v>957.50203124999996</v>
      </c>
      <c r="Q66" s="39">
        <v>901.94478515624996</v>
      </c>
      <c r="R66" s="39">
        <f t="shared" si="38"/>
        <v>11626.813066406252</v>
      </c>
      <c r="S66" s="39"/>
      <c r="T66" s="40"/>
      <c r="U66" s="40"/>
      <c r="V66" s="39">
        <v>1000</v>
      </c>
      <c r="W66" s="39">
        <v>1000</v>
      </c>
      <c r="X66" s="39">
        <v>1000</v>
      </c>
      <c r="Y66" s="39">
        <v>1000</v>
      </c>
      <c r="Z66" s="39">
        <v>3000</v>
      </c>
      <c r="AA66" s="39">
        <v>1000</v>
      </c>
      <c r="AB66" s="39">
        <v>1000</v>
      </c>
      <c r="AC66" s="39">
        <v>1000</v>
      </c>
      <c r="AD66" s="39">
        <v>1000</v>
      </c>
      <c r="AE66" s="39">
        <v>3000</v>
      </c>
      <c r="AF66" s="39">
        <v>1000</v>
      </c>
      <c r="AG66" s="39">
        <v>1000</v>
      </c>
      <c r="AH66" s="45">
        <f t="shared" si="4"/>
        <v>16000</v>
      </c>
      <c r="AI66" s="139">
        <f t="shared" si="5"/>
        <v>0.37612946115297463</v>
      </c>
      <c r="AJ66" s="405"/>
      <c r="AK66" s="39">
        <f t="shared" si="42"/>
        <v>1050</v>
      </c>
      <c r="AL66" s="39">
        <f t="shared" si="43"/>
        <v>1050</v>
      </c>
      <c r="AM66" s="39">
        <f t="shared" si="44"/>
        <v>1050</v>
      </c>
      <c r="AN66" s="39">
        <f t="shared" si="45"/>
        <v>1050</v>
      </c>
      <c r="AO66" s="39">
        <f t="shared" si="46"/>
        <v>3150</v>
      </c>
      <c r="AP66" s="39">
        <f t="shared" si="47"/>
        <v>1050</v>
      </c>
      <c r="AQ66" s="39">
        <f t="shared" si="48"/>
        <v>1050</v>
      </c>
      <c r="AR66" s="39">
        <f t="shared" si="49"/>
        <v>1050</v>
      </c>
      <c r="AS66" s="39">
        <f t="shared" si="50"/>
        <v>1050</v>
      </c>
      <c r="AT66" s="39">
        <f t="shared" si="51"/>
        <v>3150</v>
      </c>
      <c r="AU66" s="39">
        <f t="shared" si="52"/>
        <v>1050</v>
      </c>
      <c r="AV66" s="39">
        <f t="shared" si="53"/>
        <v>1050</v>
      </c>
      <c r="AW66" s="45">
        <f t="shared" si="6"/>
        <v>16800</v>
      </c>
      <c r="AX66" s="139">
        <f t="shared" si="37"/>
        <v>5.0000000000000044E-2</v>
      </c>
    </row>
    <row r="67" spans="1:50" outlineLevel="1">
      <c r="A67" s="13" t="s">
        <v>310</v>
      </c>
      <c r="B67" s="41" t="s">
        <v>311</v>
      </c>
      <c r="C67" s="41" t="s">
        <v>66</v>
      </c>
      <c r="D67" s="37"/>
      <c r="E67" s="40"/>
      <c r="F67" s="420">
        <v>827.6</v>
      </c>
      <c r="G67" s="420">
        <v>0</v>
      </c>
      <c r="H67" s="420">
        <v>772.31999999999994</v>
      </c>
      <c r="I67" s="420">
        <v>500.64</v>
      </c>
      <c r="J67" s="420">
        <v>914</v>
      </c>
      <c r="K67" s="420">
        <v>0</v>
      </c>
      <c r="L67" s="420">
        <v>0</v>
      </c>
      <c r="M67" s="420">
        <v>0</v>
      </c>
      <c r="N67" s="420">
        <v>0</v>
      </c>
      <c r="O67" s="39">
        <v>0</v>
      </c>
      <c r="P67" s="39">
        <v>0</v>
      </c>
      <c r="Q67" s="39">
        <v>0</v>
      </c>
      <c r="R67" s="39">
        <f t="shared" si="38"/>
        <v>3014.56</v>
      </c>
      <c r="S67" s="39"/>
      <c r="T67" s="40"/>
      <c r="U67" s="40"/>
      <c r="V67" s="39">
        <v>500</v>
      </c>
      <c r="W67" s="39">
        <v>500</v>
      </c>
      <c r="X67" s="39">
        <v>500</v>
      </c>
      <c r="Y67" s="39">
        <v>500</v>
      </c>
      <c r="Z67" s="39">
        <v>500</v>
      </c>
      <c r="AA67" s="39">
        <v>500</v>
      </c>
      <c r="AB67" s="39">
        <v>500</v>
      </c>
      <c r="AC67" s="39">
        <v>500</v>
      </c>
      <c r="AD67" s="39">
        <v>500</v>
      </c>
      <c r="AE67" s="39">
        <v>500</v>
      </c>
      <c r="AF67" s="39">
        <v>500</v>
      </c>
      <c r="AG67" s="39">
        <v>500</v>
      </c>
      <c r="AH67" s="45">
        <f t="shared" si="4"/>
        <v>6000</v>
      </c>
      <c r="AI67" s="139">
        <f t="shared" si="5"/>
        <v>0.99034021548750073</v>
      </c>
      <c r="AJ67" s="405"/>
      <c r="AK67" s="39">
        <f t="shared" si="42"/>
        <v>525</v>
      </c>
      <c r="AL67" s="39">
        <f t="shared" si="43"/>
        <v>525</v>
      </c>
      <c r="AM67" s="39">
        <f t="shared" si="44"/>
        <v>525</v>
      </c>
      <c r="AN67" s="39">
        <f t="shared" si="45"/>
        <v>525</v>
      </c>
      <c r="AO67" s="39">
        <f t="shared" si="46"/>
        <v>525</v>
      </c>
      <c r="AP67" s="39">
        <f t="shared" si="47"/>
        <v>525</v>
      </c>
      <c r="AQ67" s="39">
        <f t="shared" si="48"/>
        <v>525</v>
      </c>
      <c r="AR67" s="39">
        <f t="shared" si="49"/>
        <v>525</v>
      </c>
      <c r="AS67" s="39">
        <f t="shared" si="50"/>
        <v>525</v>
      </c>
      <c r="AT67" s="39">
        <f t="shared" si="51"/>
        <v>525</v>
      </c>
      <c r="AU67" s="39">
        <f t="shared" si="52"/>
        <v>525</v>
      </c>
      <c r="AV67" s="39">
        <f t="shared" si="53"/>
        <v>525</v>
      </c>
      <c r="AW67" s="45">
        <f t="shared" si="6"/>
        <v>6300</v>
      </c>
      <c r="AX67" s="139">
        <f t="shared" si="37"/>
        <v>5.0000000000000044E-2</v>
      </c>
    </row>
    <row r="68" spans="1:50" outlineLevel="1">
      <c r="A68" s="37" t="s">
        <v>312</v>
      </c>
      <c r="B68" s="41" t="s">
        <v>313</v>
      </c>
      <c r="C68" s="41" t="s">
        <v>65</v>
      </c>
      <c r="D68" s="37"/>
      <c r="E68" s="40">
        <v>55754.119999999995</v>
      </c>
      <c r="F68" s="420">
        <v>0</v>
      </c>
      <c r="G68" s="420">
        <v>4945.0600000000004</v>
      </c>
      <c r="H68" s="420">
        <v>3619.1299999999997</v>
      </c>
      <c r="I68" s="420">
        <v>0</v>
      </c>
      <c r="J68" s="420">
        <v>0</v>
      </c>
      <c r="K68" s="420">
        <v>4803.54</v>
      </c>
      <c r="L68" s="420">
        <v>0</v>
      </c>
      <c r="M68" s="420">
        <v>0</v>
      </c>
      <c r="N68" s="420">
        <v>5890.61</v>
      </c>
      <c r="O68" s="39">
        <v>1093.1014274632985</v>
      </c>
      <c r="P68" s="39">
        <v>985.84701323249749</v>
      </c>
      <c r="Q68" s="39">
        <v>789.35891194649059</v>
      </c>
      <c r="R68" s="39">
        <f t="shared" si="38"/>
        <v>22126.647352642289</v>
      </c>
      <c r="S68" s="39"/>
      <c r="T68" s="40">
        <v>10000</v>
      </c>
      <c r="U68" s="40"/>
      <c r="V68" s="39">
        <v>0</v>
      </c>
      <c r="W68" s="39">
        <v>5000</v>
      </c>
      <c r="X68" s="39">
        <v>1000</v>
      </c>
      <c r="Y68" s="39">
        <v>1000</v>
      </c>
      <c r="Z68" s="39">
        <v>0</v>
      </c>
      <c r="AA68" s="39">
        <v>5000</v>
      </c>
      <c r="AB68" s="39">
        <v>1000</v>
      </c>
      <c r="AC68" s="39">
        <v>0</v>
      </c>
      <c r="AD68" s="39">
        <v>5000</v>
      </c>
      <c r="AE68" s="39">
        <v>5000</v>
      </c>
      <c r="AF68" s="39">
        <v>0</v>
      </c>
      <c r="AG68" s="39">
        <v>0</v>
      </c>
      <c r="AH68" s="45">
        <f t="shared" si="4"/>
        <v>23000</v>
      </c>
      <c r="AI68" s="139">
        <f t="shared" si="5"/>
        <v>3.9470627132917935E-2</v>
      </c>
      <c r="AJ68" s="405"/>
      <c r="AK68" s="39">
        <f t="shared" si="42"/>
        <v>0</v>
      </c>
      <c r="AL68" s="39">
        <f t="shared" si="43"/>
        <v>5250</v>
      </c>
      <c r="AM68" s="39">
        <f t="shared" si="44"/>
        <v>1050</v>
      </c>
      <c r="AN68" s="39">
        <f t="shared" si="45"/>
        <v>1050</v>
      </c>
      <c r="AO68" s="39">
        <f t="shared" si="46"/>
        <v>0</v>
      </c>
      <c r="AP68" s="39">
        <f t="shared" si="47"/>
        <v>5250</v>
      </c>
      <c r="AQ68" s="39">
        <f t="shared" si="48"/>
        <v>1050</v>
      </c>
      <c r="AR68" s="39">
        <f t="shared" si="49"/>
        <v>0</v>
      </c>
      <c r="AS68" s="39">
        <f t="shared" si="50"/>
        <v>5250</v>
      </c>
      <c r="AT68" s="39">
        <f t="shared" si="51"/>
        <v>5250</v>
      </c>
      <c r="AU68" s="39">
        <f t="shared" si="52"/>
        <v>0</v>
      </c>
      <c r="AV68" s="39">
        <f t="shared" si="53"/>
        <v>0</v>
      </c>
      <c r="AW68" s="45">
        <f t="shared" si="6"/>
        <v>24150</v>
      </c>
      <c r="AX68" s="139">
        <f t="shared" si="37"/>
        <v>5.0000000000000044E-2</v>
      </c>
    </row>
    <row r="69" spans="1:50" outlineLevel="1">
      <c r="A69" s="13" t="s">
        <v>314</v>
      </c>
      <c r="B69" s="41" t="s">
        <v>64</v>
      </c>
      <c r="C69" s="41" t="s">
        <v>64</v>
      </c>
      <c r="D69" s="37"/>
      <c r="E69" s="40">
        <v>33764.149999999994</v>
      </c>
      <c r="F69" s="420">
        <v>4502.6399999999985</v>
      </c>
      <c r="G69" s="420">
        <v>502.5</v>
      </c>
      <c r="H69" s="420">
        <v>962.21</v>
      </c>
      <c r="I69" s="420">
        <v>843.84</v>
      </c>
      <c r="J69" s="420">
        <v>1462.4800000000005</v>
      </c>
      <c r="K69" s="420">
        <v>2459.4700000000003</v>
      </c>
      <c r="L69" s="420">
        <v>1584.04</v>
      </c>
      <c r="M69" s="420">
        <v>672.36</v>
      </c>
      <c r="N69" s="420">
        <v>1298.1600000000003</v>
      </c>
      <c r="O69" s="39">
        <v>6223.1324999999997</v>
      </c>
      <c r="P69" s="39">
        <v>1313.2115625000001</v>
      </c>
      <c r="Q69" s="39">
        <v>1357.0867578125001</v>
      </c>
      <c r="R69" s="39">
        <f t="shared" si="38"/>
        <v>23181.130820312501</v>
      </c>
      <c r="S69" s="39"/>
      <c r="T69" s="39"/>
      <c r="U69" s="40"/>
      <c r="V69" s="39">
        <v>7502.6399999999985</v>
      </c>
      <c r="W69" s="39">
        <v>2502.5</v>
      </c>
      <c r="X69" s="39">
        <v>962.21</v>
      </c>
      <c r="Y69" s="39">
        <v>843.84</v>
      </c>
      <c r="Z69" s="39">
        <v>1535.6040000000005</v>
      </c>
      <c r="AA69" s="39">
        <v>2582.4435000000003</v>
      </c>
      <c r="AB69" s="39">
        <v>1663.242</v>
      </c>
      <c r="AC69" s="39">
        <v>705.97799999999916</v>
      </c>
      <c r="AD69" s="39">
        <v>6363.0680000000002</v>
      </c>
      <c r="AE69" s="39">
        <v>11534.289124999999</v>
      </c>
      <c r="AF69" s="39">
        <v>1378.8721406250002</v>
      </c>
      <c r="AG69" s="39">
        <v>1424.941095703125</v>
      </c>
      <c r="AH69" s="45">
        <f t="shared" si="4"/>
        <v>38999.627861328117</v>
      </c>
      <c r="AI69" s="139">
        <f t="shared" si="5"/>
        <v>0.68238677239829193</v>
      </c>
      <c r="AJ69" s="405"/>
      <c r="AK69" s="39">
        <f>V69*1.15</f>
        <v>8628.0359999999982</v>
      </c>
      <c r="AL69" s="39">
        <f t="shared" ref="AL69:AV69" si="54">W69*1.15</f>
        <v>2877.875</v>
      </c>
      <c r="AM69" s="39">
        <f t="shared" si="54"/>
        <v>1106.5415</v>
      </c>
      <c r="AN69" s="39">
        <f t="shared" si="54"/>
        <v>970.41599999999994</v>
      </c>
      <c r="AO69" s="39">
        <f t="shared" si="54"/>
        <v>1765.9446000000005</v>
      </c>
      <c r="AP69" s="39">
        <f t="shared" si="54"/>
        <v>2969.8100250000002</v>
      </c>
      <c r="AQ69" s="39">
        <f t="shared" si="54"/>
        <v>1912.7282999999998</v>
      </c>
      <c r="AR69" s="39">
        <f t="shared" si="54"/>
        <v>811.87469999999894</v>
      </c>
      <c r="AS69" s="39">
        <f t="shared" si="54"/>
        <v>7317.5281999999997</v>
      </c>
      <c r="AT69" s="39">
        <f t="shared" si="54"/>
        <v>13264.432493749999</v>
      </c>
      <c r="AU69" s="39">
        <f t="shared" si="54"/>
        <v>1585.70296171875</v>
      </c>
      <c r="AV69" s="39">
        <f t="shared" si="54"/>
        <v>1638.6822600585936</v>
      </c>
      <c r="AW69" s="45">
        <f t="shared" si="6"/>
        <v>44849.572040527339</v>
      </c>
      <c r="AX69" s="139">
        <f t="shared" si="37"/>
        <v>0.15000000000000013</v>
      </c>
    </row>
    <row r="70" spans="1:50" outlineLevel="1">
      <c r="A70" s="13" t="s">
        <v>315</v>
      </c>
      <c r="B70" s="41" t="s">
        <v>64</v>
      </c>
      <c r="C70" s="41" t="s">
        <v>64</v>
      </c>
      <c r="D70" s="37"/>
      <c r="E70" s="40"/>
      <c r="F70" s="420">
        <v>0</v>
      </c>
      <c r="G70" s="420">
        <v>11125.35</v>
      </c>
      <c r="H70" s="420">
        <v>0</v>
      </c>
      <c r="I70" s="420">
        <v>0</v>
      </c>
      <c r="J70" s="420">
        <v>0</v>
      </c>
      <c r="K70" s="420">
        <v>0</v>
      </c>
      <c r="L70" s="420">
        <v>0</v>
      </c>
      <c r="M70" s="420">
        <v>0</v>
      </c>
      <c r="N70" s="420">
        <v>0</v>
      </c>
      <c r="O70" s="39">
        <v>10000</v>
      </c>
      <c r="P70" s="39">
        <v>7000</v>
      </c>
      <c r="Q70" s="39">
        <v>0</v>
      </c>
      <c r="R70" s="39">
        <f t="shared" si="38"/>
        <v>28125.35</v>
      </c>
      <c r="S70" s="39"/>
      <c r="T70" s="40"/>
      <c r="U70" s="40"/>
      <c r="V70" s="39">
        <v>0</v>
      </c>
      <c r="W70" s="39">
        <v>10000</v>
      </c>
      <c r="X70" s="39">
        <v>0</v>
      </c>
      <c r="Y70" s="39">
        <v>0</v>
      </c>
      <c r="Z70" s="39">
        <v>0</v>
      </c>
      <c r="AA70" s="39">
        <v>0</v>
      </c>
      <c r="AB70" s="39">
        <v>0</v>
      </c>
      <c r="AC70" s="39">
        <v>10000</v>
      </c>
      <c r="AD70" s="39">
        <v>0</v>
      </c>
      <c r="AE70" s="39">
        <v>0</v>
      </c>
      <c r="AF70" s="39">
        <v>0</v>
      </c>
      <c r="AG70" s="39">
        <v>0</v>
      </c>
      <c r="AH70" s="45">
        <f t="shared" si="4"/>
        <v>20000</v>
      </c>
      <c r="AI70" s="139">
        <f t="shared" si="5"/>
        <v>-0.28889773816148057</v>
      </c>
      <c r="AJ70" s="405"/>
      <c r="AK70" s="39">
        <f t="shared" si="42"/>
        <v>0</v>
      </c>
      <c r="AL70" s="39">
        <f t="shared" si="43"/>
        <v>10500</v>
      </c>
      <c r="AM70" s="39">
        <f t="shared" si="44"/>
        <v>0</v>
      </c>
      <c r="AN70" s="39">
        <f t="shared" si="45"/>
        <v>0</v>
      </c>
      <c r="AO70" s="39">
        <f t="shared" si="46"/>
        <v>0</v>
      </c>
      <c r="AP70" s="39">
        <f t="shared" si="47"/>
        <v>0</v>
      </c>
      <c r="AQ70" s="39">
        <f t="shared" si="48"/>
        <v>0</v>
      </c>
      <c r="AR70" s="39">
        <f t="shared" si="49"/>
        <v>10500</v>
      </c>
      <c r="AS70" s="39">
        <f t="shared" si="50"/>
        <v>0</v>
      </c>
      <c r="AT70" s="39">
        <f t="shared" si="51"/>
        <v>0</v>
      </c>
      <c r="AU70" s="39">
        <f t="shared" si="52"/>
        <v>0</v>
      </c>
      <c r="AV70" s="39">
        <f t="shared" si="53"/>
        <v>0</v>
      </c>
      <c r="AW70" s="45">
        <f t="shared" si="6"/>
        <v>21000</v>
      </c>
      <c r="AX70" s="139">
        <f t="shared" si="37"/>
        <v>5.0000000000000044E-2</v>
      </c>
    </row>
    <row r="71" spans="1:50" outlineLevel="1">
      <c r="A71" s="13" t="s">
        <v>419</v>
      </c>
      <c r="B71" s="41" t="s">
        <v>267</v>
      </c>
      <c r="C71" s="41" t="s">
        <v>67</v>
      </c>
      <c r="D71" s="37"/>
      <c r="E71" s="40"/>
      <c r="F71" s="420">
        <v>0</v>
      </c>
      <c r="G71" s="420">
        <v>0</v>
      </c>
      <c r="H71" s="420">
        <v>0</v>
      </c>
      <c r="I71" s="420">
        <v>0</v>
      </c>
      <c r="J71" s="420">
        <v>0</v>
      </c>
      <c r="K71" s="420">
        <v>0</v>
      </c>
      <c r="L71" s="420">
        <v>0</v>
      </c>
      <c r="M71" s="420">
        <v>0</v>
      </c>
      <c r="N71" s="420">
        <v>52077</v>
      </c>
      <c r="O71" s="39">
        <v>0</v>
      </c>
      <c r="P71" s="39">
        <v>0</v>
      </c>
      <c r="Q71" s="39">
        <v>0</v>
      </c>
      <c r="R71" s="39">
        <f t="shared" si="38"/>
        <v>52077</v>
      </c>
      <c r="S71" s="39"/>
      <c r="T71" s="40"/>
      <c r="U71" s="40"/>
      <c r="V71" s="39">
        <v>0</v>
      </c>
      <c r="W71" s="39">
        <v>0</v>
      </c>
      <c r="X71" s="39">
        <v>0</v>
      </c>
      <c r="Y71" s="39">
        <v>0</v>
      </c>
      <c r="Z71" s="39">
        <v>0</v>
      </c>
      <c r="AA71" s="39">
        <v>0</v>
      </c>
      <c r="AB71" s="39">
        <v>0</v>
      </c>
      <c r="AC71" s="39">
        <v>0</v>
      </c>
      <c r="AD71" s="39">
        <v>0</v>
      </c>
      <c r="AE71" s="39">
        <v>0</v>
      </c>
      <c r="AF71" s="39">
        <v>0</v>
      </c>
      <c r="AG71" s="39">
        <v>0</v>
      </c>
      <c r="AH71" s="45">
        <f t="shared" si="4"/>
        <v>0</v>
      </c>
      <c r="AI71" s="139">
        <f t="shared" si="5"/>
        <v>-1</v>
      </c>
      <c r="AJ71" s="405"/>
      <c r="AK71" s="39">
        <f t="shared" si="42"/>
        <v>0</v>
      </c>
      <c r="AL71" s="39">
        <f t="shared" si="43"/>
        <v>0</v>
      </c>
      <c r="AM71" s="39">
        <f t="shared" si="44"/>
        <v>0</v>
      </c>
      <c r="AN71" s="39">
        <f t="shared" si="45"/>
        <v>0</v>
      </c>
      <c r="AO71" s="39">
        <f t="shared" si="46"/>
        <v>0</v>
      </c>
      <c r="AP71" s="39">
        <f t="shared" si="47"/>
        <v>0</v>
      </c>
      <c r="AQ71" s="39">
        <f t="shared" si="48"/>
        <v>0</v>
      </c>
      <c r="AR71" s="39">
        <f t="shared" si="49"/>
        <v>0</v>
      </c>
      <c r="AS71" s="39">
        <f t="shared" si="50"/>
        <v>0</v>
      </c>
      <c r="AT71" s="39">
        <f t="shared" si="51"/>
        <v>0</v>
      </c>
      <c r="AU71" s="39">
        <f t="shared" si="52"/>
        <v>0</v>
      </c>
      <c r="AV71" s="39">
        <f t="shared" si="53"/>
        <v>0</v>
      </c>
      <c r="AW71" s="45">
        <f t="shared" si="6"/>
        <v>0</v>
      </c>
      <c r="AX71" s="139">
        <f t="shared" ref="AX71:AX92" si="55">IFERROR(AW71/AH71-1,0)</f>
        <v>0</v>
      </c>
    </row>
    <row r="72" spans="1:50" outlineLevel="1">
      <c r="A72" s="13" t="s">
        <v>316</v>
      </c>
      <c r="B72" s="41" t="s">
        <v>64</v>
      </c>
      <c r="C72" s="41" t="s">
        <v>64</v>
      </c>
      <c r="D72" s="37"/>
      <c r="E72" s="40">
        <v>4978.54</v>
      </c>
      <c r="F72" s="420">
        <v>0</v>
      </c>
      <c r="G72" s="420">
        <v>0</v>
      </c>
      <c r="H72" s="420">
        <v>0</v>
      </c>
      <c r="I72" s="420">
        <v>1593.96</v>
      </c>
      <c r="J72" s="420">
        <v>686.40000000000009</v>
      </c>
      <c r="K72" s="420">
        <v>867.6</v>
      </c>
      <c r="L72" s="420">
        <v>0</v>
      </c>
      <c r="M72" s="420">
        <v>0</v>
      </c>
      <c r="N72" s="420">
        <v>0</v>
      </c>
      <c r="O72" s="39">
        <v>0</v>
      </c>
      <c r="P72" s="39">
        <v>0</v>
      </c>
      <c r="Q72" s="39">
        <v>0</v>
      </c>
      <c r="R72" s="39">
        <f t="shared" si="38"/>
        <v>3147.96</v>
      </c>
      <c r="S72" s="39"/>
      <c r="T72" s="39"/>
      <c r="U72" s="40"/>
      <c r="V72" s="39">
        <v>500</v>
      </c>
      <c r="W72" s="39">
        <v>600</v>
      </c>
      <c r="X72" s="39">
        <v>700</v>
      </c>
      <c r="Y72" s="39">
        <v>800</v>
      </c>
      <c r="Z72" s="39">
        <v>900</v>
      </c>
      <c r="AA72" s="39">
        <v>1000</v>
      </c>
      <c r="AB72" s="39">
        <v>1100</v>
      </c>
      <c r="AC72" s="39">
        <v>1200</v>
      </c>
      <c r="AD72" s="39">
        <v>1300</v>
      </c>
      <c r="AE72" s="39">
        <v>1400</v>
      </c>
      <c r="AF72" s="39">
        <v>1500</v>
      </c>
      <c r="AG72" s="39">
        <v>1600</v>
      </c>
      <c r="AH72" s="45">
        <f t="shared" si="4"/>
        <v>12600</v>
      </c>
      <c r="AI72" s="139">
        <f t="shared" ref="AI72:AI92" si="56">IFERROR(AH72/R72-1,0)</f>
        <v>3.0025921549193759</v>
      </c>
      <c r="AJ72" s="405"/>
      <c r="AK72" s="39">
        <f t="shared" si="42"/>
        <v>525</v>
      </c>
      <c r="AL72" s="39">
        <f t="shared" si="43"/>
        <v>630</v>
      </c>
      <c r="AM72" s="39">
        <f t="shared" si="44"/>
        <v>735</v>
      </c>
      <c r="AN72" s="39">
        <f t="shared" si="45"/>
        <v>840</v>
      </c>
      <c r="AO72" s="39">
        <f t="shared" si="46"/>
        <v>945</v>
      </c>
      <c r="AP72" s="39">
        <f t="shared" si="47"/>
        <v>1050</v>
      </c>
      <c r="AQ72" s="39">
        <f t="shared" si="48"/>
        <v>1155</v>
      </c>
      <c r="AR72" s="39">
        <f t="shared" si="49"/>
        <v>1260</v>
      </c>
      <c r="AS72" s="39">
        <f t="shared" si="50"/>
        <v>1365</v>
      </c>
      <c r="AT72" s="39">
        <f t="shared" si="51"/>
        <v>1470</v>
      </c>
      <c r="AU72" s="39">
        <f t="shared" si="52"/>
        <v>1575</v>
      </c>
      <c r="AV72" s="39">
        <f t="shared" si="53"/>
        <v>1680</v>
      </c>
      <c r="AW72" s="45">
        <f t="shared" si="6"/>
        <v>13230</v>
      </c>
      <c r="AX72" s="139">
        <f t="shared" si="55"/>
        <v>5.0000000000000044E-2</v>
      </c>
    </row>
    <row r="73" spans="1:50" outlineLevel="1">
      <c r="A73" s="13" t="s">
        <v>317</v>
      </c>
      <c r="B73" s="41" t="s">
        <v>265</v>
      </c>
      <c r="C73" s="41" t="s">
        <v>65</v>
      </c>
      <c r="D73" s="37"/>
      <c r="E73" s="40"/>
      <c r="F73" s="420">
        <v>0</v>
      </c>
      <c r="G73" s="420">
        <v>0</v>
      </c>
      <c r="H73" s="420">
        <v>0</v>
      </c>
      <c r="I73" s="420">
        <v>6608.7400000000007</v>
      </c>
      <c r="J73" s="420">
        <v>0</v>
      </c>
      <c r="K73" s="420">
        <v>0</v>
      </c>
      <c r="L73" s="420">
        <v>0</v>
      </c>
      <c r="M73" s="420">
        <v>0</v>
      </c>
      <c r="N73" s="420">
        <v>2768.4399999999996</v>
      </c>
      <c r="O73" s="39">
        <v>0</v>
      </c>
      <c r="P73" s="39">
        <v>0</v>
      </c>
      <c r="Q73" s="39">
        <v>0</v>
      </c>
      <c r="R73" s="39">
        <f t="shared" si="38"/>
        <v>9377.18</v>
      </c>
      <c r="S73" s="39"/>
      <c r="T73" s="40"/>
      <c r="U73" s="40"/>
      <c r="V73" s="39">
        <v>0</v>
      </c>
      <c r="W73" s="39">
        <v>0</v>
      </c>
      <c r="X73" s="39">
        <v>0</v>
      </c>
      <c r="Y73" s="39">
        <v>0</v>
      </c>
      <c r="Z73" s="39">
        <v>0</v>
      </c>
      <c r="AA73" s="39">
        <v>0</v>
      </c>
      <c r="AB73" s="39">
        <v>0</v>
      </c>
      <c r="AC73" s="39">
        <v>0</v>
      </c>
      <c r="AD73" s="39">
        <v>0</v>
      </c>
      <c r="AE73" s="39">
        <v>0</v>
      </c>
      <c r="AF73" s="39">
        <v>0</v>
      </c>
      <c r="AG73" s="39">
        <v>0</v>
      </c>
      <c r="AH73" s="45">
        <f t="shared" si="4"/>
        <v>0</v>
      </c>
      <c r="AI73" s="139">
        <f t="shared" si="56"/>
        <v>-1</v>
      </c>
      <c r="AJ73" s="405"/>
      <c r="AK73" s="39">
        <f t="shared" si="42"/>
        <v>0</v>
      </c>
      <c r="AL73" s="39">
        <f t="shared" si="43"/>
        <v>0</v>
      </c>
      <c r="AM73" s="39">
        <f t="shared" si="44"/>
        <v>0</v>
      </c>
      <c r="AN73" s="39">
        <f t="shared" si="45"/>
        <v>0</v>
      </c>
      <c r="AO73" s="39">
        <f t="shared" si="46"/>
        <v>0</v>
      </c>
      <c r="AP73" s="39">
        <f t="shared" si="47"/>
        <v>0</v>
      </c>
      <c r="AQ73" s="39">
        <f t="shared" si="48"/>
        <v>0</v>
      </c>
      <c r="AR73" s="39">
        <f t="shared" si="49"/>
        <v>0</v>
      </c>
      <c r="AS73" s="39">
        <f t="shared" si="50"/>
        <v>0</v>
      </c>
      <c r="AT73" s="39">
        <f t="shared" si="51"/>
        <v>0</v>
      </c>
      <c r="AU73" s="39">
        <f t="shared" si="52"/>
        <v>0</v>
      </c>
      <c r="AV73" s="39">
        <f t="shared" si="53"/>
        <v>0</v>
      </c>
      <c r="AW73" s="45">
        <f t="shared" si="6"/>
        <v>0</v>
      </c>
      <c r="AX73" s="139">
        <f t="shared" si="55"/>
        <v>0</v>
      </c>
    </row>
    <row r="74" spans="1:50" outlineLevel="1">
      <c r="A74" s="13" t="s">
        <v>318</v>
      </c>
      <c r="B74" s="41" t="s">
        <v>64</v>
      </c>
      <c r="C74" s="41" t="s">
        <v>64</v>
      </c>
      <c r="D74" s="37"/>
      <c r="E74" s="40"/>
      <c r="F74" s="420"/>
      <c r="G74" s="420"/>
      <c r="H74" s="420"/>
      <c r="I74" s="420">
        <v>2124.3599999999997</v>
      </c>
      <c r="J74" s="420">
        <v>0</v>
      </c>
      <c r="K74" s="420">
        <v>0</v>
      </c>
      <c r="L74" s="420">
        <v>0</v>
      </c>
      <c r="M74" s="420">
        <v>0</v>
      </c>
      <c r="N74" s="420">
        <v>0</v>
      </c>
      <c r="O74" s="39">
        <v>0</v>
      </c>
      <c r="P74" s="39">
        <v>0</v>
      </c>
      <c r="Q74" s="39">
        <v>0</v>
      </c>
      <c r="R74" s="39">
        <f t="shared" si="38"/>
        <v>2124.3599999999997</v>
      </c>
      <c r="S74" s="39"/>
      <c r="T74" s="40"/>
      <c r="U74" s="40"/>
      <c r="V74" s="39">
        <v>0</v>
      </c>
      <c r="W74" s="39">
        <v>0</v>
      </c>
      <c r="X74" s="39">
        <v>0</v>
      </c>
      <c r="Y74" s="39">
        <v>2000</v>
      </c>
      <c r="Z74" s="39">
        <v>0</v>
      </c>
      <c r="AA74" s="39">
        <v>0</v>
      </c>
      <c r="AB74" s="39">
        <v>0</v>
      </c>
      <c r="AC74" s="39">
        <v>2000</v>
      </c>
      <c r="AD74" s="39">
        <v>0</v>
      </c>
      <c r="AE74" s="39">
        <v>0</v>
      </c>
      <c r="AF74" s="39">
        <v>0</v>
      </c>
      <c r="AG74" s="39">
        <v>0</v>
      </c>
      <c r="AH74" s="45">
        <f t="shared" si="4"/>
        <v>4000</v>
      </c>
      <c r="AI74" s="139">
        <f t="shared" si="56"/>
        <v>0.88292003238622474</v>
      </c>
      <c r="AJ74" s="405"/>
      <c r="AK74" s="39">
        <f t="shared" si="42"/>
        <v>0</v>
      </c>
      <c r="AL74" s="39">
        <f t="shared" si="43"/>
        <v>0</v>
      </c>
      <c r="AM74" s="39">
        <f t="shared" si="44"/>
        <v>0</v>
      </c>
      <c r="AN74" s="39">
        <f t="shared" si="45"/>
        <v>2100</v>
      </c>
      <c r="AO74" s="39">
        <f t="shared" si="46"/>
        <v>0</v>
      </c>
      <c r="AP74" s="39">
        <f t="shared" si="47"/>
        <v>0</v>
      </c>
      <c r="AQ74" s="39">
        <f t="shared" si="48"/>
        <v>0</v>
      </c>
      <c r="AR74" s="39">
        <f t="shared" si="49"/>
        <v>2100</v>
      </c>
      <c r="AS74" s="39">
        <f t="shared" si="50"/>
        <v>0</v>
      </c>
      <c r="AT74" s="39">
        <f t="shared" si="51"/>
        <v>0</v>
      </c>
      <c r="AU74" s="39">
        <f t="shared" si="52"/>
        <v>0</v>
      </c>
      <c r="AV74" s="39">
        <f t="shared" si="53"/>
        <v>0</v>
      </c>
      <c r="AW74" s="45">
        <f t="shared" si="6"/>
        <v>4200</v>
      </c>
      <c r="AX74" s="139">
        <f t="shared" si="55"/>
        <v>5.0000000000000044E-2</v>
      </c>
    </row>
    <row r="75" spans="1:50" outlineLevel="1">
      <c r="A75" s="37" t="s">
        <v>319</v>
      </c>
      <c r="B75" s="41" t="s">
        <v>320</v>
      </c>
      <c r="C75" s="41" t="s">
        <v>65</v>
      </c>
      <c r="D75" s="37"/>
      <c r="E75" s="40"/>
      <c r="F75" s="420">
        <v>0</v>
      </c>
      <c r="G75" s="420">
        <v>0</v>
      </c>
      <c r="H75" s="420">
        <v>0</v>
      </c>
      <c r="I75" s="420">
        <v>0</v>
      </c>
      <c r="J75" s="420">
        <v>0</v>
      </c>
      <c r="K75" s="420">
        <v>0</v>
      </c>
      <c r="L75" s="420">
        <v>1953.0400000000002</v>
      </c>
      <c r="M75" s="420">
        <v>0</v>
      </c>
      <c r="N75" s="420">
        <v>0</v>
      </c>
      <c r="O75" s="39">
        <v>0</v>
      </c>
      <c r="P75" s="39">
        <v>0</v>
      </c>
      <c r="Q75" s="39">
        <v>0</v>
      </c>
      <c r="R75" s="39">
        <f t="shared" si="38"/>
        <v>1953.0400000000002</v>
      </c>
      <c r="S75" s="39"/>
      <c r="T75" s="40"/>
      <c r="U75" s="40"/>
      <c r="V75" s="39">
        <v>0</v>
      </c>
      <c r="W75" s="39">
        <v>0</v>
      </c>
      <c r="X75" s="39">
        <v>0</v>
      </c>
      <c r="Y75" s="39">
        <v>0</v>
      </c>
      <c r="Z75" s="39">
        <v>0</v>
      </c>
      <c r="AA75" s="39">
        <v>0</v>
      </c>
      <c r="AB75" s="39">
        <v>0</v>
      </c>
      <c r="AC75" s="39">
        <v>0</v>
      </c>
      <c r="AD75" s="39">
        <v>0</v>
      </c>
      <c r="AE75" s="39">
        <v>0</v>
      </c>
      <c r="AF75" s="39">
        <v>0</v>
      </c>
      <c r="AG75" s="39">
        <v>0</v>
      </c>
      <c r="AH75" s="45">
        <f t="shared" ref="AH75:AH92" si="57">SUM(V75:AG75)</f>
        <v>0</v>
      </c>
      <c r="AI75" s="139">
        <f t="shared" si="56"/>
        <v>-1</v>
      </c>
      <c r="AJ75" s="405"/>
      <c r="AK75" s="39">
        <f t="shared" si="42"/>
        <v>0</v>
      </c>
      <c r="AL75" s="39">
        <f t="shared" si="43"/>
        <v>0</v>
      </c>
      <c r="AM75" s="39">
        <f t="shared" si="44"/>
        <v>0</v>
      </c>
      <c r="AN75" s="39">
        <f t="shared" si="45"/>
        <v>0</v>
      </c>
      <c r="AO75" s="39">
        <f t="shared" si="46"/>
        <v>0</v>
      </c>
      <c r="AP75" s="39">
        <f t="shared" si="47"/>
        <v>0</v>
      </c>
      <c r="AQ75" s="39">
        <f t="shared" si="48"/>
        <v>0</v>
      </c>
      <c r="AR75" s="39">
        <f t="shared" si="49"/>
        <v>0</v>
      </c>
      <c r="AS75" s="39">
        <f t="shared" si="50"/>
        <v>0</v>
      </c>
      <c r="AT75" s="39">
        <f t="shared" si="51"/>
        <v>0</v>
      </c>
      <c r="AU75" s="39">
        <f t="shared" si="52"/>
        <v>0</v>
      </c>
      <c r="AV75" s="39">
        <f t="shared" si="53"/>
        <v>0</v>
      </c>
      <c r="AW75" s="45">
        <f t="shared" ref="AW75:AW92" si="58">SUM(AK75:AV75)</f>
        <v>0</v>
      </c>
      <c r="AX75" s="139">
        <f t="shared" si="55"/>
        <v>0</v>
      </c>
    </row>
    <row r="76" spans="1:50" outlineLevel="1">
      <c r="A76" s="13" t="s">
        <v>321</v>
      </c>
      <c r="B76" s="41" t="s">
        <v>322</v>
      </c>
      <c r="C76" s="41" t="s">
        <v>66</v>
      </c>
      <c r="D76" s="37"/>
      <c r="E76" s="40"/>
      <c r="F76" s="420">
        <v>0</v>
      </c>
      <c r="G76" s="420">
        <v>0</v>
      </c>
      <c r="H76" s="420">
        <v>3798.119999999999</v>
      </c>
      <c r="I76" s="420">
        <v>0</v>
      </c>
      <c r="J76" s="420">
        <v>0</v>
      </c>
      <c r="K76" s="420">
        <v>0</v>
      </c>
      <c r="L76" s="420">
        <v>2391.8199999999997</v>
      </c>
      <c r="M76" s="420">
        <v>0</v>
      </c>
      <c r="N76" s="420">
        <v>0</v>
      </c>
      <c r="O76" s="39">
        <v>0</v>
      </c>
      <c r="P76" s="39">
        <v>0</v>
      </c>
      <c r="Q76" s="39">
        <v>0</v>
      </c>
      <c r="R76" s="39">
        <f t="shared" si="38"/>
        <v>6189.9399999999987</v>
      </c>
      <c r="S76" s="39"/>
      <c r="T76" s="40"/>
      <c r="U76" s="40"/>
      <c r="V76" s="39">
        <v>0</v>
      </c>
      <c r="W76" s="39">
        <v>0</v>
      </c>
      <c r="X76" s="39">
        <v>0</v>
      </c>
      <c r="Y76" s="39">
        <v>0</v>
      </c>
      <c r="Z76" s="39">
        <v>0</v>
      </c>
      <c r="AA76" s="39">
        <v>0</v>
      </c>
      <c r="AB76" s="39">
        <v>0</v>
      </c>
      <c r="AC76" s="39">
        <v>0</v>
      </c>
      <c r="AD76" s="39">
        <v>0</v>
      </c>
      <c r="AE76" s="39">
        <v>0</v>
      </c>
      <c r="AF76" s="39">
        <v>0</v>
      </c>
      <c r="AG76" s="39">
        <v>0</v>
      </c>
      <c r="AH76" s="45">
        <f t="shared" si="57"/>
        <v>0</v>
      </c>
      <c r="AI76" s="139">
        <f t="shared" si="56"/>
        <v>-1</v>
      </c>
      <c r="AJ76" s="405"/>
      <c r="AK76" s="39">
        <f t="shared" si="42"/>
        <v>0</v>
      </c>
      <c r="AL76" s="39">
        <f t="shared" si="43"/>
        <v>0</v>
      </c>
      <c r="AM76" s="39">
        <f t="shared" si="44"/>
        <v>0</v>
      </c>
      <c r="AN76" s="39">
        <f t="shared" si="45"/>
        <v>0</v>
      </c>
      <c r="AO76" s="39">
        <f t="shared" si="46"/>
        <v>0</v>
      </c>
      <c r="AP76" s="39">
        <f t="shared" si="47"/>
        <v>0</v>
      </c>
      <c r="AQ76" s="39">
        <f t="shared" si="48"/>
        <v>0</v>
      </c>
      <c r="AR76" s="39">
        <f t="shared" si="49"/>
        <v>0</v>
      </c>
      <c r="AS76" s="39">
        <f t="shared" si="50"/>
        <v>0</v>
      </c>
      <c r="AT76" s="39">
        <f t="shared" si="51"/>
        <v>0</v>
      </c>
      <c r="AU76" s="39">
        <f t="shared" si="52"/>
        <v>0</v>
      </c>
      <c r="AV76" s="39">
        <f t="shared" si="53"/>
        <v>0</v>
      </c>
      <c r="AW76" s="45">
        <f t="shared" si="58"/>
        <v>0</v>
      </c>
      <c r="AX76" s="139">
        <f t="shared" si="55"/>
        <v>0</v>
      </c>
    </row>
    <row r="77" spans="1:50" outlineLevel="1">
      <c r="A77" s="37" t="s">
        <v>323</v>
      </c>
      <c r="B77" s="41" t="s">
        <v>324</v>
      </c>
      <c r="C77" s="41" t="s">
        <v>65</v>
      </c>
      <c r="D77" s="37"/>
      <c r="E77" s="40">
        <v>12104.829999999998</v>
      </c>
      <c r="F77" s="420">
        <v>0</v>
      </c>
      <c r="G77" s="420">
        <v>0</v>
      </c>
      <c r="H77" s="420">
        <v>0</v>
      </c>
      <c r="I77" s="420">
        <v>0</v>
      </c>
      <c r="J77" s="420">
        <v>0</v>
      </c>
      <c r="K77" s="420">
        <v>0</v>
      </c>
      <c r="L77" s="420">
        <v>0</v>
      </c>
      <c r="M77" s="420">
        <v>0</v>
      </c>
      <c r="N77" s="420">
        <v>0</v>
      </c>
      <c r="O77" s="39">
        <v>0</v>
      </c>
      <c r="P77" s="39">
        <v>0</v>
      </c>
      <c r="Q77" s="39">
        <v>0</v>
      </c>
      <c r="R77" s="39">
        <f t="shared" si="38"/>
        <v>0</v>
      </c>
      <c r="S77" s="39"/>
      <c r="T77" s="40">
        <v>13920.554499999997</v>
      </c>
      <c r="U77" s="40"/>
      <c r="V77" s="39">
        <v>0</v>
      </c>
      <c r="W77" s="39">
        <v>0</v>
      </c>
      <c r="X77" s="39">
        <v>0</v>
      </c>
      <c r="Y77" s="39">
        <v>0</v>
      </c>
      <c r="Z77" s="39">
        <v>0</v>
      </c>
      <c r="AA77" s="39">
        <v>0</v>
      </c>
      <c r="AB77" s="39">
        <v>0</v>
      </c>
      <c r="AC77" s="39">
        <v>0</v>
      </c>
      <c r="AD77" s="39">
        <v>0</v>
      </c>
      <c r="AE77" s="39">
        <v>0</v>
      </c>
      <c r="AF77" s="39">
        <v>0</v>
      </c>
      <c r="AG77" s="39">
        <v>0</v>
      </c>
      <c r="AH77" s="45">
        <f t="shared" si="57"/>
        <v>0</v>
      </c>
      <c r="AI77" s="139">
        <f t="shared" si="56"/>
        <v>0</v>
      </c>
      <c r="AJ77" s="405"/>
      <c r="AK77" s="39">
        <f t="shared" si="42"/>
        <v>0</v>
      </c>
      <c r="AL77" s="39">
        <f t="shared" si="43"/>
        <v>0</v>
      </c>
      <c r="AM77" s="39">
        <f t="shared" si="44"/>
        <v>0</v>
      </c>
      <c r="AN77" s="39">
        <f t="shared" si="45"/>
        <v>0</v>
      </c>
      <c r="AO77" s="39">
        <f t="shared" si="46"/>
        <v>0</v>
      </c>
      <c r="AP77" s="39">
        <f t="shared" si="47"/>
        <v>0</v>
      </c>
      <c r="AQ77" s="39">
        <f t="shared" si="48"/>
        <v>0</v>
      </c>
      <c r="AR77" s="39">
        <f t="shared" si="49"/>
        <v>0</v>
      </c>
      <c r="AS77" s="39">
        <f t="shared" si="50"/>
        <v>0</v>
      </c>
      <c r="AT77" s="39">
        <f t="shared" si="51"/>
        <v>0</v>
      </c>
      <c r="AU77" s="39">
        <f t="shared" si="52"/>
        <v>0</v>
      </c>
      <c r="AV77" s="39">
        <f t="shared" si="53"/>
        <v>0</v>
      </c>
      <c r="AW77" s="45">
        <f t="shared" si="58"/>
        <v>0</v>
      </c>
      <c r="AX77" s="139">
        <f t="shared" si="55"/>
        <v>0</v>
      </c>
    </row>
    <row r="78" spans="1:50" outlineLevel="1">
      <c r="A78" s="37" t="s">
        <v>325</v>
      </c>
      <c r="B78" s="41" t="s">
        <v>227</v>
      </c>
      <c r="C78" s="41" t="s">
        <v>67</v>
      </c>
      <c r="D78" s="37"/>
      <c r="E78" s="40">
        <v>11790.460000000001</v>
      </c>
      <c r="F78" s="420">
        <v>0</v>
      </c>
      <c r="G78" s="420">
        <v>0</v>
      </c>
      <c r="H78" s="420">
        <v>0</v>
      </c>
      <c r="I78" s="420">
        <v>0</v>
      </c>
      <c r="J78" s="420">
        <v>0</v>
      </c>
      <c r="K78" s="420">
        <v>1436.76</v>
      </c>
      <c r="L78" s="420">
        <v>0</v>
      </c>
      <c r="M78" s="420">
        <v>0</v>
      </c>
      <c r="N78" s="420">
        <v>0</v>
      </c>
      <c r="O78" s="39">
        <v>0</v>
      </c>
      <c r="P78" s="39">
        <v>0</v>
      </c>
      <c r="Q78" s="39">
        <v>0</v>
      </c>
      <c r="R78" s="39">
        <f t="shared" si="38"/>
        <v>1436.76</v>
      </c>
      <c r="S78" s="39"/>
      <c r="T78" s="40">
        <v>13559.028999999999</v>
      </c>
      <c r="U78" s="40"/>
      <c r="V78" s="39">
        <v>0</v>
      </c>
      <c r="W78" s="39">
        <v>0</v>
      </c>
      <c r="X78" s="39">
        <v>0</v>
      </c>
      <c r="Y78" s="39">
        <v>0</v>
      </c>
      <c r="Z78" s="39">
        <v>0</v>
      </c>
      <c r="AA78" s="39">
        <v>0</v>
      </c>
      <c r="AB78" s="39">
        <v>0</v>
      </c>
      <c r="AC78" s="39">
        <v>0</v>
      </c>
      <c r="AD78" s="39">
        <v>0</v>
      </c>
      <c r="AE78" s="39">
        <v>0</v>
      </c>
      <c r="AF78" s="39">
        <v>0</v>
      </c>
      <c r="AG78" s="39">
        <v>0</v>
      </c>
      <c r="AH78" s="45">
        <f t="shared" si="57"/>
        <v>0</v>
      </c>
      <c r="AI78" s="139">
        <f t="shared" si="56"/>
        <v>-1</v>
      </c>
      <c r="AJ78" s="405"/>
      <c r="AK78" s="39">
        <f t="shared" si="42"/>
        <v>0</v>
      </c>
      <c r="AL78" s="39">
        <f t="shared" si="43"/>
        <v>0</v>
      </c>
      <c r="AM78" s="39">
        <f t="shared" si="44"/>
        <v>0</v>
      </c>
      <c r="AN78" s="39">
        <f t="shared" si="45"/>
        <v>0</v>
      </c>
      <c r="AO78" s="39">
        <f t="shared" si="46"/>
        <v>0</v>
      </c>
      <c r="AP78" s="39">
        <f t="shared" si="47"/>
        <v>0</v>
      </c>
      <c r="AQ78" s="39">
        <f t="shared" si="48"/>
        <v>0</v>
      </c>
      <c r="AR78" s="39">
        <f t="shared" si="49"/>
        <v>0</v>
      </c>
      <c r="AS78" s="39">
        <f t="shared" si="50"/>
        <v>0</v>
      </c>
      <c r="AT78" s="39">
        <f t="shared" si="51"/>
        <v>0</v>
      </c>
      <c r="AU78" s="39">
        <f t="shared" si="52"/>
        <v>0</v>
      </c>
      <c r="AV78" s="39">
        <f t="shared" si="53"/>
        <v>0</v>
      </c>
      <c r="AW78" s="45">
        <f t="shared" si="58"/>
        <v>0</v>
      </c>
      <c r="AX78" s="139">
        <f t="shared" si="55"/>
        <v>0</v>
      </c>
    </row>
    <row r="79" spans="1:50" outlineLevel="1">
      <c r="A79" s="37" t="s">
        <v>326</v>
      </c>
      <c r="B79" s="41" t="s">
        <v>327</v>
      </c>
      <c r="C79" s="41" t="s">
        <v>66</v>
      </c>
      <c r="D79" s="37"/>
      <c r="E79" s="40"/>
      <c r="F79" s="420">
        <v>0</v>
      </c>
      <c r="G79" s="420">
        <v>0</v>
      </c>
      <c r="H79" s="420">
        <v>0</v>
      </c>
      <c r="I79" s="420">
        <v>0</v>
      </c>
      <c r="J79" s="420">
        <v>0</v>
      </c>
      <c r="K79" s="420">
        <v>0</v>
      </c>
      <c r="L79" s="420">
        <v>48349.8</v>
      </c>
      <c r="M79" s="420">
        <v>0</v>
      </c>
      <c r="N79" s="420">
        <v>14919.6</v>
      </c>
      <c r="O79" s="39">
        <v>15000</v>
      </c>
      <c r="P79" s="39">
        <v>0</v>
      </c>
      <c r="Q79" s="39">
        <v>10000</v>
      </c>
      <c r="R79" s="39">
        <f t="shared" si="38"/>
        <v>88269.4</v>
      </c>
      <c r="S79" s="39"/>
      <c r="T79" s="40"/>
      <c r="U79" s="40"/>
      <c r="V79" s="39">
        <v>5000</v>
      </c>
      <c r="W79" s="39">
        <v>15000</v>
      </c>
      <c r="X79" s="39">
        <v>5000</v>
      </c>
      <c r="Y79" s="39">
        <v>7400</v>
      </c>
      <c r="Z79" s="39">
        <v>15000</v>
      </c>
      <c r="AA79" s="39">
        <v>5000</v>
      </c>
      <c r="AB79" s="39">
        <v>7400</v>
      </c>
      <c r="AC79" s="39">
        <v>15000</v>
      </c>
      <c r="AD79" s="39">
        <v>5000</v>
      </c>
      <c r="AE79" s="39">
        <v>15000</v>
      </c>
      <c r="AF79" s="39">
        <v>10000</v>
      </c>
      <c r="AG79" s="39">
        <v>10000</v>
      </c>
      <c r="AH79" s="45">
        <f t="shared" si="57"/>
        <v>114800</v>
      </c>
      <c r="AI79" s="139">
        <f t="shared" si="56"/>
        <v>0.30056395534579372</v>
      </c>
      <c r="AJ79" s="405"/>
      <c r="AK79" s="39">
        <f t="shared" si="42"/>
        <v>5250</v>
      </c>
      <c r="AL79" s="39">
        <f t="shared" si="43"/>
        <v>15750</v>
      </c>
      <c r="AM79" s="39">
        <f t="shared" si="44"/>
        <v>5250</v>
      </c>
      <c r="AN79" s="39">
        <f t="shared" si="45"/>
        <v>7770</v>
      </c>
      <c r="AO79" s="39">
        <f t="shared" si="46"/>
        <v>15750</v>
      </c>
      <c r="AP79" s="39">
        <f t="shared" si="47"/>
        <v>5250</v>
      </c>
      <c r="AQ79" s="39">
        <f t="shared" si="48"/>
        <v>7770</v>
      </c>
      <c r="AR79" s="39">
        <f t="shared" si="49"/>
        <v>15750</v>
      </c>
      <c r="AS79" s="39">
        <f t="shared" si="50"/>
        <v>5250</v>
      </c>
      <c r="AT79" s="39">
        <f t="shared" si="51"/>
        <v>15750</v>
      </c>
      <c r="AU79" s="39">
        <f t="shared" si="52"/>
        <v>10500</v>
      </c>
      <c r="AV79" s="39">
        <f t="shared" si="53"/>
        <v>10500</v>
      </c>
      <c r="AW79" s="45">
        <f t="shared" si="58"/>
        <v>120540</v>
      </c>
      <c r="AX79" s="139">
        <f t="shared" si="55"/>
        <v>5.0000000000000044E-2</v>
      </c>
    </row>
    <row r="80" spans="1:50" outlineLevel="1">
      <c r="A80" s="13" t="s">
        <v>328</v>
      </c>
      <c r="B80" s="41" t="s">
        <v>329</v>
      </c>
      <c r="C80" s="41" t="s">
        <v>67</v>
      </c>
      <c r="D80" s="37"/>
      <c r="E80" s="40"/>
      <c r="F80" s="420"/>
      <c r="G80" s="420"/>
      <c r="H80" s="420"/>
      <c r="I80" s="420">
        <v>4540.8600000000006</v>
      </c>
      <c r="J80" s="420">
        <v>0</v>
      </c>
      <c r="K80" s="420">
        <v>0</v>
      </c>
      <c r="L80" s="420">
        <v>0</v>
      </c>
      <c r="M80" s="420">
        <v>0</v>
      </c>
      <c r="N80" s="420">
        <v>0</v>
      </c>
      <c r="O80" s="39">
        <v>0</v>
      </c>
      <c r="P80" s="39">
        <v>0</v>
      </c>
      <c r="Q80" s="39">
        <v>0</v>
      </c>
      <c r="R80" s="39">
        <f t="shared" si="38"/>
        <v>4540.8600000000006</v>
      </c>
      <c r="S80" s="39"/>
      <c r="T80" s="40"/>
      <c r="U80" s="40"/>
      <c r="V80" s="39">
        <v>0</v>
      </c>
      <c r="W80" s="39">
        <v>0</v>
      </c>
      <c r="X80" s="39">
        <v>0</v>
      </c>
      <c r="Y80" s="39">
        <v>0</v>
      </c>
      <c r="Z80" s="39">
        <v>0</v>
      </c>
      <c r="AA80" s="39">
        <v>0</v>
      </c>
      <c r="AB80" s="39">
        <v>0</v>
      </c>
      <c r="AC80" s="39">
        <v>0</v>
      </c>
      <c r="AD80" s="39">
        <v>0</v>
      </c>
      <c r="AE80" s="39">
        <v>0</v>
      </c>
      <c r="AF80" s="39">
        <v>0</v>
      </c>
      <c r="AG80" s="39">
        <v>0</v>
      </c>
      <c r="AH80" s="45">
        <f t="shared" si="57"/>
        <v>0</v>
      </c>
      <c r="AI80" s="139">
        <f t="shared" si="56"/>
        <v>-1</v>
      </c>
      <c r="AJ80" s="405"/>
      <c r="AK80" s="39">
        <f t="shared" si="42"/>
        <v>0</v>
      </c>
      <c r="AL80" s="39">
        <f t="shared" si="43"/>
        <v>0</v>
      </c>
      <c r="AM80" s="39">
        <f t="shared" si="44"/>
        <v>0</v>
      </c>
      <c r="AN80" s="39">
        <f t="shared" si="45"/>
        <v>0</v>
      </c>
      <c r="AO80" s="39">
        <f t="shared" si="46"/>
        <v>0</v>
      </c>
      <c r="AP80" s="39">
        <f t="shared" si="47"/>
        <v>0</v>
      </c>
      <c r="AQ80" s="39">
        <f t="shared" si="48"/>
        <v>0</v>
      </c>
      <c r="AR80" s="39">
        <f t="shared" si="49"/>
        <v>0</v>
      </c>
      <c r="AS80" s="39">
        <f t="shared" si="50"/>
        <v>0</v>
      </c>
      <c r="AT80" s="39">
        <f t="shared" si="51"/>
        <v>0</v>
      </c>
      <c r="AU80" s="39">
        <f t="shared" si="52"/>
        <v>0</v>
      </c>
      <c r="AV80" s="39">
        <f t="shared" si="53"/>
        <v>0</v>
      </c>
      <c r="AW80" s="45">
        <f t="shared" si="58"/>
        <v>0</v>
      </c>
      <c r="AX80" s="139">
        <f t="shared" si="55"/>
        <v>0</v>
      </c>
    </row>
    <row r="81" spans="1:50" outlineLevel="1">
      <c r="A81" s="37" t="s">
        <v>330</v>
      </c>
      <c r="B81" s="41" t="s">
        <v>64</v>
      </c>
      <c r="C81" s="41" t="s">
        <v>64</v>
      </c>
      <c r="D81" s="37"/>
      <c r="E81" s="40">
        <v>243905.6399999999</v>
      </c>
      <c r="F81" s="420">
        <v>17897.899999999998</v>
      </c>
      <c r="G81" s="420">
        <v>47354.539999999994</v>
      </c>
      <c r="H81" s="420">
        <v>29937.739999999998</v>
      </c>
      <c r="I81" s="420">
        <v>9342</v>
      </c>
      <c r="J81" s="420">
        <v>950.78</v>
      </c>
      <c r="K81" s="420">
        <v>0</v>
      </c>
      <c r="L81" s="420">
        <v>6655.49</v>
      </c>
      <c r="M81" s="420">
        <v>39924.86</v>
      </c>
      <c r="N81" s="420">
        <v>7281.5</v>
      </c>
      <c r="O81" s="39">
        <v>11422</v>
      </c>
      <c r="P81" s="39">
        <v>14708.0680488003</v>
      </c>
      <c r="Q81" s="39">
        <v>8921.1912185320507</v>
      </c>
      <c r="R81" s="39">
        <f t="shared" si="38"/>
        <v>194396.06926733235</v>
      </c>
      <c r="S81" s="39"/>
      <c r="T81" s="39">
        <v>250004.89409037496</v>
      </c>
      <c r="U81" s="40"/>
      <c r="V81" s="39">
        <v>15000</v>
      </c>
      <c r="W81" s="39">
        <v>34500</v>
      </c>
      <c r="X81" s="39">
        <v>0</v>
      </c>
      <c r="Y81" s="39">
        <v>10000</v>
      </c>
      <c r="Z81" s="39">
        <v>9758</v>
      </c>
      <c r="AA81" s="39">
        <v>7280</v>
      </c>
      <c r="AB81" s="39">
        <v>6937</v>
      </c>
      <c r="AC81" s="39">
        <v>15903</v>
      </c>
      <c r="AD81" s="39">
        <v>8472</v>
      </c>
      <c r="AE81" s="39">
        <v>32854</v>
      </c>
      <c r="AF81" s="39">
        <v>27375</v>
      </c>
      <c r="AG81" s="39">
        <v>22132</v>
      </c>
      <c r="AH81" s="45">
        <f t="shared" si="57"/>
        <v>190211</v>
      </c>
      <c r="AI81" s="139">
        <f t="shared" si="56"/>
        <v>-2.152856939497616E-2</v>
      </c>
      <c r="AJ81" s="405"/>
      <c r="AK81" s="39">
        <f t="shared" si="42"/>
        <v>15750</v>
      </c>
      <c r="AL81" s="39">
        <f t="shared" si="43"/>
        <v>36225</v>
      </c>
      <c r="AM81" s="39">
        <f t="shared" si="44"/>
        <v>0</v>
      </c>
      <c r="AN81" s="39">
        <f t="shared" si="45"/>
        <v>10500</v>
      </c>
      <c r="AO81" s="39">
        <f t="shared" si="46"/>
        <v>10245.9</v>
      </c>
      <c r="AP81" s="39">
        <f t="shared" si="47"/>
        <v>7644</v>
      </c>
      <c r="AQ81" s="39">
        <f t="shared" si="48"/>
        <v>7283.85</v>
      </c>
      <c r="AR81" s="39">
        <f t="shared" si="49"/>
        <v>16698.150000000001</v>
      </c>
      <c r="AS81" s="39">
        <f t="shared" si="50"/>
        <v>8895.6</v>
      </c>
      <c r="AT81" s="39">
        <f t="shared" si="51"/>
        <v>34496.700000000004</v>
      </c>
      <c r="AU81" s="39">
        <f t="shared" si="52"/>
        <v>28743.75</v>
      </c>
      <c r="AV81" s="39">
        <f t="shared" si="53"/>
        <v>23238.600000000002</v>
      </c>
      <c r="AW81" s="45">
        <f t="shared" si="58"/>
        <v>199721.55000000002</v>
      </c>
      <c r="AX81" s="139">
        <f t="shared" si="55"/>
        <v>5.0000000000000044E-2</v>
      </c>
    </row>
    <row r="82" spans="1:50" outlineLevel="1">
      <c r="A82" s="37" t="s">
        <v>332</v>
      </c>
      <c r="B82" s="41" t="s">
        <v>64</v>
      </c>
      <c r="C82" s="41" t="s">
        <v>64</v>
      </c>
      <c r="D82" s="37"/>
      <c r="E82" s="40">
        <v>292065.56000000011</v>
      </c>
      <c r="F82" s="420">
        <v>16407.3</v>
      </c>
      <c r="G82" s="420">
        <v>7910.8199999999979</v>
      </c>
      <c r="H82" s="420">
        <v>12654.309999999998</v>
      </c>
      <c r="I82" s="420">
        <v>14807.339999999998</v>
      </c>
      <c r="J82" s="420">
        <v>16946.310000000001</v>
      </c>
      <c r="K82" s="420">
        <v>9207.36</v>
      </c>
      <c r="L82" s="420">
        <v>11036.189999999999</v>
      </c>
      <c r="M82" s="420">
        <v>11680.660000000003</v>
      </c>
      <c r="N82" s="420">
        <v>39946.18</v>
      </c>
      <c r="O82" s="39">
        <v>15320.40857142857</v>
      </c>
      <c r="P82" s="39">
        <v>13378.921224489801</v>
      </c>
      <c r="Q82" s="39">
        <v>13911.008542274099</v>
      </c>
      <c r="R82" s="39">
        <f t="shared" ref="R82:R92" si="59">SUM(F82:Q82)</f>
        <v>183206.80833819247</v>
      </c>
      <c r="S82" s="39"/>
      <c r="T82" s="39">
        <v>299997.40592977416</v>
      </c>
      <c r="U82" s="40"/>
      <c r="V82" s="39">
        <v>16407.3</v>
      </c>
      <c r="W82" s="39">
        <v>7910.8199999999979</v>
      </c>
      <c r="X82" s="39">
        <v>12654.309999999998</v>
      </c>
      <c r="Y82" s="39">
        <v>14807.339999999998</v>
      </c>
      <c r="Z82" s="39">
        <v>41946.31</v>
      </c>
      <c r="AA82" s="39">
        <v>8746.9920000000002</v>
      </c>
      <c r="AB82" s="39">
        <v>10484.380499999999</v>
      </c>
      <c r="AC82" s="39">
        <f>11096.627+60000</f>
        <v>71096.627000000008</v>
      </c>
      <c r="AD82" s="39">
        <v>47948.870999999999</v>
      </c>
      <c r="AE82" s="39">
        <v>24554.38814285714</v>
      </c>
      <c r="AF82" s="39">
        <v>12709.975163265311</v>
      </c>
      <c r="AG82" s="39">
        <v>13215.458115160394</v>
      </c>
      <c r="AH82" s="45">
        <f t="shared" si="57"/>
        <v>282482.77192128287</v>
      </c>
      <c r="AI82" s="139">
        <f t="shared" si="56"/>
        <v>0.5418792264522776</v>
      </c>
      <c r="AJ82" s="405"/>
      <c r="AK82" s="39">
        <f>V82*1.14</f>
        <v>18704.321999999996</v>
      </c>
      <c r="AL82" s="39">
        <f t="shared" ref="AL82:AV82" si="60">W82*1.14</f>
        <v>9018.3347999999969</v>
      </c>
      <c r="AM82" s="39">
        <f t="shared" si="60"/>
        <v>14425.913399999996</v>
      </c>
      <c r="AN82" s="39">
        <f t="shared" si="60"/>
        <v>16880.367599999998</v>
      </c>
      <c r="AO82" s="39">
        <f t="shared" si="60"/>
        <v>47818.793399999995</v>
      </c>
      <c r="AP82" s="39">
        <f t="shared" si="60"/>
        <v>9971.5708799999993</v>
      </c>
      <c r="AQ82" s="39">
        <f t="shared" si="60"/>
        <v>11952.193769999998</v>
      </c>
      <c r="AR82" s="39">
        <f t="shared" si="60"/>
        <v>81050.154779999997</v>
      </c>
      <c r="AS82" s="39">
        <f t="shared" si="60"/>
        <v>54661.712939999998</v>
      </c>
      <c r="AT82" s="39">
        <f t="shared" si="60"/>
        <v>27992.002482857137</v>
      </c>
      <c r="AU82" s="39">
        <f t="shared" si="60"/>
        <v>14489.371686122453</v>
      </c>
      <c r="AV82" s="39">
        <f t="shared" si="60"/>
        <v>15065.622251282848</v>
      </c>
      <c r="AW82" s="45">
        <f t="shared" si="58"/>
        <v>322030.35999026243</v>
      </c>
      <c r="AX82" s="139">
        <f t="shared" si="55"/>
        <v>0.1399999999999999</v>
      </c>
    </row>
    <row r="83" spans="1:50" outlineLevel="1">
      <c r="A83" s="37" t="s">
        <v>333</v>
      </c>
      <c r="B83" s="41" t="s">
        <v>265</v>
      </c>
      <c r="C83" s="41" t="s">
        <v>65</v>
      </c>
      <c r="D83" s="37"/>
      <c r="E83" s="40">
        <v>0</v>
      </c>
      <c r="F83" s="420">
        <v>0</v>
      </c>
      <c r="G83" s="420">
        <v>0</v>
      </c>
      <c r="H83" s="420">
        <v>6544.08</v>
      </c>
      <c r="I83" s="420">
        <v>0</v>
      </c>
      <c r="J83" s="420">
        <v>16582.239999999998</v>
      </c>
      <c r="K83" s="420">
        <v>0</v>
      </c>
      <c r="L83" s="420">
        <v>0</v>
      </c>
      <c r="M83" s="420">
        <v>0</v>
      </c>
      <c r="N83" s="420">
        <v>0</v>
      </c>
      <c r="O83" s="39">
        <v>5716</v>
      </c>
      <c r="P83" s="39">
        <v>0</v>
      </c>
      <c r="Q83" s="39">
        <v>10000</v>
      </c>
      <c r="R83" s="39">
        <f t="shared" si="59"/>
        <v>38842.32</v>
      </c>
      <c r="S83" s="39"/>
      <c r="T83" s="40">
        <v>40765.9015</v>
      </c>
      <c r="U83" s="40"/>
      <c r="V83" s="39">
        <v>0</v>
      </c>
      <c r="W83" s="39">
        <v>0</v>
      </c>
      <c r="X83" s="39">
        <v>5000</v>
      </c>
      <c r="Y83" s="39">
        <v>0</v>
      </c>
      <c r="Z83" s="39">
        <v>16582.239999999998</v>
      </c>
      <c r="AA83" s="39">
        <v>0</v>
      </c>
      <c r="AB83" s="39">
        <v>5000</v>
      </c>
      <c r="AC83" s="39">
        <v>0</v>
      </c>
      <c r="AD83" s="39">
        <v>10000</v>
      </c>
      <c r="AE83" s="39">
        <v>0</v>
      </c>
      <c r="AF83" s="39">
        <v>0</v>
      </c>
      <c r="AG83" s="39">
        <v>0</v>
      </c>
      <c r="AH83" s="45">
        <f t="shared" si="57"/>
        <v>36582.239999999998</v>
      </c>
      <c r="AI83" s="139">
        <f t="shared" si="56"/>
        <v>-5.8186019784606136E-2</v>
      </c>
      <c r="AJ83" s="405"/>
      <c r="AK83" s="39">
        <f t="shared" ref="AK83:AK92" si="61">V83*1.05</f>
        <v>0</v>
      </c>
      <c r="AL83" s="39">
        <f t="shared" ref="AL83:AL92" si="62">W83*1.05</f>
        <v>0</v>
      </c>
      <c r="AM83" s="39">
        <f t="shared" ref="AM83:AM92" si="63">X83*1.05</f>
        <v>5250</v>
      </c>
      <c r="AN83" s="39">
        <f t="shared" ref="AN83:AN92" si="64">Y83*1.05</f>
        <v>0</v>
      </c>
      <c r="AO83" s="39">
        <f t="shared" ref="AO83:AO92" si="65">Z83*1.05</f>
        <v>17411.351999999999</v>
      </c>
      <c r="AP83" s="39">
        <f t="shared" ref="AP83:AP92" si="66">AA83*1.05</f>
        <v>0</v>
      </c>
      <c r="AQ83" s="39">
        <f t="shared" ref="AQ83:AQ92" si="67">AB83*1.05</f>
        <v>5250</v>
      </c>
      <c r="AR83" s="39">
        <f t="shared" ref="AR83:AR92" si="68">AC83*1.05</f>
        <v>0</v>
      </c>
      <c r="AS83" s="39">
        <f t="shared" ref="AS83:AS92" si="69">AD83*1.05</f>
        <v>10500</v>
      </c>
      <c r="AT83" s="39">
        <f t="shared" ref="AT83:AT92" si="70">AE83*1.05</f>
        <v>0</v>
      </c>
      <c r="AU83" s="39">
        <f t="shared" ref="AU83:AU92" si="71">AF83*1.05</f>
        <v>0</v>
      </c>
      <c r="AV83" s="39">
        <f t="shared" ref="AV83:AV92" si="72">AG83*1.05</f>
        <v>0</v>
      </c>
      <c r="AW83" s="45">
        <f t="shared" si="58"/>
        <v>38411.351999999999</v>
      </c>
      <c r="AX83" s="139">
        <f t="shared" si="55"/>
        <v>5.0000000000000044E-2</v>
      </c>
    </row>
    <row r="84" spans="1:50" outlineLevel="1">
      <c r="A84" s="37" t="s">
        <v>334</v>
      </c>
      <c r="B84" s="41" t="s">
        <v>335</v>
      </c>
      <c r="C84" s="41" t="s">
        <v>66</v>
      </c>
      <c r="D84" s="37"/>
      <c r="E84" s="40"/>
      <c r="F84" s="420">
        <v>0</v>
      </c>
      <c r="G84" s="420">
        <v>0</v>
      </c>
      <c r="H84" s="420">
        <v>0</v>
      </c>
      <c r="I84" s="420">
        <v>0</v>
      </c>
      <c r="J84" s="420">
        <v>0</v>
      </c>
      <c r="K84" s="420">
        <v>8590.16</v>
      </c>
      <c r="L84" s="420">
        <v>0</v>
      </c>
      <c r="M84" s="420">
        <v>0</v>
      </c>
      <c r="N84" s="420">
        <v>8658.4800000000014</v>
      </c>
      <c r="O84" s="39">
        <v>0</v>
      </c>
      <c r="P84" s="39">
        <v>0</v>
      </c>
      <c r="Q84" s="39">
        <v>0</v>
      </c>
      <c r="R84" s="39">
        <f t="shared" si="59"/>
        <v>17248.64</v>
      </c>
      <c r="S84" s="39"/>
      <c r="T84" s="40"/>
      <c r="U84" s="40"/>
      <c r="V84" s="39">
        <v>0</v>
      </c>
      <c r="W84" s="39">
        <v>0</v>
      </c>
      <c r="X84" s="39">
        <v>0</v>
      </c>
      <c r="Y84" s="39">
        <v>0</v>
      </c>
      <c r="Z84" s="39">
        <v>0</v>
      </c>
      <c r="AA84" s="39">
        <v>0</v>
      </c>
      <c r="AB84" s="39">
        <v>0</v>
      </c>
      <c r="AC84" s="39">
        <v>0</v>
      </c>
      <c r="AD84" s="39">
        <v>0</v>
      </c>
      <c r="AE84" s="39">
        <v>0</v>
      </c>
      <c r="AF84" s="39">
        <v>0</v>
      </c>
      <c r="AG84" s="39">
        <v>0</v>
      </c>
      <c r="AH84" s="45">
        <f t="shared" si="57"/>
        <v>0</v>
      </c>
      <c r="AI84" s="139">
        <f t="shared" si="56"/>
        <v>-1</v>
      </c>
      <c r="AJ84" s="405"/>
      <c r="AK84" s="39">
        <f t="shared" si="61"/>
        <v>0</v>
      </c>
      <c r="AL84" s="39">
        <f t="shared" si="62"/>
        <v>0</v>
      </c>
      <c r="AM84" s="39">
        <f t="shared" si="63"/>
        <v>0</v>
      </c>
      <c r="AN84" s="39">
        <f t="shared" si="64"/>
        <v>0</v>
      </c>
      <c r="AO84" s="39">
        <f t="shared" si="65"/>
        <v>0</v>
      </c>
      <c r="AP84" s="39">
        <f t="shared" si="66"/>
        <v>0</v>
      </c>
      <c r="AQ84" s="39">
        <f t="shared" si="67"/>
        <v>0</v>
      </c>
      <c r="AR84" s="39">
        <f t="shared" si="68"/>
        <v>0</v>
      </c>
      <c r="AS84" s="39">
        <f t="shared" si="69"/>
        <v>0</v>
      </c>
      <c r="AT84" s="39">
        <f t="shared" si="70"/>
        <v>0</v>
      </c>
      <c r="AU84" s="39">
        <f t="shared" si="71"/>
        <v>0</v>
      </c>
      <c r="AV84" s="39">
        <f t="shared" si="72"/>
        <v>0</v>
      </c>
      <c r="AW84" s="45">
        <f t="shared" si="58"/>
        <v>0</v>
      </c>
      <c r="AX84" s="139">
        <f t="shared" si="55"/>
        <v>0</v>
      </c>
    </row>
    <row r="85" spans="1:50" outlineLevel="1">
      <c r="A85" s="13" t="s">
        <v>336</v>
      </c>
      <c r="B85" s="41" t="s">
        <v>64</v>
      </c>
      <c r="C85" s="41" t="s">
        <v>64</v>
      </c>
      <c r="D85" s="37"/>
      <c r="E85" s="40">
        <v>1018.92</v>
      </c>
      <c r="F85" s="420">
        <v>1154.8799999999999</v>
      </c>
      <c r="G85" s="420">
        <v>0</v>
      </c>
      <c r="H85" s="420">
        <v>0</v>
      </c>
      <c r="I85" s="420">
        <v>0</v>
      </c>
      <c r="J85" s="420">
        <v>0</v>
      </c>
      <c r="K85" s="420">
        <v>0</v>
      </c>
      <c r="L85" s="420">
        <v>0</v>
      </c>
      <c r="M85" s="420">
        <v>0</v>
      </c>
      <c r="N85" s="420">
        <v>650.33999999999992</v>
      </c>
      <c r="O85" s="39">
        <v>0</v>
      </c>
      <c r="P85" s="39">
        <v>0</v>
      </c>
      <c r="Q85" s="39">
        <v>0</v>
      </c>
      <c r="R85" s="39">
        <f t="shared" si="59"/>
        <v>1805.2199999999998</v>
      </c>
      <c r="S85" s="39"/>
      <c r="T85" s="39"/>
      <c r="U85" s="40"/>
      <c r="V85" s="39">
        <v>0</v>
      </c>
      <c r="W85" s="39">
        <v>0</v>
      </c>
      <c r="X85" s="39">
        <v>0</v>
      </c>
      <c r="Y85" s="39">
        <v>0</v>
      </c>
      <c r="Z85" s="39">
        <v>0</v>
      </c>
      <c r="AA85" s="39">
        <v>0</v>
      </c>
      <c r="AB85" s="39">
        <v>0</v>
      </c>
      <c r="AC85" s="39">
        <v>0</v>
      </c>
      <c r="AD85" s="39">
        <v>0</v>
      </c>
      <c r="AE85" s="39">
        <v>0</v>
      </c>
      <c r="AF85" s="39">
        <v>0</v>
      </c>
      <c r="AG85" s="39">
        <v>0</v>
      </c>
      <c r="AH85" s="45">
        <f t="shared" si="57"/>
        <v>0</v>
      </c>
      <c r="AI85" s="139">
        <f t="shared" si="56"/>
        <v>-1</v>
      </c>
      <c r="AJ85" s="405"/>
      <c r="AK85" s="39">
        <f t="shared" si="61"/>
        <v>0</v>
      </c>
      <c r="AL85" s="39">
        <f t="shared" si="62"/>
        <v>0</v>
      </c>
      <c r="AM85" s="39">
        <f t="shared" si="63"/>
        <v>0</v>
      </c>
      <c r="AN85" s="39">
        <f t="shared" si="64"/>
        <v>0</v>
      </c>
      <c r="AO85" s="39">
        <f t="shared" si="65"/>
        <v>0</v>
      </c>
      <c r="AP85" s="39">
        <f t="shared" si="66"/>
        <v>0</v>
      </c>
      <c r="AQ85" s="39">
        <f t="shared" si="67"/>
        <v>0</v>
      </c>
      <c r="AR85" s="39">
        <f t="shared" si="68"/>
        <v>0</v>
      </c>
      <c r="AS85" s="39">
        <f t="shared" si="69"/>
        <v>0</v>
      </c>
      <c r="AT85" s="39">
        <f t="shared" si="70"/>
        <v>0</v>
      </c>
      <c r="AU85" s="39">
        <f t="shared" si="71"/>
        <v>0</v>
      </c>
      <c r="AV85" s="39">
        <f t="shared" si="72"/>
        <v>0</v>
      </c>
      <c r="AW85" s="45">
        <f t="shared" si="58"/>
        <v>0</v>
      </c>
      <c r="AX85" s="139">
        <f t="shared" si="55"/>
        <v>0</v>
      </c>
    </row>
    <row r="86" spans="1:50" s="181" customFormat="1" outlineLevel="1">
      <c r="A86" s="401" t="s">
        <v>337</v>
      </c>
      <c r="B86" s="402" t="s">
        <v>338</v>
      </c>
      <c r="C86" s="402" t="s">
        <v>67</v>
      </c>
      <c r="D86" s="401"/>
      <c r="E86" s="403">
        <v>12135.869999999999</v>
      </c>
      <c r="F86" s="421">
        <v>0</v>
      </c>
      <c r="G86" s="421">
        <v>0</v>
      </c>
      <c r="H86" s="421">
        <v>0</v>
      </c>
      <c r="I86" s="421">
        <v>0</v>
      </c>
      <c r="J86" s="421">
        <v>0</v>
      </c>
      <c r="K86" s="421">
        <v>0</v>
      </c>
      <c r="L86" s="421">
        <v>0</v>
      </c>
      <c r="M86" s="421">
        <v>0</v>
      </c>
      <c r="N86" s="421">
        <v>0</v>
      </c>
      <c r="O86" s="39">
        <v>0</v>
      </c>
      <c r="P86" s="404">
        <v>0</v>
      </c>
      <c r="Q86" s="404">
        <v>0</v>
      </c>
      <c r="R86" s="404">
        <f t="shared" si="59"/>
        <v>0</v>
      </c>
      <c r="S86" s="404"/>
      <c r="T86" s="403">
        <v>13956.250499999998</v>
      </c>
      <c r="U86" s="481"/>
      <c r="V86" s="404">
        <v>0</v>
      </c>
      <c r="W86" s="404">
        <v>0</v>
      </c>
      <c r="X86" s="404">
        <v>2000</v>
      </c>
      <c r="Y86" s="404">
        <v>2000</v>
      </c>
      <c r="Z86" s="404">
        <v>2000</v>
      </c>
      <c r="AA86" s="404">
        <v>2000</v>
      </c>
      <c r="AB86" s="404">
        <v>2000</v>
      </c>
      <c r="AC86" s="404">
        <v>2000</v>
      </c>
      <c r="AD86" s="404">
        <v>2000</v>
      </c>
      <c r="AE86" s="404">
        <v>2000</v>
      </c>
      <c r="AF86" s="404">
        <v>2000</v>
      </c>
      <c r="AG86" s="404">
        <v>2000</v>
      </c>
      <c r="AH86" s="405">
        <f t="shared" si="57"/>
        <v>20000</v>
      </c>
      <c r="AI86" s="139">
        <f t="shared" si="56"/>
        <v>0</v>
      </c>
      <c r="AJ86" s="405"/>
      <c r="AK86" s="39">
        <f t="shared" si="61"/>
        <v>0</v>
      </c>
      <c r="AL86" s="39">
        <f t="shared" si="62"/>
        <v>0</v>
      </c>
      <c r="AM86" s="39">
        <f t="shared" si="63"/>
        <v>2100</v>
      </c>
      <c r="AN86" s="39">
        <f t="shared" si="64"/>
        <v>2100</v>
      </c>
      <c r="AO86" s="39">
        <f t="shared" si="65"/>
        <v>2100</v>
      </c>
      <c r="AP86" s="39">
        <f t="shared" si="66"/>
        <v>2100</v>
      </c>
      <c r="AQ86" s="39">
        <f t="shared" si="67"/>
        <v>2100</v>
      </c>
      <c r="AR86" s="39">
        <f t="shared" si="68"/>
        <v>2100</v>
      </c>
      <c r="AS86" s="39">
        <f t="shared" si="69"/>
        <v>2100</v>
      </c>
      <c r="AT86" s="39">
        <f t="shared" si="70"/>
        <v>2100</v>
      </c>
      <c r="AU86" s="39">
        <f t="shared" si="71"/>
        <v>2100</v>
      </c>
      <c r="AV86" s="39">
        <f t="shared" si="72"/>
        <v>2100</v>
      </c>
      <c r="AW86" s="405">
        <f t="shared" si="58"/>
        <v>21000</v>
      </c>
      <c r="AX86" s="139">
        <f t="shared" si="55"/>
        <v>5.0000000000000044E-2</v>
      </c>
    </row>
    <row r="87" spans="1:50" outlineLevel="1">
      <c r="A87" s="13" t="s">
        <v>339</v>
      </c>
      <c r="B87" s="41" t="s">
        <v>64</v>
      </c>
      <c r="C87" s="41" t="s">
        <v>64</v>
      </c>
      <c r="D87" s="37"/>
      <c r="E87" s="40">
        <v>1217.76</v>
      </c>
      <c r="F87" s="420">
        <v>330.12</v>
      </c>
      <c r="G87" s="420">
        <v>0</v>
      </c>
      <c r="H87" s="420">
        <v>0</v>
      </c>
      <c r="I87" s="420">
        <v>330.12</v>
      </c>
      <c r="J87" s="420">
        <v>0</v>
      </c>
      <c r="K87" s="420">
        <v>0</v>
      </c>
      <c r="L87" s="420">
        <v>0</v>
      </c>
      <c r="M87" s="420">
        <v>330.12</v>
      </c>
      <c r="N87" s="420">
        <v>0</v>
      </c>
      <c r="O87" s="39">
        <v>0</v>
      </c>
      <c r="P87" s="39">
        <v>0</v>
      </c>
      <c r="Q87" s="39">
        <v>0</v>
      </c>
      <c r="R87" s="39">
        <f t="shared" si="59"/>
        <v>990.36</v>
      </c>
      <c r="S87" s="39"/>
      <c r="T87" s="39"/>
      <c r="U87" s="40"/>
      <c r="V87" s="39">
        <v>0</v>
      </c>
      <c r="W87" s="39">
        <v>0</v>
      </c>
      <c r="X87" s="39">
        <v>0</v>
      </c>
      <c r="Y87" s="39">
        <v>0</v>
      </c>
      <c r="Z87" s="39">
        <v>0</v>
      </c>
      <c r="AA87" s="39">
        <v>0</v>
      </c>
      <c r="AB87" s="39">
        <v>0</v>
      </c>
      <c r="AC87" s="39">
        <v>0</v>
      </c>
      <c r="AD87" s="39">
        <v>0</v>
      </c>
      <c r="AE87" s="39">
        <v>0</v>
      </c>
      <c r="AF87" s="39">
        <v>0</v>
      </c>
      <c r="AG87" s="39">
        <v>0</v>
      </c>
      <c r="AH87" s="45">
        <f t="shared" si="57"/>
        <v>0</v>
      </c>
      <c r="AI87" s="139">
        <f t="shared" si="56"/>
        <v>-1</v>
      </c>
      <c r="AJ87" s="405"/>
      <c r="AK87" s="39">
        <f t="shared" si="61"/>
        <v>0</v>
      </c>
      <c r="AL87" s="39">
        <f t="shared" si="62"/>
        <v>0</v>
      </c>
      <c r="AM87" s="39">
        <f t="shared" si="63"/>
        <v>0</v>
      </c>
      <c r="AN87" s="39">
        <f t="shared" si="64"/>
        <v>0</v>
      </c>
      <c r="AO87" s="39">
        <f t="shared" si="65"/>
        <v>0</v>
      </c>
      <c r="AP87" s="39">
        <f t="shared" si="66"/>
        <v>0</v>
      </c>
      <c r="AQ87" s="39">
        <f t="shared" si="67"/>
        <v>0</v>
      </c>
      <c r="AR87" s="39">
        <f t="shared" si="68"/>
        <v>0</v>
      </c>
      <c r="AS87" s="39">
        <f t="shared" si="69"/>
        <v>0</v>
      </c>
      <c r="AT87" s="39">
        <f t="shared" si="70"/>
        <v>0</v>
      </c>
      <c r="AU87" s="39">
        <f t="shared" si="71"/>
        <v>0</v>
      </c>
      <c r="AV87" s="39">
        <f t="shared" si="72"/>
        <v>0</v>
      </c>
      <c r="AW87" s="45">
        <f t="shared" si="58"/>
        <v>0</v>
      </c>
      <c r="AX87" s="139">
        <f t="shared" si="55"/>
        <v>0</v>
      </c>
    </row>
    <row r="88" spans="1:50" outlineLevel="1">
      <c r="A88" s="37" t="s">
        <v>340</v>
      </c>
      <c r="B88" s="41" t="s">
        <v>311</v>
      </c>
      <c r="C88" s="41" t="s">
        <v>66</v>
      </c>
      <c r="D88" s="37"/>
      <c r="E88" s="40">
        <v>133251.78999999998</v>
      </c>
      <c r="F88" s="420">
        <v>31007.040000000001</v>
      </c>
      <c r="G88" s="420">
        <v>43784.990000000005</v>
      </c>
      <c r="H88" s="420">
        <v>0</v>
      </c>
      <c r="I88" s="420">
        <v>0</v>
      </c>
      <c r="J88" s="420">
        <v>2412.1799999999998</v>
      </c>
      <c r="K88" s="420">
        <v>3122.69</v>
      </c>
      <c r="L88" s="420">
        <v>5197.3999999999996</v>
      </c>
      <c r="M88" s="420">
        <v>20076.009999999998</v>
      </c>
      <c r="N88" s="420">
        <v>12126</v>
      </c>
      <c r="O88" s="39">
        <v>13324.057948310745</v>
      </c>
      <c r="P88" s="39">
        <v>12016.709888451682</v>
      </c>
      <c r="Q88" s="39">
        <v>9621.672445527649</v>
      </c>
      <c r="R88" s="39">
        <f t="shared" si="59"/>
        <v>152688.75028229007</v>
      </c>
      <c r="S88" s="39"/>
      <c r="T88" s="40">
        <v>153239.55849999998</v>
      </c>
      <c r="U88" s="40"/>
      <c r="V88" s="39">
        <v>10000</v>
      </c>
      <c r="W88" s="39">
        <v>15000</v>
      </c>
      <c r="X88" s="39">
        <v>20000</v>
      </c>
      <c r="Y88" s="39">
        <v>7500</v>
      </c>
      <c r="Z88" s="39">
        <v>10000</v>
      </c>
      <c r="AA88" s="39">
        <v>15000</v>
      </c>
      <c r="AB88" s="39">
        <v>10000</v>
      </c>
      <c r="AC88" s="39">
        <v>22500</v>
      </c>
      <c r="AD88" s="39">
        <v>7500</v>
      </c>
      <c r="AE88" s="39">
        <v>15000</v>
      </c>
      <c r="AF88" s="39">
        <v>15000</v>
      </c>
      <c r="AG88" s="39">
        <v>10000</v>
      </c>
      <c r="AH88" s="45">
        <f t="shared" si="57"/>
        <v>157500</v>
      </c>
      <c r="AI88" s="139">
        <f t="shared" si="56"/>
        <v>3.1510178116036069E-2</v>
      </c>
      <c r="AJ88" s="405"/>
      <c r="AK88" s="39">
        <f t="shared" si="61"/>
        <v>10500</v>
      </c>
      <c r="AL88" s="39">
        <f t="shared" si="62"/>
        <v>15750</v>
      </c>
      <c r="AM88" s="39">
        <f t="shared" si="63"/>
        <v>21000</v>
      </c>
      <c r="AN88" s="39">
        <f t="shared" si="64"/>
        <v>7875</v>
      </c>
      <c r="AO88" s="39">
        <f t="shared" si="65"/>
        <v>10500</v>
      </c>
      <c r="AP88" s="39">
        <f t="shared" si="66"/>
        <v>15750</v>
      </c>
      <c r="AQ88" s="39">
        <f t="shared" si="67"/>
        <v>10500</v>
      </c>
      <c r="AR88" s="39">
        <f t="shared" si="68"/>
        <v>23625</v>
      </c>
      <c r="AS88" s="39">
        <f t="shared" si="69"/>
        <v>7875</v>
      </c>
      <c r="AT88" s="39">
        <f t="shared" si="70"/>
        <v>15750</v>
      </c>
      <c r="AU88" s="39">
        <f t="shared" si="71"/>
        <v>15750</v>
      </c>
      <c r="AV88" s="39">
        <f t="shared" si="72"/>
        <v>10500</v>
      </c>
      <c r="AW88" s="45">
        <f t="shared" si="58"/>
        <v>165375</v>
      </c>
      <c r="AX88" s="139">
        <f t="shared" si="55"/>
        <v>5.0000000000000044E-2</v>
      </c>
    </row>
    <row r="89" spans="1:50" outlineLevel="1">
      <c r="A89" s="13" t="s">
        <v>341</v>
      </c>
      <c r="B89" s="41" t="s">
        <v>267</v>
      </c>
      <c r="C89" s="41" t="s">
        <v>67</v>
      </c>
      <c r="D89" s="37"/>
      <c r="E89" s="40"/>
      <c r="F89" s="420">
        <v>0</v>
      </c>
      <c r="G89" s="420">
        <v>0</v>
      </c>
      <c r="H89" s="420">
        <v>6173.0400000000009</v>
      </c>
      <c r="I89" s="420">
        <v>0</v>
      </c>
      <c r="J89" s="420">
        <v>0</v>
      </c>
      <c r="K89" s="420">
        <v>-275.10000000000002</v>
      </c>
      <c r="L89" s="420">
        <v>0</v>
      </c>
      <c r="M89" s="420">
        <v>5786.58</v>
      </c>
      <c r="N89" s="420">
        <v>0</v>
      </c>
      <c r="O89" s="39">
        <v>0</v>
      </c>
      <c r="P89" s="39">
        <v>0</v>
      </c>
      <c r="Q89" s="39">
        <v>0</v>
      </c>
      <c r="R89" s="39">
        <f t="shared" si="59"/>
        <v>11684.52</v>
      </c>
      <c r="S89" s="39"/>
      <c r="T89" s="40"/>
      <c r="U89" s="40"/>
      <c r="V89" s="39">
        <v>0</v>
      </c>
      <c r="W89" s="39">
        <v>0</v>
      </c>
      <c r="X89" s="39">
        <v>0</v>
      </c>
      <c r="Y89" s="39">
        <v>0</v>
      </c>
      <c r="Z89" s="39">
        <v>0</v>
      </c>
      <c r="AA89" s="39">
        <v>0</v>
      </c>
      <c r="AB89" s="39">
        <v>0</v>
      </c>
      <c r="AC89" s="39">
        <v>0</v>
      </c>
      <c r="AD89" s="39">
        <v>0</v>
      </c>
      <c r="AE89" s="39">
        <v>0</v>
      </c>
      <c r="AF89" s="39">
        <v>0</v>
      </c>
      <c r="AG89" s="39">
        <v>0</v>
      </c>
      <c r="AH89" s="45">
        <f t="shared" si="57"/>
        <v>0</v>
      </c>
      <c r="AI89" s="139">
        <f t="shared" si="56"/>
        <v>-1</v>
      </c>
      <c r="AJ89" s="405"/>
      <c r="AK89" s="39">
        <f t="shared" si="61"/>
        <v>0</v>
      </c>
      <c r="AL89" s="39">
        <f t="shared" si="62"/>
        <v>0</v>
      </c>
      <c r="AM89" s="39">
        <f t="shared" si="63"/>
        <v>0</v>
      </c>
      <c r="AN89" s="39">
        <f t="shared" si="64"/>
        <v>0</v>
      </c>
      <c r="AO89" s="39">
        <f t="shared" si="65"/>
        <v>0</v>
      </c>
      <c r="AP89" s="39">
        <f t="shared" si="66"/>
        <v>0</v>
      </c>
      <c r="AQ89" s="39">
        <f t="shared" si="67"/>
        <v>0</v>
      </c>
      <c r="AR89" s="39">
        <f t="shared" si="68"/>
        <v>0</v>
      </c>
      <c r="AS89" s="39">
        <f t="shared" si="69"/>
        <v>0</v>
      </c>
      <c r="AT89" s="39">
        <f t="shared" si="70"/>
        <v>0</v>
      </c>
      <c r="AU89" s="39">
        <f t="shared" si="71"/>
        <v>0</v>
      </c>
      <c r="AV89" s="39">
        <f t="shared" si="72"/>
        <v>0</v>
      </c>
      <c r="AW89" s="45">
        <f t="shared" si="58"/>
        <v>0</v>
      </c>
      <c r="AX89" s="139">
        <f t="shared" si="55"/>
        <v>0</v>
      </c>
    </row>
    <row r="90" spans="1:50" outlineLevel="1">
      <c r="A90" s="37" t="s">
        <v>342</v>
      </c>
      <c r="B90" s="41" t="s">
        <v>335</v>
      </c>
      <c r="C90" s="41" t="s">
        <v>66</v>
      </c>
      <c r="D90" s="37"/>
      <c r="E90" s="40">
        <v>32815.919999999991</v>
      </c>
      <c r="F90" s="420">
        <v>4456.7199999999993</v>
      </c>
      <c r="G90" s="420">
        <v>3086.2800000000007</v>
      </c>
      <c r="H90" s="420">
        <v>4451.33</v>
      </c>
      <c r="I90" s="420">
        <v>3430.2700000000004</v>
      </c>
      <c r="J90" s="420">
        <v>6144.2699999999995</v>
      </c>
      <c r="K90" s="420">
        <v>828.59000000000015</v>
      </c>
      <c r="L90" s="420">
        <v>0</v>
      </c>
      <c r="M90" s="420">
        <v>1429.65</v>
      </c>
      <c r="N90" s="420">
        <v>3044.8700000000003</v>
      </c>
      <c r="O90" s="39">
        <v>2896.0611361525084</v>
      </c>
      <c r="P90" s="39">
        <v>2611.9014663079147</v>
      </c>
      <c r="Q90" s="39">
        <v>2091.3262117577979</v>
      </c>
      <c r="R90" s="39">
        <f t="shared" si="59"/>
        <v>34471.268814218216</v>
      </c>
      <c r="S90" s="39"/>
      <c r="T90" s="40">
        <v>29045.354500000001</v>
      </c>
      <c r="U90" s="40"/>
      <c r="V90" s="39">
        <v>2500</v>
      </c>
      <c r="W90" s="39">
        <v>2500</v>
      </c>
      <c r="X90" s="39">
        <v>2500</v>
      </c>
      <c r="Y90" s="39">
        <v>2500</v>
      </c>
      <c r="Z90" s="39">
        <v>7500</v>
      </c>
      <c r="AA90" s="39">
        <v>2500</v>
      </c>
      <c r="AB90" s="39">
        <v>2500</v>
      </c>
      <c r="AC90" s="39">
        <v>2500</v>
      </c>
      <c r="AD90" s="39">
        <v>4000</v>
      </c>
      <c r="AE90" s="39">
        <v>4000</v>
      </c>
      <c r="AF90" s="39">
        <v>2500</v>
      </c>
      <c r="AG90" s="39">
        <v>2500</v>
      </c>
      <c r="AH90" s="45">
        <f t="shared" si="57"/>
        <v>38000</v>
      </c>
      <c r="AI90" s="139">
        <f t="shared" si="56"/>
        <v>0.10236731362572593</v>
      </c>
      <c r="AJ90" s="405"/>
      <c r="AK90" s="39">
        <f t="shared" si="61"/>
        <v>2625</v>
      </c>
      <c r="AL90" s="39">
        <f t="shared" si="62"/>
        <v>2625</v>
      </c>
      <c r="AM90" s="39">
        <f t="shared" si="63"/>
        <v>2625</v>
      </c>
      <c r="AN90" s="39">
        <f t="shared" si="64"/>
        <v>2625</v>
      </c>
      <c r="AO90" s="39">
        <f t="shared" si="65"/>
        <v>7875</v>
      </c>
      <c r="AP90" s="39">
        <f t="shared" si="66"/>
        <v>2625</v>
      </c>
      <c r="AQ90" s="39">
        <f t="shared" si="67"/>
        <v>2625</v>
      </c>
      <c r="AR90" s="39">
        <f t="shared" si="68"/>
        <v>2625</v>
      </c>
      <c r="AS90" s="39">
        <f t="shared" si="69"/>
        <v>4200</v>
      </c>
      <c r="AT90" s="39">
        <f t="shared" si="70"/>
        <v>4200</v>
      </c>
      <c r="AU90" s="39">
        <f t="shared" si="71"/>
        <v>2625</v>
      </c>
      <c r="AV90" s="39">
        <f t="shared" si="72"/>
        <v>2625</v>
      </c>
      <c r="AW90" s="45">
        <f t="shared" si="58"/>
        <v>39900</v>
      </c>
      <c r="AX90" s="139">
        <f t="shared" si="55"/>
        <v>5.0000000000000044E-2</v>
      </c>
    </row>
    <row r="91" spans="1:50" outlineLevel="1">
      <c r="A91" s="37" t="s">
        <v>343</v>
      </c>
      <c r="B91" s="41" t="s">
        <v>64</v>
      </c>
      <c r="C91" s="41" t="s">
        <v>64</v>
      </c>
      <c r="D91" s="37"/>
      <c r="E91" s="40">
        <v>56645.639999999978</v>
      </c>
      <c r="F91" s="420">
        <v>1817.2800000000002</v>
      </c>
      <c r="G91" s="420">
        <v>10409.380000000001</v>
      </c>
      <c r="H91" s="420">
        <v>7466.4</v>
      </c>
      <c r="I91" s="420">
        <v>4885.92</v>
      </c>
      <c r="J91" s="420">
        <v>12363.56</v>
      </c>
      <c r="K91" s="420">
        <v>709.8</v>
      </c>
      <c r="L91" s="420">
        <v>779.2</v>
      </c>
      <c r="M91" s="420">
        <v>8824.7999999999993</v>
      </c>
      <c r="N91" s="420">
        <v>7859.9599999999991</v>
      </c>
      <c r="O91" s="39">
        <v>5598.6483080431308</v>
      </c>
      <c r="P91" s="39">
        <v>5049.3125102142585</v>
      </c>
      <c r="Q91" s="39">
        <v>4042.9394983626703</v>
      </c>
      <c r="R91" s="39">
        <f t="shared" si="59"/>
        <v>69807.200316620045</v>
      </c>
      <c r="S91" s="39"/>
      <c r="T91" s="39">
        <v>66000</v>
      </c>
      <c r="U91" s="40"/>
      <c r="V91" s="39">
        <v>2538</v>
      </c>
      <c r="W91" s="39">
        <v>5430</v>
      </c>
      <c r="X91" s="39">
        <v>14000</v>
      </c>
      <c r="Y91" s="39">
        <v>5068</v>
      </c>
      <c r="Z91" s="39">
        <v>8372</v>
      </c>
      <c r="AA91" s="39">
        <v>15000</v>
      </c>
      <c r="AB91" s="39">
        <v>8190</v>
      </c>
      <c r="AC91" s="39">
        <v>9503</v>
      </c>
      <c r="AD91" s="39">
        <v>8093</v>
      </c>
      <c r="AE91" s="39">
        <v>4539</v>
      </c>
      <c r="AF91" s="39">
        <v>2120</v>
      </c>
      <c r="AG91" s="39">
        <v>4000</v>
      </c>
      <c r="AH91" s="45">
        <f t="shared" si="57"/>
        <v>86853</v>
      </c>
      <c r="AI91" s="139">
        <f t="shared" si="56"/>
        <v>0.24418397537884928</v>
      </c>
      <c r="AJ91" s="405"/>
      <c r="AK91" s="39">
        <f t="shared" si="61"/>
        <v>2664.9</v>
      </c>
      <c r="AL91" s="39">
        <f t="shared" si="62"/>
        <v>5701.5</v>
      </c>
      <c r="AM91" s="39">
        <f t="shared" si="63"/>
        <v>14700</v>
      </c>
      <c r="AN91" s="39">
        <f t="shared" si="64"/>
        <v>5321.4000000000005</v>
      </c>
      <c r="AO91" s="39">
        <f t="shared" si="65"/>
        <v>8790.6</v>
      </c>
      <c r="AP91" s="39">
        <f t="shared" si="66"/>
        <v>15750</v>
      </c>
      <c r="AQ91" s="39">
        <f t="shared" si="67"/>
        <v>8599.5</v>
      </c>
      <c r="AR91" s="39">
        <f t="shared" si="68"/>
        <v>9978.15</v>
      </c>
      <c r="AS91" s="39">
        <f t="shared" si="69"/>
        <v>8497.65</v>
      </c>
      <c r="AT91" s="39">
        <f t="shared" si="70"/>
        <v>4765.95</v>
      </c>
      <c r="AU91" s="39">
        <f t="shared" si="71"/>
        <v>2226</v>
      </c>
      <c r="AV91" s="39">
        <f t="shared" si="72"/>
        <v>4200</v>
      </c>
      <c r="AW91" s="45">
        <f t="shared" si="58"/>
        <v>91195.65</v>
      </c>
      <c r="AX91" s="139">
        <f t="shared" si="55"/>
        <v>4.9999999999999822E-2</v>
      </c>
    </row>
    <row r="92" spans="1:50" s="181" customFormat="1" outlineLevel="1">
      <c r="A92" s="401" t="s">
        <v>344</v>
      </c>
      <c r="B92" s="402" t="s">
        <v>238</v>
      </c>
      <c r="C92" s="402" t="s">
        <v>67</v>
      </c>
      <c r="D92" s="401"/>
      <c r="E92" s="403">
        <v>159811.84999999989</v>
      </c>
      <c r="F92" s="421">
        <v>2858.96</v>
      </c>
      <c r="G92" s="421">
        <v>15490.08</v>
      </c>
      <c r="H92" s="421">
        <v>1095.5999999999999</v>
      </c>
      <c r="I92" s="421">
        <v>0</v>
      </c>
      <c r="J92" s="421">
        <v>0</v>
      </c>
      <c r="K92" s="421">
        <v>-10164.900000000001</v>
      </c>
      <c r="L92" s="421">
        <v>0</v>
      </c>
      <c r="M92" s="421">
        <v>0</v>
      </c>
      <c r="N92" s="421">
        <v>0</v>
      </c>
      <c r="O92" s="39">
        <v>0</v>
      </c>
      <c r="P92" s="404">
        <v>0</v>
      </c>
      <c r="Q92" s="404">
        <v>0</v>
      </c>
      <c r="R92" s="404">
        <f t="shared" si="59"/>
        <v>9279.739999999998</v>
      </c>
      <c r="S92" s="404"/>
      <c r="T92" s="403">
        <v>26184.647499999999</v>
      </c>
      <c r="U92" s="481"/>
      <c r="V92" s="404">
        <v>0</v>
      </c>
      <c r="W92" s="404">
        <v>0</v>
      </c>
      <c r="X92" s="404">
        <v>0</v>
      </c>
      <c r="Y92" s="404">
        <v>0</v>
      </c>
      <c r="Z92" s="404">
        <v>0</v>
      </c>
      <c r="AA92" s="404">
        <v>0</v>
      </c>
      <c r="AB92" s="404">
        <v>0</v>
      </c>
      <c r="AC92" s="404">
        <v>0</v>
      </c>
      <c r="AD92" s="404">
        <v>0</v>
      </c>
      <c r="AE92" s="404">
        <v>0</v>
      </c>
      <c r="AF92" s="404">
        <v>0</v>
      </c>
      <c r="AG92" s="404">
        <v>0</v>
      </c>
      <c r="AH92" s="405">
        <f t="shared" si="57"/>
        <v>0</v>
      </c>
      <c r="AI92" s="139">
        <f t="shared" si="56"/>
        <v>-1</v>
      </c>
      <c r="AJ92" s="405"/>
      <c r="AK92" s="39">
        <f t="shared" si="61"/>
        <v>0</v>
      </c>
      <c r="AL92" s="39">
        <f t="shared" si="62"/>
        <v>0</v>
      </c>
      <c r="AM92" s="39">
        <f t="shared" si="63"/>
        <v>0</v>
      </c>
      <c r="AN92" s="39">
        <f t="shared" si="64"/>
        <v>0</v>
      </c>
      <c r="AO92" s="39">
        <f t="shared" si="65"/>
        <v>0</v>
      </c>
      <c r="AP92" s="39">
        <f t="shared" si="66"/>
        <v>0</v>
      </c>
      <c r="AQ92" s="39">
        <f t="shared" si="67"/>
        <v>0</v>
      </c>
      <c r="AR92" s="39">
        <f t="shared" si="68"/>
        <v>0</v>
      </c>
      <c r="AS92" s="39">
        <f t="shared" si="69"/>
        <v>0</v>
      </c>
      <c r="AT92" s="39">
        <f t="shared" si="70"/>
        <v>0</v>
      </c>
      <c r="AU92" s="39">
        <f t="shared" si="71"/>
        <v>0</v>
      </c>
      <c r="AV92" s="39">
        <f t="shared" si="72"/>
        <v>0</v>
      </c>
      <c r="AW92" s="405">
        <f t="shared" si="58"/>
        <v>0</v>
      </c>
      <c r="AX92" s="139">
        <f t="shared" si="55"/>
        <v>0</v>
      </c>
    </row>
    <row r="93" spans="1:50" outlineLevel="1">
      <c r="A93" s="13" t="s">
        <v>397</v>
      </c>
      <c r="E93" s="40"/>
      <c r="N93" s="39"/>
      <c r="S93" s="39"/>
      <c r="T93" s="40"/>
      <c r="U93" s="40"/>
      <c r="AE93" s="39">
        <v>0</v>
      </c>
    </row>
    <row r="94" spans="1:50" outlineLevel="1">
      <c r="A94" s="42" t="s">
        <v>345</v>
      </c>
      <c r="B94" s="44"/>
      <c r="D94" s="42"/>
      <c r="E94" s="43">
        <f>SUM(E7:E92)</f>
        <v>6975572.5900000008</v>
      </c>
      <c r="F94" s="43">
        <f t="shared" ref="F94:Q94" si="73">SUM(F7:F93)</f>
        <v>664598.43000000028</v>
      </c>
      <c r="G94" s="43">
        <f t="shared" si="73"/>
        <v>511858.31</v>
      </c>
      <c r="H94" s="43">
        <f t="shared" si="73"/>
        <v>289271.34999999998</v>
      </c>
      <c r="I94" s="43">
        <f t="shared" si="73"/>
        <v>518686.05</v>
      </c>
      <c r="J94" s="43">
        <f t="shared" si="73"/>
        <v>591784.69000000018</v>
      </c>
      <c r="K94" s="43">
        <f t="shared" si="73"/>
        <v>418370.15999999986</v>
      </c>
      <c r="L94" s="43">
        <f t="shared" si="73"/>
        <v>329766.21000000008</v>
      </c>
      <c r="M94" s="43">
        <f t="shared" si="73"/>
        <v>506222.56000000006</v>
      </c>
      <c r="N94" s="43">
        <f t="shared" si="73"/>
        <v>705912.12999999989</v>
      </c>
      <c r="O94" s="43">
        <f t="shared" si="73"/>
        <v>724393.90158095781</v>
      </c>
      <c r="P94" s="43">
        <f t="shared" si="73"/>
        <v>669341.20963277039</v>
      </c>
      <c r="Q94" s="43">
        <f t="shared" si="73"/>
        <v>527888.3798229011</v>
      </c>
      <c r="R94" s="43">
        <f>SUM(R7:R92)</f>
        <v>6450205.3810366299</v>
      </c>
      <c r="S94" s="39"/>
      <c r="T94" s="43">
        <f>SUM(T7:T92)</f>
        <v>7193130.8120613042</v>
      </c>
      <c r="U94" s="43"/>
      <c r="V94" s="43">
        <f t="shared" ref="V94:AH94" si="74">SUM(V7:V92)</f>
        <v>446360.45440000005</v>
      </c>
      <c r="W94" s="43">
        <f t="shared" si="74"/>
        <v>454370.75789999997</v>
      </c>
      <c r="X94" s="43">
        <f t="shared" si="74"/>
        <v>502120.97220000002</v>
      </c>
      <c r="Y94" s="43">
        <f t="shared" si="74"/>
        <v>485909.58830000012</v>
      </c>
      <c r="Z94" s="43">
        <f t="shared" si="74"/>
        <v>585914.36225000001</v>
      </c>
      <c r="AA94" s="43">
        <f t="shared" si="74"/>
        <v>346776.54840000003</v>
      </c>
      <c r="AB94" s="43">
        <f t="shared" si="74"/>
        <v>526221.02985000005</v>
      </c>
      <c r="AC94" s="43">
        <f t="shared" si="74"/>
        <v>1093016.25655</v>
      </c>
      <c r="AD94" s="43">
        <f t="shared" si="74"/>
        <v>771094.24104999995</v>
      </c>
      <c r="AE94" s="43">
        <f t="shared" si="74"/>
        <v>596338.31800107949</v>
      </c>
      <c r="AF94" s="43">
        <f t="shared" si="74"/>
        <v>450908.57383272744</v>
      </c>
      <c r="AG94" s="43">
        <f t="shared" si="74"/>
        <v>479542.49896123586</v>
      </c>
      <c r="AH94" s="43">
        <f t="shared" si="74"/>
        <v>6738573.6016950421</v>
      </c>
      <c r="AI94" s="43"/>
      <c r="AK94" s="43">
        <f t="shared" ref="AK94:AW94" si="75">SUM(AK7:AK92)</f>
        <v>483073.55847000011</v>
      </c>
      <c r="AL94" s="43">
        <f t="shared" si="75"/>
        <v>467083.11629499996</v>
      </c>
      <c r="AM94" s="43">
        <f t="shared" si="75"/>
        <v>546824.48210999998</v>
      </c>
      <c r="AN94" s="43">
        <f t="shared" si="75"/>
        <v>515584.96792355581</v>
      </c>
      <c r="AO94" s="43">
        <f t="shared" si="75"/>
        <v>630181.51982642722</v>
      </c>
      <c r="AP94" s="43">
        <f t="shared" si="75"/>
        <v>419763.92221716966</v>
      </c>
      <c r="AQ94" s="43">
        <f t="shared" si="75"/>
        <v>562106.46875171515</v>
      </c>
      <c r="AR94" s="43">
        <f t="shared" si="75"/>
        <v>1274649.6649824132</v>
      </c>
      <c r="AS94" s="43">
        <f t="shared" si="75"/>
        <v>803937.14008723502</v>
      </c>
      <c r="AT94" s="43">
        <f t="shared" si="75"/>
        <v>653343.65014031052</v>
      </c>
      <c r="AU94" s="43">
        <f t="shared" si="75"/>
        <v>487003.67643035809</v>
      </c>
      <c r="AV94" s="43">
        <f t="shared" si="75"/>
        <v>515619.85047044506</v>
      </c>
      <c r="AW94" s="43">
        <f t="shared" si="75"/>
        <v>7359172.0177046303</v>
      </c>
      <c r="AX94" s="43"/>
    </row>
    <row r="95" spans="1:50" outlineLevel="1">
      <c r="A95" s="42"/>
      <c r="B95" s="44"/>
      <c r="D95" s="42"/>
      <c r="E95" s="44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39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K95" s="43"/>
      <c r="AL95" s="43"/>
      <c r="AM95" s="43"/>
      <c r="AN95" s="43"/>
      <c r="AO95" s="43"/>
      <c r="AP95" s="43"/>
      <c r="AQ95" s="43"/>
      <c r="AR95" s="43"/>
      <c r="AS95" s="43"/>
      <c r="AT95" s="43"/>
      <c r="AU95" s="43"/>
      <c r="AV95" s="43"/>
      <c r="AW95" s="43"/>
    </row>
    <row r="96" spans="1:50" outlineLevel="1">
      <c r="A96" s="408" t="s">
        <v>420</v>
      </c>
      <c r="B96" s="371"/>
      <c r="C96" s="369"/>
      <c r="D96" s="408"/>
      <c r="E96" s="411"/>
      <c r="F96" s="411"/>
      <c r="G96" s="411"/>
      <c r="H96" s="411"/>
      <c r="I96" s="411"/>
      <c r="J96" s="411"/>
      <c r="K96" s="411"/>
      <c r="L96" s="411"/>
      <c r="M96" s="411"/>
      <c r="N96" s="411"/>
      <c r="O96" s="411"/>
      <c r="P96" s="411"/>
      <c r="Q96" s="411"/>
      <c r="R96" s="411"/>
      <c r="S96" s="398"/>
      <c r="T96" s="411"/>
      <c r="U96" s="411"/>
      <c r="V96" s="411"/>
      <c r="W96" s="411"/>
      <c r="X96" s="411"/>
      <c r="Y96" s="411"/>
      <c r="Z96" s="411"/>
      <c r="AA96" s="411"/>
      <c r="AB96" s="411"/>
      <c r="AC96" s="411"/>
      <c r="AD96" s="411"/>
      <c r="AE96" s="411"/>
      <c r="AF96" s="411"/>
      <c r="AG96" s="411"/>
      <c r="AH96" s="411"/>
      <c r="AI96" s="369"/>
      <c r="AJ96" s="369"/>
      <c r="AK96" s="411"/>
      <c r="AL96" s="411"/>
      <c r="AM96" s="411"/>
      <c r="AN96" s="411"/>
      <c r="AO96" s="411"/>
      <c r="AP96" s="411"/>
      <c r="AQ96" s="411"/>
      <c r="AR96" s="411"/>
      <c r="AS96" s="411"/>
      <c r="AT96" s="411"/>
      <c r="AU96" s="411"/>
      <c r="AV96" s="411"/>
      <c r="AW96" s="411"/>
      <c r="AX96" s="369"/>
    </row>
    <row r="97" spans="1:50" outlineLevel="1">
      <c r="A97" s="37" t="s">
        <v>346</v>
      </c>
      <c r="B97" s="41" t="s">
        <v>265</v>
      </c>
      <c r="C97" s="41" t="s">
        <v>65</v>
      </c>
      <c r="D97" s="37"/>
      <c r="E97" s="272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>
        <f t="shared" ref="R97:R107" si="76">SUM(F97:Q97)</f>
        <v>0</v>
      </c>
      <c r="S97" s="39"/>
      <c r="T97" s="272"/>
      <c r="U97" s="272"/>
      <c r="V97" s="272"/>
      <c r="W97" s="272"/>
      <c r="X97" s="272"/>
      <c r="Y97" s="272">
        <f>(200*20*6*2)+(20*4*200)</f>
        <v>64000</v>
      </c>
      <c r="Z97" s="272">
        <v>21222.707423580785</v>
      </c>
      <c r="AA97" s="272">
        <v>10611.353711790392</v>
      </c>
      <c r="AB97" s="272">
        <v>14148.471615720524</v>
      </c>
      <c r="AC97" s="272">
        <v>15074.235807860199</v>
      </c>
      <c r="AD97" s="272">
        <v>14148.471615720524</v>
      </c>
      <c r="AE97" s="272">
        <v>21222.707423580785</v>
      </c>
      <c r="AF97" s="272">
        <v>14148.471615720524</v>
      </c>
      <c r="AG97" s="272">
        <v>14148.471615720524</v>
      </c>
      <c r="AH97" s="271">
        <f>SUM(U97:AG97)</f>
        <v>188724.89082969422</v>
      </c>
      <c r="AK97" s="39">
        <f t="shared" ref="AK97:AV97" si="77">V97*1.05</f>
        <v>0</v>
      </c>
      <c r="AL97" s="39">
        <f t="shared" si="77"/>
        <v>0</v>
      </c>
      <c r="AM97" s="39">
        <f t="shared" si="77"/>
        <v>0</v>
      </c>
      <c r="AN97" s="39">
        <f t="shared" si="77"/>
        <v>67200</v>
      </c>
      <c r="AO97" s="39">
        <f t="shared" si="77"/>
        <v>22283.842794759825</v>
      </c>
      <c r="AP97" s="39">
        <f t="shared" si="77"/>
        <v>11141.921397379912</v>
      </c>
      <c r="AQ97" s="39">
        <f t="shared" si="77"/>
        <v>14855.89519650655</v>
      </c>
      <c r="AR97" s="39">
        <f t="shared" si="77"/>
        <v>15827.947598253209</v>
      </c>
      <c r="AS97" s="39">
        <f t="shared" si="77"/>
        <v>14855.89519650655</v>
      </c>
      <c r="AT97" s="39">
        <f t="shared" si="77"/>
        <v>22283.842794759825</v>
      </c>
      <c r="AU97" s="39">
        <f t="shared" si="77"/>
        <v>14855.89519650655</v>
      </c>
      <c r="AV97" s="39">
        <f t="shared" si="77"/>
        <v>14855.89519650655</v>
      </c>
      <c r="AW97" s="45">
        <f>SUM(AK97:AV97)</f>
        <v>198161.13537117897</v>
      </c>
      <c r="AX97" s="139">
        <f>IFERROR(AW97/AH97-1,0)</f>
        <v>5.0000000000000266E-2</v>
      </c>
    </row>
    <row r="98" spans="1:50" outlineLevel="1">
      <c r="A98" s="37" t="s">
        <v>348</v>
      </c>
      <c r="B98" s="41" t="s">
        <v>295</v>
      </c>
      <c r="C98" s="41" t="s">
        <v>67</v>
      </c>
      <c r="D98" s="37"/>
      <c r="E98" s="272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>
        <v>42000</v>
      </c>
      <c r="R98" s="39">
        <f t="shared" si="76"/>
        <v>42000</v>
      </c>
      <c r="S98" s="39"/>
      <c r="T98" s="272"/>
      <c r="U98" s="272"/>
      <c r="V98" s="39">
        <v>0</v>
      </c>
      <c r="W98" s="39">
        <v>0</v>
      </c>
      <c r="X98" s="39">
        <v>0</v>
      </c>
      <c r="Y98" s="39">
        <v>0</v>
      </c>
      <c r="Z98" s="39">
        <v>0</v>
      </c>
      <c r="AA98" s="39">
        <v>50000</v>
      </c>
      <c r="AB98" s="39">
        <v>0</v>
      </c>
      <c r="AC98" s="39">
        <v>0</v>
      </c>
      <c r="AD98" s="39">
        <v>0</v>
      </c>
      <c r="AE98" s="39">
        <v>0</v>
      </c>
      <c r="AF98" s="39">
        <v>0</v>
      </c>
      <c r="AG98" s="39">
        <v>0</v>
      </c>
      <c r="AH98" s="271">
        <f t="shared" ref="AH98:AH101" si="78">SUM(U98:AG98)</f>
        <v>50000</v>
      </c>
      <c r="AK98" s="39"/>
      <c r="AL98" s="39"/>
      <c r="AM98" s="39"/>
      <c r="AN98" s="39"/>
      <c r="AO98" s="39"/>
      <c r="AP98" s="39"/>
      <c r="AQ98" s="39"/>
      <c r="AR98" s="39"/>
      <c r="AS98" s="39"/>
      <c r="AT98" s="39"/>
      <c r="AU98" s="39"/>
      <c r="AV98" s="39"/>
      <c r="AW98" s="272"/>
    </row>
    <row r="99" spans="1:50" outlineLevel="1">
      <c r="A99" s="37" t="s">
        <v>349</v>
      </c>
      <c r="B99" s="41" t="s">
        <v>274</v>
      </c>
      <c r="C99" s="41" t="s">
        <v>66</v>
      </c>
      <c r="D99" s="37"/>
      <c r="E99" s="272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>
        <v>30000</v>
      </c>
      <c r="R99" s="39">
        <f t="shared" si="76"/>
        <v>30000</v>
      </c>
      <c r="S99" s="39"/>
      <c r="T99" s="272"/>
      <c r="U99" s="272"/>
      <c r="V99" s="39">
        <v>3000</v>
      </c>
      <c r="W99" s="39">
        <v>4000</v>
      </c>
      <c r="X99" s="39">
        <v>4000</v>
      </c>
      <c r="Y99" s="39">
        <v>3000</v>
      </c>
      <c r="Z99" s="39">
        <v>4000</v>
      </c>
      <c r="AA99" s="39">
        <v>4000</v>
      </c>
      <c r="AB99" s="39">
        <v>3000</v>
      </c>
      <c r="AC99" s="39">
        <v>3000</v>
      </c>
      <c r="AD99" s="39">
        <v>4000</v>
      </c>
      <c r="AE99" s="39">
        <v>6000</v>
      </c>
      <c r="AF99" s="39">
        <v>5000</v>
      </c>
      <c r="AG99" s="39">
        <v>3000</v>
      </c>
      <c r="AH99" s="271">
        <f t="shared" si="78"/>
        <v>46000</v>
      </c>
      <c r="AK99" s="39">
        <f t="shared" ref="AK99:AV99" si="79">V99*1.05</f>
        <v>3150</v>
      </c>
      <c r="AL99" s="39">
        <f t="shared" si="79"/>
        <v>4200</v>
      </c>
      <c r="AM99" s="39">
        <f t="shared" si="79"/>
        <v>4200</v>
      </c>
      <c r="AN99" s="39">
        <f t="shared" si="79"/>
        <v>3150</v>
      </c>
      <c r="AO99" s="39">
        <f t="shared" si="79"/>
        <v>4200</v>
      </c>
      <c r="AP99" s="39">
        <f t="shared" si="79"/>
        <v>4200</v>
      </c>
      <c r="AQ99" s="39">
        <f t="shared" si="79"/>
        <v>3150</v>
      </c>
      <c r="AR99" s="39">
        <f t="shared" si="79"/>
        <v>3150</v>
      </c>
      <c r="AS99" s="39">
        <f t="shared" si="79"/>
        <v>4200</v>
      </c>
      <c r="AT99" s="39">
        <f t="shared" si="79"/>
        <v>6300</v>
      </c>
      <c r="AU99" s="39">
        <f t="shared" si="79"/>
        <v>5250</v>
      </c>
      <c r="AV99" s="39">
        <f t="shared" si="79"/>
        <v>3150</v>
      </c>
      <c r="AW99" s="45">
        <f t="shared" ref="AW99:AW107" si="80">SUM(AK99:AV99)</f>
        <v>48300</v>
      </c>
      <c r="AX99" s="139">
        <f>IFERROR(AW99/AH99-1,0)</f>
        <v>5.0000000000000044E-2</v>
      </c>
    </row>
    <row r="100" spans="1:50" outlineLevel="1">
      <c r="A100" s="37" t="s">
        <v>413</v>
      </c>
      <c r="B100" s="41" t="s">
        <v>247</v>
      </c>
      <c r="C100" s="41" t="s">
        <v>65</v>
      </c>
      <c r="D100" s="37"/>
      <c r="E100" s="272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>
        <f t="shared" si="76"/>
        <v>0</v>
      </c>
      <c r="S100" s="39"/>
      <c r="T100" s="272"/>
      <c r="U100" s="272"/>
      <c r="V100" s="39">
        <v>0</v>
      </c>
      <c r="W100" s="39">
        <v>247500</v>
      </c>
      <c r="X100" s="39">
        <v>54000</v>
      </c>
      <c r="Y100" s="39">
        <v>36000</v>
      </c>
      <c r="Z100" s="39">
        <v>40500</v>
      </c>
      <c r="AA100" s="39">
        <v>27000</v>
      </c>
      <c r="AB100" s="39">
        <v>22500</v>
      </c>
      <c r="AC100" s="39">
        <f>27000</f>
        <v>27000</v>
      </c>
      <c r="AD100" s="39">
        <v>18000</v>
      </c>
      <c r="AE100" s="39">
        <v>36000</v>
      </c>
      <c r="AF100" s="39">
        <v>18000</v>
      </c>
      <c r="AG100" s="39">
        <v>18000</v>
      </c>
      <c r="AH100" s="271">
        <f t="shared" si="78"/>
        <v>544500</v>
      </c>
      <c r="AK100" s="39">
        <f>AN100</f>
        <v>37800</v>
      </c>
      <c r="AL100" s="39">
        <f>AM100</f>
        <v>56700</v>
      </c>
      <c r="AM100" s="39">
        <f t="shared" ref="AM100:AV100" si="81">X100*1.05</f>
        <v>56700</v>
      </c>
      <c r="AN100" s="39">
        <f t="shared" si="81"/>
        <v>37800</v>
      </c>
      <c r="AO100" s="39">
        <f t="shared" si="81"/>
        <v>42525</v>
      </c>
      <c r="AP100" s="39">
        <f t="shared" si="81"/>
        <v>28350</v>
      </c>
      <c r="AQ100" s="39">
        <f t="shared" si="81"/>
        <v>23625</v>
      </c>
      <c r="AR100" s="39">
        <f t="shared" si="81"/>
        <v>28350</v>
      </c>
      <c r="AS100" s="39">
        <f t="shared" si="81"/>
        <v>18900</v>
      </c>
      <c r="AT100" s="39">
        <f t="shared" si="81"/>
        <v>37800</v>
      </c>
      <c r="AU100" s="39">
        <f t="shared" si="81"/>
        <v>18900</v>
      </c>
      <c r="AV100" s="39">
        <f t="shared" si="81"/>
        <v>18900</v>
      </c>
      <c r="AW100" s="45">
        <f t="shared" si="80"/>
        <v>406350</v>
      </c>
      <c r="AX100" s="139">
        <f>IFERROR(AW100/AH100-1,0)</f>
        <v>-0.25371900826446281</v>
      </c>
    </row>
    <row r="101" spans="1:50" ht="39" outlineLevel="1">
      <c r="A101" s="410" t="s">
        <v>351</v>
      </c>
      <c r="B101" s="41" t="s">
        <v>67</v>
      </c>
      <c r="C101" s="41" t="s">
        <v>67</v>
      </c>
      <c r="D101" s="37"/>
      <c r="E101" s="272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>
        <f t="shared" si="76"/>
        <v>0</v>
      </c>
      <c r="S101" s="39"/>
      <c r="T101" s="272"/>
      <c r="U101" s="272"/>
      <c r="V101" s="39">
        <v>0</v>
      </c>
      <c r="W101" s="39">
        <v>0</v>
      </c>
      <c r="X101" s="39">
        <v>0</v>
      </c>
      <c r="Y101" s="39">
        <v>0</v>
      </c>
      <c r="Z101" s="39">
        <v>0</v>
      </c>
      <c r="AA101" s="39">
        <v>0</v>
      </c>
      <c r="AB101" s="39">
        <v>0</v>
      </c>
      <c r="AC101" s="39">
        <v>0</v>
      </c>
      <c r="AD101" s="39">
        <v>0</v>
      </c>
      <c r="AE101" s="39">
        <v>0</v>
      </c>
      <c r="AF101" s="39">
        <v>0</v>
      </c>
      <c r="AG101" s="39">
        <v>0</v>
      </c>
      <c r="AH101" s="271">
        <f t="shared" si="78"/>
        <v>0</v>
      </c>
      <c r="AK101" s="39"/>
      <c r="AL101" s="39"/>
      <c r="AM101" s="39"/>
      <c r="AN101" s="39"/>
      <c r="AO101" s="39"/>
      <c r="AP101" s="39"/>
      <c r="AQ101" s="39"/>
      <c r="AR101" s="39"/>
      <c r="AS101" s="39"/>
      <c r="AT101" s="39"/>
      <c r="AU101" s="39"/>
      <c r="AV101" s="39"/>
      <c r="AW101" s="45">
        <f t="shared" si="80"/>
        <v>0</v>
      </c>
      <c r="AX101" s="139">
        <f>IFERROR(AW101/AH101-1,0)</f>
        <v>0</v>
      </c>
    </row>
    <row r="102" spans="1:50" ht="13" outlineLevel="1">
      <c r="A102" s="410" t="s">
        <v>421</v>
      </c>
      <c r="B102" s="41" t="s">
        <v>64</v>
      </c>
      <c r="C102" s="41" t="s">
        <v>64</v>
      </c>
      <c r="D102" s="37"/>
      <c r="E102" s="272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>
        <f t="shared" si="76"/>
        <v>0</v>
      </c>
      <c r="S102" s="39"/>
      <c r="T102" s="272"/>
      <c r="U102" s="272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271">
        <f t="shared" ref="AH102:AH107" si="82">SUM(U102:AG102)</f>
        <v>0</v>
      </c>
      <c r="AK102" s="39">
        <v>26345.199720000001</v>
      </c>
      <c r="AL102" s="39">
        <v>42771.248599999999</v>
      </c>
      <c r="AM102" s="39">
        <v>14876.0718</v>
      </c>
      <c r="AN102" s="39">
        <v>20850.414399999998</v>
      </c>
      <c r="AO102" s="39">
        <v>10295.568000000001</v>
      </c>
      <c r="AP102" s="39">
        <v>20742.116320000001</v>
      </c>
      <c r="AQ102" s="39">
        <v>13715.950559999999</v>
      </c>
      <c r="AR102" s="39">
        <v>70079.336979999993</v>
      </c>
      <c r="AS102" s="39">
        <v>37900.276960000003</v>
      </c>
      <c r="AT102" s="39">
        <v>45736.248239999994</v>
      </c>
      <c r="AU102" s="39">
        <v>17215.884000000002</v>
      </c>
      <c r="AV102" s="39">
        <v>13017.139200000001</v>
      </c>
      <c r="AW102" s="45">
        <f t="shared" si="80"/>
        <v>333545.45477999997</v>
      </c>
      <c r="AX102" s="139">
        <v>0</v>
      </c>
    </row>
    <row r="103" spans="1:50" ht="13" outlineLevel="1">
      <c r="A103" s="410" t="s">
        <v>422</v>
      </c>
      <c r="B103" s="41" t="s">
        <v>64</v>
      </c>
      <c r="C103" s="41" t="s">
        <v>64</v>
      </c>
      <c r="D103" s="37"/>
      <c r="E103" s="272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>
        <f t="shared" si="76"/>
        <v>0</v>
      </c>
      <c r="S103" s="39"/>
      <c r="T103" s="272"/>
      <c r="U103" s="272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271">
        <f t="shared" si="82"/>
        <v>0</v>
      </c>
      <c r="AK103" s="39"/>
      <c r="AL103" s="39"/>
      <c r="AM103" s="39"/>
      <c r="AN103" s="39"/>
      <c r="AO103" s="39"/>
      <c r="AP103" s="39">
        <v>15000</v>
      </c>
      <c r="AQ103" s="39">
        <v>5000</v>
      </c>
      <c r="AR103" s="39">
        <v>3000</v>
      </c>
      <c r="AS103" s="39">
        <v>2000</v>
      </c>
      <c r="AT103" s="39">
        <v>3000</v>
      </c>
      <c r="AU103" s="39">
        <v>2000</v>
      </c>
      <c r="AV103" s="39">
        <v>3000</v>
      </c>
      <c r="AW103" s="45">
        <f t="shared" si="80"/>
        <v>33000</v>
      </c>
      <c r="AX103" s="139">
        <f>IFERROR(AW103/AH103-1,0)</f>
        <v>0</v>
      </c>
    </row>
    <row r="104" spans="1:50" ht="13" outlineLevel="1">
      <c r="A104" s="410" t="s">
        <v>423</v>
      </c>
      <c r="B104" s="41" t="s">
        <v>265</v>
      </c>
      <c r="C104" s="41" t="s">
        <v>65</v>
      </c>
      <c r="D104" s="37"/>
      <c r="E104" s="272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>
        <f t="shared" si="76"/>
        <v>0</v>
      </c>
      <c r="S104" s="39"/>
      <c r="T104" s="272"/>
      <c r="U104" s="272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271">
        <f t="shared" si="82"/>
        <v>0</v>
      </c>
      <c r="AK104" s="39"/>
      <c r="AL104" s="39"/>
      <c r="AM104" s="39">
        <f t="shared" ref="AM104:AV104" si="83">AM97</f>
        <v>0</v>
      </c>
      <c r="AN104" s="39">
        <f t="shared" si="83"/>
        <v>67200</v>
      </c>
      <c r="AO104" s="39">
        <f t="shared" si="83"/>
        <v>22283.842794759825</v>
      </c>
      <c r="AP104" s="39">
        <f t="shared" si="83"/>
        <v>11141.921397379912</v>
      </c>
      <c r="AQ104" s="39">
        <f t="shared" si="83"/>
        <v>14855.89519650655</v>
      </c>
      <c r="AR104" s="39">
        <f t="shared" si="83"/>
        <v>15827.947598253209</v>
      </c>
      <c r="AS104" s="39">
        <f t="shared" si="83"/>
        <v>14855.89519650655</v>
      </c>
      <c r="AT104" s="39">
        <f t="shared" si="83"/>
        <v>22283.842794759825</v>
      </c>
      <c r="AU104" s="39">
        <f t="shared" si="83"/>
        <v>14855.89519650655</v>
      </c>
      <c r="AV104" s="39">
        <f t="shared" si="83"/>
        <v>14855.89519650655</v>
      </c>
      <c r="AW104" s="45">
        <f t="shared" si="80"/>
        <v>198161.13537117897</v>
      </c>
      <c r="AX104" s="139">
        <f>IFERROR(AW104/AH104-1,0)</f>
        <v>0</v>
      </c>
    </row>
    <row r="105" spans="1:50" ht="13" outlineLevel="1">
      <c r="A105" s="410" t="s">
        <v>424</v>
      </c>
      <c r="B105" s="41" t="s">
        <v>265</v>
      </c>
      <c r="C105" s="41" t="s">
        <v>65</v>
      </c>
      <c r="D105" s="37"/>
      <c r="E105" s="272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>
        <f t="shared" si="76"/>
        <v>0</v>
      </c>
      <c r="S105" s="39"/>
      <c r="T105" s="272"/>
      <c r="U105" s="272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  <c r="AG105" s="39"/>
      <c r="AH105" s="271">
        <f t="shared" si="82"/>
        <v>0</v>
      </c>
      <c r="AK105" s="39"/>
      <c r="AL105" s="39">
        <f>AK102*2</f>
        <v>52690.399440000001</v>
      </c>
      <c r="AM105" s="39">
        <f t="shared" ref="AM105:AV105" si="84">AL102*2</f>
        <v>85542.497199999998</v>
      </c>
      <c r="AN105" s="39">
        <f t="shared" si="84"/>
        <v>29752.143599999999</v>
      </c>
      <c r="AO105" s="39">
        <f t="shared" si="84"/>
        <v>41700.828799999996</v>
      </c>
      <c r="AP105" s="39">
        <f t="shared" si="84"/>
        <v>20591.136000000002</v>
      </c>
      <c r="AQ105" s="39">
        <f t="shared" si="84"/>
        <v>41484.232640000002</v>
      </c>
      <c r="AR105" s="39">
        <f t="shared" si="84"/>
        <v>27431.901119999999</v>
      </c>
      <c r="AS105" s="39">
        <f t="shared" si="84"/>
        <v>140158.67395999999</v>
      </c>
      <c r="AT105" s="39">
        <f t="shared" si="84"/>
        <v>75800.553920000006</v>
      </c>
      <c r="AU105" s="39">
        <f t="shared" si="84"/>
        <v>91472.496479999987</v>
      </c>
      <c r="AV105" s="39">
        <f t="shared" si="84"/>
        <v>34431.768000000004</v>
      </c>
      <c r="AW105" s="45">
        <f t="shared" si="80"/>
        <v>641056.63115999999</v>
      </c>
      <c r="AX105" s="139">
        <f>IFERROR(AW105/AH105-1,0)</f>
        <v>0</v>
      </c>
    </row>
    <row r="106" spans="1:50" ht="13" outlineLevel="1">
      <c r="A106" s="410" t="s">
        <v>425</v>
      </c>
      <c r="B106" s="41" t="s">
        <v>327</v>
      </c>
      <c r="C106" s="41" t="s">
        <v>66</v>
      </c>
      <c r="D106" s="37"/>
      <c r="E106" s="272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>
        <f t="shared" si="76"/>
        <v>0</v>
      </c>
      <c r="S106" s="39"/>
      <c r="T106" s="272"/>
      <c r="U106" s="272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  <c r="AG106" s="39"/>
      <c r="AH106" s="271">
        <f t="shared" si="82"/>
        <v>0</v>
      </c>
      <c r="AK106" s="39"/>
      <c r="AL106" s="39"/>
      <c r="AM106" s="39"/>
      <c r="AN106" s="39">
        <f>AK99*2</f>
        <v>6300</v>
      </c>
      <c r="AO106" s="39">
        <f t="shared" ref="AO106:AV106" si="85">AL99*2</f>
        <v>8400</v>
      </c>
      <c r="AP106" s="39">
        <f t="shared" si="85"/>
        <v>8400</v>
      </c>
      <c r="AQ106" s="39">
        <f t="shared" si="85"/>
        <v>6300</v>
      </c>
      <c r="AR106" s="39">
        <f t="shared" si="85"/>
        <v>8400</v>
      </c>
      <c r="AS106" s="39">
        <f t="shared" si="85"/>
        <v>8400</v>
      </c>
      <c r="AT106" s="39">
        <f t="shared" si="85"/>
        <v>6300</v>
      </c>
      <c r="AU106" s="39">
        <f t="shared" si="85"/>
        <v>6300</v>
      </c>
      <c r="AV106" s="39">
        <f t="shared" si="85"/>
        <v>8400</v>
      </c>
      <c r="AW106" s="45">
        <f t="shared" si="80"/>
        <v>67200</v>
      </c>
      <c r="AX106" s="139">
        <f>IFERROR(AW106/AH106-1,0)</f>
        <v>0</v>
      </c>
    </row>
    <row r="107" spans="1:50" ht="13" outlineLevel="1">
      <c r="A107" s="410" t="s">
        <v>426</v>
      </c>
      <c r="B107" s="41" t="s">
        <v>67</v>
      </c>
      <c r="C107" s="41" t="s">
        <v>67</v>
      </c>
      <c r="D107" s="37"/>
      <c r="E107" s="272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>
        <f t="shared" si="76"/>
        <v>0</v>
      </c>
      <c r="S107" s="39"/>
      <c r="T107" s="272"/>
      <c r="U107" s="272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  <c r="AG107" s="39"/>
      <c r="AH107" s="271">
        <f t="shared" si="82"/>
        <v>0</v>
      </c>
      <c r="AK107" s="39"/>
      <c r="AL107" s="39"/>
      <c r="AM107" s="39"/>
      <c r="AN107" s="39"/>
      <c r="AO107" s="39"/>
      <c r="AP107" s="39"/>
      <c r="AQ107" s="39"/>
      <c r="AR107" s="39"/>
      <c r="AS107" s="39"/>
      <c r="AT107" s="39"/>
      <c r="AU107" s="39"/>
      <c r="AV107" s="39"/>
      <c r="AW107" s="45">
        <f t="shared" si="80"/>
        <v>0</v>
      </c>
      <c r="AX107" s="139">
        <f>IFERROR(AW107/AH107-1,0)</f>
        <v>0</v>
      </c>
    </row>
    <row r="108" spans="1:50" outlineLevel="1">
      <c r="A108" s="410"/>
      <c r="B108" s="41"/>
      <c r="C108" s="41"/>
      <c r="D108" s="37"/>
      <c r="E108" s="272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272"/>
      <c r="U108" s="272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271"/>
      <c r="AK108" s="39"/>
      <c r="AL108" s="39"/>
      <c r="AM108" s="39"/>
      <c r="AN108" s="39"/>
      <c r="AO108" s="39"/>
      <c r="AP108" s="39"/>
      <c r="AQ108" s="39"/>
      <c r="AR108" s="39"/>
      <c r="AS108" s="39"/>
      <c r="AT108" s="39"/>
      <c r="AU108" s="39"/>
      <c r="AV108" s="39"/>
      <c r="AW108" s="272"/>
    </row>
    <row r="109" spans="1:50" outlineLevel="1">
      <c r="A109" s="408" t="s">
        <v>397</v>
      </c>
      <c r="B109" s="371"/>
      <c r="C109" s="369"/>
      <c r="D109" s="408"/>
      <c r="E109" s="411"/>
      <c r="F109" s="411"/>
      <c r="G109" s="411"/>
      <c r="H109" s="411"/>
      <c r="I109" s="411"/>
      <c r="J109" s="411"/>
      <c r="K109" s="411"/>
      <c r="L109" s="411"/>
      <c r="M109" s="411"/>
      <c r="N109" s="411"/>
      <c r="O109" s="411"/>
      <c r="P109" s="411"/>
      <c r="Q109" s="411"/>
      <c r="R109" s="411"/>
      <c r="S109" s="398"/>
      <c r="T109" s="411"/>
      <c r="U109" s="411"/>
      <c r="V109" s="411"/>
      <c r="W109" s="411"/>
      <c r="X109" s="411"/>
      <c r="Y109" s="411"/>
      <c r="Z109" s="411"/>
      <c r="AA109" s="411"/>
      <c r="AB109" s="411"/>
      <c r="AC109" s="411"/>
      <c r="AD109" s="411"/>
      <c r="AE109" s="411"/>
      <c r="AF109" s="411"/>
      <c r="AG109" s="411"/>
      <c r="AH109" s="411"/>
      <c r="AI109" s="369"/>
      <c r="AJ109" s="369"/>
      <c r="AK109" s="411"/>
      <c r="AL109" s="411"/>
      <c r="AM109" s="411"/>
      <c r="AN109" s="411"/>
      <c r="AO109" s="411"/>
      <c r="AP109" s="411"/>
      <c r="AQ109" s="411"/>
      <c r="AR109" s="411"/>
      <c r="AS109" s="411"/>
      <c r="AT109" s="411"/>
      <c r="AU109" s="411"/>
      <c r="AV109" s="411"/>
      <c r="AW109" s="411"/>
      <c r="AX109" s="369"/>
    </row>
    <row r="110" spans="1:50" outlineLevel="1">
      <c r="A110" s="401" t="s">
        <v>352</v>
      </c>
      <c r="B110" s="41" t="s">
        <v>67</v>
      </c>
      <c r="C110" s="41" t="s">
        <v>67</v>
      </c>
      <c r="D110" s="37"/>
      <c r="E110" s="40"/>
      <c r="F110" s="420"/>
      <c r="G110" s="420"/>
      <c r="H110" s="420"/>
      <c r="I110" s="420"/>
      <c r="J110" s="420"/>
      <c r="K110" s="420"/>
      <c r="L110" s="420"/>
      <c r="M110" s="420"/>
      <c r="N110" s="420"/>
      <c r="O110" s="39"/>
      <c r="P110" s="39"/>
      <c r="Q110" s="39"/>
      <c r="R110" s="39"/>
      <c r="S110" s="39"/>
      <c r="T110" s="40">
        <v>53930</v>
      </c>
      <c r="U110" s="40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  <c r="AF110" s="39"/>
      <c r="AG110" s="39"/>
      <c r="AH110" s="40"/>
      <c r="AK110" s="39"/>
      <c r="AL110" s="39"/>
      <c r="AM110" s="39"/>
      <c r="AN110" s="39"/>
      <c r="AO110" s="39"/>
      <c r="AP110" s="39"/>
      <c r="AQ110" s="39"/>
      <c r="AR110" s="39"/>
      <c r="AS110" s="39"/>
      <c r="AT110" s="39"/>
      <c r="AU110" s="39"/>
      <c r="AV110" s="39"/>
      <c r="AW110" s="40"/>
    </row>
    <row r="111" spans="1:50" outlineLevel="1">
      <c r="A111" s="401" t="s">
        <v>353</v>
      </c>
      <c r="B111" s="41" t="s">
        <v>64</v>
      </c>
      <c r="C111" s="41" t="s">
        <v>64</v>
      </c>
      <c r="D111" s="37"/>
      <c r="E111" s="40">
        <v>0</v>
      </c>
      <c r="F111" s="420"/>
      <c r="G111" s="420"/>
      <c r="H111" s="420"/>
      <c r="I111" s="420"/>
      <c r="J111" s="420"/>
      <c r="K111" s="420"/>
      <c r="L111" s="420"/>
      <c r="M111" s="420"/>
      <c r="N111" s="420">
        <v>59965</v>
      </c>
      <c r="O111" s="39">
        <v>44111.061880253896</v>
      </c>
      <c r="P111" s="39">
        <v>37978.770360834809</v>
      </c>
      <c r="Q111" s="39">
        <v>26744.525823448505</v>
      </c>
      <c r="R111" s="39">
        <f>SUM(F111:Q111)</f>
        <v>168799.3580645372</v>
      </c>
      <c r="S111" s="39"/>
      <c r="T111" s="39">
        <v>450000</v>
      </c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  <c r="AK111" s="39"/>
      <c r="AL111" s="39"/>
      <c r="AM111" s="39"/>
      <c r="AN111" s="39"/>
      <c r="AO111" s="39"/>
      <c r="AP111" s="39"/>
      <c r="AQ111" s="39"/>
      <c r="AR111" s="39"/>
      <c r="AS111" s="39"/>
      <c r="AT111" s="39"/>
      <c r="AU111" s="39"/>
      <c r="AV111" s="39"/>
      <c r="AW111" s="39"/>
    </row>
    <row r="112" spans="1:50" outlineLevel="1">
      <c r="A112" s="401"/>
      <c r="B112" s="41"/>
      <c r="C112" s="41"/>
      <c r="D112" s="37"/>
      <c r="E112" s="40"/>
      <c r="F112" s="420"/>
      <c r="G112" s="420"/>
      <c r="H112" s="420"/>
      <c r="I112" s="420"/>
      <c r="J112" s="420"/>
      <c r="K112" s="420"/>
      <c r="L112" s="420"/>
      <c r="M112" s="420"/>
      <c r="N112" s="420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  <c r="AG112" s="39"/>
      <c r="AH112" s="39"/>
      <c r="AK112" s="39"/>
      <c r="AL112" s="39"/>
      <c r="AM112" s="39"/>
      <c r="AN112" s="39"/>
      <c r="AO112" s="39"/>
      <c r="AP112" s="39"/>
      <c r="AQ112" s="39"/>
      <c r="AR112" s="39"/>
      <c r="AS112" s="39"/>
      <c r="AT112" s="39"/>
      <c r="AU112" s="39"/>
      <c r="AV112" s="39"/>
      <c r="AW112" s="39"/>
    </row>
    <row r="113" spans="1:50" ht="13" customHeight="1" outlineLevel="1">
      <c r="A113" s="408" t="s">
        <v>354</v>
      </c>
      <c r="B113" s="369"/>
      <c r="C113" s="369"/>
      <c r="D113" s="408"/>
      <c r="E113" s="369"/>
      <c r="F113" s="409">
        <f>SUM(F94:F111)</f>
        <v>664598.43000000028</v>
      </c>
      <c r="G113" s="409">
        <f t="shared" ref="G113:R113" si="86">SUM(G94:G111)</f>
        <v>511858.31</v>
      </c>
      <c r="H113" s="409">
        <f t="shared" si="86"/>
        <v>289271.34999999998</v>
      </c>
      <c r="I113" s="409">
        <f t="shared" si="86"/>
        <v>518686.05</v>
      </c>
      <c r="J113" s="409">
        <f t="shared" si="86"/>
        <v>591784.69000000018</v>
      </c>
      <c r="K113" s="409">
        <f t="shared" si="86"/>
        <v>418370.15999999986</v>
      </c>
      <c r="L113" s="409">
        <f t="shared" si="86"/>
        <v>329766.21000000008</v>
      </c>
      <c r="M113" s="409">
        <f t="shared" si="86"/>
        <v>506222.56000000006</v>
      </c>
      <c r="N113" s="409">
        <f>SUM(N94:N111)</f>
        <v>765877.12999999989</v>
      </c>
      <c r="O113" s="409">
        <f t="shared" si="86"/>
        <v>768504.96346121165</v>
      </c>
      <c r="P113" s="409">
        <f t="shared" si="86"/>
        <v>707319.97999360517</v>
      </c>
      <c r="Q113" s="409">
        <f t="shared" si="86"/>
        <v>626632.90564634965</v>
      </c>
      <c r="R113" s="409">
        <f t="shared" si="86"/>
        <v>6691004.7391011668</v>
      </c>
      <c r="S113" s="412"/>
      <c r="T113" s="409">
        <f>SUM(T94:T110)</f>
        <v>7247060.8120613042</v>
      </c>
      <c r="U113" s="369"/>
      <c r="V113" s="409">
        <f>SUM(V94:V111)</f>
        <v>449360.45440000005</v>
      </c>
      <c r="W113" s="409">
        <f t="shared" ref="W113" si="87">SUM(W94:W111)</f>
        <v>705870.75789999997</v>
      </c>
      <c r="X113" s="409">
        <f t="shared" ref="X113" si="88">SUM(X94:X111)</f>
        <v>560120.97219999996</v>
      </c>
      <c r="Y113" s="409">
        <f t="shared" ref="Y113" si="89">SUM(Y94:Y111)</f>
        <v>588909.58830000018</v>
      </c>
      <c r="Z113" s="409">
        <f t="shared" ref="Z113" si="90">SUM(Z94:Z111)</f>
        <v>651637.06967358082</v>
      </c>
      <c r="AA113" s="409">
        <f t="shared" ref="AA113" si="91">SUM(AA94:AA111)</f>
        <v>438387.90211179043</v>
      </c>
      <c r="AB113" s="409">
        <f t="shared" ref="AB113" si="92">SUM(AB94:AB111)</f>
        <v>565869.50146572059</v>
      </c>
      <c r="AC113" s="409">
        <f t="shared" ref="AC113" si="93">SUM(AC94:AC111)</f>
        <v>1138090.4923578603</v>
      </c>
      <c r="AD113" s="409">
        <f t="shared" ref="AD113" si="94">SUM(AD94:AD111)</f>
        <v>807242.71266572049</v>
      </c>
      <c r="AE113" s="409">
        <f t="shared" ref="AE113" si="95">SUM(AE94:AE111)</f>
        <v>659561.0254246603</v>
      </c>
      <c r="AF113" s="409">
        <f t="shared" ref="AF113" si="96">SUM(AF94:AF111)</f>
        <v>488057.04544844799</v>
      </c>
      <c r="AG113" s="409">
        <f t="shared" ref="AG113" si="97">SUM(AG94:AG111)</f>
        <v>514690.9705769564</v>
      </c>
      <c r="AH113" s="409">
        <f>SUM(AH94:AH110)</f>
        <v>7567798.4925247366</v>
      </c>
      <c r="AI113" s="369"/>
      <c r="AJ113" s="369"/>
      <c r="AK113" s="409">
        <f>SUM(AK94:AK111)</f>
        <v>550368.75819000008</v>
      </c>
      <c r="AL113" s="409">
        <f t="shared" ref="AL113" si="98">SUM(AL94:AL111)</f>
        <v>623444.76433499996</v>
      </c>
      <c r="AM113" s="409">
        <f t="shared" ref="AM113" si="99">SUM(AM94:AM111)</f>
        <v>708143.05111</v>
      </c>
      <c r="AN113" s="409">
        <f t="shared" ref="AN113" si="100">SUM(AN94:AN111)</f>
        <v>747837.52592355572</v>
      </c>
      <c r="AO113" s="409">
        <f t="shared" ref="AO113" si="101">SUM(AO94:AO111)</f>
        <v>781870.60221594677</v>
      </c>
      <c r="AP113" s="409">
        <f t="shared" ref="AP113" si="102">SUM(AP94:AP111)</f>
        <v>539331.01733192941</v>
      </c>
      <c r="AQ113" s="409">
        <f t="shared" ref="AQ113" si="103">SUM(AQ94:AQ111)</f>
        <v>685093.44234472816</v>
      </c>
      <c r="AR113" s="409">
        <f t="shared" ref="AR113" si="104">SUM(AR94:AR111)</f>
        <v>1446716.7982789194</v>
      </c>
      <c r="AS113" s="409">
        <f t="shared" ref="AS113" si="105">SUM(AS94:AS111)</f>
        <v>1045207.881400248</v>
      </c>
      <c r="AT113" s="409">
        <f t="shared" ref="AT113" si="106">SUM(AT94:AT111)</f>
        <v>872848.13788983005</v>
      </c>
      <c r="AU113" s="409">
        <f t="shared" ref="AU113" si="107">SUM(AU94:AU111)</f>
        <v>657853.84730337106</v>
      </c>
      <c r="AV113" s="409">
        <f t="shared" ref="AV113" si="108">SUM(AV94:AV111)</f>
        <v>626230.54806345818</v>
      </c>
      <c r="AW113" s="409">
        <f>SUM(AW94:AW110)</f>
        <v>9284946.3743869886</v>
      </c>
      <c r="AX113" s="371">
        <f>IFERROR(AW113/AH113-1,0)</f>
        <v>0.22690190331552884</v>
      </c>
    </row>
    <row r="114" spans="1:50">
      <c r="A114" s="181" t="s">
        <v>355</v>
      </c>
      <c r="S114" s="39"/>
      <c r="AG114" s="482" t="s">
        <v>427</v>
      </c>
      <c r="AH114" s="40">
        <v>590000</v>
      </c>
    </row>
    <row r="115" spans="1:50">
      <c r="A115" s="13" t="s">
        <v>356</v>
      </c>
      <c r="N115" s="139">
        <f>N97/N94</f>
        <v>0</v>
      </c>
      <c r="O115" s="139">
        <f>O97/O94</f>
        <v>0</v>
      </c>
      <c r="P115" s="139">
        <f>P97/P94</f>
        <v>0</v>
      </c>
      <c r="Q115" s="139">
        <f>Q97/Q94</f>
        <v>0</v>
      </c>
      <c r="S115" s="39"/>
      <c r="AD115" s="13" t="s">
        <v>428</v>
      </c>
      <c r="AE115" s="13" t="s">
        <v>66</v>
      </c>
      <c r="AF115" s="13" t="s">
        <v>72</v>
      </c>
      <c r="AG115" s="419" t="s">
        <v>429</v>
      </c>
      <c r="AH115" s="40">
        <v>40000</v>
      </c>
    </row>
    <row r="116" spans="1:50">
      <c r="F116" s="45"/>
      <c r="AD116" s="13" t="s">
        <v>428</v>
      </c>
      <c r="AE116" s="13" t="s">
        <v>67</v>
      </c>
      <c r="AF116" s="13" t="s">
        <v>67</v>
      </c>
      <c r="AG116" s="419" t="s">
        <v>430</v>
      </c>
      <c r="AH116" s="40">
        <v>100000</v>
      </c>
    </row>
    <row r="117" spans="1:50" outlineLevel="1">
      <c r="A117" s="161" t="s">
        <v>357</v>
      </c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15"/>
      <c r="AD117" s="13" t="s">
        <v>428</v>
      </c>
      <c r="AE117" s="13" t="s">
        <v>67</v>
      </c>
      <c r="AF117" s="13" t="s">
        <v>67</v>
      </c>
      <c r="AG117" s="419" t="s">
        <v>431</v>
      </c>
      <c r="AH117" s="40">
        <v>80000</v>
      </c>
    </row>
    <row r="118" spans="1:50" outlineLevel="1">
      <c r="A118" s="50">
        <v>0.03</v>
      </c>
      <c r="B118" s="50"/>
      <c r="C118" s="50"/>
      <c r="D118" s="50"/>
      <c r="E118" s="50"/>
      <c r="F118" s="168">
        <v>0</v>
      </c>
      <c r="G118" s="168">
        <v>0</v>
      </c>
      <c r="H118" s="168">
        <v>0</v>
      </c>
      <c r="I118" s="168">
        <v>0</v>
      </c>
      <c r="J118" s="168">
        <v>5512.4795999999997</v>
      </c>
      <c r="K118" s="168">
        <v>6313.7589368580839</v>
      </c>
      <c r="L118" s="168">
        <v>6949.6414935991588</v>
      </c>
      <c r="M118" s="168">
        <v>8181.0481421153772</v>
      </c>
      <c r="N118" s="168">
        <v>9869.401552018955</v>
      </c>
      <c r="O118" s="168">
        <v>11471.362771272521</v>
      </c>
      <c r="P118" s="168">
        <v>10811.309613098732</v>
      </c>
      <c r="Q118" s="168">
        <v>8872.3977116687383</v>
      </c>
      <c r="R118" s="15"/>
      <c r="AD118" s="13" t="s">
        <v>428</v>
      </c>
      <c r="AE118" s="13" t="s">
        <v>66</v>
      </c>
      <c r="AF118" s="13" t="s">
        <v>432</v>
      </c>
      <c r="AG118" s="419" t="s">
        <v>433</v>
      </c>
      <c r="AH118" s="40">
        <v>30000</v>
      </c>
    </row>
    <row r="119" spans="1:50" outlineLevel="1">
      <c r="A119" s="106">
        <v>5.0000000000000001E-3</v>
      </c>
      <c r="B119" s="50"/>
      <c r="C119" s="50"/>
      <c r="D119" s="50"/>
      <c r="E119" s="50"/>
      <c r="F119" s="168"/>
      <c r="G119" s="168"/>
      <c r="H119" s="168"/>
      <c r="I119" s="168"/>
      <c r="J119" s="168"/>
      <c r="K119" s="168"/>
      <c r="L119" s="168"/>
      <c r="M119" s="168"/>
      <c r="N119" s="168"/>
      <c r="O119" s="168"/>
      <c r="P119" s="168"/>
      <c r="Q119" s="168"/>
      <c r="R119" s="15"/>
      <c r="AD119" s="13" t="s">
        <v>428</v>
      </c>
      <c r="AE119" s="13" t="s">
        <v>67</v>
      </c>
      <c r="AF119" s="13" t="s">
        <v>67</v>
      </c>
      <c r="AG119" s="419" t="s">
        <v>434</v>
      </c>
      <c r="AH119" s="40">
        <v>50000</v>
      </c>
    </row>
    <row r="120" spans="1:50" outlineLevel="1">
      <c r="A120" s="106"/>
      <c r="B120" s="50"/>
      <c r="C120" s="50"/>
      <c r="D120" s="50"/>
      <c r="E120" s="50"/>
      <c r="F120" s="168"/>
      <c r="G120" s="168"/>
      <c r="H120" s="168"/>
      <c r="I120" s="168"/>
      <c r="J120" s="168"/>
      <c r="K120" s="168"/>
      <c r="L120" s="168"/>
      <c r="M120" s="168"/>
      <c r="N120" s="168"/>
      <c r="O120" s="168"/>
      <c r="P120" s="168"/>
      <c r="Q120" s="168"/>
      <c r="R120" s="15"/>
      <c r="AD120" s="13" t="s">
        <v>428</v>
      </c>
      <c r="AE120" s="13" t="s">
        <v>67</v>
      </c>
      <c r="AF120" s="13" t="s">
        <v>67</v>
      </c>
      <c r="AG120" s="419" t="s">
        <v>435</v>
      </c>
      <c r="AH120" s="40">
        <v>100000</v>
      </c>
    </row>
    <row r="121" spans="1:50" outlineLevel="1">
      <c r="B121" s="106"/>
      <c r="C121" s="106"/>
      <c r="D121" s="106"/>
      <c r="E121" s="106"/>
      <c r="F121" s="168">
        <v>0</v>
      </c>
      <c r="G121" s="168">
        <v>0</v>
      </c>
      <c r="H121" s="168">
        <v>0</v>
      </c>
      <c r="I121" s="168">
        <v>0</v>
      </c>
      <c r="J121" s="168">
        <v>2042.9932000000003</v>
      </c>
      <c r="K121" s="168">
        <v>1673.5302791335394</v>
      </c>
      <c r="L121" s="168">
        <v>1882.7805373754243</v>
      </c>
      <c r="M121" s="168">
        <v>2235.7427472393169</v>
      </c>
      <c r="N121" s="168">
        <v>2705.0333245680235</v>
      </c>
      <c r="O121" s="168">
        <v>3120.5135354064632</v>
      </c>
      <c r="P121" s="168">
        <v>2814.3307394366502</v>
      </c>
      <c r="Q121" s="168">
        <v>2253.4095255359512</v>
      </c>
      <c r="R121" s="15"/>
      <c r="AD121" s="13" t="s">
        <v>428</v>
      </c>
      <c r="AE121" s="13" t="s">
        <v>65</v>
      </c>
      <c r="AF121" s="13" t="s">
        <v>73</v>
      </c>
      <c r="AG121" s="419" t="s">
        <v>436</v>
      </c>
      <c r="AH121" s="40">
        <v>100000</v>
      </c>
    </row>
    <row r="122" spans="1:50" outlineLevel="1">
      <c r="A122" s="106"/>
      <c r="B122" s="106"/>
      <c r="C122" s="106"/>
      <c r="D122" s="106"/>
      <c r="E122" s="106"/>
      <c r="F122" s="104"/>
      <c r="G122" s="104"/>
      <c r="H122" s="104"/>
      <c r="I122" s="104"/>
      <c r="J122" s="104"/>
      <c r="K122" s="104"/>
      <c r="L122" s="104"/>
      <c r="M122" s="104"/>
      <c r="N122" s="104"/>
      <c r="O122" s="104"/>
      <c r="P122" s="104"/>
      <c r="Q122" s="104"/>
      <c r="R122" s="15"/>
      <c r="AG122" s="11" t="s">
        <v>437</v>
      </c>
      <c r="AH122" s="172">
        <f>SUM(AH114:AH121)</f>
        <v>1090000</v>
      </c>
    </row>
    <row r="123" spans="1:50" outlineLevel="1">
      <c r="B123" s="11"/>
      <c r="C123" s="11"/>
      <c r="D123" s="11"/>
      <c r="E123" s="11"/>
      <c r="F123" s="105"/>
      <c r="G123" s="105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5"/>
    </row>
    <row r="124" spans="1:50" outlineLevel="1">
      <c r="A124" s="471" t="s">
        <v>128</v>
      </c>
      <c r="B124" s="369"/>
      <c r="C124" s="369"/>
      <c r="D124" s="369"/>
      <c r="E124" s="369"/>
      <c r="F124" s="472"/>
      <c r="G124" s="472"/>
      <c r="H124" s="472"/>
      <c r="I124" s="472"/>
      <c r="J124" s="472"/>
      <c r="K124" s="472"/>
      <c r="L124" s="472"/>
      <c r="M124" s="472"/>
      <c r="N124" s="472"/>
      <c r="O124" s="472"/>
      <c r="P124" s="472"/>
      <c r="Q124" s="472"/>
      <c r="R124" s="369"/>
      <c r="S124" s="369"/>
      <c r="T124" s="369"/>
      <c r="U124" s="369"/>
      <c r="V124" s="476"/>
      <c r="W124" s="476"/>
      <c r="X124" s="476"/>
      <c r="Y124" s="476"/>
      <c r="Z124" s="476"/>
      <c r="AA124" s="476"/>
      <c r="AB124" s="476"/>
      <c r="AC124" s="476"/>
      <c r="AD124" s="476"/>
      <c r="AE124" s="476"/>
      <c r="AF124" s="476"/>
      <c r="AG124" s="476"/>
      <c r="AH124" s="476"/>
      <c r="AI124" s="476"/>
      <c r="AJ124" s="476"/>
      <c r="AK124" s="476"/>
      <c r="AL124" s="476"/>
      <c r="AM124" s="476"/>
      <c r="AN124" s="476"/>
      <c r="AO124" s="476"/>
      <c r="AP124" s="476"/>
      <c r="AQ124" s="476"/>
      <c r="AR124" s="476"/>
      <c r="AS124" s="476"/>
      <c r="AT124" s="476"/>
      <c r="AU124" s="476"/>
      <c r="AV124" s="476"/>
      <c r="AW124" s="369"/>
      <c r="AX124" s="476"/>
    </row>
    <row r="125" spans="1:50" outlineLevel="1">
      <c r="A125" s="13" t="s">
        <v>277</v>
      </c>
      <c r="B125" s="13" t="s">
        <v>64</v>
      </c>
      <c r="C125" s="13" t="str">
        <f t="shared" ref="C125:C135" si="109">_xlfn.XLOOKUP($A125,$A$6:$A$113,$C$6:$C$113)</f>
        <v>UK</v>
      </c>
      <c r="D125" s="13" t="s">
        <v>128</v>
      </c>
      <c r="E125" s="473">
        <v>0.33</v>
      </c>
      <c r="F125" s="272">
        <f t="shared" ref="F125:Q134" si="110">SUMIF($A$6:$A$113,$A125,F$6:F$113)*$E125</f>
        <v>62748.952200000014</v>
      </c>
      <c r="G125" s="272">
        <f t="shared" si="110"/>
        <v>34140.2952</v>
      </c>
      <c r="H125" s="272">
        <f t="shared" si="110"/>
        <v>24303.648599999997</v>
      </c>
      <c r="I125" s="272">
        <f t="shared" si="110"/>
        <v>55132.829400000002</v>
      </c>
      <c r="J125" s="272">
        <f t="shared" si="110"/>
        <v>101615.91</v>
      </c>
      <c r="K125" s="272">
        <f t="shared" si="110"/>
        <v>37717.676699999996</v>
      </c>
      <c r="L125" s="272">
        <f t="shared" si="110"/>
        <v>6289.5888000000004</v>
      </c>
      <c r="M125" s="272">
        <f t="shared" si="110"/>
        <v>42383.840400000001</v>
      </c>
      <c r="N125" s="272">
        <f t="shared" si="110"/>
        <v>117085.6764</v>
      </c>
      <c r="O125" s="272">
        <f t="shared" si="110"/>
        <v>73431.469513930439</v>
      </c>
      <c r="P125" s="272">
        <f t="shared" si="110"/>
        <v>47304.586145429646</v>
      </c>
      <c r="Q125" s="272">
        <f t="shared" si="110"/>
        <v>69526.904385864094</v>
      </c>
      <c r="R125" s="272">
        <f t="shared" ref="R125:R141" si="111">SUM(F125:Q125)</f>
        <v>671681.37774522416</v>
      </c>
      <c r="U125" s="50">
        <v>0.33</v>
      </c>
      <c r="V125" s="40">
        <f t="shared" ref="V125:AG140" si="112">SUMIF($A$6:$A$113,$A125,V$6:V$113)*$U125</f>
        <v>71432.811912000005</v>
      </c>
      <c r="W125" s="40">
        <f t="shared" si="112"/>
        <v>41204.388191999999</v>
      </c>
      <c r="X125" s="40">
        <f t="shared" si="112"/>
        <v>35010.394055999997</v>
      </c>
      <c r="Y125" s="40">
        <f t="shared" si="112"/>
        <v>40694.686824000004</v>
      </c>
      <c r="Z125" s="40">
        <f t="shared" si="112"/>
        <v>63585.363599999997</v>
      </c>
      <c r="AA125" s="40">
        <f t="shared" si="112"/>
        <v>38751.292931999997</v>
      </c>
      <c r="AB125" s="40">
        <f t="shared" si="112"/>
        <v>39950.006448</v>
      </c>
      <c r="AC125" s="40">
        <f t="shared" si="112"/>
        <v>95225.646384000007</v>
      </c>
      <c r="AD125" s="40">
        <f t="shared" si="112"/>
        <v>120834.05294400001</v>
      </c>
      <c r="AE125" s="40">
        <f t="shared" si="112"/>
        <v>52349.951219442693</v>
      </c>
      <c r="AF125" s="40">
        <f t="shared" si="112"/>
        <v>68744.976554182824</v>
      </c>
      <c r="AG125" s="40">
        <f t="shared" si="112"/>
        <v>68144.503824565443</v>
      </c>
      <c r="AH125" s="40">
        <f t="shared" ref="AH125:AH141" si="113">SUM(V125:AG125)</f>
        <v>735928.07489019097</v>
      </c>
      <c r="AI125" s="171"/>
      <c r="AJ125" s="50">
        <v>0.25</v>
      </c>
      <c r="AK125" s="40">
        <f t="shared" ref="AK125:AV140" si="114">SUMIF($A$6:$A$113,$A125,AK$6:AK$113)*$AJ125</f>
        <v>56821.554930000006</v>
      </c>
      <c r="AL125" s="40">
        <f t="shared" si="114"/>
        <v>32776.217880000004</v>
      </c>
      <c r="AM125" s="40">
        <f t="shared" si="114"/>
        <v>27849.177090000001</v>
      </c>
      <c r="AN125" s="40">
        <f t="shared" si="114"/>
        <v>32370.77361</v>
      </c>
      <c r="AO125" s="40">
        <f t="shared" si="114"/>
        <v>50579.266499999998</v>
      </c>
      <c r="AP125" s="40">
        <f t="shared" si="114"/>
        <v>30824.892104999999</v>
      </c>
      <c r="AQ125" s="40">
        <f t="shared" si="114"/>
        <v>31778.414220000002</v>
      </c>
      <c r="AR125" s="40">
        <f t="shared" si="114"/>
        <v>75747.673259999996</v>
      </c>
      <c r="AS125" s="40">
        <f t="shared" si="114"/>
        <v>96117.996660000004</v>
      </c>
      <c r="AT125" s="40">
        <f t="shared" si="114"/>
        <v>41642.006651829412</v>
      </c>
      <c r="AU125" s="40">
        <f t="shared" si="114"/>
        <v>54683.504077190883</v>
      </c>
      <c r="AV125" s="40">
        <f t="shared" si="114"/>
        <v>54205.855314995235</v>
      </c>
      <c r="AW125" s="40">
        <f t="shared" ref="AW125:AW141" si="115">SUM(AK125:AV125)</f>
        <v>585397.3322990156</v>
      </c>
      <c r="AX125" s="171"/>
    </row>
    <row r="126" spans="1:50" outlineLevel="1">
      <c r="A126" s="13" t="s">
        <v>248</v>
      </c>
      <c r="B126" s="13" t="s">
        <v>64</v>
      </c>
      <c r="C126" s="13" t="str">
        <f t="shared" si="109"/>
        <v>UK</v>
      </c>
      <c r="D126" s="13" t="s">
        <v>128</v>
      </c>
      <c r="E126" s="473">
        <v>0.24</v>
      </c>
      <c r="F126" s="272">
        <f t="shared" si="110"/>
        <v>14906.373599999997</v>
      </c>
      <c r="G126" s="272">
        <f t="shared" si="110"/>
        <v>8371.4880000000012</v>
      </c>
      <c r="H126" s="272">
        <f t="shared" si="110"/>
        <v>15710.9568</v>
      </c>
      <c r="I126" s="272">
        <f t="shared" si="110"/>
        <v>13586.731199999998</v>
      </c>
      <c r="J126" s="272">
        <f t="shared" si="110"/>
        <v>10044.489599999999</v>
      </c>
      <c r="K126" s="272">
        <f t="shared" si="110"/>
        <v>12486.0672</v>
      </c>
      <c r="L126" s="272">
        <f t="shared" si="110"/>
        <v>13320.019200000001</v>
      </c>
      <c r="M126" s="272">
        <f t="shared" si="110"/>
        <v>12859.185600000001</v>
      </c>
      <c r="N126" s="272">
        <f t="shared" si="110"/>
        <v>17183.404799999997</v>
      </c>
      <c r="O126" s="272">
        <f t="shared" si="110"/>
        <v>20493.48830320908</v>
      </c>
      <c r="P126" s="272">
        <f t="shared" si="110"/>
        <v>23998.166781714001</v>
      </c>
      <c r="Q126" s="272">
        <f t="shared" si="110"/>
        <v>15465.810620595121</v>
      </c>
      <c r="R126" s="272">
        <f t="shared" si="111"/>
        <v>178426.18170551819</v>
      </c>
      <c r="U126" s="50">
        <v>0.24</v>
      </c>
      <c r="V126" s="40">
        <f t="shared" si="112"/>
        <v>14161.054919999997</v>
      </c>
      <c r="W126" s="40">
        <f t="shared" si="112"/>
        <v>7952.9135999999999</v>
      </c>
      <c r="X126" s="40">
        <f t="shared" si="112"/>
        <v>14925.408959999999</v>
      </c>
      <c r="Y126" s="40">
        <f t="shared" si="112"/>
        <v>12907.394639999999</v>
      </c>
      <c r="Z126" s="40">
        <f t="shared" si="112"/>
        <v>10044.489599999999</v>
      </c>
      <c r="AA126" s="40">
        <f t="shared" si="112"/>
        <v>12486.0672</v>
      </c>
      <c r="AB126" s="40">
        <f t="shared" si="112"/>
        <v>37320.019200000002</v>
      </c>
      <c r="AC126" s="40">
        <f t="shared" si="112"/>
        <v>77659.185599999997</v>
      </c>
      <c r="AD126" s="40">
        <f t="shared" si="112"/>
        <v>13746.723839999999</v>
      </c>
      <c r="AE126" s="40">
        <f t="shared" si="112"/>
        <v>16394.790642567266</v>
      </c>
      <c r="AF126" s="40">
        <f t="shared" si="112"/>
        <v>19198.533425371203</v>
      </c>
      <c r="AG126" s="40">
        <f t="shared" si="112"/>
        <v>12372.648496476097</v>
      </c>
      <c r="AH126" s="40">
        <f t="shared" si="113"/>
        <v>249169.23012441455</v>
      </c>
      <c r="AI126" s="171"/>
      <c r="AJ126" s="50">
        <v>0.2</v>
      </c>
      <c r="AK126" s="40">
        <f t="shared" si="114"/>
        <v>13571.010964999998</v>
      </c>
      <c r="AL126" s="40">
        <f t="shared" si="114"/>
        <v>7621.5421999999999</v>
      </c>
      <c r="AM126" s="40">
        <f t="shared" si="114"/>
        <v>14303.516919999998</v>
      </c>
      <c r="AN126" s="40">
        <f t="shared" si="114"/>
        <v>12369.586529999999</v>
      </c>
      <c r="AO126" s="40">
        <f t="shared" si="114"/>
        <v>9625.9691999999977</v>
      </c>
      <c r="AP126" s="40">
        <f t="shared" si="114"/>
        <v>11965.814399999999</v>
      </c>
      <c r="AQ126" s="40">
        <f t="shared" si="114"/>
        <v>35765.018400000001</v>
      </c>
      <c r="AR126" s="40">
        <f t="shared" si="114"/>
        <v>74423.386199999994</v>
      </c>
      <c r="AS126" s="40">
        <f t="shared" si="114"/>
        <v>13173.943679999997</v>
      </c>
      <c r="AT126" s="40">
        <f t="shared" si="114"/>
        <v>15711.674365793629</v>
      </c>
      <c r="AU126" s="40">
        <f t="shared" si="114"/>
        <v>18398.594532647399</v>
      </c>
      <c r="AV126" s="40">
        <f t="shared" si="114"/>
        <v>11857.121475789594</v>
      </c>
      <c r="AW126" s="40">
        <f t="shared" si="115"/>
        <v>238787.17886923061</v>
      </c>
      <c r="AX126" s="171"/>
    </row>
    <row r="127" spans="1:50" outlineLevel="1">
      <c r="A127" s="13" t="s">
        <v>332</v>
      </c>
      <c r="B127" s="13" t="s">
        <v>64</v>
      </c>
      <c r="C127" s="13" t="str">
        <f t="shared" si="109"/>
        <v>UK</v>
      </c>
      <c r="D127" s="13" t="s">
        <v>128</v>
      </c>
      <c r="E127" s="473">
        <v>0.18</v>
      </c>
      <c r="F127" s="272">
        <f t="shared" si="110"/>
        <v>2953.3139999999999</v>
      </c>
      <c r="G127" s="272">
        <f t="shared" si="110"/>
        <v>1423.9475999999995</v>
      </c>
      <c r="H127" s="272">
        <f t="shared" si="110"/>
        <v>2277.7757999999994</v>
      </c>
      <c r="I127" s="272">
        <f t="shared" si="110"/>
        <v>2665.3211999999994</v>
      </c>
      <c r="J127" s="272">
        <f t="shared" si="110"/>
        <v>3050.3358000000003</v>
      </c>
      <c r="K127" s="272">
        <f t="shared" si="110"/>
        <v>1657.3248000000001</v>
      </c>
      <c r="L127" s="272">
        <f t="shared" si="110"/>
        <v>1986.5141999999996</v>
      </c>
      <c r="M127" s="272">
        <f t="shared" si="110"/>
        <v>2102.5188000000007</v>
      </c>
      <c r="N127" s="272">
        <f t="shared" si="110"/>
        <v>7190.3123999999998</v>
      </c>
      <c r="O127" s="272">
        <f t="shared" si="110"/>
        <v>2757.6735428571424</v>
      </c>
      <c r="P127" s="272">
        <f t="shared" si="110"/>
        <v>2408.2058204081641</v>
      </c>
      <c r="Q127" s="272">
        <f t="shared" si="110"/>
        <v>2503.9815376093379</v>
      </c>
      <c r="R127" s="272">
        <f t="shared" si="111"/>
        <v>32977.225500874643</v>
      </c>
      <c r="U127" s="50">
        <v>0.18</v>
      </c>
      <c r="V127" s="40">
        <f t="shared" si="112"/>
        <v>2953.3139999999999</v>
      </c>
      <c r="W127" s="40">
        <f t="shared" si="112"/>
        <v>1423.9475999999995</v>
      </c>
      <c r="X127" s="40">
        <f t="shared" si="112"/>
        <v>2277.7757999999994</v>
      </c>
      <c r="Y127" s="40">
        <f t="shared" si="112"/>
        <v>2665.3211999999994</v>
      </c>
      <c r="Z127" s="40">
        <f t="shared" si="112"/>
        <v>7550.3357999999989</v>
      </c>
      <c r="AA127" s="40">
        <f t="shared" si="112"/>
        <v>1574.45856</v>
      </c>
      <c r="AB127" s="40">
        <f t="shared" si="112"/>
        <v>1887.1884899999998</v>
      </c>
      <c r="AC127" s="40">
        <f t="shared" si="112"/>
        <v>12797.392860000002</v>
      </c>
      <c r="AD127" s="40">
        <f t="shared" si="112"/>
        <v>8630.7967799999988</v>
      </c>
      <c r="AE127" s="40">
        <f t="shared" si="112"/>
        <v>4419.789865714285</v>
      </c>
      <c r="AF127" s="40">
        <f t="shared" si="112"/>
        <v>2287.7955293877558</v>
      </c>
      <c r="AG127" s="40">
        <f t="shared" si="112"/>
        <v>2378.7824607288708</v>
      </c>
      <c r="AH127" s="40">
        <f t="shared" si="113"/>
        <v>50846.898945830908</v>
      </c>
      <c r="AI127" s="171"/>
      <c r="AJ127" s="50">
        <v>0.15</v>
      </c>
      <c r="AK127" s="40">
        <f t="shared" si="114"/>
        <v>2805.6482999999994</v>
      </c>
      <c r="AL127" s="40">
        <f t="shared" si="114"/>
        <v>1352.7502199999994</v>
      </c>
      <c r="AM127" s="40">
        <f t="shared" si="114"/>
        <v>2163.8870099999995</v>
      </c>
      <c r="AN127" s="40">
        <f t="shared" si="114"/>
        <v>2532.0551399999995</v>
      </c>
      <c r="AO127" s="40">
        <f t="shared" si="114"/>
        <v>7172.8190099999993</v>
      </c>
      <c r="AP127" s="40">
        <f t="shared" si="114"/>
        <v>1495.7356319999999</v>
      </c>
      <c r="AQ127" s="40">
        <f t="shared" si="114"/>
        <v>1792.8290654999996</v>
      </c>
      <c r="AR127" s="40">
        <f t="shared" si="114"/>
        <v>12157.523217</v>
      </c>
      <c r="AS127" s="40">
        <f t="shared" si="114"/>
        <v>8199.2569409999996</v>
      </c>
      <c r="AT127" s="40">
        <f t="shared" si="114"/>
        <v>4198.80037242857</v>
      </c>
      <c r="AU127" s="40">
        <f t="shared" si="114"/>
        <v>2173.4057529183679</v>
      </c>
      <c r="AV127" s="40">
        <f t="shared" si="114"/>
        <v>2259.8433376924272</v>
      </c>
      <c r="AW127" s="40">
        <f t="shared" si="115"/>
        <v>48304.55399853937</v>
      </c>
      <c r="AX127" s="171"/>
    </row>
    <row r="128" spans="1:50" outlineLevel="1">
      <c r="A128" s="13" t="s">
        <v>330</v>
      </c>
      <c r="B128" s="13" t="s">
        <v>64</v>
      </c>
      <c r="C128" s="13" t="str">
        <f t="shared" si="109"/>
        <v>UK</v>
      </c>
      <c r="D128" s="13" t="s">
        <v>128</v>
      </c>
      <c r="E128" s="473">
        <v>0.23</v>
      </c>
      <c r="F128" s="272">
        <f t="shared" si="110"/>
        <v>4116.5169999999998</v>
      </c>
      <c r="G128" s="272">
        <f t="shared" si="110"/>
        <v>10891.544199999998</v>
      </c>
      <c r="H128" s="272">
        <f t="shared" si="110"/>
        <v>6885.6801999999998</v>
      </c>
      <c r="I128" s="272">
        <f t="shared" si="110"/>
        <v>2148.6600000000003</v>
      </c>
      <c r="J128" s="272">
        <f t="shared" si="110"/>
        <v>218.67940000000002</v>
      </c>
      <c r="K128" s="272">
        <f t="shared" si="110"/>
        <v>0</v>
      </c>
      <c r="L128" s="272">
        <f t="shared" si="110"/>
        <v>1530.7627</v>
      </c>
      <c r="M128" s="272">
        <f t="shared" si="110"/>
        <v>9182.7178000000004</v>
      </c>
      <c r="N128" s="272">
        <f t="shared" si="110"/>
        <v>1674.7450000000001</v>
      </c>
      <c r="O128" s="272">
        <f t="shared" si="110"/>
        <v>2627.06</v>
      </c>
      <c r="P128" s="272">
        <f t="shared" si="110"/>
        <v>3382.8556512240693</v>
      </c>
      <c r="Q128" s="272">
        <f t="shared" si="110"/>
        <v>2051.8739802623718</v>
      </c>
      <c r="R128" s="272">
        <f t="shared" si="111"/>
        <v>44711.095931486445</v>
      </c>
      <c r="U128" s="50">
        <v>0.23</v>
      </c>
      <c r="V128" s="40">
        <f t="shared" si="112"/>
        <v>3450</v>
      </c>
      <c r="W128" s="40">
        <f t="shared" si="112"/>
        <v>7935</v>
      </c>
      <c r="X128" s="40">
        <f t="shared" si="112"/>
        <v>0</v>
      </c>
      <c r="Y128" s="40">
        <f t="shared" si="112"/>
        <v>2300</v>
      </c>
      <c r="Z128" s="40">
        <f t="shared" si="112"/>
        <v>2244.34</v>
      </c>
      <c r="AA128" s="40">
        <f t="shared" si="112"/>
        <v>1674.4</v>
      </c>
      <c r="AB128" s="40">
        <f t="shared" si="112"/>
        <v>1595.51</v>
      </c>
      <c r="AC128" s="40">
        <f t="shared" si="112"/>
        <v>3657.69</v>
      </c>
      <c r="AD128" s="40">
        <f t="shared" si="112"/>
        <v>1948.5600000000002</v>
      </c>
      <c r="AE128" s="40">
        <f t="shared" si="112"/>
        <v>7556.42</v>
      </c>
      <c r="AF128" s="40">
        <f t="shared" si="112"/>
        <v>6296.25</v>
      </c>
      <c r="AG128" s="40">
        <f t="shared" si="112"/>
        <v>5090.3600000000006</v>
      </c>
      <c r="AH128" s="40">
        <f t="shared" si="113"/>
        <v>43748.53</v>
      </c>
      <c r="AI128" s="171"/>
      <c r="AJ128" s="50">
        <v>0.1</v>
      </c>
      <c r="AK128" s="40">
        <f t="shared" si="114"/>
        <v>1575</v>
      </c>
      <c r="AL128" s="40">
        <f t="shared" si="114"/>
        <v>3622.5</v>
      </c>
      <c r="AM128" s="40">
        <f t="shared" si="114"/>
        <v>0</v>
      </c>
      <c r="AN128" s="40">
        <f t="shared" si="114"/>
        <v>1050</v>
      </c>
      <c r="AO128" s="40">
        <f t="shared" si="114"/>
        <v>1024.5899999999999</v>
      </c>
      <c r="AP128" s="40">
        <f t="shared" si="114"/>
        <v>764.40000000000009</v>
      </c>
      <c r="AQ128" s="40">
        <f t="shared" si="114"/>
        <v>728.3850000000001</v>
      </c>
      <c r="AR128" s="40">
        <f t="shared" si="114"/>
        <v>1669.8150000000003</v>
      </c>
      <c r="AS128" s="40">
        <f t="shared" si="114"/>
        <v>889.56000000000006</v>
      </c>
      <c r="AT128" s="40">
        <f t="shared" si="114"/>
        <v>3449.6700000000005</v>
      </c>
      <c r="AU128" s="40">
        <f t="shared" si="114"/>
        <v>2874.375</v>
      </c>
      <c r="AV128" s="40">
        <f t="shared" si="114"/>
        <v>2323.86</v>
      </c>
      <c r="AW128" s="40">
        <f t="shared" si="115"/>
        <v>19972.154999999999</v>
      </c>
      <c r="AX128" s="171"/>
    </row>
    <row r="129" spans="1:50" outlineLevel="1">
      <c r="A129" s="13" t="s">
        <v>264</v>
      </c>
      <c r="B129" s="13" t="s">
        <v>73</v>
      </c>
      <c r="C129" s="13" t="str">
        <f t="shared" si="109"/>
        <v>CE</v>
      </c>
      <c r="D129" s="13" t="s">
        <v>128</v>
      </c>
      <c r="E129" s="473">
        <v>0.05</v>
      </c>
      <c r="F129" s="272">
        <f t="shared" si="110"/>
        <v>3492.0915000000005</v>
      </c>
      <c r="G129" s="272">
        <f t="shared" si="110"/>
        <v>2446.5825</v>
      </c>
      <c r="H129" s="272">
        <f t="shared" si="110"/>
        <v>0</v>
      </c>
      <c r="I129" s="272">
        <f t="shared" si="110"/>
        <v>3353.3190000000004</v>
      </c>
      <c r="J129" s="272">
        <f t="shared" si="110"/>
        <v>2941.0520000000006</v>
      </c>
      <c r="K129" s="272">
        <f t="shared" si="110"/>
        <v>1723.0020000000002</v>
      </c>
      <c r="L129" s="272">
        <f t="shared" si="110"/>
        <v>2256.5245</v>
      </c>
      <c r="M129" s="272">
        <f t="shared" si="110"/>
        <v>-42.019500000000001</v>
      </c>
      <c r="N129" s="272">
        <f t="shared" si="110"/>
        <v>0</v>
      </c>
      <c r="O129" s="272">
        <f t="shared" si="110"/>
        <v>5700</v>
      </c>
      <c r="P129" s="272">
        <f t="shared" si="110"/>
        <v>2000</v>
      </c>
      <c r="Q129" s="272">
        <f t="shared" si="110"/>
        <v>2020.3088160243269</v>
      </c>
      <c r="R129" s="272">
        <f t="shared" si="111"/>
        <v>25890.860816024331</v>
      </c>
      <c r="U129" s="50">
        <v>0.05</v>
      </c>
      <c r="V129" s="40">
        <f t="shared" si="112"/>
        <v>1350</v>
      </c>
      <c r="W129" s="40">
        <f t="shared" si="112"/>
        <v>2250</v>
      </c>
      <c r="X129" s="40">
        <f t="shared" si="112"/>
        <v>2070</v>
      </c>
      <c r="Y129" s="40">
        <f t="shared" si="112"/>
        <v>2025</v>
      </c>
      <c r="Z129" s="40">
        <f t="shared" si="112"/>
        <v>2430</v>
      </c>
      <c r="AA129" s="40">
        <f t="shared" si="112"/>
        <v>1215</v>
      </c>
      <c r="AB129" s="40">
        <f t="shared" si="112"/>
        <v>1620</v>
      </c>
      <c r="AC129" s="40">
        <f t="shared" si="112"/>
        <v>1900</v>
      </c>
      <c r="AD129" s="40">
        <f t="shared" si="112"/>
        <v>2070</v>
      </c>
      <c r="AE129" s="40">
        <f t="shared" si="112"/>
        <v>2430</v>
      </c>
      <c r="AF129" s="40">
        <f t="shared" si="112"/>
        <v>1620</v>
      </c>
      <c r="AG129" s="40">
        <f t="shared" si="112"/>
        <v>1620</v>
      </c>
      <c r="AH129" s="40">
        <f t="shared" si="113"/>
        <v>22600</v>
      </c>
      <c r="AI129" s="171"/>
      <c r="AJ129" s="50">
        <v>0.05</v>
      </c>
      <c r="AK129" s="40">
        <f t="shared" si="114"/>
        <v>1458.0000000000002</v>
      </c>
      <c r="AL129" s="40">
        <f t="shared" si="114"/>
        <v>2430</v>
      </c>
      <c r="AM129" s="40">
        <f t="shared" si="114"/>
        <v>2235.6</v>
      </c>
      <c r="AN129" s="40">
        <f t="shared" si="114"/>
        <v>2187</v>
      </c>
      <c r="AO129" s="40">
        <f t="shared" si="114"/>
        <v>2624.4</v>
      </c>
      <c r="AP129" s="40">
        <f t="shared" si="114"/>
        <v>1312.2</v>
      </c>
      <c r="AQ129" s="40">
        <f t="shared" si="114"/>
        <v>1749.6000000000001</v>
      </c>
      <c r="AR129" s="40">
        <f t="shared" si="114"/>
        <v>2052</v>
      </c>
      <c r="AS129" s="40">
        <f t="shared" si="114"/>
        <v>2235.6</v>
      </c>
      <c r="AT129" s="40">
        <f t="shared" si="114"/>
        <v>2624.4</v>
      </c>
      <c r="AU129" s="40">
        <f t="shared" si="114"/>
        <v>1749.6000000000001</v>
      </c>
      <c r="AV129" s="40">
        <f t="shared" si="114"/>
        <v>1749.6000000000001</v>
      </c>
      <c r="AW129" s="40">
        <f t="shared" si="115"/>
        <v>24408</v>
      </c>
      <c r="AX129" s="171"/>
    </row>
    <row r="130" spans="1:50" outlineLevel="1">
      <c r="A130" s="13" t="s">
        <v>291</v>
      </c>
      <c r="B130" s="13" t="s">
        <v>72</v>
      </c>
      <c r="C130" s="13" t="str">
        <f t="shared" si="109"/>
        <v>EE</v>
      </c>
      <c r="D130" s="13" t="s">
        <v>128</v>
      </c>
      <c r="E130" s="473">
        <v>0.1</v>
      </c>
      <c r="F130" s="272">
        <f t="shared" si="110"/>
        <v>458.25</v>
      </c>
      <c r="G130" s="272">
        <f t="shared" si="110"/>
        <v>0</v>
      </c>
      <c r="H130" s="272">
        <f t="shared" si="110"/>
        <v>0</v>
      </c>
      <c r="I130" s="272">
        <f t="shared" si="110"/>
        <v>1007.1599999999999</v>
      </c>
      <c r="J130" s="272">
        <f t="shared" si="110"/>
        <v>1219.836</v>
      </c>
      <c r="K130" s="272">
        <f t="shared" si="110"/>
        <v>1027.7700000000002</v>
      </c>
      <c r="L130" s="272">
        <f t="shared" si="110"/>
        <v>0</v>
      </c>
      <c r="M130" s="272">
        <f t="shared" si="110"/>
        <v>0</v>
      </c>
      <c r="N130" s="272">
        <f t="shared" si="110"/>
        <v>2505.5500000000002</v>
      </c>
      <c r="O130" s="272">
        <f t="shared" si="110"/>
        <v>4000</v>
      </c>
      <c r="P130" s="272">
        <f t="shared" si="110"/>
        <v>1500</v>
      </c>
      <c r="Q130" s="272">
        <f t="shared" si="110"/>
        <v>1500</v>
      </c>
      <c r="R130" s="272">
        <f t="shared" si="111"/>
        <v>13218.566000000001</v>
      </c>
      <c r="U130" s="50">
        <v>0</v>
      </c>
      <c r="V130" s="40">
        <f t="shared" si="112"/>
        <v>0</v>
      </c>
      <c r="W130" s="40">
        <f t="shared" si="112"/>
        <v>0</v>
      </c>
      <c r="X130" s="40">
        <f t="shared" si="112"/>
        <v>0</v>
      </c>
      <c r="Y130" s="40">
        <f t="shared" si="112"/>
        <v>0</v>
      </c>
      <c r="Z130" s="40">
        <f t="shared" si="112"/>
        <v>0</v>
      </c>
      <c r="AA130" s="40">
        <f t="shared" si="112"/>
        <v>0</v>
      </c>
      <c r="AB130" s="40">
        <f t="shared" si="112"/>
        <v>0</v>
      </c>
      <c r="AC130" s="40">
        <f t="shared" si="112"/>
        <v>0</v>
      </c>
      <c r="AD130" s="40">
        <f t="shared" si="112"/>
        <v>0</v>
      </c>
      <c r="AE130" s="40">
        <f t="shared" si="112"/>
        <v>0</v>
      </c>
      <c r="AF130" s="40">
        <f t="shared" si="112"/>
        <v>0</v>
      </c>
      <c r="AG130" s="40">
        <f t="shared" si="112"/>
        <v>0</v>
      </c>
      <c r="AH130" s="40">
        <f t="shared" si="113"/>
        <v>0</v>
      </c>
      <c r="AI130" s="171"/>
      <c r="AJ130" s="50">
        <v>0</v>
      </c>
      <c r="AK130" s="40">
        <f t="shared" si="114"/>
        <v>0</v>
      </c>
      <c r="AL130" s="40">
        <f t="shared" si="114"/>
        <v>0</v>
      </c>
      <c r="AM130" s="40">
        <f t="shared" si="114"/>
        <v>0</v>
      </c>
      <c r="AN130" s="40">
        <f t="shared" si="114"/>
        <v>0</v>
      </c>
      <c r="AO130" s="40">
        <f t="shared" si="114"/>
        <v>0</v>
      </c>
      <c r="AP130" s="40">
        <f t="shared" si="114"/>
        <v>0</v>
      </c>
      <c r="AQ130" s="40">
        <f t="shared" si="114"/>
        <v>0</v>
      </c>
      <c r="AR130" s="40">
        <f t="shared" si="114"/>
        <v>0</v>
      </c>
      <c r="AS130" s="40">
        <f t="shared" si="114"/>
        <v>0</v>
      </c>
      <c r="AT130" s="40">
        <f t="shared" si="114"/>
        <v>0</v>
      </c>
      <c r="AU130" s="40">
        <f t="shared" si="114"/>
        <v>0</v>
      </c>
      <c r="AV130" s="40">
        <f t="shared" si="114"/>
        <v>0</v>
      </c>
      <c r="AW130" s="40">
        <f t="shared" si="115"/>
        <v>0</v>
      </c>
      <c r="AX130" s="171"/>
    </row>
    <row r="131" spans="1:50" outlineLevel="1">
      <c r="A131" s="13" t="s">
        <v>273</v>
      </c>
      <c r="B131" s="13" t="s">
        <v>70</v>
      </c>
      <c r="C131" s="13" t="str">
        <f t="shared" si="109"/>
        <v>EE</v>
      </c>
      <c r="D131" s="13" t="s">
        <v>128</v>
      </c>
      <c r="E131" s="473">
        <v>0.05</v>
      </c>
      <c r="F131" s="272">
        <f t="shared" si="110"/>
        <v>0</v>
      </c>
      <c r="G131" s="272">
        <f t="shared" si="110"/>
        <v>1190.97</v>
      </c>
      <c r="H131" s="272">
        <f t="shared" si="110"/>
        <v>1516.93</v>
      </c>
      <c r="I131" s="272">
        <f t="shared" si="110"/>
        <v>1261.3500000000004</v>
      </c>
      <c r="J131" s="272">
        <f t="shared" si="110"/>
        <v>0</v>
      </c>
      <c r="K131" s="272">
        <f t="shared" si="110"/>
        <v>752.13000000000011</v>
      </c>
      <c r="L131" s="272">
        <f t="shared" si="110"/>
        <v>1197.4400000000003</v>
      </c>
      <c r="M131" s="272">
        <f t="shared" si="110"/>
        <v>0</v>
      </c>
      <c r="N131" s="272">
        <f t="shared" si="110"/>
        <v>1297.655</v>
      </c>
      <c r="O131" s="272">
        <f t="shared" si="110"/>
        <v>3500</v>
      </c>
      <c r="P131" s="272">
        <f t="shared" si="110"/>
        <v>1000</v>
      </c>
      <c r="Q131" s="272">
        <f t="shared" si="110"/>
        <v>1500</v>
      </c>
      <c r="R131" s="272">
        <f t="shared" si="111"/>
        <v>13216.475000000002</v>
      </c>
      <c r="U131" s="50">
        <v>0</v>
      </c>
      <c r="V131" s="40">
        <f t="shared" si="112"/>
        <v>0</v>
      </c>
      <c r="W131" s="40">
        <f t="shared" si="112"/>
        <v>0</v>
      </c>
      <c r="X131" s="40">
        <f t="shared" si="112"/>
        <v>0</v>
      </c>
      <c r="Y131" s="40">
        <f t="shared" si="112"/>
        <v>0</v>
      </c>
      <c r="Z131" s="40">
        <f t="shared" si="112"/>
        <v>0</v>
      </c>
      <c r="AA131" s="40">
        <f t="shared" si="112"/>
        <v>0</v>
      </c>
      <c r="AB131" s="40">
        <f t="shared" si="112"/>
        <v>0</v>
      </c>
      <c r="AC131" s="40">
        <f t="shared" si="112"/>
        <v>0</v>
      </c>
      <c r="AD131" s="40">
        <f t="shared" si="112"/>
        <v>0</v>
      </c>
      <c r="AE131" s="40">
        <f t="shared" si="112"/>
        <v>0</v>
      </c>
      <c r="AF131" s="40">
        <f t="shared" si="112"/>
        <v>0</v>
      </c>
      <c r="AG131" s="40">
        <f t="shared" si="112"/>
        <v>0</v>
      </c>
      <c r="AH131" s="40">
        <f t="shared" si="113"/>
        <v>0</v>
      </c>
      <c r="AI131" s="171"/>
      <c r="AJ131" s="50">
        <v>0</v>
      </c>
      <c r="AK131" s="40">
        <f t="shared" si="114"/>
        <v>0</v>
      </c>
      <c r="AL131" s="40">
        <f t="shared" si="114"/>
        <v>0</v>
      </c>
      <c r="AM131" s="40">
        <f t="shared" si="114"/>
        <v>0</v>
      </c>
      <c r="AN131" s="40">
        <f t="shared" si="114"/>
        <v>0</v>
      </c>
      <c r="AO131" s="40">
        <f t="shared" si="114"/>
        <v>0</v>
      </c>
      <c r="AP131" s="40">
        <f t="shared" si="114"/>
        <v>0</v>
      </c>
      <c r="AQ131" s="40">
        <f t="shared" si="114"/>
        <v>0</v>
      </c>
      <c r="AR131" s="40">
        <f t="shared" si="114"/>
        <v>0</v>
      </c>
      <c r="AS131" s="40">
        <f t="shared" si="114"/>
        <v>0</v>
      </c>
      <c r="AT131" s="40">
        <f t="shared" si="114"/>
        <v>0</v>
      </c>
      <c r="AU131" s="40">
        <f t="shared" si="114"/>
        <v>0</v>
      </c>
      <c r="AV131" s="40">
        <f t="shared" si="114"/>
        <v>0</v>
      </c>
      <c r="AW131" s="40">
        <f t="shared" si="115"/>
        <v>0</v>
      </c>
      <c r="AX131" s="171"/>
    </row>
    <row r="132" spans="1:50" outlineLevel="1">
      <c r="A132" s="13" t="s">
        <v>340</v>
      </c>
      <c r="B132" s="13" t="s">
        <v>68</v>
      </c>
      <c r="C132" s="13" t="str">
        <f t="shared" si="109"/>
        <v>EE</v>
      </c>
      <c r="D132" s="13" t="s">
        <v>128</v>
      </c>
      <c r="E132" s="473"/>
      <c r="F132" s="272">
        <f t="shared" si="110"/>
        <v>0</v>
      </c>
      <c r="G132" s="272">
        <f t="shared" si="110"/>
        <v>0</v>
      </c>
      <c r="H132" s="272">
        <f t="shared" si="110"/>
        <v>0</v>
      </c>
      <c r="I132" s="272">
        <f t="shared" si="110"/>
        <v>0</v>
      </c>
      <c r="J132" s="272">
        <f t="shared" si="110"/>
        <v>0</v>
      </c>
      <c r="K132" s="272">
        <f t="shared" si="110"/>
        <v>0</v>
      </c>
      <c r="L132" s="272">
        <f t="shared" si="110"/>
        <v>0</v>
      </c>
      <c r="M132" s="272">
        <f t="shared" si="110"/>
        <v>0</v>
      </c>
      <c r="N132" s="272">
        <f t="shared" si="110"/>
        <v>0</v>
      </c>
      <c r="O132" s="272">
        <f t="shared" si="110"/>
        <v>0</v>
      </c>
      <c r="P132" s="272">
        <f t="shared" si="110"/>
        <v>0</v>
      </c>
      <c r="Q132" s="272">
        <f t="shared" si="110"/>
        <v>0</v>
      </c>
      <c r="R132" s="272">
        <f t="shared" si="111"/>
        <v>0</v>
      </c>
      <c r="U132" s="50">
        <v>0.05</v>
      </c>
      <c r="V132" s="40">
        <f t="shared" si="112"/>
        <v>500</v>
      </c>
      <c r="W132" s="40">
        <f t="shared" si="112"/>
        <v>750</v>
      </c>
      <c r="X132" s="40">
        <f t="shared" si="112"/>
        <v>1000</v>
      </c>
      <c r="Y132" s="40">
        <f t="shared" si="112"/>
        <v>375</v>
      </c>
      <c r="Z132" s="40">
        <f t="shared" si="112"/>
        <v>500</v>
      </c>
      <c r="AA132" s="40">
        <f t="shared" si="112"/>
        <v>750</v>
      </c>
      <c r="AB132" s="40">
        <f t="shared" si="112"/>
        <v>500</v>
      </c>
      <c r="AC132" s="40">
        <f t="shared" si="112"/>
        <v>1125</v>
      </c>
      <c r="AD132" s="40">
        <f t="shared" si="112"/>
        <v>375</v>
      </c>
      <c r="AE132" s="40">
        <f t="shared" si="112"/>
        <v>750</v>
      </c>
      <c r="AF132" s="40">
        <f t="shared" si="112"/>
        <v>750</v>
      </c>
      <c r="AG132" s="40">
        <f t="shared" si="112"/>
        <v>500</v>
      </c>
      <c r="AH132" s="40">
        <f>SUM(V132:AG132)</f>
        <v>7875</v>
      </c>
      <c r="AI132" s="171"/>
      <c r="AJ132" s="50">
        <v>0.05</v>
      </c>
      <c r="AK132" s="40">
        <f t="shared" si="114"/>
        <v>525</v>
      </c>
      <c r="AL132" s="40">
        <f t="shared" si="114"/>
        <v>787.5</v>
      </c>
      <c r="AM132" s="40">
        <f t="shared" si="114"/>
        <v>1050</v>
      </c>
      <c r="AN132" s="40">
        <f t="shared" si="114"/>
        <v>393.75</v>
      </c>
      <c r="AO132" s="40">
        <f t="shared" si="114"/>
        <v>525</v>
      </c>
      <c r="AP132" s="40">
        <f t="shared" si="114"/>
        <v>787.5</v>
      </c>
      <c r="AQ132" s="40">
        <f t="shared" si="114"/>
        <v>525</v>
      </c>
      <c r="AR132" s="40">
        <f t="shared" si="114"/>
        <v>1181.25</v>
      </c>
      <c r="AS132" s="40">
        <f t="shared" si="114"/>
        <v>393.75</v>
      </c>
      <c r="AT132" s="40">
        <f t="shared" si="114"/>
        <v>787.5</v>
      </c>
      <c r="AU132" s="40">
        <f t="shared" si="114"/>
        <v>787.5</v>
      </c>
      <c r="AV132" s="40">
        <f t="shared" si="114"/>
        <v>525</v>
      </c>
      <c r="AW132" s="40">
        <f t="shared" si="115"/>
        <v>8268.75</v>
      </c>
      <c r="AX132" s="171"/>
    </row>
    <row r="133" spans="1:50" outlineLevel="1">
      <c r="A133" s="13" t="s">
        <v>269</v>
      </c>
      <c r="B133" s="13" t="s">
        <v>64</v>
      </c>
      <c r="C133" s="13" t="str">
        <f t="shared" si="109"/>
        <v>UK</v>
      </c>
      <c r="D133" s="13" t="s">
        <v>128</v>
      </c>
      <c r="E133" s="473"/>
      <c r="F133" s="272">
        <f t="shared" si="110"/>
        <v>0</v>
      </c>
      <c r="G133" s="272">
        <f t="shared" si="110"/>
        <v>0</v>
      </c>
      <c r="H133" s="272">
        <f t="shared" si="110"/>
        <v>0</v>
      </c>
      <c r="I133" s="272">
        <f t="shared" si="110"/>
        <v>0</v>
      </c>
      <c r="J133" s="272">
        <f t="shared" si="110"/>
        <v>0</v>
      </c>
      <c r="K133" s="272">
        <f t="shared" si="110"/>
        <v>0</v>
      </c>
      <c r="L133" s="272">
        <f t="shared" si="110"/>
        <v>0</v>
      </c>
      <c r="M133" s="272">
        <f t="shared" si="110"/>
        <v>0</v>
      </c>
      <c r="N133" s="272">
        <f t="shared" si="110"/>
        <v>0</v>
      </c>
      <c r="O133" s="272">
        <f t="shared" si="110"/>
        <v>0</v>
      </c>
      <c r="P133" s="272">
        <f t="shared" si="110"/>
        <v>0</v>
      </c>
      <c r="Q133" s="272">
        <f t="shared" si="110"/>
        <v>0</v>
      </c>
      <c r="R133" s="272">
        <f t="shared" si="111"/>
        <v>0</v>
      </c>
      <c r="U133" s="50">
        <v>0.05</v>
      </c>
      <c r="V133" s="40">
        <f t="shared" si="112"/>
        <v>50</v>
      </c>
      <c r="W133" s="40">
        <f t="shared" si="112"/>
        <v>50</v>
      </c>
      <c r="X133" s="40">
        <f t="shared" si="112"/>
        <v>175</v>
      </c>
      <c r="Y133" s="40">
        <f t="shared" si="112"/>
        <v>175</v>
      </c>
      <c r="Z133" s="40">
        <f t="shared" si="112"/>
        <v>50</v>
      </c>
      <c r="AA133" s="40">
        <f t="shared" si="112"/>
        <v>50</v>
      </c>
      <c r="AB133" s="40">
        <f t="shared" si="112"/>
        <v>50</v>
      </c>
      <c r="AC133" s="40">
        <f t="shared" si="112"/>
        <v>525</v>
      </c>
      <c r="AD133" s="40">
        <f t="shared" si="112"/>
        <v>50</v>
      </c>
      <c r="AE133" s="40">
        <f t="shared" si="112"/>
        <v>50</v>
      </c>
      <c r="AF133" s="40">
        <f t="shared" si="112"/>
        <v>50</v>
      </c>
      <c r="AG133" s="40">
        <f t="shared" si="112"/>
        <v>50</v>
      </c>
      <c r="AH133" s="40">
        <f t="shared" si="113"/>
        <v>1325</v>
      </c>
      <c r="AI133" s="171"/>
      <c r="AJ133" s="50">
        <v>0.05</v>
      </c>
      <c r="AK133" s="40">
        <f t="shared" si="114"/>
        <v>200</v>
      </c>
      <c r="AL133" s="40">
        <f t="shared" si="114"/>
        <v>200</v>
      </c>
      <c r="AM133" s="40">
        <f t="shared" si="114"/>
        <v>700</v>
      </c>
      <c r="AN133" s="40">
        <f t="shared" si="114"/>
        <v>700</v>
      </c>
      <c r="AO133" s="40">
        <f t="shared" si="114"/>
        <v>200</v>
      </c>
      <c r="AP133" s="40">
        <f t="shared" si="114"/>
        <v>200</v>
      </c>
      <c r="AQ133" s="40">
        <f t="shared" si="114"/>
        <v>200</v>
      </c>
      <c r="AR133" s="40">
        <f t="shared" si="114"/>
        <v>2100</v>
      </c>
      <c r="AS133" s="40">
        <f t="shared" si="114"/>
        <v>200</v>
      </c>
      <c r="AT133" s="40">
        <f t="shared" si="114"/>
        <v>200</v>
      </c>
      <c r="AU133" s="40">
        <f t="shared" si="114"/>
        <v>200</v>
      </c>
      <c r="AV133" s="40">
        <f t="shared" si="114"/>
        <v>200</v>
      </c>
      <c r="AW133" s="40">
        <f t="shared" si="115"/>
        <v>5300</v>
      </c>
      <c r="AX133" s="171"/>
    </row>
    <row r="134" spans="1:50" outlineLevel="1">
      <c r="A134" s="13" t="s">
        <v>314</v>
      </c>
      <c r="B134" s="13" t="s">
        <v>64</v>
      </c>
      <c r="C134" s="13" t="str">
        <f t="shared" si="109"/>
        <v>UK</v>
      </c>
      <c r="D134" s="13" t="s">
        <v>128</v>
      </c>
      <c r="E134" s="473"/>
      <c r="F134" s="272">
        <f t="shared" si="110"/>
        <v>0</v>
      </c>
      <c r="G134" s="272">
        <f t="shared" si="110"/>
        <v>0</v>
      </c>
      <c r="H134" s="272">
        <f t="shared" si="110"/>
        <v>0</v>
      </c>
      <c r="I134" s="272">
        <f t="shared" si="110"/>
        <v>0</v>
      </c>
      <c r="J134" s="272">
        <f t="shared" si="110"/>
        <v>0</v>
      </c>
      <c r="K134" s="272">
        <f t="shared" si="110"/>
        <v>0</v>
      </c>
      <c r="L134" s="272">
        <f t="shared" si="110"/>
        <v>0</v>
      </c>
      <c r="M134" s="272">
        <f t="shared" si="110"/>
        <v>0</v>
      </c>
      <c r="N134" s="272">
        <f t="shared" si="110"/>
        <v>0</v>
      </c>
      <c r="O134" s="272">
        <f t="shared" si="110"/>
        <v>0</v>
      </c>
      <c r="P134" s="272">
        <f t="shared" si="110"/>
        <v>0</v>
      </c>
      <c r="Q134" s="272">
        <f t="shared" si="110"/>
        <v>0</v>
      </c>
      <c r="R134" s="272">
        <f t="shared" si="111"/>
        <v>0</v>
      </c>
      <c r="U134" s="50">
        <v>0.05</v>
      </c>
      <c r="V134" s="40">
        <f t="shared" si="112"/>
        <v>375.13199999999995</v>
      </c>
      <c r="W134" s="40">
        <f t="shared" si="112"/>
        <v>125.125</v>
      </c>
      <c r="X134" s="40">
        <f t="shared" si="112"/>
        <v>48.110500000000002</v>
      </c>
      <c r="Y134" s="40">
        <f t="shared" si="112"/>
        <v>42.192000000000007</v>
      </c>
      <c r="Z134" s="40">
        <f t="shared" si="112"/>
        <v>76.780200000000022</v>
      </c>
      <c r="AA134" s="40">
        <f t="shared" si="112"/>
        <v>129.12217500000003</v>
      </c>
      <c r="AB134" s="40">
        <f t="shared" si="112"/>
        <v>83.162100000000009</v>
      </c>
      <c r="AC134" s="40">
        <f t="shared" si="112"/>
        <v>35.298899999999961</v>
      </c>
      <c r="AD134" s="40">
        <f t="shared" si="112"/>
        <v>318.15340000000003</v>
      </c>
      <c r="AE134" s="40">
        <f t="shared" si="112"/>
        <v>576.71445625000001</v>
      </c>
      <c r="AF134" s="40">
        <f t="shared" si="112"/>
        <v>68.943607031250011</v>
      </c>
      <c r="AG134" s="40">
        <f t="shared" si="112"/>
        <v>71.247054785156251</v>
      </c>
      <c r="AH134" s="40">
        <f t="shared" si="113"/>
        <v>1949.9813930664061</v>
      </c>
      <c r="AI134" s="171"/>
      <c r="AJ134" s="50">
        <v>0.05</v>
      </c>
      <c r="AK134" s="40">
        <f t="shared" si="114"/>
        <v>431.40179999999992</v>
      </c>
      <c r="AL134" s="40">
        <f t="shared" si="114"/>
        <v>143.89375000000001</v>
      </c>
      <c r="AM134" s="40">
        <f t="shared" si="114"/>
        <v>55.327075000000008</v>
      </c>
      <c r="AN134" s="40">
        <f t="shared" si="114"/>
        <v>48.520800000000001</v>
      </c>
      <c r="AO134" s="40">
        <f t="shared" si="114"/>
        <v>88.297230000000027</v>
      </c>
      <c r="AP134" s="40">
        <f t="shared" si="114"/>
        <v>148.49050125000002</v>
      </c>
      <c r="AQ134" s="40">
        <f t="shared" si="114"/>
        <v>95.636415</v>
      </c>
      <c r="AR134" s="40">
        <f t="shared" si="114"/>
        <v>40.593734999999953</v>
      </c>
      <c r="AS134" s="40">
        <f t="shared" si="114"/>
        <v>365.87641000000002</v>
      </c>
      <c r="AT134" s="40">
        <f t="shared" si="114"/>
        <v>663.22162468750003</v>
      </c>
      <c r="AU134" s="40">
        <f t="shared" si="114"/>
        <v>79.285148085937507</v>
      </c>
      <c r="AV134" s="40">
        <f t="shared" si="114"/>
        <v>81.934113002929678</v>
      </c>
      <c r="AW134" s="40">
        <f t="shared" si="115"/>
        <v>2242.4786020263673</v>
      </c>
      <c r="AX134" s="171"/>
    </row>
    <row r="135" spans="1:50" outlineLevel="1">
      <c r="A135" s="13" t="s">
        <v>301</v>
      </c>
      <c r="B135" s="13" t="s">
        <v>69</v>
      </c>
      <c r="C135" s="13" t="str">
        <f t="shared" si="109"/>
        <v>CE</v>
      </c>
      <c r="D135" s="13" t="s">
        <v>128</v>
      </c>
      <c r="E135" s="473"/>
      <c r="F135" s="272">
        <f t="shared" ref="F135:Q141" si="116">SUMIF($A$6:$A$113,$A135,F$6:F$113)*$E135</f>
        <v>0</v>
      </c>
      <c r="G135" s="272">
        <f t="shared" si="116"/>
        <v>0</v>
      </c>
      <c r="H135" s="272">
        <f t="shared" si="116"/>
        <v>0</v>
      </c>
      <c r="I135" s="272">
        <f t="shared" si="116"/>
        <v>0</v>
      </c>
      <c r="J135" s="272">
        <f t="shared" si="116"/>
        <v>0</v>
      </c>
      <c r="K135" s="272">
        <f t="shared" si="116"/>
        <v>0</v>
      </c>
      <c r="L135" s="272">
        <f t="shared" si="116"/>
        <v>0</v>
      </c>
      <c r="M135" s="272">
        <f t="shared" si="116"/>
        <v>0</v>
      </c>
      <c r="N135" s="272">
        <f t="shared" si="116"/>
        <v>0</v>
      </c>
      <c r="O135" s="272">
        <f t="shared" si="116"/>
        <v>0</v>
      </c>
      <c r="P135" s="272">
        <f t="shared" si="116"/>
        <v>0</v>
      </c>
      <c r="Q135" s="272">
        <f t="shared" si="116"/>
        <v>0</v>
      </c>
      <c r="R135" s="272">
        <f t="shared" si="111"/>
        <v>0</v>
      </c>
      <c r="U135" s="50">
        <v>0.05</v>
      </c>
      <c r="V135" s="40">
        <f t="shared" si="112"/>
        <v>1228.9580000000001</v>
      </c>
      <c r="W135" s="40">
        <f t="shared" si="112"/>
        <v>1294.3574999999998</v>
      </c>
      <c r="X135" s="40">
        <f t="shared" si="112"/>
        <v>0</v>
      </c>
      <c r="Y135" s="40">
        <f t="shared" si="112"/>
        <v>1247.0955142595767</v>
      </c>
      <c r="Z135" s="40">
        <f t="shared" si="112"/>
        <v>1203.9752732122452</v>
      </c>
      <c r="AA135" s="40">
        <f t="shared" si="112"/>
        <v>955.89461194944215</v>
      </c>
      <c r="AB135" s="40">
        <f t="shared" si="112"/>
        <v>354.67960702508344</v>
      </c>
      <c r="AC135" s="40">
        <f t="shared" si="112"/>
        <v>1927.5397915224298</v>
      </c>
      <c r="AD135" s="40">
        <f t="shared" si="112"/>
        <v>1263.745157891891</v>
      </c>
      <c r="AE135" s="40">
        <f t="shared" si="112"/>
        <v>1894.8827101393445</v>
      </c>
      <c r="AF135" s="40">
        <f t="shared" si="112"/>
        <v>0</v>
      </c>
      <c r="AG135" s="40">
        <f t="shared" si="112"/>
        <v>1157.6183572458524</v>
      </c>
      <c r="AH135" s="40">
        <f t="shared" si="113"/>
        <v>12528.746523245865</v>
      </c>
      <c r="AI135" s="171"/>
      <c r="AJ135" s="50">
        <v>0.05</v>
      </c>
      <c r="AK135" s="40">
        <f t="shared" si="114"/>
        <v>1327.2746400000001</v>
      </c>
      <c r="AL135" s="40">
        <f t="shared" si="114"/>
        <v>1397.9060999999999</v>
      </c>
      <c r="AM135" s="40">
        <f t="shared" si="114"/>
        <v>0</v>
      </c>
      <c r="AN135" s="40">
        <f t="shared" si="114"/>
        <v>1346.8631554003427</v>
      </c>
      <c r="AO135" s="40">
        <f t="shared" si="114"/>
        <v>1300.2932950692248</v>
      </c>
      <c r="AP135" s="40">
        <f t="shared" si="114"/>
        <v>1032.3661809053976</v>
      </c>
      <c r="AQ135" s="40">
        <f t="shared" si="114"/>
        <v>383.05397558709018</v>
      </c>
      <c r="AR135" s="40">
        <f t="shared" si="114"/>
        <v>2081.7429748442241</v>
      </c>
      <c r="AS135" s="40">
        <f t="shared" si="114"/>
        <v>1364.8447705232425</v>
      </c>
      <c r="AT135" s="40">
        <f t="shared" si="114"/>
        <v>2046.473326950492</v>
      </c>
      <c r="AU135" s="40">
        <f t="shared" si="114"/>
        <v>0</v>
      </c>
      <c r="AV135" s="40">
        <f t="shared" si="114"/>
        <v>1250.2278258255208</v>
      </c>
      <c r="AW135" s="40">
        <f t="shared" si="115"/>
        <v>13531.046245105535</v>
      </c>
      <c r="AX135" s="171"/>
    </row>
    <row r="136" spans="1:50" outlineLevel="1">
      <c r="A136" s="13" t="s">
        <v>418</v>
      </c>
      <c r="B136" s="13" t="s">
        <v>71</v>
      </c>
      <c r="C136" s="13" t="s">
        <v>66</v>
      </c>
      <c r="D136" s="13" t="s">
        <v>128</v>
      </c>
      <c r="E136" s="473"/>
      <c r="F136" s="272">
        <f t="shared" si="116"/>
        <v>0</v>
      </c>
      <c r="G136" s="272">
        <f t="shared" si="116"/>
        <v>0</v>
      </c>
      <c r="H136" s="272">
        <f t="shared" si="116"/>
        <v>0</v>
      </c>
      <c r="I136" s="272">
        <f t="shared" si="116"/>
        <v>0</v>
      </c>
      <c r="J136" s="272">
        <f t="shared" si="116"/>
        <v>0</v>
      </c>
      <c r="K136" s="272">
        <f t="shared" si="116"/>
        <v>0</v>
      </c>
      <c r="L136" s="272">
        <f t="shared" si="116"/>
        <v>0</v>
      </c>
      <c r="M136" s="272">
        <f t="shared" si="116"/>
        <v>0</v>
      </c>
      <c r="N136" s="272">
        <f t="shared" si="116"/>
        <v>0</v>
      </c>
      <c r="O136" s="272">
        <f t="shared" si="116"/>
        <v>0</v>
      </c>
      <c r="P136" s="272">
        <f t="shared" si="116"/>
        <v>0</v>
      </c>
      <c r="Q136" s="272">
        <f t="shared" si="116"/>
        <v>0</v>
      </c>
      <c r="R136" s="272">
        <f t="shared" ref="R136" si="117">SUM(F136:Q136)</f>
        <v>0</v>
      </c>
      <c r="U136" s="50">
        <v>0.1</v>
      </c>
      <c r="V136" s="40">
        <f t="shared" si="112"/>
        <v>0</v>
      </c>
      <c r="W136" s="40">
        <f t="shared" si="112"/>
        <v>0</v>
      </c>
      <c r="X136" s="40">
        <f t="shared" si="112"/>
        <v>0</v>
      </c>
      <c r="Y136" s="40">
        <f t="shared" si="112"/>
        <v>491.46822148084669</v>
      </c>
      <c r="Z136" s="40">
        <f t="shared" si="112"/>
        <v>474.47495357550946</v>
      </c>
      <c r="AA136" s="40">
        <f t="shared" si="112"/>
        <v>376.70877610111569</v>
      </c>
      <c r="AB136" s="40">
        <f t="shared" si="112"/>
        <v>139.77578594983297</v>
      </c>
      <c r="AC136" s="40">
        <f t="shared" si="112"/>
        <v>365.53441695513948</v>
      </c>
      <c r="AD136" s="40">
        <f t="shared" si="112"/>
        <v>498.02968421621858</v>
      </c>
      <c r="AE136" s="40">
        <f t="shared" si="112"/>
        <v>210.23457972131123</v>
      </c>
      <c r="AF136" s="40">
        <f t="shared" si="112"/>
        <v>263.67669185451183</v>
      </c>
      <c r="AG136" s="40">
        <f t="shared" si="112"/>
        <v>184.76328550829524</v>
      </c>
      <c r="AH136" s="40">
        <f t="shared" ref="AH136" si="118">SUM(V136:AG136)</f>
        <v>3004.6663953627808</v>
      </c>
      <c r="AI136" s="171"/>
      <c r="AJ136" s="50">
        <v>0.05</v>
      </c>
      <c r="AK136" s="40">
        <f t="shared" si="114"/>
        <v>0</v>
      </c>
      <c r="AL136" s="40">
        <f t="shared" si="114"/>
        <v>0</v>
      </c>
      <c r="AM136" s="40">
        <f t="shared" si="114"/>
        <v>0</v>
      </c>
      <c r="AN136" s="40">
        <f t="shared" si="114"/>
        <v>258.02081627744451</v>
      </c>
      <c r="AO136" s="40">
        <f t="shared" si="114"/>
        <v>249.09935062714246</v>
      </c>
      <c r="AP136" s="40">
        <f t="shared" si="114"/>
        <v>197.77210745308574</v>
      </c>
      <c r="AQ136" s="40">
        <f t="shared" si="114"/>
        <v>73.382287623662293</v>
      </c>
      <c r="AR136" s="40">
        <f t="shared" si="114"/>
        <v>191.90556890144825</v>
      </c>
      <c r="AS136" s="40">
        <f t="shared" si="114"/>
        <v>261.46558421351477</v>
      </c>
      <c r="AT136" s="40">
        <f t="shared" si="114"/>
        <v>110.37315435368839</v>
      </c>
      <c r="AU136" s="40">
        <f t="shared" si="114"/>
        <v>138.43026322361871</v>
      </c>
      <c r="AV136" s="40">
        <f t="shared" si="114"/>
        <v>97.000724891855</v>
      </c>
      <c r="AW136" s="40">
        <f t="shared" ref="AW136" si="119">SUM(AK136:AV136)</f>
        <v>1577.4498575654604</v>
      </c>
      <c r="AX136" s="171"/>
    </row>
    <row r="137" spans="1:50" outlineLevel="1">
      <c r="A137" s="13" t="s">
        <v>346</v>
      </c>
      <c r="B137" s="13" t="s">
        <v>73</v>
      </c>
      <c r="C137" s="13" t="str">
        <f>_xlfn.XLOOKUP($A137,$A$6:$A$113,$C$6:$C$113)</f>
        <v>CE</v>
      </c>
      <c r="D137" s="13" t="s">
        <v>128</v>
      </c>
      <c r="E137" s="473"/>
      <c r="F137" s="272">
        <f t="shared" si="116"/>
        <v>0</v>
      </c>
      <c r="G137" s="272">
        <f t="shared" si="116"/>
        <v>0</v>
      </c>
      <c r="H137" s="272">
        <f t="shared" si="116"/>
        <v>0</v>
      </c>
      <c r="I137" s="272">
        <f t="shared" si="116"/>
        <v>0</v>
      </c>
      <c r="J137" s="272">
        <f t="shared" si="116"/>
        <v>0</v>
      </c>
      <c r="K137" s="272">
        <f t="shared" si="116"/>
        <v>0</v>
      </c>
      <c r="L137" s="272">
        <f t="shared" si="116"/>
        <v>0</v>
      </c>
      <c r="M137" s="272">
        <f t="shared" si="116"/>
        <v>0</v>
      </c>
      <c r="N137" s="272">
        <f t="shared" si="116"/>
        <v>0</v>
      </c>
      <c r="O137" s="272">
        <f t="shared" si="116"/>
        <v>0</v>
      </c>
      <c r="P137" s="272">
        <f t="shared" si="116"/>
        <v>0</v>
      </c>
      <c r="Q137" s="272">
        <f t="shared" si="116"/>
        <v>0</v>
      </c>
      <c r="R137" s="272">
        <f t="shared" si="111"/>
        <v>0</v>
      </c>
      <c r="U137" s="50">
        <v>0.05</v>
      </c>
      <c r="V137" s="40">
        <f t="shared" si="112"/>
        <v>0</v>
      </c>
      <c r="W137" s="40">
        <f t="shared" si="112"/>
        <v>0</v>
      </c>
      <c r="X137" s="40">
        <f t="shared" si="112"/>
        <v>0</v>
      </c>
      <c r="Y137" s="40">
        <f t="shared" si="112"/>
        <v>3200</v>
      </c>
      <c r="Z137" s="40">
        <f t="shared" si="112"/>
        <v>1061.1353711790393</v>
      </c>
      <c r="AA137" s="40">
        <f t="shared" si="112"/>
        <v>530.56768558951967</v>
      </c>
      <c r="AB137" s="40">
        <f t="shared" si="112"/>
        <v>707.42358078602626</v>
      </c>
      <c r="AC137" s="40">
        <f t="shared" si="112"/>
        <v>753.71179039301001</v>
      </c>
      <c r="AD137" s="40">
        <f t="shared" si="112"/>
        <v>707.42358078602626</v>
      </c>
      <c r="AE137" s="40">
        <f t="shared" si="112"/>
        <v>1061.1353711790393</v>
      </c>
      <c r="AF137" s="40">
        <f t="shared" si="112"/>
        <v>707.42358078602626</v>
      </c>
      <c r="AG137" s="40">
        <f t="shared" si="112"/>
        <v>707.42358078602626</v>
      </c>
      <c r="AH137" s="40">
        <f t="shared" si="113"/>
        <v>9436.2445414847134</v>
      </c>
      <c r="AI137" s="171"/>
      <c r="AJ137" s="50">
        <v>0.05</v>
      </c>
      <c r="AK137" s="40">
        <f t="shared" si="114"/>
        <v>0</v>
      </c>
      <c r="AL137" s="40">
        <f t="shared" si="114"/>
        <v>0</v>
      </c>
      <c r="AM137" s="40">
        <f t="shared" si="114"/>
        <v>0</v>
      </c>
      <c r="AN137" s="40">
        <f t="shared" si="114"/>
        <v>3360</v>
      </c>
      <c r="AO137" s="40">
        <f t="shared" si="114"/>
        <v>1114.1921397379913</v>
      </c>
      <c r="AP137" s="40">
        <f t="shared" si="114"/>
        <v>557.09606986899564</v>
      </c>
      <c r="AQ137" s="40">
        <f t="shared" si="114"/>
        <v>742.79475982532756</v>
      </c>
      <c r="AR137" s="40">
        <f t="shared" si="114"/>
        <v>791.39737991266054</v>
      </c>
      <c r="AS137" s="40">
        <f t="shared" si="114"/>
        <v>742.79475982532756</v>
      </c>
      <c r="AT137" s="40">
        <f t="shared" si="114"/>
        <v>1114.1921397379913</v>
      </c>
      <c r="AU137" s="40">
        <f t="shared" si="114"/>
        <v>742.79475982532756</v>
      </c>
      <c r="AV137" s="40">
        <f t="shared" si="114"/>
        <v>742.79475982532756</v>
      </c>
      <c r="AW137" s="40">
        <f t="shared" si="115"/>
        <v>9908.0567685589485</v>
      </c>
      <c r="AX137" s="171"/>
    </row>
    <row r="138" spans="1:50" outlineLevel="1">
      <c r="A138" s="13" t="s">
        <v>413</v>
      </c>
      <c r="B138" s="13" t="str">
        <f>_xlfn.XLOOKUP($A138,$A$6:$A$113,$C$6:$C$113)</f>
        <v>CE</v>
      </c>
      <c r="C138" s="13" t="str">
        <f>_xlfn.XLOOKUP($A138,$A$6:$A$113,$C$6:$C$113)</f>
        <v>CE</v>
      </c>
      <c r="D138" s="13" t="s">
        <v>128</v>
      </c>
      <c r="E138" s="473">
        <v>0.1</v>
      </c>
      <c r="F138" s="272">
        <f t="shared" si="116"/>
        <v>0</v>
      </c>
      <c r="G138" s="272">
        <f t="shared" si="116"/>
        <v>0</v>
      </c>
      <c r="H138" s="272">
        <f t="shared" si="116"/>
        <v>0</v>
      </c>
      <c r="I138" s="272">
        <f t="shared" si="116"/>
        <v>0</v>
      </c>
      <c r="J138" s="272">
        <f t="shared" si="116"/>
        <v>0</v>
      </c>
      <c r="K138" s="272">
        <f t="shared" si="116"/>
        <v>0</v>
      </c>
      <c r="L138" s="272">
        <f t="shared" si="116"/>
        <v>0</v>
      </c>
      <c r="M138" s="272">
        <f t="shared" si="116"/>
        <v>0</v>
      </c>
      <c r="N138" s="272">
        <f t="shared" si="116"/>
        <v>0</v>
      </c>
      <c r="O138" s="272">
        <f t="shared" si="116"/>
        <v>0</v>
      </c>
      <c r="P138" s="272">
        <f t="shared" si="116"/>
        <v>0</v>
      </c>
      <c r="Q138" s="272">
        <f t="shared" si="116"/>
        <v>0</v>
      </c>
      <c r="R138" s="272">
        <f t="shared" si="111"/>
        <v>0</v>
      </c>
      <c r="U138" s="50">
        <v>0.05</v>
      </c>
      <c r="V138" s="40">
        <f t="shared" si="112"/>
        <v>0</v>
      </c>
      <c r="W138" s="40">
        <f t="shared" si="112"/>
        <v>12375</v>
      </c>
      <c r="X138" s="40">
        <f t="shared" si="112"/>
        <v>2700</v>
      </c>
      <c r="Y138" s="40">
        <f t="shared" si="112"/>
        <v>1800</v>
      </c>
      <c r="Z138" s="40">
        <f t="shared" si="112"/>
        <v>2025</v>
      </c>
      <c r="AA138" s="40">
        <f t="shared" si="112"/>
        <v>1350</v>
      </c>
      <c r="AB138" s="40">
        <f t="shared" si="112"/>
        <v>1125</v>
      </c>
      <c r="AC138" s="40">
        <f t="shared" si="112"/>
        <v>1350</v>
      </c>
      <c r="AD138" s="40">
        <f t="shared" si="112"/>
        <v>900</v>
      </c>
      <c r="AE138" s="40">
        <f t="shared" si="112"/>
        <v>1800</v>
      </c>
      <c r="AF138" s="40">
        <f t="shared" si="112"/>
        <v>900</v>
      </c>
      <c r="AG138" s="40">
        <f t="shared" si="112"/>
        <v>900</v>
      </c>
      <c r="AH138" s="40">
        <f t="shared" si="113"/>
        <v>27225</v>
      </c>
      <c r="AI138" s="171"/>
      <c r="AJ138" s="50">
        <v>0.05</v>
      </c>
      <c r="AK138" s="40">
        <f t="shared" si="114"/>
        <v>1890</v>
      </c>
      <c r="AL138" s="40">
        <f t="shared" si="114"/>
        <v>2835</v>
      </c>
      <c r="AM138" s="40">
        <f t="shared" si="114"/>
        <v>2835</v>
      </c>
      <c r="AN138" s="40">
        <f t="shared" si="114"/>
        <v>1890</v>
      </c>
      <c r="AO138" s="40">
        <f t="shared" si="114"/>
        <v>2126.25</v>
      </c>
      <c r="AP138" s="40">
        <f t="shared" si="114"/>
        <v>1417.5</v>
      </c>
      <c r="AQ138" s="40">
        <f t="shared" si="114"/>
        <v>1181.25</v>
      </c>
      <c r="AR138" s="40">
        <f t="shared" si="114"/>
        <v>1417.5</v>
      </c>
      <c r="AS138" s="40">
        <f t="shared" si="114"/>
        <v>945</v>
      </c>
      <c r="AT138" s="40">
        <f t="shared" si="114"/>
        <v>1890</v>
      </c>
      <c r="AU138" s="40">
        <f t="shared" si="114"/>
        <v>945</v>
      </c>
      <c r="AV138" s="40">
        <f t="shared" si="114"/>
        <v>945</v>
      </c>
      <c r="AW138" s="40">
        <f t="shared" si="115"/>
        <v>20317.5</v>
      </c>
      <c r="AX138" s="171"/>
    </row>
    <row r="139" spans="1:50" outlineLevel="1">
      <c r="A139" s="37" t="s">
        <v>326</v>
      </c>
      <c r="B139" s="13" t="s">
        <v>71</v>
      </c>
      <c r="C139" s="13" t="s">
        <v>66</v>
      </c>
      <c r="D139" s="13" t="s">
        <v>128</v>
      </c>
      <c r="E139" s="473"/>
      <c r="F139" s="272">
        <f t="shared" si="116"/>
        <v>0</v>
      </c>
      <c r="G139" s="272">
        <f t="shared" si="116"/>
        <v>0</v>
      </c>
      <c r="H139" s="272">
        <f t="shared" si="116"/>
        <v>0</v>
      </c>
      <c r="I139" s="272">
        <f t="shared" si="116"/>
        <v>0</v>
      </c>
      <c r="J139" s="272">
        <f t="shared" si="116"/>
        <v>0</v>
      </c>
      <c r="K139" s="272">
        <f t="shared" si="116"/>
        <v>0</v>
      </c>
      <c r="L139" s="272">
        <f t="shared" si="116"/>
        <v>0</v>
      </c>
      <c r="M139" s="272">
        <f t="shared" si="116"/>
        <v>0</v>
      </c>
      <c r="N139" s="272">
        <f t="shared" si="116"/>
        <v>0</v>
      </c>
      <c r="O139" s="272">
        <f t="shared" si="116"/>
        <v>0</v>
      </c>
      <c r="P139" s="272">
        <f t="shared" si="116"/>
        <v>0</v>
      </c>
      <c r="Q139" s="272">
        <f t="shared" si="116"/>
        <v>0</v>
      </c>
      <c r="R139" s="272">
        <f t="shared" si="111"/>
        <v>0</v>
      </c>
      <c r="U139" s="50">
        <v>0.1</v>
      </c>
      <c r="V139" s="40">
        <f t="shared" si="112"/>
        <v>500</v>
      </c>
      <c r="W139" s="40">
        <f t="shared" si="112"/>
        <v>1500</v>
      </c>
      <c r="X139" s="40">
        <f t="shared" si="112"/>
        <v>500</v>
      </c>
      <c r="Y139" s="40">
        <f t="shared" si="112"/>
        <v>740</v>
      </c>
      <c r="Z139" s="40">
        <f t="shared" si="112"/>
        <v>1500</v>
      </c>
      <c r="AA139" s="40">
        <f t="shared" si="112"/>
        <v>500</v>
      </c>
      <c r="AB139" s="40">
        <f t="shared" si="112"/>
        <v>740</v>
      </c>
      <c r="AC139" s="40">
        <f t="shared" si="112"/>
        <v>1500</v>
      </c>
      <c r="AD139" s="40">
        <f t="shared" si="112"/>
        <v>500</v>
      </c>
      <c r="AE139" s="40">
        <f t="shared" si="112"/>
        <v>1500</v>
      </c>
      <c r="AF139" s="40">
        <f t="shared" si="112"/>
        <v>1000</v>
      </c>
      <c r="AG139" s="40">
        <f t="shared" si="112"/>
        <v>1000</v>
      </c>
      <c r="AH139" s="40">
        <f t="shared" si="113"/>
        <v>11480</v>
      </c>
      <c r="AI139" s="171"/>
      <c r="AJ139" s="50">
        <v>0.05</v>
      </c>
      <c r="AK139" s="40">
        <f t="shared" si="114"/>
        <v>262.5</v>
      </c>
      <c r="AL139" s="40">
        <f t="shared" si="114"/>
        <v>787.5</v>
      </c>
      <c r="AM139" s="40">
        <f t="shared" si="114"/>
        <v>262.5</v>
      </c>
      <c r="AN139" s="40">
        <f t="shared" si="114"/>
        <v>388.5</v>
      </c>
      <c r="AO139" s="40">
        <f t="shared" si="114"/>
        <v>787.5</v>
      </c>
      <c r="AP139" s="40">
        <f t="shared" si="114"/>
        <v>262.5</v>
      </c>
      <c r="AQ139" s="40">
        <f t="shared" si="114"/>
        <v>388.5</v>
      </c>
      <c r="AR139" s="40">
        <f t="shared" si="114"/>
        <v>787.5</v>
      </c>
      <c r="AS139" s="40">
        <f t="shared" si="114"/>
        <v>262.5</v>
      </c>
      <c r="AT139" s="40">
        <f t="shared" si="114"/>
        <v>787.5</v>
      </c>
      <c r="AU139" s="40">
        <f t="shared" si="114"/>
        <v>525</v>
      </c>
      <c r="AV139" s="40">
        <f t="shared" si="114"/>
        <v>525</v>
      </c>
      <c r="AW139" s="40">
        <f t="shared" si="115"/>
        <v>6027</v>
      </c>
      <c r="AX139" s="171"/>
    </row>
    <row r="140" spans="1:50" ht="13" outlineLevel="1">
      <c r="A140" s="410" t="s">
        <v>424</v>
      </c>
      <c r="B140" s="13" t="s">
        <v>73</v>
      </c>
      <c r="C140" s="13" t="str">
        <f>_xlfn.XLOOKUP($A140,$A$6:$A$113,$C$6:$C$113)</f>
        <v>CE</v>
      </c>
      <c r="D140" s="13" t="s">
        <v>128</v>
      </c>
      <c r="E140" s="473"/>
      <c r="F140" s="272">
        <f t="shared" si="116"/>
        <v>0</v>
      </c>
      <c r="G140" s="272">
        <f t="shared" si="116"/>
        <v>0</v>
      </c>
      <c r="H140" s="272">
        <f t="shared" si="116"/>
        <v>0</v>
      </c>
      <c r="I140" s="272">
        <f t="shared" si="116"/>
        <v>0</v>
      </c>
      <c r="J140" s="272">
        <f t="shared" si="116"/>
        <v>0</v>
      </c>
      <c r="K140" s="272">
        <f t="shared" si="116"/>
        <v>0</v>
      </c>
      <c r="L140" s="272">
        <f t="shared" si="116"/>
        <v>0</v>
      </c>
      <c r="M140" s="272">
        <f t="shared" si="116"/>
        <v>0</v>
      </c>
      <c r="N140" s="272">
        <f t="shared" si="116"/>
        <v>0</v>
      </c>
      <c r="O140" s="272">
        <f t="shared" si="116"/>
        <v>0</v>
      </c>
      <c r="P140" s="272">
        <f t="shared" si="116"/>
        <v>0</v>
      </c>
      <c r="Q140" s="272">
        <f t="shared" si="116"/>
        <v>0</v>
      </c>
      <c r="R140" s="272">
        <f t="shared" ref="R140" si="120">SUM(F140:Q140)</f>
        <v>0</v>
      </c>
      <c r="U140" s="50">
        <v>0.1</v>
      </c>
      <c r="V140" s="40">
        <f t="shared" si="112"/>
        <v>0</v>
      </c>
      <c r="W140" s="40">
        <f t="shared" si="112"/>
        <v>0</v>
      </c>
      <c r="X140" s="40">
        <f t="shared" si="112"/>
        <v>0</v>
      </c>
      <c r="Y140" s="40">
        <f t="shared" si="112"/>
        <v>0</v>
      </c>
      <c r="Z140" s="40">
        <f t="shared" si="112"/>
        <v>0</v>
      </c>
      <c r="AA140" s="40">
        <f t="shared" si="112"/>
        <v>0</v>
      </c>
      <c r="AB140" s="40">
        <f t="shared" si="112"/>
        <v>0</v>
      </c>
      <c r="AC140" s="40">
        <f t="shared" si="112"/>
        <v>0</v>
      </c>
      <c r="AD140" s="40">
        <f t="shared" si="112"/>
        <v>0</v>
      </c>
      <c r="AE140" s="40">
        <f t="shared" si="112"/>
        <v>0</v>
      </c>
      <c r="AF140" s="40">
        <f t="shared" si="112"/>
        <v>0</v>
      </c>
      <c r="AG140" s="40">
        <f t="shared" si="112"/>
        <v>0</v>
      </c>
      <c r="AH140" s="40">
        <f t="shared" ref="AH140" si="121">SUM(V140:AG140)</f>
        <v>0</v>
      </c>
      <c r="AI140" s="171"/>
      <c r="AJ140" s="50">
        <v>0.05</v>
      </c>
      <c r="AK140" s="40">
        <f t="shared" si="114"/>
        <v>0</v>
      </c>
      <c r="AL140" s="40">
        <f t="shared" si="114"/>
        <v>2634.5199720000001</v>
      </c>
      <c r="AM140" s="40">
        <f t="shared" si="114"/>
        <v>4277.1248599999999</v>
      </c>
      <c r="AN140" s="40">
        <f t="shared" si="114"/>
        <v>1487.60718</v>
      </c>
      <c r="AO140" s="40">
        <f t="shared" si="114"/>
        <v>2085.04144</v>
      </c>
      <c r="AP140" s="40">
        <f t="shared" si="114"/>
        <v>1029.5568000000001</v>
      </c>
      <c r="AQ140" s="40">
        <f t="shared" si="114"/>
        <v>2074.211632</v>
      </c>
      <c r="AR140" s="40">
        <f t="shared" si="114"/>
        <v>1371.5950560000001</v>
      </c>
      <c r="AS140" s="40">
        <f t="shared" si="114"/>
        <v>7007.9336979999998</v>
      </c>
      <c r="AT140" s="40">
        <f t="shared" si="114"/>
        <v>3790.0276960000006</v>
      </c>
      <c r="AU140" s="40">
        <f t="shared" si="114"/>
        <v>4573.6248239999995</v>
      </c>
      <c r="AV140" s="40">
        <f t="shared" si="114"/>
        <v>1721.5884000000003</v>
      </c>
      <c r="AW140" s="40">
        <f t="shared" ref="AW140" si="122">SUM(AK140:AV140)</f>
        <v>32052.831558000002</v>
      </c>
      <c r="AX140" s="171"/>
    </row>
    <row r="141" spans="1:50" outlineLevel="1">
      <c r="A141" s="13" t="s">
        <v>353</v>
      </c>
      <c r="B141" s="13" t="s">
        <v>64</v>
      </c>
      <c r="C141" s="13" t="str">
        <f>_xlfn.XLOOKUP($A141,$A$6:$A$113,$C$6:$C$113)</f>
        <v>UK</v>
      </c>
      <c r="D141" s="13" t="s">
        <v>128</v>
      </c>
      <c r="F141" s="272">
        <f t="shared" si="116"/>
        <v>0</v>
      </c>
      <c r="G141" s="272">
        <f t="shared" si="116"/>
        <v>0</v>
      </c>
      <c r="H141" s="272">
        <f t="shared" si="116"/>
        <v>0</v>
      </c>
      <c r="I141" s="272">
        <f t="shared" si="116"/>
        <v>0</v>
      </c>
      <c r="J141" s="272">
        <f t="shared" si="116"/>
        <v>0</v>
      </c>
      <c r="K141" s="272">
        <f t="shared" si="116"/>
        <v>0</v>
      </c>
      <c r="L141" s="272">
        <f t="shared" si="116"/>
        <v>0</v>
      </c>
      <c r="M141" s="272">
        <f t="shared" si="116"/>
        <v>0</v>
      </c>
      <c r="N141" s="272">
        <f t="shared" si="116"/>
        <v>0</v>
      </c>
      <c r="O141" s="272">
        <f t="shared" si="116"/>
        <v>0</v>
      </c>
      <c r="P141" s="272">
        <f t="shared" si="116"/>
        <v>0</v>
      </c>
      <c r="Q141" s="272">
        <f t="shared" si="116"/>
        <v>0</v>
      </c>
      <c r="R141" s="272">
        <f t="shared" si="111"/>
        <v>0</v>
      </c>
      <c r="U141" s="50"/>
      <c r="V141" s="483">
        <v>10000</v>
      </c>
      <c r="W141" s="483">
        <v>10000</v>
      </c>
      <c r="X141" s="483">
        <v>10000</v>
      </c>
      <c r="Y141" s="483">
        <v>10000</v>
      </c>
      <c r="Z141" s="483">
        <v>10000</v>
      </c>
      <c r="AA141" s="483">
        <v>10000</v>
      </c>
      <c r="AB141" s="483">
        <v>10000</v>
      </c>
      <c r="AC141" s="483">
        <v>10000</v>
      </c>
      <c r="AD141" s="483">
        <v>10000</v>
      </c>
      <c r="AE141" s="483">
        <v>10000</v>
      </c>
      <c r="AF141" s="483">
        <v>10000</v>
      </c>
      <c r="AG141" s="483">
        <v>10000</v>
      </c>
      <c r="AH141" s="40">
        <f t="shared" si="113"/>
        <v>120000</v>
      </c>
      <c r="AI141" s="171"/>
      <c r="AK141" s="483">
        <v>20000</v>
      </c>
      <c r="AL141" s="483">
        <v>20000</v>
      </c>
      <c r="AM141" s="483">
        <v>20000</v>
      </c>
      <c r="AN141" s="483">
        <v>20000</v>
      </c>
      <c r="AO141" s="483">
        <v>20000</v>
      </c>
      <c r="AP141" s="483">
        <v>20000</v>
      </c>
      <c r="AQ141" s="483">
        <v>20000</v>
      </c>
      <c r="AR141" s="483">
        <v>20000</v>
      </c>
      <c r="AS141" s="483">
        <v>20000</v>
      </c>
      <c r="AT141" s="483">
        <v>20000</v>
      </c>
      <c r="AU141" s="483">
        <v>20000</v>
      </c>
      <c r="AV141" s="483">
        <v>20000</v>
      </c>
      <c r="AW141" s="40">
        <f t="shared" si="115"/>
        <v>240000</v>
      </c>
      <c r="AX141" s="171"/>
    </row>
    <row r="142" spans="1:50" outlineLevel="1">
      <c r="A142" s="484" t="s">
        <v>438</v>
      </c>
      <c r="B142" s="475"/>
      <c r="C142" s="475"/>
      <c r="D142" s="475"/>
      <c r="E142" s="475"/>
      <c r="F142" s="475">
        <f t="shared" ref="F142:R142" si="123">SUM(F124:F141)</f>
        <v>88675.498299999992</v>
      </c>
      <c r="G142" s="475">
        <f t="shared" si="123"/>
        <v>58464.827499999999</v>
      </c>
      <c r="H142" s="475">
        <f t="shared" si="123"/>
        <v>50694.991400000006</v>
      </c>
      <c r="I142" s="475">
        <f t="shared" si="123"/>
        <v>79155.370800000019</v>
      </c>
      <c r="J142" s="475">
        <f t="shared" si="123"/>
        <v>119090.30279999999</v>
      </c>
      <c r="K142" s="475">
        <f t="shared" si="123"/>
        <v>55363.970699999991</v>
      </c>
      <c r="L142" s="475">
        <f t="shared" si="123"/>
        <v>26580.849399999996</v>
      </c>
      <c r="M142" s="475">
        <f t="shared" si="123"/>
        <v>66486.243100000007</v>
      </c>
      <c r="N142" s="475">
        <f t="shared" si="123"/>
        <v>146937.34359999996</v>
      </c>
      <c r="O142" s="475">
        <f t="shared" si="123"/>
        <v>112509.69135999665</v>
      </c>
      <c r="P142" s="475">
        <f t="shared" si="123"/>
        <v>81593.814398775896</v>
      </c>
      <c r="Q142" s="475">
        <f t="shared" si="123"/>
        <v>94568.879340355241</v>
      </c>
      <c r="R142" s="475">
        <f t="shared" si="123"/>
        <v>980121.7826991278</v>
      </c>
      <c r="V142" s="475">
        <f>SUM(V124:V141)</f>
        <v>106001.27083199999</v>
      </c>
      <c r="W142" s="475">
        <f t="shared" ref="W142:AH142" si="124">SUM(W124:W141)</f>
        <v>86860.731891999996</v>
      </c>
      <c r="X142" s="475">
        <f t="shared" si="124"/>
        <v>68706.689316000004</v>
      </c>
      <c r="Y142" s="475">
        <f t="shared" si="124"/>
        <v>78663.158399740438</v>
      </c>
      <c r="Z142" s="475">
        <f t="shared" si="124"/>
        <v>102745.89479796679</v>
      </c>
      <c r="AA142" s="475">
        <f t="shared" si="124"/>
        <v>70343.511940640077</v>
      </c>
      <c r="AB142" s="475">
        <f t="shared" si="124"/>
        <v>96072.765211760954</v>
      </c>
      <c r="AC142" s="475">
        <f t="shared" si="124"/>
        <v>208821.99974287057</v>
      </c>
      <c r="AD142" s="475">
        <f t="shared" si="124"/>
        <v>161842.48538689417</v>
      </c>
      <c r="AE142" s="475">
        <f t="shared" si="124"/>
        <v>100993.91884501393</v>
      </c>
      <c r="AF142" s="475">
        <f t="shared" si="124"/>
        <v>111887.59938861358</v>
      </c>
      <c r="AG142" s="475">
        <f t="shared" si="124"/>
        <v>104177.34706009572</v>
      </c>
      <c r="AH142" s="475">
        <f t="shared" si="124"/>
        <v>1297117.3728135962</v>
      </c>
      <c r="AI142" s="171"/>
      <c r="AK142" s="475">
        <f t="shared" ref="AK142:AW142" si="125">SUM(AK124:AK141)</f>
        <v>100867.39063500002</v>
      </c>
      <c r="AL142" s="475">
        <f t="shared" si="125"/>
        <v>76589.330122000014</v>
      </c>
      <c r="AM142" s="475">
        <f t="shared" si="125"/>
        <v>75732.132954999994</v>
      </c>
      <c r="AN142" s="475">
        <f t="shared" si="125"/>
        <v>80382.677231677779</v>
      </c>
      <c r="AO142" s="475">
        <f t="shared" si="125"/>
        <v>99502.718165434344</v>
      </c>
      <c r="AP142" s="475">
        <f t="shared" si="125"/>
        <v>71995.82379647746</v>
      </c>
      <c r="AQ142" s="475">
        <f t="shared" si="125"/>
        <v>97478.075755536091</v>
      </c>
      <c r="AR142" s="475">
        <f t="shared" si="125"/>
        <v>196013.88239165835</v>
      </c>
      <c r="AS142" s="475">
        <f t="shared" si="125"/>
        <v>152160.52250356207</v>
      </c>
      <c r="AT142" s="475">
        <f t="shared" si="125"/>
        <v>99015.839331781288</v>
      </c>
      <c r="AU142" s="475">
        <f t="shared" si="125"/>
        <v>107871.11435789154</v>
      </c>
      <c r="AV142" s="475">
        <f t="shared" si="125"/>
        <v>98484.825952022889</v>
      </c>
      <c r="AW142" s="475">
        <f t="shared" si="125"/>
        <v>1256094.3331980417</v>
      </c>
      <c r="AX142" s="171"/>
    </row>
    <row r="143" spans="1:50" outlineLevel="1">
      <c r="B143" s="11"/>
      <c r="C143" s="11"/>
      <c r="D143" s="11"/>
      <c r="E143" s="11"/>
      <c r="F143" s="105"/>
      <c r="G143" s="105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V143" s="474"/>
      <c r="W143" s="474"/>
      <c r="X143" s="474"/>
      <c r="Y143" s="474"/>
      <c r="Z143" s="474"/>
      <c r="AA143" s="474"/>
      <c r="AB143" s="474"/>
      <c r="AC143" s="474"/>
      <c r="AD143" s="474"/>
      <c r="AE143" s="474"/>
      <c r="AF143" s="474"/>
      <c r="AG143" s="474"/>
      <c r="AH143" s="474"/>
      <c r="AI143" s="474"/>
      <c r="AJ143" s="474"/>
      <c r="AK143" s="474"/>
      <c r="AL143" s="474"/>
      <c r="AM143" s="474"/>
      <c r="AN143" s="474"/>
      <c r="AO143" s="474"/>
      <c r="AP143" s="474"/>
      <c r="AQ143" s="474"/>
      <c r="AR143" s="474"/>
      <c r="AS143" s="474"/>
      <c r="AT143" s="474"/>
      <c r="AU143" s="474"/>
      <c r="AV143" s="474"/>
      <c r="AX143" s="171"/>
    </row>
    <row r="144" spans="1:50" outlineLevel="1">
      <c r="A144" s="471" t="s">
        <v>127</v>
      </c>
      <c r="B144" s="369"/>
      <c r="C144" s="369"/>
      <c r="D144" s="369"/>
      <c r="E144" s="369"/>
      <c r="F144" s="472"/>
      <c r="G144" s="472"/>
      <c r="H144" s="472"/>
      <c r="I144" s="472"/>
      <c r="J144" s="472"/>
      <c r="K144" s="472"/>
      <c r="L144" s="472"/>
      <c r="M144" s="472"/>
      <c r="N144" s="472"/>
      <c r="O144" s="472"/>
      <c r="P144" s="472"/>
      <c r="Q144" s="472"/>
      <c r="R144" s="369"/>
      <c r="S144" s="369"/>
      <c r="T144" s="369"/>
      <c r="U144" s="369"/>
      <c r="V144" s="476"/>
      <c r="W144" s="476"/>
      <c r="X144" s="476"/>
      <c r="Y144" s="476"/>
      <c r="Z144" s="476"/>
      <c r="AA144" s="476"/>
      <c r="AB144" s="476"/>
      <c r="AC144" s="476"/>
      <c r="AD144" s="476"/>
      <c r="AE144" s="476"/>
      <c r="AF144" s="476"/>
      <c r="AG144" s="476"/>
      <c r="AH144" s="476"/>
      <c r="AI144" s="476"/>
      <c r="AJ144" s="476"/>
      <c r="AK144" s="476"/>
      <c r="AL144" s="476"/>
      <c r="AM144" s="476"/>
      <c r="AN144" s="476"/>
      <c r="AO144" s="476"/>
      <c r="AP144" s="476"/>
      <c r="AQ144" s="476"/>
      <c r="AR144" s="476"/>
      <c r="AS144" s="476"/>
      <c r="AT144" s="476"/>
      <c r="AU144" s="476"/>
      <c r="AV144" s="476"/>
      <c r="AW144" s="369"/>
      <c r="AX144" s="476"/>
    </row>
    <row r="145" spans="1:50" outlineLevel="1">
      <c r="A145" s="13" t="s">
        <v>277</v>
      </c>
      <c r="B145" s="13" t="s">
        <v>64</v>
      </c>
      <c r="C145" s="13" t="str">
        <f t="shared" ref="C145:C155" si="126">_xlfn.XLOOKUP($A145,$A$6:$A$113,$C$6:$C$113)</f>
        <v>UK</v>
      </c>
      <c r="D145" s="13" t="s">
        <v>127</v>
      </c>
      <c r="E145" s="139">
        <v>0.02</v>
      </c>
      <c r="F145" s="40">
        <f t="shared" ref="F145:Q154" si="127">SUMIF($A$6:$A$113,$A145,F$6:F$113)*$E145</f>
        <v>3802.9668000000006</v>
      </c>
      <c r="G145" s="40">
        <f t="shared" si="127"/>
        <v>2069.1088</v>
      </c>
      <c r="H145" s="40">
        <f t="shared" si="127"/>
        <v>1472.9483999999998</v>
      </c>
      <c r="I145" s="40">
        <f t="shared" si="127"/>
        <v>3341.3836000000001</v>
      </c>
      <c r="J145" s="40">
        <f t="shared" si="127"/>
        <v>6158.54</v>
      </c>
      <c r="K145" s="40">
        <f t="shared" si="127"/>
        <v>2285.9197999999997</v>
      </c>
      <c r="L145" s="40">
        <f t="shared" si="127"/>
        <v>381.18720000000002</v>
      </c>
      <c r="M145" s="40">
        <f t="shared" si="127"/>
        <v>2568.7175999999999</v>
      </c>
      <c r="N145" s="40">
        <f t="shared" si="127"/>
        <v>7096.1015999999991</v>
      </c>
      <c r="O145" s="40">
        <f t="shared" si="127"/>
        <v>4450.3920917533605</v>
      </c>
      <c r="P145" s="40">
        <f t="shared" si="127"/>
        <v>2866.9446148745237</v>
      </c>
      <c r="Q145" s="40">
        <f t="shared" si="127"/>
        <v>4213.7517809614601</v>
      </c>
      <c r="R145" s="40">
        <f t="shared" ref="R145:R161" si="128">SUM(F145:Q145)</f>
        <v>40707.96228758934</v>
      </c>
      <c r="U145" s="50">
        <v>0.02</v>
      </c>
      <c r="V145" s="40">
        <f t="shared" ref="V145:AG160" si="129">SUMIF($A$6:$A$113,$A145,V$6:V$113)*$U145</f>
        <v>4329.2613280000005</v>
      </c>
      <c r="W145" s="40">
        <f t="shared" si="129"/>
        <v>2497.2356479999999</v>
      </c>
      <c r="X145" s="40">
        <f t="shared" si="129"/>
        <v>2121.8420639999999</v>
      </c>
      <c r="Y145" s="40">
        <f t="shared" si="129"/>
        <v>2466.3446560000002</v>
      </c>
      <c r="Z145" s="40">
        <f t="shared" si="129"/>
        <v>3853.6583999999998</v>
      </c>
      <c r="AA145" s="40">
        <f t="shared" si="129"/>
        <v>2348.563208</v>
      </c>
      <c r="AB145" s="40">
        <f t="shared" si="129"/>
        <v>2421.2125120000001</v>
      </c>
      <c r="AC145" s="40">
        <f t="shared" si="129"/>
        <v>5771.2512960000004</v>
      </c>
      <c r="AD145" s="40">
        <f t="shared" si="129"/>
        <v>7323.275936</v>
      </c>
      <c r="AE145" s="40">
        <f t="shared" si="129"/>
        <v>3172.7243163298599</v>
      </c>
      <c r="AF145" s="40">
        <f t="shared" si="129"/>
        <v>4166.362215405019</v>
      </c>
      <c r="AG145" s="40">
        <f t="shared" si="129"/>
        <v>4129.9699287615413</v>
      </c>
      <c r="AH145" s="40">
        <f t="shared" ref="AH145:AH161" si="130">SUM(V145:AG145)</f>
        <v>44601.701508496422</v>
      </c>
      <c r="AI145" s="474"/>
      <c r="AJ145" s="50">
        <v>0.05</v>
      </c>
      <c r="AK145" s="40">
        <f t="shared" ref="AK145:AV160" si="131">SUMIF($A$6:$A$113,$A145,AK$6:AK$113)*$AJ145</f>
        <v>11364.310986000002</v>
      </c>
      <c r="AL145" s="40">
        <f t="shared" si="131"/>
        <v>6555.2435760000008</v>
      </c>
      <c r="AM145" s="40">
        <f t="shared" si="131"/>
        <v>5569.8354180000006</v>
      </c>
      <c r="AN145" s="40">
        <f t="shared" si="131"/>
        <v>6474.1547220000002</v>
      </c>
      <c r="AO145" s="40">
        <f t="shared" si="131"/>
        <v>10115.853300000001</v>
      </c>
      <c r="AP145" s="40">
        <f t="shared" si="131"/>
        <v>6164.9784209999998</v>
      </c>
      <c r="AQ145" s="40">
        <f t="shared" si="131"/>
        <v>6355.6828440000008</v>
      </c>
      <c r="AR145" s="40">
        <f t="shared" si="131"/>
        <v>15149.534652</v>
      </c>
      <c r="AS145" s="40">
        <f t="shared" si="131"/>
        <v>19223.599332000002</v>
      </c>
      <c r="AT145" s="40">
        <f t="shared" si="131"/>
        <v>8328.401330365883</v>
      </c>
      <c r="AU145" s="40">
        <f t="shared" si="131"/>
        <v>10936.700815438177</v>
      </c>
      <c r="AV145" s="40">
        <f t="shared" si="131"/>
        <v>10841.171062999048</v>
      </c>
      <c r="AW145" s="40">
        <f t="shared" ref="AW145:AW161" si="132">SUM(AK145:AV145)</f>
        <v>117079.46645980311</v>
      </c>
      <c r="AX145" s="171"/>
    </row>
    <row r="146" spans="1:50" outlineLevel="1">
      <c r="A146" s="13" t="s">
        <v>248</v>
      </c>
      <c r="B146" s="13" t="s">
        <v>64</v>
      </c>
      <c r="C146" s="13" t="str">
        <f t="shared" si="126"/>
        <v>UK</v>
      </c>
      <c r="D146" s="13" t="s">
        <v>127</v>
      </c>
      <c r="E146" s="139">
        <v>0.13</v>
      </c>
      <c r="F146" s="40">
        <f t="shared" si="127"/>
        <v>8074.2856999999995</v>
      </c>
      <c r="G146" s="40">
        <f t="shared" si="127"/>
        <v>4534.5560000000005</v>
      </c>
      <c r="H146" s="40">
        <f t="shared" si="127"/>
        <v>8510.1016</v>
      </c>
      <c r="I146" s="40">
        <f t="shared" si="127"/>
        <v>7359.4794000000002</v>
      </c>
      <c r="J146" s="40">
        <f t="shared" si="127"/>
        <v>5440.7651999999989</v>
      </c>
      <c r="K146" s="40">
        <f t="shared" si="127"/>
        <v>6763.2864</v>
      </c>
      <c r="L146" s="40">
        <f t="shared" si="127"/>
        <v>7215.0104000000001</v>
      </c>
      <c r="M146" s="40">
        <f t="shared" si="127"/>
        <v>6965.3922000000002</v>
      </c>
      <c r="N146" s="40">
        <f t="shared" si="127"/>
        <v>9307.6775999999991</v>
      </c>
      <c r="O146" s="40">
        <f t="shared" si="127"/>
        <v>11100.639497571585</v>
      </c>
      <c r="P146" s="40">
        <f t="shared" si="127"/>
        <v>12999.007006761751</v>
      </c>
      <c r="Q146" s="40">
        <f t="shared" si="127"/>
        <v>8377.3140861556913</v>
      </c>
      <c r="R146" s="40">
        <f t="shared" si="128"/>
        <v>96647.515090489018</v>
      </c>
      <c r="U146" s="50">
        <v>0.13</v>
      </c>
      <c r="V146" s="40">
        <f t="shared" si="129"/>
        <v>7670.5714149999994</v>
      </c>
      <c r="W146" s="40">
        <f t="shared" si="129"/>
        <v>4307.8281999999999</v>
      </c>
      <c r="X146" s="40">
        <f t="shared" si="129"/>
        <v>8084.5965200000001</v>
      </c>
      <c r="Y146" s="40">
        <f t="shared" si="129"/>
        <v>6991.5054299999993</v>
      </c>
      <c r="Z146" s="40">
        <f t="shared" si="129"/>
        <v>5440.7651999999989</v>
      </c>
      <c r="AA146" s="40">
        <f t="shared" si="129"/>
        <v>6763.2864</v>
      </c>
      <c r="AB146" s="40">
        <f t="shared" si="129"/>
        <v>20215.010400000003</v>
      </c>
      <c r="AC146" s="40">
        <f t="shared" si="129"/>
        <v>42065.392200000002</v>
      </c>
      <c r="AD146" s="40">
        <f t="shared" si="129"/>
        <v>7446.1420799999996</v>
      </c>
      <c r="AE146" s="40">
        <f t="shared" si="129"/>
        <v>8880.5115980572682</v>
      </c>
      <c r="AF146" s="40">
        <f t="shared" si="129"/>
        <v>10399.205605409401</v>
      </c>
      <c r="AG146" s="40">
        <f t="shared" si="129"/>
        <v>6701.8512689245526</v>
      </c>
      <c r="AH146" s="40">
        <f t="shared" si="130"/>
        <v>134966.66631739124</v>
      </c>
      <c r="AI146" s="474"/>
      <c r="AJ146" s="50">
        <v>0.15</v>
      </c>
      <c r="AK146" s="40">
        <f t="shared" si="131"/>
        <v>10178.258223749997</v>
      </c>
      <c r="AL146" s="40">
        <f t="shared" si="131"/>
        <v>5716.156649999999</v>
      </c>
      <c r="AM146" s="40">
        <f t="shared" si="131"/>
        <v>10727.637689999998</v>
      </c>
      <c r="AN146" s="40">
        <f t="shared" si="131"/>
        <v>9277.1898974999986</v>
      </c>
      <c r="AO146" s="40">
        <f t="shared" si="131"/>
        <v>7219.4768999999987</v>
      </c>
      <c r="AP146" s="40">
        <f t="shared" si="131"/>
        <v>8974.3607999999986</v>
      </c>
      <c r="AQ146" s="40">
        <f t="shared" si="131"/>
        <v>26823.763800000001</v>
      </c>
      <c r="AR146" s="40">
        <f t="shared" si="131"/>
        <v>55817.539649999999</v>
      </c>
      <c r="AS146" s="40">
        <f t="shared" si="131"/>
        <v>9880.4577599999975</v>
      </c>
      <c r="AT146" s="40">
        <f t="shared" si="131"/>
        <v>11783.755774345222</v>
      </c>
      <c r="AU146" s="40">
        <f t="shared" si="131"/>
        <v>13798.94589948555</v>
      </c>
      <c r="AV146" s="40">
        <f t="shared" si="131"/>
        <v>8892.8411068421938</v>
      </c>
      <c r="AW146" s="40">
        <f t="shared" si="132"/>
        <v>179090.38415192295</v>
      </c>
      <c r="AX146" s="171"/>
    </row>
    <row r="147" spans="1:50" outlineLevel="1">
      <c r="A147" s="13" t="s">
        <v>332</v>
      </c>
      <c r="B147" s="13" t="s">
        <v>64</v>
      </c>
      <c r="C147" s="13" t="str">
        <f t="shared" si="126"/>
        <v>UK</v>
      </c>
      <c r="D147" s="13" t="s">
        <v>127</v>
      </c>
      <c r="E147" s="139">
        <v>0.14000000000000001</v>
      </c>
      <c r="F147" s="40">
        <f t="shared" si="127"/>
        <v>2297.0219999999999</v>
      </c>
      <c r="G147" s="40">
        <f t="shared" si="127"/>
        <v>1107.5147999999999</v>
      </c>
      <c r="H147" s="40">
        <f t="shared" si="127"/>
        <v>1771.6033999999997</v>
      </c>
      <c r="I147" s="40">
        <f t="shared" si="127"/>
        <v>2073.0275999999999</v>
      </c>
      <c r="J147" s="40">
        <f t="shared" si="127"/>
        <v>2372.4834000000005</v>
      </c>
      <c r="K147" s="40">
        <f t="shared" si="127"/>
        <v>1289.0304000000001</v>
      </c>
      <c r="L147" s="40">
        <f t="shared" si="127"/>
        <v>1545.0665999999999</v>
      </c>
      <c r="M147" s="40">
        <f t="shared" si="127"/>
        <v>1635.2924000000007</v>
      </c>
      <c r="N147" s="40">
        <f t="shared" si="127"/>
        <v>5592.4652000000006</v>
      </c>
      <c r="O147" s="40">
        <f t="shared" si="127"/>
        <v>2144.8571999999999</v>
      </c>
      <c r="P147" s="40">
        <f t="shared" si="127"/>
        <v>1873.0489714285723</v>
      </c>
      <c r="Q147" s="40">
        <f t="shared" si="127"/>
        <v>1947.5411959183741</v>
      </c>
      <c r="R147" s="40">
        <f t="shared" si="128"/>
        <v>25648.953167346943</v>
      </c>
      <c r="U147" s="50">
        <v>0.14000000000000001</v>
      </c>
      <c r="V147" s="40">
        <f t="shared" si="129"/>
        <v>2297.0219999999999</v>
      </c>
      <c r="W147" s="40">
        <f t="shared" si="129"/>
        <v>1107.5147999999999</v>
      </c>
      <c r="X147" s="40">
        <f t="shared" si="129"/>
        <v>1771.6033999999997</v>
      </c>
      <c r="Y147" s="40">
        <f t="shared" si="129"/>
        <v>2073.0275999999999</v>
      </c>
      <c r="Z147" s="40">
        <f t="shared" si="129"/>
        <v>5872.4834000000001</v>
      </c>
      <c r="AA147" s="40">
        <f t="shared" si="129"/>
        <v>1224.5788800000003</v>
      </c>
      <c r="AB147" s="40">
        <f t="shared" si="129"/>
        <v>1467.8132700000001</v>
      </c>
      <c r="AC147" s="40">
        <f t="shared" si="129"/>
        <v>9953.5277800000022</v>
      </c>
      <c r="AD147" s="40">
        <f t="shared" si="129"/>
        <v>6712.8419400000002</v>
      </c>
      <c r="AE147" s="40">
        <f t="shared" si="129"/>
        <v>3437.6143400000001</v>
      </c>
      <c r="AF147" s="40">
        <f t="shared" si="129"/>
        <v>1779.3965228571437</v>
      </c>
      <c r="AG147" s="40">
        <f t="shared" si="129"/>
        <v>1850.1641361224554</v>
      </c>
      <c r="AH147" s="40">
        <f t="shared" si="130"/>
        <v>39547.588068979603</v>
      </c>
      <c r="AI147" s="474"/>
      <c r="AJ147" s="50">
        <v>0.15</v>
      </c>
      <c r="AK147" s="40">
        <f t="shared" si="131"/>
        <v>2805.6482999999994</v>
      </c>
      <c r="AL147" s="40">
        <f t="shared" si="131"/>
        <v>1352.7502199999994</v>
      </c>
      <c r="AM147" s="40">
        <f t="shared" si="131"/>
        <v>2163.8870099999995</v>
      </c>
      <c r="AN147" s="40">
        <f t="shared" si="131"/>
        <v>2532.0551399999995</v>
      </c>
      <c r="AO147" s="40">
        <f t="shared" si="131"/>
        <v>7172.8190099999993</v>
      </c>
      <c r="AP147" s="40">
        <f t="shared" si="131"/>
        <v>1495.7356319999999</v>
      </c>
      <c r="AQ147" s="40">
        <f t="shared" si="131"/>
        <v>1792.8290654999996</v>
      </c>
      <c r="AR147" s="40">
        <f t="shared" si="131"/>
        <v>12157.523217</v>
      </c>
      <c r="AS147" s="40">
        <f t="shared" si="131"/>
        <v>8199.2569409999996</v>
      </c>
      <c r="AT147" s="40">
        <f t="shared" si="131"/>
        <v>4198.80037242857</v>
      </c>
      <c r="AU147" s="40">
        <f t="shared" si="131"/>
        <v>2173.4057529183679</v>
      </c>
      <c r="AV147" s="40">
        <f t="shared" si="131"/>
        <v>2259.8433376924272</v>
      </c>
      <c r="AW147" s="40">
        <f t="shared" si="132"/>
        <v>48304.55399853937</v>
      </c>
      <c r="AX147" s="171"/>
    </row>
    <row r="148" spans="1:50" outlineLevel="1">
      <c r="A148" s="13" t="s">
        <v>330</v>
      </c>
      <c r="B148" s="13" t="s">
        <v>64</v>
      </c>
      <c r="C148" s="13" t="str">
        <f t="shared" si="126"/>
        <v>UK</v>
      </c>
      <c r="D148" s="13" t="s">
        <v>127</v>
      </c>
      <c r="E148" s="139">
        <v>7.0000000000000007E-2</v>
      </c>
      <c r="F148" s="40">
        <f t="shared" si="127"/>
        <v>1252.8530000000001</v>
      </c>
      <c r="G148" s="40">
        <f t="shared" si="127"/>
        <v>3314.8177999999998</v>
      </c>
      <c r="H148" s="40">
        <f t="shared" si="127"/>
        <v>2095.6417999999999</v>
      </c>
      <c r="I148" s="40">
        <f t="shared" si="127"/>
        <v>653.94000000000005</v>
      </c>
      <c r="J148" s="40">
        <f t="shared" si="127"/>
        <v>66.554600000000008</v>
      </c>
      <c r="K148" s="40">
        <f t="shared" si="127"/>
        <v>0</v>
      </c>
      <c r="L148" s="40">
        <f t="shared" si="127"/>
        <v>465.88430000000005</v>
      </c>
      <c r="M148" s="40">
        <f t="shared" si="127"/>
        <v>2794.7402000000002</v>
      </c>
      <c r="N148" s="40">
        <f t="shared" si="127"/>
        <v>509.70500000000004</v>
      </c>
      <c r="O148" s="40">
        <f t="shared" si="127"/>
        <v>799.54000000000008</v>
      </c>
      <c r="P148" s="40">
        <f t="shared" si="127"/>
        <v>1029.5647634160212</v>
      </c>
      <c r="Q148" s="40">
        <f t="shared" si="127"/>
        <v>624.48338529724356</v>
      </c>
      <c r="R148" s="40">
        <f t="shared" si="128"/>
        <v>13607.724848713267</v>
      </c>
      <c r="U148" s="50">
        <v>7.0000000000000007E-2</v>
      </c>
      <c r="V148" s="40">
        <f t="shared" si="129"/>
        <v>1050</v>
      </c>
      <c r="W148" s="40">
        <f t="shared" si="129"/>
        <v>2415.0000000000005</v>
      </c>
      <c r="X148" s="40">
        <f t="shared" si="129"/>
        <v>0</v>
      </c>
      <c r="Y148" s="40">
        <f t="shared" si="129"/>
        <v>700.00000000000011</v>
      </c>
      <c r="Z148" s="40">
        <f t="shared" si="129"/>
        <v>683.06000000000006</v>
      </c>
      <c r="AA148" s="40">
        <f t="shared" si="129"/>
        <v>509.6</v>
      </c>
      <c r="AB148" s="40">
        <f t="shared" si="129"/>
        <v>485.59000000000003</v>
      </c>
      <c r="AC148" s="40">
        <f t="shared" si="129"/>
        <v>1113.21</v>
      </c>
      <c r="AD148" s="40">
        <f t="shared" si="129"/>
        <v>593.04000000000008</v>
      </c>
      <c r="AE148" s="40">
        <f t="shared" si="129"/>
        <v>2299.7800000000002</v>
      </c>
      <c r="AF148" s="40">
        <f t="shared" si="129"/>
        <v>1916.2500000000002</v>
      </c>
      <c r="AG148" s="40">
        <f t="shared" si="129"/>
        <v>1549.2400000000002</v>
      </c>
      <c r="AH148" s="40">
        <f t="shared" si="130"/>
        <v>13314.770000000002</v>
      </c>
      <c r="AI148" s="474"/>
      <c r="AJ148" s="50">
        <v>0.05</v>
      </c>
      <c r="AK148" s="40">
        <f t="shared" si="131"/>
        <v>787.5</v>
      </c>
      <c r="AL148" s="40">
        <f t="shared" si="131"/>
        <v>1811.25</v>
      </c>
      <c r="AM148" s="40">
        <f t="shared" si="131"/>
        <v>0</v>
      </c>
      <c r="AN148" s="40">
        <f t="shared" si="131"/>
        <v>525</v>
      </c>
      <c r="AO148" s="40">
        <f t="shared" si="131"/>
        <v>512.29499999999996</v>
      </c>
      <c r="AP148" s="40">
        <f t="shared" si="131"/>
        <v>382.20000000000005</v>
      </c>
      <c r="AQ148" s="40">
        <f t="shared" si="131"/>
        <v>364.19250000000005</v>
      </c>
      <c r="AR148" s="40">
        <f t="shared" si="131"/>
        <v>834.90750000000014</v>
      </c>
      <c r="AS148" s="40">
        <f t="shared" si="131"/>
        <v>444.78000000000003</v>
      </c>
      <c r="AT148" s="40">
        <f t="shared" si="131"/>
        <v>1724.8350000000003</v>
      </c>
      <c r="AU148" s="40">
        <f t="shared" si="131"/>
        <v>1437.1875</v>
      </c>
      <c r="AV148" s="40">
        <f t="shared" si="131"/>
        <v>1161.93</v>
      </c>
      <c r="AW148" s="40">
        <f t="shared" si="132"/>
        <v>9986.0774999999994</v>
      </c>
      <c r="AX148" s="171"/>
    </row>
    <row r="149" spans="1:50" outlineLevel="1">
      <c r="A149" s="13" t="s">
        <v>264</v>
      </c>
      <c r="B149" s="13" t="s">
        <v>73</v>
      </c>
      <c r="C149" s="13" t="str">
        <f t="shared" si="126"/>
        <v>CE</v>
      </c>
      <c r="D149" s="13" t="s">
        <v>127</v>
      </c>
      <c r="E149" s="139">
        <v>0.1</v>
      </c>
      <c r="F149" s="40">
        <f t="shared" si="127"/>
        <v>6984.1830000000009</v>
      </c>
      <c r="G149" s="40">
        <f t="shared" si="127"/>
        <v>4893.165</v>
      </c>
      <c r="H149" s="40">
        <f t="shared" si="127"/>
        <v>0</v>
      </c>
      <c r="I149" s="40">
        <f t="shared" si="127"/>
        <v>6706.6380000000008</v>
      </c>
      <c r="J149" s="40">
        <f t="shared" si="127"/>
        <v>5882.1040000000012</v>
      </c>
      <c r="K149" s="40">
        <f t="shared" si="127"/>
        <v>3446.0040000000004</v>
      </c>
      <c r="L149" s="40">
        <f t="shared" si="127"/>
        <v>4513.049</v>
      </c>
      <c r="M149" s="40">
        <f t="shared" si="127"/>
        <v>-84.039000000000001</v>
      </c>
      <c r="N149" s="40">
        <f t="shared" si="127"/>
        <v>0</v>
      </c>
      <c r="O149" s="40">
        <f t="shared" si="127"/>
        <v>11400</v>
      </c>
      <c r="P149" s="40">
        <f t="shared" si="127"/>
        <v>4000</v>
      </c>
      <c r="Q149" s="40">
        <f t="shared" si="127"/>
        <v>4040.6176320486538</v>
      </c>
      <c r="R149" s="40">
        <f t="shared" si="128"/>
        <v>51781.721632048662</v>
      </c>
      <c r="U149" s="50">
        <v>0.1</v>
      </c>
      <c r="V149" s="40">
        <f t="shared" si="129"/>
        <v>2700</v>
      </c>
      <c r="W149" s="40">
        <f t="shared" si="129"/>
        <v>4500</v>
      </c>
      <c r="X149" s="40">
        <f t="shared" si="129"/>
        <v>4140</v>
      </c>
      <c r="Y149" s="40">
        <f t="shared" si="129"/>
        <v>4050</v>
      </c>
      <c r="Z149" s="40">
        <f t="shared" si="129"/>
        <v>4860</v>
      </c>
      <c r="AA149" s="40">
        <f t="shared" si="129"/>
        <v>2430</v>
      </c>
      <c r="AB149" s="40">
        <f t="shared" si="129"/>
        <v>3240</v>
      </c>
      <c r="AC149" s="40">
        <f t="shared" si="129"/>
        <v>3800</v>
      </c>
      <c r="AD149" s="40">
        <f t="shared" si="129"/>
        <v>4140</v>
      </c>
      <c r="AE149" s="40">
        <f t="shared" si="129"/>
        <v>4860</v>
      </c>
      <c r="AF149" s="40">
        <f t="shared" si="129"/>
        <v>3240</v>
      </c>
      <c r="AG149" s="40">
        <f t="shared" si="129"/>
        <v>3240</v>
      </c>
      <c r="AH149" s="40">
        <f t="shared" si="130"/>
        <v>45200</v>
      </c>
      <c r="AI149" s="474"/>
      <c r="AJ149" s="50">
        <v>0.1</v>
      </c>
      <c r="AK149" s="40">
        <f t="shared" si="131"/>
        <v>2916.0000000000005</v>
      </c>
      <c r="AL149" s="40">
        <f t="shared" si="131"/>
        <v>4860</v>
      </c>
      <c r="AM149" s="40">
        <f t="shared" si="131"/>
        <v>4471.2</v>
      </c>
      <c r="AN149" s="40">
        <f t="shared" si="131"/>
        <v>4374</v>
      </c>
      <c r="AO149" s="40">
        <f t="shared" si="131"/>
        <v>5248.8</v>
      </c>
      <c r="AP149" s="40">
        <f t="shared" si="131"/>
        <v>2624.4</v>
      </c>
      <c r="AQ149" s="40">
        <f t="shared" si="131"/>
        <v>3499.2000000000003</v>
      </c>
      <c r="AR149" s="40">
        <f t="shared" si="131"/>
        <v>4104</v>
      </c>
      <c r="AS149" s="40">
        <f t="shared" si="131"/>
        <v>4471.2</v>
      </c>
      <c r="AT149" s="40">
        <f t="shared" si="131"/>
        <v>5248.8</v>
      </c>
      <c r="AU149" s="40">
        <f t="shared" si="131"/>
        <v>3499.2000000000003</v>
      </c>
      <c r="AV149" s="40">
        <f t="shared" si="131"/>
        <v>3499.2000000000003</v>
      </c>
      <c r="AW149" s="40">
        <f t="shared" si="132"/>
        <v>48816</v>
      </c>
      <c r="AX149" s="171"/>
    </row>
    <row r="150" spans="1:50" outlineLevel="1">
      <c r="A150" s="13" t="s">
        <v>291</v>
      </c>
      <c r="B150" s="13" t="s">
        <v>72</v>
      </c>
      <c r="C150" s="13" t="str">
        <f t="shared" si="126"/>
        <v>EE</v>
      </c>
      <c r="D150" s="13" t="s">
        <v>127</v>
      </c>
      <c r="E150" s="139"/>
      <c r="F150" s="40">
        <f t="shared" si="127"/>
        <v>0</v>
      </c>
      <c r="G150" s="40">
        <f t="shared" si="127"/>
        <v>0</v>
      </c>
      <c r="H150" s="40">
        <f t="shared" si="127"/>
        <v>0</v>
      </c>
      <c r="I150" s="40">
        <f t="shared" si="127"/>
        <v>0</v>
      </c>
      <c r="J150" s="40">
        <f t="shared" si="127"/>
        <v>0</v>
      </c>
      <c r="K150" s="40">
        <f t="shared" si="127"/>
        <v>0</v>
      </c>
      <c r="L150" s="40">
        <f t="shared" si="127"/>
        <v>0</v>
      </c>
      <c r="M150" s="40">
        <f t="shared" si="127"/>
        <v>0</v>
      </c>
      <c r="N150" s="40">
        <f t="shared" si="127"/>
        <v>0</v>
      </c>
      <c r="O150" s="40">
        <f t="shared" si="127"/>
        <v>0</v>
      </c>
      <c r="P150" s="40">
        <f t="shared" si="127"/>
        <v>0</v>
      </c>
      <c r="Q150" s="40">
        <f t="shared" si="127"/>
        <v>0</v>
      </c>
      <c r="R150" s="40">
        <f t="shared" si="128"/>
        <v>0</v>
      </c>
      <c r="U150" s="50"/>
      <c r="V150" s="40">
        <f t="shared" si="129"/>
        <v>0</v>
      </c>
      <c r="W150" s="40">
        <f t="shared" si="129"/>
        <v>0</v>
      </c>
      <c r="X150" s="40">
        <f t="shared" si="129"/>
        <v>0</v>
      </c>
      <c r="Y150" s="40">
        <f t="shared" si="129"/>
        <v>0</v>
      </c>
      <c r="Z150" s="40">
        <f t="shared" si="129"/>
        <v>0</v>
      </c>
      <c r="AA150" s="40">
        <f t="shared" si="129"/>
        <v>0</v>
      </c>
      <c r="AB150" s="40">
        <f t="shared" si="129"/>
        <v>0</v>
      </c>
      <c r="AC150" s="40">
        <f t="shared" si="129"/>
        <v>0</v>
      </c>
      <c r="AD150" s="40">
        <f t="shared" si="129"/>
        <v>0</v>
      </c>
      <c r="AE150" s="40">
        <f t="shared" si="129"/>
        <v>0</v>
      </c>
      <c r="AF150" s="40">
        <f t="shared" si="129"/>
        <v>0</v>
      </c>
      <c r="AG150" s="40">
        <f t="shared" si="129"/>
        <v>0</v>
      </c>
      <c r="AH150" s="40">
        <f t="shared" si="130"/>
        <v>0</v>
      </c>
      <c r="AI150" s="474"/>
      <c r="AJ150" s="50"/>
      <c r="AK150" s="40">
        <f t="shared" si="131"/>
        <v>0</v>
      </c>
      <c r="AL150" s="40">
        <f t="shared" si="131"/>
        <v>0</v>
      </c>
      <c r="AM150" s="40">
        <f t="shared" si="131"/>
        <v>0</v>
      </c>
      <c r="AN150" s="40">
        <f t="shared" si="131"/>
        <v>0</v>
      </c>
      <c r="AO150" s="40">
        <f t="shared" si="131"/>
        <v>0</v>
      </c>
      <c r="AP150" s="40">
        <f t="shared" si="131"/>
        <v>0</v>
      </c>
      <c r="AQ150" s="40">
        <f t="shared" si="131"/>
        <v>0</v>
      </c>
      <c r="AR150" s="40">
        <f t="shared" si="131"/>
        <v>0</v>
      </c>
      <c r="AS150" s="40">
        <f t="shared" si="131"/>
        <v>0</v>
      </c>
      <c r="AT150" s="40">
        <f t="shared" si="131"/>
        <v>0</v>
      </c>
      <c r="AU150" s="40">
        <f t="shared" si="131"/>
        <v>0</v>
      </c>
      <c r="AV150" s="40">
        <f t="shared" si="131"/>
        <v>0</v>
      </c>
      <c r="AW150" s="40">
        <f t="shared" si="132"/>
        <v>0</v>
      </c>
      <c r="AX150" s="171"/>
    </row>
    <row r="151" spans="1:50" outlineLevel="1">
      <c r="A151" s="13" t="s">
        <v>273</v>
      </c>
      <c r="B151" s="13" t="s">
        <v>70</v>
      </c>
      <c r="C151" s="13" t="str">
        <f t="shared" si="126"/>
        <v>EE</v>
      </c>
      <c r="D151" s="13" t="s">
        <v>127</v>
      </c>
      <c r="E151" s="139"/>
      <c r="F151" s="40">
        <f t="shared" si="127"/>
        <v>0</v>
      </c>
      <c r="G151" s="40">
        <f t="shared" si="127"/>
        <v>0</v>
      </c>
      <c r="H151" s="40">
        <f t="shared" si="127"/>
        <v>0</v>
      </c>
      <c r="I151" s="40">
        <f t="shared" si="127"/>
        <v>0</v>
      </c>
      <c r="J151" s="40">
        <f t="shared" si="127"/>
        <v>0</v>
      </c>
      <c r="K151" s="40">
        <f t="shared" si="127"/>
        <v>0</v>
      </c>
      <c r="L151" s="40">
        <f t="shared" si="127"/>
        <v>0</v>
      </c>
      <c r="M151" s="40">
        <f t="shared" si="127"/>
        <v>0</v>
      </c>
      <c r="N151" s="40">
        <f t="shared" si="127"/>
        <v>0</v>
      </c>
      <c r="O151" s="40">
        <f t="shared" si="127"/>
        <v>0</v>
      </c>
      <c r="P151" s="40">
        <f t="shared" si="127"/>
        <v>0</v>
      </c>
      <c r="Q151" s="40">
        <f t="shared" si="127"/>
        <v>0</v>
      </c>
      <c r="R151" s="40">
        <f t="shared" si="128"/>
        <v>0</v>
      </c>
      <c r="U151" s="50"/>
      <c r="V151" s="40">
        <f t="shared" si="129"/>
        <v>0</v>
      </c>
      <c r="W151" s="40">
        <f t="shared" si="129"/>
        <v>0</v>
      </c>
      <c r="X151" s="40">
        <f t="shared" si="129"/>
        <v>0</v>
      </c>
      <c r="Y151" s="40">
        <f t="shared" si="129"/>
        <v>0</v>
      </c>
      <c r="Z151" s="40">
        <f t="shared" si="129"/>
        <v>0</v>
      </c>
      <c r="AA151" s="40">
        <f t="shared" si="129"/>
        <v>0</v>
      </c>
      <c r="AB151" s="40">
        <f t="shared" si="129"/>
        <v>0</v>
      </c>
      <c r="AC151" s="40">
        <f t="shared" si="129"/>
        <v>0</v>
      </c>
      <c r="AD151" s="40">
        <f t="shared" si="129"/>
        <v>0</v>
      </c>
      <c r="AE151" s="40">
        <f t="shared" si="129"/>
        <v>0</v>
      </c>
      <c r="AF151" s="40">
        <f t="shared" si="129"/>
        <v>0</v>
      </c>
      <c r="AG151" s="40">
        <f t="shared" si="129"/>
        <v>0</v>
      </c>
      <c r="AH151" s="40">
        <f t="shared" si="130"/>
        <v>0</v>
      </c>
      <c r="AI151" s="474"/>
      <c r="AJ151" s="50"/>
      <c r="AK151" s="40">
        <f t="shared" si="131"/>
        <v>0</v>
      </c>
      <c r="AL151" s="40">
        <f t="shared" si="131"/>
        <v>0</v>
      </c>
      <c r="AM151" s="40">
        <f t="shared" si="131"/>
        <v>0</v>
      </c>
      <c r="AN151" s="40">
        <f t="shared" si="131"/>
        <v>0</v>
      </c>
      <c r="AO151" s="40">
        <f t="shared" si="131"/>
        <v>0</v>
      </c>
      <c r="AP151" s="40">
        <f t="shared" si="131"/>
        <v>0</v>
      </c>
      <c r="AQ151" s="40">
        <f t="shared" si="131"/>
        <v>0</v>
      </c>
      <c r="AR151" s="40">
        <f t="shared" si="131"/>
        <v>0</v>
      </c>
      <c r="AS151" s="40">
        <f t="shared" si="131"/>
        <v>0</v>
      </c>
      <c r="AT151" s="40">
        <f t="shared" si="131"/>
        <v>0</v>
      </c>
      <c r="AU151" s="40">
        <f t="shared" si="131"/>
        <v>0</v>
      </c>
      <c r="AV151" s="40">
        <f t="shared" si="131"/>
        <v>0</v>
      </c>
      <c r="AW151" s="40">
        <f t="shared" si="132"/>
        <v>0</v>
      </c>
      <c r="AX151" s="171"/>
    </row>
    <row r="152" spans="1:50" outlineLevel="1">
      <c r="A152" s="13" t="s">
        <v>340</v>
      </c>
      <c r="B152" s="13" t="s">
        <v>68</v>
      </c>
      <c r="C152" s="13" t="str">
        <f t="shared" si="126"/>
        <v>EE</v>
      </c>
      <c r="D152" s="13" t="s">
        <v>127</v>
      </c>
      <c r="E152" s="139"/>
      <c r="F152" s="40">
        <f t="shared" si="127"/>
        <v>0</v>
      </c>
      <c r="G152" s="40">
        <f t="shared" si="127"/>
        <v>0</v>
      </c>
      <c r="H152" s="40">
        <f t="shared" si="127"/>
        <v>0</v>
      </c>
      <c r="I152" s="40">
        <f t="shared" si="127"/>
        <v>0</v>
      </c>
      <c r="J152" s="40">
        <f t="shared" si="127"/>
        <v>0</v>
      </c>
      <c r="K152" s="40">
        <f t="shared" si="127"/>
        <v>0</v>
      </c>
      <c r="L152" s="40">
        <f t="shared" si="127"/>
        <v>0</v>
      </c>
      <c r="M152" s="40">
        <f t="shared" si="127"/>
        <v>0</v>
      </c>
      <c r="N152" s="40">
        <f t="shared" si="127"/>
        <v>0</v>
      </c>
      <c r="O152" s="40">
        <f t="shared" si="127"/>
        <v>0</v>
      </c>
      <c r="P152" s="40">
        <f t="shared" si="127"/>
        <v>0</v>
      </c>
      <c r="Q152" s="40">
        <f t="shared" si="127"/>
        <v>0</v>
      </c>
      <c r="R152" s="40">
        <f t="shared" si="128"/>
        <v>0</v>
      </c>
      <c r="U152" s="50">
        <v>0.05</v>
      </c>
      <c r="V152" s="40">
        <f t="shared" si="129"/>
        <v>500</v>
      </c>
      <c r="W152" s="40">
        <f t="shared" si="129"/>
        <v>750</v>
      </c>
      <c r="X152" s="40">
        <f t="shared" si="129"/>
        <v>1000</v>
      </c>
      <c r="Y152" s="40">
        <f t="shared" si="129"/>
        <v>375</v>
      </c>
      <c r="Z152" s="40">
        <f t="shared" si="129"/>
        <v>500</v>
      </c>
      <c r="AA152" s="40">
        <f t="shared" si="129"/>
        <v>750</v>
      </c>
      <c r="AB152" s="40">
        <f t="shared" si="129"/>
        <v>500</v>
      </c>
      <c r="AC152" s="40">
        <f t="shared" si="129"/>
        <v>1125</v>
      </c>
      <c r="AD152" s="40">
        <f t="shared" si="129"/>
        <v>375</v>
      </c>
      <c r="AE152" s="40">
        <f t="shared" si="129"/>
        <v>750</v>
      </c>
      <c r="AF152" s="40">
        <f t="shared" si="129"/>
        <v>750</v>
      </c>
      <c r="AG152" s="40">
        <f t="shared" si="129"/>
        <v>500</v>
      </c>
      <c r="AH152" s="40">
        <f t="shared" si="130"/>
        <v>7875</v>
      </c>
      <c r="AI152" s="474"/>
      <c r="AJ152" s="50">
        <v>0.05</v>
      </c>
      <c r="AK152" s="40">
        <f t="shared" si="131"/>
        <v>525</v>
      </c>
      <c r="AL152" s="40">
        <f t="shared" si="131"/>
        <v>787.5</v>
      </c>
      <c r="AM152" s="40">
        <f t="shared" si="131"/>
        <v>1050</v>
      </c>
      <c r="AN152" s="40">
        <f t="shared" si="131"/>
        <v>393.75</v>
      </c>
      <c r="AO152" s="40">
        <f t="shared" si="131"/>
        <v>525</v>
      </c>
      <c r="AP152" s="40">
        <f t="shared" si="131"/>
        <v>787.5</v>
      </c>
      <c r="AQ152" s="40">
        <f t="shared" si="131"/>
        <v>525</v>
      </c>
      <c r="AR152" s="40">
        <f t="shared" si="131"/>
        <v>1181.25</v>
      </c>
      <c r="AS152" s="40">
        <f t="shared" si="131"/>
        <v>393.75</v>
      </c>
      <c r="AT152" s="40">
        <f t="shared" si="131"/>
        <v>787.5</v>
      </c>
      <c r="AU152" s="40">
        <f t="shared" si="131"/>
        <v>787.5</v>
      </c>
      <c r="AV152" s="40">
        <f t="shared" si="131"/>
        <v>525</v>
      </c>
      <c r="AW152" s="40">
        <f t="shared" si="132"/>
        <v>8268.75</v>
      </c>
      <c r="AX152" s="171"/>
    </row>
    <row r="153" spans="1:50" outlineLevel="1">
      <c r="A153" s="13" t="s">
        <v>269</v>
      </c>
      <c r="B153" s="13" t="s">
        <v>64</v>
      </c>
      <c r="C153" s="13" t="str">
        <f t="shared" si="126"/>
        <v>UK</v>
      </c>
      <c r="D153" s="13" t="s">
        <v>127</v>
      </c>
      <c r="E153" s="139"/>
      <c r="F153" s="40">
        <f t="shared" si="127"/>
        <v>0</v>
      </c>
      <c r="G153" s="40">
        <f t="shared" si="127"/>
        <v>0</v>
      </c>
      <c r="H153" s="40">
        <f t="shared" si="127"/>
        <v>0</v>
      </c>
      <c r="I153" s="40">
        <f t="shared" si="127"/>
        <v>0</v>
      </c>
      <c r="J153" s="40">
        <f t="shared" si="127"/>
        <v>0</v>
      </c>
      <c r="K153" s="40">
        <f t="shared" si="127"/>
        <v>0</v>
      </c>
      <c r="L153" s="40">
        <f t="shared" si="127"/>
        <v>0</v>
      </c>
      <c r="M153" s="40">
        <f t="shared" si="127"/>
        <v>0</v>
      </c>
      <c r="N153" s="40">
        <f t="shared" si="127"/>
        <v>0</v>
      </c>
      <c r="O153" s="40">
        <f t="shared" si="127"/>
        <v>0</v>
      </c>
      <c r="P153" s="40">
        <f t="shared" si="127"/>
        <v>0</v>
      </c>
      <c r="Q153" s="40">
        <f t="shared" si="127"/>
        <v>0</v>
      </c>
      <c r="R153" s="40">
        <f t="shared" si="128"/>
        <v>0</v>
      </c>
      <c r="U153" s="50">
        <v>0.1</v>
      </c>
      <c r="V153" s="40">
        <f t="shared" si="129"/>
        <v>100</v>
      </c>
      <c r="W153" s="40">
        <f t="shared" si="129"/>
        <v>100</v>
      </c>
      <c r="X153" s="40">
        <f t="shared" si="129"/>
        <v>350</v>
      </c>
      <c r="Y153" s="40">
        <f t="shared" si="129"/>
        <v>350</v>
      </c>
      <c r="Z153" s="40">
        <f t="shared" si="129"/>
        <v>100</v>
      </c>
      <c r="AA153" s="40">
        <f t="shared" si="129"/>
        <v>100</v>
      </c>
      <c r="AB153" s="40">
        <f t="shared" si="129"/>
        <v>100</v>
      </c>
      <c r="AC153" s="40">
        <f t="shared" si="129"/>
        <v>1050</v>
      </c>
      <c r="AD153" s="40">
        <f t="shared" si="129"/>
        <v>100</v>
      </c>
      <c r="AE153" s="40">
        <f t="shared" si="129"/>
        <v>100</v>
      </c>
      <c r="AF153" s="40">
        <f t="shared" si="129"/>
        <v>100</v>
      </c>
      <c r="AG153" s="40">
        <f t="shared" si="129"/>
        <v>100</v>
      </c>
      <c r="AH153" s="40">
        <f t="shared" si="130"/>
        <v>2650</v>
      </c>
      <c r="AI153" s="474"/>
      <c r="AJ153" s="50">
        <v>0.1</v>
      </c>
      <c r="AK153" s="40">
        <f t="shared" si="131"/>
        <v>400</v>
      </c>
      <c r="AL153" s="40">
        <f t="shared" si="131"/>
        <v>400</v>
      </c>
      <c r="AM153" s="40">
        <f t="shared" si="131"/>
        <v>1400</v>
      </c>
      <c r="AN153" s="40">
        <f t="shared" si="131"/>
        <v>1400</v>
      </c>
      <c r="AO153" s="40">
        <f t="shared" si="131"/>
        <v>400</v>
      </c>
      <c r="AP153" s="40">
        <f t="shared" si="131"/>
        <v>400</v>
      </c>
      <c r="AQ153" s="40">
        <f t="shared" si="131"/>
        <v>400</v>
      </c>
      <c r="AR153" s="40">
        <f t="shared" si="131"/>
        <v>4200</v>
      </c>
      <c r="AS153" s="40">
        <f t="shared" si="131"/>
        <v>400</v>
      </c>
      <c r="AT153" s="40">
        <f t="shared" si="131"/>
        <v>400</v>
      </c>
      <c r="AU153" s="40">
        <f t="shared" si="131"/>
        <v>400</v>
      </c>
      <c r="AV153" s="40">
        <f t="shared" si="131"/>
        <v>400</v>
      </c>
      <c r="AW153" s="40">
        <f t="shared" si="132"/>
        <v>10600</v>
      </c>
      <c r="AX153" s="171"/>
    </row>
    <row r="154" spans="1:50" outlineLevel="1">
      <c r="A154" s="13" t="s">
        <v>314</v>
      </c>
      <c r="B154" s="13" t="s">
        <v>64</v>
      </c>
      <c r="C154" s="13" t="str">
        <f t="shared" si="126"/>
        <v>UK</v>
      </c>
      <c r="D154" s="13" t="s">
        <v>127</v>
      </c>
      <c r="E154" s="139"/>
      <c r="F154" s="40">
        <f t="shared" si="127"/>
        <v>0</v>
      </c>
      <c r="G154" s="40">
        <f t="shared" si="127"/>
        <v>0</v>
      </c>
      <c r="H154" s="40">
        <f t="shared" si="127"/>
        <v>0</v>
      </c>
      <c r="I154" s="40">
        <f t="shared" si="127"/>
        <v>0</v>
      </c>
      <c r="J154" s="40">
        <f t="shared" si="127"/>
        <v>0</v>
      </c>
      <c r="K154" s="40">
        <f t="shared" si="127"/>
        <v>0</v>
      </c>
      <c r="L154" s="40">
        <f t="shared" si="127"/>
        <v>0</v>
      </c>
      <c r="M154" s="40">
        <f t="shared" si="127"/>
        <v>0</v>
      </c>
      <c r="N154" s="40">
        <f t="shared" si="127"/>
        <v>0</v>
      </c>
      <c r="O154" s="40">
        <f t="shared" si="127"/>
        <v>0</v>
      </c>
      <c r="P154" s="40">
        <f t="shared" si="127"/>
        <v>0</v>
      </c>
      <c r="Q154" s="40">
        <f t="shared" si="127"/>
        <v>0</v>
      </c>
      <c r="R154" s="40">
        <f t="shared" si="128"/>
        <v>0</v>
      </c>
      <c r="U154" s="50">
        <v>0.1</v>
      </c>
      <c r="V154" s="40">
        <f t="shared" si="129"/>
        <v>750.2639999999999</v>
      </c>
      <c r="W154" s="40">
        <f t="shared" si="129"/>
        <v>250.25</v>
      </c>
      <c r="X154" s="40">
        <f t="shared" si="129"/>
        <v>96.221000000000004</v>
      </c>
      <c r="Y154" s="40">
        <f t="shared" si="129"/>
        <v>84.384000000000015</v>
      </c>
      <c r="Z154" s="40">
        <f t="shared" si="129"/>
        <v>153.56040000000004</v>
      </c>
      <c r="AA154" s="40">
        <f t="shared" si="129"/>
        <v>258.24435000000005</v>
      </c>
      <c r="AB154" s="40">
        <f t="shared" si="129"/>
        <v>166.32420000000002</v>
      </c>
      <c r="AC154" s="40">
        <f t="shared" si="129"/>
        <v>70.597799999999921</v>
      </c>
      <c r="AD154" s="40">
        <f t="shared" si="129"/>
        <v>636.30680000000007</v>
      </c>
      <c r="AE154" s="40">
        <f t="shared" si="129"/>
        <v>1153.4289125</v>
      </c>
      <c r="AF154" s="40">
        <f t="shared" si="129"/>
        <v>137.88721406250002</v>
      </c>
      <c r="AG154" s="40">
        <f t="shared" si="129"/>
        <v>142.4941095703125</v>
      </c>
      <c r="AH154" s="40">
        <f t="shared" si="130"/>
        <v>3899.9627861328122</v>
      </c>
      <c r="AI154" s="474"/>
      <c r="AJ154" s="50">
        <v>0.1</v>
      </c>
      <c r="AK154" s="40">
        <f t="shared" si="131"/>
        <v>862.80359999999985</v>
      </c>
      <c r="AL154" s="40">
        <f t="shared" si="131"/>
        <v>287.78750000000002</v>
      </c>
      <c r="AM154" s="40">
        <f t="shared" si="131"/>
        <v>110.65415000000002</v>
      </c>
      <c r="AN154" s="40">
        <f t="shared" si="131"/>
        <v>97.041600000000003</v>
      </c>
      <c r="AO154" s="40">
        <f t="shared" si="131"/>
        <v>176.59446000000005</v>
      </c>
      <c r="AP154" s="40">
        <f t="shared" si="131"/>
        <v>296.98100250000005</v>
      </c>
      <c r="AQ154" s="40">
        <f t="shared" si="131"/>
        <v>191.27283</v>
      </c>
      <c r="AR154" s="40">
        <f t="shared" si="131"/>
        <v>81.187469999999905</v>
      </c>
      <c r="AS154" s="40">
        <f t="shared" si="131"/>
        <v>731.75282000000004</v>
      </c>
      <c r="AT154" s="40">
        <f t="shared" si="131"/>
        <v>1326.4432493750001</v>
      </c>
      <c r="AU154" s="40">
        <f t="shared" si="131"/>
        <v>158.57029617187501</v>
      </c>
      <c r="AV154" s="40">
        <f t="shared" si="131"/>
        <v>163.86822600585936</v>
      </c>
      <c r="AW154" s="40">
        <f t="shared" si="132"/>
        <v>4484.9572040527346</v>
      </c>
      <c r="AX154" s="171"/>
    </row>
    <row r="155" spans="1:50" outlineLevel="1">
      <c r="A155" s="13" t="s">
        <v>301</v>
      </c>
      <c r="B155" s="13" t="s">
        <v>69</v>
      </c>
      <c r="C155" s="13" t="str">
        <f t="shared" si="126"/>
        <v>CE</v>
      </c>
      <c r="D155" s="13" t="s">
        <v>127</v>
      </c>
      <c r="E155" s="139"/>
      <c r="F155" s="40">
        <f t="shared" ref="F155:Q161" si="133">SUMIF($A$6:$A$113,$A155,F$6:F$113)*$E155</f>
        <v>0</v>
      </c>
      <c r="G155" s="40">
        <f t="shared" si="133"/>
        <v>0</v>
      </c>
      <c r="H155" s="40">
        <f t="shared" si="133"/>
        <v>0</v>
      </c>
      <c r="I155" s="40">
        <f t="shared" si="133"/>
        <v>0</v>
      </c>
      <c r="J155" s="40">
        <f t="shared" si="133"/>
        <v>0</v>
      </c>
      <c r="K155" s="40">
        <f t="shared" si="133"/>
        <v>0</v>
      </c>
      <c r="L155" s="40">
        <f t="shared" si="133"/>
        <v>0</v>
      </c>
      <c r="M155" s="40">
        <f t="shared" si="133"/>
        <v>0</v>
      </c>
      <c r="N155" s="40">
        <f t="shared" si="133"/>
        <v>0</v>
      </c>
      <c r="O155" s="40">
        <f t="shared" si="133"/>
        <v>0</v>
      </c>
      <c r="P155" s="40">
        <f t="shared" si="133"/>
        <v>0</v>
      </c>
      <c r="Q155" s="40">
        <f t="shared" si="133"/>
        <v>0</v>
      </c>
      <c r="R155" s="40">
        <f t="shared" si="128"/>
        <v>0</v>
      </c>
      <c r="U155" s="50">
        <v>0.1</v>
      </c>
      <c r="V155" s="40">
        <f t="shared" si="129"/>
        <v>2457.9160000000002</v>
      </c>
      <c r="W155" s="40">
        <f t="shared" si="129"/>
        <v>2588.7149999999997</v>
      </c>
      <c r="X155" s="40">
        <f t="shared" si="129"/>
        <v>0</v>
      </c>
      <c r="Y155" s="40">
        <f t="shared" si="129"/>
        <v>2494.1910285191534</v>
      </c>
      <c r="Z155" s="40">
        <f t="shared" si="129"/>
        <v>2407.9505464244903</v>
      </c>
      <c r="AA155" s="40">
        <f t="shared" si="129"/>
        <v>1911.7892238988843</v>
      </c>
      <c r="AB155" s="40">
        <f t="shared" si="129"/>
        <v>709.35921405016688</v>
      </c>
      <c r="AC155" s="40">
        <f t="shared" si="129"/>
        <v>3855.0795830448596</v>
      </c>
      <c r="AD155" s="40">
        <f t="shared" si="129"/>
        <v>2527.4903157837821</v>
      </c>
      <c r="AE155" s="40">
        <f t="shared" si="129"/>
        <v>3789.7654202786889</v>
      </c>
      <c r="AF155" s="40">
        <f t="shared" si="129"/>
        <v>0</v>
      </c>
      <c r="AG155" s="40">
        <f t="shared" si="129"/>
        <v>2315.2367144917048</v>
      </c>
      <c r="AH155" s="40">
        <f t="shared" si="130"/>
        <v>25057.493046491731</v>
      </c>
      <c r="AI155" s="474"/>
      <c r="AJ155" s="50">
        <v>0.1</v>
      </c>
      <c r="AK155" s="40">
        <f t="shared" si="131"/>
        <v>2654.5492800000002</v>
      </c>
      <c r="AL155" s="40">
        <f t="shared" si="131"/>
        <v>2795.8121999999998</v>
      </c>
      <c r="AM155" s="40">
        <f t="shared" si="131"/>
        <v>0</v>
      </c>
      <c r="AN155" s="40">
        <f t="shared" si="131"/>
        <v>2693.7263108006855</v>
      </c>
      <c r="AO155" s="40">
        <f t="shared" si="131"/>
        <v>2600.5865901384495</v>
      </c>
      <c r="AP155" s="40">
        <f t="shared" si="131"/>
        <v>2064.7323618107953</v>
      </c>
      <c r="AQ155" s="40">
        <f t="shared" si="131"/>
        <v>766.10795117418036</v>
      </c>
      <c r="AR155" s="40">
        <f t="shared" si="131"/>
        <v>4163.4859496884483</v>
      </c>
      <c r="AS155" s="40">
        <f t="shared" si="131"/>
        <v>2729.6895410464849</v>
      </c>
      <c r="AT155" s="40">
        <f t="shared" si="131"/>
        <v>4092.9466539009841</v>
      </c>
      <c r="AU155" s="40">
        <f t="shared" si="131"/>
        <v>0</v>
      </c>
      <c r="AV155" s="40">
        <f t="shared" si="131"/>
        <v>2500.4556516510415</v>
      </c>
      <c r="AW155" s="40">
        <f t="shared" si="132"/>
        <v>27062.092490211071</v>
      </c>
      <c r="AX155" s="171"/>
    </row>
    <row r="156" spans="1:50" outlineLevel="1">
      <c r="A156" s="13" t="s">
        <v>418</v>
      </c>
      <c r="B156" s="13" t="s">
        <v>71</v>
      </c>
      <c r="C156" s="13" t="s">
        <v>66</v>
      </c>
      <c r="D156" s="13" t="s">
        <v>127</v>
      </c>
      <c r="E156" s="139"/>
      <c r="F156" s="40">
        <f t="shared" si="133"/>
        <v>0</v>
      </c>
      <c r="G156" s="40">
        <f t="shared" si="133"/>
        <v>0</v>
      </c>
      <c r="H156" s="40">
        <f t="shared" si="133"/>
        <v>0</v>
      </c>
      <c r="I156" s="40">
        <f t="shared" si="133"/>
        <v>0</v>
      </c>
      <c r="J156" s="40">
        <f t="shared" si="133"/>
        <v>0</v>
      </c>
      <c r="K156" s="40">
        <f t="shared" si="133"/>
        <v>0</v>
      </c>
      <c r="L156" s="40">
        <f t="shared" si="133"/>
        <v>0</v>
      </c>
      <c r="M156" s="40">
        <f t="shared" si="133"/>
        <v>0</v>
      </c>
      <c r="N156" s="40">
        <f t="shared" si="133"/>
        <v>0</v>
      </c>
      <c r="O156" s="40">
        <f t="shared" si="133"/>
        <v>0</v>
      </c>
      <c r="P156" s="40">
        <f t="shared" si="133"/>
        <v>0</v>
      </c>
      <c r="Q156" s="40">
        <f t="shared" si="133"/>
        <v>0</v>
      </c>
      <c r="R156" s="40">
        <f t="shared" ref="R156" si="134">SUM(F156:Q156)</f>
        <v>0</v>
      </c>
      <c r="U156" s="50">
        <v>0.1</v>
      </c>
      <c r="V156" s="40">
        <f t="shared" si="129"/>
        <v>0</v>
      </c>
      <c r="W156" s="40">
        <f t="shared" si="129"/>
        <v>0</v>
      </c>
      <c r="X156" s="40">
        <f t="shared" si="129"/>
        <v>0</v>
      </c>
      <c r="Y156" s="40">
        <f t="shared" si="129"/>
        <v>491.46822148084669</v>
      </c>
      <c r="Z156" s="40">
        <f t="shared" si="129"/>
        <v>474.47495357550946</v>
      </c>
      <c r="AA156" s="40">
        <f t="shared" si="129"/>
        <v>376.70877610111569</v>
      </c>
      <c r="AB156" s="40">
        <f t="shared" si="129"/>
        <v>139.77578594983297</v>
      </c>
      <c r="AC156" s="40">
        <f t="shared" si="129"/>
        <v>365.53441695513948</v>
      </c>
      <c r="AD156" s="40">
        <f t="shared" si="129"/>
        <v>498.02968421621858</v>
      </c>
      <c r="AE156" s="40">
        <f t="shared" si="129"/>
        <v>210.23457972131123</v>
      </c>
      <c r="AF156" s="40">
        <f t="shared" si="129"/>
        <v>263.67669185451183</v>
      </c>
      <c r="AG156" s="40">
        <f t="shared" si="129"/>
        <v>184.76328550829524</v>
      </c>
      <c r="AH156" s="40">
        <f t="shared" ref="AH156" si="135">SUM(V156:AG156)</f>
        <v>3004.6663953627808</v>
      </c>
      <c r="AI156" s="474"/>
      <c r="AJ156" s="50">
        <v>0.1</v>
      </c>
      <c r="AK156" s="40">
        <f t="shared" si="131"/>
        <v>0</v>
      </c>
      <c r="AL156" s="40">
        <f t="shared" si="131"/>
        <v>0</v>
      </c>
      <c r="AM156" s="40">
        <f t="shared" si="131"/>
        <v>0</v>
      </c>
      <c r="AN156" s="40">
        <f t="shared" si="131"/>
        <v>516.04163255488902</v>
      </c>
      <c r="AO156" s="40">
        <f t="shared" si="131"/>
        <v>498.19870125428491</v>
      </c>
      <c r="AP156" s="40">
        <f t="shared" si="131"/>
        <v>395.54421490617148</v>
      </c>
      <c r="AQ156" s="40">
        <f t="shared" si="131"/>
        <v>146.76457524732459</v>
      </c>
      <c r="AR156" s="40">
        <f t="shared" si="131"/>
        <v>383.8111378028965</v>
      </c>
      <c r="AS156" s="40">
        <f t="shared" si="131"/>
        <v>522.93116842702955</v>
      </c>
      <c r="AT156" s="40">
        <f t="shared" si="131"/>
        <v>220.74630870737678</v>
      </c>
      <c r="AU156" s="40">
        <f t="shared" si="131"/>
        <v>276.86052644723742</v>
      </c>
      <c r="AV156" s="40">
        <f t="shared" si="131"/>
        <v>194.00144978371</v>
      </c>
      <c r="AW156" s="40">
        <f t="shared" ref="AW156" si="136">SUM(AK156:AV156)</f>
        <v>3154.8997151309209</v>
      </c>
      <c r="AX156" s="171"/>
    </row>
    <row r="157" spans="1:50" outlineLevel="1">
      <c r="A157" s="13" t="s">
        <v>346</v>
      </c>
      <c r="B157" s="13" t="s">
        <v>73</v>
      </c>
      <c r="C157" s="13" t="str">
        <f>_xlfn.XLOOKUP($A157,$A$6:$A$113,$C$6:$C$113)</f>
        <v>CE</v>
      </c>
      <c r="D157" s="13" t="s">
        <v>127</v>
      </c>
      <c r="E157" s="139"/>
      <c r="F157" s="40">
        <f t="shared" si="133"/>
        <v>0</v>
      </c>
      <c r="G157" s="40">
        <f t="shared" si="133"/>
        <v>0</v>
      </c>
      <c r="H157" s="40">
        <f t="shared" si="133"/>
        <v>0</v>
      </c>
      <c r="I157" s="40">
        <f t="shared" si="133"/>
        <v>0</v>
      </c>
      <c r="J157" s="40">
        <f t="shared" si="133"/>
        <v>0</v>
      </c>
      <c r="K157" s="40">
        <f t="shared" si="133"/>
        <v>0</v>
      </c>
      <c r="L157" s="40">
        <f t="shared" si="133"/>
        <v>0</v>
      </c>
      <c r="M157" s="40">
        <f t="shared" si="133"/>
        <v>0</v>
      </c>
      <c r="N157" s="40">
        <f t="shared" si="133"/>
        <v>0</v>
      </c>
      <c r="O157" s="40">
        <f t="shared" si="133"/>
        <v>0</v>
      </c>
      <c r="P157" s="40">
        <f t="shared" si="133"/>
        <v>0</v>
      </c>
      <c r="Q157" s="40">
        <f t="shared" si="133"/>
        <v>0</v>
      </c>
      <c r="R157" s="40">
        <f t="shared" si="128"/>
        <v>0</v>
      </c>
      <c r="U157" s="50">
        <v>0.05</v>
      </c>
      <c r="V157" s="40">
        <f t="shared" si="129"/>
        <v>0</v>
      </c>
      <c r="W157" s="40">
        <f t="shared" si="129"/>
        <v>0</v>
      </c>
      <c r="X157" s="40">
        <f t="shared" si="129"/>
        <v>0</v>
      </c>
      <c r="Y157" s="40">
        <f t="shared" si="129"/>
        <v>3200</v>
      </c>
      <c r="Z157" s="40">
        <f t="shared" si="129"/>
        <v>1061.1353711790393</v>
      </c>
      <c r="AA157" s="40">
        <f t="shared" si="129"/>
        <v>530.56768558951967</v>
      </c>
      <c r="AB157" s="40">
        <f t="shared" si="129"/>
        <v>707.42358078602626</v>
      </c>
      <c r="AC157" s="40">
        <f t="shared" si="129"/>
        <v>753.71179039301001</v>
      </c>
      <c r="AD157" s="40">
        <f t="shared" si="129"/>
        <v>707.42358078602626</v>
      </c>
      <c r="AE157" s="40">
        <f t="shared" si="129"/>
        <v>1061.1353711790393</v>
      </c>
      <c r="AF157" s="40">
        <f t="shared" si="129"/>
        <v>707.42358078602626</v>
      </c>
      <c r="AG157" s="40">
        <f t="shared" si="129"/>
        <v>707.42358078602626</v>
      </c>
      <c r="AH157" s="40">
        <f t="shared" si="130"/>
        <v>9436.2445414847134</v>
      </c>
      <c r="AI157" s="474"/>
      <c r="AJ157" s="50">
        <v>0.05</v>
      </c>
      <c r="AK157" s="40">
        <f t="shared" si="131"/>
        <v>0</v>
      </c>
      <c r="AL157" s="40">
        <f t="shared" si="131"/>
        <v>0</v>
      </c>
      <c r="AM157" s="40">
        <f t="shared" si="131"/>
        <v>0</v>
      </c>
      <c r="AN157" s="40">
        <f t="shared" si="131"/>
        <v>3360</v>
      </c>
      <c r="AO157" s="40">
        <f t="shared" si="131"/>
        <v>1114.1921397379913</v>
      </c>
      <c r="AP157" s="40">
        <f t="shared" si="131"/>
        <v>557.09606986899564</v>
      </c>
      <c r="AQ157" s="40">
        <f t="shared" si="131"/>
        <v>742.79475982532756</v>
      </c>
      <c r="AR157" s="40">
        <f t="shared" si="131"/>
        <v>791.39737991266054</v>
      </c>
      <c r="AS157" s="40">
        <f t="shared" si="131"/>
        <v>742.79475982532756</v>
      </c>
      <c r="AT157" s="40">
        <f t="shared" si="131"/>
        <v>1114.1921397379913</v>
      </c>
      <c r="AU157" s="40">
        <f t="shared" si="131"/>
        <v>742.79475982532756</v>
      </c>
      <c r="AV157" s="40">
        <f t="shared" si="131"/>
        <v>742.79475982532756</v>
      </c>
      <c r="AW157" s="40">
        <f t="shared" si="132"/>
        <v>9908.0567685589485</v>
      </c>
      <c r="AX157" s="171"/>
    </row>
    <row r="158" spans="1:50" outlineLevel="1">
      <c r="A158" s="13" t="s">
        <v>413</v>
      </c>
      <c r="B158" s="13" t="str">
        <f>_xlfn.XLOOKUP($A158,$A$6:$A$113,$C$6:$C$113)</f>
        <v>CE</v>
      </c>
      <c r="C158" s="13" t="str">
        <f>_xlfn.XLOOKUP($A158,$A$6:$A$113,$C$6:$C$113)</f>
        <v>CE</v>
      </c>
      <c r="D158" s="13" t="s">
        <v>127</v>
      </c>
      <c r="E158" s="139"/>
      <c r="F158" s="40">
        <f t="shared" si="133"/>
        <v>0</v>
      </c>
      <c r="G158" s="40">
        <f t="shared" si="133"/>
        <v>0</v>
      </c>
      <c r="H158" s="40">
        <f t="shared" si="133"/>
        <v>0</v>
      </c>
      <c r="I158" s="40">
        <f t="shared" si="133"/>
        <v>0</v>
      </c>
      <c r="J158" s="40">
        <f t="shared" si="133"/>
        <v>0</v>
      </c>
      <c r="K158" s="40">
        <f t="shared" si="133"/>
        <v>0</v>
      </c>
      <c r="L158" s="40">
        <f t="shared" si="133"/>
        <v>0</v>
      </c>
      <c r="M158" s="40">
        <f t="shared" si="133"/>
        <v>0</v>
      </c>
      <c r="N158" s="40">
        <f t="shared" si="133"/>
        <v>0</v>
      </c>
      <c r="O158" s="40">
        <f t="shared" si="133"/>
        <v>0</v>
      </c>
      <c r="P158" s="40">
        <f t="shared" si="133"/>
        <v>0</v>
      </c>
      <c r="Q158" s="40">
        <f t="shared" si="133"/>
        <v>0</v>
      </c>
      <c r="R158" s="40">
        <f t="shared" si="128"/>
        <v>0</v>
      </c>
      <c r="U158" s="50">
        <v>0.05</v>
      </c>
      <c r="V158" s="40">
        <f t="shared" si="129"/>
        <v>0</v>
      </c>
      <c r="W158" s="40">
        <f t="shared" si="129"/>
        <v>12375</v>
      </c>
      <c r="X158" s="40">
        <f t="shared" si="129"/>
        <v>2700</v>
      </c>
      <c r="Y158" s="40">
        <f t="shared" si="129"/>
        <v>1800</v>
      </c>
      <c r="Z158" s="40">
        <f t="shared" si="129"/>
        <v>2025</v>
      </c>
      <c r="AA158" s="40">
        <f t="shared" si="129"/>
        <v>1350</v>
      </c>
      <c r="AB158" s="40">
        <f t="shared" si="129"/>
        <v>1125</v>
      </c>
      <c r="AC158" s="40">
        <f t="shared" si="129"/>
        <v>1350</v>
      </c>
      <c r="AD158" s="40">
        <f t="shared" si="129"/>
        <v>900</v>
      </c>
      <c r="AE158" s="40">
        <f t="shared" si="129"/>
        <v>1800</v>
      </c>
      <c r="AF158" s="40">
        <f t="shared" si="129"/>
        <v>900</v>
      </c>
      <c r="AG158" s="40">
        <f t="shared" si="129"/>
        <v>900</v>
      </c>
      <c r="AH158" s="40">
        <f t="shared" si="130"/>
        <v>27225</v>
      </c>
      <c r="AI158" s="474"/>
      <c r="AJ158" s="50">
        <v>0.05</v>
      </c>
      <c r="AK158" s="40">
        <f t="shared" si="131"/>
        <v>1890</v>
      </c>
      <c r="AL158" s="40">
        <f t="shared" si="131"/>
        <v>2835</v>
      </c>
      <c r="AM158" s="40">
        <f t="shared" si="131"/>
        <v>2835</v>
      </c>
      <c r="AN158" s="40">
        <f t="shared" si="131"/>
        <v>1890</v>
      </c>
      <c r="AO158" s="40">
        <f t="shared" si="131"/>
        <v>2126.25</v>
      </c>
      <c r="AP158" s="40">
        <f t="shared" si="131"/>
        <v>1417.5</v>
      </c>
      <c r="AQ158" s="40">
        <f t="shared" si="131"/>
        <v>1181.25</v>
      </c>
      <c r="AR158" s="40">
        <f t="shared" si="131"/>
        <v>1417.5</v>
      </c>
      <c r="AS158" s="40">
        <f t="shared" si="131"/>
        <v>945</v>
      </c>
      <c r="AT158" s="40">
        <f t="shared" si="131"/>
        <v>1890</v>
      </c>
      <c r="AU158" s="40">
        <f t="shared" si="131"/>
        <v>945</v>
      </c>
      <c r="AV158" s="40">
        <f t="shared" si="131"/>
        <v>945</v>
      </c>
      <c r="AW158" s="40">
        <f t="shared" si="132"/>
        <v>20317.5</v>
      </c>
      <c r="AX158" s="171"/>
    </row>
    <row r="159" spans="1:50" outlineLevel="1">
      <c r="A159" s="37" t="s">
        <v>326</v>
      </c>
      <c r="B159" s="13" t="s">
        <v>71</v>
      </c>
      <c r="C159" s="13" t="s">
        <v>66</v>
      </c>
      <c r="D159" s="13" t="s">
        <v>127</v>
      </c>
      <c r="E159" s="139"/>
      <c r="F159" s="40">
        <f t="shared" si="133"/>
        <v>0</v>
      </c>
      <c r="G159" s="40">
        <f t="shared" si="133"/>
        <v>0</v>
      </c>
      <c r="H159" s="40">
        <f t="shared" si="133"/>
        <v>0</v>
      </c>
      <c r="I159" s="40">
        <f t="shared" si="133"/>
        <v>0</v>
      </c>
      <c r="J159" s="40">
        <f t="shared" si="133"/>
        <v>0</v>
      </c>
      <c r="K159" s="40">
        <f t="shared" si="133"/>
        <v>0</v>
      </c>
      <c r="L159" s="40">
        <f t="shared" si="133"/>
        <v>0</v>
      </c>
      <c r="M159" s="40">
        <f t="shared" si="133"/>
        <v>0</v>
      </c>
      <c r="N159" s="40">
        <f t="shared" si="133"/>
        <v>0</v>
      </c>
      <c r="O159" s="40">
        <f t="shared" si="133"/>
        <v>0</v>
      </c>
      <c r="P159" s="40">
        <f t="shared" si="133"/>
        <v>0</v>
      </c>
      <c r="Q159" s="40">
        <f t="shared" si="133"/>
        <v>0</v>
      </c>
      <c r="R159" s="40">
        <f t="shared" si="128"/>
        <v>0</v>
      </c>
      <c r="U159" s="50">
        <v>0.1</v>
      </c>
      <c r="V159" s="40">
        <f t="shared" si="129"/>
        <v>500</v>
      </c>
      <c r="W159" s="40">
        <f t="shared" si="129"/>
        <v>1500</v>
      </c>
      <c r="X159" s="40">
        <f t="shared" si="129"/>
        <v>500</v>
      </c>
      <c r="Y159" s="40">
        <f t="shared" si="129"/>
        <v>740</v>
      </c>
      <c r="Z159" s="40">
        <f t="shared" si="129"/>
        <v>1500</v>
      </c>
      <c r="AA159" s="40">
        <f t="shared" si="129"/>
        <v>500</v>
      </c>
      <c r="AB159" s="40">
        <f t="shared" si="129"/>
        <v>740</v>
      </c>
      <c r="AC159" s="40">
        <f t="shared" si="129"/>
        <v>1500</v>
      </c>
      <c r="AD159" s="40">
        <f t="shared" si="129"/>
        <v>500</v>
      </c>
      <c r="AE159" s="40">
        <f t="shared" si="129"/>
        <v>1500</v>
      </c>
      <c r="AF159" s="40">
        <f t="shared" si="129"/>
        <v>1000</v>
      </c>
      <c r="AG159" s="40">
        <f t="shared" si="129"/>
        <v>1000</v>
      </c>
      <c r="AH159" s="40">
        <f t="shared" si="130"/>
        <v>11480</v>
      </c>
      <c r="AI159" s="474"/>
      <c r="AJ159" s="50">
        <v>0.05</v>
      </c>
      <c r="AK159" s="40">
        <f t="shared" si="131"/>
        <v>262.5</v>
      </c>
      <c r="AL159" s="40">
        <f t="shared" si="131"/>
        <v>787.5</v>
      </c>
      <c r="AM159" s="40">
        <f t="shared" si="131"/>
        <v>262.5</v>
      </c>
      <c r="AN159" s="40">
        <f t="shared" si="131"/>
        <v>388.5</v>
      </c>
      <c r="AO159" s="40">
        <f t="shared" si="131"/>
        <v>787.5</v>
      </c>
      <c r="AP159" s="40">
        <f t="shared" si="131"/>
        <v>262.5</v>
      </c>
      <c r="AQ159" s="40">
        <f t="shared" si="131"/>
        <v>388.5</v>
      </c>
      <c r="AR159" s="40">
        <f t="shared" si="131"/>
        <v>787.5</v>
      </c>
      <c r="AS159" s="40">
        <f t="shared" si="131"/>
        <v>262.5</v>
      </c>
      <c r="AT159" s="40">
        <f t="shared" si="131"/>
        <v>787.5</v>
      </c>
      <c r="AU159" s="40">
        <f t="shared" si="131"/>
        <v>525</v>
      </c>
      <c r="AV159" s="40">
        <f t="shared" si="131"/>
        <v>525</v>
      </c>
      <c r="AW159" s="40">
        <f t="shared" si="132"/>
        <v>6027</v>
      </c>
      <c r="AX159" s="171"/>
    </row>
    <row r="160" spans="1:50" ht="13" outlineLevel="1">
      <c r="A160" s="410" t="s">
        <v>424</v>
      </c>
      <c r="B160" s="13" t="s">
        <v>73</v>
      </c>
      <c r="C160" s="13" t="str">
        <f>_xlfn.XLOOKUP($A160,$A$6:$A$113,$C$6:$C$113)</f>
        <v>CE</v>
      </c>
      <c r="D160" s="13" t="s">
        <v>127</v>
      </c>
      <c r="E160" s="139"/>
      <c r="F160" s="40">
        <f t="shared" si="133"/>
        <v>0</v>
      </c>
      <c r="G160" s="40">
        <f t="shared" si="133"/>
        <v>0</v>
      </c>
      <c r="H160" s="40">
        <f t="shared" si="133"/>
        <v>0</v>
      </c>
      <c r="I160" s="40">
        <f t="shared" si="133"/>
        <v>0</v>
      </c>
      <c r="J160" s="40">
        <f t="shared" si="133"/>
        <v>0</v>
      </c>
      <c r="K160" s="40">
        <f t="shared" si="133"/>
        <v>0</v>
      </c>
      <c r="L160" s="40">
        <f t="shared" si="133"/>
        <v>0</v>
      </c>
      <c r="M160" s="40">
        <f t="shared" si="133"/>
        <v>0</v>
      </c>
      <c r="N160" s="40">
        <f t="shared" si="133"/>
        <v>0</v>
      </c>
      <c r="O160" s="40">
        <f t="shared" si="133"/>
        <v>0</v>
      </c>
      <c r="P160" s="40">
        <f t="shared" si="133"/>
        <v>0</v>
      </c>
      <c r="Q160" s="40">
        <f t="shared" si="133"/>
        <v>0</v>
      </c>
      <c r="R160" s="40">
        <f t="shared" ref="R160" si="137">SUM(F160:Q160)</f>
        <v>0</v>
      </c>
      <c r="U160" s="50">
        <v>0.1</v>
      </c>
      <c r="V160" s="40">
        <f t="shared" si="129"/>
        <v>0</v>
      </c>
      <c r="W160" s="40">
        <f t="shared" si="129"/>
        <v>0</v>
      </c>
      <c r="X160" s="40">
        <f t="shared" si="129"/>
        <v>0</v>
      </c>
      <c r="Y160" s="40">
        <f t="shared" si="129"/>
        <v>0</v>
      </c>
      <c r="Z160" s="40">
        <f t="shared" si="129"/>
        <v>0</v>
      </c>
      <c r="AA160" s="40">
        <f t="shared" si="129"/>
        <v>0</v>
      </c>
      <c r="AB160" s="40">
        <f t="shared" si="129"/>
        <v>0</v>
      </c>
      <c r="AC160" s="40">
        <f t="shared" si="129"/>
        <v>0</v>
      </c>
      <c r="AD160" s="40">
        <f t="shared" si="129"/>
        <v>0</v>
      </c>
      <c r="AE160" s="40">
        <f t="shared" si="129"/>
        <v>0</v>
      </c>
      <c r="AF160" s="40">
        <f t="shared" si="129"/>
        <v>0</v>
      </c>
      <c r="AG160" s="40">
        <f t="shared" si="129"/>
        <v>0</v>
      </c>
      <c r="AH160" s="40">
        <f t="shared" ref="AH160" si="138">SUM(V160:AG160)</f>
        <v>0</v>
      </c>
      <c r="AI160" s="474"/>
      <c r="AJ160" s="50">
        <v>0.1</v>
      </c>
      <c r="AK160" s="40">
        <f t="shared" si="131"/>
        <v>0</v>
      </c>
      <c r="AL160" s="40">
        <f t="shared" si="131"/>
        <v>5269.0399440000001</v>
      </c>
      <c r="AM160" s="40">
        <f t="shared" si="131"/>
        <v>8554.2497199999998</v>
      </c>
      <c r="AN160" s="40">
        <f t="shared" si="131"/>
        <v>2975.2143599999999</v>
      </c>
      <c r="AO160" s="40">
        <f t="shared" si="131"/>
        <v>4170.0828799999999</v>
      </c>
      <c r="AP160" s="40">
        <f t="shared" si="131"/>
        <v>2059.1136000000001</v>
      </c>
      <c r="AQ160" s="40">
        <f t="shared" si="131"/>
        <v>4148.423264</v>
      </c>
      <c r="AR160" s="40">
        <f t="shared" si="131"/>
        <v>2743.1901120000002</v>
      </c>
      <c r="AS160" s="40">
        <f t="shared" si="131"/>
        <v>14015.867396</v>
      </c>
      <c r="AT160" s="40">
        <f t="shared" si="131"/>
        <v>7580.0553920000011</v>
      </c>
      <c r="AU160" s="40">
        <f t="shared" si="131"/>
        <v>9147.2496479999991</v>
      </c>
      <c r="AV160" s="40">
        <f t="shared" si="131"/>
        <v>3443.1768000000006</v>
      </c>
      <c r="AW160" s="40">
        <f t="shared" ref="AW160" si="139">SUM(AK160:AV160)</f>
        <v>64105.663116000003</v>
      </c>
      <c r="AX160" s="171"/>
    </row>
    <row r="161" spans="1:50" outlineLevel="1">
      <c r="A161" s="13" t="s">
        <v>353</v>
      </c>
      <c r="B161" s="13" t="s">
        <v>64</v>
      </c>
      <c r="C161" s="13" t="str">
        <f>_xlfn.XLOOKUP($A161,$A$6:$A$113,$C$6:$C$113)</f>
        <v>UK</v>
      </c>
      <c r="D161" s="13" t="s">
        <v>127</v>
      </c>
      <c r="F161" s="40">
        <f t="shared" si="133"/>
        <v>0</v>
      </c>
      <c r="G161" s="40">
        <f t="shared" si="133"/>
        <v>0</v>
      </c>
      <c r="H161" s="40">
        <f t="shared" si="133"/>
        <v>0</v>
      </c>
      <c r="I161" s="40">
        <f t="shared" si="133"/>
        <v>0</v>
      </c>
      <c r="J161" s="40">
        <f t="shared" si="133"/>
        <v>0</v>
      </c>
      <c r="K161" s="40">
        <f t="shared" si="133"/>
        <v>0</v>
      </c>
      <c r="L161" s="40">
        <f t="shared" si="133"/>
        <v>0</v>
      </c>
      <c r="M161" s="40">
        <f t="shared" si="133"/>
        <v>0</v>
      </c>
      <c r="N161" s="40">
        <f t="shared" si="133"/>
        <v>0</v>
      </c>
      <c r="O161" s="40">
        <f t="shared" si="133"/>
        <v>0</v>
      </c>
      <c r="P161" s="40">
        <f t="shared" si="133"/>
        <v>0</v>
      </c>
      <c r="Q161" s="40">
        <f t="shared" si="133"/>
        <v>0</v>
      </c>
      <c r="R161" s="40">
        <f t="shared" si="128"/>
        <v>0</v>
      </c>
      <c r="U161" s="50">
        <v>0.05</v>
      </c>
      <c r="V161" s="483">
        <v>15000</v>
      </c>
      <c r="W161" s="483">
        <v>15000</v>
      </c>
      <c r="X161" s="483">
        <v>15000</v>
      </c>
      <c r="Y161" s="483">
        <v>15000</v>
      </c>
      <c r="Z161" s="483">
        <v>15000</v>
      </c>
      <c r="AA161" s="483">
        <v>15000</v>
      </c>
      <c r="AB161" s="483">
        <v>15000</v>
      </c>
      <c r="AC161" s="483">
        <v>15000</v>
      </c>
      <c r="AD161" s="483">
        <v>15000</v>
      </c>
      <c r="AE161" s="483">
        <v>15000</v>
      </c>
      <c r="AF161" s="483">
        <v>15000</v>
      </c>
      <c r="AG161" s="483">
        <v>15000</v>
      </c>
      <c r="AH161" s="40">
        <f t="shared" si="130"/>
        <v>180000</v>
      </c>
      <c r="AI161" s="474"/>
      <c r="AK161" s="483">
        <v>20000</v>
      </c>
      <c r="AL161" s="483">
        <v>20000</v>
      </c>
      <c r="AM161" s="483">
        <v>20000</v>
      </c>
      <c r="AN161" s="483">
        <v>20000</v>
      </c>
      <c r="AO161" s="483">
        <v>20000</v>
      </c>
      <c r="AP161" s="483">
        <v>20000</v>
      </c>
      <c r="AQ161" s="483">
        <v>20000</v>
      </c>
      <c r="AR161" s="483">
        <v>20000</v>
      </c>
      <c r="AS161" s="483">
        <v>20000</v>
      </c>
      <c r="AT161" s="483">
        <v>20000</v>
      </c>
      <c r="AU161" s="483">
        <v>20000</v>
      </c>
      <c r="AV161" s="483">
        <v>20000</v>
      </c>
      <c r="AW161" s="40">
        <f t="shared" si="132"/>
        <v>240000</v>
      </c>
      <c r="AX161" s="171"/>
    </row>
    <row r="162" spans="1:50" outlineLevel="1">
      <c r="A162" s="484" t="s">
        <v>439</v>
      </c>
      <c r="B162" s="475"/>
      <c r="C162" s="475"/>
      <c r="D162" s="475"/>
      <c r="E162" s="475"/>
      <c r="F162" s="475">
        <f t="shared" ref="F162:R162" si="140">SUM(F144:F161)</f>
        <v>22411.3105</v>
      </c>
      <c r="G162" s="475">
        <f t="shared" si="140"/>
        <v>15919.162400000001</v>
      </c>
      <c r="H162" s="475">
        <f t="shared" si="140"/>
        <v>13850.295199999999</v>
      </c>
      <c r="I162" s="475">
        <f t="shared" si="140"/>
        <v>20134.4686</v>
      </c>
      <c r="J162" s="475">
        <f t="shared" si="140"/>
        <v>19920.447200000002</v>
      </c>
      <c r="K162" s="475">
        <f t="shared" si="140"/>
        <v>13784.240600000001</v>
      </c>
      <c r="L162" s="475">
        <f t="shared" si="140"/>
        <v>14120.197499999998</v>
      </c>
      <c r="M162" s="475">
        <f t="shared" si="140"/>
        <v>13880.1034</v>
      </c>
      <c r="N162" s="475">
        <f t="shared" si="140"/>
        <v>22505.949399999998</v>
      </c>
      <c r="O162" s="475">
        <f t="shared" si="140"/>
        <v>29895.428789324946</v>
      </c>
      <c r="P162" s="475">
        <f t="shared" si="140"/>
        <v>22768.565356480867</v>
      </c>
      <c r="Q162" s="475">
        <f t="shared" si="140"/>
        <v>19203.708080381424</v>
      </c>
      <c r="R162" s="475">
        <f t="shared" si="140"/>
        <v>228393.87702618723</v>
      </c>
      <c r="V162" s="475">
        <f t="shared" ref="V162:AH162" si="141">SUM(V144:V161)</f>
        <v>37355.034742999997</v>
      </c>
      <c r="W162" s="475">
        <f t="shared" si="141"/>
        <v>47391.543647999999</v>
      </c>
      <c r="X162" s="475">
        <f t="shared" si="141"/>
        <v>35764.262984000001</v>
      </c>
      <c r="Y162" s="475">
        <f t="shared" si="141"/>
        <v>40815.920935999995</v>
      </c>
      <c r="Z162" s="475">
        <f t="shared" si="141"/>
        <v>43932.088271179033</v>
      </c>
      <c r="AA162" s="475">
        <f t="shared" si="141"/>
        <v>34053.338523589526</v>
      </c>
      <c r="AB162" s="475">
        <f t="shared" si="141"/>
        <v>47017.508962786029</v>
      </c>
      <c r="AC162" s="475">
        <f t="shared" si="141"/>
        <v>87773.304866393009</v>
      </c>
      <c r="AD162" s="475">
        <f t="shared" si="141"/>
        <v>47459.550336786029</v>
      </c>
      <c r="AE162" s="475">
        <f t="shared" si="141"/>
        <v>48015.194538066164</v>
      </c>
      <c r="AF162" s="475">
        <f t="shared" si="141"/>
        <v>40360.201830374601</v>
      </c>
      <c r="AG162" s="475">
        <f t="shared" si="141"/>
        <v>38321.143024164892</v>
      </c>
      <c r="AH162" s="475">
        <f t="shared" si="141"/>
        <v>548259.09266433923</v>
      </c>
      <c r="AI162" s="171"/>
      <c r="AK162" s="475">
        <f t="shared" ref="AK162:AW162" si="142">SUM(AK144:AK161)</f>
        <v>54646.570389749999</v>
      </c>
      <c r="AL162" s="475">
        <f t="shared" si="142"/>
        <v>53458.040089999995</v>
      </c>
      <c r="AM162" s="475">
        <f t="shared" si="142"/>
        <v>57144.963987999996</v>
      </c>
      <c r="AN162" s="475">
        <f t="shared" si="142"/>
        <v>56896.673662855574</v>
      </c>
      <c r="AO162" s="475">
        <f t="shared" si="142"/>
        <v>62667.648981130726</v>
      </c>
      <c r="AP162" s="475">
        <f t="shared" si="142"/>
        <v>47882.642102085963</v>
      </c>
      <c r="AQ162" s="475">
        <f t="shared" si="142"/>
        <v>67325.781589746824</v>
      </c>
      <c r="AR162" s="475">
        <f t="shared" si="142"/>
        <v>123812.82706840399</v>
      </c>
      <c r="AS162" s="475">
        <f t="shared" si="142"/>
        <v>82963.579718298846</v>
      </c>
      <c r="AT162" s="475">
        <f t="shared" si="142"/>
        <v>69483.976220861019</v>
      </c>
      <c r="AU162" s="475">
        <f t="shared" si="142"/>
        <v>64828.415198286537</v>
      </c>
      <c r="AV162" s="475">
        <f t="shared" si="142"/>
        <v>56094.282394799608</v>
      </c>
      <c r="AW162" s="475">
        <f t="shared" si="142"/>
        <v>797205.4014042191</v>
      </c>
      <c r="AX162" s="171"/>
    </row>
    <row r="163" spans="1:50" outlineLevel="1">
      <c r="A163" s="11"/>
      <c r="F163" s="104"/>
      <c r="G163" s="104"/>
      <c r="H163" s="104"/>
      <c r="I163" s="104"/>
      <c r="J163" s="104"/>
      <c r="K163" s="104"/>
      <c r="L163" s="104"/>
      <c r="M163" s="104"/>
      <c r="N163" s="104"/>
      <c r="O163" s="104"/>
      <c r="P163" s="104"/>
      <c r="Q163" s="104"/>
      <c r="V163" s="474"/>
      <c r="W163" s="474"/>
      <c r="X163" s="474"/>
      <c r="Y163" s="474"/>
      <c r="Z163" s="474"/>
      <c r="AA163" s="474"/>
      <c r="AB163" s="474"/>
      <c r="AC163" s="474"/>
      <c r="AD163" s="474"/>
      <c r="AE163" s="474"/>
      <c r="AF163" s="474"/>
      <c r="AG163" s="474"/>
      <c r="AH163" s="474"/>
      <c r="AI163" s="474"/>
      <c r="AJ163" s="474"/>
      <c r="AK163" s="474"/>
      <c r="AL163" s="474"/>
      <c r="AM163" s="474"/>
      <c r="AN163" s="474"/>
      <c r="AO163" s="474"/>
      <c r="AP163" s="474"/>
      <c r="AQ163" s="474"/>
      <c r="AR163" s="474"/>
      <c r="AS163" s="474"/>
      <c r="AT163" s="474"/>
      <c r="AU163" s="474"/>
      <c r="AV163" s="474"/>
      <c r="AX163" s="171"/>
    </row>
    <row r="164" spans="1:50" outlineLevel="1">
      <c r="A164" s="471" t="s">
        <v>166</v>
      </c>
      <c r="B164" s="369"/>
      <c r="C164" s="369"/>
      <c r="D164" s="369"/>
      <c r="E164" s="369"/>
      <c r="F164" s="472"/>
      <c r="G164" s="472"/>
      <c r="H164" s="472"/>
      <c r="I164" s="472"/>
      <c r="J164" s="472"/>
      <c r="K164" s="472"/>
      <c r="L164" s="472"/>
      <c r="M164" s="472"/>
      <c r="N164" s="472"/>
      <c r="O164" s="472"/>
      <c r="P164" s="472"/>
      <c r="Q164" s="472"/>
      <c r="R164" s="369"/>
      <c r="S164" s="369"/>
      <c r="T164" s="369"/>
      <c r="U164" s="369"/>
      <c r="V164" s="476"/>
      <c r="W164" s="476"/>
      <c r="X164" s="476"/>
      <c r="Y164" s="476"/>
      <c r="Z164" s="476"/>
      <c r="AA164" s="476"/>
      <c r="AB164" s="476"/>
      <c r="AC164" s="476"/>
      <c r="AD164" s="476"/>
      <c r="AE164" s="476"/>
      <c r="AF164" s="476"/>
      <c r="AG164" s="476"/>
      <c r="AH164" s="476"/>
      <c r="AI164" s="476"/>
      <c r="AJ164" s="476"/>
      <c r="AK164" s="476"/>
      <c r="AL164" s="476"/>
      <c r="AM164" s="476"/>
      <c r="AN164" s="476"/>
      <c r="AO164" s="476"/>
      <c r="AP164" s="476"/>
      <c r="AQ164" s="476"/>
      <c r="AR164" s="476"/>
      <c r="AS164" s="476"/>
      <c r="AT164" s="476"/>
      <c r="AU164" s="476"/>
      <c r="AV164" s="476"/>
      <c r="AW164" s="369"/>
      <c r="AX164" s="476"/>
    </row>
    <row r="165" spans="1:50" outlineLevel="1">
      <c r="A165" s="13" t="s">
        <v>277</v>
      </c>
      <c r="B165" s="13" t="s">
        <v>64</v>
      </c>
      <c r="C165" s="13" t="str">
        <f t="shared" ref="C165:C176" si="143">_xlfn.XLOOKUP($A165,$A$6:$A$113,$C$6:$C$113)</f>
        <v>UK</v>
      </c>
      <c r="D165" s="13" t="s">
        <v>166</v>
      </c>
      <c r="E165" s="139"/>
      <c r="F165" s="40">
        <f>SUMIF($A$6:$A$113,$A165,F$6:F$113)*$E165</f>
        <v>0</v>
      </c>
      <c r="G165" s="40">
        <f t="shared" ref="F165:Q191" si="144">SUMIF($A$6:$A$113,$A165,G$6:G$113)*$E165</f>
        <v>0</v>
      </c>
      <c r="H165" s="40">
        <f t="shared" si="144"/>
        <v>0</v>
      </c>
      <c r="I165" s="40">
        <f t="shared" si="144"/>
        <v>0</v>
      </c>
      <c r="J165" s="40">
        <f t="shared" si="144"/>
        <v>0</v>
      </c>
      <c r="K165" s="40">
        <f t="shared" si="144"/>
        <v>0</v>
      </c>
      <c r="L165" s="40">
        <f t="shared" si="144"/>
        <v>0</v>
      </c>
      <c r="M165" s="40">
        <f t="shared" si="144"/>
        <v>0</v>
      </c>
      <c r="N165" s="40">
        <f t="shared" si="144"/>
        <v>0</v>
      </c>
      <c r="O165" s="40">
        <f t="shared" si="144"/>
        <v>0</v>
      </c>
      <c r="P165" s="40">
        <f t="shared" si="144"/>
        <v>0</v>
      </c>
      <c r="Q165" s="40">
        <f t="shared" si="144"/>
        <v>0</v>
      </c>
      <c r="R165" s="40">
        <f t="shared" ref="R165:R191" si="145">SUM(F165:Q165)</f>
        <v>0</v>
      </c>
      <c r="U165" s="50"/>
      <c r="V165" s="40">
        <f t="shared" ref="V165:AG191" si="146">SUMIF($A$6:$A$113,$A165,V$6:V$113)*$U165</f>
        <v>0</v>
      </c>
      <c r="W165" s="40">
        <f t="shared" si="146"/>
        <v>0</v>
      </c>
      <c r="X165" s="40">
        <f t="shared" si="146"/>
        <v>0</v>
      </c>
      <c r="Y165" s="40">
        <f t="shared" si="146"/>
        <v>0</v>
      </c>
      <c r="Z165" s="40">
        <f t="shared" si="146"/>
        <v>0</v>
      </c>
      <c r="AA165" s="40">
        <f t="shared" si="146"/>
        <v>0</v>
      </c>
      <c r="AB165" s="40">
        <f t="shared" si="146"/>
        <v>0</v>
      </c>
      <c r="AC165" s="40">
        <f t="shared" si="146"/>
        <v>0</v>
      </c>
      <c r="AD165" s="40">
        <f t="shared" si="146"/>
        <v>0</v>
      </c>
      <c r="AE165" s="40">
        <f t="shared" si="146"/>
        <v>0</v>
      </c>
      <c r="AF165" s="40">
        <f t="shared" si="146"/>
        <v>0</v>
      </c>
      <c r="AG165" s="40">
        <f t="shared" si="146"/>
        <v>0</v>
      </c>
      <c r="AH165" s="40">
        <f t="shared" ref="AH165:AH191" si="147">SUM(V165:AG165)</f>
        <v>0</v>
      </c>
      <c r="AI165" s="171"/>
      <c r="AJ165" s="50">
        <v>0.05</v>
      </c>
      <c r="AK165" s="40">
        <f t="shared" ref="AK165:AV191" si="148">SUMIF($A$6:$A$113,$A165,AK$6:AK$113)*$AJ165</f>
        <v>11364.310986000002</v>
      </c>
      <c r="AL165" s="40">
        <f t="shared" si="148"/>
        <v>6555.2435760000008</v>
      </c>
      <c r="AM165" s="40">
        <f t="shared" si="148"/>
        <v>5569.8354180000006</v>
      </c>
      <c r="AN165" s="40">
        <f t="shared" si="148"/>
        <v>6474.1547220000002</v>
      </c>
      <c r="AO165" s="40">
        <f t="shared" si="148"/>
        <v>10115.853300000001</v>
      </c>
      <c r="AP165" s="40">
        <f t="shared" si="148"/>
        <v>6164.9784209999998</v>
      </c>
      <c r="AQ165" s="40">
        <f t="shared" si="148"/>
        <v>6355.6828440000008</v>
      </c>
      <c r="AR165" s="40">
        <f t="shared" si="148"/>
        <v>15149.534652</v>
      </c>
      <c r="AS165" s="40">
        <f t="shared" si="148"/>
        <v>19223.599332000002</v>
      </c>
      <c r="AT165" s="40">
        <f t="shared" si="148"/>
        <v>8328.401330365883</v>
      </c>
      <c r="AU165" s="40">
        <f t="shared" si="148"/>
        <v>10936.700815438177</v>
      </c>
      <c r="AV165" s="40">
        <f t="shared" si="148"/>
        <v>10841.171062999048</v>
      </c>
      <c r="AW165" s="40">
        <f t="shared" ref="AW165:AW191" si="149">SUM(AK165:AV165)</f>
        <v>117079.46645980311</v>
      </c>
      <c r="AX165" s="171"/>
    </row>
    <row r="166" spans="1:50" outlineLevel="1">
      <c r="A166" s="13" t="s">
        <v>248</v>
      </c>
      <c r="B166" s="13" t="s">
        <v>64</v>
      </c>
      <c r="C166" s="13" t="str">
        <f t="shared" si="143"/>
        <v>UK</v>
      </c>
      <c r="D166" s="13" t="s">
        <v>166</v>
      </c>
      <c r="E166" s="139"/>
      <c r="F166" s="40">
        <f t="shared" si="144"/>
        <v>0</v>
      </c>
      <c r="G166" s="40">
        <f t="shared" si="144"/>
        <v>0</v>
      </c>
      <c r="H166" s="40">
        <f t="shared" si="144"/>
        <v>0</v>
      </c>
      <c r="I166" s="40">
        <f t="shared" si="144"/>
        <v>0</v>
      </c>
      <c r="J166" s="40">
        <f t="shared" si="144"/>
        <v>0</v>
      </c>
      <c r="K166" s="40">
        <f t="shared" si="144"/>
        <v>0</v>
      </c>
      <c r="L166" s="40">
        <f t="shared" si="144"/>
        <v>0</v>
      </c>
      <c r="M166" s="40">
        <f t="shared" si="144"/>
        <v>0</v>
      </c>
      <c r="N166" s="40">
        <f t="shared" si="144"/>
        <v>0</v>
      </c>
      <c r="O166" s="40">
        <f t="shared" si="144"/>
        <v>0</v>
      </c>
      <c r="P166" s="40">
        <f t="shared" si="144"/>
        <v>0</v>
      </c>
      <c r="Q166" s="40">
        <f t="shared" si="144"/>
        <v>0</v>
      </c>
      <c r="R166" s="40">
        <f t="shared" si="145"/>
        <v>0</v>
      </c>
      <c r="U166" s="50"/>
      <c r="V166" s="40">
        <f t="shared" si="146"/>
        <v>0</v>
      </c>
      <c r="W166" s="40">
        <f t="shared" si="146"/>
        <v>0</v>
      </c>
      <c r="X166" s="40">
        <f t="shared" si="146"/>
        <v>0</v>
      </c>
      <c r="Y166" s="40">
        <f t="shared" si="146"/>
        <v>0</v>
      </c>
      <c r="Z166" s="40">
        <f t="shared" si="146"/>
        <v>0</v>
      </c>
      <c r="AA166" s="40">
        <f t="shared" si="146"/>
        <v>0</v>
      </c>
      <c r="AB166" s="40">
        <f t="shared" si="146"/>
        <v>0</v>
      </c>
      <c r="AC166" s="40">
        <f t="shared" si="146"/>
        <v>0</v>
      </c>
      <c r="AD166" s="40">
        <f t="shared" si="146"/>
        <v>0</v>
      </c>
      <c r="AE166" s="40">
        <f t="shared" si="146"/>
        <v>0</v>
      </c>
      <c r="AF166" s="40">
        <f t="shared" si="146"/>
        <v>0</v>
      </c>
      <c r="AG166" s="40">
        <f t="shared" si="146"/>
        <v>0</v>
      </c>
      <c r="AH166" s="40">
        <f t="shared" si="147"/>
        <v>0</v>
      </c>
      <c r="AI166" s="171"/>
      <c r="AJ166" s="50">
        <v>0.05</v>
      </c>
      <c r="AK166" s="40">
        <f t="shared" si="148"/>
        <v>3392.7527412499994</v>
      </c>
      <c r="AL166" s="40">
        <f t="shared" si="148"/>
        <v>1905.38555</v>
      </c>
      <c r="AM166" s="40">
        <f t="shared" si="148"/>
        <v>3575.8792299999996</v>
      </c>
      <c r="AN166" s="40">
        <f t="shared" si="148"/>
        <v>3092.3966324999997</v>
      </c>
      <c r="AO166" s="40">
        <f t="shared" si="148"/>
        <v>2406.4922999999994</v>
      </c>
      <c r="AP166" s="40">
        <f t="shared" si="148"/>
        <v>2991.4535999999998</v>
      </c>
      <c r="AQ166" s="40">
        <f t="shared" si="148"/>
        <v>8941.2546000000002</v>
      </c>
      <c r="AR166" s="40">
        <f t="shared" si="148"/>
        <v>18605.846549999998</v>
      </c>
      <c r="AS166" s="40">
        <f t="shared" si="148"/>
        <v>3293.4859199999992</v>
      </c>
      <c r="AT166" s="40">
        <f t="shared" si="148"/>
        <v>3927.9185914484074</v>
      </c>
      <c r="AU166" s="40">
        <f t="shared" si="148"/>
        <v>4599.6486331618498</v>
      </c>
      <c r="AV166" s="40">
        <f t="shared" si="148"/>
        <v>2964.2803689473985</v>
      </c>
      <c r="AW166" s="40">
        <f t="shared" si="149"/>
        <v>59696.794717307654</v>
      </c>
      <c r="AX166" s="171"/>
    </row>
    <row r="167" spans="1:50" outlineLevel="1">
      <c r="A167" s="13" t="s">
        <v>332</v>
      </c>
      <c r="B167" s="13" t="s">
        <v>64</v>
      </c>
      <c r="C167" s="13" t="str">
        <f t="shared" si="143"/>
        <v>UK</v>
      </c>
      <c r="D167" s="13" t="s">
        <v>166</v>
      </c>
      <c r="E167" s="139"/>
      <c r="F167" s="40">
        <f t="shared" si="144"/>
        <v>0</v>
      </c>
      <c r="G167" s="40">
        <f t="shared" si="144"/>
        <v>0</v>
      </c>
      <c r="H167" s="40">
        <f t="shared" si="144"/>
        <v>0</v>
      </c>
      <c r="I167" s="40">
        <f t="shared" si="144"/>
        <v>0</v>
      </c>
      <c r="J167" s="40">
        <f t="shared" si="144"/>
        <v>0</v>
      </c>
      <c r="K167" s="40">
        <f t="shared" si="144"/>
        <v>0</v>
      </c>
      <c r="L167" s="40">
        <f t="shared" si="144"/>
        <v>0</v>
      </c>
      <c r="M167" s="40">
        <f t="shared" si="144"/>
        <v>0</v>
      </c>
      <c r="N167" s="40">
        <f t="shared" si="144"/>
        <v>0</v>
      </c>
      <c r="O167" s="40">
        <f t="shared" si="144"/>
        <v>0</v>
      </c>
      <c r="P167" s="40">
        <f t="shared" si="144"/>
        <v>0</v>
      </c>
      <c r="Q167" s="40">
        <f t="shared" si="144"/>
        <v>0</v>
      </c>
      <c r="R167" s="40">
        <f t="shared" si="145"/>
        <v>0</v>
      </c>
      <c r="U167" s="50"/>
      <c r="V167" s="40">
        <f t="shared" si="146"/>
        <v>0</v>
      </c>
      <c r="W167" s="40">
        <f t="shared" si="146"/>
        <v>0</v>
      </c>
      <c r="X167" s="40">
        <f t="shared" si="146"/>
        <v>0</v>
      </c>
      <c r="Y167" s="40">
        <f t="shared" si="146"/>
        <v>0</v>
      </c>
      <c r="Z167" s="40">
        <f t="shared" si="146"/>
        <v>0</v>
      </c>
      <c r="AA167" s="40">
        <f t="shared" si="146"/>
        <v>0</v>
      </c>
      <c r="AB167" s="40">
        <f t="shared" si="146"/>
        <v>0</v>
      </c>
      <c r="AC167" s="40">
        <f t="shared" si="146"/>
        <v>0</v>
      </c>
      <c r="AD167" s="40">
        <f t="shared" si="146"/>
        <v>0</v>
      </c>
      <c r="AE167" s="40">
        <f t="shared" si="146"/>
        <v>0</v>
      </c>
      <c r="AF167" s="40">
        <f t="shared" si="146"/>
        <v>0</v>
      </c>
      <c r="AG167" s="40">
        <f t="shared" si="146"/>
        <v>0</v>
      </c>
      <c r="AH167" s="40">
        <f t="shared" si="147"/>
        <v>0</v>
      </c>
      <c r="AI167" s="171"/>
      <c r="AJ167" s="50">
        <v>0.05</v>
      </c>
      <c r="AK167" s="40">
        <f t="shared" si="148"/>
        <v>935.21609999999987</v>
      </c>
      <c r="AL167" s="40">
        <f t="shared" si="148"/>
        <v>450.91673999999989</v>
      </c>
      <c r="AM167" s="40">
        <f t="shared" si="148"/>
        <v>721.29566999999986</v>
      </c>
      <c r="AN167" s="40">
        <f t="shared" si="148"/>
        <v>844.01837999999998</v>
      </c>
      <c r="AO167" s="40">
        <f t="shared" si="148"/>
        <v>2390.9396699999998</v>
      </c>
      <c r="AP167" s="40">
        <f t="shared" si="148"/>
        <v>498.57854399999997</v>
      </c>
      <c r="AQ167" s="40">
        <f t="shared" si="148"/>
        <v>597.60968849999995</v>
      </c>
      <c r="AR167" s="40">
        <f t="shared" si="148"/>
        <v>4052.5077390000001</v>
      </c>
      <c r="AS167" s="40">
        <f t="shared" si="148"/>
        <v>2733.0856469999999</v>
      </c>
      <c r="AT167" s="40">
        <f t="shared" si="148"/>
        <v>1399.6001241428569</v>
      </c>
      <c r="AU167" s="40">
        <f t="shared" si="148"/>
        <v>724.46858430612269</v>
      </c>
      <c r="AV167" s="40">
        <f t="shared" si="148"/>
        <v>753.2811125641424</v>
      </c>
      <c r="AW167" s="40">
        <f t="shared" si="149"/>
        <v>16101.51799951312</v>
      </c>
      <c r="AX167" s="171"/>
    </row>
    <row r="168" spans="1:50" outlineLevel="1">
      <c r="A168" s="13" t="s">
        <v>330</v>
      </c>
      <c r="B168" s="13" t="s">
        <v>64</v>
      </c>
      <c r="C168" s="13" t="str">
        <f t="shared" si="143"/>
        <v>UK</v>
      </c>
      <c r="D168" s="13" t="s">
        <v>166</v>
      </c>
      <c r="E168" s="139"/>
      <c r="F168" s="40">
        <f t="shared" si="144"/>
        <v>0</v>
      </c>
      <c r="G168" s="40">
        <f t="shared" si="144"/>
        <v>0</v>
      </c>
      <c r="H168" s="40">
        <f t="shared" si="144"/>
        <v>0</v>
      </c>
      <c r="I168" s="40">
        <f t="shared" si="144"/>
        <v>0</v>
      </c>
      <c r="J168" s="40">
        <f t="shared" si="144"/>
        <v>0</v>
      </c>
      <c r="K168" s="40">
        <f t="shared" si="144"/>
        <v>0</v>
      </c>
      <c r="L168" s="40">
        <f t="shared" si="144"/>
        <v>0</v>
      </c>
      <c r="M168" s="40">
        <f t="shared" si="144"/>
        <v>0</v>
      </c>
      <c r="N168" s="40">
        <f t="shared" si="144"/>
        <v>0</v>
      </c>
      <c r="O168" s="40">
        <f t="shared" si="144"/>
        <v>0</v>
      </c>
      <c r="P168" s="40">
        <f t="shared" si="144"/>
        <v>0</v>
      </c>
      <c r="Q168" s="40">
        <f t="shared" si="144"/>
        <v>0</v>
      </c>
      <c r="R168" s="40">
        <f t="shared" si="145"/>
        <v>0</v>
      </c>
      <c r="U168" s="50"/>
      <c r="V168" s="40">
        <f t="shared" si="146"/>
        <v>0</v>
      </c>
      <c r="W168" s="40">
        <f t="shared" si="146"/>
        <v>0</v>
      </c>
      <c r="X168" s="40">
        <f t="shared" si="146"/>
        <v>0</v>
      </c>
      <c r="Y168" s="40">
        <f t="shared" si="146"/>
        <v>0</v>
      </c>
      <c r="Z168" s="40">
        <f t="shared" si="146"/>
        <v>0</v>
      </c>
      <c r="AA168" s="40">
        <f t="shared" si="146"/>
        <v>0</v>
      </c>
      <c r="AB168" s="40">
        <f t="shared" si="146"/>
        <v>0</v>
      </c>
      <c r="AC168" s="40">
        <f t="shared" si="146"/>
        <v>0</v>
      </c>
      <c r="AD168" s="40">
        <f t="shared" si="146"/>
        <v>0</v>
      </c>
      <c r="AE168" s="40">
        <f t="shared" si="146"/>
        <v>0</v>
      </c>
      <c r="AF168" s="40">
        <f t="shared" si="146"/>
        <v>0</v>
      </c>
      <c r="AG168" s="40">
        <f t="shared" si="146"/>
        <v>0</v>
      </c>
      <c r="AH168" s="40">
        <f t="shared" si="147"/>
        <v>0</v>
      </c>
      <c r="AI168" s="171"/>
      <c r="AJ168" s="50">
        <v>0.05</v>
      </c>
      <c r="AK168" s="40">
        <f t="shared" si="148"/>
        <v>787.5</v>
      </c>
      <c r="AL168" s="40">
        <f t="shared" si="148"/>
        <v>1811.25</v>
      </c>
      <c r="AM168" s="40">
        <f t="shared" si="148"/>
        <v>0</v>
      </c>
      <c r="AN168" s="40">
        <f t="shared" si="148"/>
        <v>525</v>
      </c>
      <c r="AO168" s="40">
        <f t="shared" si="148"/>
        <v>512.29499999999996</v>
      </c>
      <c r="AP168" s="40">
        <f t="shared" si="148"/>
        <v>382.20000000000005</v>
      </c>
      <c r="AQ168" s="40">
        <f t="shared" si="148"/>
        <v>364.19250000000005</v>
      </c>
      <c r="AR168" s="40">
        <f t="shared" si="148"/>
        <v>834.90750000000014</v>
      </c>
      <c r="AS168" s="40">
        <f t="shared" si="148"/>
        <v>444.78000000000003</v>
      </c>
      <c r="AT168" s="40">
        <f t="shared" si="148"/>
        <v>1724.8350000000003</v>
      </c>
      <c r="AU168" s="40">
        <f t="shared" si="148"/>
        <v>1437.1875</v>
      </c>
      <c r="AV168" s="40">
        <f t="shared" si="148"/>
        <v>1161.93</v>
      </c>
      <c r="AW168" s="40">
        <f t="shared" si="149"/>
        <v>9986.0774999999994</v>
      </c>
      <c r="AX168" s="171"/>
    </row>
    <row r="169" spans="1:50" outlineLevel="1">
      <c r="A169" s="13" t="s">
        <v>264</v>
      </c>
      <c r="B169" s="13" t="s">
        <v>73</v>
      </c>
      <c r="C169" s="13" t="str">
        <f t="shared" si="143"/>
        <v>CE</v>
      </c>
      <c r="D169" s="13" t="s">
        <v>166</v>
      </c>
      <c r="E169" s="139"/>
      <c r="F169" s="40">
        <f t="shared" si="144"/>
        <v>0</v>
      </c>
      <c r="G169" s="40">
        <f t="shared" si="144"/>
        <v>0</v>
      </c>
      <c r="H169" s="40">
        <f t="shared" si="144"/>
        <v>0</v>
      </c>
      <c r="I169" s="40">
        <f t="shared" si="144"/>
        <v>0</v>
      </c>
      <c r="J169" s="40">
        <f t="shared" si="144"/>
        <v>0</v>
      </c>
      <c r="K169" s="40">
        <f t="shared" si="144"/>
        <v>0</v>
      </c>
      <c r="L169" s="40">
        <f t="shared" si="144"/>
        <v>0</v>
      </c>
      <c r="M169" s="40">
        <f t="shared" si="144"/>
        <v>0</v>
      </c>
      <c r="N169" s="40">
        <f t="shared" si="144"/>
        <v>0</v>
      </c>
      <c r="O169" s="40">
        <f t="shared" si="144"/>
        <v>0</v>
      </c>
      <c r="P169" s="40">
        <f t="shared" si="144"/>
        <v>0</v>
      </c>
      <c r="Q169" s="40">
        <f t="shared" si="144"/>
        <v>0</v>
      </c>
      <c r="R169" s="40">
        <f t="shared" si="145"/>
        <v>0</v>
      </c>
      <c r="U169" s="50">
        <v>0.05</v>
      </c>
      <c r="V169" s="40">
        <f t="shared" si="146"/>
        <v>1350</v>
      </c>
      <c r="W169" s="40">
        <f t="shared" si="146"/>
        <v>2250</v>
      </c>
      <c r="X169" s="40">
        <f t="shared" si="146"/>
        <v>2070</v>
      </c>
      <c r="Y169" s="40">
        <f t="shared" si="146"/>
        <v>2025</v>
      </c>
      <c r="Z169" s="40">
        <f t="shared" si="146"/>
        <v>2430</v>
      </c>
      <c r="AA169" s="40">
        <f t="shared" si="146"/>
        <v>1215</v>
      </c>
      <c r="AB169" s="40">
        <f t="shared" si="146"/>
        <v>1620</v>
      </c>
      <c r="AC169" s="40">
        <f t="shared" si="146"/>
        <v>1900</v>
      </c>
      <c r="AD169" s="40">
        <f t="shared" si="146"/>
        <v>2070</v>
      </c>
      <c r="AE169" s="40">
        <f t="shared" si="146"/>
        <v>2430</v>
      </c>
      <c r="AF169" s="40">
        <f t="shared" si="146"/>
        <v>1620</v>
      </c>
      <c r="AG169" s="40">
        <f t="shared" si="146"/>
        <v>1620</v>
      </c>
      <c r="AH169" s="40">
        <f t="shared" si="147"/>
        <v>22600</v>
      </c>
      <c r="AI169" s="171"/>
      <c r="AJ169" s="50">
        <v>0.05</v>
      </c>
      <c r="AK169" s="40">
        <f t="shared" si="148"/>
        <v>1458.0000000000002</v>
      </c>
      <c r="AL169" s="40">
        <f t="shared" si="148"/>
        <v>2430</v>
      </c>
      <c r="AM169" s="40">
        <f t="shared" si="148"/>
        <v>2235.6</v>
      </c>
      <c r="AN169" s="40">
        <f t="shared" si="148"/>
        <v>2187</v>
      </c>
      <c r="AO169" s="40">
        <f t="shared" si="148"/>
        <v>2624.4</v>
      </c>
      <c r="AP169" s="40">
        <f t="shared" si="148"/>
        <v>1312.2</v>
      </c>
      <c r="AQ169" s="40">
        <f t="shared" si="148"/>
        <v>1749.6000000000001</v>
      </c>
      <c r="AR169" s="40">
        <f t="shared" si="148"/>
        <v>2052</v>
      </c>
      <c r="AS169" s="40">
        <f t="shared" si="148"/>
        <v>2235.6</v>
      </c>
      <c r="AT169" s="40">
        <f t="shared" si="148"/>
        <v>2624.4</v>
      </c>
      <c r="AU169" s="40">
        <f t="shared" si="148"/>
        <v>1749.6000000000001</v>
      </c>
      <c r="AV169" s="40">
        <f t="shared" si="148"/>
        <v>1749.6000000000001</v>
      </c>
      <c r="AW169" s="40">
        <f t="shared" si="149"/>
        <v>24408</v>
      </c>
      <c r="AX169" s="171"/>
    </row>
    <row r="170" spans="1:50" outlineLevel="1">
      <c r="A170" s="13" t="s">
        <v>291</v>
      </c>
      <c r="B170" s="13" t="s">
        <v>72</v>
      </c>
      <c r="C170" s="13" t="str">
        <f t="shared" si="143"/>
        <v>EE</v>
      </c>
      <c r="D170" s="13" t="s">
        <v>166</v>
      </c>
      <c r="E170" s="139"/>
      <c r="F170" s="40">
        <f t="shared" si="144"/>
        <v>0</v>
      </c>
      <c r="G170" s="40">
        <f t="shared" si="144"/>
        <v>0</v>
      </c>
      <c r="H170" s="40">
        <f t="shared" si="144"/>
        <v>0</v>
      </c>
      <c r="I170" s="40">
        <f t="shared" si="144"/>
        <v>0</v>
      </c>
      <c r="J170" s="40">
        <f t="shared" si="144"/>
        <v>0</v>
      </c>
      <c r="K170" s="40">
        <f t="shared" si="144"/>
        <v>0</v>
      </c>
      <c r="L170" s="40">
        <f t="shared" si="144"/>
        <v>0</v>
      </c>
      <c r="M170" s="40">
        <f t="shared" si="144"/>
        <v>0</v>
      </c>
      <c r="N170" s="40">
        <f t="shared" si="144"/>
        <v>0</v>
      </c>
      <c r="O170" s="40">
        <f t="shared" si="144"/>
        <v>0</v>
      </c>
      <c r="P170" s="40">
        <f t="shared" si="144"/>
        <v>0</v>
      </c>
      <c r="Q170" s="40">
        <f t="shared" si="144"/>
        <v>0</v>
      </c>
      <c r="R170" s="40">
        <f t="shared" si="145"/>
        <v>0</v>
      </c>
      <c r="U170" s="50">
        <v>7.4999999999999997E-2</v>
      </c>
      <c r="V170" s="40">
        <f t="shared" si="146"/>
        <v>750</v>
      </c>
      <c r="W170" s="40">
        <f t="shared" si="146"/>
        <v>0</v>
      </c>
      <c r="X170" s="40">
        <f t="shared" si="146"/>
        <v>0</v>
      </c>
      <c r="Y170" s="40">
        <f t="shared" si="146"/>
        <v>750</v>
      </c>
      <c r="Z170" s="40">
        <f t="shared" si="146"/>
        <v>0</v>
      </c>
      <c r="AA170" s="40">
        <f t="shared" si="146"/>
        <v>750</v>
      </c>
      <c r="AB170" s="40">
        <f t="shared" si="146"/>
        <v>0</v>
      </c>
      <c r="AC170" s="40">
        <f t="shared" si="146"/>
        <v>0</v>
      </c>
      <c r="AD170" s="40">
        <f t="shared" si="146"/>
        <v>2250</v>
      </c>
      <c r="AE170" s="40">
        <f t="shared" si="146"/>
        <v>1500</v>
      </c>
      <c r="AF170" s="40">
        <f t="shared" si="146"/>
        <v>0</v>
      </c>
      <c r="AG170" s="40">
        <f t="shared" si="146"/>
        <v>750</v>
      </c>
      <c r="AH170" s="40">
        <f t="shared" si="147"/>
        <v>6750</v>
      </c>
      <c r="AI170" s="171"/>
      <c r="AJ170" s="50">
        <v>7.4999999999999997E-2</v>
      </c>
      <c r="AK170" s="40">
        <f t="shared" si="148"/>
        <v>787.5</v>
      </c>
      <c r="AL170" s="40">
        <f t="shared" si="148"/>
        <v>0</v>
      </c>
      <c r="AM170" s="40">
        <f t="shared" si="148"/>
        <v>0</v>
      </c>
      <c r="AN170" s="40">
        <f t="shared" si="148"/>
        <v>787.5</v>
      </c>
      <c r="AO170" s="40">
        <f t="shared" si="148"/>
        <v>0</v>
      </c>
      <c r="AP170" s="40">
        <f t="shared" si="148"/>
        <v>787.5</v>
      </c>
      <c r="AQ170" s="40">
        <f t="shared" si="148"/>
        <v>0</v>
      </c>
      <c r="AR170" s="40">
        <f t="shared" si="148"/>
        <v>0</v>
      </c>
      <c r="AS170" s="40">
        <f t="shared" si="148"/>
        <v>2362.5</v>
      </c>
      <c r="AT170" s="40">
        <f t="shared" si="148"/>
        <v>1575</v>
      </c>
      <c r="AU170" s="40">
        <f t="shared" si="148"/>
        <v>0</v>
      </c>
      <c r="AV170" s="40">
        <f t="shared" si="148"/>
        <v>787.5</v>
      </c>
      <c r="AW170" s="40">
        <f t="shared" si="149"/>
        <v>7087.5</v>
      </c>
      <c r="AX170" s="171"/>
    </row>
    <row r="171" spans="1:50" outlineLevel="1">
      <c r="A171" s="13" t="s">
        <v>273</v>
      </c>
      <c r="B171" s="13" t="s">
        <v>70</v>
      </c>
      <c r="C171" s="13" t="str">
        <f t="shared" si="143"/>
        <v>EE</v>
      </c>
      <c r="D171" s="13" t="s">
        <v>166</v>
      </c>
      <c r="E171" s="139"/>
      <c r="F171" s="40">
        <f t="shared" si="144"/>
        <v>0</v>
      </c>
      <c r="G171" s="40">
        <f t="shared" si="144"/>
        <v>0</v>
      </c>
      <c r="H171" s="40">
        <f t="shared" si="144"/>
        <v>0</v>
      </c>
      <c r="I171" s="40">
        <f t="shared" si="144"/>
        <v>0</v>
      </c>
      <c r="J171" s="40">
        <f t="shared" si="144"/>
        <v>0</v>
      </c>
      <c r="K171" s="40">
        <f t="shared" si="144"/>
        <v>0</v>
      </c>
      <c r="L171" s="40">
        <f t="shared" si="144"/>
        <v>0</v>
      </c>
      <c r="M171" s="40">
        <f t="shared" si="144"/>
        <v>0</v>
      </c>
      <c r="N171" s="40">
        <f t="shared" si="144"/>
        <v>0</v>
      </c>
      <c r="O171" s="40">
        <f t="shared" si="144"/>
        <v>0</v>
      </c>
      <c r="P171" s="40">
        <f t="shared" si="144"/>
        <v>0</v>
      </c>
      <c r="Q171" s="40">
        <f t="shared" si="144"/>
        <v>0</v>
      </c>
      <c r="R171" s="40">
        <f t="shared" si="145"/>
        <v>0</v>
      </c>
      <c r="U171" s="50">
        <v>2.5000000000000001E-2</v>
      </c>
      <c r="V171" s="40">
        <f t="shared" si="146"/>
        <v>0</v>
      </c>
      <c r="W171" s="40">
        <f t="shared" si="146"/>
        <v>595.48500000000001</v>
      </c>
      <c r="X171" s="40">
        <f t="shared" si="146"/>
        <v>758.46500000000003</v>
      </c>
      <c r="Y171" s="40">
        <f t="shared" si="146"/>
        <v>630.67500000000018</v>
      </c>
      <c r="Z171" s="40">
        <f t="shared" si="146"/>
        <v>250</v>
      </c>
      <c r="AA171" s="40">
        <f t="shared" si="146"/>
        <v>376.06500000000005</v>
      </c>
      <c r="AB171" s="40">
        <f t="shared" si="146"/>
        <v>598.72000000000014</v>
      </c>
      <c r="AC171" s="40">
        <f t="shared" si="146"/>
        <v>0</v>
      </c>
      <c r="AD171" s="40">
        <f t="shared" si="146"/>
        <v>653.10250000000008</v>
      </c>
      <c r="AE171" s="40">
        <f t="shared" si="146"/>
        <v>1750</v>
      </c>
      <c r="AF171" s="40">
        <f t="shared" si="146"/>
        <v>250</v>
      </c>
      <c r="AG171" s="40">
        <f t="shared" si="146"/>
        <v>750</v>
      </c>
      <c r="AH171" s="40">
        <f t="shared" si="147"/>
        <v>6612.5125000000007</v>
      </c>
      <c r="AI171" s="171"/>
      <c r="AJ171" s="50">
        <v>2.5000000000000001E-2</v>
      </c>
      <c r="AK171" s="40">
        <f t="shared" si="148"/>
        <v>0</v>
      </c>
      <c r="AL171" s="40">
        <f t="shared" si="148"/>
        <v>625.25925000000007</v>
      </c>
      <c r="AM171" s="40">
        <f t="shared" si="148"/>
        <v>796.38824999999997</v>
      </c>
      <c r="AN171" s="40">
        <f t="shared" si="148"/>
        <v>662.20875000000024</v>
      </c>
      <c r="AO171" s="40">
        <f t="shared" si="148"/>
        <v>262.5</v>
      </c>
      <c r="AP171" s="40">
        <f t="shared" si="148"/>
        <v>394.86825000000005</v>
      </c>
      <c r="AQ171" s="40">
        <f t="shared" si="148"/>
        <v>628.65600000000018</v>
      </c>
      <c r="AR171" s="40">
        <f t="shared" si="148"/>
        <v>0</v>
      </c>
      <c r="AS171" s="40">
        <f t="shared" si="148"/>
        <v>685.75762500000019</v>
      </c>
      <c r="AT171" s="40">
        <f t="shared" si="148"/>
        <v>1837.5</v>
      </c>
      <c r="AU171" s="40">
        <f t="shared" si="148"/>
        <v>262.5</v>
      </c>
      <c r="AV171" s="40">
        <f t="shared" si="148"/>
        <v>787.5</v>
      </c>
      <c r="AW171" s="40">
        <f t="shared" si="149"/>
        <v>6943.1381250000004</v>
      </c>
      <c r="AX171" s="171"/>
    </row>
    <row r="172" spans="1:50" outlineLevel="1">
      <c r="A172" s="13" t="s">
        <v>340</v>
      </c>
      <c r="B172" s="13" t="s">
        <v>68</v>
      </c>
      <c r="C172" s="13" t="str">
        <f t="shared" si="143"/>
        <v>EE</v>
      </c>
      <c r="D172" s="13" t="s">
        <v>166</v>
      </c>
      <c r="E172" s="139"/>
      <c r="F172" s="40">
        <f t="shared" si="144"/>
        <v>0</v>
      </c>
      <c r="G172" s="40">
        <f t="shared" si="144"/>
        <v>0</v>
      </c>
      <c r="H172" s="40">
        <f t="shared" si="144"/>
        <v>0</v>
      </c>
      <c r="I172" s="40">
        <f t="shared" si="144"/>
        <v>0</v>
      </c>
      <c r="J172" s="40">
        <f t="shared" si="144"/>
        <v>0</v>
      </c>
      <c r="K172" s="40">
        <f t="shared" si="144"/>
        <v>0</v>
      </c>
      <c r="L172" s="40">
        <f t="shared" si="144"/>
        <v>0</v>
      </c>
      <c r="M172" s="40">
        <f t="shared" si="144"/>
        <v>0</v>
      </c>
      <c r="N172" s="40">
        <f t="shared" si="144"/>
        <v>0</v>
      </c>
      <c r="O172" s="40">
        <f t="shared" si="144"/>
        <v>0</v>
      </c>
      <c r="P172" s="40">
        <f t="shared" si="144"/>
        <v>0</v>
      </c>
      <c r="Q172" s="40">
        <f t="shared" si="144"/>
        <v>0</v>
      </c>
      <c r="R172" s="40">
        <f t="shared" si="145"/>
        <v>0</v>
      </c>
      <c r="U172" s="50">
        <v>0.05</v>
      </c>
      <c r="V172" s="40">
        <f t="shared" si="146"/>
        <v>500</v>
      </c>
      <c r="W172" s="40">
        <f t="shared" si="146"/>
        <v>750</v>
      </c>
      <c r="X172" s="40">
        <f t="shared" si="146"/>
        <v>1000</v>
      </c>
      <c r="Y172" s="40">
        <f t="shared" si="146"/>
        <v>375</v>
      </c>
      <c r="Z172" s="40">
        <f t="shared" si="146"/>
        <v>500</v>
      </c>
      <c r="AA172" s="40">
        <f t="shared" si="146"/>
        <v>750</v>
      </c>
      <c r="AB172" s="40">
        <f t="shared" si="146"/>
        <v>500</v>
      </c>
      <c r="AC172" s="40">
        <f t="shared" si="146"/>
        <v>1125</v>
      </c>
      <c r="AD172" s="40">
        <f t="shared" si="146"/>
        <v>375</v>
      </c>
      <c r="AE172" s="40">
        <f t="shared" si="146"/>
        <v>750</v>
      </c>
      <c r="AF172" s="40">
        <f t="shared" si="146"/>
        <v>750</v>
      </c>
      <c r="AG172" s="40">
        <f t="shared" si="146"/>
        <v>500</v>
      </c>
      <c r="AH172" s="40">
        <f t="shared" si="147"/>
        <v>7875</v>
      </c>
      <c r="AI172" s="171"/>
      <c r="AJ172" s="50">
        <v>0.05</v>
      </c>
      <c r="AK172" s="40">
        <f t="shared" si="148"/>
        <v>525</v>
      </c>
      <c r="AL172" s="40">
        <f t="shared" si="148"/>
        <v>787.5</v>
      </c>
      <c r="AM172" s="40">
        <f t="shared" si="148"/>
        <v>1050</v>
      </c>
      <c r="AN172" s="40">
        <f t="shared" si="148"/>
        <v>393.75</v>
      </c>
      <c r="AO172" s="40">
        <f t="shared" si="148"/>
        <v>525</v>
      </c>
      <c r="AP172" s="40">
        <f t="shared" si="148"/>
        <v>787.5</v>
      </c>
      <c r="AQ172" s="40">
        <f t="shared" si="148"/>
        <v>525</v>
      </c>
      <c r="AR172" s="40">
        <f t="shared" si="148"/>
        <v>1181.25</v>
      </c>
      <c r="AS172" s="40">
        <f t="shared" si="148"/>
        <v>393.75</v>
      </c>
      <c r="AT172" s="40">
        <f t="shared" si="148"/>
        <v>787.5</v>
      </c>
      <c r="AU172" s="40">
        <f t="shared" si="148"/>
        <v>787.5</v>
      </c>
      <c r="AV172" s="40">
        <f t="shared" si="148"/>
        <v>525</v>
      </c>
      <c r="AW172" s="40">
        <f t="shared" si="149"/>
        <v>8268.75</v>
      </c>
      <c r="AX172" s="171"/>
    </row>
    <row r="173" spans="1:50" outlineLevel="1">
      <c r="A173" s="13" t="s">
        <v>269</v>
      </c>
      <c r="B173" s="13" t="s">
        <v>64</v>
      </c>
      <c r="C173" s="13" t="str">
        <f t="shared" si="143"/>
        <v>UK</v>
      </c>
      <c r="D173" s="13" t="s">
        <v>166</v>
      </c>
      <c r="E173" s="139"/>
      <c r="F173" s="40">
        <f t="shared" si="144"/>
        <v>0</v>
      </c>
      <c r="G173" s="40">
        <f t="shared" si="144"/>
        <v>0</v>
      </c>
      <c r="H173" s="40">
        <f t="shared" si="144"/>
        <v>0</v>
      </c>
      <c r="I173" s="40">
        <f t="shared" si="144"/>
        <v>0</v>
      </c>
      <c r="J173" s="40">
        <f t="shared" si="144"/>
        <v>0</v>
      </c>
      <c r="K173" s="40">
        <f t="shared" si="144"/>
        <v>0</v>
      </c>
      <c r="L173" s="40">
        <f t="shared" si="144"/>
        <v>0</v>
      </c>
      <c r="M173" s="40">
        <f t="shared" si="144"/>
        <v>0</v>
      </c>
      <c r="N173" s="40">
        <f t="shared" si="144"/>
        <v>0</v>
      </c>
      <c r="O173" s="40">
        <f t="shared" si="144"/>
        <v>0</v>
      </c>
      <c r="P173" s="40">
        <f t="shared" si="144"/>
        <v>0</v>
      </c>
      <c r="Q173" s="40">
        <f t="shared" si="144"/>
        <v>0</v>
      </c>
      <c r="R173" s="40">
        <f t="shared" si="145"/>
        <v>0</v>
      </c>
      <c r="U173" s="50">
        <v>0.05</v>
      </c>
      <c r="V173" s="40">
        <f t="shared" si="146"/>
        <v>50</v>
      </c>
      <c r="W173" s="40">
        <f t="shared" si="146"/>
        <v>50</v>
      </c>
      <c r="X173" s="40">
        <f t="shared" si="146"/>
        <v>175</v>
      </c>
      <c r="Y173" s="40">
        <f t="shared" si="146"/>
        <v>175</v>
      </c>
      <c r="Z173" s="40">
        <f t="shared" si="146"/>
        <v>50</v>
      </c>
      <c r="AA173" s="40">
        <f t="shared" si="146"/>
        <v>50</v>
      </c>
      <c r="AB173" s="40">
        <f t="shared" si="146"/>
        <v>50</v>
      </c>
      <c r="AC173" s="40">
        <f t="shared" si="146"/>
        <v>525</v>
      </c>
      <c r="AD173" s="40">
        <f t="shared" si="146"/>
        <v>50</v>
      </c>
      <c r="AE173" s="40">
        <f t="shared" si="146"/>
        <v>50</v>
      </c>
      <c r="AF173" s="40">
        <f t="shared" si="146"/>
        <v>50</v>
      </c>
      <c r="AG173" s="40">
        <f t="shared" si="146"/>
        <v>50</v>
      </c>
      <c r="AH173" s="40">
        <f t="shared" si="147"/>
        <v>1325</v>
      </c>
      <c r="AI173" s="171"/>
      <c r="AJ173" s="50">
        <v>0.05</v>
      </c>
      <c r="AK173" s="40">
        <f t="shared" si="148"/>
        <v>200</v>
      </c>
      <c r="AL173" s="40">
        <f t="shared" si="148"/>
        <v>200</v>
      </c>
      <c r="AM173" s="40">
        <f t="shared" si="148"/>
        <v>700</v>
      </c>
      <c r="AN173" s="40">
        <f t="shared" si="148"/>
        <v>700</v>
      </c>
      <c r="AO173" s="40">
        <f t="shared" si="148"/>
        <v>200</v>
      </c>
      <c r="AP173" s="40">
        <f t="shared" si="148"/>
        <v>200</v>
      </c>
      <c r="AQ173" s="40">
        <f t="shared" si="148"/>
        <v>200</v>
      </c>
      <c r="AR173" s="40">
        <f t="shared" si="148"/>
        <v>2100</v>
      </c>
      <c r="AS173" s="40">
        <f t="shared" si="148"/>
        <v>200</v>
      </c>
      <c r="AT173" s="40">
        <f t="shared" si="148"/>
        <v>200</v>
      </c>
      <c r="AU173" s="40">
        <f t="shared" si="148"/>
        <v>200</v>
      </c>
      <c r="AV173" s="40">
        <f t="shared" si="148"/>
        <v>200</v>
      </c>
      <c r="AW173" s="40">
        <f t="shared" si="149"/>
        <v>5300</v>
      </c>
      <c r="AX173" s="171"/>
    </row>
    <row r="174" spans="1:50" outlineLevel="1">
      <c r="A174" s="13" t="s">
        <v>314</v>
      </c>
      <c r="B174" s="13" t="s">
        <v>64</v>
      </c>
      <c r="C174" s="13" t="str">
        <f t="shared" si="143"/>
        <v>UK</v>
      </c>
      <c r="D174" s="13" t="s">
        <v>166</v>
      </c>
      <c r="E174" s="139"/>
      <c r="F174" s="40">
        <f t="shared" si="144"/>
        <v>0</v>
      </c>
      <c r="G174" s="40">
        <f t="shared" si="144"/>
        <v>0</v>
      </c>
      <c r="H174" s="40">
        <f t="shared" si="144"/>
        <v>0</v>
      </c>
      <c r="I174" s="40">
        <f t="shared" si="144"/>
        <v>0</v>
      </c>
      <c r="J174" s="40">
        <f t="shared" si="144"/>
        <v>0</v>
      </c>
      <c r="K174" s="40">
        <f t="shared" si="144"/>
        <v>0</v>
      </c>
      <c r="L174" s="40">
        <f t="shared" si="144"/>
        <v>0</v>
      </c>
      <c r="M174" s="40">
        <f t="shared" si="144"/>
        <v>0</v>
      </c>
      <c r="N174" s="40">
        <f t="shared" si="144"/>
        <v>0</v>
      </c>
      <c r="O174" s="40">
        <f t="shared" si="144"/>
        <v>0</v>
      </c>
      <c r="P174" s="40">
        <f t="shared" si="144"/>
        <v>0</v>
      </c>
      <c r="Q174" s="40">
        <f t="shared" si="144"/>
        <v>0</v>
      </c>
      <c r="R174" s="40">
        <f t="shared" si="145"/>
        <v>0</v>
      </c>
      <c r="U174" s="50">
        <v>0.05</v>
      </c>
      <c r="V174" s="40">
        <f t="shared" si="146"/>
        <v>375.13199999999995</v>
      </c>
      <c r="W174" s="40">
        <f t="shared" si="146"/>
        <v>125.125</v>
      </c>
      <c r="X174" s="40">
        <f t="shared" si="146"/>
        <v>48.110500000000002</v>
      </c>
      <c r="Y174" s="40">
        <f t="shared" si="146"/>
        <v>42.192000000000007</v>
      </c>
      <c r="Z174" s="40">
        <f t="shared" si="146"/>
        <v>76.780200000000022</v>
      </c>
      <c r="AA174" s="40">
        <f t="shared" si="146"/>
        <v>129.12217500000003</v>
      </c>
      <c r="AB174" s="40">
        <f t="shared" si="146"/>
        <v>83.162100000000009</v>
      </c>
      <c r="AC174" s="40">
        <f t="shared" si="146"/>
        <v>35.298899999999961</v>
      </c>
      <c r="AD174" s="40">
        <f t="shared" si="146"/>
        <v>318.15340000000003</v>
      </c>
      <c r="AE174" s="40">
        <f t="shared" si="146"/>
        <v>576.71445625000001</v>
      </c>
      <c r="AF174" s="40">
        <f t="shared" si="146"/>
        <v>68.943607031250011</v>
      </c>
      <c r="AG174" s="40">
        <f t="shared" si="146"/>
        <v>71.247054785156251</v>
      </c>
      <c r="AH174" s="40">
        <f t="shared" si="147"/>
        <v>1949.9813930664061</v>
      </c>
      <c r="AI174" s="171"/>
      <c r="AJ174" s="50">
        <v>0.05</v>
      </c>
      <c r="AK174" s="40">
        <f t="shared" si="148"/>
        <v>431.40179999999992</v>
      </c>
      <c r="AL174" s="40">
        <f t="shared" si="148"/>
        <v>143.89375000000001</v>
      </c>
      <c r="AM174" s="40">
        <f t="shared" si="148"/>
        <v>55.327075000000008</v>
      </c>
      <c r="AN174" s="40">
        <f t="shared" si="148"/>
        <v>48.520800000000001</v>
      </c>
      <c r="AO174" s="40">
        <f t="shared" si="148"/>
        <v>88.297230000000027</v>
      </c>
      <c r="AP174" s="40">
        <f t="shared" si="148"/>
        <v>148.49050125000002</v>
      </c>
      <c r="AQ174" s="40">
        <f t="shared" si="148"/>
        <v>95.636415</v>
      </c>
      <c r="AR174" s="40">
        <f t="shared" si="148"/>
        <v>40.593734999999953</v>
      </c>
      <c r="AS174" s="40">
        <f t="shared" si="148"/>
        <v>365.87641000000002</v>
      </c>
      <c r="AT174" s="40">
        <f t="shared" si="148"/>
        <v>663.22162468750003</v>
      </c>
      <c r="AU174" s="40">
        <f t="shared" si="148"/>
        <v>79.285148085937507</v>
      </c>
      <c r="AV174" s="40">
        <f t="shared" si="148"/>
        <v>81.934113002929678</v>
      </c>
      <c r="AW174" s="40">
        <f t="shared" si="149"/>
        <v>2242.4786020263673</v>
      </c>
      <c r="AX174" s="171"/>
    </row>
    <row r="175" spans="1:50" outlineLevel="1">
      <c r="A175" s="13" t="s">
        <v>301</v>
      </c>
      <c r="B175" s="13" t="s">
        <v>69</v>
      </c>
      <c r="C175" s="13" t="str">
        <f t="shared" si="143"/>
        <v>CE</v>
      </c>
      <c r="D175" s="13" t="s">
        <v>166</v>
      </c>
      <c r="E175" s="139"/>
      <c r="F175" s="40">
        <f t="shared" si="144"/>
        <v>0</v>
      </c>
      <c r="G175" s="40">
        <f t="shared" si="144"/>
        <v>0</v>
      </c>
      <c r="H175" s="40">
        <f t="shared" si="144"/>
        <v>0</v>
      </c>
      <c r="I175" s="40">
        <f t="shared" si="144"/>
        <v>0</v>
      </c>
      <c r="J175" s="40">
        <f t="shared" si="144"/>
        <v>0</v>
      </c>
      <c r="K175" s="40">
        <f t="shared" si="144"/>
        <v>0</v>
      </c>
      <c r="L175" s="40">
        <f t="shared" si="144"/>
        <v>0</v>
      </c>
      <c r="M175" s="40">
        <f t="shared" si="144"/>
        <v>0</v>
      </c>
      <c r="N175" s="40">
        <f t="shared" si="144"/>
        <v>0</v>
      </c>
      <c r="O175" s="40">
        <f t="shared" si="144"/>
        <v>0</v>
      </c>
      <c r="P175" s="40">
        <f t="shared" si="144"/>
        <v>0</v>
      </c>
      <c r="Q175" s="40">
        <f t="shared" si="144"/>
        <v>0</v>
      </c>
      <c r="R175" s="40">
        <f t="shared" si="145"/>
        <v>0</v>
      </c>
      <c r="U175" s="50">
        <v>0.05</v>
      </c>
      <c r="V175" s="40">
        <f t="shared" si="146"/>
        <v>1228.9580000000001</v>
      </c>
      <c r="W175" s="40">
        <f t="shared" si="146"/>
        <v>1294.3574999999998</v>
      </c>
      <c r="X175" s="40">
        <f t="shared" si="146"/>
        <v>0</v>
      </c>
      <c r="Y175" s="40">
        <f t="shared" si="146"/>
        <v>1247.0955142595767</v>
      </c>
      <c r="Z175" s="40">
        <f t="shared" si="146"/>
        <v>1203.9752732122452</v>
      </c>
      <c r="AA175" s="40">
        <f t="shared" si="146"/>
        <v>955.89461194944215</v>
      </c>
      <c r="AB175" s="40">
        <f t="shared" si="146"/>
        <v>354.67960702508344</v>
      </c>
      <c r="AC175" s="40">
        <f t="shared" si="146"/>
        <v>1927.5397915224298</v>
      </c>
      <c r="AD175" s="40">
        <f t="shared" si="146"/>
        <v>1263.745157891891</v>
      </c>
      <c r="AE175" s="40">
        <f t="shared" si="146"/>
        <v>1894.8827101393445</v>
      </c>
      <c r="AF175" s="40">
        <f t="shared" si="146"/>
        <v>0</v>
      </c>
      <c r="AG175" s="40">
        <f t="shared" si="146"/>
        <v>1157.6183572458524</v>
      </c>
      <c r="AH175" s="40">
        <f t="shared" si="147"/>
        <v>12528.746523245865</v>
      </c>
      <c r="AI175" s="171"/>
      <c r="AJ175" s="50">
        <v>0.05</v>
      </c>
      <c r="AK175" s="40">
        <f t="shared" si="148"/>
        <v>1327.2746400000001</v>
      </c>
      <c r="AL175" s="40">
        <f t="shared" si="148"/>
        <v>1397.9060999999999</v>
      </c>
      <c r="AM175" s="40">
        <f t="shared" si="148"/>
        <v>0</v>
      </c>
      <c r="AN175" s="40">
        <f t="shared" si="148"/>
        <v>1346.8631554003427</v>
      </c>
      <c r="AO175" s="40">
        <f t="shared" si="148"/>
        <v>1300.2932950692248</v>
      </c>
      <c r="AP175" s="40">
        <f t="shared" si="148"/>
        <v>1032.3661809053976</v>
      </c>
      <c r="AQ175" s="40">
        <f t="shared" si="148"/>
        <v>383.05397558709018</v>
      </c>
      <c r="AR175" s="40">
        <f t="shared" si="148"/>
        <v>2081.7429748442241</v>
      </c>
      <c r="AS175" s="40">
        <f t="shared" si="148"/>
        <v>1364.8447705232425</v>
      </c>
      <c r="AT175" s="40">
        <f t="shared" si="148"/>
        <v>2046.473326950492</v>
      </c>
      <c r="AU175" s="40">
        <f t="shared" si="148"/>
        <v>0</v>
      </c>
      <c r="AV175" s="40">
        <f t="shared" si="148"/>
        <v>1250.2278258255208</v>
      </c>
      <c r="AW175" s="40">
        <f t="shared" si="149"/>
        <v>13531.046245105535</v>
      </c>
      <c r="AX175" s="171"/>
    </row>
    <row r="176" spans="1:50" outlineLevel="1">
      <c r="A176" s="13" t="s">
        <v>346</v>
      </c>
      <c r="B176" s="13" t="s">
        <v>73</v>
      </c>
      <c r="C176" s="13" t="str">
        <f t="shared" si="143"/>
        <v>CE</v>
      </c>
      <c r="D176" s="13" t="s">
        <v>166</v>
      </c>
      <c r="E176" s="139"/>
      <c r="F176" s="40">
        <f t="shared" si="144"/>
        <v>0</v>
      </c>
      <c r="G176" s="40">
        <f t="shared" si="144"/>
        <v>0</v>
      </c>
      <c r="H176" s="40">
        <f t="shared" si="144"/>
        <v>0</v>
      </c>
      <c r="I176" s="40">
        <f t="shared" si="144"/>
        <v>0</v>
      </c>
      <c r="J176" s="40">
        <f t="shared" si="144"/>
        <v>0</v>
      </c>
      <c r="K176" s="40">
        <f t="shared" si="144"/>
        <v>0</v>
      </c>
      <c r="L176" s="40">
        <f t="shared" si="144"/>
        <v>0</v>
      </c>
      <c r="M176" s="40">
        <f t="shared" si="144"/>
        <v>0</v>
      </c>
      <c r="N176" s="40">
        <f t="shared" si="144"/>
        <v>0</v>
      </c>
      <c r="O176" s="40">
        <f t="shared" si="144"/>
        <v>0</v>
      </c>
      <c r="P176" s="40">
        <f t="shared" si="144"/>
        <v>0</v>
      </c>
      <c r="Q176" s="40">
        <f t="shared" si="144"/>
        <v>0</v>
      </c>
      <c r="R176" s="40">
        <f t="shared" si="145"/>
        <v>0</v>
      </c>
      <c r="U176" s="50">
        <v>0.05</v>
      </c>
      <c r="V176" s="40">
        <f t="shared" si="146"/>
        <v>0</v>
      </c>
      <c r="W176" s="40">
        <f t="shared" si="146"/>
        <v>0</v>
      </c>
      <c r="X176" s="40">
        <f t="shared" si="146"/>
        <v>0</v>
      </c>
      <c r="Y176" s="40">
        <f t="shared" si="146"/>
        <v>3200</v>
      </c>
      <c r="Z176" s="40">
        <f t="shared" si="146"/>
        <v>1061.1353711790393</v>
      </c>
      <c r="AA176" s="40">
        <f t="shared" si="146"/>
        <v>530.56768558951967</v>
      </c>
      <c r="AB176" s="40">
        <f t="shared" si="146"/>
        <v>707.42358078602626</v>
      </c>
      <c r="AC176" s="40">
        <f t="shared" si="146"/>
        <v>753.71179039301001</v>
      </c>
      <c r="AD176" s="40">
        <f t="shared" si="146"/>
        <v>707.42358078602626</v>
      </c>
      <c r="AE176" s="40">
        <f t="shared" si="146"/>
        <v>1061.1353711790393</v>
      </c>
      <c r="AF176" s="40">
        <f t="shared" si="146"/>
        <v>707.42358078602626</v>
      </c>
      <c r="AG176" s="40">
        <f t="shared" si="146"/>
        <v>707.42358078602626</v>
      </c>
      <c r="AH176" s="40">
        <f t="shared" si="147"/>
        <v>9436.2445414847134</v>
      </c>
      <c r="AI176" s="171"/>
      <c r="AJ176" s="50">
        <v>0.05</v>
      </c>
      <c r="AK176" s="40">
        <f t="shared" si="148"/>
        <v>0</v>
      </c>
      <c r="AL176" s="40">
        <f t="shared" si="148"/>
        <v>0</v>
      </c>
      <c r="AM176" s="40">
        <f t="shared" si="148"/>
        <v>0</v>
      </c>
      <c r="AN176" s="40">
        <f t="shared" si="148"/>
        <v>3360</v>
      </c>
      <c r="AO176" s="40">
        <f t="shared" si="148"/>
        <v>1114.1921397379913</v>
      </c>
      <c r="AP176" s="40">
        <f t="shared" si="148"/>
        <v>557.09606986899564</v>
      </c>
      <c r="AQ176" s="40">
        <f t="shared" si="148"/>
        <v>742.79475982532756</v>
      </c>
      <c r="AR176" s="40">
        <f t="shared" si="148"/>
        <v>791.39737991266054</v>
      </c>
      <c r="AS176" s="40">
        <f t="shared" si="148"/>
        <v>742.79475982532756</v>
      </c>
      <c r="AT176" s="40">
        <f t="shared" si="148"/>
        <v>1114.1921397379913</v>
      </c>
      <c r="AU176" s="40">
        <f t="shared" si="148"/>
        <v>742.79475982532756</v>
      </c>
      <c r="AV176" s="40">
        <f t="shared" si="148"/>
        <v>742.79475982532756</v>
      </c>
      <c r="AW176" s="40">
        <f t="shared" si="149"/>
        <v>9908.0567685589485</v>
      </c>
      <c r="AX176" s="171"/>
    </row>
    <row r="177" spans="1:50" outlineLevel="1">
      <c r="A177" s="13" t="s">
        <v>413</v>
      </c>
      <c r="B177" s="13" t="s">
        <v>65</v>
      </c>
      <c r="C177" s="13" t="s">
        <v>65</v>
      </c>
      <c r="D177" s="13" t="s">
        <v>166</v>
      </c>
      <c r="E177" s="139"/>
      <c r="F177" s="40">
        <f t="shared" si="144"/>
        <v>0</v>
      </c>
      <c r="G177" s="40">
        <f t="shared" si="144"/>
        <v>0</v>
      </c>
      <c r="H177" s="40">
        <f t="shared" si="144"/>
        <v>0</v>
      </c>
      <c r="I177" s="40">
        <f t="shared" si="144"/>
        <v>0</v>
      </c>
      <c r="J177" s="40">
        <f t="shared" si="144"/>
        <v>0</v>
      </c>
      <c r="K177" s="40">
        <f t="shared" si="144"/>
        <v>0</v>
      </c>
      <c r="L177" s="40">
        <f t="shared" si="144"/>
        <v>0</v>
      </c>
      <c r="M177" s="40">
        <f t="shared" si="144"/>
        <v>0</v>
      </c>
      <c r="N177" s="40">
        <f t="shared" si="144"/>
        <v>0</v>
      </c>
      <c r="O177" s="40">
        <f t="shared" si="144"/>
        <v>0</v>
      </c>
      <c r="P177" s="40">
        <f t="shared" si="144"/>
        <v>0</v>
      </c>
      <c r="Q177" s="40">
        <f t="shared" si="144"/>
        <v>0</v>
      </c>
      <c r="R177" s="40">
        <f t="shared" si="145"/>
        <v>0</v>
      </c>
      <c r="U177" s="50">
        <v>0.05</v>
      </c>
      <c r="V177" s="40">
        <f t="shared" si="146"/>
        <v>0</v>
      </c>
      <c r="W177" s="40">
        <f t="shared" si="146"/>
        <v>12375</v>
      </c>
      <c r="X177" s="40">
        <f t="shared" si="146"/>
        <v>2700</v>
      </c>
      <c r="Y177" s="40">
        <f t="shared" si="146"/>
        <v>1800</v>
      </c>
      <c r="Z177" s="40">
        <f t="shared" si="146"/>
        <v>2025</v>
      </c>
      <c r="AA177" s="40">
        <f t="shared" si="146"/>
        <v>1350</v>
      </c>
      <c r="AB177" s="40">
        <f t="shared" si="146"/>
        <v>1125</v>
      </c>
      <c r="AC177" s="40">
        <f t="shared" si="146"/>
        <v>1350</v>
      </c>
      <c r="AD177" s="40">
        <f t="shared" si="146"/>
        <v>900</v>
      </c>
      <c r="AE177" s="40">
        <f t="shared" si="146"/>
        <v>1800</v>
      </c>
      <c r="AF177" s="40">
        <f t="shared" si="146"/>
        <v>900</v>
      </c>
      <c r="AG177" s="40">
        <f t="shared" si="146"/>
        <v>900</v>
      </c>
      <c r="AH177" s="40">
        <f t="shared" si="147"/>
        <v>27225</v>
      </c>
      <c r="AI177" s="171"/>
      <c r="AJ177" s="50">
        <v>0.05</v>
      </c>
      <c r="AK177" s="40">
        <f t="shared" si="148"/>
        <v>1890</v>
      </c>
      <c r="AL177" s="40">
        <f t="shared" si="148"/>
        <v>2835</v>
      </c>
      <c r="AM177" s="40">
        <f t="shared" si="148"/>
        <v>2835</v>
      </c>
      <c r="AN177" s="40">
        <f t="shared" si="148"/>
        <v>1890</v>
      </c>
      <c r="AO177" s="40">
        <f t="shared" si="148"/>
        <v>2126.25</v>
      </c>
      <c r="AP177" s="40">
        <f t="shared" si="148"/>
        <v>1417.5</v>
      </c>
      <c r="AQ177" s="40">
        <f t="shared" si="148"/>
        <v>1181.25</v>
      </c>
      <c r="AR177" s="40">
        <f t="shared" si="148"/>
        <v>1417.5</v>
      </c>
      <c r="AS177" s="40">
        <f t="shared" si="148"/>
        <v>945</v>
      </c>
      <c r="AT177" s="40">
        <f t="shared" si="148"/>
        <v>1890</v>
      </c>
      <c r="AU177" s="40">
        <f t="shared" si="148"/>
        <v>945</v>
      </c>
      <c r="AV177" s="40">
        <f t="shared" si="148"/>
        <v>945</v>
      </c>
      <c r="AW177" s="40">
        <f t="shared" si="149"/>
        <v>20317.5</v>
      </c>
      <c r="AX177" s="171"/>
    </row>
    <row r="178" spans="1:50" outlineLevel="1">
      <c r="A178" s="37" t="s">
        <v>326</v>
      </c>
      <c r="B178" s="13" t="s">
        <v>71</v>
      </c>
      <c r="C178" s="13" t="s">
        <v>66</v>
      </c>
      <c r="D178" s="13" t="s">
        <v>166</v>
      </c>
      <c r="E178" s="139"/>
      <c r="F178" s="40">
        <f t="shared" si="144"/>
        <v>0</v>
      </c>
      <c r="G178" s="40">
        <f t="shared" si="144"/>
        <v>0</v>
      </c>
      <c r="H178" s="40">
        <f t="shared" si="144"/>
        <v>0</v>
      </c>
      <c r="I178" s="40">
        <f t="shared" si="144"/>
        <v>0</v>
      </c>
      <c r="J178" s="40">
        <f t="shared" si="144"/>
        <v>0</v>
      </c>
      <c r="K178" s="40">
        <f t="shared" si="144"/>
        <v>0</v>
      </c>
      <c r="L178" s="40">
        <f t="shared" si="144"/>
        <v>0</v>
      </c>
      <c r="M178" s="40">
        <f t="shared" si="144"/>
        <v>0</v>
      </c>
      <c r="N178" s="40">
        <f t="shared" si="144"/>
        <v>0</v>
      </c>
      <c r="O178" s="40">
        <f t="shared" si="144"/>
        <v>0</v>
      </c>
      <c r="P178" s="40">
        <f t="shared" si="144"/>
        <v>0</v>
      </c>
      <c r="Q178" s="40">
        <f t="shared" si="144"/>
        <v>0</v>
      </c>
      <c r="R178" s="40">
        <f t="shared" si="145"/>
        <v>0</v>
      </c>
      <c r="U178" s="50">
        <v>0.05</v>
      </c>
      <c r="V178" s="40">
        <f t="shared" si="146"/>
        <v>250</v>
      </c>
      <c r="W178" s="40">
        <f t="shared" si="146"/>
        <v>750</v>
      </c>
      <c r="X178" s="40">
        <f t="shared" si="146"/>
        <v>250</v>
      </c>
      <c r="Y178" s="40">
        <f t="shared" si="146"/>
        <v>370</v>
      </c>
      <c r="Z178" s="40">
        <f t="shared" si="146"/>
        <v>750</v>
      </c>
      <c r="AA178" s="40">
        <f t="shared" si="146"/>
        <v>250</v>
      </c>
      <c r="AB178" s="40">
        <f t="shared" si="146"/>
        <v>370</v>
      </c>
      <c r="AC178" s="40">
        <f t="shared" si="146"/>
        <v>750</v>
      </c>
      <c r="AD178" s="40">
        <f t="shared" si="146"/>
        <v>250</v>
      </c>
      <c r="AE178" s="40">
        <f t="shared" si="146"/>
        <v>750</v>
      </c>
      <c r="AF178" s="40">
        <f t="shared" si="146"/>
        <v>500</v>
      </c>
      <c r="AG178" s="40">
        <f t="shared" si="146"/>
        <v>500</v>
      </c>
      <c r="AH178" s="40">
        <f t="shared" si="147"/>
        <v>5740</v>
      </c>
      <c r="AI178" s="171"/>
      <c r="AJ178" s="50">
        <v>0.05</v>
      </c>
      <c r="AK178" s="40">
        <f t="shared" si="148"/>
        <v>262.5</v>
      </c>
      <c r="AL178" s="40">
        <f t="shared" si="148"/>
        <v>787.5</v>
      </c>
      <c r="AM178" s="40">
        <f t="shared" si="148"/>
        <v>262.5</v>
      </c>
      <c r="AN178" s="40">
        <f t="shared" si="148"/>
        <v>388.5</v>
      </c>
      <c r="AO178" s="40">
        <f t="shared" si="148"/>
        <v>787.5</v>
      </c>
      <c r="AP178" s="40">
        <f t="shared" si="148"/>
        <v>262.5</v>
      </c>
      <c r="AQ178" s="40">
        <f t="shared" si="148"/>
        <v>388.5</v>
      </c>
      <c r="AR178" s="40">
        <f t="shared" si="148"/>
        <v>787.5</v>
      </c>
      <c r="AS178" s="40">
        <f t="shared" si="148"/>
        <v>262.5</v>
      </c>
      <c r="AT178" s="40">
        <f t="shared" si="148"/>
        <v>787.5</v>
      </c>
      <c r="AU178" s="40">
        <f t="shared" si="148"/>
        <v>525</v>
      </c>
      <c r="AV178" s="40">
        <f t="shared" si="148"/>
        <v>525</v>
      </c>
      <c r="AW178" s="40">
        <f t="shared" si="149"/>
        <v>6027</v>
      </c>
      <c r="AX178" s="171"/>
    </row>
    <row r="179" spans="1:50" outlineLevel="1">
      <c r="A179" s="37" t="s">
        <v>228</v>
      </c>
      <c r="B179" s="13" t="s">
        <v>67</v>
      </c>
      <c r="C179" s="13" t="s">
        <v>67</v>
      </c>
      <c r="D179" s="13" t="s">
        <v>166</v>
      </c>
      <c r="E179" s="139"/>
      <c r="F179" s="40">
        <f t="shared" si="144"/>
        <v>0</v>
      </c>
      <c r="G179" s="40">
        <f t="shared" si="144"/>
        <v>0</v>
      </c>
      <c r="H179" s="40">
        <f t="shared" si="144"/>
        <v>0</v>
      </c>
      <c r="I179" s="40">
        <f t="shared" si="144"/>
        <v>0</v>
      </c>
      <c r="J179" s="40">
        <f t="shared" si="144"/>
        <v>0</v>
      </c>
      <c r="K179" s="40">
        <f t="shared" si="144"/>
        <v>0</v>
      </c>
      <c r="L179" s="40">
        <f t="shared" si="144"/>
        <v>0</v>
      </c>
      <c r="M179" s="40">
        <f t="shared" si="144"/>
        <v>0</v>
      </c>
      <c r="N179" s="40">
        <f t="shared" si="144"/>
        <v>0</v>
      </c>
      <c r="O179" s="40">
        <f t="shared" si="144"/>
        <v>0</v>
      </c>
      <c r="P179" s="40">
        <f t="shared" si="144"/>
        <v>0</v>
      </c>
      <c r="Q179" s="40">
        <f t="shared" si="144"/>
        <v>0</v>
      </c>
      <c r="R179" s="40">
        <f t="shared" ref="R179:R189" si="150">SUM(F179:Q179)</f>
        <v>0</v>
      </c>
      <c r="U179" s="50">
        <v>0.15</v>
      </c>
      <c r="V179" s="40">
        <f t="shared" si="146"/>
        <v>0</v>
      </c>
      <c r="W179" s="40">
        <f t="shared" si="146"/>
        <v>0</v>
      </c>
      <c r="X179" s="40">
        <f t="shared" si="146"/>
        <v>0</v>
      </c>
      <c r="Y179" s="40">
        <f t="shared" si="146"/>
        <v>7500</v>
      </c>
      <c r="Z179" s="40">
        <f t="shared" si="146"/>
        <v>0</v>
      </c>
      <c r="AA179" s="40">
        <f t="shared" si="146"/>
        <v>0</v>
      </c>
      <c r="AB179" s="40">
        <f t="shared" si="146"/>
        <v>0</v>
      </c>
      <c r="AC179" s="40">
        <f t="shared" si="146"/>
        <v>0</v>
      </c>
      <c r="AD179" s="40">
        <f t="shared" si="146"/>
        <v>6000</v>
      </c>
      <c r="AE179" s="40">
        <f t="shared" si="146"/>
        <v>0</v>
      </c>
      <c r="AF179" s="40">
        <f t="shared" si="146"/>
        <v>0</v>
      </c>
      <c r="AG179" s="40">
        <f t="shared" si="146"/>
        <v>0</v>
      </c>
      <c r="AH179" s="40">
        <f t="shared" ref="AH179:AH189" si="151">SUM(V179:AG179)</f>
        <v>13500</v>
      </c>
      <c r="AI179" s="171"/>
      <c r="AJ179" s="50">
        <v>0.1</v>
      </c>
      <c r="AK179" s="40">
        <f t="shared" si="148"/>
        <v>0</v>
      </c>
      <c r="AL179" s="40">
        <f t="shared" si="148"/>
        <v>0</v>
      </c>
      <c r="AM179" s="40">
        <f t="shared" si="148"/>
        <v>0</v>
      </c>
      <c r="AN179" s="40">
        <f t="shared" si="148"/>
        <v>4000</v>
      </c>
      <c r="AO179" s="40">
        <f t="shared" si="148"/>
        <v>0</v>
      </c>
      <c r="AP179" s="40">
        <f t="shared" si="148"/>
        <v>0</v>
      </c>
      <c r="AQ179" s="40">
        <f t="shared" si="148"/>
        <v>0</v>
      </c>
      <c r="AR179" s="40">
        <f t="shared" si="148"/>
        <v>0</v>
      </c>
      <c r="AS179" s="40">
        <f t="shared" si="148"/>
        <v>2000</v>
      </c>
      <c r="AT179" s="40">
        <f t="shared" si="148"/>
        <v>0</v>
      </c>
      <c r="AU179" s="40">
        <f t="shared" si="148"/>
        <v>0</v>
      </c>
      <c r="AV179" s="40">
        <f t="shared" si="148"/>
        <v>0</v>
      </c>
      <c r="AW179" s="40">
        <f t="shared" ref="AW179:AW189" si="152">SUM(AK179:AV179)</f>
        <v>6000</v>
      </c>
      <c r="AX179" s="171"/>
    </row>
    <row r="180" spans="1:50" outlineLevel="1">
      <c r="A180" s="37" t="s">
        <v>237</v>
      </c>
      <c r="B180" s="13" t="s">
        <v>67</v>
      </c>
      <c r="C180" s="13" t="s">
        <v>67</v>
      </c>
      <c r="D180" s="13" t="s">
        <v>166</v>
      </c>
      <c r="E180" s="139"/>
      <c r="F180" s="40">
        <f t="shared" si="144"/>
        <v>0</v>
      </c>
      <c r="G180" s="40">
        <f t="shared" si="144"/>
        <v>0</v>
      </c>
      <c r="H180" s="40">
        <f t="shared" si="144"/>
        <v>0</v>
      </c>
      <c r="I180" s="40">
        <f t="shared" si="144"/>
        <v>0</v>
      </c>
      <c r="J180" s="40">
        <f t="shared" si="144"/>
        <v>0</v>
      </c>
      <c r="K180" s="40">
        <f t="shared" si="144"/>
        <v>0</v>
      </c>
      <c r="L180" s="40">
        <f t="shared" si="144"/>
        <v>0</v>
      </c>
      <c r="M180" s="40">
        <f t="shared" si="144"/>
        <v>0</v>
      </c>
      <c r="N180" s="40">
        <f t="shared" si="144"/>
        <v>0</v>
      </c>
      <c r="O180" s="40">
        <f t="shared" si="144"/>
        <v>0</v>
      </c>
      <c r="P180" s="40">
        <f t="shared" si="144"/>
        <v>0</v>
      </c>
      <c r="Q180" s="40">
        <f t="shared" si="144"/>
        <v>0</v>
      </c>
      <c r="R180" s="40">
        <f t="shared" si="150"/>
        <v>0</v>
      </c>
      <c r="U180" s="50">
        <v>0.15</v>
      </c>
      <c r="V180" s="40">
        <f t="shared" si="146"/>
        <v>0</v>
      </c>
      <c r="W180" s="40">
        <f t="shared" si="146"/>
        <v>0</v>
      </c>
      <c r="X180" s="40">
        <f t="shared" si="146"/>
        <v>0</v>
      </c>
      <c r="Y180" s="40">
        <f t="shared" si="146"/>
        <v>7500</v>
      </c>
      <c r="Z180" s="40">
        <f t="shared" si="146"/>
        <v>0</v>
      </c>
      <c r="AA180" s="40">
        <f t="shared" si="146"/>
        <v>0</v>
      </c>
      <c r="AB180" s="40">
        <f t="shared" si="146"/>
        <v>7500</v>
      </c>
      <c r="AC180" s="40">
        <f t="shared" si="146"/>
        <v>0</v>
      </c>
      <c r="AD180" s="40">
        <f t="shared" si="146"/>
        <v>0</v>
      </c>
      <c r="AE180" s="40">
        <f t="shared" si="146"/>
        <v>0</v>
      </c>
      <c r="AF180" s="40">
        <f t="shared" si="146"/>
        <v>0</v>
      </c>
      <c r="AG180" s="40">
        <f t="shared" si="146"/>
        <v>0</v>
      </c>
      <c r="AH180" s="40">
        <f t="shared" si="151"/>
        <v>15000</v>
      </c>
      <c r="AI180" s="171"/>
      <c r="AJ180" s="50">
        <v>0.1</v>
      </c>
      <c r="AK180" s="40">
        <f t="shared" si="148"/>
        <v>0</v>
      </c>
      <c r="AL180" s="40">
        <f t="shared" si="148"/>
        <v>0</v>
      </c>
      <c r="AM180" s="40">
        <f t="shared" si="148"/>
        <v>0</v>
      </c>
      <c r="AN180" s="40">
        <f t="shared" si="148"/>
        <v>4000</v>
      </c>
      <c r="AO180" s="40">
        <f t="shared" si="148"/>
        <v>0</v>
      </c>
      <c r="AP180" s="40">
        <f t="shared" si="148"/>
        <v>0</v>
      </c>
      <c r="AQ180" s="40">
        <f t="shared" si="148"/>
        <v>4000</v>
      </c>
      <c r="AR180" s="40">
        <f t="shared" si="148"/>
        <v>0</v>
      </c>
      <c r="AS180" s="40">
        <f t="shared" si="148"/>
        <v>0</v>
      </c>
      <c r="AT180" s="40">
        <f t="shared" si="148"/>
        <v>0</v>
      </c>
      <c r="AU180" s="40">
        <f t="shared" si="148"/>
        <v>0</v>
      </c>
      <c r="AV180" s="40">
        <f t="shared" si="148"/>
        <v>0</v>
      </c>
      <c r="AW180" s="40">
        <f t="shared" si="152"/>
        <v>8000</v>
      </c>
      <c r="AX180" s="171"/>
    </row>
    <row r="181" spans="1:50" outlineLevel="1">
      <c r="A181" s="13" t="s">
        <v>416</v>
      </c>
      <c r="B181" s="13" t="s">
        <v>67</v>
      </c>
      <c r="C181" s="13" t="s">
        <v>67</v>
      </c>
      <c r="D181" s="13" t="s">
        <v>166</v>
      </c>
      <c r="E181" s="139"/>
      <c r="F181" s="40">
        <f t="shared" si="144"/>
        <v>0</v>
      </c>
      <c r="G181" s="40">
        <f t="shared" si="144"/>
        <v>0</v>
      </c>
      <c r="H181" s="40">
        <f t="shared" si="144"/>
        <v>0</v>
      </c>
      <c r="I181" s="40">
        <f t="shared" si="144"/>
        <v>0</v>
      </c>
      <c r="J181" s="40">
        <f t="shared" si="144"/>
        <v>0</v>
      </c>
      <c r="K181" s="40">
        <f t="shared" si="144"/>
        <v>0</v>
      </c>
      <c r="L181" s="40">
        <f t="shared" si="144"/>
        <v>0</v>
      </c>
      <c r="M181" s="40">
        <f t="shared" si="144"/>
        <v>0</v>
      </c>
      <c r="N181" s="40">
        <f t="shared" si="144"/>
        <v>0</v>
      </c>
      <c r="O181" s="40">
        <f t="shared" si="144"/>
        <v>0</v>
      </c>
      <c r="P181" s="40">
        <f t="shared" si="144"/>
        <v>0</v>
      </c>
      <c r="Q181" s="40">
        <f t="shared" si="144"/>
        <v>0</v>
      </c>
      <c r="R181" s="40">
        <f t="shared" si="150"/>
        <v>0</v>
      </c>
      <c r="U181" s="50">
        <v>0.03</v>
      </c>
      <c r="V181" s="40">
        <f t="shared" si="146"/>
        <v>0</v>
      </c>
      <c r="W181" s="40">
        <f t="shared" si="146"/>
        <v>0</v>
      </c>
      <c r="X181" s="40">
        <f t="shared" si="146"/>
        <v>0</v>
      </c>
      <c r="Y181" s="40">
        <f t="shared" si="146"/>
        <v>0</v>
      </c>
      <c r="Z181" s="40">
        <f t="shared" si="146"/>
        <v>0</v>
      </c>
      <c r="AA181" s="40">
        <f t="shared" si="146"/>
        <v>0</v>
      </c>
      <c r="AB181" s="40">
        <f t="shared" si="146"/>
        <v>0</v>
      </c>
      <c r="AC181" s="40">
        <f t="shared" si="146"/>
        <v>0</v>
      </c>
      <c r="AD181" s="40">
        <f t="shared" si="146"/>
        <v>0</v>
      </c>
      <c r="AE181" s="40">
        <f t="shared" si="146"/>
        <v>0</v>
      </c>
      <c r="AF181" s="40">
        <f t="shared" si="146"/>
        <v>0</v>
      </c>
      <c r="AG181" s="40">
        <f t="shared" si="146"/>
        <v>0</v>
      </c>
      <c r="AH181" s="40">
        <f t="shared" si="151"/>
        <v>0</v>
      </c>
      <c r="AI181" s="171"/>
      <c r="AJ181" s="50">
        <v>0.05</v>
      </c>
      <c r="AK181" s="40">
        <f t="shared" si="148"/>
        <v>0</v>
      </c>
      <c r="AL181" s="40">
        <f t="shared" si="148"/>
        <v>0</v>
      </c>
      <c r="AM181" s="40">
        <f t="shared" si="148"/>
        <v>0</v>
      </c>
      <c r="AN181" s="40">
        <f t="shared" si="148"/>
        <v>0</v>
      </c>
      <c r="AO181" s="40">
        <f t="shared" si="148"/>
        <v>0</v>
      </c>
      <c r="AP181" s="40">
        <f t="shared" si="148"/>
        <v>0</v>
      </c>
      <c r="AQ181" s="40">
        <f t="shared" si="148"/>
        <v>0</v>
      </c>
      <c r="AR181" s="40">
        <f t="shared" si="148"/>
        <v>0</v>
      </c>
      <c r="AS181" s="40">
        <f t="shared" si="148"/>
        <v>0</v>
      </c>
      <c r="AT181" s="40">
        <f t="shared" si="148"/>
        <v>0</v>
      </c>
      <c r="AU181" s="40">
        <f t="shared" si="148"/>
        <v>0</v>
      </c>
      <c r="AV181" s="40">
        <f t="shared" si="148"/>
        <v>0</v>
      </c>
      <c r="AW181" s="40">
        <f t="shared" si="152"/>
        <v>0</v>
      </c>
      <c r="AX181" s="171"/>
    </row>
    <row r="182" spans="1:50" outlineLevel="1">
      <c r="A182" s="13" t="s">
        <v>241</v>
      </c>
      <c r="B182" s="13" t="s">
        <v>67</v>
      </c>
      <c r="C182" s="13" t="s">
        <v>67</v>
      </c>
      <c r="D182" s="13" t="s">
        <v>166</v>
      </c>
      <c r="E182" s="139"/>
      <c r="F182" s="40">
        <f t="shared" si="144"/>
        <v>0</v>
      </c>
      <c r="G182" s="40">
        <f t="shared" si="144"/>
        <v>0</v>
      </c>
      <c r="H182" s="40">
        <f t="shared" si="144"/>
        <v>0</v>
      </c>
      <c r="I182" s="40">
        <f t="shared" si="144"/>
        <v>0</v>
      </c>
      <c r="J182" s="40">
        <f t="shared" si="144"/>
        <v>0</v>
      </c>
      <c r="K182" s="40">
        <f t="shared" si="144"/>
        <v>0</v>
      </c>
      <c r="L182" s="40">
        <f t="shared" si="144"/>
        <v>0</v>
      </c>
      <c r="M182" s="40">
        <f t="shared" si="144"/>
        <v>0</v>
      </c>
      <c r="N182" s="40">
        <f t="shared" si="144"/>
        <v>0</v>
      </c>
      <c r="O182" s="40">
        <f t="shared" si="144"/>
        <v>0</v>
      </c>
      <c r="P182" s="40">
        <f t="shared" si="144"/>
        <v>0</v>
      </c>
      <c r="Q182" s="40">
        <f t="shared" si="144"/>
        <v>0</v>
      </c>
      <c r="R182" s="40">
        <f t="shared" si="150"/>
        <v>0</v>
      </c>
      <c r="U182" s="50">
        <v>0.05</v>
      </c>
      <c r="V182" s="40">
        <f t="shared" si="146"/>
        <v>0</v>
      </c>
      <c r="W182" s="40">
        <f t="shared" si="146"/>
        <v>1996.3650000000002</v>
      </c>
      <c r="X182" s="40">
        <f t="shared" si="146"/>
        <v>0</v>
      </c>
      <c r="Y182" s="40">
        <f t="shared" si="146"/>
        <v>0</v>
      </c>
      <c r="Z182" s="40">
        <f t="shared" si="146"/>
        <v>0</v>
      </c>
      <c r="AA182" s="40">
        <f t="shared" si="146"/>
        <v>0</v>
      </c>
      <c r="AB182" s="40">
        <f t="shared" si="146"/>
        <v>0</v>
      </c>
      <c r="AC182" s="40">
        <f t="shared" si="146"/>
        <v>1192.5060000000001</v>
      </c>
      <c r="AD182" s="40">
        <f t="shared" si="146"/>
        <v>0</v>
      </c>
      <c r="AE182" s="40">
        <f t="shared" si="146"/>
        <v>0</v>
      </c>
      <c r="AF182" s="40">
        <f t="shared" si="146"/>
        <v>0</v>
      </c>
      <c r="AG182" s="40">
        <f t="shared" si="146"/>
        <v>0</v>
      </c>
      <c r="AH182" s="40">
        <f t="shared" si="151"/>
        <v>3188.8710000000001</v>
      </c>
      <c r="AI182" s="171"/>
      <c r="AJ182" s="50">
        <v>0.05</v>
      </c>
      <c r="AK182" s="40">
        <f t="shared" si="148"/>
        <v>0</v>
      </c>
      <c r="AL182" s="40">
        <f t="shared" si="148"/>
        <v>1000</v>
      </c>
      <c r="AM182" s="40">
        <f t="shared" si="148"/>
        <v>0</v>
      </c>
      <c r="AN182" s="40">
        <f t="shared" si="148"/>
        <v>500</v>
      </c>
      <c r="AO182" s="40">
        <f t="shared" si="148"/>
        <v>0</v>
      </c>
      <c r="AP182" s="40">
        <f t="shared" si="148"/>
        <v>1000</v>
      </c>
      <c r="AQ182" s="40">
        <f t="shared" si="148"/>
        <v>0</v>
      </c>
      <c r="AR182" s="40">
        <f t="shared" si="148"/>
        <v>1252.1313</v>
      </c>
      <c r="AS182" s="40">
        <f t="shared" si="148"/>
        <v>0</v>
      </c>
      <c r="AT182" s="40">
        <f t="shared" si="148"/>
        <v>500</v>
      </c>
      <c r="AU182" s="40">
        <f t="shared" si="148"/>
        <v>0</v>
      </c>
      <c r="AV182" s="40">
        <f t="shared" si="148"/>
        <v>0</v>
      </c>
      <c r="AW182" s="40">
        <f t="shared" si="152"/>
        <v>4252.1313</v>
      </c>
      <c r="AX182" s="171"/>
    </row>
    <row r="183" spans="1:50" outlineLevel="1">
      <c r="A183" s="37" t="s">
        <v>258</v>
      </c>
      <c r="B183" s="13" t="s">
        <v>65</v>
      </c>
      <c r="C183" s="13" t="s">
        <v>65</v>
      </c>
      <c r="D183" s="13" t="s">
        <v>166</v>
      </c>
      <c r="E183" s="139"/>
      <c r="F183" s="40">
        <f t="shared" si="144"/>
        <v>0</v>
      </c>
      <c r="G183" s="40">
        <f t="shared" si="144"/>
        <v>0</v>
      </c>
      <c r="H183" s="40">
        <f t="shared" si="144"/>
        <v>0</v>
      </c>
      <c r="I183" s="40">
        <f t="shared" si="144"/>
        <v>0</v>
      </c>
      <c r="J183" s="40">
        <f t="shared" si="144"/>
        <v>0</v>
      </c>
      <c r="K183" s="40">
        <f t="shared" si="144"/>
        <v>0</v>
      </c>
      <c r="L183" s="40">
        <f t="shared" si="144"/>
        <v>0</v>
      </c>
      <c r="M183" s="40">
        <f t="shared" si="144"/>
        <v>0</v>
      </c>
      <c r="N183" s="40">
        <f t="shared" si="144"/>
        <v>0</v>
      </c>
      <c r="O183" s="40">
        <f t="shared" si="144"/>
        <v>0</v>
      </c>
      <c r="P183" s="40">
        <f t="shared" si="144"/>
        <v>0</v>
      </c>
      <c r="Q183" s="40">
        <f t="shared" si="144"/>
        <v>0</v>
      </c>
      <c r="R183" s="40">
        <f t="shared" si="150"/>
        <v>0</v>
      </c>
      <c r="U183" s="50">
        <v>2.5000000000000001E-2</v>
      </c>
      <c r="V183" s="40">
        <f t="shared" si="146"/>
        <v>25</v>
      </c>
      <c r="W183" s="40">
        <f t="shared" si="146"/>
        <v>25</v>
      </c>
      <c r="X183" s="40">
        <f t="shared" si="146"/>
        <v>62.5</v>
      </c>
      <c r="Y183" s="40">
        <f t="shared" si="146"/>
        <v>25</v>
      </c>
      <c r="Z183" s="40">
        <f t="shared" si="146"/>
        <v>25</v>
      </c>
      <c r="AA183" s="40">
        <f t="shared" si="146"/>
        <v>62.5</v>
      </c>
      <c r="AB183" s="40">
        <f t="shared" si="146"/>
        <v>25</v>
      </c>
      <c r="AC183" s="40">
        <f t="shared" si="146"/>
        <v>25</v>
      </c>
      <c r="AD183" s="40">
        <f t="shared" si="146"/>
        <v>62.5</v>
      </c>
      <c r="AE183" s="40">
        <f t="shared" si="146"/>
        <v>25</v>
      </c>
      <c r="AF183" s="40">
        <f t="shared" si="146"/>
        <v>25</v>
      </c>
      <c r="AG183" s="40">
        <f t="shared" si="146"/>
        <v>25</v>
      </c>
      <c r="AH183" s="40">
        <f t="shared" si="151"/>
        <v>412.5</v>
      </c>
      <c r="AI183" s="171"/>
      <c r="AJ183" s="50">
        <v>2.5000000000000001E-2</v>
      </c>
      <c r="AK183" s="40">
        <f t="shared" si="148"/>
        <v>26.25</v>
      </c>
      <c r="AL183" s="40">
        <f t="shared" si="148"/>
        <v>26.25</v>
      </c>
      <c r="AM183" s="40">
        <f t="shared" si="148"/>
        <v>65.625</v>
      </c>
      <c r="AN183" s="40">
        <f t="shared" si="148"/>
        <v>26.25</v>
      </c>
      <c r="AO183" s="40">
        <f t="shared" si="148"/>
        <v>26.25</v>
      </c>
      <c r="AP183" s="40">
        <f t="shared" si="148"/>
        <v>65.625</v>
      </c>
      <c r="AQ183" s="40">
        <f t="shared" si="148"/>
        <v>26.25</v>
      </c>
      <c r="AR183" s="40">
        <f t="shared" si="148"/>
        <v>26.25</v>
      </c>
      <c r="AS183" s="40">
        <f t="shared" si="148"/>
        <v>65.625</v>
      </c>
      <c r="AT183" s="40">
        <f t="shared" si="148"/>
        <v>26.25</v>
      </c>
      <c r="AU183" s="40">
        <f t="shared" si="148"/>
        <v>26.25</v>
      </c>
      <c r="AV183" s="40">
        <f t="shared" si="148"/>
        <v>26.25</v>
      </c>
      <c r="AW183" s="40">
        <f t="shared" si="152"/>
        <v>433.125</v>
      </c>
      <c r="AX183" s="171"/>
    </row>
    <row r="184" spans="1:50" outlineLevel="1">
      <c r="A184" s="37" t="s">
        <v>266</v>
      </c>
      <c r="B184" s="13" t="s">
        <v>67</v>
      </c>
      <c r="C184" s="13" t="s">
        <v>67</v>
      </c>
      <c r="D184" s="13" t="s">
        <v>166</v>
      </c>
      <c r="E184" s="139"/>
      <c r="F184" s="40">
        <f t="shared" si="144"/>
        <v>0</v>
      </c>
      <c r="G184" s="40">
        <f t="shared" si="144"/>
        <v>0</v>
      </c>
      <c r="H184" s="40">
        <f t="shared" si="144"/>
        <v>0</v>
      </c>
      <c r="I184" s="40">
        <f t="shared" si="144"/>
        <v>0</v>
      </c>
      <c r="J184" s="40">
        <f t="shared" si="144"/>
        <v>0</v>
      </c>
      <c r="K184" s="40">
        <f t="shared" si="144"/>
        <v>0</v>
      </c>
      <c r="L184" s="40">
        <f t="shared" si="144"/>
        <v>0</v>
      </c>
      <c r="M184" s="40">
        <f t="shared" si="144"/>
        <v>0</v>
      </c>
      <c r="N184" s="40">
        <f t="shared" si="144"/>
        <v>0</v>
      </c>
      <c r="O184" s="40">
        <f t="shared" si="144"/>
        <v>0</v>
      </c>
      <c r="P184" s="40">
        <f t="shared" si="144"/>
        <v>0</v>
      </c>
      <c r="Q184" s="40">
        <f t="shared" si="144"/>
        <v>0</v>
      </c>
      <c r="R184" s="40">
        <f t="shared" si="150"/>
        <v>0</v>
      </c>
      <c r="U184" s="50">
        <v>0.05</v>
      </c>
      <c r="V184" s="40">
        <f t="shared" si="146"/>
        <v>0</v>
      </c>
      <c r="W184" s="40">
        <f t="shared" si="146"/>
        <v>0</v>
      </c>
      <c r="X184" s="40">
        <f t="shared" si="146"/>
        <v>2500</v>
      </c>
      <c r="Y184" s="40">
        <f t="shared" si="146"/>
        <v>0</v>
      </c>
      <c r="Z184" s="40">
        <f t="shared" si="146"/>
        <v>2500</v>
      </c>
      <c r="AA184" s="40">
        <f t="shared" si="146"/>
        <v>0</v>
      </c>
      <c r="AB184" s="40">
        <f t="shared" si="146"/>
        <v>0</v>
      </c>
      <c r="AC184" s="40">
        <f t="shared" si="146"/>
        <v>0</v>
      </c>
      <c r="AD184" s="40">
        <f t="shared" si="146"/>
        <v>0</v>
      </c>
      <c r="AE184" s="40">
        <f t="shared" si="146"/>
        <v>0</v>
      </c>
      <c r="AF184" s="40">
        <f t="shared" si="146"/>
        <v>0</v>
      </c>
      <c r="AG184" s="40">
        <f t="shared" si="146"/>
        <v>0</v>
      </c>
      <c r="AH184" s="40">
        <f t="shared" si="151"/>
        <v>5000</v>
      </c>
      <c r="AI184" s="171"/>
      <c r="AJ184" s="50">
        <v>0.05</v>
      </c>
      <c r="AK184" s="40">
        <f t="shared" si="148"/>
        <v>0</v>
      </c>
      <c r="AL184" s="40">
        <f t="shared" si="148"/>
        <v>0</v>
      </c>
      <c r="AM184" s="40">
        <f t="shared" si="148"/>
        <v>2625</v>
      </c>
      <c r="AN184" s="40">
        <f t="shared" si="148"/>
        <v>0</v>
      </c>
      <c r="AO184" s="40">
        <f t="shared" si="148"/>
        <v>2625</v>
      </c>
      <c r="AP184" s="40">
        <f t="shared" si="148"/>
        <v>0</v>
      </c>
      <c r="AQ184" s="40">
        <f t="shared" si="148"/>
        <v>0</v>
      </c>
      <c r="AR184" s="40">
        <f t="shared" si="148"/>
        <v>2500</v>
      </c>
      <c r="AS184" s="40">
        <f t="shared" si="148"/>
        <v>0</v>
      </c>
      <c r="AT184" s="40">
        <f t="shared" si="148"/>
        <v>0</v>
      </c>
      <c r="AU184" s="40">
        <f t="shared" si="148"/>
        <v>0</v>
      </c>
      <c r="AV184" s="40">
        <f t="shared" si="148"/>
        <v>0</v>
      </c>
      <c r="AW184" s="40">
        <f t="shared" si="152"/>
        <v>7750</v>
      </c>
      <c r="AX184" s="171"/>
    </row>
    <row r="185" spans="1:50" outlineLevel="1">
      <c r="A185" s="37" t="s">
        <v>293</v>
      </c>
      <c r="B185" s="13" t="s">
        <v>66</v>
      </c>
      <c r="C185" s="13" t="s">
        <v>66</v>
      </c>
      <c r="D185" s="13" t="s">
        <v>166</v>
      </c>
      <c r="E185" s="139"/>
      <c r="F185" s="40">
        <f t="shared" si="144"/>
        <v>0</v>
      </c>
      <c r="G185" s="40">
        <f t="shared" si="144"/>
        <v>0</v>
      </c>
      <c r="H185" s="40">
        <f t="shared" si="144"/>
        <v>0</v>
      </c>
      <c r="I185" s="40">
        <f t="shared" ref="F185:Q190" si="153">SUMIF($A$6:$A$113,$A185,I$6:I$113)*$E185</f>
        <v>0</v>
      </c>
      <c r="J185" s="40">
        <f t="shared" si="153"/>
        <v>0</v>
      </c>
      <c r="K185" s="40">
        <f t="shared" si="153"/>
        <v>0</v>
      </c>
      <c r="L185" s="40">
        <f t="shared" si="153"/>
        <v>0</v>
      </c>
      <c r="M185" s="40">
        <f t="shared" si="153"/>
        <v>0</v>
      </c>
      <c r="N185" s="40">
        <f t="shared" si="153"/>
        <v>0</v>
      </c>
      <c r="O185" s="40">
        <f t="shared" si="153"/>
        <v>0</v>
      </c>
      <c r="P185" s="40">
        <f t="shared" si="153"/>
        <v>0</v>
      </c>
      <c r="Q185" s="40">
        <f t="shared" si="153"/>
        <v>0</v>
      </c>
      <c r="R185" s="40">
        <f t="shared" si="150"/>
        <v>0</v>
      </c>
      <c r="U185" s="50">
        <v>0.05</v>
      </c>
      <c r="V185" s="40">
        <f t="shared" si="146"/>
        <v>200</v>
      </c>
      <c r="W185" s="40">
        <f t="shared" si="146"/>
        <v>200</v>
      </c>
      <c r="X185" s="40">
        <f t="shared" si="146"/>
        <v>200</v>
      </c>
      <c r="Y185" s="40">
        <f t="shared" ref="V185:AG190" si="154">SUMIF($A$6:$A$113,$A185,Y$6:Y$113)*$U185</f>
        <v>200</v>
      </c>
      <c r="Z185" s="40">
        <f t="shared" si="154"/>
        <v>200</v>
      </c>
      <c r="AA185" s="40">
        <f t="shared" si="154"/>
        <v>200</v>
      </c>
      <c r="AB185" s="40">
        <f t="shared" si="154"/>
        <v>200</v>
      </c>
      <c r="AC185" s="40">
        <f t="shared" si="154"/>
        <v>275</v>
      </c>
      <c r="AD185" s="40">
        <f t="shared" si="154"/>
        <v>275</v>
      </c>
      <c r="AE185" s="40">
        <f t="shared" si="154"/>
        <v>275</v>
      </c>
      <c r="AF185" s="40">
        <f t="shared" si="154"/>
        <v>200</v>
      </c>
      <c r="AG185" s="40">
        <f t="shared" si="154"/>
        <v>200</v>
      </c>
      <c r="AH185" s="40">
        <f t="shared" si="151"/>
        <v>2625</v>
      </c>
      <c r="AI185" s="171"/>
      <c r="AJ185" s="50">
        <v>0.05</v>
      </c>
      <c r="AK185" s="40">
        <f t="shared" si="148"/>
        <v>210</v>
      </c>
      <c r="AL185" s="40">
        <f t="shared" si="148"/>
        <v>210</v>
      </c>
      <c r="AM185" s="40">
        <f t="shared" si="148"/>
        <v>210</v>
      </c>
      <c r="AN185" s="40">
        <f t="shared" ref="AK185:AV190" si="155">SUMIF($A$6:$A$113,$A185,AN$6:AN$113)*$AJ185</f>
        <v>210</v>
      </c>
      <c r="AO185" s="40">
        <f t="shared" si="155"/>
        <v>210</v>
      </c>
      <c r="AP185" s="40">
        <f t="shared" si="155"/>
        <v>210</v>
      </c>
      <c r="AQ185" s="40">
        <f t="shared" si="155"/>
        <v>210</v>
      </c>
      <c r="AR185" s="40">
        <f t="shared" si="155"/>
        <v>288.75</v>
      </c>
      <c r="AS185" s="40">
        <f t="shared" si="155"/>
        <v>288.75</v>
      </c>
      <c r="AT185" s="40">
        <f t="shared" si="155"/>
        <v>288.75</v>
      </c>
      <c r="AU185" s="40">
        <f t="shared" si="155"/>
        <v>210</v>
      </c>
      <c r="AV185" s="40">
        <f t="shared" si="155"/>
        <v>210</v>
      </c>
      <c r="AW185" s="40">
        <f t="shared" si="152"/>
        <v>2756.25</v>
      </c>
      <c r="AX185" s="171"/>
    </row>
    <row r="186" spans="1:50" outlineLevel="1">
      <c r="A186" s="13" t="s">
        <v>419</v>
      </c>
      <c r="B186" s="13" t="s">
        <v>67</v>
      </c>
      <c r="C186" s="13" t="s">
        <v>67</v>
      </c>
      <c r="D186" s="13" t="s">
        <v>166</v>
      </c>
      <c r="E186" s="139"/>
      <c r="F186" s="40">
        <f t="shared" si="153"/>
        <v>0</v>
      </c>
      <c r="G186" s="40">
        <f t="shared" si="153"/>
        <v>0</v>
      </c>
      <c r="H186" s="40">
        <f t="shared" si="153"/>
        <v>0</v>
      </c>
      <c r="I186" s="40">
        <f t="shared" si="153"/>
        <v>0</v>
      </c>
      <c r="J186" s="40">
        <f t="shared" si="153"/>
        <v>0</v>
      </c>
      <c r="K186" s="40">
        <f t="shared" si="153"/>
        <v>0</v>
      </c>
      <c r="L186" s="40">
        <f t="shared" si="153"/>
        <v>0</v>
      </c>
      <c r="M186" s="40">
        <f t="shared" si="153"/>
        <v>0</v>
      </c>
      <c r="N186" s="40">
        <f t="shared" si="153"/>
        <v>0</v>
      </c>
      <c r="O186" s="40">
        <f t="shared" si="153"/>
        <v>0</v>
      </c>
      <c r="P186" s="40">
        <f t="shared" si="153"/>
        <v>0</v>
      </c>
      <c r="Q186" s="40">
        <f t="shared" si="153"/>
        <v>0</v>
      </c>
      <c r="R186" s="40">
        <f t="shared" si="150"/>
        <v>0</v>
      </c>
      <c r="U186" s="50">
        <v>0.15</v>
      </c>
      <c r="V186" s="40">
        <f t="shared" si="154"/>
        <v>0</v>
      </c>
      <c r="W186" s="40">
        <f t="shared" si="154"/>
        <v>0</v>
      </c>
      <c r="X186" s="40">
        <f t="shared" si="154"/>
        <v>0</v>
      </c>
      <c r="Y186" s="40">
        <f t="shared" si="154"/>
        <v>0</v>
      </c>
      <c r="Z186" s="40">
        <f t="shared" si="154"/>
        <v>0</v>
      </c>
      <c r="AA186" s="40">
        <f t="shared" si="154"/>
        <v>0</v>
      </c>
      <c r="AB186" s="40">
        <f t="shared" si="154"/>
        <v>0</v>
      </c>
      <c r="AC186" s="40">
        <f t="shared" si="154"/>
        <v>0</v>
      </c>
      <c r="AD186" s="40">
        <f t="shared" si="154"/>
        <v>0</v>
      </c>
      <c r="AE186" s="40">
        <f t="shared" si="154"/>
        <v>0</v>
      </c>
      <c r="AF186" s="40">
        <f t="shared" si="154"/>
        <v>0</v>
      </c>
      <c r="AG186" s="40">
        <f t="shared" si="154"/>
        <v>0</v>
      </c>
      <c r="AH186" s="40">
        <f t="shared" si="151"/>
        <v>0</v>
      </c>
      <c r="AI186" s="171"/>
      <c r="AJ186" s="50">
        <v>0.1</v>
      </c>
      <c r="AK186" s="40">
        <f t="shared" si="155"/>
        <v>0</v>
      </c>
      <c r="AL186" s="40">
        <f t="shared" si="155"/>
        <v>0</v>
      </c>
      <c r="AM186" s="40">
        <f t="shared" si="155"/>
        <v>0</v>
      </c>
      <c r="AN186" s="40">
        <f t="shared" si="155"/>
        <v>0</v>
      </c>
      <c r="AO186" s="40">
        <f t="shared" si="155"/>
        <v>0</v>
      </c>
      <c r="AP186" s="40">
        <f t="shared" si="155"/>
        <v>0</v>
      </c>
      <c r="AQ186" s="40">
        <f t="shared" si="155"/>
        <v>0</v>
      </c>
      <c r="AR186" s="40">
        <f t="shared" si="155"/>
        <v>0</v>
      </c>
      <c r="AS186" s="40">
        <f t="shared" si="155"/>
        <v>0</v>
      </c>
      <c r="AT186" s="40">
        <f t="shared" si="155"/>
        <v>0</v>
      </c>
      <c r="AU186" s="40">
        <f t="shared" si="155"/>
        <v>0</v>
      </c>
      <c r="AV186" s="40">
        <f t="shared" si="155"/>
        <v>0</v>
      </c>
      <c r="AW186" s="40">
        <f t="shared" si="152"/>
        <v>0</v>
      </c>
      <c r="AX186" s="171"/>
    </row>
    <row r="187" spans="1:50" outlineLevel="1">
      <c r="A187" s="37" t="s">
        <v>334</v>
      </c>
      <c r="B187" s="13" t="s">
        <v>66</v>
      </c>
      <c r="C187" s="13" t="s">
        <v>66</v>
      </c>
      <c r="D187" s="13" t="s">
        <v>166</v>
      </c>
      <c r="E187" s="139"/>
      <c r="F187" s="40">
        <f t="shared" si="153"/>
        <v>0</v>
      </c>
      <c r="G187" s="40">
        <f t="shared" si="153"/>
        <v>0</v>
      </c>
      <c r="H187" s="40">
        <f t="shared" si="153"/>
        <v>0</v>
      </c>
      <c r="I187" s="40">
        <f t="shared" si="153"/>
        <v>0</v>
      </c>
      <c r="J187" s="40">
        <f t="shared" si="153"/>
        <v>0</v>
      </c>
      <c r="K187" s="40">
        <f t="shared" si="153"/>
        <v>0</v>
      </c>
      <c r="L187" s="40">
        <f t="shared" si="153"/>
        <v>0</v>
      </c>
      <c r="M187" s="40">
        <f t="shared" si="153"/>
        <v>0</v>
      </c>
      <c r="N187" s="40">
        <f t="shared" si="153"/>
        <v>0</v>
      </c>
      <c r="O187" s="40">
        <f t="shared" si="153"/>
        <v>0</v>
      </c>
      <c r="P187" s="40">
        <f t="shared" si="153"/>
        <v>0</v>
      </c>
      <c r="Q187" s="40">
        <f t="shared" si="153"/>
        <v>0</v>
      </c>
      <c r="R187" s="40">
        <f t="shared" si="150"/>
        <v>0</v>
      </c>
      <c r="U187" s="50">
        <v>0.05</v>
      </c>
      <c r="V187" s="40">
        <f t="shared" si="154"/>
        <v>0</v>
      </c>
      <c r="W187" s="40">
        <f t="shared" si="154"/>
        <v>0</v>
      </c>
      <c r="X187" s="40">
        <f t="shared" si="154"/>
        <v>0</v>
      </c>
      <c r="Y187" s="40">
        <f t="shared" si="154"/>
        <v>0</v>
      </c>
      <c r="Z187" s="40">
        <f t="shared" si="154"/>
        <v>0</v>
      </c>
      <c r="AA187" s="40">
        <f t="shared" si="154"/>
        <v>0</v>
      </c>
      <c r="AB187" s="40">
        <f t="shared" si="154"/>
        <v>0</v>
      </c>
      <c r="AC187" s="40">
        <f t="shared" si="154"/>
        <v>0</v>
      </c>
      <c r="AD187" s="40">
        <f t="shared" si="154"/>
        <v>0</v>
      </c>
      <c r="AE187" s="40">
        <f t="shared" si="154"/>
        <v>0</v>
      </c>
      <c r="AF187" s="40">
        <f t="shared" si="154"/>
        <v>0</v>
      </c>
      <c r="AG187" s="40">
        <f t="shared" si="154"/>
        <v>0</v>
      </c>
      <c r="AH187" s="40">
        <f t="shared" si="151"/>
        <v>0</v>
      </c>
      <c r="AI187" s="171"/>
      <c r="AJ187" s="50">
        <v>0.05</v>
      </c>
      <c r="AK187" s="40">
        <f t="shared" si="155"/>
        <v>0</v>
      </c>
      <c r="AL187" s="40">
        <f t="shared" si="155"/>
        <v>0</v>
      </c>
      <c r="AM187" s="40">
        <f t="shared" si="155"/>
        <v>0</v>
      </c>
      <c r="AN187" s="40">
        <f t="shared" si="155"/>
        <v>0</v>
      </c>
      <c r="AO187" s="40">
        <f t="shared" si="155"/>
        <v>0</v>
      </c>
      <c r="AP187" s="40">
        <f t="shared" si="155"/>
        <v>0</v>
      </c>
      <c r="AQ187" s="40">
        <f t="shared" si="155"/>
        <v>0</v>
      </c>
      <c r="AR187" s="40">
        <f t="shared" si="155"/>
        <v>0</v>
      </c>
      <c r="AS187" s="40">
        <f t="shared" si="155"/>
        <v>0</v>
      </c>
      <c r="AT187" s="40">
        <f t="shared" si="155"/>
        <v>0</v>
      </c>
      <c r="AU187" s="40">
        <f t="shared" si="155"/>
        <v>0</v>
      </c>
      <c r="AV187" s="40">
        <f t="shared" si="155"/>
        <v>0</v>
      </c>
      <c r="AW187" s="40">
        <f t="shared" si="152"/>
        <v>0</v>
      </c>
      <c r="AX187" s="171"/>
    </row>
    <row r="188" spans="1:50" outlineLevel="1">
      <c r="A188" s="13" t="s">
        <v>341</v>
      </c>
      <c r="B188" s="13" t="s">
        <v>67</v>
      </c>
      <c r="C188" s="13" t="s">
        <v>67</v>
      </c>
      <c r="D188" s="13" t="s">
        <v>166</v>
      </c>
      <c r="E188" s="139"/>
      <c r="F188" s="40">
        <f t="shared" si="153"/>
        <v>0</v>
      </c>
      <c r="G188" s="40">
        <f t="shared" si="153"/>
        <v>0</v>
      </c>
      <c r="H188" s="40">
        <f t="shared" si="153"/>
        <v>0</v>
      </c>
      <c r="I188" s="40">
        <f t="shared" si="153"/>
        <v>0</v>
      </c>
      <c r="J188" s="40">
        <f t="shared" si="153"/>
        <v>0</v>
      </c>
      <c r="K188" s="40">
        <f t="shared" si="153"/>
        <v>0</v>
      </c>
      <c r="L188" s="40">
        <f t="shared" si="153"/>
        <v>0</v>
      </c>
      <c r="M188" s="40">
        <f t="shared" si="153"/>
        <v>0</v>
      </c>
      <c r="N188" s="40">
        <f t="shared" si="153"/>
        <v>0</v>
      </c>
      <c r="O188" s="40">
        <f t="shared" si="153"/>
        <v>0</v>
      </c>
      <c r="P188" s="40">
        <f t="shared" si="153"/>
        <v>0</v>
      </c>
      <c r="Q188" s="40">
        <f t="shared" si="153"/>
        <v>0</v>
      </c>
      <c r="R188" s="40">
        <f t="shared" si="150"/>
        <v>0</v>
      </c>
      <c r="U188" s="50">
        <v>0.03</v>
      </c>
      <c r="V188" s="40">
        <f t="shared" si="154"/>
        <v>0</v>
      </c>
      <c r="W188" s="40">
        <f t="shared" si="154"/>
        <v>0</v>
      </c>
      <c r="X188" s="40">
        <f t="shared" si="154"/>
        <v>0</v>
      </c>
      <c r="Y188" s="40">
        <f t="shared" si="154"/>
        <v>0</v>
      </c>
      <c r="Z188" s="40">
        <f t="shared" si="154"/>
        <v>0</v>
      </c>
      <c r="AA188" s="40">
        <f t="shared" si="154"/>
        <v>0</v>
      </c>
      <c r="AB188" s="40">
        <f t="shared" si="154"/>
        <v>0</v>
      </c>
      <c r="AC188" s="40">
        <f t="shared" si="154"/>
        <v>0</v>
      </c>
      <c r="AD188" s="40">
        <f t="shared" si="154"/>
        <v>0</v>
      </c>
      <c r="AE188" s="40">
        <f t="shared" si="154"/>
        <v>0</v>
      </c>
      <c r="AF188" s="40">
        <f t="shared" si="154"/>
        <v>0</v>
      </c>
      <c r="AG188" s="40">
        <f t="shared" si="154"/>
        <v>0</v>
      </c>
      <c r="AH188" s="40">
        <f t="shared" si="151"/>
        <v>0</v>
      </c>
      <c r="AI188" s="171"/>
      <c r="AJ188" s="50">
        <v>0.05</v>
      </c>
      <c r="AK188" s="40">
        <f t="shared" si="155"/>
        <v>0</v>
      </c>
      <c r="AL188" s="40">
        <f t="shared" si="155"/>
        <v>0</v>
      </c>
      <c r="AM188" s="40">
        <f t="shared" si="155"/>
        <v>0</v>
      </c>
      <c r="AN188" s="40">
        <f t="shared" si="155"/>
        <v>0</v>
      </c>
      <c r="AO188" s="40">
        <f t="shared" si="155"/>
        <v>0</v>
      </c>
      <c r="AP188" s="40">
        <f t="shared" si="155"/>
        <v>0</v>
      </c>
      <c r="AQ188" s="40">
        <f t="shared" si="155"/>
        <v>0</v>
      </c>
      <c r="AR188" s="40">
        <f t="shared" si="155"/>
        <v>0</v>
      </c>
      <c r="AS188" s="40">
        <f t="shared" si="155"/>
        <v>0</v>
      </c>
      <c r="AT188" s="40">
        <f t="shared" si="155"/>
        <v>0</v>
      </c>
      <c r="AU188" s="40">
        <f t="shared" si="155"/>
        <v>0</v>
      </c>
      <c r="AV188" s="40">
        <f t="shared" si="155"/>
        <v>0</v>
      </c>
      <c r="AW188" s="40">
        <f t="shared" si="152"/>
        <v>0</v>
      </c>
      <c r="AX188" s="171"/>
    </row>
    <row r="189" spans="1:50" outlineLevel="1">
      <c r="A189" s="37" t="s">
        <v>342</v>
      </c>
      <c r="B189" s="13" t="s">
        <v>66</v>
      </c>
      <c r="C189" s="13" t="s">
        <v>66</v>
      </c>
      <c r="D189" s="13" t="s">
        <v>166</v>
      </c>
      <c r="E189" s="139"/>
      <c r="F189" s="40">
        <f t="shared" si="153"/>
        <v>0</v>
      </c>
      <c r="G189" s="40">
        <f t="shared" si="153"/>
        <v>0</v>
      </c>
      <c r="H189" s="40">
        <f t="shared" si="153"/>
        <v>0</v>
      </c>
      <c r="I189" s="40">
        <f t="shared" si="153"/>
        <v>0</v>
      </c>
      <c r="J189" s="40">
        <f t="shared" si="153"/>
        <v>0</v>
      </c>
      <c r="K189" s="40">
        <f t="shared" si="153"/>
        <v>0</v>
      </c>
      <c r="L189" s="40">
        <f t="shared" si="153"/>
        <v>0</v>
      </c>
      <c r="M189" s="40">
        <f t="shared" si="153"/>
        <v>0</v>
      </c>
      <c r="N189" s="40">
        <f t="shared" si="153"/>
        <v>0</v>
      </c>
      <c r="O189" s="40">
        <f t="shared" si="153"/>
        <v>0</v>
      </c>
      <c r="P189" s="40">
        <f t="shared" si="153"/>
        <v>0</v>
      </c>
      <c r="Q189" s="40">
        <f t="shared" si="153"/>
        <v>0</v>
      </c>
      <c r="R189" s="40">
        <f t="shared" si="150"/>
        <v>0</v>
      </c>
      <c r="U189" s="50">
        <v>0.1</v>
      </c>
      <c r="V189" s="40">
        <f t="shared" si="154"/>
        <v>250</v>
      </c>
      <c r="W189" s="40">
        <f t="shared" si="154"/>
        <v>250</v>
      </c>
      <c r="X189" s="40">
        <f t="shared" si="154"/>
        <v>250</v>
      </c>
      <c r="Y189" s="40">
        <f t="shared" si="154"/>
        <v>250</v>
      </c>
      <c r="Z189" s="40">
        <f t="shared" si="154"/>
        <v>750</v>
      </c>
      <c r="AA189" s="40">
        <f t="shared" si="154"/>
        <v>250</v>
      </c>
      <c r="AB189" s="40">
        <f t="shared" si="154"/>
        <v>250</v>
      </c>
      <c r="AC189" s="40">
        <f t="shared" si="154"/>
        <v>250</v>
      </c>
      <c r="AD189" s="40">
        <f t="shared" si="154"/>
        <v>400</v>
      </c>
      <c r="AE189" s="40">
        <f t="shared" si="154"/>
        <v>400</v>
      </c>
      <c r="AF189" s="40">
        <f t="shared" si="154"/>
        <v>250</v>
      </c>
      <c r="AG189" s="40">
        <f t="shared" si="154"/>
        <v>250</v>
      </c>
      <c r="AH189" s="40">
        <f t="shared" si="151"/>
        <v>3800</v>
      </c>
      <c r="AI189" s="171"/>
      <c r="AJ189" s="50">
        <v>0.1</v>
      </c>
      <c r="AK189" s="40">
        <f t="shared" si="155"/>
        <v>262.5</v>
      </c>
      <c r="AL189" s="40">
        <f t="shared" si="155"/>
        <v>262.5</v>
      </c>
      <c r="AM189" s="40">
        <f t="shared" si="155"/>
        <v>262.5</v>
      </c>
      <c r="AN189" s="40">
        <f t="shared" si="155"/>
        <v>262.5</v>
      </c>
      <c r="AO189" s="40">
        <f t="shared" si="155"/>
        <v>787.5</v>
      </c>
      <c r="AP189" s="40">
        <f t="shared" si="155"/>
        <v>262.5</v>
      </c>
      <c r="AQ189" s="40">
        <f t="shared" si="155"/>
        <v>262.5</v>
      </c>
      <c r="AR189" s="40">
        <f t="shared" si="155"/>
        <v>262.5</v>
      </c>
      <c r="AS189" s="40">
        <f t="shared" si="155"/>
        <v>420</v>
      </c>
      <c r="AT189" s="40">
        <f t="shared" si="155"/>
        <v>420</v>
      </c>
      <c r="AU189" s="40">
        <f t="shared" si="155"/>
        <v>262.5</v>
      </c>
      <c r="AV189" s="40">
        <f t="shared" si="155"/>
        <v>262.5</v>
      </c>
      <c r="AW189" s="40">
        <f t="shared" si="152"/>
        <v>3990</v>
      </c>
      <c r="AX189" s="171"/>
    </row>
    <row r="190" spans="1:50" ht="13" outlineLevel="1">
      <c r="A190" s="410" t="s">
        <v>424</v>
      </c>
      <c r="B190" s="13" t="s">
        <v>73</v>
      </c>
      <c r="C190" s="13" t="str">
        <f t="shared" ref="C190" si="156">_xlfn.XLOOKUP($A190,$A$6:$A$113,$C$6:$C$113)</f>
        <v>CE</v>
      </c>
      <c r="D190" s="13" t="s">
        <v>166</v>
      </c>
      <c r="E190" s="139"/>
      <c r="F190" s="40">
        <f t="shared" si="153"/>
        <v>0</v>
      </c>
      <c r="G190" s="40">
        <f t="shared" si="153"/>
        <v>0</v>
      </c>
      <c r="H190" s="40">
        <f t="shared" si="153"/>
        <v>0</v>
      </c>
      <c r="I190" s="40">
        <f t="shared" si="153"/>
        <v>0</v>
      </c>
      <c r="J190" s="40">
        <f t="shared" si="153"/>
        <v>0</v>
      </c>
      <c r="K190" s="40">
        <f t="shared" si="153"/>
        <v>0</v>
      </c>
      <c r="L190" s="40">
        <f t="shared" si="153"/>
        <v>0</v>
      </c>
      <c r="M190" s="40">
        <f t="shared" si="153"/>
        <v>0</v>
      </c>
      <c r="N190" s="40">
        <f t="shared" si="153"/>
        <v>0</v>
      </c>
      <c r="O190" s="40">
        <f t="shared" si="153"/>
        <v>0</v>
      </c>
      <c r="P190" s="40">
        <f t="shared" si="153"/>
        <v>0</v>
      </c>
      <c r="Q190" s="40">
        <f t="shared" si="153"/>
        <v>0</v>
      </c>
      <c r="R190" s="40">
        <f t="shared" ref="R190" si="157">SUM(F190:Q190)</f>
        <v>0</v>
      </c>
      <c r="U190" s="50">
        <v>0.05</v>
      </c>
      <c r="V190" s="40">
        <f t="shared" si="154"/>
        <v>0</v>
      </c>
      <c r="W190" s="40">
        <f t="shared" si="154"/>
        <v>0</v>
      </c>
      <c r="X190" s="40">
        <f t="shared" si="154"/>
        <v>0</v>
      </c>
      <c r="Y190" s="40">
        <f t="shared" si="154"/>
        <v>0</v>
      </c>
      <c r="Z190" s="40">
        <f t="shared" si="154"/>
        <v>0</v>
      </c>
      <c r="AA190" s="40">
        <f t="shared" si="154"/>
        <v>0</v>
      </c>
      <c r="AB190" s="40">
        <f t="shared" si="154"/>
        <v>0</v>
      </c>
      <c r="AC190" s="40">
        <f t="shared" si="154"/>
        <v>0</v>
      </c>
      <c r="AD190" s="40">
        <f t="shared" si="154"/>
        <v>0</v>
      </c>
      <c r="AE190" s="40">
        <f t="shared" si="154"/>
        <v>0</v>
      </c>
      <c r="AF190" s="40">
        <f t="shared" si="154"/>
        <v>0</v>
      </c>
      <c r="AG190" s="40">
        <f t="shared" si="154"/>
        <v>0</v>
      </c>
      <c r="AH190" s="40">
        <f t="shared" ref="AH190" si="158">SUM(V190:AG190)</f>
        <v>0</v>
      </c>
      <c r="AI190" s="171"/>
      <c r="AJ190" s="50">
        <v>0.05</v>
      </c>
      <c r="AK190" s="40">
        <f t="shared" si="155"/>
        <v>0</v>
      </c>
      <c r="AL190" s="40">
        <f t="shared" si="155"/>
        <v>2634.5199720000001</v>
      </c>
      <c r="AM190" s="40">
        <f t="shared" si="155"/>
        <v>4277.1248599999999</v>
      </c>
      <c r="AN190" s="40">
        <f t="shared" si="155"/>
        <v>1487.60718</v>
      </c>
      <c r="AO190" s="40">
        <f t="shared" si="155"/>
        <v>2085.04144</v>
      </c>
      <c r="AP190" s="40">
        <f t="shared" si="155"/>
        <v>1029.5568000000001</v>
      </c>
      <c r="AQ190" s="40">
        <f t="shared" si="155"/>
        <v>2074.211632</v>
      </c>
      <c r="AR190" s="40">
        <f t="shared" si="155"/>
        <v>1371.5950560000001</v>
      </c>
      <c r="AS190" s="40">
        <f t="shared" si="155"/>
        <v>7007.9336979999998</v>
      </c>
      <c r="AT190" s="40">
        <f t="shared" si="155"/>
        <v>3790.0276960000006</v>
      </c>
      <c r="AU190" s="40">
        <f t="shared" si="155"/>
        <v>4573.6248239999995</v>
      </c>
      <c r="AV190" s="40">
        <f t="shared" si="155"/>
        <v>1721.5884000000003</v>
      </c>
      <c r="AW190" s="40">
        <f t="shared" ref="AW190" si="159">SUM(AK190:AV190)</f>
        <v>32052.831558000002</v>
      </c>
      <c r="AX190" s="171"/>
    </row>
    <row r="191" spans="1:50" outlineLevel="1">
      <c r="A191" s="13" t="s">
        <v>353</v>
      </c>
      <c r="B191" s="13" t="s">
        <v>64</v>
      </c>
      <c r="C191" s="13" t="str">
        <f>_xlfn.XLOOKUP($A191,$A$6:$A$113,$C$6:$C$113)</f>
        <v>UK</v>
      </c>
      <c r="D191" s="13" t="s">
        <v>166</v>
      </c>
      <c r="F191" s="483">
        <f t="shared" si="144"/>
        <v>0</v>
      </c>
      <c r="G191" s="483">
        <f t="shared" si="144"/>
        <v>0</v>
      </c>
      <c r="H191" s="483">
        <f t="shared" si="144"/>
        <v>0</v>
      </c>
      <c r="I191" s="483">
        <f t="shared" si="144"/>
        <v>0</v>
      </c>
      <c r="J191" s="483">
        <f t="shared" si="144"/>
        <v>0</v>
      </c>
      <c r="K191" s="483">
        <f t="shared" si="144"/>
        <v>0</v>
      </c>
      <c r="L191" s="483">
        <f t="shared" si="144"/>
        <v>0</v>
      </c>
      <c r="M191" s="483">
        <f t="shared" si="144"/>
        <v>0</v>
      </c>
      <c r="N191" s="483">
        <f t="shared" si="144"/>
        <v>0</v>
      </c>
      <c r="O191" s="483">
        <f t="shared" si="144"/>
        <v>0</v>
      </c>
      <c r="P191" s="483">
        <f t="shared" si="144"/>
        <v>0</v>
      </c>
      <c r="Q191" s="483">
        <f t="shared" si="144"/>
        <v>0</v>
      </c>
      <c r="R191" s="483">
        <f t="shared" si="145"/>
        <v>0</v>
      </c>
      <c r="V191" s="40">
        <f t="shared" si="146"/>
        <v>0</v>
      </c>
      <c r="W191" s="40">
        <f t="shared" si="146"/>
        <v>0</v>
      </c>
      <c r="X191" s="40">
        <f t="shared" si="146"/>
        <v>0</v>
      </c>
      <c r="Y191" s="40">
        <f t="shared" si="146"/>
        <v>0</v>
      </c>
      <c r="Z191" s="40">
        <f t="shared" si="146"/>
        <v>0</v>
      </c>
      <c r="AA191" s="40">
        <f t="shared" si="146"/>
        <v>0</v>
      </c>
      <c r="AB191" s="40">
        <f t="shared" si="146"/>
        <v>0</v>
      </c>
      <c r="AC191" s="40">
        <f t="shared" si="146"/>
        <v>0</v>
      </c>
      <c r="AD191" s="40">
        <f t="shared" si="146"/>
        <v>0</v>
      </c>
      <c r="AE191" s="40">
        <f t="shared" si="146"/>
        <v>0</v>
      </c>
      <c r="AF191" s="40">
        <f t="shared" si="146"/>
        <v>0</v>
      </c>
      <c r="AG191" s="40">
        <f t="shared" si="146"/>
        <v>0</v>
      </c>
      <c r="AH191" s="40">
        <f t="shared" si="147"/>
        <v>0</v>
      </c>
      <c r="AI191" s="171"/>
      <c r="AJ191" s="50">
        <v>0.05</v>
      </c>
      <c r="AK191" s="40">
        <f t="shared" si="148"/>
        <v>0</v>
      </c>
      <c r="AL191" s="40">
        <f t="shared" si="148"/>
        <v>0</v>
      </c>
      <c r="AM191" s="40">
        <f t="shared" si="148"/>
        <v>0</v>
      </c>
      <c r="AN191" s="40">
        <f t="shared" si="148"/>
        <v>0</v>
      </c>
      <c r="AO191" s="40">
        <f t="shared" si="148"/>
        <v>0</v>
      </c>
      <c r="AP191" s="40">
        <f t="shared" si="148"/>
        <v>0</v>
      </c>
      <c r="AQ191" s="40">
        <f t="shared" si="148"/>
        <v>0</v>
      </c>
      <c r="AR191" s="40">
        <f t="shared" si="148"/>
        <v>0</v>
      </c>
      <c r="AS191" s="40">
        <f t="shared" si="148"/>
        <v>0</v>
      </c>
      <c r="AT191" s="40">
        <f t="shared" si="148"/>
        <v>0</v>
      </c>
      <c r="AU191" s="40">
        <f t="shared" si="148"/>
        <v>0</v>
      </c>
      <c r="AV191" s="40">
        <f t="shared" si="148"/>
        <v>0</v>
      </c>
      <c r="AW191" s="40">
        <f t="shared" si="149"/>
        <v>0</v>
      </c>
      <c r="AX191" s="171"/>
    </row>
    <row r="192" spans="1:50" outlineLevel="1">
      <c r="A192" s="484" t="s">
        <v>440</v>
      </c>
      <c r="B192" s="475"/>
      <c r="C192" s="475"/>
      <c r="D192" s="475"/>
      <c r="E192" s="475"/>
      <c r="F192" s="475">
        <f t="shared" ref="F192:R192" si="160">SUM(F164:F191)</f>
        <v>0</v>
      </c>
      <c r="G192" s="475">
        <f t="shared" si="160"/>
        <v>0</v>
      </c>
      <c r="H192" s="475">
        <f t="shared" si="160"/>
        <v>0</v>
      </c>
      <c r="I192" s="475">
        <f t="shared" si="160"/>
        <v>0</v>
      </c>
      <c r="J192" s="475">
        <f t="shared" si="160"/>
        <v>0</v>
      </c>
      <c r="K192" s="475">
        <f t="shared" si="160"/>
        <v>0</v>
      </c>
      <c r="L192" s="475">
        <f t="shared" si="160"/>
        <v>0</v>
      </c>
      <c r="M192" s="475">
        <f t="shared" si="160"/>
        <v>0</v>
      </c>
      <c r="N192" s="475">
        <f t="shared" si="160"/>
        <v>0</v>
      </c>
      <c r="O192" s="475">
        <f t="shared" si="160"/>
        <v>0</v>
      </c>
      <c r="P192" s="475">
        <f t="shared" si="160"/>
        <v>0</v>
      </c>
      <c r="Q192" s="475">
        <f t="shared" si="160"/>
        <v>0</v>
      </c>
      <c r="R192" s="475">
        <f t="shared" si="160"/>
        <v>0</v>
      </c>
      <c r="V192" s="475">
        <f t="shared" ref="V192:AH192" si="161">SUM(V164:V191)</f>
        <v>4979.09</v>
      </c>
      <c r="W192" s="475">
        <f t="shared" si="161"/>
        <v>20661.3325</v>
      </c>
      <c r="X192" s="475">
        <f t="shared" si="161"/>
        <v>10014.075499999999</v>
      </c>
      <c r="Y192" s="475">
        <f t="shared" si="161"/>
        <v>26089.962514259576</v>
      </c>
      <c r="Z192" s="475">
        <f t="shared" si="161"/>
        <v>11821.890844391284</v>
      </c>
      <c r="AA192" s="475">
        <f t="shared" si="161"/>
        <v>6869.1494725389621</v>
      </c>
      <c r="AB192" s="475">
        <f t="shared" si="161"/>
        <v>13383.985287811111</v>
      </c>
      <c r="AC192" s="475">
        <f t="shared" si="161"/>
        <v>10109.056481915439</v>
      </c>
      <c r="AD192" s="475">
        <f t="shared" si="161"/>
        <v>15574.924638677916</v>
      </c>
      <c r="AE192" s="475">
        <f t="shared" si="161"/>
        <v>13262.732537568383</v>
      </c>
      <c r="AF192" s="475">
        <f t="shared" si="161"/>
        <v>5321.3671878172763</v>
      </c>
      <c r="AG192" s="475">
        <f t="shared" si="161"/>
        <v>7481.2889928170343</v>
      </c>
      <c r="AH192" s="475">
        <f t="shared" si="161"/>
        <v>145568.855957797</v>
      </c>
      <c r="AI192" s="171"/>
      <c r="AK192" s="475">
        <f t="shared" ref="AK192:AW192" si="162">SUM(AK164:AK191)</f>
        <v>23860.20626725</v>
      </c>
      <c r="AL192" s="475">
        <f t="shared" si="162"/>
        <v>24063.124938000001</v>
      </c>
      <c r="AM192" s="475">
        <f t="shared" si="162"/>
        <v>25242.075503</v>
      </c>
      <c r="AN192" s="475">
        <f t="shared" si="162"/>
        <v>33186.26961990034</v>
      </c>
      <c r="AO192" s="475">
        <f t="shared" si="162"/>
        <v>30187.804374807216</v>
      </c>
      <c r="AP192" s="475">
        <f t="shared" si="162"/>
        <v>19504.913367024394</v>
      </c>
      <c r="AQ192" s="475">
        <f t="shared" si="162"/>
        <v>28726.192414912413</v>
      </c>
      <c r="AR192" s="475">
        <f t="shared" si="162"/>
        <v>54796.006886756884</v>
      </c>
      <c r="AS192" s="475">
        <f t="shared" si="162"/>
        <v>45035.883162348575</v>
      </c>
      <c r="AT192" s="475">
        <f t="shared" si="162"/>
        <v>33931.569833333131</v>
      </c>
      <c r="AU192" s="475">
        <f t="shared" si="162"/>
        <v>28062.060264817414</v>
      </c>
      <c r="AV192" s="475">
        <f t="shared" si="162"/>
        <v>25535.557643164364</v>
      </c>
      <c r="AW192" s="475">
        <f t="shared" si="162"/>
        <v>372131.66427531472</v>
      </c>
      <c r="AX192" s="171"/>
    </row>
    <row r="193" spans="1:50" outlineLevel="1">
      <c r="A193" s="11"/>
      <c r="F193" s="104"/>
      <c r="G193" s="104"/>
      <c r="H193" s="104"/>
      <c r="I193" s="104"/>
      <c r="J193" s="104"/>
      <c r="K193" s="104"/>
      <c r="L193" s="104"/>
      <c r="M193" s="104"/>
      <c r="N193" s="104"/>
      <c r="O193" s="104"/>
      <c r="P193" s="104"/>
      <c r="Q193" s="104"/>
      <c r="V193" s="474"/>
      <c r="W193" s="474"/>
      <c r="X193" s="474"/>
      <c r="Y193" s="474"/>
      <c r="Z193" s="474"/>
      <c r="AA193" s="474"/>
      <c r="AB193" s="474"/>
      <c r="AC193" s="474"/>
      <c r="AD193" s="474"/>
      <c r="AE193" s="474"/>
      <c r="AF193" s="474"/>
      <c r="AG193" s="474"/>
      <c r="AH193" s="474"/>
      <c r="AI193" s="474"/>
      <c r="AJ193" s="474"/>
      <c r="AK193" s="474"/>
      <c r="AL193" s="474"/>
      <c r="AM193" s="474"/>
      <c r="AN193" s="474"/>
      <c r="AO193" s="474"/>
      <c r="AP193" s="474"/>
      <c r="AQ193" s="474"/>
      <c r="AR193" s="474"/>
      <c r="AS193" s="474"/>
      <c r="AT193" s="474"/>
      <c r="AU193" s="474"/>
      <c r="AV193" s="474"/>
      <c r="AX193" s="171"/>
    </row>
    <row r="194" spans="1:50" outlineLevel="1">
      <c r="A194" s="11"/>
      <c r="F194" s="104"/>
      <c r="G194" s="104"/>
      <c r="H194" s="104"/>
      <c r="I194" s="104"/>
      <c r="J194" s="104"/>
      <c r="K194" s="104"/>
      <c r="L194" s="104"/>
      <c r="M194" s="104"/>
      <c r="N194" s="104"/>
      <c r="O194" s="104"/>
      <c r="P194" s="104"/>
      <c r="Q194" s="104"/>
      <c r="V194" s="474"/>
      <c r="W194" s="474"/>
      <c r="X194" s="474"/>
      <c r="Y194" s="474"/>
      <c r="Z194" s="474"/>
      <c r="AA194" s="474"/>
      <c r="AB194" s="474"/>
      <c r="AC194" s="474"/>
      <c r="AD194" s="474"/>
      <c r="AE194" s="474"/>
      <c r="AF194" s="474"/>
      <c r="AG194" s="474"/>
      <c r="AH194" s="474"/>
      <c r="AI194" s="474"/>
      <c r="AJ194" s="474"/>
      <c r="AK194" s="474"/>
      <c r="AL194" s="474"/>
      <c r="AM194" s="474"/>
      <c r="AN194" s="474"/>
      <c r="AO194" s="474"/>
      <c r="AP194" s="474"/>
      <c r="AQ194" s="474"/>
      <c r="AR194" s="474"/>
      <c r="AS194" s="474"/>
      <c r="AT194" s="474"/>
      <c r="AU194" s="474"/>
      <c r="AV194" s="474"/>
      <c r="AX194" s="171"/>
    </row>
    <row r="195" spans="1:50" outlineLevel="1">
      <c r="A195" s="11"/>
      <c r="F195" s="104"/>
      <c r="G195" s="104"/>
      <c r="H195" s="104"/>
      <c r="I195" s="104"/>
      <c r="J195" s="104"/>
      <c r="K195" s="104"/>
      <c r="L195" s="104"/>
      <c r="M195" s="104"/>
      <c r="N195" s="104"/>
      <c r="O195" s="104"/>
      <c r="P195" s="104"/>
      <c r="Q195" s="104"/>
      <c r="V195" s="474"/>
      <c r="W195" s="474"/>
      <c r="X195" s="474"/>
      <c r="Y195" s="474"/>
      <c r="Z195" s="474"/>
      <c r="AA195" s="474"/>
      <c r="AB195" s="474"/>
      <c r="AC195" s="474"/>
      <c r="AD195" s="474"/>
      <c r="AE195" s="474"/>
      <c r="AF195" s="474"/>
      <c r="AG195" s="474"/>
      <c r="AH195" s="474"/>
      <c r="AI195" s="474"/>
      <c r="AJ195" s="474"/>
      <c r="AK195" s="474"/>
      <c r="AL195" s="474"/>
      <c r="AM195" s="474"/>
      <c r="AN195" s="474"/>
      <c r="AO195" s="474"/>
      <c r="AP195" s="474"/>
      <c r="AQ195" s="474"/>
      <c r="AR195" s="474"/>
      <c r="AS195" s="474"/>
      <c r="AT195" s="474"/>
      <c r="AU195" s="474"/>
      <c r="AV195" s="474"/>
      <c r="AX195" s="171"/>
    </row>
    <row r="196" spans="1:50" outlineLevel="1">
      <c r="A196" s="11"/>
      <c r="F196" s="104"/>
      <c r="G196" s="104"/>
      <c r="H196" s="104"/>
      <c r="I196" s="104"/>
      <c r="J196" s="104"/>
      <c r="K196" s="104"/>
      <c r="L196" s="104"/>
      <c r="M196" s="104"/>
      <c r="N196" s="104"/>
      <c r="O196" s="104"/>
      <c r="P196" s="104"/>
      <c r="Q196" s="104"/>
      <c r="V196" s="474"/>
      <c r="W196" s="474"/>
      <c r="X196" s="474"/>
      <c r="Y196" s="474"/>
      <c r="Z196" s="474"/>
      <c r="AA196" s="474"/>
      <c r="AB196" s="474"/>
      <c r="AC196" s="474"/>
      <c r="AD196" s="474"/>
      <c r="AE196" s="474"/>
      <c r="AF196" s="474"/>
      <c r="AG196" s="474"/>
      <c r="AH196" s="474"/>
      <c r="AI196" s="474"/>
      <c r="AJ196" s="474"/>
      <c r="AK196" s="474"/>
      <c r="AL196" s="474"/>
      <c r="AM196" s="474"/>
      <c r="AN196" s="474"/>
      <c r="AO196" s="474"/>
      <c r="AP196" s="474"/>
      <c r="AQ196" s="474"/>
      <c r="AR196" s="474"/>
      <c r="AS196" s="474"/>
      <c r="AT196" s="474"/>
      <c r="AU196" s="474"/>
      <c r="AV196" s="474"/>
      <c r="AX196" s="171"/>
    </row>
    <row r="197" spans="1:50" outlineLevel="1">
      <c r="A197" s="11"/>
      <c r="F197" s="104"/>
      <c r="G197" s="104"/>
      <c r="H197" s="104"/>
      <c r="I197" s="104"/>
      <c r="J197" s="104"/>
      <c r="K197" s="104"/>
      <c r="L197" s="104"/>
      <c r="M197" s="104"/>
      <c r="N197" s="104"/>
      <c r="O197" s="104"/>
      <c r="P197" s="104"/>
      <c r="Q197" s="104"/>
      <c r="V197" s="474"/>
      <c r="W197" s="474"/>
      <c r="X197" s="474"/>
      <c r="Y197" s="474"/>
      <c r="Z197" s="474"/>
      <c r="AA197" s="474"/>
      <c r="AB197" s="474"/>
      <c r="AC197" s="474"/>
      <c r="AD197" s="474"/>
      <c r="AE197" s="474"/>
      <c r="AF197" s="474"/>
      <c r="AG197" s="474"/>
      <c r="AH197" s="474"/>
      <c r="AI197" s="474"/>
      <c r="AJ197" s="474"/>
      <c r="AK197" s="474"/>
      <c r="AL197" s="474"/>
      <c r="AM197" s="474"/>
      <c r="AN197" s="474"/>
      <c r="AO197" s="474"/>
      <c r="AP197" s="474"/>
      <c r="AQ197" s="474"/>
      <c r="AR197" s="474"/>
      <c r="AS197" s="474"/>
      <c r="AT197" s="474"/>
      <c r="AU197" s="474"/>
      <c r="AV197" s="474"/>
      <c r="AX197" s="171"/>
    </row>
    <row r="198" spans="1:50" outlineLevel="1">
      <c r="A198" s="471" t="s">
        <v>129</v>
      </c>
      <c r="B198" s="369"/>
      <c r="C198" s="369"/>
      <c r="D198" s="369"/>
      <c r="E198" s="369"/>
      <c r="F198" s="472"/>
      <c r="G198" s="472"/>
      <c r="H198" s="472"/>
      <c r="I198" s="472"/>
      <c r="J198" s="472"/>
      <c r="K198" s="472"/>
      <c r="L198" s="472"/>
      <c r="M198" s="472"/>
      <c r="N198" s="472"/>
      <c r="O198" s="472"/>
      <c r="P198" s="472"/>
      <c r="Q198" s="472"/>
      <c r="R198" s="369"/>
      <c r="S198" s="369"/>
      <c r="T198" s="369"/>
      <c r="U198" s="369"/>
      <c r="V198" s="476"/>
      <c r="W198" s="476"/>
      <c r="X198" s="476"/>
      <c r="Y198" s="476"/>
      <c r="Z198" s="476"/>
      <c r="AA198" s="476"/>
      <c r="AB198" s="476"/>
      <c r="AC198" s="476"/>
      <c r="AD198" s="476"/>
      <c r="AE198" s="476"/>
      <c r="AF198" s="476"/>
      <c r="AG198" s="476"/>
      <c r="AH198" s="476"/>
      <c r="AI198" s="476"/>
      <c r="AJ198" s="476"/>
      <c r="AK198" s="476"/>
      <c r="AL198" s="476"/>
      <c r="AM198" s="476"/>
      <c r="AN198" s="476"/>
      <c r="AO198" s="476"/>
      <c r="AP198" s="476"/>
      <c r="AQ198" s="476"/>
      <c r="AR198" s="476"/>
      <c r="AS198" s="476"/>
      <c r="AT198" s="476"/>
      <c r="AU198" s="476"/>
      <c r="AV198" s="476"/>
      <c r="AW198" s="369"/>
      <c r="AX198" s="476"/>
    </row>
    <row r="199" spans="1:50" outlineLevel="1">
      <c r="A199" s="11" t="s">
        <v>129</v>
      </c>
      <c r="B199" s="13" t="s">
        <v>65</v>
      </c>
      <c r="C199" s="13" t="s">
        <v>65</v>
      </c>
      <c r="D199" s="13" t="s">
        <v>129</v>
      </c>
      <c r="F199" s="104">
        <v>8500</v>
      </c>
      <c r="G199" s="104">
        <v>17000</v>
      </c>
      <c r="H199" s="49"/>
      <c r="I199" s="104">
        <v>14000</v>
      </c>
      <c r="J199" s="49"/>
      <c r="K199" s="49"/>
      <c r="L199" s="49"/>
      <c r="M199" s="104"/>
      <c r="O199" s="49"/>
      <c r="P199" s="49"/>
      <c r="Q199" s="49"/>
      <c r="R199" s="15"/>
      <c r="V199" s="104">
        <v>8500</v>
      </c>
      <c r="W199" s="104">
        <v>17000</v>
      </c>
      <c r="X199" s="49"/>
      <c r="Y199" s="104">
        <v>14000</v>
      </c>
      <c r="Z199" s="49"/>
      <c r="AA199" s="49"/>
      <c r="AB199" s="49"/>
      <c r="AC199" s="104"/>
      <c r="AK199" s="104">
        <v>8500</v>
      </c>
      <c r="AL199" s="104">
        <v>17000</v>
      </c>
      <c r="AM199" s="49"/>
      <c r="AN199" s="104">
        <v>14000</v>
      </c>
      <c r="AO199" s="49"/>
      <c r="AP199" s="49"/>
      <c r="AQ199" s="49"/>
      <c r="AR199" s="104"/>
    </row>
    <row r="200" spans="1:50" outlineLevel="1">
      <c r="A200" s="13" t="s">
        <v>129</v>
      </c>
      <c r="B200" s="13" t="s">
        <v>67</v>
      </c>
      <c r="C200" s="13" t="s">
        <v>67</v>
      </c>
      <c r="D200" s="13" t="s">
        <v>129</v>
      </c>
      <c r="F200" s="49"/>
      <c r="G200" s="49"/>
      <c r="H200" s="49"/>
      <c r="I200" s="49"/>
      <c r="J200" s="49"/>
      <c r="K200" s="49"/>
      <c r="L200" s="49"/>
      <c r="M200" s="49"/>
      <c r="N200" s="104">
        <v>15000</v>
      </c>
      <c r="O200" s="104"/>
      <c r="P200" s="49"/>
      <c r="Q200" s="49"/>
      <c r="R200" s="15"/>
      <c r="V200" s="49"/>
      <c r="W200" s="49"/>
      <c r="X200" s="49"/>
      <c r="Y200" s="49"/>
      <c r="Z200" s="49"/>
      <c r="AA200" s="49"/>
      <c r="AB200" s="49"/>
      <c r="AC200" s="49"/>
      <c r="AD200" s="104">
        <v>15000</v>
      </c>
      <c r="AK200" s="49"/>
      <c r="AL200" s="49"/>
      <c r="AM200" s="49"/>
      <c r="AN200" s="49"/>
      <c r="AO200" s="49"/>
      <c r="AP200" s="49"/>
      <c r="AQ200" s="49"/>
      <c r="AR200" s="49"/>
      <c r="AS200" s="104">
        <v>15000</v>
      </c>
    </row>
    <row r="201" spans="1:50" outlineLevel="1">
      <c r="A201" s="13" t="s">
        <v>129</v>
      </c>
      <c r="D201" s="13" t="s">
        <v>129</v>
      </c>
      <c r="F201" s="49" t="s">
        <v>364</v>
      </c>
      <c r="G201" s="49" t="s">
        <v>263</v>
      </c>
      <c r="H201" s="49"/>
      <c r="I201" s="49" t="s">
        <v>365</v>
      </c>
      <c r="J201" s="49"/>
      <c r="K201" s="49"/>
      <c r="L201" s="49"/>
      <c r="M201" s="49"/>
      <c r="N201" s="49" t="s">
        <v>366</v>
      </c>
      <c r="O201" s="49"/>
      <c r="P201" s="49"/>
      <c r="Q201" s="49"/>
      <c r="R201" s="15"/>
    </row>
    <row r="202" spans="1:50" outlineLevel="1">
      <c r="A202" s="13" t="s">
        <v>129</v>
      </c>
      <c r="D202" s="13" t="s">
        <v>367</v>
      </c>
      <c r="F202" s="49" t="s">
        <v>368</v>
      </c>
      <c r="G202" s="49" t="s">
        <v>369</v>
      </c>
      <c r="H202" s="49"/>
      <c r="I202" s="49" t="s">
        <v>370</v>
      </c>
      <c r="J202" s="49"/>
      <c r="K202" s="49"/>
      <c r="L202" s="49"/>
      <c r="M202" s="49"/>
      <c r="N202" s="49" t="s">
        <v>371</v>
      </c>
      <c r="O202" s="49"/>
      <c r="P202" s="49"/>
      <c r="Q202" s="49"/>
      <c r="R202" s="15"/>
    </row>
    <row r="203" spans="1:50" outlineLevel="1">
      <c r="A203" s="484" t="s">
        <v>441</v>
      </c>
      <c r="B203" s="475"/>
      <c r="C203" s="475"/>
      <c r="D203" s="475"/>
      <c r="E203" s="475"/>
      <c r="F203" s="475"/>
      <c r="G203" s="475"/>
      <c r="H203" s="475"/>
      <c r="I203" s="475"/>
      <c r="J203" s="475"/>
      <c r="K203" s="475"/>
      <c r="L203" s="475"/>
      <c r="M203" s="475"/>
      <c r="N203" s="475"/>
      <c r="O203" s="475"/>
      <c r="P203" s="475"/>
      <c r="Q203" s="475"/>
      <c r="R203" s="475"/>
      <c r="V203" s="475"/>
      <c r="W203" s="475"/>
      <c r="X203" s="475"/>
      <c r="Y203" s="475"/>
      <c r="Z203" s="475"/>
      <c r="AA203" s="475"/>
      <c r="AB203" s="475"/>
      <c r="AC203" s="475"/>
      <c r="AD203" s="475"/>
      <c r="AE203" s="475"/>
      <c r="AF203" s="475"/>
      <c r="AG203" s="475"/>
      <c r="AH203" s="475"/>
      <c r="AI203" s="171"/>
      <c r="AK203" s="475"/>
      <c r="AL203" s="475"/>
      <c r="AM203" s="475"/>
      <c r="AN203" s="475"/>
      <c r="AO203" s="475"/>
      <c r="AP203" s="475"/>
      <c r="AQ203" s="475"/>
      <c r="AR203" s="475"/>
      <c r="AS203" s="475"/>
      <c r="AT203" s="475"/>
      <c r="AU203" s="475"/>
      <c r="AV203" s="475"/>
      <c r="AW203" s="475"/>
      <c r="AX203" s="171"/>
    </row>
    <row r="204" spans="1:50" outlineLevel="1">
      <c r="D204" s="13" t="s">
        <v>372</v>
      </c>
      <c r="F204" s="49" t="s">
        <v>373</v>
      </c>
      <c r="G204" s="49" t="s">
        <v>373</v>
      </c>
      <c r="H204" s="49"/>
      <c r="I204" s="49" t="s">
        <v>373</v>
      </c>
      <c r="J204" s="49"/>
      <c r="K204" s="49"/>
      <c r="L204" s="49"/>
      <c r="M204" s="49"/>
      <c r="N204" s="49" t="s">
        <v>373</v>
      </c>
      <c r="O204" s="49"/>
      <c r="P204" s="49"/>
      <c r="Q204" s="49"/>
      <c r="R204" s="15"/>
    </row>
    <row r="205" spans="1:50" outlineLevel="1">
      <c r="F205" s="49"/>
      <c r="G205" s="167" t="s">
        <v>374</v>
      </c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15"/>
    </row>
    <row r="206" spans="1:50" outlineLevel="1"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</row>
    <row r="207" spans="1:50">
      <c r="F207" s="45">
        <f t="shared" ref="F207:R207" si="163">F213-F113</f>
        <v>0</v>
      </c>
      <c r="G207" s="45">
        <f t="shared" si="163"/>
        <v>0</v>
      </c>
      <c r="H207" s="45">
        <f t="shared" si="163"/>
        <v>0</v>
      </c>
      <c r="I207" s="45">
        <f t="shared" si="163"/>
        <v>0</v>
      </c>
      <c r="J207" s="45">
        <f t="shared" si="163"/>
        <v>0</v>
      </c>
      <c r="K207" s="45">
        <f t="shared" si="163"/>
        <v>0</v>
      </c>
      <c r="L207" s="45">
        <f t="shared" si="163"/>
        <v>0</v>
      </c>
      <c r="M207" s="45">
        <f t="shared" si="163"/>
        <v>0</v>
      </c>
      <c r="N207" s="45">
        <f t="shared" si="163"/>
        <v>0</v>
      </c>
      <c r="O207" s="45">
        <f t="shared" si="163"/>
        <v>0</v>
      </c>
      <c r="P207" s="45">
        <f t="shared" si="163"/>
        <v>0</v>
      </c>
      <c r="Q207" s="45">
        <f t="shared" si="163"/>
        <v>0</v>
      </c>
      <c r="R207" s="45">
        <f t="shared" si="163"/>
        <v>7887.9999999990687</v>
      </c>
      <c r="V207" s="45">
        <f t="shared" ref="V207:AH207" si="164">V213-V113</f>
        <v>0</v>
      </c>
      <c r="W207" s="45">
        <f t="shared" si="164"/>
        <v>0</v>
      </c>
      <c r="X207" s="45">
        <f t="shared" si="164"/>
        <v>0</v>
      </c>
      <c r="Y207" s="45">
        <f t="shared" si="164"/>
        <v>0</v>
      </c>
      <c r="Z207" s="45">
        <f t="shared" si="164"/>
        <v>0</v>
      </c>
      <c r="AA207" s="45">
        <f t="shared" si="164"/>
        <v>0</v>
      </c>
      <c r="AB207" s="45">
        <f t="shared" si="164"/>
        <v>0</v>
      </c>
      <c r="AC207" s="45">
        <f t="shared" si="164"/>
        <v>0</v>
      </c>
      <c r="AD207" s="45">
        <f t="shared" si="164"/>
        <v>0</v>
      </c>
      <c r="AE207" s="45">
        <f t="shared" si="164"/>
        <v>0</v>
      </c>
      <c r="AF207" s="45">
        <f t="shared" si="164"/>
        <v>0</v>
      </c>
      <c r="AG207" s="45">
        <f t="shared" si="164"/>
        <v>0</v>
      </c>
      <c r="AH207" s="45">
        <f t="shared" si="164"/>
        <v>0</v>
      </c>
      <c r="AK207" s="45">
        <f t="shared" ref="AK207:AW207" si="165">AK213-AK113</f>
        <v>0</v>
      </c>
      <c r="AL207" s="45">
        <f t="shared" si="165"/>
        <v>0</v>
      </c>
      <c r="AM207" s="45">
        <f t="shared" si="165"/>
        <v>0</v>
      </c>
      <c r="AN207" s="45">
        <f t="shared" si="165"/>
        <v>0</v>
      </c>
      <c r="AO207" s="45">
        <f t="shared" si="165"/>
        <v>0</v>
      </c>
      <c r="AP207" s="45">
        <f t="shared" si="165"/>
        <v>0</v>
      </c>
      <c r="AQ207" s="45">
        <f t="shared" si="165"/>
        <v>0</v>
      </c>
      <c r="AR207" s="45">
        <f t="shared" si="165"/>
        <v>0</v>
      </c>
      <c r="AS207" s="45">
        <f t="shared" si="165"/>
        <v>0</v>
      </c>
      <c r="AT207" s="45">
        <f t="shared" si="165"/>
        <v>0</v>
      </c>
      <c r="AU207" s="45">
        <f t="shared" si="165"/>
        <v>0</v>
      </c>
      <c r="AV207" s="45">
        <f t="shared" si="165"/>
        <v>0</v>
      </c>
      <c r="AW207" s="45">
        <f t="shared" si="165"/>
        <v>0</v>
      </c>
    </row>
    <row r="209" spans="1:50">
      <c r="A209" s="13" t="s">
        <v>64</v>
      </c>
      <c r="F209" s="40">
        <f t="shared" ref="F209:Q212" si="166">SUMIF($C$6:$C$113,$A209,F$6:F$113)</f>
        <v>311253.27000000008</v>
      </c>
      <c r="G209" s="40">
        <f t="shared" si="166"/>
        <v>241135.69</v>
      </c>
      <c r="H209" s="40">
        <f t="shared" si="166"/>
        <v>223646.01999999996</v>
      </c>
      <c r="I209" s="40">
        <f t="shared" si="166"/>
        <v>283247.79999999993</v>
      </c>
      <c r="J209" s="40">
        <f t="shared" si="166"/>
        <v>417339.74000000005</v>
      </c>
      <c r="K209" s="40">
        <f t="shared" si="166"/>
        <v>192153.56</v>
      </c>
      <c r="L209" s="40">
        <f t="shared" si="166"/>
        <v>108514.27999999998</v>
      </c>
      <c r="M209" s="40">
        <f t="shared" si="166"/>
        <v>268455.18</v>
      </c>
      <c r="N209" s="40">
        <f t="shared" si="166"/>
        <v>564045.98</v>
      </c>
      <c r="O209" s="40">
        <f t="shared" si="166"/>
        <v>418131.7109313088</v>
      </c>
      <c r="P209" s="40">
        <f t="shared" si="166"/>
        <v>338414.01930568775</v>
      </c>
      <c r="Q209" s="40">
        <f t="shared" si="166"/>
        <v>350527.01964780467</v>
      </c>
      <c r="R209" s="40">
        <f>SUM(F209:Q209)</f>
        <v>3716864.2698848005</v>
      </c>
      <c r="V209" s="40">
        <f t="shared" ref="V209:AG212" si="167">SUMIF($C$6:$C$113,$A209,V$6:V$113)</f>
        <v>336213.29440000001</v>
      </c>
      <c r="W209" s="40">
        <f t="shared" si="167"/>
        <v>239303.09390000001</v>
      </c>
      <c r="X209" s="40">
        <f t="shared" si="167"/>
        <v>222344.05219999998</v>
      </c>
      <c r="Y209" s="40">
        <f t="shared" si="167"/>
        <v>230865.43179999999</v>
      </c>
      <c r="Z209" s="40">
        <f t="shared" si="167"/>
        <v>314599.55399999995</v>
      </c>
      <c r="AA209" s="40">
        <f t="shared" si="167"/>
        <v>222843.34839999996</v>
      </c>
      <c r="AB209" s="40">
        <f t="shared" si="167"/>
        <v>319942.37010000006</v>
      </c>
      <c r="AC209" s="40">
        <f t="shared" si="167"/>
        <v>792252.08179999993</v>
      </c>
      <c r="AD209" s="40">
        <f t="shared" si="167"/>
        <v>518716.78280000004</v>
      </c>
      <c r="AE209" s="40">
        <f t="shared" si="167"/>
        <v>321628.60126171377</v>
      </c>
      <c r="AF209" s="40">
        <f t="shared" si="167"/>
        <v>347613.92647152126</v>
      </c>
      <c r="AG209" s="40">
        <f t="shared" si="167"/>
        <v>311778.25860821595</v>
      </c>
      <c r="AH209" s="40">
        <f>SUM(V209:AG209)</f>
        <v>4178100.7957414505</v>
      </c>
      <c r="AI209" s="132">
        <f t="shared" ref="AI209:AI212" si="168">IFERROR(AH209/R209-1,0)</f>
        <v>0.12409291606199702</v>
      </c>
      <c r="AK209" s="40">
        <f t="shared" ref="AK209:AV212" si="169">SUMIF($C$6:$C$113,$A209,AK$6:AK$113)</f>
        <v>391181.08139000006</v>
      </c>
      <c r="AL209" s="40">
        <f t="shared" si="169"/>
        <v>302209.72099500004</v>
      </c>
      <c r="AM209" s="40">
        <f t="shared" si="169"/>
        <v>266692.78790999996</v>
      </c>
      <c r="AN209" s="40">
        <f t="shared" si="169"/>
        <v>281122.68548999995</v>
      </c>
      <c r="AO209" s="40">
        <f t="shared" si="169"/>
        <v>351773.03199999995</v>
      </c>
      <c r="AP209" s="40">
        <f t="shared" si="169"/>
        <v>279073.64176999999</v>
      </c>
      <c r="AQ209" s="40">
        <f t="shared" si="169"/>
        <v>374579.36561000004</v>
      </c>
      <c r="AR209" s="40">
        <f t="shared" si="169"/>
        <v>975951.26380000007</v>
      </c>
      <c r="AS209" s="40">
        <f t="shared" si="169"/>
        <v>598840.83879000007</v>
      </c>
      <c r="AT209" s="40">
        <f t="shared" si="169"/>
        <v>400139.76617789298</v>
      </c>
      <c r="AU209" s="40">
        <f t="shared" si="169"/>
        <v>396788.18070109171</v>
      </c>
      <c r="AV209" s="40">
        <f t="shared" si="169"/>
        <v>352917.96628542652</v>
      </c>
      <c r="AW209" s="40">
        <f>SUM(AK209:AV209)</f>
        <v>4971270.330919411</v>
      </c>
      <c r="AX209" s="132">
        <f>IFERROR(AW209/AG209-1,0)</f>
        <v>14.944890939834149</v>
      </c>
    </row>
    <row r="210" spans="1:50">
      <c r="A210" s="13" t="s">
        <v>65</v>
      </c>
      <c r="F210" s="40">
        <f t="shared" si="166"/>
        <v>124448.01999999999</v>
      </c>
      <c r="G210" s="40">
        <f t="shared" si="166"/>
        <v>86538.19</v>
      </c>
      <c r="H210" s="40">
        <f t="shared" si="166"/>
        <v>16647.439999999999</v>
      </c>
      <c r="I210" s="40">
        <f t="shared" si="166"/>
        <v>131427.44</v>
      </c>
      <c r="J210" s="40">
        <f t="shared" si="166"/>
        <v>144056.04</v>
      </c>
      <c r="K210" s="40">
        <f t="shared" si="166"/>
        <v>86666.42</v>
      </c>
      <c r="L210" s="40">
        <f t="shared" si="166"/>
        <v>61612.689999999995</v>
      </c>
      <c r="M210" s="40">
        <f t="shared" si="166"/>
        <v>39150.720000000001</v>
      </c>
      <c r="N210" s="40">
        <f t="shared" si="166"/>
        <v>53261.420000000006</v>
      </c>
      <c r="O210" s="40">
        <f t="shared" si="166"/>
        <v>188752.22412345745</v>
      </c>
      <c r="P210" s="40">
        <f t="shared" si="166"/>
        <v>70349.521343906948</v>
      </c>
      <c r="Q210" s="40">
        <f t="shared" si="166"/>
        <v>103492.740658792</v>
      </c>
      <c r="R210" s="40">
        <f>SUM(F210:Q210)</f>
        <v>1106402.8661261564</v>
      </c>
      <c r="V210" s="40">
        <f t="shared" si="167"/>
        <v>75931.48</v>
      </c>
      <c r="W210" s="40">
        <f t="shared" si="167"/>
        <v>347908.02</v>
      </c>
      <c r="X210" s="40">
        <f t="shared" si="167"/>
        <v>134938.32</v>
      </c>
      <c r="Y210" s="40">
        <f t="shared" si="167"/>
        <v>173440.97028519155</v>
      </c>
      <c r="Z210" s="40">
        <f t="shared" si="167"/>
        <v>194930.32613782567</v>
      </c>
      <c r="AA210" s="40">
        <f t="shared" si="167"/>
        <v>99337.225950779233</v>
      </c>
      <c r="AB210" s="40">
        <f t="shared" si="167"/>
        <v>95367.509506222195</v>
      </c>
      <c r="AC210" s="40">
        <f t="shared" si="167"/>
        <v>167256.33038830882</v>
      </c>
      <c r="AD210" s="40">
        <f t="shared" si="167"/>
        <v>139421.53302355835</v>
      </c>
      <c r="AE210" s="40">
        <f t="shared" si="167"/>
        <v>178330.07836573353</v>
      </c>
      <c r="AF210" s="40">
        <f t="shared" si="167"/>
        <v>87306.352058381541</v>
      </c>
      <c r="AG210" s="40">
        <f t="shared" si="167"/>
        <v>109565.0791136575</v>
      </c>
      <c r="AH210" s="40">
        <f t="shared" ref="AH210:AH213" si="170">SUM(V210:AG210)</f>
        <v>1803733.2248296586</v>
      </c>
      <c r="AI210" s="132">
        <f t="shared" si="168"/>
        <v>0.63026803351030902</v>
      </c>
      <c r="AK210" s="40">
        <f t="shared" si="169"/>
        <v>120075.42879999999</v>
      </c>
      <c r="AL210" s="40">
        <f t="shared" si="169"/>
        <v>217945.43494000001</v>
      </c>
      <c r="AM210" s="40">
        <f t="shared" si="169"/>
        <v>228469.73320000002</v>
      </c>
      <c r="AN210" s="40">
        <f t="shared" si="169"/>
        <v>281028.41970800684</v>
      </c>
      <c r="AO210" s="40">
        <f t="shared" si="169"/>
        <v>271841.8992034042</v>
      </c>
      <c r="AP210" s="40">
        <f t="shared" si="169"/>
        <v>137339.68141286779</v>
      </c>
      <c r="AQ210" s="40">
        <f t="shared" si="169"/>
        <v>157660.82058225491</v>
      </c>
      <c r="AR210" s="40">
        <f t="shared" si="169"/>
        <v>222175.51950089086</v>
      </c>
      <c r="AS210" s="40">
        <f t="shared" si="169"/>
        <v>303407.42592597794</v>
      </c>
      <c r="AT210" s="40">
        <f t="shared" si="169"/>
        <v>287925.9086248636</v>
      </c>
      <c r="AU210" s="40">
        <f t="shared" si="169"/>
        <v>198972.06133780716</v>
      </c>
      <c r="AV210" s="40">
        <f t="shared" si="169"/>
        <v>165997.56728019446</v>
      </c>
      <c r="AW210" s="40">
        <f t="shared" ref="AW210:AW213" si="171">SUM(AK210:AV210)</f>
        <v>2592839.9005162674</v>
      </c>
      <c r="AX210" s="132">
        <f>IFERROR(AW210/AG210-1,0)</f>
        <v>22.66483848221915</v>
      </c>
    </row>
    <row r="211" spans="1:50">
      <c r="A211" s="13" t="s">
        <v>66</v>
      </c>
      <c r="F211" s="40">
        <f t="shared" si="166"/>
        <v>57365.08</v>
      </c>
      <c r="G211" s="40">
        <f t="shared" si="166"/>
        <v>106790.44999999998</v>
      </c>
      <c r="H211" s="40">
        <f t="shared" si="166"/>
        <v>41709.25</v>
      </c>
      <c r="I211" s="40">
        <f t="shared" si="166"/>
        <v>56168.880000000005</v>
      </c>
      <c r="J211" s="40">
        <f t="shared" si="166"/>
        <v>19670.21</v>
      </c>
      <c r="K211" s="40">
        <f t="shared" si="166"/>
        <v>38808.58</v>
      </c>
      <c r="L211" s="40">
        <f t="shared" si="166"/>
        <v>81003.820000000007</v>
      </c>
      <c r="M211" s="40">
        <f t="shared" si="166"/>
        <v>31392.78</v>
      </c>
      <c r="N211" s="40">
        <f t="shared" si="166"/>
        <v>91814.329999999987</v>
      </c>
      <c r="O211" s="40">
        <f t="shared" si="166"/>
        <v>146621.02840644537</v>
      </c>
      <c r="P211" s="40">
        <f t="shared" si="166"/>
        <v>50556.439344010352</v>
      </c>
      <c r="Q211" s="40">
        <f t="shared" si="166"/>
        <v>100613.14533975294</v>
      </c>
      <c r="R211" s="40">
        <f>SUM(F211:Q211)</f>
        <v>822513.99309020862</v>
      </c>
      <c r="V211" s="40">
        <f t="shared" si="167"/>
        <v>36500</v>
      </c>
      <c r="W211" s="40">
        <f t="shared" si="167"/>
        <v>66319.399999999994</v>
      </c>
      <c r="X211" s="40">
        <f t="shared" si="167"/>
        <v>67838.600000000006</v>
      </c>
      <c r="Y211" s="40">
        <f t="shared" si="167"/>
        <v>66541.682214808476</v>
      </c>
      <c r="Z211" s="40">
        <f t="shared" si="167"/>
        <v>57244.749535755094</v>
      </c>
      <c r="AA211" s="40">
        <f t="shared" si="167"/>
        <v>61309.687761011155</v>
      </c>
      <c r="AB211" s="40">
        <f t="shared" si="167"/>
        <v>54246.557859498331</v>
      </c>
      <c r="AC211" s="40">
        <f t="shared" si="167"/>
        <v>54155.34416955139</v>
      </c>
      <c r="AD211" s="40">
        <f t="shared" si="167"/>
        <v>89104.396842162198</v>
      </c>
      <c r="AE211" s="40">
        <f t="shared" si="167"/>
        <v>139602.34579721311</v>
      </c>
      <c r="AF211" s="40">
        <f t="shared" si="167"/>
        <v>51136.766918545123</v>
      </c>
      <c r="AG211" s="40">
        <f t="shared" si="167"/>
        <v>73347.632855082949</v>
      </c>
      <c r="AH211" s="40">
        <f t="shared" si="170"/>
        <v>817347.16395362793</v>
      </c>
      <c r="AI211" s="132">
        <f t="shared" si="168"/>
        <v>-6.2817522619509347E-3</v>
      </c>
      <c r="AK211" s="40">
        <f t="shared" si="169"/>
        <v>38325</v>
      </c>
      <c r="AL211" s="40">
        <f t="shared" si="169"/>
        <v>69635.37</v>
      </c>
      <c r="AM211" s="40">
        <f t="shared" si="169"/>
        <v>71230.53</v>
      </c>
      <c r="AN211" s="40">
        <f t="shared" si="169"/>
        <v>76168.766325548902</v>
      </c>
      <c r="AO211" s="40">
        <f t="shared" si="169"/>
        <v>68506.987012542842</v>
      </c>
      <c r="AP211" s="40">
        <f t="shared" si="169"/>
        <v>72775.17214906172</v>
      </c>
      <c r="AQ211" s="40">
        <f t="shared" si="169"/>
        <v>63258.885752473252</v>
      </c>
      <c r="AR211" s="40">
        <f t="shared" si="169"/>
        <v>65263.111378028967</v>
      </c>
      <c r="AS211" s="40">
        <f t="shared" si="169"/>
        <v>101959.6166842703</v>
      </c>
      <c r="AT211" s="40">
        <f t="shared" si="169"/>
        <v>152882.46308707376</v>
      </c>
      <c r="AU211" s="40">
        <f t="shared" si="169"/>
        <v>59993.605264472375</v>
      </c>
      <c r="AV211" s="40">
        <f t="shared" si="169"/>
        <v>85415.01449783711</v>
      </c>
      <c r="AW211" s="40">
        <f t="shared" si="171"/>
        <v>925414.5221513093</v>
      </c>
      <c r="AX211" s="132">
        <f>IFERROR(AW211/AG211-1,0)</f>
        <v>11.616828739104681</v>
      </c>
    </row>
    <row r="212" spans="1:50">
      <c r="A212" s="13" t="s">
        <v>67</v>
      </c>
      <c r="F212" s="40">
        <f t="shared" si="166"/>
        <v>171532.06</v>
      </c>
      <c r="G212" s="40">
        <f t="shared" si="166"/>
        <v>77393.98</v>
      </c>
      <c r="H212" s="40">
        <f t="shared" si="166"/>
        <v>7268.6400000000012</v>
      </c>
      <c r="I212" s="40">
        <f t="shared" si="166"/>
        <v>47841.929999999993</v>
      </c>
      <c r="J212" s="40">
        <f t="shared" si="166"/>
        <v>10718.7</v>
      </c>
      <c r="K212" s="40">
        <f t="shared" si="166"/>
        <v>100741.6</v>
      </c>
      <c r="L212" s="40">
        <f t="shared" si="166"/>
        <v>78635.420000000013</v>
      </c>
      <c r="M212" s="40">
        <f t="shared" si="166"/>
        <v>167223.87999999998</v>
      </c>
      <c r="N212" s="40">
        <f t="shared" si="166"/>
        <v>56755.4</v>
      </c>
      <c r="O212" s="40">
        <f t="shared" si="166"/>
        <v>15000</v>
      </c>
      <c r="P212" s="40">
        <f t="shared" si="166"/>
        <v>248000</v>
      </c>
      <c r="Q212" s="40">
        <f t="shared" si="166"/>
        <v>72000</v>
      </c>
      <c r="R212" s="40">
        <f>SUM(F212:Q212)</f>
        <v>1053111.6100000001</v>
      </c>
      <c r="V212" s="40">
        <f t="shared" si="167"/>
        <v>715.68</v>
      </c>
      <c r="W212" s="40">
        <f t="shared" si="167"/>
        <v>52340.244000000006</v>
      </c>
      <c r="X212" s="40">
        <f t="shared" si="167"/>
        <v>135000</v>
      </c>
      <c r="Y212" s="40">
        <f t="shared" si="167"/>
        <v>118061.504</v>
      </c>
      <c r="Z212" s="40">
        <f t="shared" si="167"/>
        <v>84862.44</v>
      </c>
      <c r="AA212" s="40">
        <f t="shared" si="167"/>
        <v>54897.64</v>
      </c>
      <c r="AB212" s="40">
        <f t="shared" si="167"/>
        <v>96313.063999999998</v>
      </c>
      <c r="AC212" s="40">
        <f t="shared" si="167"/>
        <v>124426.73599999999</v>
      </c>
      <c r="AD212" s="40">
        <f t="shared" si="167"/>
        <v>60000</v>
      </c>
      <c r="AE212" s="40">
        <f t="shared" si="167"/>
        <v>20000</v>
      </c>
      <c r="AF212" s="40">
        <f t="shared" si="167"/>
        <v>2000</v>
      </c>
      <c r="AG212" s="40">
        <f t="shared" si="167"/>
        <v>20000</v>
      </c>
      <c r="AH212" s="40">
        <f t="shared" si="170"/>
        <v>768617.30800000008</v>
      </c>
      <c r="AI212" s="132">
        <f t="shared" si="168"/>
        <v>-0.27014639217584924</v>
      </c>
      <c r="AK212" s="40">
        <f t="shared" si="169"/>
        <v>787.24800000000005</v>
      </c>
      <c r="AL212" s="40">
        <f t="shared" si="169"/>
        <v>33654.238400000002</v>
      </c>
      <c r="AM212" s="40">
        <f t="shared" si="169"/>
        <v>141750</v>
      </c>
      <c r="AN212" s="40">
        <f t="shared" si="169"/>
        <v>109517.6544</v>
      </c>
      <c r="AO212" s="40">
        <f t="shared" si="169"/>
        <v>89748.684000000008</v>
      </c>
      <c r="AP212" s="40">
        <f t="shared" si="169"/>
        <v>50142.521999999997</v>
      </c>
      <c r="AQ212" s="40">
        <f t="shared" si="169"/>
        <v>89594.3704</v>
      </c>
      <c r="AR212" s="40">
        <f t="shared" si="169"/>
        <v>183326.90360000002</v>
      </c>
      <c r="AS212" s="40">
        <f t="shared" si="169"/>
        <v>41000</v>
      </c>
      <c r="AT212" s="40">
        <f t="shared" si="169"/>
        <v>31900</v>
      </c>
      <c r="AU212" s="40">
        <f t="shared" si="169"/>
        <v>2100</v>
      </c>
      <c r="AV212" s="40">
        <f t="shared" si="169"/>
        <v>21900</v>
      </c>
      <c r="AW212" s="40">
        <f t="shared" si="171"/>
        <v>795421.62080000003</v>
      </c>
      <c r="AX212" s="132">
        <f>IFERROR(AW212/AG212-1,0)</f>
        <v>38.771081039999999</v>
      </c>
    </row>
    <row r="213" spans="1:50">
      <c r="A213" s="413" t="s">
        <v>82</v>
      </c>
      <c r="B213" s="413"/>
      <c r="C213" s="413"/>
      <c r="D213" s="413"/>
      <c r="E213" s="413"/>
      <c r="F213" s="411">
        <f>SUM(F209:F212)</f>
        <v>664598.43000000005</v>
      </c>
      <c r="G213" s="411">
        <f t="shared" ref="G213:Q213" si="172">SUM(G209:G212)</f>
        <v>511858.30999999994</v>
      </c>
      <c r="H213" s="411">
        <f t="shared" si="172"/>
        <v>289271.34999999998</v>
      </c>
      <c r="I213" s="411">
        <f t="shared" si="172"/>
        <v>518686.04999999993</v>
      </c>
      <c r="J213" s="411">
        <f t="shared" si="172"/>
        <v>591784.68999999994</v>
      </c>
      <c r="K213" s="411">
        <f t="shared" si="172"/>
        <v>418370.16000000003</v>
      </c>
      <c r="L213" s="411">
        <f t="shared" si="172"/>
        <v>329766.20999999996</v>
      </c>
      <c r="M213" s="411">
        <f t="shared" si="172"/>
        <v>506222.56000000006</v>
      </c>
      <c r="N213" s="411">
        <f t="shared" si="172"/>
        <v>765877.13</v>
      </c>
      <c r="O213" s="411">
        <f t="shared" si="172"/>
        <v>768504.96346121165</v>
      </c>
      <c r="P213" s="411">
        <f t="shared" si="172"/>
        <v>707319.97999360505</v>
      </c>
      <c r="Q213" s="411">
        <f t="shared" si="172"/>
        <v>626632.90564634954</v>
      </c>
      <c r="R213" s="411">
        <f>SUM(F213:Q213)</f>
        <v>6698892.7391011659</v>
      </c>
      <c r="S213" s="40"/>
      <c r="V213" s="411">
        <f>SUM(V209:V212)</f>
        <v>449360.45439999999</v>
      </c>
      <c r="W213" s="411">
        <f t="shared" ref="W213" si="173">SUM(W209:W212)</f>
        <v>705870.75790000008</v>
      </c>
      <c r="X213" s="411">
        <f t="shared" ref="X213" si="174">SUM(X209:X212)</f>
        <v>560120.97219999996</v>
      </c>
      <c r="Y213" s="411">
        <f t="shared" ref="Y213" si="175">SUM(Y209:Y212)</f>
        <v>588909.58830000006</v>
      </c>
      <c r="Z213" s="411">
        <f t="shared" ref="Z213" si="176">SUM(Z209:Z212)</f>
        <v>651637.06967358082</v>
      </c>
      <c r="AA213" s="411">
        <f t="shared" ref="AA213" si="177">SUM(AA209:AA212)</f>
        <v>438387.90211179038</v>
      </c>
      <c r="AB213" s="411">
        <f t="shared" ref="AB213" si="178">SUM(AB209:AB212)</f>
        <v>565869.50146572059</v>
      </c>
      <c r="AC213" s="411">
        <f t="shared" ref="AC213" si="179">SUM(AC209:AC212)</f>
        <v>1138090.4923578601</v>
      </c>
      <c r="AD213" s="411">
        <f t="shared" ref="AD213" si="180">SUM(AD209:AD212)</f>
        <v>807242.71266572061</v>
      </c>
      <c r="AE213" s="411">
        <f t="shared" ref="AE213" si="181">SUM(AE209:AE212)</f>
        <v>659561.02542466042</v>
      </c>
      <c r="AF213" s="411">
        <f t="shared" ref="AF213" si="182">SUM(AF209:AF212)</f>
        <v>488057.04544844793</v>
      </c>
      <c r="AG213" s="411">
        <f t="shared" ref="AG213" si="183">SUM(AG209:AG212)</f>
        <v>514690.9705769564</v>
      </c>
      <c r="AH213" s="411">
        <f t="shared" si="170"/>
        <v>7567798.4925247356</v>
      </c>
      <c r="AI213" s="422">
        <f>IFERROR(AH213/R213-1,0)</f>
        <v>0.12970886193651099</v>
      </c>
      <c r="AK213" s="411">
        <f>SUM(AK209:AK212)</f>
        <v>550368.75819000008</v>
      </c>
      <c r="AL213" s="411">
        <f t="shared" ref="AL213" si="184">SUM(AL209:AL212)</f>
        <v>623444.76433500007</v>
      </c>
      <c r="AM213" s="411">
        <f t="shared" ref="AM213" si="185">SUM(AM209:AM212)</f>
        <v>708143.05111</v>
      </c>
      <c r="AN213" s="411">
        <f t="shared" ref="AN213" si="186">SUM(AN209:AN212)</f>
        <v>747837.52592355572</v>
      </c>
      <c r="AO213" s="411">
        <f t="shared" ref="AO213" si="187">SUM(AO209:AO212)</f>
        <v>781870.602215947</v>
      </c>
      <c r="AP213" s="411">
        <f t="shared" ref="AP213" si="188">SUM(AP209:AP212)</f>
        <v>539331.01733192953</v>
      </c>
      <c r="AQ213" s="411">
        <f t="shared" ref="AQ213" si="189">SUM(AQ209:AQ212)</f>
        <v>685093.44234472828</v>
      </c>
      <c r="AR213" s="411">
        <f t="shared" ref="AR213" si="190">SUM(AR209:AR212)</f>
        <v>1446716.7982789201</v>
      </c>
      <c r="AS213" s="411">
        <f t="shared" ref="AS213" si="191">SUM(AS209:AS212)</f>
        <v>1045207.8814002483</v>
      </c>
      <c r="AT213" s="411">
        <f t="shared" ref="AT213" si="192">SUM(AT209:AT212)</f>
        <v>872848.1378898304</v>
      </c>
      <c r="AU213" s="411">
        <f t="shared" ref="AU213" si="193">SUM(AU209:AU212)</f>
        <v>657853.84730337129</v>
      </c>
      <c r="AV213" s="411">
        <f t="shared" ref="AV213" si="194">SUM(AV209:AV212)</f>
        <v>626230.54806345818</v>
      </c>
      <c r="AW213" s="411">
        <f t="shared" si="171"/>
        <v>9284946.3743869904</v>
      </c>
      <c r="AX213" s="422">
        <f>IFERROR(AW213/AG213-1,0)</f>
        <v>17.039847025058133</v>
      </c>
    </row>
    <row r="214" spans="1:50"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  <c r="AK214" s="45"/>
      <c r="AL214" s="45"/>
      <c r="AM214" s="45"/>
      <c r="AN214" s="45"/>
      <c r="AO214" s="45"/>
      <c r="AP214" s="45"/>
      <c r="AQ214" s="45"/>
      <c r="AR214" s="45"/>
      <c r="AS214" s="45"/>
      <c r="AT214" s="45"/>
      <c r="AU214" s="45"/>
      <c r="AV214" s="45"/>
      <c r="AW214" s="45"/>
    </row>
    <row r="215" spans="1:50">
      <c r="A215" s="13" t="s">
        <v>442</v>
      </c>
      <c r="B215" s="139">
        <f>_xlfn.XLOOKUP("B2B CoGS",'UK P&amp;L'!$B:$B,'UK P&amp;L'!$C:$C)</f>
        <v>-0.25519999999999998</v>
      </c>
      <c r="F215" s="40">
        <f t="shared" ref="F215:Q215" si="195">F$209*$B215</f>
        <v>-79431.834504000013</v>
      </c>
      <c r="G215" s="40">
        <f t="shared" si="195"/>
        <v>-61537.828087999995</v>
      </c>
      <c r="H215" s="40">
        <f t="shared" si="195"/>
        <v>-57074.464303999986</v>
      </c>
      <c r="I215" s="40">
        <f t="shared" si="195"/>
        <v>-72284.838559999975</v>
      </c>
      <c r="J215" s="40">
        <f t="shared" si="195"/>
        <v>-106505.10164800001</v>
      </c>
      <c r="K215" s="40">
        <f t="shared" si="195"/>
        <v>-49037.588511999995</v>
      </c>
      <c r="L215" s="40">
        <f t="shared" si="195"/>
        <v>-27692.844255999993</v>
      </c>
      <c r="M215" s="40">
        <f t="shared" si="195"/>
        <v>-68509.761935999995</v>
      </c>
      <c r="N215" s="40">
        <f t="shared" si="195"/>
        <v>-143944.53409599999</v>
      </c>
      <c r="O215" s="40">
        <f t="shared" si="195"/>
        <v>-106707.21262967</v>
      </c>
      <c r="P215" s="40">
        <f t="shared" si="195"/>
        <v>-86363.257726811513</v>
      </c>
      <c r="Q215" s="40">
        <f t="shared" si="195"/>
        <v>-89454.495414119752</v>
      </c>
      <c r="R215" s="40">
        <f>SUM(F215:Q215)</f>
        <v>-948543.76167460124</v>
      </c>
      <c r="V215" s="40">
        <f t="shared" ref="V215:AG215" si="196">V$209*$B215</f>
        <v>-85801.632730879996</v>
      </c>
      <c r="W215" s="40">
        <f t="shared" si="196"/>
        <v>-61070.14956328</v>
      </c>
      <c r="X215" s="40">
        <f t="shared" si="196"/>
        <v>-56742.202121439987</v>
      </c>
      <c r="Y215" s="40">
        <f t="shared" si="196"/>
        <v>-58916.858195359993</v>
      </c>
      <c r="Z215" s="40">
        <f t="shared" si="196"/>
        <v>-80285.806180799977</v>
      </c>
      <c r="AA215" s="40">
        <f t="shared" si="196"/>
        <v>-56869.622511679983</v>
      </c>
      <c r="AB215" s="40">
        <f t="shared" si="196"/>
        <v>-81649.292849520003</v>
      </c>
      <c r="AC215" s="40">
        <f t="shared" si="196"/>
        <v>-202182.73127535995</v>
      </c>
      <c r="AD215" s="40">
        <f t="shared" si="196"/>
        <v>-132376.52297056001</v>
      </c>
      <c r="AE215" s="40">
        <f t="shared" si="196"/>
        <v>-82079.619041989354</v>
      </c>
      <c r="AF215" s="40">
        <f t="shared" si="196"/>
        <v>-88711.07403553222</v>
      </c>
      <c r="AG215" s="40">
        <f t="shared" si="196"/>
        <v>-79565.811596816711</v>
      </c>
      <c r="AH215" s="40">
        <f>SUM(V215:AG215)</f>
        <v>-1066251.3230732181</v>
      </c>
      <c r="AI215" s="132">
        <f t="shared" ref="AI215:AI218" si="197">IFERROR(AH215/R215-1,0)</f>
        <v>0.12409291606199657</v>
      </c>
      <c r="AK215" s="40">
        <f t="shared" ref="AK215:AV215" si="198">AK$209*$B215</f>
        <v>-99829.411970728004</v>
      </c>
      <c r="AL215" s="40">
        <f t="shared" si="198"/>
        <v>-77123.920797924002</v>
      </c>
      <c r="AM215" s="40">
        <f t="shared" si="198"/>
        <v>-68059.999474631986</v>
      </c>
      <c r="AN215" s="40">
        <f t="shared" si="198"/>
        <v>-71742.509337047988</v>
      </c>
      <c r="AO215" s="40">
        <f t="shared" si="198"/>
        <v>-89772.477766399985</v>
      </c>
      <c r="AP215" s="40">
        <f t="shared" si="198"/>
        <v>-71219.593379703991</v>
      </c>
      <c r="AQ215" s="40">
        <f t="shared" si="198"/>
        <v>-95592.654103672001</v>
      </c>
      <c r="AR215" s="40">
        <f t="shared" si="198"/>
        <v>-249062.76252176001</v>
      </c>
      <c r="AS215" s="40">
        <f t="shared" si="198"/>
        <v>-152824.18205920802</v>
      </c>
      <c r="AT215" s="40">
        <f t="shared" si="198"/>
        <v>-102115.66832859829</v>
      </c>
      <c r="AU215" s="40">
        <f t="shared" si="198"/>
        <v>-101260.34371491859</v>
      </c>
      <c r="AV215" s="40">
        <f t="shared" si="198"/>
        <v>-90064.664996040839</v>
      </c>
      <c r="AW215" s="40">
        <f>SUM(AK215:AV215)</f>
        <v>-1268668.1884506338</v>
      </c>
      <c r="AX215" s="132">
        <f>IFERROR(AW215/AG215-1,0)</f>
        <v>14.944890939834151</v>
      </c>
    </row>
    <row r="216" spans="1:50">
      <c r="A216" s="13" t="s">
        <v>443</v>
      </c>
      <c r="B216" s="139">
        <f>_xlfn.XLOOKUP("B2B CoGS",'CE P&amp;L'!$B:$B,'CE P&amp;L'!$C:$C)</f>
        <v>-0.32</v>
      </c>
      <c r="F216" s="40">
        <f t="shared" ref="F216:Q216" si="199">F$210*$B216</f>
        <v>-39823.366399999999</v>
      </c>
      <c r="G216" s="40">
        <f t="shared" si="199"/>
        <v>-27692.220800000003</v>
      </c>
      <c r="H216" s="40">
        <f t="shared" si="199"/>
        <v>-5327.1808000000001</v>
      </c>
      <c r="I216" s="40">
        <f t="shared" si="199"/>
        <v>-42056.7808</v>
      </c>
      <c r="J216" s="40">
        <f t="shared" si="199"/>
        <v>-46097.932800000002</v>
      </c>
      <c r="K216" s="40">
        <f t="shared" si="199"/>
        <v>-27733.254400000002</v>
      </c>
      <c r="L216" s="40">
        <f t="shared" si="199"/>
        <v>-19716.060799999999</v>
      </c>
      <c r="M216" s="40">
        <f t="shared" si="199"/>
        <v>-12528.2304</v>
      </c>
      <c r="N216" s="40">
        <f t="shared" si="199"/>
        <v>-17043.654400000003</v>
      </c>
      <c r="O216" s="40">
        <f t="shared" si="199"/>
        <v>-60400.711719506384</v>
      </c>
      <c r="P216" s="40">
        <f t="shared" si="199"/>
        <v>-22511.846830050225</v>
      </c>
      <c r="Q216" s="40">
        <f t="shared" si="199"/>
        <v>-33117.677010813437</v>
      </c>
      <c r="R216" s="40">
        <f>SUM(F216:Q216)</f>
        <v>-354048.9171603701</v>
      </c>
      <c r="V216" s="40">
        <f t="shared" ref="V216:AG216" si="200">V$210*$B216</f>
        <v>-24298.0736</v>
      </c>
      <c r="W216" s="40">
        <f t="shared" si="200"/>
        <v>-111330.56640000001</v>
      </c>
      <c r="X216" s="40">
        <f t="shared" si="200"/>
        <v>-43180.2624</v>
      </c>
      <c r="Y216" s="40">
        <f t="shared" si="200"/>
        <v>-55501.110491261294</v>
      </c>
      <c r="Z216" s="40">
        <f t="shared" si="200"/>
        <v>-62377.704364104218</v>
      </c>
      <c r="AA216" s="40">
        <f t="shared" si="200"/>
        <v>-31787.912304249356</v>
      </c>
      <c r="AB216" s="40">
        <f t="shared" si="200"/>
        <v>-30517.603041991104</v>
      </c>
      <c r="AC216" s="40">
        <f t="shared" si="200"/>
        <v>-53522.025724258827</v>
      </c>
      <c r="AD216" s="40">
        <f t="shared" si="200"/>
        <v>-44614.89056753867</v>
      </c>
      <c r="AE216" s="40">
        <f t="shared" si="200"/>
        <v>-57065.625077034732</v>
      </c>
      <c r="AF216" s="40">
        <f t="shared" si="200"/>
        <v>-27938.032658682092</v>
      </c>
      <c r="AG216" s="40">
        <f t="shared" si="200"/>
        <v>-35060.825316370399</v>
      </c>
      <c r="AH216" s="40">
        <f t="shared" ref="AH216:AH219" si="201">SUM(V216:AG216)</f>
        <v>-577194.63194549072</v>
      </c>
      <c r="AI216" s="132">
        <f t="shared" si="197"/>
        <v>0.63026803351030858</v>
      </c>
      <c r="AK216" s="40">
        <f t="shared" ref="AK216:AV216" si="202">AK$210*$B216</f>
        <v>-38424.137215999996</v>
      </c>
      <c r="AL216" s="40">
        <f t="shared" si="202"/>
        <v>-69742.539180799999</v>
      </c>
      <c r="AM216" s="40">
        <f t="shared" si="202"/>
        <v>-73110.314624000006</v>
      </c>
      <c r="AN216" s="40">
        <f t="shared" si="202"/>
        <v>-89929.094306562198</v>
      </c>
      <c r="AO216" s="40">
        <f t="shared" si="202"/>
        <v>-86989.407745089353</v>
      </c>
      <c r="AP216" s="40">
        <f t="shared" si="202"/>
        <v>-43948.698052117696</v>
      </c>
      <c r="AQ216" s="40">
        <f t="shared" si="202"/>
        <v>-50451.46258632157</v>
      </c>
      <c r="AR216" s="40">
        <f t="shared" si="202"/>
        <v>-71096.166240285078</v>
      </c>
      <c r="AS216" s="40">
        <f t="shared" si="202"/>
        <v>-97090.376296312941</v>
      </c>
      <c r="AT216" s="40">
        <f t="shared" si="202"/>
        <v>-92136.290759956348</v>
      </c>
      <c r="AU216" s="40">
        <f t="shared" si="202"/>
        <v>-63671.059628098294</v>
      </c>
      <c r="AV216" s="40">
        <f t="shared" si="202"/>
        <v>-53119.221529662231</v>
      </c>
      <c r="AW216" s="40">
        <f t="shared" ref="AW216:AW219" si="203">SUM(AK216:AV216)</f>
        <v>-829708.76816520572</v>
      </c>
      <c r="AX216" s="132">
        <f>IFERROR(AW216/AG216-1,0)</f>
        <v>22.664838482219153</v>
      </c>
    </row>
    <row r="217" spans="1:50">
      <c r="A217" s="13" t="s">
        <v>444</v>
      </c>
      <c r="B217" s="139">
        <f>_xlfn.XLOOKUP("B2B CoGS",'EE P&amp;L'!$B:$B,'EE P&amp;L'!$C:$C)</f>
        <v>-0.4</v>
      </c>
      <c r="F217" s="40">
        <f t="shared" ref="F217:Q217" si="204">F$211*$B217</f>
        <v>-22946.032000000003</v>
      </c>
      <c r="G217" s="40">
        <f t="shared" si="204"/>
        <v>-42716.179999999993</v>
      </c>
      <c r="H217" s="40">
        <f t="shared" si="204"/>
        <v>-16683.7</v>
      </c>
      <c r="I217" s="40">
        <f t="shared" si="204"/>
        <v>-22467.552000000003</v>
      </c>
      <c r="J217" s="40">
        <f t="shared" si="204"/>
        <v>-7868.0839999999998</v>
      </c>
      <c r="K217" s="40">
        <f t="shared" si="204"/>
        <v>-15523.432000000001</v>
      </c>
      <c r="L217" s="40">
        <f t="shared" si="204"/>
        <v>-32401.528000000006</v>
      </c>
      <c r="M217" s="40">
        <f t="shared" si="204"/>
        <v>-12557.112000000001</v>
      </c>
      <c r="N217" s="40">
        <f t="shared" si="204"/>
        <v>-36725.731999999996</v>
      </c>
      <c r="O217" s="40">
        <f t="shared" si="204"/>
        <v>-58648.411362578154</v>
      </c>
      <c r="P217" s="40">
        <f t="shared" si="204"/>
        <v>-20222.575737604144</v>
      </c>
      <c r="Q217" s="40">
        <f t="shared" si="204"/>
        <v>-40245.258135901182</v>
      </c>
      <c r="R217" s="40">
        <f>SUM(F217:Q217)</f>
        <v>-329005.59723608347</v>
      </c>
      <c r="V217" s="40">
        <f t="shared" ref="V217:AG217" si="205">V$211*$B217</f>
        <v>-14600</v>
      </c>
      <c r="W217" s="40">
        <f t="shared" si="205"/>
        <v>-26527.759999999998</v>
      </c>
      <c r="X217" s="40">
        <f t="shared" si="205"/>
        <v>-27135.440000000002</v>
      </c>
      <c r="Y217" s="40">
        <f t="shared" si="205"/>
        <v>-26616.672885923392</v>
      </c>
      <c r="Z217" s="40">
        <f t="shared" si="205"/>
        <v>-22897.89981430204</v>
      </c>
      <c r="AA217" s="40">
        <f t="shared" si="205"/>
        <v>-24523.875104404462</v>
      </c>
      <c r="AB217" s="40">
        <f t="shared" si="205"/>
        <v>-21698.623143799334</v>
      </c>
      <c r="AC217" s="40">
        <f t="shared" si="205"/>
        <v>-21662.137667820556</v>
      </c>
      <c r="AD217" s="40">
        <f t="shared" si="205"/>
        <v>-35641.758736864882</v>
      </c>
      <c r="AE217" s="40">
        <f t="shared" si="205"/>
        <v>-55840.938318885252</v>
      </c>
      <c r="AF217" s="40">
        <f t="shared" si="205"/>
        <v>-20454.706767418051</v>
      </c>
      <c r="AG217" s="40">
        <f t="shared" si="205"/>
        <v>-29339.053142033183</v>
      </c>
      <c r="AH217" s="40">
        <f t="shared" si="201"/>
        <v>-326938.86558145122</v>
      </c>
      <c r="AI217" s="132">
        <f t="shared" si="197"/>
        <v>-6.2817522619508237E-3</v>
      </c>
      <c r="AK217" s="40">
        <f t="shared" ref="AK217:AV217" si="206">AK$211*$B217</f>
        <v>-15330</v>
      </c>
      <c r="AL217" s="40">
        <f t="shared" si="206"/>
        <v>-27854.148000000001</v>
      </c>
      <c r="AM217" s="40">
        <f t="shared" si="206"/>
        <v>-28492.212</v>
      </c>
      <c r="AN217" s="40">
        <f t="shared" si="206"/>
        <v>-30467.506530219562</v>
      </c>
      <c r="AO217" s="40">
        <f t="shared" si="206"/>
        <v>-27402.79480501714</v>
      </c>
      <c r="AP217" s="40">
        <f t="shared" si="206"/>
        <v>-29110.068859624691</v>
      </c>
      <c r="AQ217" s="40">
        <f t="shared" si="206"/>
        <v>-25303.554300989301</v>
      </c>
      <c r="AR217" s="40">
        <f t="shared" si="206"/>
        <v>-26105.244551211588</v>
      </c>
      <c r="AS217" s="40">
        <f t="shared" si="206"/>
        <v>-40783.846673708118</v>
      </c>
      <c r="AT217" s="40">
        <f t="shared" si="206"/>
        <v>-61152.98523482951</v>
      </c>
      <c r="AU217" s="40">
        <f t="shared" si="206"/>
        <v>-23997.442105788952</v>
      </c>
      <c r="AV217" s="40">
        <f t="shared" si="206"/>
        <v>-34166.005799134844</v>
      </c>
      <c r="AW217" s="40">
        <f t="shared" si="203"/>
        <v>-370165.80886052374</v>
      </c>
      <c r="AX217" s="132">
        <f>IFERROR(AW217/AG217-1,0)</f>
        <v>11.616828739104681</v>
      </c>
    </row>
    <row r="218" spans="1:50">
      <c r="A218" s="13" t="s">
        <v>445</v>
      </c>
      <c r="B218" s="139">
        <f>_xlfn.XLOOKUP("B2B CoGS",'ROW P&amp;L'!$B:$B,'ROW P&amp;L'!$C:$C)</f>
        <v>-0.42</v>
      </c>
      <c r="F218" s="40">
        <f t="shared" ref="F218:Q218" si="207">F$212*$B218</f>
        <v>-72043.465199999991</v>
      </c>
      <c r="G218" s="40">
        <f t="shared" si="207"/>
        <v>-32505.471599999997</v>
      </c>
      <c r="H218" s="40">
        <f t="shared" si="207"/>
        <v>-3052.8288000000002</v>
      </c>
      <c r="I218" s="40">
        <f t="shared" si="207"/>
        <v>-20093.610599999996</v>
      </c>
      <c r="J218" s="40">
        <f t="shared" si="207"/>
        <v>-4501.8540000000003</v>
      </c>
      <c r="K218" s="40">
        <f t="shared" si="207"/>
        <v>-42311.472000000002</v>
      </c>
      <c r="L218" s="40">
        <f t="shared" si="207"/>
        <v>-33026.876400000001</v>
      </c>
      <c r="M218" s="40">
        <f t="shared" si="207"/>
        <v>-70234.029599999994</v>
      </c>
      <c r="N218" s="40">
        <f t="shared" si="207"/>
        <v>-23837.268</v>
      </c>
      <c r="O218" s="40">
        <f t="shared" si="207"/>
        <v>-6300</v>
      </c>
      <c r="P218" s="40">
        <f t="shared" si="207"/>
        <v>-104160</v>
      </c>
      <c r="Q218" s="40">
        <f t="shared" si="207"/>
        <v>-30240</v>
      </c>
      <c r="R218" s="40">
        <f>SUM(F218:Q218)</f>
        <v>-442306.8762</v>
      </c>
      <c r="V218" s="40">
        <f t="shared" ref="V218:AG218" si="208">V$212*$B218</f>
        <v>-300.58559999999994</v>
      </c>
      <c r="W218" s="40">
        <f t="shared" si="208"/>
        <v>-21982.902480000001</v>
      </c>
      <c r="X218" s="40">
        <f t="shared" si="208"/>
        <v>-56700</v>
      </c>
      <c r="Y218" s="40">
        <f t="shared" si="208"/>
        <v>-49585.831679999996</v>
      </c>
      <c r="Z218" s="40">
        <f t="shared" si="208"/>
        <v>-35642.224799999996</v>
      </c>
      <c r="AA218" s="40">
        <f t="shared" si="208"/>
        <v>-23057.0088</v>
      </c>
      <c r="AB218" s="40">
        <f t="shared" si="208"/>
        <v>-40451.486879999997</v>
      </c>
      <c r="AC218" s="40">
        <f t="shared" si="208"/>
        <v>-52259.229119999996</v>
      </c>
      <c r="AD218" s="40">
        <f t="shared" si="208"/>
        <v>-25200</v>
      </c>
      <c r="AE218" s="40">
        <f t="shared" si="208"/>
        <v>-8400</v>
      </c>
      <c r="AF218" s="40">
        <f t="shared" si="208"/>
        <v>-840</v>
      </c>
      <c r="AG218" s="40">
        <f t="shared" si="208"/>
        <v>-8400</v>
      </c>
      <c r="AH218" s="40">
        <f t="shared" si="201"/>
        <v>-322819.26935999998</v>
      </c>
      <c r="AI218" s="132">
        <f t="shared" si="197"/>
        <v>-0.27014639217584935</v>
      </c>
      <c r="AK218" s="40">
        <f t="shared" ref="AK218:AV218" si="209">AK$212*$B218</f>
        <v>-330.64416</v>
      </c>
      <c r="AL218" s="40">
        <f t="shared" si="209"/>
        <v>-14134.780128</v>
      </c>
      <c r="AM218" s="40">
        <f t="shared" si="209"/>
        <v>-59535</v>
      </c>
      <c r="AN218" s="40">
        <f t="shared" si="209"/>
        <v>-45997.414848</v>
      </c>
      <c r="AO218" s="40">
        <f t="shared" si="209"/>
        <v>-37694.44728</v>
      </c>
      <c r="AP218" s="40">
        <f t="shared" si="209"/>
        <v>-21059.859239999998</v>
      </c>
      <c r="AQ218" s="40">
        <f t="shared" si="209"/>
        <v>-37629.635567999998</v>
      </c>
      <c r="AR218" s="40">
        <f t="shared" si="209"/>
        <v>-76997.299512000012</v>
      </c>
      <c r="AS218" s="40">
        <f t="shared" si="209"/>
        <v>-17220</v>
      </c>
      <c r="AT218" s="40">
        <f t="shared" si="209"/>
        <v>-13398</v>
      </c>
      <c r="AU218" s="40">
        <f t="shared" si="209"/>
        <v>-882</v>
      </c>
      <c r="AV218" s="40">
        <f t="shared" si="209"/>
        <v>-9198</v>
      </c>
      <c r="AW218" s="40">
        <f t="shared" si="203"/>
        <v>-334077.08073599997</v>
      </c>
      <c r="AX218" s="132">
        <f>IFERROR(AW218/AG218-1,0)</f>
        <v>38.771081039999999</v>
      </c>
    </row>
    <row r="219" spans="1:50">
      <c r="A219" s="413" t="s">
        <v>446</v>
      </c>
      <c r="B219" s="413"/>
      <c r="C219" s="413"/>
      <c r="D219" s="413"/>
      <c r="E219" s="413"/>
      <c r="F219" s="397">
        <f>SUM(F215:F218)</f>
        <v>-214244.69810400001</v>
      </c>
      <c r="G219" s="397">
        <f t="shared" ref="G219:Q219" si="210">SUM(G215:G218)</f>
        <v>-164451.70048799997</v>
      </c>
      <c r="H219" s="397">
        <f t="shared" si="210"/>
        <v>-82138.173903999996</v>
      </c>
      <c r="I219" s="397">
        <f t="shared" si="210"/>
        <v>-156902.78195999996</v>
      </c>
      <c r="J219" s="397">
        <f t="shared" si="210"/>
        <v>-164972.97244800001</v>
      </c>
      <c r="K219" s="397">
        <f t="shared" si="210"/>
        <v>-134605.746912</v>
      </c>
      <c r="L219" s="397">
        <f t="shared" si="210"/>
        <v>-112837.30945599999</v>
      </c>
      <c r="M219" s="397">
        <f t="shared" si="210"/>
        <v>-163829.133936</v>
      </c>
      <c r="N219" s="397">
        <f t="shared" si="210"/>
        <v>-221551.18849599999</v>
      </c>
      <c r="O219" s="397">
        <f t="shared" si="210"/>
        <v>-232056.33571175454</v>
      </c>
      <c r="P219" s="397">
        <f t="shared" si="210"/>
        <v>-233257.68029446588</v>
      </c>
      <c r="Q219" s="397">
        <f t="shared" si="210"/>
        <v>-193057.43056083436</v>
      </c>
      <c r="R219" s="411">
        <f>SUM(F219:Q219)</f>
        <v>-2073905.1522710547</v>
      </c>
      <c r="S219" s="40"/>
      <c r="V219" s="397">
        <f>SUM(V215:V218)</f>
        <v>-125000.29193088</v>
      </c>
      <c r="W219" s="397">
        <f t="shared" ref="W219" si="211">SUM(W215:W218)</f>
        <v>-220911.37844328</v>
      </c>
      <c r="X219" s="397">
        <f t="shared" ref="X219" si="212">SUM(X215:X218)</f>
        <v>-183757.90452143998</v>
      </c>
      <c r="Y219" s="397">
        <f t="shared" ref="Y219" si="213">SUM(Y215:Y218)</f>
        <v>-190620.47325254467</v>
      </c>
      <c r="Z219" s="397">
        <f t="shared" ref="Z219" si="214">SUM(Z215:Z218)</f>
        <v>-201203.63515920623</v>
      </c>
      <c r="AA219" s="397">
        <f t="shared" ref="AA219" si="215">SUM(AA215:AA218)</f>
        <v>-136238.41872033381</v>
      </c>
      <c r="AB219" s="397">
        <f t="shared" ref="AB219" si="216">SUM(AB215:AB218)</f>
        <v>-174317.00591531047</v>
      </c>
      <c r="AC219" s="397">
        <f t="shared" ref="AC219" si="217">SUM(AC215:AC218)</f>
        <v>-329626.12378743931</v>
      </c>
      <c r="AD219" s="397">
        <f t="shared" ref="AD219" si="218">SUM(AD215:AD218)</f>
        <v>-237833.17227496358</v>
      </c>
      <c r="AE219" s="397">
        <f t="shared" ref="AE219" si="219">SUM(AE215:AE218)</f>
        <v>-203386.18243790933</v>
      </c>
      <c r="AF219" s="397">
        <f t="shared" ref="AF219" si="220">SUM(AF215:AF218)</f>
        <v>-137943.81346163235</v>
      </c>
      <c r="AG219" s="397">
        <f t="shared" ref="AG219" si="221">SUM(AG215:AG218)</f>
        <v>-152365.69005522027</v>
      </c>
      <c r="AH219" s="411">
        <f t="shared" si="201"/>
        <v>-2293204.0899601602</v>
      </c>
      <c r="AI219" s="422">
        <f>IFERROR(AH219/R219-1,0)</f>
        <v>0.10574202848619163</v>
      </c>
      <c r="AK219" s="397">
        <f>SUM(AK215:AK218)</f>
        <v>-153914.19334672799</v>
      </c>
      <c r="AL219" s="397">
        <f t="shared" ref="AL219" si="222">SUM(AL215:AL218)</f>
        <v>-188855.38810672401</v>
      </c>
      <c r="AM219" s="397">
        <f t="shared" ref="AM219" si="223">SUM(AM215:AM218)</f>
        <v>-229197.52609863199</v>
      </c>
      <c r="AN219" s="397">
        <f t="shared" ref="AN219" si="224">SUM(AN215:AN218)</f>
        <v>-238136.52502182976</v>
      </c>
      <c r="AO219" s="397">
        <f t="shared" ref="AO219" si="225">SUM(AO215:AO218)</f>
        <v>-241859.12759650647</v>
      </c>
      <c r="AP219" s="397">
        <f t="shared" ref="AP219" si="226">SUM(AP215:AP218)</f>
        <v>-165338.21953144638</v>
      </c>
      <c r="AQ219" s="397">
        <f t="shared" ref="AQ219" si="227">SUM(AQ215:AQ218)</f>
        <v>-208977.30655898285</v>
      </c>
      <c r="AR219" s="397">
        <f t="shared" ref="AR219" si="228">SUM(AR215:AR218)</f>
        <v>-423261.4728252567</v>
      </c>
      <c r="AS219" s="397">
        <f t="shared" ref="AS219" si="229">SUM(AS215:AS218)</f>
        <v>-307918.40502922906</v>
      </c>
      <c r="AT219" s="397">
        <f t="shared" ref="AT219" si="230">SUM(AT215:AT218)</f>
        <v>-268802.94432338414</v>
      </c>
      <c r="AU219" s="397">
        <f t="shared" ref="AU219" si="231">SUM(AU215:AU218)</f>
        <v>-189810.84544880583</v>
      </c>
      <c r="AV219" s="397">
        <f t="shared" ref="AV219" si="232">SUM(AV215:AV218)</f>
        <v>-186547.89232483791</v>
      </c>
      <c r="AW219" s="411">
        <f t="shared" si="203"/>
        <v>-2802619.8462123633</v>
      </c>
      <c r="AX219" s="422">
        <f>IFERROR(AW219/AG219-1,0)</f>
        <v>17.394035069159202</v>
      </c>
    </row>
    <row r="221" spans="1:50">
      <c r="A221" s="413" t="s">
        <v>447</v>
      </c>
      <c r="B221" s="413"/>
      <c r="C221" s="413"/>
      <c r="D221" s="413"/>
      <c r="E221" s="413"/>
      <c r="F221" s="411">
        <f>F213+F219</f>
        <v>450353.73189600004</v>
      </c>
      <c r="G221" s="411">
        <f t="shared" ref="G221:R221" si="233">G213+G219</f>
        <v>347406.609512</v>
      </c>
      <c r="H221" s="411">
        <f t="shared" si="233"/>
        <v>207133.17609599998</v>
      </c>
      <c r="I221" s="411">
        <f t="shared" si="233"/>
        <v>361783.26804</v>
      </c>
      <c r="J221" s="411">
        <f t="shared" si="233"/>
        <v>426811.71755199996</v>
      </c>
      <c r="K221" s="411">
        <f t="shared" si="233"/>
        <v>283764.41308800003</v>
      </c>
      <c r="L221" s="411">
        <f t="shared" si="233"/>
        <v>216928.90054399997</v>
      </c>
      <c r="M221" s="411">
        <f t="shared" si="233"/>
        <v>342393.42606400006</v>
      </c>
      <c r="N221" s="411">
        <f t="shared" si="233"/>
        <v>544325.94150399999</v>
      </c>
      <c r="O221" s="411">
        <f t="shared" si="233"/>
        <v>536448.62774945714</v>
      </c>
      <c r="P221" s="411">
        <f t="shared" si="233"/>
        <v>474062.2996991392</v>
      </c>
      <c r="Q221" s="411">
        <f t="shared" si="233"/>
        <v>433575.47508551518</v>
      </c>
      <c r="R221" s="411">
        <f t="shared" si="233"/>
        <v>4624987.5868301112</v>
      </c>
      <c r="S221" s="40"/>
      <c r="V221" s="411">
        <f>V213+V219</f>
        <v>324360.16246912</v>
      </c>
      <c r="W221" s="411">
        <f t="shared" ref="W221:AH221" si="234">W213+W219</f>
        <v>484959.37945672008</v>
      </c>
      <c r="X221" s="411">
        <f t="shared" si="234"/>
        <v>376363.06767855998</v>
      </c>
      <c r="Y221" s="411">
        <f t="shared" si="234"/>
        <v>398289.11504745542</v>
      </c>
      <c r="Z221" s="411">
        <f t="shared" si="234"/>
        <v>450433.43451437459</v>
      </c>
      <c r="AA221" s="411">
        <f t="shared" si="234"/>
        <v>302149.48339145654</v>
      </c>
      <c r="AB221" s="411">
        <f t="shared" si="234"/>
        <v>391552.49555041012</v>
      </c>
      <c r="AC221" s="411">
        <f t="shared" si="234"/>
        <v>808464.36857042077</v>
      </c>
      <c r="AD221" s="411">
        <f t="shared" si="234"/>
        <v>569409.54039075703</v>
      </c>
      <c r="AE221" s="411">
        <f t="shared" si="234"/>
        <v>456174.84298675111</v>
      </c>
      <c r="AF221" s="411">
        <f t="shared" si="234"/>
        <v>350113.23198681558</v>
      </c>
      <c r="AG221" s="411">
        <f t="shared" si="234"/>
        <v>362325.28052173613</v>
      </c>
      <c r="AH221" s="411">
        <f t="shared" si="234"/>
        <v>5274594.4025645759</v>
      </c>
      <c r="AI221" s="422">
        <f>IFERROR(AH221/R221-1,0)</f>
        <v>0.14045590469999381</v>
      </c>
      <c r="AK221" s="411">
        <f>AK213+AK219</f>
        <v>396454.56484327209</v>
      </c>
      <c r="AL221" s="411">
        <f t="shared" ref="AL221:AW221" si="235">AL213+AL219</f>
        <v>434589.37622827606</v>
      </c>
      <c r="AM221" s="411">
        <f t="shared" si="235"/>
        <v>478945.52501136798</v>
      </c>
      <c r="AN221" s="411">
        <f t="shared" si="235"/>
        <v>509701.00090172596</v>
      </c>
      <c r="AO221" s="411">
        <f t="shared" si="235"/>
        <v>540011.4746194405</v>
      </c>
      <c r="AP221" s="411">
        <f t="shared" si="235"/>
        <v>373992.79780048318</v>
      </c>
      <c r="AQ221" s="411">
        <f t="shared" si="235"/>
        <v>476116.13578574546</v>
      </c>
      <c r="AR221" s="411">
        <f t="shared" si="235"/>
        <v>1023455.3254536635</v>
      </c>
      <c r="AS221" s="411">
        <f t="shared" si="235"/>
        <v>737289.47637101915</v>
      </c>
      <c r="AT221" s="411">
        <f t="shared" si="235"/>
        <v>604045.19356644619</v>
      </c>
      <c r="AU221" s="411">
        <f t="shared" si="235"/>
        <v>468043.00185456546</v>
      </c>
      <c r="AV221" s="411">
        <f t="shared" si="235"/>
        <v>439682.65573862026</v>
      </c>
      <c r="AW221" s="411">
        <f t="shared" si="235"/>
        <v>6482326.5281746276</v>
      </c>
      <c r="AX221" s="422">
        <f>IFERROR(AW221/AG221-1,0)</f>
        <v>16.89090322055446</v>
      </c>
    </row>
    <row r="224" spans="1:50">
      <c r="A224" s="13" t="s">
        <v>448</v>
      </c>
      <c r="B224" s="139">
        <f>_xlfn.XLOOKUP("B2B FulFilment",'UK P&amp;L'!$B:$B,'UK P&amp;L'!$C:$C)</f>
        <v>-5.2146324326728707E-2</v>
      </c>
      <c r="C224" s="17"/>
      <c r="D224" s="17"/>
      <c r="E224" s="17"/>
      <c r="F224" s="40">
        <f t="shared" ref="F224:Q224" si="236">F$209*$B224</f>
        <v>-16230.713965174862</v>
      </c>
      <c r="G224" s="40">
        <f t="shared" si="236"/>
        <v>-12574.339897489512</v>
      </c>
      <c r="H224" s="40">
        <f t="shared" si="236"/>
        <v>-11662.317893302054</v>
      </c>
      <c r="I224" s="40">
        <f t="shared" si="236"/>
        <v>-14770.331643632384</v>
      </c>
      <c r="J224" s="40">
        <f t="shared" si="236"/>
        <v>-21762.733436472638</v>
      </c>
      <c r="K224" s="40">
        <f t="shared" si="236"/>
        <v>-10020.101860295525</v>
      </c>
      <c r="L224" s="40">
        <f t="shared" si="236"/>
        <v>-5658.6208389614494</v>
      </c>
      <c r="M224" s="40">
        <f t="shared" si="236"/>
        <v>-13998.950883470334</v>
      </c>
      <c r="N224" s="40">
        <f t="shared" si="236"/>
        <v>-29412.924608267534</v>
      </c>
      <c r="O224" s="40">
        <f t="shared" si="236"/>
        <v>-21804.031809514003</v>
      </c>
      <c r="P224" s="40">
        <f t="shared" si="236"/>
        <v>-17647.047207426225</v>
      </c>
      <c r="Q224" s="40">
        <f t="shared" si="236"/>
        <v>-18278.695651836028</v>
      </c>
      <c r="R224" s="40">
        <f>SUM(F224:Q224)</f>
        <v>-193820.80969584256</v>
      </c>
      <c r="S224" s="272"/>
      <c r="V224" s="40">
        <f t="shared" ref="V224:AG224" si="237">V$209*$B224</f>
        <v>-17532.287492740321</v>
      </c>
      <c r="W224" s="40">
        <f t="shared" si="237"/>
        <v>-12478.776746899015</v>
      </c>
      <c r="X224" s="40">
        <f t="shared" si="237"/>
        <v>-11594.425058140296</v>
      </c>
      <c r="Y224" s="40">
        <f t="shared" si="237"/>
        <v>-12038.783682473068</v>
      </c>
      <c r="Z224" s="40">
        <f t="shared" si="237"/>
        <v>-16405.2103759282</v>
      </c>
      <c r="AA224" s="40">
        <f t="shared" si="237"/>
        <v>-11620.461519720599</v>
      </c>
      <c r="AB224" s="40">
        <f t="shared" si="237"/>
        <v>-16683.818597096873</v>
      </c>
      <c r="AC224" s="40">
        <f t="shared" si="237"/>
        <v>-41313.034006068796</v>
      </c>
      <c r="AD224" s="40">
        <f t="shared" si="237"/>
        <v>-27049.173589606093</v>
      </c>
      <c r="AE224" s="40">
        <f t="shared" si="237"/>
        <v>-16771.749354145431</v>
      </c>
      <c r="AF224" s="40">
        <f t="shared" si="237"/>
        <v>-18126.788550271573</v>
      </c>
      <c r="AG224" s="40">
        <f t="shared" si="237"/>
        <v>-16258.090191406725</v>
      </c>
      <c r="AH224" s="40">
        <f>SUM(V224:AG224)</f>
        <v>-217872.59916449699</v>
      </c>
      <c r="AI224" s="132">
        <f t="shared" ref="AI224:AI227" si="238">IFERROR(AH224/R224-1,0)</f>
        <v>0.12409291606199679</v>
      </c>
      <c r="AK224" s="40">
        <f t="shared" ref="AK224:AV224" si="239">AK$209*$B224</f>
        <v>-20398.655540643402</v>
      </c>
      <c r="AL224" s="40">
        <f t="shared" si="239"/>
        <v>-15759.126125695466</v>
      </c>
      <c r="AM224" s="40">
        <f t="shared" si="239"/>
        <v>-13907.04861395433</v>
      </c>
      <c r="AN224" s="40">
        <f t="shared" si="239"/>
        <v>-14659.514733162487</v>
      </c>
      <c r="AO224" s="40">
        <f t="shared" si="239"/>
        <v>-18343.670616068714</v>
      </c>
      <c r="AP224" s="40">
        <f t="shared" si="239"/>
        <v>-14552.664634779723</v>
      </c>
      <c r="AQ224" s="40">
        <f t="shared" si="239"/>
        <v>-19532.937085199352</v>
      </c>
      <c r="AR224" s="40">
        <f t="shared" si="239"/>
        <v>-50892.271129195571</v>
      </c>
      <c r="AS224" s="40">
        <f t="shared" si="239"/>
        <v>-31227.348599633606</v>
      </c>
      <c r="AT224" s="40">
        <f t="shared" si="239"/>
        <v>-20865.818023133797</v>
      </c>
      <c r="AU224" s="40">
        <f t="shared" si="239"/>
        <v>-20691.045159851765</v>
      </c>
      <c r="AV224" s="40">
        <f t="shared" si="239"/>
        <v>-18403.374730649357</v>
      </c>
      <c r="AW224" s="40">
        <f>SUM(AK224:AV224)</f>
        <v>-259233.47499196755</v>
      </c>
      <c r="AX224" s="132">
        <f>IFERROR(AW224/AG224-1,0)</f>
        <v>14.944890939834149</v>
      </c>
    </row>
    <row r="225" spans="1:50">
      <c r="A225" s="13" t="s">
        <v>449</v>
      </c>
      <c r="B225" s="139">
        <f>_xlfn.XLOOKUP("B2B Fulfilment",'CE P&amp;L'!$B:$B,'CE P&amp;L'!$C:$C)</f>
        <v>-6.9695862933924754E-2</v>
      </c>
      <c r="F225" s="40">
        <f t="shared" ref="F225:Q225" si="240">F$210*$B225</f>
        <v>-8673.5121443183252</v>
      </c>
      <c r="G225" s="40">
        <f t="shared" si="240"/>
        <v>-6031.3538287899382</v>
      </c>
      <c r="H225" s="40">
        <f t="shared" si="240"/>
        <v>-1160.2576964407363</v>
      </c>
      <c r="I225" s="40">
        <f t="shared" si="240"/>
        <v>-9159.948843996619</v>
      </c>
      <c r="J225" s="40">
        <f t="shared" si="240"/>
        <v>-10040.110018643982</v>
      </c>
      <c r="K225" s="40">
        <f t="shared" si="240"/>
        <v>-6040.2909292939548</v>
      </c>
      <c r="L225" s="40">
        <f t="shared" si="240"/>
        <v>-4294.1495972303965</v>
      </c>
      <c r="M225" s="40">
        <f t="shared" si="240"/>
        <v>-2728.6432148844665</v>
      </c>
      <c r="N225" s="40">
        <f t="shared" si="240"/>
        <v>-3712.100627986199</v>
      </c>
      <c r="O225" s="40">
        <f t="shared" si="240"/>
        <v>-13155.249140981936</v>
      </c>
      <c r="P225" s="40">
        <f t="shared" si="240"/>
        <v>-4903.0705970521531</v>
      </c>
      <c r="Q225" s="40">
        <f t="shared" si="240"/>
        <v>-7213.0158676113888</v>
      </c>
      <c r="R225" s="40">
        <f>SUM(F225:Q225)</f>
        <v>-77111.702507230089</v>
      </c>
      <c r="V225" s="40">
        <f t="shared" ref="V225:AG225" si="241">V$210*$B225</f>
        <v>-5292.1100224500487</v>
      </c>
      <c r="W225" s="40">
        <f t="shared" si="241"/>
        <v>-24247.749675533152</v>
      </c>
      <c r="X225" s="40">
        <f t="shared" si="241"/>
        <v>-9404.6426552540779</v>
      </c>
      <c r="Y225" s="40">
        <f t="shared" si="241"/>
        <v>-12088.118092123626</v>
      </c>
      <c r="Z225" s="40">
        <f t="shared" si="241"/>
        <v>-13585.837292167147</v>
      </c>
      <c r="AA225" s="40">
        <f t="shared" si="241"/>
        <v>-6923.3936841018221</v>
      </c>
      <c r="AB225" s="40">
        <f t="shared" si="241"/>
        <v>-6646.7208708954286</v>
      </c>
      <c r="AC225" s="40">
        <f t="shared" si="241"/>
        <v>-11657.074277574806</v>
      </c>
      <c r="AD225" s="40">
        <f t="shared" si="241"/>
        <v>-9717.1040556475873</v>
      </c>
      <c r="AE225" s="40">
        <f t="shared" si="241"/>
        <v>-12428.868698774224</v>
      </c>
      <c r="AF225" s="40">
        <f t="shared" si="241"/>
        <v>-6084.8915463219391</v>
      </c>
      <c r="AG225" s="40">
        <f t="shared" si="241"/>
        <v>-7636.2327362500946</v>
      </c>
      <c r="AH225" s="40">
        <f t="shared" ref="AH225:AH228" si="242">SUM(V225:AG225)</f>
        <v>-125712.74360709397</v>
      </c>
      <c r="AI225" s="132">
        <f t="shared" si="238"/>
        <v>0.63026803351030924</v>
      </c>
      <c r="AK225" s="40">
        <f t="shared" ref="AK225:AV225" si="243">AK$210*$B225</f>
        <v>-8368.7606273770398</v>
      </c>
      <c r="AL225" s="40">
        <f t="shared" si="243"/>
        <v>-15189.895160652855</v>
      </c>
      <c r="AM225" s="40">
        <f t="shared" si="243"/>
        <v>-15923.395209657559</v>
      </c>
      <c r="AN225" s="40">
        <f t="shared" si="243"/>
        <v>-19586.518220506721</v>
      </c>
      <c r="AO225" s="40">
        <f t="shared" si="243"/>
        <v>-18946.255746578248</v>
      </c>
      <c r="AP225" s="40">
        <f t="shared" si="243"/>
        <v>-9572.0076111401268</v>
      </c>
      <c r="AQ225" s="40">
        <f t="shared" si="243"/>
        <v>-10988.30694135094</v>
      </c>
      <c r="AR225" s="40">
        <f t="shared" si="243"/>
        <v>-15484.714554407616</v>
      </c>
      <c r="AS225" s="40">
        <f t="shared" si="243"/>
        <v>-21146.242370471886</v>
      </c>
      <c r="AT225" s="40">
        <f t="shared" si="243"/>
        <v>-20067.244662644236</v>
      </c>
      <c r="AU225" s="40">
        <f t="shared" si="243"/>
        <v>-13867.529514680276</v>
      </c>
      <c r="AV225" s="40">
        <f t="shared" si="243"/>
        <v>-11569.343696525386</v>
      </c>
      <c r="AW225" s="40">
        <f t="shared" ref="AW225:AW228" si="244">SUM(AK225:AV225)</f>
        <v>-180710.21431599287</v>
      </c>
      <c r="AX225" s="132">
        <f>IFERROR(AW225/AG225-1,0)</f>
        <v>22.66483848221915</v>
      </c>
    </row>
    <row r="226" spans="1:50">
      <c r="A226" s="13" t="s">
        <v>450</v>
      </c>
      <c r="B226" s="139">
        <f>_xlfn.XLOOKUP("B2B Fulfilment",'EE P&amp;L'!$B:$B,'EE P&amp;L'!$C:$C)</f>
        <v>-0.06</v>
      </c>
      <c r="F226" s="40">
        <f t="shared" ref="F226:Q226" si="245">F$211*$B226</f>
        <v>-3441.9047999999998</v>
      </c>
      <c r="G226" s="40">
        <f t="shared" si="245"/>
        <v>-6407.4269999999988</v>
      </c>
      <c r="H226" s="40">
        <f t="shared" si="245"/>
        <v>-2502.5549999999998</v>
      </c>
      <c r="I226" s="40">
        <f t="shared" si="245"/>
        <v>-3370.1328000000003</v>
      </c>
      <c r="J226" s="40">
        <f t="shared" si="245"/>
        <v>-1180.2125999999998</v>
      </c>
      <c r="K226" s="40">
        <f t="shared" si="245"/>
        <v>-2328.5147999999999</v>
      </c>
      <c r="L226" s="40">
        <f t="shared" si="245"/>
        <v>-4860.2292000000007</v>
      </c>
      <c r="M226" s="40">
        <f t="shared" si="245"/>
        <v>-1883.5667999999998</v>
      </c>
      <c r="N226" s="40">
        <f t="shared" si="245"/>
        <v>-5508.8597999999993</v>
      </c>
      <c r="O226" s="40">
        <f t="shared" si="245"/>
        <v>-8797.2617043867212</v>
      </c>
      <c r="P226" s="40">
        <f t="shared" si="245"/>
        <v>-3033.3863606406212</v>
      </c>
      <c r="Q226" s="40">
        <f t="shared" si="245"/>
        <v>-6036.788720385176</v>
      </c>
      <c r="R226" s="40">
        <f>SUM(F226:Q226)</f>
        <v>-49350.839585412519</v>
      </c>
      <c r="V226" s="40">
        <f t="shared" ref="V226:AG226" si="246">V$211*$B226</f>
        <v>-2190</v>
      </c>
      <c r="W226" s="40">
        <f t="shared" si="246"/>
        <v>-3979.1639999999993</v>
      </c>
      <c r="X226" s="40">
        <f t="shared" si="246"/>
        <v>-4070.3160000000003</v>
      </c>
      <c r="Y226" s="40">
        <f t="shared" si="246"/>
        <v>-3992.5009328885085</v>
      </c>
      <c r="Z226" s="40">
        <f t="shared" si="246"/>
        <v>-3434.6849721453054</v>
      </c>
      <c r="AA226" s="40">
        <f t="shared" si="246"/>
        <v>-3678.581265660669</v>
      </c>
      <c r="AB226" s="40">
        <f t="shared" si="246"/>
        <v>-3254.7934715698998</v>
      </c>
      <c r="AC226" s="40">
        <f t="shared" si="246"/>
        <v>-3249.3206501730833</v>
      </c>
      <c r="AD226" s="40">
        <f t="shared" si="246"/>
        <v>-5346.2638105297319</v>
      </c>
      <c r="AE226" s="40">
        <f t="shared" si="246"/>
        <v>-8376.1407478327874</v>
      </c>
      <c r="AF226" s="40">
        <f t="shared" si="246"/>
        <v>-3068.2060151127071</v>
      </c>
      <c r="AG226" s="40">
        <f t="shared" si="246"/>
        <v>-4400.8579713049767</v>
      </c>
      <c r="AH226" s="40">
        <f t="shared" si="242"/>
        <v>-49040.829837217672</v>
      </c>
      <c r="AI226" s="132">
        <f t="shared" si="238"/>
        <v>-6.2817522619510457E-3</v>
      </c>
      <c r="AK226" s="40">
        <f t="shared" ref="AK226:AV226" si="247">AK$211*$B226</f>
        <v>-2299.5</v>
      </c>
      <c r="AL226" s="40">
        <f t="shared" si="247"/>
        <v>-4178.1221999999998</v>
      </c>
      <c r="AM226" s="40">
        <f t="shared" si="247"/>
        <v>-4273.8317999999999</v>
      </c>
      <c r="AN226" s="40">
        <f t="shared" si="247"/>
        <v>-4570.1259795329343</v>
      </c>
      <c r="AO226" s="40">
        <f t="shared" si="247"/>
        <v>-4110.4192207525703</v>
      </c>
      <c r="AP226" s="40">
        <f t="shared" si="247"/>
        <v>-4366.5103289437029</v>
      </c>
      <c r="AQ226" s="40">
        <f t="shared" si="247"/>
        <v>-3795.5331451483949</v>
      </c>
      <c r="AR226" s="40">
        <f t="shared" si="247"/>
        <v>-3915.7866826817381</v>
      </c>
      <c r="AS226" s="40">
        <f t="shared" si="247"/>
        <v>-6117.5770010562173</v>
      </c>
      <c r="AT226" s="40">
        <f t="shared" si="247"/>
        <v>-9172.9477852244254</v>
      </c>
      <c r="AU226" s="40">
        <f t="shared" si="247"/>
        <v>-3599.6163158683426</v>
      </c>
      <c r="AV226" s="40">
        <f t="shared" si="247"/>
        <v>-5124.9008698702264</v>
      </c>
      <c r="AW226" s="40">
        <f t="shared" si="244"/>
        <v>-55524.871329078545</v>
      </c>
      <c r="AX226" s="132">
        <f>IFERROR(AW226/AG226-1,0)</f>
        <v>11.61682873910468</v>
      </c>
    </row>
    <row r="227" spans="1:50">
      <c r="A227" s="13" t="s">
        <v>451</v>
      </c>
      <c r="B227" s="139">
        <f>_xlfn.XLOOKUP("B2B Fulfilment",'ROW P&amp;L'!$B:$B,'ROW P&amp;L'!$C:$C)</f>
        <v>-0.13837340763093953</v>
      </c>
      <c r="F227" s="40">
        <f t="shared" ref="F227:Q227" si="248">F$212*$B227</f>
        <v>-23735.475660154778</v>
      </c>
      <c r="G227" s="40">
        <f t="shared" si="248"/>
        <v>-10709.26874272078</v>
      </c>
      <c r="H227" s="40">
        <f t="shared" si="248"/>
        <v>-1005.7864856425524</v>
      </c>
      <c r="I227" s="40">
        <f t="shared" si="248"/>
        <v>-6620.0508817408736</v>
      </c>
      <c r="J227" s="40">
        <f t="shared" si="248"/>
        <v>-1483.1830443737515</v>
      </c>
      <c r="K227" s="40">
        <f t="shared" si="248"/>
        <v>-13939.958482193058</v>
      </c>
      <c r="L227" s="40">
        <f t="shared" si="248"/>
        <v>-10881.051025890136</v>
      </c>
      <c r="M227" s="40">
        <f t="shared" si="248"/>
        <v>-23139.338112867314</v>
      </c>
      <c r="N227" s="40">
        <f t="shared" si="248"/>
        <v>-7853.4380994570256</v>
      </c>
      <c r="O227" s="40">
        <f t="shared" si="248"/>
        <v>-2075.6011144640929</v>
      </c>
      <c r="P227" s="40">
        <f t="shared" si="248"/>
        <v>-34316.605092473001</v>
      </c>
      <c r="Q227" s="40">
        <f t="shared" si="248"/>
        <v>-9962.8853494276464</v>
      </c>
      <c r="R227" s="40">
        <f>SUM(F227:Q227)</f>
        <v>-145722.642091405</v>
      </c>
      <c r="V227" s="40">
        <f t="shared" ref="V227:AG227" si="249">V$212*$B227</f>
        <v>-99.0310803733108</v>
      </c>
      <c r="W227" s="40">
        <f t="shared" si="249"/>
        <v>-7242.4979185148377</v>
      </c>
      <c r="X227" s="40">
        <f t="shared" si="249"/>
        <v>-18680.410030176838</v>
      </c>
      <c r="Y227" s="40">
        <f t="shared" si="249"/>
        <v>-16336.572618513797</v>
      </c>
      <c r="Z227" s="40">
        <f t="shared" si="249"/>
        <v>-11742.705002676148</v>
      </c>
      <c r="AA227" s="40">
        <f t="shared" si="249"/>
        <v>-7596.3735176965711</v>
      </c>
      <c r="AB227" s="40">
        <f t="shared" si="249"/>
        <v>-13327.166865056766</v>
      </c>
      <c r="AC227" s="40">
        <f t="shared" si="249"/>
        <v>-17217.351460715297</v>
      </c>
      <c r="AD227" s="40">
        <f t="shared" si="249"/>
        <v>-8302.4044578563717</v>
      </c>
      <c r="AE227" s="40">
        <f t="shared" si="249"/>
        <v>-2767.4681526187906</v>
      </c>
      <c r="AF227" s="40">
        <f t="shared" si="249"/>
        <v>-276.74681526187908</v>
      </c>
      <c r="AG227" s="40">
        <f t="shared" si="249"/>
        <v>-2767.4681526187906</v>
      </c>
      <c r="AH227" s="40">
        <f t="shared" si="242"/>
        <v>-106356.1960720794</v>
      </c>
      <c r="AI227" s="132">
        <f t="shared" si="238"/>
        <v>-0.27014639217584913</v>
      </c>
      <c r="AK227" s="40">
        <f t="shared" ref="AK227:AV227" si="250">AK$212*$B227</f>
        <v>-108.93418841064188</v>
      </c>
      <c r="AL227" s="40">
        <f t="shared" si="250"/>
        <v>-4656.8516486320186</v>
      </c>
      <c r="AM227" s="40">
        <f t="shared" si="250"/>
        <v>-19614.430531685677</v>
      </c>
      <c r="AN227" s="40">
        <f t="shared" si="250"/>
        <v>-15154.331035075558</v>
      </c>
      <c r="AO227" s="40">
        <f t="shared" si="250"/>
        <v>-12418.831235472382</v>
      </c>
      <c r="AP227" s="40">
        <f t="shared" si="250"/>
        <v>-6938.3916363493527</v>
      </c>
      <c r="AQ227" s="40">
        <f t="shared" si="250"/>
        <v>-12397.478336796583</v>
      </c>
      <c r="AR227" s="40">
        <f t="shared" si="250"/>
        <v>-25367.56836156076</v>
      </c>
      <c r="AS227" s="40">
        <f t="shared" si="250"/>
        <v>-5673.3097128685204</v>
      </c>
      <c r="AT227" s="40">
        <f t="shared" si="250"/>
        <v>-4414.111703426971</v>
      </c>
      <c r="AU227" s="40">
        <f t="shared" si="250"/>
        <v>-290.58415602497303</v>
      </c>
      <c r="AV227" s="40">
        <f t="shared" si="250"/>
        <v>-3030.3776271175757</v>
      </c>
      <c r="AW227" s="40">
        <f t="shared" si="244"/>
        <v>-110065.20017342101</v>
      </c>
      <c r="AX227" s="132">
        <f>IFERROR(AW227/AG227-1,0)</f>
        <v>38.771081039999999</v>
      </c>
    </row>
    <row r="228" spans="1:50">
      <c r="A228" s="413" t="s">
        <v>110</v>
      </c>
      <c r="B228" s="413"/>
      <c r="C228" s="413"/>
      <c r="D228" s="413"/>
      <c r="E228" s="413"/>
      <c r="F228" s="397">
        <f>SUM(F223:F227)</f>
        <v>-52081.606569647964</v>
      </c>
      <c r="G228" s="397">
        <f t="shared" ref="G228:Q228" si="251">SUM(G223:G227)</f>
        <v>-35722.389469000227</v>
      </c>
      <c r="H228" s="397">
        <f t="shared" si="251"/>
        <v>-16330.917075385343</v>
      </c>
      <c r="I228" s="397">
        <f t="shared" si="251"/>
        <v>-33920.46416936988</v>
      </c>
      <c r="J228" s="397">
        <f t="shared" si="251"/>
        <v>-34466.239099490369</v>
      </c>
      <c r="K228" s="397">
        <f t="shared" si="251"/>
        <v>-32328.866071782537</v>
      </c>
      <c r="L228" s="397">
        <f t="shared" si="251"/>
        <v>-25694.05066208198</v>
      </c>
      <c r="M228" s="397">
        <f t="shared" si="251"/>
        <v>-41750.499011222113</v>
      </c>
      <c r="N228" s="397">
        <f t="shared" si="251"/>
        <v>-46487.323135710758</v>
      </c>
      <c r="O228" s="397">
        <f t="shared" si="251"/>
        <v>-45832.143769346752</v>
      </c>
      <c r="P228" s="397">
        <f t="shared" si="251"/>
        <v>-59900.109257591997</v>
      </c>
      <c r="Q228" s="397">
        <f t="shared" si="251"/>
        <v>-41491.385589260237</v>
      </c>
      <c r="R228" s="411">
        <f>SUM(F228:Q228)</f>
        <v>-466005.99387989019</v>
      </c>
      <c r="S228" s="40"/>
      <c r="V228" s="397">
        <f>SUM(V223:V227)</f>
        <v>-25113.428595563681</v>
      </c>
      <c r="W228" s="397">
        <f t="shared" ref="W228" si="252">SUM(W223:W227)</f>
        <v>-47948.188340947003</v>
      </c>
      <c r="X228" s="397">
        <f t="shared" ref="X228" si="253">SUM(X223:X227)</f>
        <v>-43749.793743571208</v>
      </c>
      <c r="Y228" s="397">
        <f t="shared" ref="Y228" si="254">SUM(Y223:Y227)</f>
        <v>-44455.975325998996</v>
      </c>
      <c r="Z228" s="397">
        <f t="shared" ref="Z228" si="255">SUM(Z223:Z227)</f>
        <v>-45168.437642916804</v>
      </c>
      <c r="AA228" s="397">
        <f t="shared" ref="AA228" si="256">SUM(AA223:AA227)</f>
        <v>-29818.809987179662</v>
      </c>
      <c r="AB228" s="397">
        <f t="shared" ref="AB228" si="257">SUM(AB223:AB227)</f>
        <v>-39912.499804618972</v>
      </c>
      <c r="AC228" s="397">
        <f t="shared" ref="AC228" si="258">SUM(AC223:AC227)</f>
        <v>-73436.78039453199</v>
      </c>
      <c r="AD228" s="397">
        <f t="shared" ref="AD228" si="259">SUM(AD223:AD227)</f>
        <v>-50414.945913639778</v>
      </c>
      <c r="AE228" s="397">
        <f t="shared" ref="AE228" si="260">SUM(AE223:AE227)</f>
        <v>-40344.226953371239</v>
      </c>
      <c r="AF228" s="397">
        <f t="shared" ref="AF228" si="261">SUM(AF223:AF227)</f>
        <v>-27556.632926968097</v>
      </c>
      <c r="AG228" s="397">
        <f t="shared" ref="AG228" si="262">SUM(AG223:AG227)</f>
        <v>-31062.649051580585</v>
      </c>
      <c r="AH228" s="411">
        <f t="shared" si="242"/>
        <v>-498982.36868088803</v>
      </c>
      <c r="AI228" s="422">
        <f>IFERROR(AH228/R228-1,0)</f>
        <v>7.0763842598765558E-2</v>
      </c>
      <c r="AK228" s="397">
        <f>SUM(AK223:AK227)</f>
        <v>-31175.850356431085</v>
      </c>
      <c r="AL228" s="397">
        <f t="shared" ref="AL228" si="263">SUM(AL223:AL227)</f>
        <v>-39783.995134980345</v>
      </c>
      <c r="AM228" s="397">
        <f t="shared" ref="AM228" si="264">SUM(AM223:AM227)</f>
        <v>-53718.706155297565</v>
      </c>
      <c r="AN228" s="397">
        <f t="shared" ref="AN228" si="265">SUM(AN223:AN227)</f>
        <v>-53970.489968277696</v>
      </c>
      <c r="AO228" s="397">
        <f t="shared" ref="AO228" si="266">SUM(AO223:AO227)</f>
        <v>-53819.176818871914</v>
      </c>
      <c r="AP228" s="397">
        <f t="shared" ref="AP228" si="267">SUM(AP223:AP227)</f>
        <v>-35429.574211212908</v>
      </c>
      <c r="AQ228" s="397">
        <f t="shared" ref="AQ228" si="268">SUM(AQ223:AQ227)</f>
        <v>-46714.255508495276</v>
      </c>
      <c r="AR228" s="397">
        <f t="shared" ref="AR228" si="269">SUM(AR223:AR227)</f>
        <v>-95660.340727845673</v>
      </c>
      <c r="AS228" s="397">
        <f t="shared" ref="AS228" si="270">SUM(AS223:AS227)</f>
        <v>-64164.477684030229</v>
      </c>
      <c r="AT228" s="397">
        <f t="shared" ref="AT228" si="271">SUM(AT223:AT227)</f>
        <v>-54520.122174429423</v>
      </c>
      <c r="AU228" s="397">
        <f t="shared" ref="AU228" si="272">SUM(AU223:AU227)</f>
        <v>-38448.77514642536</v>
      </c>
      <c r="AV228" s="397">
        <f t="shared" ref="AV228" si="273">SUM(AV223:AV227)</f>
        <v>-38127.996924162544</v>
      </c>
      <c r="AW228" s="411">
        <f t="shared" si="244"/>
        <v>-605533.76081045996</v>
      </c>
      <c r="AX228" s="422">
        <f>IFERROR(AW228/AG228-1,0)</f>
        <v>18.49395107303793</v>
      </c>
    </row>
    <row r="230" spans="1:50">
      <c r="A230" s="413" t="s">
        <v>452</v>
      </c>
      <c r="B230" s="413"/>
      <c r="C230" s="413"/>
      <c r="D230" s="413"/>
      <c r="E230" s="413"/>
      <c r="F230" s="411">
        <f>F221+F228</f>
        <v>398272.12532635208</v>
      </c>
      <c r="G230" s="411">
        <f t="shared" ref="G230:R230" si="274">G221+G228</f>
        <v>311684.22004299978</v>
      </c>
      <c r="H230" s="411">
        <f t="shared" si="274"/>
        <v>190802.25902061464</v>
      </c>
      <c r="I230" s="411">
        <f t="shared" si="274"/>
        <v>327862.8038706301</v>
      </c>
      <c r="J230" s="411">
        <f t="shared" si="274"/>
        <v>392345.47845250962</v>
      </c>
      <c r="K230" s="411">
        <f t="shared" si="274"/>
        <v>251435.54701621749</v>
      </c>
      <c r="L230" s="411">
        <f t="shared" si="274"/>
        <v>191234.84988191799</v>
      </c>
      <c r="M230" s="411">
        <f t="shared" si="274"/>
        <v>300642.92705277796</v>
      </c>
      <c r="N230" s="411">
        <f t="shared" si="274"/>
        <v>497838.6183682892</v>
      </c>
      <c r="O230" s="411">
        <f t="shared" si="274"/>
        <v>490616.48398011038</v>
      </c>
      <c r="P230" s="411">
        <f t="shared" si="274"/>
        <v>414162.19044154719</v>
      </c>
      <c r="Q230" s="411">
        <f t="shared" si="274"/>
        <v>392084.08949625492</v>
      </c>
      <c r="R230" s="411">
        <f t="shared" si="274"/>
        <v>4158981.5929502212</v>
      </c>
      <c r="S230" s="40"/>
      <c r="V230" s="411">
        <f>V221+V228</f>
        <v>299246.73387355631</v>
      </c>
      <c r="W230" s="411">
        <f t="shared" ref="W230:AH230" si="275">W221+W228</f>
        <v>437011.19111577305</v>
      </c>
      <c r="X230" s="411">
        <f t="shared" si="275"/>
        <v>332613.27393498877</v>
      </c>
      <c r="Y230" s="411">
        <f t="shared" si="275"/>
        <v>353833.13972145645</v>
      </c>
      <c r="Z230" s="411">
        <f t="shared" si="275"/>
        <v>405264.99687145778</v>
      </c>
      <c r="AA230" s="411">
        <f t="shared" si="275"/>
        <v>272330.67340427689</v>
      </c>
      <c r="AB230" s="411">
        <f t="shared" si="275"/>
        <v>351639.99574579112</v>
      </c>
      <c r="AC230" s="411">
        <f t="shared" si="275"/>
        <v>735027.58817588876</v>
      </c>
      <c r="AD230" s="411">
        <f t="shared" si="275"/>
        <v>518994.59447711724</v>
      </c>
      <c r="AE230" s="411">
        <f t="shared" si="275"/>
        <v>415830.61603337986</v>
      </c>
      <c r="AF230" s="411">
        <f t="shared" si="275"/>
        <v>322556.59905984747</v>
      </c>
      <c r="AG230" s="411">
        <f t="shared" si="275"/>
        <v>331262.63147015555</v>
      </c>
      <c r="AH230" s="411">
        <f t="shared" si="275"/>
        <v>4775612.033883688</v>
      </c>
      <c r="AI230" s="422">
        <f>IFERROR(AH230/R230-1,0)</f>
        <v>0.14826476798519628</v>
      </c>
      <c r="AK230" s="411">
        <f>AK221+AK228</f>
        <v>365278.714486841</v>
      </c>
      <c r="AL230" s="411">
        <f t="shared" ref="AL230:AW230" si="276">AL221+AL228</f>
        <v>394805.3810932957</v>
      </c>
      <c r="AM230" s="411">
        <f t="shared" si="276"/>
        <v>425226.8188560704</v>
      </c>
      <c r="AN230" s="411">
        <f t="shared" si="276"/>
        <v>455730.51093344827</v>
      </c>
      <c r="AO230" s="411">
        <f t="shared" si="276"/>
        <v>486192.29780056857</v>
      </c>
      <c r="AP230" s="411">
        <f t="shared" si="276"/>
        <v>338563.22358927026</v>
      </c>
      <c r="AQ230" s="411">
        <f t="shared" si="276"/>
        <v>429401.88027725019</v>
      </c>
      <c r="AR230" s="411">
        <f t="shared" si="276"/>
        <v>927794.98472581781</v>
      </c>
      <c r="AS230" s="411">
        <f t="shared" si="276"/>
        <v>673124.99868698895</v>
      </c>
      <c r="AT230" s="411">
        <f t="shared" si="276"/>
        <v>549525.07139201672</v>
      </c>
      <c r="AU230" s="411">
        <f t="shared" si="276"/>
        <v>429594.22670814011</v>
      </c>
      <c r="AV230" s="411">
        <f t="shared" si="276"/>
        <v>401554.65881445771</v>
      </c>
      <c r="AW230" s="411">
        <f t="shared" si="276"/>
        <v>5876792.7673641676</v>
      </c>
      <c r="AX230" s="422">
        <f>IFERROR(AW230/AG230-1,0)</f>
        <v>16.740584687390633</v>
      </c>
    </row>
    <row r="232" spans="1:50">
      <c r="A232" s="7" t="s">
        <v>453</v>
      </c>
      <c r="F232" s="40">
        <f>-SUMIF($C$145:$C$162,$A209,F$145:F$162)</f>
        <v>-15427.127499999999</v>
      </c>
      <c r="G232" s="40">
        <f t="shared" ref="G232:Q232" si="277">-SUMIF($C$145:$C$162,$A209,G$145:G$162)</f>
        <v>-11025.9974</v>
      </c>
      <c r="H232" s="40">
        <f t="shared" si="277"/>
        <v>-13850.295199999999</v>
      </c>
      <c r="I232" s="40">
        <f t="shared" si="277"/>
        <v>-13427.830600000001</v>
      </c>
      <c r="J232" s="40">
        <f t="shared" si="277"/>
        <v>-14038.343199999999</v>
      </c>
      <c r="K232" s="40">
        <f t="shared" si="277"/>
        <v>-10338.2366</v>
      </c>
      <c r="L232" s="40">
        <f t="shared" si="277"/>
        <v>-9607.1484999999993</v>
      </c>
      <c r="M232" s="40">
        <f t="shared" si="277"/>
        <v>-13964.142400000001</v>
      </c>
      <c r="N232" s="40">
        <f t="shared" si="277"/>
        <v>-22505.949399999998</v>
      </c>
      <c r="O232" s="40">
        <f t="shared" si="277"/>
        <v>-18495.428789324946</v>
      </c>
      <c r="P232" s="40">
        <f t="shared" si="277"/>
        <v>-18768.565356480867</v>
      </c>
      <c r="Q232" s="40">
        <f t="shared" si="277"/>
        <v>-15163.09044833277</v>
      </c>
      <c r="R232" s="40">
        <f t="shared" ref="R232:R239" si="278">SUM(F232:Q232)</f>
        <v>-176612.15539413856</v>
      </c>
      <c r="V232" s="40">
        <f>-SUMIF($C$145:$C$162,$A209,V$145:V$162)</f>
        <v>-31197.118742999999</v>
      </c>
      <c r="W232" s="40">
        <f t="shared" ref="W232:AG232" si="279">-SUMIF($C$145:$C$162,$A209,W$145:W$162)</f>
        <v>-25677.828648000002</v>
      </c>
      <c r="X232" s="40">
        <f t="shared" si="279"/>
        <v>-27424.262984000001</v>
      </c>
      <c r="Y232" s="40">
        <f t="shared" si="279"/>
        <v>-27665.261685999998</v>
      </c>
      <c r="Z232" s="40">
        <f t="shared" si="279"/>
        <v>-31103.527399999999</v>
      </c>
      <c r="AA232" s="40">
        <f t="shared" si="279"/>
        <v>-26204.272838000004</v>
      </c>
      <c r="AB232" s="40">
        <f t="shared" si="279"/>
        <v>-39855.950382000003</v>
      </c>
      <c r="AC232" s="40">
        <f t="shared" si="279"/>
        <v>-75023.979076000018</v>
      </c>
      <c r="AD232" s="40">
        <f t="shared" si="279"/>
        <v>-37811.606756000001</v>
      </c>
      <c r="AE232" s="40">
        <f t="shared" si="279"/>
        <v>-34044.059166887128</v>
      </c>
      <c r="AF232" s="40">
        <f t="shared" si="279"/>
        <v>-33499.101557734059</v>
      </c>
      <c r="AG232" s="40">
        <f t="shared" si="279"/>
        <v>-29473.719443378861</v>
      </c>
      <c r="AH232" s="40">
        <f t="shared" ref="AH232:AH239" si="280">SUM(V232:AG232)</f>
        <v>-418980.68868100015</v>
      </c>
      <c r="AI232" s="132">
        <f t="shared" ref="AI232:AI239" si="281">IFERROR(AH232/R232-1,0)</f>
        <v>1.3723207938093336</v>
      </c>
      <c r="AK232" s="40">
        <f>-SUMIF($C$145:$C$162,$A209,AK$145:AK$162)</f>
        <v>-46398.52110975</v>
      </c>
      <c r="AL232" s="40">
        <f t="shared" ref="AL232:AV232" si="282">-SUMIF($C$145:$C$162,$A209,AL$145:AL$162)</f>
        <v>-36123.187945999998</v>
      </c>
      <c r="AM232" s="40">
        <f t="shared" si="282"/>
        <v>-39972.014267999999</v>
      </c>
      <c r="AN232" s="40">
        <f t="shared" si="282"/>
        <v>-40305.441359500001</v>
      </c>
      <c r="AO232" s="40">
        <f t="shared" si="282"/>
        <v>-45597.038669999994</v>
      </c>
      <c r="AP232" s="40">
        <f t="shared" si="282"/>
        <v>-37714.2558555</v>
      </c>
      <c r="AQ232" s="40">
        <f t="shared" si="282"/>
        <v>-55927.741039500004</v>
      </c>
      <c r="AR232" s="40">
        <f t="shared" si="282"/>
        <v>-108240.69248899999</v>
      </c>
      <c r="AS232" s="40">
        <f t="shared" si="282"/>
        <v>-58879.846853000003</v>
      </c>
      <c r="AT232" s="40">
        <f t="shared" si="282"/>
        <v>-47762.235726514671</v>
      </c>
      <c r="AU232" s="40">
        <f t="shared" si="282"/>
        <v>-48904.81026401397</v>
      </c>
      <c r="AV232" s="40">
        <f t="shared" si="282"/>
        <v>-43719.653733539526</v>
      </c>
      <c r="AW232" s="40">
        <f t="shared" ref="AW232:AW239" si="283">SUM(AK232:AV232)</f>
        <v>-609545.43931431812</v>
      </c>
      <c r="AX232" s="132">
        <f t="shared" ref="AX232:AX240" si="284">IFERROR(AW232/AG232-1,0)</f>
        <v>19.680981254683477</v>
      </c>
    </row>
    <row r="233" spans="1:50">
      <c r="A233" s="7" t="s">
        <v>454</v>
      </c>
      <c r="F233" s="40">
        <f>-SUMIF($C$125:$C$142,$A209,F$125:F$142)</f>
        <v>-84725.156799999997</v>
      </c>
      <c r="G233" s="40">
        <f t="shared" ref="G233:Q233" si="285">-SUMIF($C$125:$C$142,$A209,G$125:G$142)</f>
        <v>-54827.275000000001</v>
      </c>
      <c r="H233" s="40">
        <f t="shared" si="285"/>
        <v>-49178.061400000006</v>
      </c>
      <c r="I233" s="40">
        <f t="shared" si="285"/>
        <v>-73533.541800000006</v>
      </c>
      <c r="J233" s="40">
        <f t="shared" si="285"/>
        <v>-114929.4148</v>
      </c>
      <c r="K233" s="40">
        <f t="shared" si="285"/>
        <v>-51861.068699999996</v>
      </c>
      <c r="L233" s="40">
        <f t="shared" si="285"/>
        <v>-23126.884899999997</v>
      </c>
      <c r="M233" s="40">
        <f t="shared" si="285"/>
        <v>-66528.262600000002</v>
      </c>
      <c r="N233" s="40">
        <f t="shared" si="285"/>
        <v>-143134.13859999998</v>
      </c>
      <c r="O233" s="40">
        <f t="shared" si="285"/>
        <v>-99309.69135999665</v>
      </c>
      <c r="P233" s="40">
        <f t="shared" si="285"/>
        <v>-77093.814398775896</v>
      </c>
      <c r="Q233" s="40">
        <f t="shared" si="285"/>
        <v>-89548.57052433092</v>
      </c>
      <c r="R233" s="40">
        <f t="shared" si="278"/>
        <v>-927795.88088310359</v>
      </c>
      <c r="V233" s="40">
        <f>-SUMIF($C$125:$C$142,$A209,V$125:V$142)</f>
        <v>-102422.312832</v>
      </c>
      <c r="W233" s="40">
        <f t="shared" ref="W233:AG233" si="286">-SUMIF($C$125:$C$142,$A209,W$125:W$142)</f>
        <v>-68691.374391999998</v>
      </c>
      <c r="X233" s="40">
        <f t="shared" si="286"/>
        <v>-62436.689315999996</v>
      </c>
      <c r="Y233" s="40">
        <f t="shared" si="286"/>
        <v>-68784.594664000004</v>
      </c>
      <c r="Z233" s="40">
        <f t="shared" si="286"/>
        <v>-93551.309199999989</v>
      </c>
      <c r="AA233" s="40">
        <f t="shared" si="286"/>
        <v>-64665.340866999992</v>
      </c>
      <c r="AB233" s="40">
        <f t="shared" si="286"/>
        <v>-90885.886238000006</v>
      </c>
      <c r="AC233" s="40">
        <f t="shared" si="286"/>
        <v>-199900.21374399998</v>
      </c>
      <c r="AD233" s="40">
        <f t="shared" si="286"/>
        <v>-155528.28696400003</v>
      </c>
      <c r="AE233" s="40">
        <f t="shared" si="286"/>
        <v>-91347.666183974245</v>
      </c>
      <c r="AF233" s="40">
        <f t="shared" si="286"/>
        <v>-106646.49911597304</v>
      </c>
      <c r="AG233" s="40">
        <f t="shared" si="286"/>
        <v>-98107.541836555552</v>
      </c>
      <c r="AH233" s="40">
        <f t="shared" si="280"/>
        <v>-1202967.7153535029</v>
      </c>
      <c r="AI233" s="132">
        <f t="shared" si="281"/>
        <v>0.29658660933963477</v>
      </c>
      <c r="AK233" s="40">
        <f>-SUMIF($C$125:$C$142,$A209,AK$125:AK$142)</f>
        <v>-95404.615995000015</v>
      </c>
      <c r="AL233" s="40">
        <f t="shared" ref="AL233:AV233" si="287">-SUMIF($C$125:$C$142,$A209,AL$125:AL$142)</f>
        <v>-65716.904050000012</v>
      </c>
      <c r="AM233" s="40">
        <f t="shared" si="287"/>
        <v>-65071.908094999999</v>
      </c>
      <c r="AN233" s="40">
        <f t="shared" si="287"/>
        <v>-69070.936079999985</v>
      </c>
      <c r="AO233" s="40">
        <f t="shared" si="287"/>
        <v>-88690.94193999999</v>
      </c>
      <c r="AP233" s="40">
        <f t="shared" si="287"/>
        <v>-65399.332638249994</v>
      </c>
      <c r="AQ233" s="40">
        <f t="shared" si="287"/>
        <v>-90360.283100500004</v>
      </c>
      <c r="AR233" s="40">
        <f t="shared" si="287"/>
        <v>-186138.991412</v>
      </c>
      <c r="AS233" s="40">
        <f t="shared" si="287"/>
        <v>-138946.633691</v>
      </c>
      <c r="AT233" s="40">
        <f t="shared" si="287"/>
        <v>-85865.373014739118</v>
      </c>
      <c r="AU233" s="40">
        <f t="shared" si="287"/>
        <v>-98409.164510842587</v>
      </c>
      <c r="AV233" s="40">
        <f t="shared" si="287"/>
        <v>-90928.614241480187</v>
      </c>
      <c r="AW233" s="40">
        <f t="shared" si="283"/>
        <v>-1140003.6987688118</v>
      </c>
      <c r="AX233" s="132">
        <f t="shared" si="284"/>
        <v>10.619939480983291</v>
      </c>
    </row>
    <row r="234" spans="1:50">
      <c r="A234" s="7" t="s">
        <v>455</v>
      </c>
      <c r="F234" s="40">
        <f>-SUMIF($C$145:$C$162,$A210,F$145:F$162)</f>
        <v>-6984.1830000000009</v>
      </c>
      <c r="G234" s="40">
        <f t="shared" ref="G234:Q234" si="288">-SUMIF($C$145:$C$162,$A210,G$145:G$162)</f>
        <v>-4893.165</v>
      </c>
      <c r="H234" s="40">
        <f t="shared" si="288"/>
        <v>0</v>
      </c>
      <c r="I234" s="40">
        <f t="shared" si="288"/>
        <v>-6706.6380000000008</v>
      </c>
      <c r="J234" s="40">
        <f t="shared" si="288"/>
        <v>-5882.1040000000012</v>
      </c>
      <c r="K234" s="40">
        <f t="shared" si="288"/>
        <v>-3446.0040000000004</v>
      </c>
      <c r="L234" s="40">
        <f t="shared" si="288"/>
        <v>-4513.049</v>
      </c>
      <c r="M234" s="40">
        <f t="shared" si="288"/>
        <v>84.039000000000001</v>
      </c>
      <c r="N234" s="40">
        <f t="shared" si="288"/>
        <v>0</v>
      </c>
      <c r="O234" s="40">
        <f t="shared" si="288"/>
        <v>-11400</v>
      </c>
      <c r="P234" s="40">
        <f t="shared" si="288"/>
        <v>-4000</v>
      </c>
      <c r="Q234" s="40">
        <f t="shared" si="288"/>
        <v>-4040.6176320486538</v>
      </c>
      <c r="R234" s="40">
        <f t="shared" si="278"/>
        <v>-51781.721632048662</v>
      </c>
      <c r="V234" s="40">
        <f>-SUMIF($C$145:$C$162,$A210,V$145:V$162)</f>
        <v>-5157.9160000000002</v>
      </c>
      <c r="W234" s="40">
        <f t="shared" ref="W234:AG234" si="289">-SUMIF($C$145:$C$162,$A210,W$145:W$162)</f>
        <v>-19463.715</v>
      </c>
      <c r="X234" s="40">
        <f t="shared" si="289"/>
        <v>-6840</v>
      </c>
      <c r="Y234" s="40">
        <f t="shared" si="289"/>
        <v>-11544.191028519153</v>
      </c>
      <c r="Z234" s="40">
        <f t="shared" si="289"/>
        <v>-10354.08591760353</v>
      </c>
      <c r="AA234" s="40">
        <f t="shared" si="289"/>
        <v>-6222.3569094884042</v>
      </c>
      <c r="AB234" s="40">
        <f t="shared" si="289"/>
        <v>-5781.7827948361928</v>
      </c>
      <c r="AC234" s="40">
        <f t="shared" si="289"/>
        <v>-9758.791373437869</v>
      </c>
      <c r="AD234" s="40">
        <f t="shared" si="289"/>
        <v>-8274.9138965698075</v>
      </c>
      <c r="AE234" s="40">
        <f t="shared" si="289"/>
        <v>-11510.900791457729</v>
      </c>
      <c r="AF234" s="40">
        <f t="shared" si="289"/>
        <v>-4847.4235807860259</v>
      </c>
      <c r="AG234" s="40">
        <f t="shared" si="289"/>
        <v>-7162.6602952777303</v>
      </c>
      <c r="AH234" s="40">
        <f t="shared" si="280"/>
        <v>-106918.73758797644</v>
      </c>
      <c r="AI234" s="132">
        <f t="shared" si="281"/>
        <v>1.0647968862009112</v>
      </c>
      <c r="AK234" s="40">
        <f>-SUMIF($C$145:$C$162,$A210,AK$145:AK$162)</f>
        <v>-7460.5492800000011</v>
      </c>
      <c r="AL234" s="40">
        <f t="shared" ref="AL234:AV234" si="290">-SUMIF($C$145:$C$162,$A210,AL$145:AL$162)</f>
        <v>-15759.852144</v>
      </c>
      <c r="AM234" s="40">
        <f t="shared" si="290"/>
        <v>-15860.449720000001</v>
      </c>
      <c r="AN234" s="40">
        <f t="shared" si="290"/>
        <v>-15292.940670800685</v>
      </c>
      <c r="AO234" s="40">
        <f t="shared" si="290"/>
        <v>-15259.911609876441</v>
      </c>
      <c r="AP234" s="40">
        <f t="shared" si="290"/>
        <v>-8722.842031679791</v>
      </c>
      <c r="AQ234" s="40">
        <f t="shared" si="290"/>
        <v>-10337.775974999509</v>
      </c>
      <c r="AR234" s="40">
        <f t="shared" si="290"/>
        <v>-13219.573441601109</v>
      </c>
      <c r="AS234" s="40">
        <f t="shared" si="290"/>
        <v>-22904.551696871815</v>
      </c>
      <c r="AT234" s="40">
        <f t="shared" si="290"/>
        <v>-19925.994185638978</v>
      </c>
      <c r="AU234" s="40">
        <f t="shared" si="290"/>
        <v>-14334.244407825327</v>
      </c>
      <c r="AV234" s="40">
        <f t="shared" si="290"/>
        <v>-11130.627211476371</v>
      </c>
      <c r="AW234" s="40">
        <f t="shared" si="283"/>
        <v>-170209.31237477</v>
      </c>
      <c r="AX234" s="132">
        <f t="shared" si="284"/>
        <v>22.763421041618752</v>
      </c>
    </row>
    <row r="235" spans="1:50">
      <c r="A235" s="7" t="s">
        <v>456</v>
      </c>
      <c r="F235" s="40">
        <f>-SUMIF($C$125:$C$142,$A210,F$125:F$142)</f>
        <v>-3492.0915000000005</v>
      </c>
      <c r="G235" s="40">
        <f t="shared" ref="G235:Q235" si="291">-SUMIF($C$125:$C$142,$A210,G$125:G$142)</f>
        <v>-2446.5825</v>
      </c>
      <c r="H235" s="40">
        <f t="shared" si="291"/>
        <v>0</v>
      </c>
      <c r="I235" s="40">
        <f t="shared" si="291"/>
        <v>-3353.3190000000004</v>
      </c>
      <c r="J235" s="40">
        <f t="shared" si="291"/>
        <v>-2941.0520000000006</v>
      </c>
      <c r="K235" s="40">
        <f t="shared" si="291"/>
        <v>-1723.0020000000002</v>
      </c>
      <c r="L235" s="40">
        <f t="shared" si="291"/>
        <v>-2256.5245</v>
      </c>
      <c r="M235" s="40">
        <f t="shared" si="291"/>
        <v>42.019500000000001</v>
      </c>
      <c r="N235" s="40">
        <f t="shared" si="291"/>
        <v>0</v>
      </c>
      <c r="O235" s="40">
        <f t="shared" si="291"/>
        <v>-5700</v>
      </c>
      <c r="P235" s="40">
        <f t="shared" si="291"/>
        <v>-2000</v>
      </c>
      <c r="Q235" s="40">
        <f t="shared" si="291"/>
        <v>-2020.3088160243269</v>
      </c>
      <c r="R235" s="40">
        <f t="shared" si="278"/>
        <v>-25890.860816024331</v>
      </c>
      <c r="V235" s="40">
        <f>-SUMIF($C$125:$C$142,$A210,V$125:V$142)</f>
        <v>-2578.9580000000001</v>
      </c>
      <c r="W235" s="40">
        <f t="shared" ref="W235:AG235" si="292">-SUMIF($C$125:$C$142,$A210,W$125:W$142)</f>
        <v>-15919.3575</v>
      </c>
      <c r="X235" s="40">
        <f t="shared" si="292"/>
        <v>-4770</v>
      </c>
      <c r="Y235" s="40">
        <f t="shared" si="292"/>
        <v>-8272.0955142595776</v>
      </c>
      <c r="Z235" s="40">
        <f t="shared" si="292"/>
        <v>-6720.1106443912849</v>
      </c>
      <c r="AA235" s="40">
        <f t="shared" si="292"/>
        <v>-4051.462297538962</v>
      </c>
      <c r="AB235" s="40">
        <f t="shared" si="292"/>
        <v>-3807.1031878111098</v>
      </c>
      <c r="AC235" s="40">
        <f t="shared" si="292"/>
        <v>-5931.2515819154396</v>
      </c>
      <c r="AD235" s="40">
        <f t="shared" si="292"/>
        <v>-4941.1687386779176</v>
      </c>
      <c r="AE235" s="40">
        <f t="shared" si="292"/>
        <v>-7186.0180813183833</v>
      </c>
      <c r="AF235" s="40">
        <f t="shared" si="292"/>
        <v>-3227.4235807860264</v>
      </c>
      <c r="AG235" s="40">
        <f t="shared" si="292"/>
        <v>-4385.0419380318781</v>
      </c>
      <c r="AH235" s="40">
        <f t="shared" si="280"/>
        <v>-71789.991064730581</v>
      </c>
      <c r="AI235" s="132">
        <f t="shared" si="281"/>
        <v>1.77279274624575</v>
      </c>
      <c r="AK235" s="40">
        <f>-SUMIF($C$125:$C$142,$A210,AK$125:AK$142)</f>
        <v>-4675.2746400000005</v>
      </c>
      <c r="AL235" s="40">
        <f t="shared" ref="AL235:AV235" si="293">-SUMIF($C$125:$C$142,$A210,AL$125:AL$142)</f>
        <v>-9297.4260720000002</v>
      </c>
      <c r="AM235" s="40">
        <f t="shared" si="293"/>
        <v>-9347.7248600000003</v>
      </c>
      <c r="AN235" s="40">
        <f t="shared" si="293"/>
        <v>-10271.470335400343</v>
      </c>
      <c r="AO235" s="40">
        <f t="shared" si="293"/>
        <v>-9250.1768748072172</v>
      </c>
      <c r="AP235" s="40">
        <f t="shared" si="293"/>
        <v>-5348.7190507743935</v>
      </c>
      <c r="AQ235" s="40">
        <f t="shared" si="293"/>
        <v>-6130.9103674124181</v>
      </c>
      <c r="AR235" s="40">
        <f t="shared" si="293"/>
        <v>-7714.2354107568854</v>
      </c>
      <c r="AS235" s="40">
        <f t="shared" si="293"/>
        <v>-12296.173228348569</v>
      </c>
      <c r="AT235" s="40">
        <f t="shared" si="293"/>
        <v>-11465.093162688483</v>
      </c>
      <c r="AU235" s="40">
        <f t="shared" si="293"/>
        <v>-8011.0195838253276</v>
      </c>
      <c r="AV235" s="40">
        <f t="shared" si="293"/>
        <v>-6409.2109856508487</v>
      </c>
      <c r="AW235" s="40">
        <f t="shared" si="283"/>
        <v>-100217.43457166449</v>
      </c>
      <c r="AX235" s="132">
        <f t="shared" si="284"/>
        <v>21.85438451625042</v>
      </c>
    </row>
    <row r="236" spans="1:50">
      <c r="A236" s="7" t="s">
        <v>457</v>
      </c>
      <c r="F236" s="40">
        <f>-SUMIF($C$145:$C$162,$A211,F$145:F$162)</f>
        <v>0</v>
      </c>
      <c r="G236" s="40">
        <f t="shared" ref="G236:Q236" si="294">-SUMIF($C$145:$C$162,$A211,G$145:G$162)</f>
        <v>0</v>
      </c>
      <c r="H236" s="40">
        <f t="shared" si="294"/>
        <v>0</v>
      </c>
      <c r="I236" s="40">
        <f t="shared" si="294"/>
        <v>0</v>
      </c>
      <c r="J236" s="40">
        <f t="shared" si="294"/>
        <v>0</v>
      </c>
      <c r="K236" s="40">
        <f t="shared" si="294"/>
        <v>0</v>
      </c>
      <c r="L236" s="40">
        <f t="shared" si="294"/>
        <v>0</v>
      </c>
      <c r="M236" s="40">
        <f t="shared" si="294"/>
        <v>0</v>
      </c>
      <c r="N236" s="40">
        <f t="shared" si="294"/>
        <v>0</v>
      </c>
      <c r="O236" s="40">
        <f t="shared" si="294"/>
        <v>0</v>
      </c>
      <c r="P236" s="40">
        <f t="shared" si="294"/>
        <v>0</v>
      </c>
      <c r="Q236" s="40">
        <f t="shared" si="294"/>
        <v>0</v>
      </c>
      <c r="R236" s="40">
        <f t="shared" si="278"/>
        <v>0</v>
      </c>
      <c r="V236" s="40">
        <f>-SUMIF($C$145:$C$162,$A211,V$145:V$162)</f>
        <v>-1000</v>
      </c>
      <c r="W236" s="40">
        <f t="shared" ref="W236:AG236" si="295">-SUMIF($C$145:$C$162,$A211,W$145:W$162)</f>
        <v>-2250</v>
      </c>
      <c r="X236" s="40">
        <f t="shared" si="295"/>
        <v>-1500</v>
      </c>
      <c r="Y236" s="40">
        <f t="shared" si="295"/>
        <v>-1606.4682214808468</v>
      </c>
      <c r="Z236" s="40">
        <f t="shared" si="295"/>
        <v>-2474.4749535755095</v>
      </c>
      <c r="AA236" s="40">
        <f t="shared" si="295"/>
        <v>-1626.7087761011157</v>
      </c>
      <c r="AB236" s="40">
        <f t="shared" si="295"/>
        <v>-1379.7757859498329</v>
      </c>
      <c r="AC236" s="40">
        <f t="shared" si="295"/>
        <v>-2990.5344169551395</v>
      </c>
      <c r="AD236" s="40">
        <f t="shared" si="295"/>
        <v>-1373.0296842162186</v>
      </c>
      <c r="AE236" s="40">
        <f t="shared" si="295"/>
        <v>-2460.2345797213111</v>
      </c>
      <c r="AF236" s="40">
        <f t="shared" si="295"/>
        <v>-2013.6766918545118</v>
      </c>
      <c r="AG236" s="40">
        <f t="shared" si="295"/>
        <v>-1684.7632855082952</v>
      </c>
      <c r="AH236" s="40">
        <f t="shared" si="280"/>
        <v>-22359.666395362779</v>
      </c>
      <c r="AI236" s="132">
        <f t="shared" si="281"/>
        <v>0</v>
      </c>
      <c r="AK236" s="40">
        <f>-SUMIF($C$145:$C$162,$A211,AK$145:AK$162)</f>
        <v>-787.5</v>
      </c>
      <c r="AL236" s="40">
        <f t="shared" ref="AL236:AV236" si="296">-SUMIF($C$145:$C$162,$A211,AL$145:AL$162)</f>
        <v>-1575</v>
      </c>
      <c r="AM236" s="40">
        <f t="shared" si="296"/>
        <v>-1312.5</v>
      </c>
      <c r="AN236" s="40">
        <f t="shared" si="296"/>
        <v>-1298.291632554889</v>
      </c>
      <c r="AO236" s="40">
        <f t="shared" si="296"/>
        <v>-1810.698701254285</v>
      </c>
      <c r="AP236" s="40">
        <f t="shared" si="296"/>
        <v>-1445.5442149061714</v>
      </c>
      <c r="AQ236" s="40">
        <f t="shared" si="296"/>
        <v>-1060.2645752473245</v>
      </c>
      <c r="AR236" s="40">
        <f t="shared" si="296"/>
        <v>-2352.5611378028966</v>
      </c>
      <c r="AS236" s="40">
        <f t="shared" si="296"/>
        <v>-1179.1811684270297</v>
      </c>
      <c r="AT236" s="40">
        <f t="shared" si="296"/>
        <v>-1795.7463087073768</v>
      </c>
      <c r="AU236" s="40">
        <f t="shared" si="296"/>
        <v>-1589.3605264472374</v>
      </c>
      <c r="AV236" s="40">
        <f t="shared" si="296"/>
        <v>-1244.0014497837101</v>
      </c>
      <c r="AW236" s="40">
        <f t="shared" si="283"/>
        <v>-17450.64971513092</v>
      </c>
      <c r="AX236" s="132">
        <f t="shared" si="284"/>
        <v>9.3579237897898739</v>
      </c>
    </row>
    <row r="237" spans="1:50">
      <c r="A237" s="7" t="s">
        <v>458</v>
      </c>
      <c r="F237" s="40">
        <f>-SUMIF($C$125:$C$142,$A211,F$125:F$142)</f>
        <v>-458.25</v>
      </c>
      <c r="G237" s="40">
        <f t="shared" ref="G237:Q237" si="297">-SUMIF($C$125:$C$142,$A211,G$125:G$142)</f>
        <v>-1190.97</v>
      </c>
      <c r="H237" s="40">
        <f t="shared" si="297"/>
        <v>-1516.93</v>
      </c>
      <c r="I237" s="40">
        <f t="shared" si="297"/>
        <v>-2268.5100000000002</v>
      </c>
      <c r="J237" s="40">
        <f t="shared" si="297"/>
        <v>-1219.836</v>
      </c>
      <c r="K237" s="40">
        <f t="shared" si="297"/>
        <v>-1779.9000000000003</v>
      </c>
      <c r="L237" s="40">
        <f t="shared" si="297"/>
        <v>-1197.4400000000003</v>
      </c>
      <c r="M237" s="40">
        <f t="shared" si="297"/>
        <v>0</v>
      </c>
      <c r="N237" s="40">
        <f t="shared" si="297"/>
        <v>-3803.2049999999999</v>
      </c>
      <c r="O237" s="40">
        <f t="shared" si="297"/>
        <v>-7500</v>
      </c>
      <c r="P237" s="40">
        <f t="shared" si="297"/>
        <v>-2500</v>
      </c>
      <c r="Q237" s="40">
        <f t="shared" si="297"/>
        <v>-3000</v>
      </c>
      <c r="R237" s="40">
        <f t="shared" si="278"/>
        <v>-26435.041000000001</v>
      </c>
      <c r="V237" s="40">
        <f>-SUMIF($C$125:$C$142,$A211,V$125:V$142)</f>
        <v>-1000</v>
      </c>
      <c r="W237" s="40">
        <f t="shared" ref="W237:AG237" si="298">-SUMIF($C$125:$C$142,$A211,W$125:W$142)</f>
        <v>-2250</v>
      </c>
      <c r="X237" s="40">
        <f t="shared" si="298"/>
        <v>-1500</v>
      </c>
      <c r="Y237" s="40">
        <f t="shared" si="298"/>
        <v>-1606.4682214808468</v>
      </c>
      <c r="Z237" s="40">
        <f t="shared" si="298"/>
        <v>-2474.4749535755095</v>
      </c>
      <c r="AA237" s="40">
        <f t="shared" si="298"/>
        <v>-1626.7087761011157</v>
      </c>
      <c r="AB237" s="40">
        <f t="shared" si="298"/>
        <v>-1379.7757859498329</v>
      </c>
      <c r="AC237" s="40">
        <f t="shared" si="298"/>
        <v>-2990.5344169551395</v>
      </c>
      <c r="AD237" s="40">
        <f t="shared" si="298"/>
        <v>-1373.0296842162186</v>
      </c>
      <c r="AE237" s="40">
        <f t="shared" si="298"/>
        <v>-2460.2345797213111</v>
      </c>
      <c r="AF237" s="40">
        <f t="shared" si="298"/>
        <v>-2013.6766918545118</v>
      </c>
      <c r="AG237" s="40">
        <f t="shared" si="298"/>
        <v>-1684.7632855082952</v>
      </c>
      <c r="AH237" s="40">
        <f t="shared" si="280"/>
        <v>-22359.666395362779</v>
      </c>
      <c r="AI237" s="132">
        <f t="shared" si="281"/>
        <v>-0.15416562450715399</v>
      </c>
      <c r="AK237" s="40">
        <f>-SUMIF($C$125:$C$142,$A211,AK$125:AK$142)</f>
        <v>-787.5</v>
      </c>
      <c r="AL237" s="40">
        <f t="shared" ref="AL237:AV237" si="299">-SUMIF($C$125:$C$142,$A211,AL$125:AL$142)</f>
        <v>-1575</v>
      </c>
      <c r="AM237" s="40">
        <f t="shared" si="299"/>
        <v>-1312.5</v>
      </c>
      <c r="AN237" s="40">
        <f t="shared" si="299"/>
        <v>-1040.2708162774445</v>
      </c>
      <c r="AO237" s="40">
        <f t="shared" si="299"/>
        <v>-1561.5993506271425</v>
      </c>
      <c r="AP237" s="40">
        <f t="shared" si="299"/>
        <v>-1247.7721074530857</v>
      </c>
      <c r="AQ237" s="40">
        <f t="shared" si="299"/>
        <v>-986.88228762366225</v>
      </c>
      <c r="AR237" s="40">
        <f t="shared" si="299"/>
        <v>-2160.6555689014485</v>
      </c>
      <c r="AS237" s="40">
        <f t="shared" si="299"/>
        <v>-917.71558421351483</v>
      </c>
      <c r="AT237" s="40">
        <f t="shared" si="299"/>
        <v>-1685.3731543536883</v>
      </c>
      <c r="AU237" s="40">
        <f t="shared" si="299"/>
        <v>-1450.9302632236186</v>
      </c>
      <c r="AV237" s="40">
        <f t="shared" si="299"/>
        <v>-1147.000724891855</v>
      </c>
      <c r="AW237" s="40">
        <f t="shared" si="283"/>
        <v>-15873.199857565458</v>
      </c>
      <c r="AX237" s="132">
        <f t="shared" si="284"/>
        <v>8.4216202324093814</v>
      </c>
    </row>
    <row r="238" spans="1:50">
      <c r="A238" s="7" t="s">
        <v>459</v>
      </c>
      <c r="F238" s="40">
        <f>-SUMIF($C$145:$C$162,$A212,F$145:F$162)</f>
        <v>0</v>
      </c>
      <c r="G238" s="40">
        <f t="shared" ref="G238:Q238" si="300">-SUMIF($C$145:$C$162,$A212,G$145:G$162)</f>
        <v>0</v>
      </c>
      <c r="H238" s="40">
        <f t="shared" si="300"/>
        <v>0</v>
      </c>
      <c r="I238" s="40">
        <f t="shared" si="300"/>
        <v>0</v>
      </c>
      <c r="J238" s="40">
        <f t="shared" si="300"/>
        <v>0</v>
      </c>
      <c r="K238" s="40">
        <f t="shared" si="300"/>
        <v>0</v>
      </c>
      <c r="L238" s="40">
        <f t="shared" si="300"/>
        <v>0</v>
      </c>
      <c r="M238" s="40">
        <f t="shared" si="300"/>
        <v>0</v>
      </c>
      <c r="N238" s="40">
        <f t="shared" si="300"/>
        <v>0</v>
      </c>
      <c r="O238" s="40">
        <f t="shared" si="300"/>
        <v>0</v>
      </c>
      <c r="P238" s="40">
        <f t="shared" si="300"/>
        <v>0</v>
      </c>
      <c r="Q238" s="40">
        <f t="shared" si="300"/>
        <v>0</v>
      </c>
      <c r="R238" s="40">
        <f t="shared" si="278"/>
        <v>0</v>
      </c>
      <c r="V238" s="40">
        <f>-SUMIF($C$145:$C$162,$A212,V$145:V$162)</f>
        <v>0</v>
      </c>
      <c r="W238" s="40">
        <f t="shared" ref="W238:AG238" si="301">-SUMIF($C$145:$C$162,$A212,W$145:W$162)</f>
        <v>0</v>
      </c>
      <c r="X238" s="40">
        <f t="shared" si="301"/>
        <v>0</v>
      </c>
      <c r="Y238" s="40">
        <f t="shared" si="301"/>
        <v>0</v>
      </c>
      <c r="Z238" s="40">
        <f t="shared" si="301"/>
        <v>0</v>
      </c>
      <c r="AA238" s="40">
        <f t="shared" si="301"/>
        <v>0</v>
      </c>
      <c r="AB238" s="40">
        <f t="shared" si="301"/>
        <v>0</v>
      </c>
      <c r="AC238" s="40">
        <f t="shared" si="301"/>
        <v>0</v>
      </c>
      <c r="AD238" s="40">
        <f t="shared" si="301"/>
        <v>0</v>
      </c>
      <c r="AE238" s="40">
        <f t="shared" si="301"/>
        <v>0</v>
      </c>
      <c r="AF238" s="40">
        <f t="shared" si="301"/>
        <v>0</v>
      </c>
      <c r="AG238" s="40">
        <f t="shared" si="301"/>
        <v>0</v>
      </c>
      <c r="AH238" s="40">
        <f t="shared" si="280"/>
        <v>0</v>
      </c>
      <c r="AI238" s="132">
        <f t="shared" si="281"/>
        <v>0</v>
      </c>
      <c r="AK238" s="40">
        <f>-SUMIF($C$145:$C$162,$A212,AK$145:AK$162)</f>
        <v>0</v>
      </c>
      <c r="AL238" s="40">
        <f t="shared" ref="AL238:AV238" si="302">-SUMIF($C$145:$C$162,$A212,AL$145:AL$162)</f>
        <v>0</v>
      </c>
      <c r="AM238" s="40">
        <f t="shared" si="302"/>
        <v>0</v>
      </c>
      <c r="AN238" s="40">
        <f t="shared" si="302"/>
        <v>0</v>
      </c>
      <c r="AO238" s="40">
        <f t="shared" si="302"/>
        <v>0</v>
      </c>
      <c r="AP238" s="40">
        <f t="shared" si="302"/>
        <v>0</v>
      </c>
      <c r="AQ238" s="40">
        <f t="shared" si="302"/>
        <v>0</v>
      </c>
      <c r="AR238" s="40">
        <f t="shared" si="302"/>
        <v>0</v>
      </c>
      <c r="AS238" s="40">
        <f t="shared" si="302"/>
        <v>0</v>
      </c>
      <c r="AT238" s="40">
        <f t="shared" si="302"/>
        <v>0</v>
      </c>
      <c r="AU238" s="40">
        <f t="shared" si="302"/>
        <v>0</v>
      </c>
      <c r="AV238" s="40">
        <f t="shared" si="302"/>
        <v>0</v>
      </c>
      <c r="AW238" s="40">
        <f t="shared" si="283"/>
        <v>0</v>
      </c>
      <c r="AX238" s="132">
        <f t="shared" si="284"/>
        <v>0</v>
      </c>
    </row>
    <row r="239" spans="1:50">
      <c r="A239" s="7" t="s">
        <v>460</v>
      </c>
      <c r="F239" s="40">
        <f>-SUMIF($C$125:$C$142,$A212,F$125:F$142)</f>
        <v>0</v>
      </c>
      <c r="G239" s="40">
        <f t="shared" ref="G239:Q239" si="303">-SUMIF($C$125:$C$142,$A212,G$125:G$142)</f>
        <v>0</v>
      </c>
      <c r="H239" s="40">
        <f t="shared" si="303"/>
        <v>0</v>
      </c>
      <c r="I239" s="40">
        <f t="shared" si="303"/>
        <v>0</v>
      </c>
      <c r="J239" s="40">
        <f t="shared" si="303"/>
        <v>0</v>
      </c>
      <c r="K239" s="40">
        <f t="shared" si="303"/>
        <v>0</v>
      </c>
      <c r="L239" s="40">
        <f t="shared" si="303"/>
        <v>0</v>
      </c>
      <c r="M239" s="40">
        <f t="shared" si="303"/>
        <v>0</v>
      </c>
      <c r="N239" s="40">
        <f t="shared" si="303"/>
        <v>0</v>
      </c>
      <c r="O239" s="40">
        <f t="shared" si="303"/>
        <v>0</v>
      </c>
      <c r="P239" s="40">
        <f t="shared" si="303"/>
        <v>0</v>
      </c>
      <c r="Q239" s="40">
        <f t="shared" si="303"/>
        <v>0</v>
      </c>
      <c r="R239" s="40">
        <f t="shared" si="278"/>
        <v>0</v>
      </c>
      <c r="V239" s="40">
        <f>-SUMIF($C$125:$C$142,$A212,V$125:V$142)</f>
        <v>0</v>
      </c>
      <c r="W239" s="40">
        <f t="shared" ref="W239:AG239" si="304">-SUMIF($C$125:$C$142,$A212,W$125:W$142)</f>
        <v>0</v>
      </c>
      <c r="X239" s="40">
        <f t="shared" si="304"/>
        <v>0</v>
      </c>
      <c r="Y239" s="40">
        <f t="shared" si="304"/>
        <v>0</v>
      </c>
      <c r="Z239" s="40">
        <f t="shared" si="304"/>
        <v>0</v>
      </c>
      <c r="AA239" s="40">
        <f t="shared" si="304"/>
        <v>0</v>
      </c>
      <c r="AB239" s="40">
        <f t="shared" si="304"/>
        <v>0</v>
      </c>
      <c r="AC239" s="40">
        <f t="shared" si="304"/>
        <v>0</v>
      </c>
      <c r="AD239" s="40">
        <f t="shared" si="304"/>
        <v>0</v>
      </c>
      <c r="AE239" s="40">
        <f t="shared" si="304"/>
        <v>0</v>
      </c>
      <c r="AF239" s="40">
        <f t="shared" si="304"/>
        <v>0</v>
      </c>
      <c r="AG239" s="40">
        <f t="shared" si="304"/>
        <v>0</v>
      </c>
      <c r="AH239" s="40">
        <f t="shared" si="280"/>
        <v>0</v>
      </c>
      <c r="AI239" s="132">
        <f t="shared" si="281"/>
        <v>0</v>
      </c>
      <c r="AK239" s="40">
        <f>-SUMIF($C$125:$C$142,$A212,AK$125:AK$142)</f>
        <v>0</v>
      </c>
      <c r="AL239" s="40">
        <f t="shared" ref="AL239:AV239" si="305">-SUMIF($C$125:$C$142,$A212,AL$125:AL$142)</f>
        <v>0</v>
      </c>
      <c r="AM239" s="40">
        <f t="shared" si="305"/>
        <v>0</v>
      </c>
      <c r="AN239" s="40">
        <f t="shared" si="305"/>
        <v>0</v>
      </c>
      <c r="AO239" s="40">
        <f t="shared" si="305"/>
        <v>0</v>
      </c>
      <c r="AP239" s="40">
        <f t="shared" si="305"/>
        <v>0</v>
      </c>
      <c r="AQ239" s="40">
        <f t="shared" si="305"/>
        <v>0</v>
      </c>
      <c r="AR239" s="40">
        <f t="shared" si="305"/>
        <v>0</v>
      </c>
      <c r="AS239" s="40">
        <f t="shared" si="305"/>
        <v>0</v>
      </c>
      <c r="AT239" s="40">
        <f t="shared" si="305"/>
        <v>0</v>
      </c>
      <c r="AU239" s="40">
        <f t="shared" si="305"/>
        <v>0</v>
      </c>
      <c r="AV239" s="40">
        <f t="shared" si="305"/>
        <v>0</v>
      </c>
      <c r="AW239" s="40">
        <f t="shared" si="283"/>
        <v>0</v>
      </c>
      <c r="AX239" s="132">
        <f t="shared" si="284"/>
        <v>0</v>
      </c>
    </row>
    <row r="240" spans="1:50">
      <c r="A240" s="413" t="s">
        <v>461</v>
      </c>
      <c r="B240" s="413"/>
      <c r="C240" s="413"/>
      <c r="D240" s="413"/>
      <c r="E240" s="413"/>
      <c r="F240" s="397">
        <f>SUM(F232:F239)</f>
        <v>-111086.8088</v>
      </c>
      <c r="G240" s="397">
        <f t="shared" ref="G240:Q240" si="306">SUM(G232:G239)</f>
        <v>-74383.9899</v>
      </c>
      <c r="H240" s="397">
        <f t="shared" si="306"/>
        <v>-64545.286600000007</v>
      </c>
      <c r="I240" s="397">
        <f t="shared" si="306"/>
        <v>-99289.839400000012</v>
      </c>
      <c r="J240" s="397">
        <f t="shared" si="306"/>
        <v>-139010.75</v>
      </c>
      <c r="K240" s="397">
        <f t="shared" si="306"/>
        <v>-69148.211299999981</v>
      </c>
      <c r="L240" s="397">
        <f t="shared" si="306"/>
        <v>-40701.046900000001</v>
      </c>
      <c r="M240" s="397">
        <f t="shared" si="306"/>
        <v>-80366.3465</v>
      </c>
      <c r="N240" s="397">
        <f t="shared" si="306"/>
        <v>-169443.29299999998</v>
      </c>
      <c r="O240" s="397">
        <f t="shared" si="306"/>
        <v>-142405.12014932159</v>
      </c>
      <c r="P240" s="397">
        <f t="shared" si="306"/>
        <v>-104362.37975525676</v>
      </c>
      <c r="Q240" s="397">
        <f t="shared" si="306"/>
        <v>-113772.58742073667</v>
      </c>
      <c r="R240" s="397">
        <f>SUM(R232:R239)</f>
        <v>-1208515.6597253152</v>
      </c>
      <c r="S240" s="40"/>
      <c r="V240" s="397">
        <f>SUM(V232:V239)</f>
        <v>-143356.30557500001</v>
      </c>
      <c r="W240" s="397">
        <f t="shared" ref="W240" si="307">SUM(W232:W239)</f>
        <v>-134252.27554</v>
      </c>
      <c r="X240" s="397">
        <f t="shared" ref="X240" si="308">SUM(X232:X239)</f>
        <v>-104470.9523</v>
      </c>
      <c r="Y240" s="397">
        <f t="shared" ref="Y240" si="309">SUM(Y232:Y239)</f>
        <v>-119479.07933574042</v>
      </c>
      <c r="Z240" s="397">
        <f t="shared" ref="Z240" si="310">SUM(Z232:Z239)</f>
        <v>-146677.98306914576</v>
      </c>
      <c r="AA240" s="397">
        <f t="shared" ref="AA240" si="311">SUM(AA232:AA239)</f>
        <v>-104396.8504642296</v>
      </c>
      <c r="AB240" s="397">
        <f t="shared" ref="AB240" si="312">SUM(AB232:AB239)</f>
        <v>-143090.274174547</v>
      </c>
      <c r="AC240" s="397">
        <f t="shared" ref="AC240" si="313">SUM(AC232:AC239)</f>
        <v>-296595.30460926355</v>
      </c>
      <c r="AD240" s="397">
        <f t="shared" ref="AD240" si="314">SUM(AD232:AD239)</f>
        <v>-209302.03572368019</v>
      </c>
      <c r="AE240" s="397">
        <f t="shared" ref="AE240" si="315">SUM(AE232:AE239)</f>
        <v>-149009.11338308014</v>
      </c>
      <c r="AF240" s="397">
        <f t="shared" ref="AF240" si="316">SUM(AF232:AF239)</f>
        <v>-152247.8012189882</v>
      </c>
      <c r="AG240" s="397">
        <f>SUM(AG232:AG239)</f>
        <v>-142498.49008426059</v>
      </c>
      <c r="AH240" s="397">
        <f>SUM(V240:AG240)</f>
        <v>-1845376.4654779355</v>
      </c>
      <c r="AI240" s="422">
        <f>IFERROR(AH240/R240-1,0)</f>
        <v>0.52697770246301401</v>
      </c>
      <c r="AK240" s="397">
        <f>SUM(AK232:AK239)</f>
        <v>-155513.96102475002</v>
      </c>
      <c r="AL240" s="397">
        <f t="shared" ref="AL240" si="317">SUM(AL232:AL239)</f>
        <v>-130047.37021200001</v>
      </c>
      <c r="AM240" s="397">
        <f t="shared" ref="AM240" si="318">SUM(AM232:AM239)</f>
        <v>-132877.09694299998</v>
      </c>
      <c r="AN240" s="397">
        <f t="shared" ref="AN240" si="319">SUM(AN232:AN239)</f>
        <v>-137279.35089453336</v>
      </c>
      <c r="AO240" s="397">
        <f t="shared" ref="AO240" si="320">SUM(AO232:AO239)</f>
        <v>-162170.36714656506</v>
      </c>
      <c r="AP240" s="397">
        <f t="shared" ref="AP240" si="321">SUM(AP232:AP239)</f>
        <v>-119878.46589856343</v>
      </c>
      <c r="AQ240" s="397">
        <f t="shared" ref="AQ240" si="322">SUM(AQ232:AQ239)</f>
        <v>-164803.85734528289</v>
      </c>
      <c r="AR240" s="397">
        <f t="shared" ref="AR240" si="323">SUM(AR232:AR239)</f>
        <v>-319826.70946006238</v>
      </c>
      <c r="AS240" s="397">
        <f t="shared" ref="AS240" si="324">SUM(AS232:AS239)</f>
        <v>-235124.10222186093</v>
      </c>
      <c r="AT240" s="397">
        <f t="shared" ref="AT240" si="325">SUM(AT232:AT239)</f>
        <v>-168499.81555264231</v>
      </c>
      <c r="AU240" s="397">
        <f t="shared" ref="AU240" si="326">SUM(AU232:AU239)</f>
        <v>-172699.52955617805</v>
      </c>
      <c r="AV240" s="397">
        <f t="shared" ref="AV240" si="327">SUM(AV232:AV239)</f>
        <v>-154579.1083468225</v>
      </c>
      <c r="AW240" s="397">
        <f>SUM(AW232:AW239)</f>
        <v>-2053299.7346022609</v>
      </c>
      <c r="AX240" s="422">
        <f t="shared" si="284"/>
        <v>13.409273623798589</v>
      </c>
    </row>
    <row r="242" spans="1:50">
      <c r="A242" s="413" t="s">
        <v>137</v>
      </c>
      <c r="B242" s="413"/>
      <c r="C242" s="413"/>
      <c r="D242" s="413"/>
      <c r="E242" s="413"/>
      <c r="F242" s="411">
        <f>F230+F240</f>
        <v>287185.31652635208</v>
      </c>
      <c r="G242" s="411">
        <f t="shared" ref="G242:R242" si="328">G230+G240</f>
        <v>237300.23014299979</v>
      </c>
      <c r="H242" s="411">
        <f t="shared" si="328"/>
        <v>126256.97242061463</v>
      </c>
      <c r="I242" s="411">
        <f t="shared" si="328"/>
        <v>228572.9644706301</v>
      </c>
      <c r="J242" s="411">
        <f t="shared" si="328"/>
        <v>253334.72845250962</v>
      </c>
      <c r="K242" s="411">
        <f t="shared" si="328"/>
        <v>182287.33571621752</v>
      </c>
      <c r="L242" s="411">
        <f t="shared" si="328"/>
        <v>150533.80298191798</v>
      </c>
      <c r="M242" s="411">
        <f t="shared" si="328"/>
        <v>220276.58055277797</v>
      </c>
      <c r="N242" s="411">
        <f t="shared" si="328"/>
        <v>328395.32536828925</v>
      </c>
      <c r="O242" s="411">
        <f t="shared" si="328"/>
        <v>348211.36383078876</v>
      </c>
      <c r="P242" s="411">
        <f t="shared" si="328"/>
        <v>309799.81068629044</v>
      </c>
      <c r="Q242" s="411">
        <f t="shared" si="328"/>
        <v>278311.50207551825</v>
      </c>
      <c r="R242" s="411">
        <f t="shared" si="328"/>
        <v>2950465.9332249062</v>
      </c>
      <c r="S242" s="40"/>
      <c r="V242" s="411">
        <f>V230+V240</f>
        <v>155890.4282985563</v>
      </c>
      <c r="W242" s="411">
        <f t="shared" ref="W242:AH242" si="329">W230+W240</f>
        <v>302758.91557577305</v>
      </c>
      <c r="X242" s="411">
        <f t="shared" si="329"/>
        <v>228142.32163498877</v>
      </c>
      <c r="Y242" s="411">
        <f t="shared" si="329"/>
        <v>234354.06038571603</v>
      </c>
      <c r="Z242" s="411">
        <f t="shared" si="329"/>
        <v>258587.01380231202</v>
      </c>
      <c r="AA242" s="411">
        <f t="shared" si="329"/>
        <v>167933.82294004731</v>
      </c>
      <c r="AB242" s="411">
        <f t="shared" si="329"/>
        <v>208549.72157124412</v>
      </c>
      <c r="AC242" s="411">
        <f t="shared" si="329"/>
        <v>438432.28356662521</v>
      </c>
      <c r="AD242" s="411">
        <f t="shared" si="329"/>
        <v>309692.55875343701</v>
      </c>
      <c r="AE242" s="411">
        <f t="shared" si="329"/>
        <v>266821.50265029969</v>
      </c>
      <c r="AF242" s="411">
        <f t="shared" si="329"/>
        <v>170308.79784085928</v>
      </c>
      <c r="AG242" s="411">
        <f>AG230+AG240</f>
        <v>188764.14138589497</v>
      </c>
      <c r="AH242" s="411">
        <f t="shared" si="329"/>
        <v>2930235.5684057525</v>
      </c>
      <c r="AI242" s="422">
        <f>IFERROR(AH242/R242-1,0)</f>
        <v>-6.8566678202726106E-3</v>
      </c>
      <c r="AK242" s="411">
        <f>AK230+AK240</f>
        <v>209764.75346209097</v>
      </c>
      <c r="AL242" s="411">
        <f t="shared" ref="AL242:AW242" si="330">AL230+AL240</f>
        <v>264758.01088129566</v>
      </c>
      <c r="AM242" s="411">
        <f t="shared" si="330"/>
        <v>292349.72191307042</v>
      </c>
      <c r="AN242" s="411">
        <f t="shared" si="330"/>
        <v>318451.16003891488</v>
      </c>
      <c r="AO242" s="411">
        <f t="shared" si="330"/>
        <v>324021.93065400352</v>
      </c>
      <c r="AP242" s="411">
        <f t="shared" si="330"/>
        <v>218684.75769070681</v>
      </c>
      <c r="AQ242" s="411">
        <f t="shared" si="330"/>
        <v>264598.02293196728</v>
      </c>
      <c r="AR242" s="411">
        <f t="shared" si="330"/>
        <v>607968.27526575536</v>
      </c>
      <c r="AS242" s="411">
        <f t="shared" si="330"/>
        <v>438000.89646512805</v>
      </c>
      <c r="AT242" s="411">
        <f t="shared" si="330"/>
        <v>381025.25583937438</v>
      </c>
      <c r="AU242" s="411">
        <f t="shared" si="330"/>
        <v>256894.69715196206</v>
      </c>
      <c r="AV242" s="411">
        <f t="shared" si="330"/>
        <v>246975.55046763521</v>
      </c>
      <c r="AW242" s="411">
        <f t="shared" si="330"/>
        <v>3823493.0327619067</v>
      </c>
      <c r="AX242" s="422">
        <f>IFERROR(AW242/AG242-1,0)</f>
        <v>19.255399170043901</v>
      </c>
    </row>
    <row r="243" spans="1:50">
      <c r="F243" s="132">
        <f t="shared" ref="F243:R243" si="331">F242/F213</f>
        <v>0.43211855996462717</v>
      </c>
      <c r="G243" s="132">
        <f t="shared" si="331"/>
        <v>0.46360530933453015</v>
      </c>
      <c r="H243" s="132">
        <f t="shared" si="331"/>
        <v>0.43646552768054853</v>
      </c>
      <c r="I243" s="132">
        <f t="shared" si="331"/>
        <v>0.44067690748696658</v>
      </c>
      <c r="J243" s="132">
        <f t="shared" si="331"/>
        <v>0.42808597912952029</v>
      </c>
      <c r="K243" s="132">
        <f t="shared" si="331"/>
        <v>0.43570826302769183</v>
      </c>
      <c r="L243" s="132">
        <f t="shared" si="331"/>
        <v>0.4564864392319577</v>
      </c>
      <c r="M243" s="132">
        <f t="shared" si="331"/>
        <v>0.43513781873486229</v>
      </c>
      <c r="N243" s="132">
        <f t="shared" si="331"/>
        <v>0.4287833028364344</v>
      </c>
      <c r="O243" s="132">
        <f t="shared" si="331"/>
        <v>0.45310229651934297</v>
      </c>
      <c r="P243" s="132">
        <f t="shared" si="331"/>
        <v>0.43799103580969306</v>
      </c>
      <c r="Q243" s="132">
        <f t="shared" si="331"/>
        <v>0.44413802653476975</v>
      </c>
      <c r="R243" s="132">
        <f t="shared" si="331"/>
        <v>0.44044083823034752</v>
      </c>
      <c r="V243" s="132">
        <f t="shared" ref="V243:AG243" si="332">V242/V213</f>
        <v>0.34691621563963843</v>
      </c>
      <c r="W243" s="132">
        <f t="shared" si="332"/>
        <v>0.42891550923074867</v>
      </c>
      <c r="X243" s="132">
        <f t="shared" si="332"/>
        <v>0.40730901529880043</v>
      </c>
      <c r="Y243" s="132">
        <f t="shared" si="332"/>
        <v>0.39794573741314648</v>
      </c>
      <c r="Z243" s="132">
        <f t="shared" si="332"/>
        <v>0.39682673966329735</v>
      </c>
      <c r="AA243" s="132">
        <f t="shared" si="332"/>
        <v>0.38307129857160982</v>
      </c>
      <c r="AB243" s="132">
        <f t="shared" si="332"/>
        <v>0.36854737891166894</v>
      </c>
      <c r="AC243" s="132">
        <f t="shared" si="332"/>
        <v>0.38523499362365726</v>
      </c>
      <c r="AD243" s="132">
        <f t="shared" si="332"/>
        <v>0.38364243355106109</v>
      </c>
      <c r="AE243" s="132">
        <f t="shared" si="332"/>
        <v>0.40454407153379907</v>
      </c>
      <c r="AF243" s="132">
        <f t="shared" si="332"/>
        <v>0.34895264688653799</v>
      </c>
      <c r="AG243" s="132">
        <f t="shared" si="332"/>
        <v>0.3667523857554657</v>
      </c>
      <c r="AH243" s="132">
        <f>AH242/AH213</f>
        <v>0.38719788473492772</v>
      </c>
      <c r="AK243" s="132">
        <f t="shared" ref="AK243:AW243" si="333">AK242/AK213</f>
        <v>0.38113492152415257</v>
      </c>
      <c r="AL243" s="132">
        <f t="shared" si="333"/>
        <v>0.42466955539148826</v>
      </c>
      <c r="AM243" s="132">
        <f t="shared" si="333"/>
        <v>0.41283992189829172</v>
      </c>
      <c r="AN243" s="132">
        <f t="shared" si="333"/>
        <v>0.42582933993000388</v>
      </c>
      <c r="AO243" s="132">
        <f t="shared" si="333"/>
        <v>0.41441886897355301</v>
      </c>
      <c r="AP243" s="132">
        <f t="shared" si="333"/>
        <v>0.40547409784169336</v>
      </c>
      <c r="AQ243" s="132">
        <f t="shared" si="333"/>
        <v>0.38622180067347034</v>
      </c>
      <c r="AR243" s="132">
        <f t="shared" si="333"/>
        <v>0.42024000550005502</v>
      </c>
      <c r="AS243" s="132">
        <f t="shared" si="333"/>
        <v>0.41905625116253931</v>
      </c>
      <c r="AT243" s="132">
        <f t="shared" si="333"/>
        <v>0.43653098322524786</v>
      </c>
      <c r="AU243" s="132">
        <f t="shared" si="333"/>
        <v>0.39050421032727395</v>
      </c>
      <c r="AV243" s="132">
        <f t="shared" si="333"/>
        <v>0.39438438643943047</v>
      </c>
      <c r="AW243" s="132">
        <f t="shared" si="333"/>
        <v>0.41179484281236262</v>
      </c>
    </row>
    <row r="252" spans="1:50">
      <c r="W252" s="21"/>
      <c r="X252" s="21"/>
      <c r="Y252" s="21"/>
      <c r="Z252" s="139"/>
      <c r="AA252" s="139"/>
      <c r="AB252" s="21"/>
      <c r="AC252" s="139"/>
      <c r="AD252" s="139"/>
    </row>
    <row r="253" spans="1:50">
      <c r="W253" s="107"/>
      <c r="X253" s="21"/>
      <c r="Y253" s="21"/>
      <c r="Z253" s="139"/>
      <c r="AA253" s="139"/>
      <c r="AB253" s="107"/>
      <c r="AC253" s="139"/>
      <c r="AD253" s="139"/>
    </row>
    <row r="254" spans="1:50">
      <c r="W254" s="107"/>
      <c r="X254" s="21"/>
      <c r="Y254" s="21"/>
      <c r="Z254" s="139"/>
      <c r="AA254" s="139"/>
      <c r="AB254" s="107"/>
      <c r="AC254" s="139"/>
      <c r="AD254" s="139"/>
    </row>
    <row r="255" spans="1:50">
      <c r="W255" s="21"/>
      <c r="X255" s="21"/>
      <c r="Y255" s="21"/>
      <c r="Z255" s="139"/>
      <c r="AA255" s="139"/>
      <c r="AB255" s="21"/>
      <c r="AC255" s="139"/>
      <c r="AD255" s="139"/>
    </row>
    <row r="257" spans="22:31">
      <c r="W257" s="21"/>
      <c r="X257" s="21"/>
      <c r="Y257" s="21"/>
      <c r="Z257" s="139"/>
      <c r="AA257" s="139"/>
      <c r="AB257" s="21"/>
      <c r="AC257" s="139"/>
      <c r="AD257" s="139"/>
    </row>
    <row r="259" spans="22:31">
      <c r="V259" s="462"/>
      <c r="W259" s="272"/>
      <c r="X259" s="272"/>
      <c r="Y259" s="272"/>
      <c r="Z259" s="139"/>
      <c r="AA259" s="139"/>
      <c r="AB259" s="21"/>
      <c r="AC259" s="139"/>
      <c r="AD259" s="139"/>
      <c r="AE259" s="272"/>
    </row>
    <row r="260" spans="22:31">
      <c r="V260" s="419"/>
      <c r="W260" s="272"/>
    </row>
    <row r="261" spans="22:31">
      <c r="V261" s="419"/>
      <c r="W261" s="272"/>
    </row>
    <row r="262" spans="22:31">
      <c r="V262" s="419"/>
      <c r="W262" s="272"/>
    </row>
    <row r="263" spans="22:31">
      <c r="V263" s="419"/>
      <c r="W263" s="272"/>
    </row>
    <row r="264" spans="22:31">
      <c r="V264" s="419"/>
      <c r="W264" s="272"/>
    </row>
    <row r="265" spans="22:31">
      <c r="V265" s="419"/>
      <c r="W265" s="272"/>
    </row>
    <row r="266" spans="22:31">
      <c r="V266" s="11"/>
      <c r="W266" s="172"/>
    </row>
    <row r="267" spans="22:31">
      <c r="V267" s="11"/>
      <c r="W267" s="172"/>
    </row>
  </sheetData>
  <autoFilter ref="A6:AX94" xr:uid="{AA5CF9F4-59A9-4068-B09B-E3E9A30D031A}"/>
  <conditionalFormatting sqref="E4 E7:E92 R7:R92">
    <cfRule type="cellIs" dxfId="7" priority="2" operator="greaterThan">
      <formula>200000</formula>
    </cfRule>
  </conditionalFormatting>
  <conditionalFormatting sqref="R4">
    <cfRule type="cellIs" dxfId="6" priority="3" operator="greaterThan">
      <formula>200000</formula>
    </cfRule>
  </conditionalFormatting>
  <conditionalFormatting sqref="R97:R108">
    <cfRule type="cellIs" dxfId="5" priority="1" operator="greaterThan">
      <formula>200000</formula>
    </cfRule>
  </conditionalFormatting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17FD9-1AA9-4B46-9B10-A4A92BD93F2D}">
  <sheetPr>
    <tabColor theme="4" tint="0.79998168889431442"/>
  </sheetPr>
  <dimension ref="A1:S19"/>
  <sheetViews>
    <sheetView workbookViewId="0">
      <selection activeCell="D3" sqref="D3"/>
    </sheetView>
  </sheetViews>
  <sheetFormatPr baseColWidth="10" defaultColWidth="11.5" defaultRowHeight="15"/>
  <cols>
    <col min="2" max="2" width="12.6640625" customWidth="1"/>
    <col min="3" max="3" width="18" customWidth="1"/>
    <col min="4" max="4" width="17.83203125" customWidth="1"/>
  </cols>
  <sheetData>
    <row r="1" spans="1:19" s="416" customFormat="1">
      <c r="A1" s="416" t="s">
        <v>218</v>
      </c>
      <c r="B1" s="416" t="s">
        <v>390</v>
      </c>
      <c r="C1" s="416" t="s">
        <v>391</v>
      </c>
      <c r="D1" s="416" t="s">
        <v>392</v>
      </c>
      <c r="E1" s="417">
        <v>45991</v>
      </c>
      <c r="F1" s="417">
        <f>EOMONTH(E1,1)</f>
        <v>46022</v>
      </c>
      <c r="G1" s="417">
        <f t="shared" ref="G1:S1" si="0">EOMONTH(F1,1)</f>
        <v>46053</v>
      </c>
      <c r="H1" s="417">
        <f t="shared" si="0"/>
        <v>46081</v>
      </c>
      <c r="I1" s="417">
        <f t="shared" si="0"/>
        <v>46112</v>
      </c>
      <c r="J1" s="417">
        <f t="shared" si="0"/>
        <v>46142</v>
      </c>
      <c r="K1" s="417">
        <f t="shared" si="0"/>
        <v>46173</v>
      </c>
      <c r="L1" s="417">
        <f t="shared" si="0"/>
        <v>46203</v>
      </c>
      <c r="M1" s="417">
        <f t="shared" si="0"/>
        <v>46234</v>
      </c>
      <c r="N1" s="417">
        <f t="shared" si="0"/>
        <v>46265</v>
      </c>
      <c r="O1" s="417">
        <f t="shared" si="0"/>
        <v>46295</v>
      </c>
      <c r="P1" s="417">
        <f t="shared" si="0"/>
        <v>46326</v>
      </c>
      <c r="Q1" s="417">
        <f t="shared" si="0"/>
        <v>46356</v>
      </c>
      <c r="R1" s="417">
        <f t="shared" si="0"/>
        <v>46387</v>
      </c>
      <c r="S1" s="417">
        <f t="shared" si="0"/>
        <v>46418</v>
      </c>
    </row>
    <row r="2" spans="1:19">
      <c r="A2" t="s">
        <v>73</v>
      </c>
      <c r="B2" t="s">
        <v>395</v>
      </c>
      <c r="C2" t="s">
        <v>277</v>
      </c>
      <c r="D2" t="s">
        <v>395</v>
      </c>
      <c r="E2" s="415">
        <f ca="1">IFERROR(SUMIFS(INDEX(INDIRECT("'"&amp;$B2&amp;"'!$B:$AU"),,MATCH(E$1,INDIRECT("'"&amp;$B2&amp;"'!$B$3:$AU$3"),0)),INDIRECT("'"&amp;$B2&amp;"'!$B:$B"),$C2),0)</f>
        <v>0</v>
      </c>
      <c r="F2" s="415">
        <f t="shared" ref="F2:S17" ca="1" si="1">IFERROR(SUMIFS(INDEX(INDIRECT("'"&amp;$B2&amp;"'!$B:$AU"),,MATCH(F$1,INDIRECT("'"&amp;$B2&amp;"'!$B$3:$AU$3"),0)),INDIRECT("'"&amp;$B2&amp;"'!$B:$B"),$C2),0)</f>
        <v>0</v>
      </c>
      <c r="G2" s="415">
        <f t="shared" ca="1" si="1"/>
        <v>0</v>
      </c>
      <c r="H2" s="415">
        <f t="shared" ca="1" si="1"/>
        <v>0</v>
      </c>
      <c r="I2" s="415">
        <f t="shared" ca="1" si="1"/>
        <v>0</v>
      </c>
      <c r="J2" s="415">
        <f t="shared" ca="1" si="1"/>
        <v>0</v>
      </c>
      <c r="K2" s="415">
        <f t="shared" ca="1" si="1"/>
        <v>0</v>
      </c>
      <c r="L2" s="415">
        <f t="shared" ca="1" si="1"/>
        <v>0</v>
      </c>
      <c r="M2" s="415">
        <f t="shared" ca="1" si="1"/>
        <v>0</v>
      </c>
      <c r="N2" s="415">
        <f t="shared" ca="1" si="1"/>
        <v>0</v>
      </c>
      <c r="O2" s="415">
        <f t="shared" ca="1" si="1"/>
        <v>0</v>
      </c>
      <c r="P2" s="415">
        <f t="shared" ca="1" si="1"/>
        <v>0</v>
      </c>
      <c r="Q2" s="415">
        <f t="shared" ca="1" si="1"/>
        <v>0</v>
      </c>
      <c r="R2" s="415">
        <f t="shared" ca="1" si="1"/>
        <v>0</v>
      </c>
      <c r="S2" s="415">
        <f t="shared" ca="1" si="1"/>
        <v>0</v>
      </c>
    </row>
    <row r="3" spans="1:19">
      <c r="A3" t="s">
        <v>73</v>
      </c>
      <c r="B3" t="s">
        <v>395</v>
      </c>
      <c r="C3" t="s">
        <v>248</v>
      </c>
      <c r="D3" t="s">
        <v>395</v>
      </c>
      <c r="E3" s="415">
        <f t="shared" ref="E3:S18" ca="1" si="2">IFERROR(SUMIFS(INDEX(INDIRECT("'"&amp;$B3&amp;"'!$B:$AU"),,MATCH(E$1,INDIRECT("'"&amp;$B3&amp;"'!$B$3:$AU$3"),0)),INDIRECT("'"&amp;$B3&amp;"'!$B:$B"),$C3),0)</f>
        <v>0</v>
      </c>
      <c r="F3" s="415">
        <f t="shared" ca="1" si="1"/>
        <v>0</v>
      </c>
      <c r="G3" s="415">
        <f t="shared" ca="1" si="1"/>
        <v>0</v>
      </c>
      <c r="H3" s="415">
        <f t="shared" ca="1" si="1"/>
        <v>0</v>
      </c>
      <c r="I3" s="415">
        <f t="shared" ca="1" si="1"/>
        <v>0</v>
      </c>
      <c r="J3" s="415">
        <f t="shared" ca="1" si="1"/>
        <v>0</v>
      </c>
      <c r="K3" s="415">
        <f t="shared" ca="1" si="1"/>
        <v>0</v>
      </c>
      <c r="L3" s="415">
        <f t="shared" ca="1" si="1"/>
        <v>0</v>
      </c>
      <c r="M3" s="415">
        <f t="shared" ca="1" si="1"/>
        <v>0</v>
      </c>
      <c r="N3" s="415">
        <f t="shared" ca="1" si="1"/>
        <v>0</v>
      </c>
      <c r="O3" s="415">
        <f t="shared" ca="1" si="1"/>
        <v>0</v>
      </c>
      <c r="P3" s="415">
        <f t="shared" ca="1" si="1"/>
        <v>0</v>
      </c>
      <c r="Q3" s="415">
        <f t="shared" ca="1" si="1"/>
        <v>0</v>
      </c>
      <c r="R3" s="415">
        <f t="shared" ca="1" si="1"/>
        <v>0</v>
      </c>
      <c r="S3" s="415">
        <f t="shared" ca="1" si="1"/>
        <v>0</v>
      </c>
    </row>
    <row r="4" spans="1:19">
      <c r="A4" t="s">
        <v>73</v>
      </c>
      <c r="B4" t="s">
        <v>395</v>
      </c>
      <c r="C4" t="s">
        <v>330</v>
      </c>
      <c r="D4" t="s">
        <v>395</v>
      </c>
      <c r="E4" s="415">
        <f t="shared" ca="1" si="2"/>
        <v>0</v>
      </c>
      <c r="F4" s="415">
        <f t="shared" ca="1" si="1"/>
        <v>0</v>
      </c>
      <c r="G4" s="415">
        <f t="shared" ca="1" si="1"/>
        <v>0</v>
      </c>
      <c r="H4" s="415">
        <f t="shared" ca="1" si="1"/>
        <v>0</v>
      </c>
      <c r="I4" s="415">
        <f t="shared" ca="1" si="1"/>
        <v>0</v>
      </c>
      <c r="J4" s="415">
        <f t="shared" ca="1" si="1"/>
        <v>0</v>
      </c>
      <c r="K4" s="415">
        <f t="shared" ca="1" si="1"/>
        <v>0</v>
      </c>
      <c r="L4" s="415">
        <f t="shared" ca="1" si="1"/>
        <v>0</v>
      </c>
      <c r="M4" s="415">
        <f t="shared" ca="1" si="1"/>
        <v>0</v>
      </c>
      <c r="N4" s="415">
        <f t="shared" ca="1" si="1"/>
        <v>0</v>
      </c>
      <c r="O4" s="415">
        <f t="shared" ca="1" si="1"/>
        <v>0</v>
      </c>
      <c r="P4" s="415">
        <f t="shared" ca="1" si="1"/>
        <v>0</v>
      </c>
      <c r="Q4" s="415">
        <f t="shared" ca="1" si="1"/>
        <v>0</v>
      </c>
      <c r="R4" s="415">
        <f t="shared" ca="1" si="1"/>
        <v>0</v>
      </c>
      <c r="S4" s="415">
        <f t="shared" ca="1" si="1"/>
        <v>0</v>
      </c>
    </row>
    <row r="5" spans="1:19">
      <c r="A5" t="s">
        <v>73</v>
      </c>
      <c r="B5" t="s">
        <v>395</v>
      </c>
      <c r="C5" t="s">
        <v>343</v>
      </c>
      <c r="D5" t="s">
        <v>395</v>
      </c>
      <c r="E5" s="415">
        <f t="shared" ca="1" si="2"/>
        <v>0</v>
      </c>
      <c r="F5" s="415">
        <f t="shared" ca="1" si="1"/>
        <v>0</v>
      </c>
      <c r="G5" s="415">
        <f t="shared" ca="1" si="1"/>
        <v>0</v>
      </c>
      <c r="H5" s="415">
        <f t="shared" ca="1" si="1"/>
        <v>0</v>
      </c>
      <c r="I5" s="415">
        <f t="shared" ca="1" si="1"/>
        <v>0</v>
      </c>
      <c r="J5" s="415">
        <f t="shared" ca="1" si="1"/>
        <v>0</v>
      </c>
      <c r="K5" s="415">
        <f t="shared" ca="1" si="1"/>
        <v>0</v>
      </c>
      <c r="L5" s="415">
        <f t="shared" ca="1" si="1"/>
        <v>0</v>
      </c>
      <c r="M5" s="415">
        <f t="shared" ca="1" si="1"/>
        <v>0</v>
      </c>
      <c r="N5" s="415">
        <f t="shared" ca="1" si="1"/>
        <v>0</v>
      </c>
      <c r="O5" s="415">
        <f t="shared" ca="1" si="1"/>
        <v>0</v>
      </c>
      <c r="P5" s="415">
        <f t="shared" ca="1" si="1"/>
        <v>0</v>
      </c>
      <c r="Q5" s="415">
        <f t="shared" ca="1" si="1"/>
        <v>0</v>
      </c>
      <c r="R5" s="415">
        <f t="shared" ca="1" si="1"/>
        <v>0</v>
      </c>
      <c r="S5" s="415">
        <f t="shared" ca="1" si="1"/>
        <v>0</v>
      </c>
    </row>
    <row r="6" spans="1:19">
      <c r="A6" t="s">
        <v>69</v>
      </c>
      <c r="B6" t="s">
        <v>395</v>
      </c>
      <c r="C6" t="s">
        <v>332</v>
      </c>
      <c r="D6" t="s">
        <v>395</v>
      </c>
      <c r="E6" s="415">
        <f t="shared" ca="1" si="2"/>
        <v>0</v>
      </c>
      <c r="F6" s="415">
        <f t="shared" ca="1" si="1"/>
        <v>0</v>
      </c>
      <c r="G6" s="415">
        <f t="shared" ca="1" si="1"/>
        <v>0</v>
      </c>
      <c r="H6" s="415">
        <f t="shared" ca="1" si="1"/>
        <v>0</v>
      </c>
      <c r="I6" s="415">
        <f t="shared" ca="1" si="1"/>
        <v>0</v>
      </c>
      <c r="J6" s="415">
        <f t="shared" ca="1" si="1"/>
        <v>0</v>
      </c>
      <c r="K6" s="415">
        <f t="shared" ca="1" si="1"/>
        <v>0</v>
      </c>
      <c r="L6" s="415">
        <f t="shared" ca="1" si="1"/>
        <v>0</v>
      </c>
      <c r="M6" s="415">
        <f t="shared" ca="1" si="1"/>
        <v>0</v>
      </c>
      <c r="N6" s="415">
        <f t="shared" ca="1" si="1"/>
        <v>0</v>
      </c>
      <c r="O6" s="415">
        <f t="shared" ca="1" si="1"/>
        <v>0</v>
      </c>
      <c r="P6" s="415">
        <f t="shared" ca="1" si="1"/>
        <v>0</v>
      </c>
      <c r="Q6" s="415">
        <f t="shared" ca="1" si="1"/>
        <v>0</v>
      </c>
      <c r="R6" s="415">
        <f t="shared" ca="1" si="1"/>
        <v>0</v>
      </c>
      <c r="S6" s="415">
        <f t="shared" ca="1" si="1"/>
        <v>0</v>
      </c>
    </row>
    <row r="7" spans="1:19">
      <c r="A7" t="s">
        <v>69</v>
      </c>
      <c r="B7" t="s">
        <v>395</v>
      </c>
      <c r="C7" t="s">
        <v>402</v>
      </c>
      <c r="D7" t="s">
        <v>395</v>
      </c>
      <c r="E7" s="415">
        <f t="shared" ca="1" si="2"/>
        <v>0</v>
      </c>
      <c r="F7" s="415">
        <f t="shared" ca="1" si="1"/>
        <v>0</v>
      </c>
      <c r="G7" s="415">
        <f t="shared" ca="1" si="1"/>
        <v>0</v>
      </c>
      <c r="H7" s="415">
        <f t="shared" ca="1" si="1"/>
        <v>0</v>
      </c>
      <c r="I7" s="415">
        <f t="shared" ca="1" si="1"/>
        <v>0</v>
      </c>
      <c r="J7" s="415">
        <f t="shared" ca="1" si="1"/>
        <v>0</v>
      </c>
      <c r="K7" s="415">
        <f t="shared" ca="1" si="1"/>
        <v>0</v>
      </c>
      <c r="L7" s="415">
        <f t="shared" ca="1" si="1"/>
        <v>0</v>
      </c>
      <c r="M7" s="415">
        <f t="shared" ca="1" si="1"/>
        <v>0</v>
      </c>
      <c r="N7" s="415">
        <f t="shared" ca="1" si="1"/>
        <v>0</v>
      </c>
      <c r="O7" s="415">
        <f t="shared" ca="1" si="1"/>
        <v>0</v>
      </c>
      <c r="P7" s="415">
        <f t="shared" ca="1" si="1"/>
        <v>0</v>
      </c>
      <c r="Q7" s="415">
        <f t="shared" ca="1" si="1"/>
        <v>0</v>
      </c>
      <c r="R7" s="415">
        <f t="shared" ca="1" si="1"/>
        <v>0</v>
      </c>
      <c r="S7" s="415">
        <f t="shared" ca="1" si="1"/>
        <v>0</v>
      </c>
    </row>
    <row r="8" spans="1:19">
      <c r="A8" t="s">
        <v>69</v>
      </c>
      <c r="B8" t="s">
        <v>395</v>
      </c>
      <c r="C8" t="s">
        <v>403</v>
      </c>
      <c r="D8" t="s">
        <v>395</v>
      </c>
      <c r="E8" s="415">
        <f t="shared" ca="1" si="2"/>
        <v>0</v>
      </c>
      <c r="F8" s="415">
        <f t="shared" ca="1" si="1"/>
        <v>0</v>
      </c>
      <c r="G8" s="415">
        <f t="shared" ca="1" si="1"/>
        <v>0</v>
      </c>
      <c r="H8" s="415">
        <f t="shared" ca="1" si="1"/>
        <v>0</v>
      </c>
      <c r="I8" s="415">
        <f t="shared" ca="1" si="1"/>
        <v>0</v>
      </c>
      <c r="J8" s="415">
        <f t="shared" ca="1" si="1"/>
        <v>0</v>
      </c>
      <c r="K8" s="415">
        <f t="shared" ca="1" si="1"/>
        <v>0</v>
      </c>
      <c r="L8" s="415">
        <f t="shared" ca="1" si="1"/>
        <v>0</v>
      </c>
      <c r="M8" s="415">
        <f t="shared" ca="1" si="1"/>
        <v>0</v>
      </c>
      <c r="N8" s="415">
        <f t="shared" ca="1" si="1"/>
        <v>0</v>
      </c>
      <c r="O8" s="415">
        <f t="shared" ca="1" si="1"/>
        <v>0</v>
      </c>
      <c r="P8" s="415">
        <f t="shared" ca="1" si="1"/>
        <v>0</v>
      </c>
      <c r="Q8" s="415">
        <f t="shared" ca="1" si="1"/>
        <v>0</v>
      </c>
      <c r="R8" s="415">
        <f t="shared" ca="1" si="1"/>
        <v>0</v>
      </c>
      <c r="S8" s="415">
        <f t="shared" ca="1" si="1"/>
        <v>0</v>
      </c>
    </row>
    <row r="9" spans="1:19">
      <c r="A9" t="s">
        <v>69</v>
      </c>
      <c r="B9" t="s">
        <v>395</v>
      </c>
      <c r="C9" t="s">
        <v>404</v>
      </c>
      <c r="D9" t="s">
        <v>395</v>
      </c>
      <c r="E9" s="415">
        <f t="shared" ca="1" si="2"/>
        <v>0</v>
      </c>
      <c r="F9" s="415">
        <f t="shared" ca="1" si="1"/>
        <v>0</v>
      </c>
      <c r="G9" s="415">
        <f t="shared" ca="1" si="1"/>
        <v>0</v>
      </c>
      <c r="H9" s="415">
        <f t="shared" ca="1" si="1"/>
        <v>0</v>
      </c>
      <c r="I9" s="415">
        <f t="shared" ca="1" si="1"/>
        <v>0</v>
      </c>
      <c r="J9" s="415">
        <f t="shared" ca="1" si="1"/>
        <v>0</v>
      </c>
      <c r="K9" s="415">
        <f t="shared" ca="1" si="1"/>
        <v>0</v>
      </c>
      <c r="L9" s="415">
        <f t="shared" ca="1" si="1"/>
        <v>0</v>
      </c>
      <c r="M9" s="415">
        <f t="shared" ca="1" si="1"/>
        <v>0</v>
      </c>
      <c r="N9" s="415">
        <f t="shared" ca="1" si="1"/>
        <v>0</v>
      </c>
      <c r="O9" s="415">
        <f t="shared" ca="1" si="1"/>
        <v>0</v>
      </c>
      <c r="P9" s="415">
        <f t="shared" ca="1" si="1"/>
        <v>0</v>
      </c>
      <c r="Q9" s="415">
        <f t="shared" ca="1" si="1"/>
        <v>0</v>
      </c>
      <c r="R9" s="415">
        <f t="shared" ca="1" si="1"/>
        <v>0</v>
      </c>
      <c r="S9" s="415">
        <f t="shared" ca="1" si="1"/>
        <v>0</v>
      </c>
    </row>
    <row r="10" spans="1:19">
      <c r="A10" t="s">
        <v>72</v>
      </c>
      <c r="B10" t="s">
        <v>395</v>
      </c>
      <c r="C10" t="s">
        <v>360</v>
      </c>
      <c r="D10" t="s">
        <v>395</v>
      </c>
      <c r="E10" s="415">
        <f t="shared" ca="1" si="2"/>
        <v>0</v>
      </c>
      <c r="F10" s="415">
        <f t="shared" ca="1" si="1"/>
        <v>0</v>
      </c>
      <c r="G10" s="415">
        <f t="shared" ca="1" si="1"/>
        <v>0</v>
      </c>
      <c r="H10" s="415">
        <f t="shared" ca="1" si="1"/>
        <v>0</v>
      </c>
      <c r="I10" s="415">
        <f t="shared" ca="1" si="1"/>
        <v>0</v>
      </c>
      <c r="J10" s="415">
        <f t="shared" ca="1" si="1"/>
        <v>0</v>
      </c>
      <c r="K10" s="415">
        <f t="shared" ca="1" si="1"/>
        <v>0</v>
      </c>
      <c r="L10" s="415">
        <f t="shared" ca="1" si="1"/>
        <v>0</v>
      </c>
      <c r="M10" s="415">
        <f t="shared" ca="1" si="1"/>
        <v>0</v>
      </c>
      <c r="N10" s="415">
        <f t="shared" ca="1" si="1"/>
        <v>0</v>
      </c>
      <c r="O10" s="415">
        <f t="shared" ca="1" si="1"/>
        <v>0</v>
      </c>
      <c r="P10" s="415">
        <f t="shared" ca="1" si="1"/>
        <v>0</v>
      </c>
      <c r="Q10" s="415">
        <f t="shared" ca="1" si="1"/>
        <v>0</v>
      </c>
      <c r="R10" s="415">
        <f t="shared" ca="1" si="1"/>
        <v>0</v>
      </c>
      <c r="S10" s="415">
        <f t="shared" ca="1" si="1"/>
        <v>0</v>
      </c>
    </row>
    <row r="11" spans="1:19">
      <c r="A11" t="s">
        <v>72</v>
      </c>
      <c r="B11" t="s">
        <v>395</v>
      </c>
      <c r="C11" t="s">
        <v>407</v>
      </c>
      <c r="D11" t="s">
        <v>395</v>
      </c>
      <c r="E11" s="415">
        <f t="shared" ca="1" si="2"/>
        <v>0</v>
      </c>
      <c r="F11" s="415">
        <f t="shared" ca="1" si="1"/>
        <v>0</v>
      </c>
      <c r="G11" s="415">
        <f t="shared" ca="1" si="1"/>
        <v>0</v>
      </c>
      <c r="H11" s="415">
        <f t="shared" ca="1" si="1"/>
        <v>0</v>
      </c>
      <c r="I11" s="415">
        <f t="shared" ca="1" si="1"/>
        <v>0</v>
      </c>
      <c r="J11" s="415">
        <f t="shared" ca="1" si="1"/>
        <v>0</v>
      </c>
      <c r="K11" s="415">
        <f t="shared" ca="1" si="1"/>
        <v>0</v>
      </c>
      <c r="L11" s="415">
        <f t="shared" ca="1" si="1"/>
        <v>0</v>
      </c>
      <c r="M11" s="415">
        <f t="shared" ca="1" si="1"/>
        <v>0</v>
      </c>
      <c r="N11" s="415">
        <f t="shared" ca="1" si="1"/>
        <v>0</v>
      </c>
      <c r="O11" s="415">
        <f t="shared" ca="1" si="1"/>
        <v>0</v>
      </c>
      <c r="P11" s="415">
        <f t="shared" ca="1" si="1"/>
        <v>0</v>
      </c>
      <c r="Q11" s="415">
        <f t="shared" ca="1" si="1"/>
        <v>0</v>
      </c>
      <c r="R11" s="415">
        <f t="shared" ca="1" si="1"/>
        <v>0</v>
      </c>
      <c r="S11" s="415">
        <f t="shared" ca="1" si="1"/>
        <v>0</v>
      </c>
    </row>
    <row r="12" spans="1:19">
      <c r="A12" t="s">
        <v>72</v>
      </c>
      <c r="B12" t="s">
        <v>395</v>
      </c>
      <c r="C12" t="s">
        <v>349</v>
      </c>
      <c r="D12" t="s">
        <v>395</v>
      </c>
      <c r="E12" s="415">
        <f t="shared" ca="1" si="2"/>
        <v>0</v>
      </c>
      <c r="F12" s="415">
        <f t="shared" ca="1" si="1"/>
        <v>0</v>
      </c>
      <c r="G12" s="415">
        <f t="shared" ca="1" si="1"/>
        <v>0</v>
      </c>
      <c r="H12" s="415">
        <f t="shared" ca="1" si="1"/>
        <v>0</v>
      </c>
      <c r="I12" s="415">
        <f t="shared" ca="1" si="1"/>
        <v>0</v>
      </c>
      <c r="J12" s="415">
        <f t="shared" ca="1" si="1"/>
        <v>0</v>
      </c>
      <c r="K12" s="415">
        <f t="shared" ca="1" si="1"/>
        <v>0</v>
      </c>
      <c r="L12" s="415">
        <f t="shared" ca="1" si="1"/>
        <v>0</v>
      </c>
      <c r="M12" s="415">
        <f t="shared" ca="1" si="1"/>
        <v>0</v>
      </c>
      <c r="N12" s="415">
        <f t="shared" ca="1" si="1"/>
        <v>0</v>
      </c>
      <c r="O12" s="415">
        <f t="shared" ca="1" si="1"/>
        <v>0</v>
      </c>
      <c r="P12" s="415">
        <f t="shared" ca="1" si="1"/>
        <v>0</v>
      </c>
      <c r="Q12" s="415">
        <f t="shared" ca="1" si="1"/>
        <v>0</v>
      </c>
      <c r="R12" s="415">
        <f t="shared" ca="1" si="1"/>
        <v>0</v>
      </c>
      <c r="S12" s="415">
        <f t="shared" ca="1" si="1"/>
        <v>0</v>
      </c>
    </row>
    <row r="13" spans="1:19">
      <c r="A13" t="s">
        <v>72</v>
      </c>
      <c r="B13" t="s">
        <v>395</v>
      </c>
      <c r="C13" t="s">
        <v>408</v>
      </c>
      <c r="D13" t="s">
        <v>395</v>
      </c>
      <c r="E13" s="415">
        <f t="shared" ca="1" si="2"/>
        <v>0</v>
      </c>
      <c r="F13" s="415">
        <f t="shared" ca="1" si="1"/>
        <v>0</v>
      </c>
      <c r="G13" s="415">
        <f t="shared" ca="1" si="1"/>
        <v>0</v>
      </c>
      <c r="H13" s="415">
        <f t="shared" ca="1" si="1"/>
        <v>0</v>
      </c>
      <c r="I13" s="415">
        <f t="shared" ca="1" si="1"/>
        <v>0</v>
      </c>
      <c r="J13" s="415">
        <f t="shared" ca="1" si="1"/>
        <v>0</v>
      </c>
      <c r="K13" s="415">
        <f t="shared" ca="1" si="1"/>
        <v>0</v>
      </c>
      <c r="L13" s="415">
        <f t="shared" ca="1" si="1"/>
        <v>0</v>
      </c>
      <c r="M13" s="415">
        <f t="shared" ca="1" si="1"/>
        <v>0</v>
      </c>
      <c r="N13" s="415">
        <f t="shared" ca="1" si="1"/>
        <v>0</v>
      </c>
      <c r="O13" s="415">
        <f t="shared" ca="1" si="1"/>
        <v>0</v>
      </c>
      <c r="P13" s="415">
        <f t="shared" ca="1" si="1"/>
        <v>0</v>
      </c>
      <c r="Q13" s="415">
        <f t="shared" ca="1" si="1"/>
        <v>0</v>
      </c>
      <c r="R13" s="415">
        <f t="shared" ca="1" si="1"/>
        <v>0</v>
      </c>
      <c r="S13" s="415">
        <f t="shared" ca="1" si="1"/>
        <v>0</v>
      </c>
    </row>
    <row r="14" spans="1:19">
      <c r="A14" t="s">
        <v>71</v>
      </c>
      <c r="B14" t="s">
        <v>395</v>
      </c>
      <c r="C14" t="s">
        <v>409</v>
      </c>
      <c r="D14" t="s">
        <v>395</v>
      </c>
      <c r="E14" s="415">
        <f t="shared" ca="1" si="2"/>
        <v>0</v>
      </c>
      <c r="F14" s="415">
        <f t="shared" ca="1" si="1"/>
        <v>0</v>
      </c>
      <c r="G14" s="415">
        <f t="shared" ca="1" si="1"/>
        <v>0</v>
      </c>
      <c r="H14" s="415">
        <f t="shared" ca="1" si="1"/>
        <v>0</v>
      </c>
      <c r="I14" s="415">
        <f t="shared" ca="1" si="1"/>
        <v>0</v>
      </c>
      <c r="J14" s="415">
        <f t="shared" ca="1" si="1"/>
        <v>0</v>
      </c>
      <c r="K14" s="415">
        <f t="shared" ca="1" si="1"/>
        <v>0</v>
      </c>
      <c r="L14" s="415">
        <f t="shared" ca="1" si="1"/>
        <v>0</v>
      </c>
      <c r="M14" s="415">
        <f t="shared" ca="1" si="1"/>
        <v>0</v>
      </c>
      <c r="N14" s="415">
        <f t="shared" ca="1" si="1"/>
        <v>0</v>
      </c>
      <c r="O14" s="415">
        <f t="shared" ca="1" si="1"/>
        <v>0</v>
      </c>
      <c r="P14" s="415">
        <f t="shared" ca="1" si="1"/>
        <v>0</v>
      </c>
      <c r="Q14" s="415">
        <f t="shared" ca="1" si="1"/>
        <v>0</v>
      </c>
      <c r="R14" s="415">
        <f t="shared" ca="1" si="1"/>
        <v>0</v>
      </c>
      <c r="S14" s="415">
        <f t="shared" ca="1" si="1"/>
        <v>0</v>
      </c>
    </row>
    <row r="15" spans="1:19">
      <c r="A15" t="s">
        <v>71</v>
      </c>
      <c r="B15" t="s">
        <v>395</v>
      </c>
      <c r="C15" t="s">
        <v>411</v>
      </c>
      <c r="D15" t="s">
        <v>395</v>
      </c>
      <c r="E15" s="415">
        <f t="shared" ca="1" si="2"/>
        <v>0</v>
      </c>
      <c r="F15" s="415">
        <f t="shared" ca="1" si="1"/>
        <v>0</v>
      </c>
      <c r="G15" s="415">
        <f t="shared" ca="1" si="1"/>
        <v>0</v>
      </c>
      <c r="H15" s="415">
        <f t="shared" ca="1" si="1"/>
        <v>0</v>
      </c>
      <c r="I15" s="415">
        <f t="shared" ca="1" si="1"/>
        <v>0</v>
      </c>
      <c r="J15" s="415">
        <f t="shared" ca="1" si="1"/>
        <v>0</v>
      </c>
      <c r="K15" s="415">
        <f t="shared" ca="1" si="1"/>
        <v>0</v>
      </c>
      <c r="L15" s="415">
        <f t="shared" ca="1" si="1"/>
        <v>0</v>
      </c>
      <c r="M15" s="415">
        <f t="shared" ca="1" si="1"/>
        <v>0</v>
      </c>
      <c r="N15" s="415">
        <f t="shared" ca="1" si="1"/>
        <v>0</v>
      </c>
      <c r="O15" s="415">
        <f t="shared" ca="1" si="1"/>
        <v>0</v>
      </c>
      <c r="P15" s="415">
        <f t="shared" ca="1" si="1"/>
        <v>0</v>
      </c>
      <c r="Q15" s="415">
        <f t="shared" ca="1" si="1"/>
        <v>0</v>
      </c>
      <c r="R15" s="415">
        <f t="shared" ca="1" si="1"/>
        <v>0</v>
      </c>
      <c r="S15" s="415">
        <f t="shared" ca="1" si="1"/>
        <v>0</v>
      </c>
    </row>
    <row r="16" spans="1:19">
      <c r="A16" t="s">
        <v>71</v>
      </c>
      <c r="B16" t="s">
        <v>395</v>
      </c>
      <c r="C16" t="s">
        <v>363</v>
      </c>
      <c r="D16" t="s">
        <v>395</v>
      </c>
      <c r="E16" s="415">
        <f t="shared" ca="1" si="2"/>
        <v>0</v>
      </c>
      <c r="F16" s="415">
        <f t="shared" ca="1" si="1"/>
        <v>0</v>
      </c>
      <c r="G16" s="415">
        <f t="shared" ca="1" si="1"/>
        <v>0</v>
      </c>
      <c r="H16" s="415">
        <f t="shared" ca="1" si="1"/>
        <v>0</v>
      </c>
      <c r="I16" s="415">
        <f t="shared" ca="1" si="1"/>
        <v>0</v>
      </c>
      <c r="J16" s="415">
        <f t="shared" ca="1" si="1"/>
        <v>0</v>
      </c>
      <c r="K16" s="415">
        <f t="shared" ca="1" si="1"/>
        <v>0</v>
      </c>
      <c r="L16" s="415">
        <f t="shared" ca="1" si="1"/>
        <v>0</v>
      </c>
      <c r="M16" s="415">
        <f t="shared" ca="1" si="1"/>
        <v>0</v>
      </c>
      <c r="N16" s="415">
        <f t="shared" ca="1" si="1"/>
        <v>0</v>
      </c>
      <c r="O16" s="415">
        <f t="shared" ca="1" si="1"/>
        <v>0</v>
      </c>
      <c r="P16" s="415">
        <f t="shared" ca="1" si="1"/>
        <v>0</v>
      </c>
      <c r="Q16" s="415">
        <f t="shared" ca="1" si="1"/>
        <v>0</v>
      </c>
      <c r="R16" s="415">
        <f t="shared" ca="1" si="1"/>
        <v>0</v>
      </c>
      <c r="S16" s="415">
        <f t="shared" ca="1" si="1"/>
        <v>0</v>
      </c>
    </row>
    <row r="17" spans="1:19">
      <c r="A17" t="s">
        <v>71</v>
      </c>
      <c r="B17" t="s">
        <v>395</v>
      </c>
      <c r="C17" t="s">
        <v>412</v>
      </c>
      <c r="D17" t="s">
        <v>395</v>
      </c>
      <c r="E17" s="415">
        <f t="shared" ca="1" si="2"/>
        <v>0</v>
      </c>
      <c r="F17" s="415">
        <f t="shared" ca="1" si="1"/>
        <v>0</v>
      </c>
      <c r="G17" s="415">
        <f t="shared" ca="1" si="1"/>
        <v>0</v>
      </c>
      <c r="H17" s="415">
        <f t="shared" ca="1" si="1"/>
        <v>0</v>
      </c>
      <c r="I17" s="415">
        <f t="shared" ca="1" si="1"/>
        <v>0</v>
      </c>
      <c r="J17" s="415">
        <f t="shared" ca="1" si="1"/>
        <v>0</v>
      </c>
      <c r="K17" s="415">
        <f t="shared" ca="1" si="1"/>
        <v>0</v>
      </c>
      <c r="L17" s="415">
        <f t="shared" ca="1" si="1"/>
        <v>0</v>
      </c>
      <c r="M17" s="415">
        <f t="shared" ca="1" si="1"/>
        <v>0</v>
      </c>
      <c r="N17" s="415">
        <f t="shared" ca="1" si="1"/>
        <v>0</v>
      </c>
      <c r="O17" s="415">
        <f t="shared" ca="1" si="1"/>
        <v>0</v>
      </c>
      <c r="P17" s="415">
        <f t="shared" ca="1" si="1"/>
        <v>0</v>
      </c>
      <c r="Q17" s="415">
        <f t="shared" ca="1" si="1"/>
        <v>0</v>
      </c>
      <c r="R17" s="415">
        <f t="shared" ca="1" si="1"/>
        <v>0</v>
      </c>
      <c r="S17" s="415">
        <f t="shared" ca="1" si="1"/>
        <v>0</v>
      </c>
    </row>
    <row r="18" spans="1:19">
      <c r="A18" t="s">
        <v>68</v>
      </c>
      <c r="B18" t="s">
        <v>395</v>
      </c>
      <c r="C18" t="s">
        <v>413</v>
      </c>
      <c r="D18" t="s">
        <v>395</v>
      </c>
      <c r="E18" s="415">
        <f t="shared" ca="1" si="2"/>
        <v>0</v>
      </c>
      <c r="F18" s="415">
        <f t="shared" ca="1" si="2"/>
        <v>0</v>
      </c>
      <c r="G18" s="415">
        <f t="shared" ca="1" si="2"/>
        <v>0</v>
      </c>
      <c r="H18" s="415">
        <f t="shared" ca="1" si="2"/>
        <v>0</v>
      </c>
      <c r="I18" s="415">
        <f t="shared" ca="1" si="2"/>
        <v>0</v>
      </c>
      <c r="J18" s="415">
        <f t="shared" ca="1" si="2"/>
        <v>0</v>
      </c>
      <c r="K18" s="415">
        <f t="shared" ca="1" si="2"/>
        <v>0</v>
      </c>
      <c r="L18" s="415">
        <f t="shared" ca="1" si="2"/>
        <v>0</v>
      </c>
      <c r="M18" s="415">
        <f t="shared" ca="1" si="2"/>
        <v>0</v>
      </c>
      <c r="N18" s="415">
        <f t="shared" ca="1" si="2"/>
        <v>0</v>
      </c>
      <c r="O18" s="415">
        <f t="shared" ca="1" si="2"/>
        <v>0</v>
      </c>
      <c r="P18" s="415">
        <f t="shared" ca="1" si="2"/>
        <v>0</v>
      </c>
      <c r="Q18" s="415">
        <f t="shared" ca="1" si="2"/>
        <v>0</v>
      </c>
      <c r="R18" s="415">
        <f t="shared" ca="1" si="2"/>
        <v>0</v>
      </c>
      <c r="S18" s="415">
        <f t="shared" ca="1" si="2"/>
        <v>0</v>
      </c>
    </row>
    <row r="19" spans="1:19">
      <c r="A19" t="s">
        <v>68</v>
      </c>
      <c r="B19" t="s">
        <v>395</v>
      </c>
      <c r="C19" t="s">
        <v>266</v>
      </c>
      <c r="D19" t="s">
        <v>395</v>
      </c>
      <c r="E19" s="415">
        <f t="shared" ref="E19:S19" ca="1" si="3">IFERROR(SUMIFS(INDEX(INDIRECT("'"&amp;$B19&amp;"'!$B:$AU"),,MATCH(E$1,INDIRECT("'"&amp;$B19&amp;"'!$B$3:$AU$3"),0)),INDIRECT("'"&amp;$B19&amp;"'!$B:$B"),$C19),0)</f>
        <v>0</v>
      </c>
      <c r="F19" s="415">
        <f t="shared" ca="1" si="3"/>
        <v>0</v>
      </c>
      <c r="G19" s="415">
        <f t="shared" ca="1" si="3"/>
        <v>0</v>
      </c>
      <c r="H19" s="415">
        <f t="shared" ca="1" si="3"/>
        <v>0</v>
      </c>
      <c r="I19" s="415">
        <f t="shared" ca="1" si="3"/>
        <v>0</v>
      </c>
      <c r="J19" s="415">
        <f t="shared" ca="1" si="3"/>
        <v>0</v>
      </c>
      <c r="K19" s="415">
        <f t="shared" ca="1" si="3"/>
        <v>0</v>
      </c>
      <c r="L19" s="415">
        <f t="shared" ca="1" si="3"/>
        <v>0</v>
      </c>
      <c r="M19" s="415">
        <f t="shared" ca="1" si="3"/>
        <v>0</v>
      </c>
      <c r="N19" s="415">
        <f t="shared" ca="1" si="3"/>
        <v>0</v>
      </c>
      <c r="O19" s="415">
        <f t="shared" ca="1" si="3"/>
        <v>0</v>
      </c>
      <c r="P19" s="415">
        <f t="shared" ca="1" si="3"/>
        <v>0</v>
      </c>
      <c r="Q19" s="415">
        <f t="shared" ca="1" si="3"/>
        <v>0</v>
      </c>
      <c r="R19" s="415">
        <f t="shared" ca="1" si="3"/>
        <v>0</v>
      </c>
      <c r="S19" s="415">
        <f t="shared" ca="1" si="3"/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4971E-9135-4D94-9B8F-B693786C95C9}">
  <sheetPr codeName="Sheet18"/>
  <dimension ref="A1:AQ101"/>
  <sheetViews>
    <sheetView topLeftCell="A17" zoomScale="125" zoomScaleNormal="125" workbookViewId="0">
      <pane xSplit="1" topLeftCell="B1" activePane="topRight" state="frozen"/>
      <selection pane="topRight" activeCell="O27" sqref="O27"/>
    </sheetView>
  </sheetViews>
  <sheetFormatPr baseColWidth="10" defaultColWidth="11.5" defaultRowHeight="12" outlineLevelCol="1"/>
  <cols>
    <col min="1" max="1" width="28.83203125" style="13" customWidth="1"/>
    <col min="2" max="2" width="13.1640625" style="13" bestFit="1" customWidth="1"/>
    <col min="3" max="6" width="8.1640625" style="13" customWidth="1" outlineLevel="1"/>
    <col min="7" max="7" width="8.1640625" style="13" customWidth="1" outlineLevel="1" collapsed="1"/>
    <col min="8" max="8" width="8.5" style="13" customWidth="1" outlineLevel="1"/>
    <col min="9" max="10" width="8.1640625" style="13" customWidth="1" outlineLevel="1"/>
    <col min="11" max="11" width="9.6640625" style="13" bestFit="1" customWidth="1"/>
    <col min="12" max="13" width="8.5" style="13" bestFit="1" customWidth="1"/>
    <col min="14" max="14" width="8.1640625" style="13" bestFit="1" customWidth="1"/>
    <col min="15" max="15" width="13.5" style="11" customWidth="1"/>
    <col min="16" max="16" width="11.5" style="13"/>
    <col min="17" max="17" width="10.5" style="13" customWidth="1"/>
    <col min="18" max="18" width="9" style="13" bestFit="1" customWidth="1"/>
    <col min="19" max="20" width="8.33203125" style="13" bestFit="1" customWidth="1"/>
    <col min="21" max="21" width="8.1640625" style="13" bestFit="1" customWidth="1"/>
    <col min="22" max="22" width="8.5" style="13" bestFit="1" customWidth="1"/>
    <col min="23" max="24" width="8.33203125" style="13" bestFit="1" customWidth="1"/>
    <col min="25" max="27" width="8.5" style="13" bestFit="1" customWidth="1"/>
    <col min="28" max="28" width="8.33203125" style="13" bestFit="1" customWidth="1"/>
    <col min="29" max="29" width="13.5" style="11" customWidth="1"/>
    <col min="30" max="30" width="4.33203125" style="13" customWidth="1"/>
    <col min="31" max="32" width="8.1640625" style="13" bestFit="1" customWidth="1"/>
    <col min="33" max="35" width="9" style="13" bestFit="1" customWidth="1"/>
    <col min="36" max="36" width="8.5" style="13" bestFit="1" customWidth="1"/>
    <col min="37" max="38" width="9" style="13" bestFit="1" customWidth="1"/>
    <col min="39" max="41" width="8.5" style="13" bestFit="1" customWidth="1"/>
    <col min="42" max="42" width="9" style="13" bestFit="1" customWidth="1"/>
    <col min="43" max="43" width="13.5" style="11" customWidth="1"/>
    <col min="44" max="16384" width="11.5" style="13"/>
  </cols>
  <sheetData>
    <row r="1" spans="1:43">
      <c r="C1" s="98">
        <f>EOMONTH(C2,0)</f>
        <v>45716</v>
      </c>
      <c r="D1" s="98">
        <f t="shared" ref="D1" si="0">EOMONTH(D2,0)</f>
        <v>45747</v>
      </c>
      <c r="E1" s="98">
        <f t="shared" ref="E1" si="1">EOMONTH(E2,0)</f>
        <v>45777</v>
      </c>
      <c r="F1" s="98">
        <f t="shared" ref="F1" si="2">EOMONTH(F2,0)</f>
        <v>45808</v>
      </c>
      <c r="G1" s="98">
        <f t="shared" ref="G1" si="3">EOMONTH(G2,0)</f>
        <v>45838</v>
      </c>
      <c r="H1" s="98">
        <f t="shared" ref="H1" si="4">EOMONTH(H2,0)</f>
        <v>45869</v>
      </c>
      <c r="I1" s="98">
        <f t="shared" ref="I1" si="5">EOMONTH(I2,0)</f>
        <v>45900</v>
      </c>
      <c r="J1" s="98">
        <f t="shared" ref="J1" si="6">EOMONTH(J2,0)</f>
        <v>45930</v>
      </c>
      <c r="K1" s="98">
        <f t="shared" ref="K1" si="7">EOMONTH(K2,0)</f>
        <v>45961</v>
      </c>
      <c r="L1" s="98">
        <f t="shared" ref="L1" si="8">EOMONTH(L2,0)</f>
        <v>45991</v>
      </c>
      <c r="M1" s="98">
        <f t="shared" ref="M1" si="9">EOMONTH(M2,0)</f>
        <v>46022</v>
      </c>
      <c r="N1" s="98">
        <f t="shared" ref="N1" si="10">EOMONTH(N2,0)</f>
        <v>46053</v>
      </c>
      <c r="Q1" s="98">
        <f>EOMONTH(Q2,0)</f>
        <v>46081</v>
      </c>
      <c r="R1" s="98">
        <f t="shared" ref="R1:AB1" si="11">EOMONTH(R2,0)</f>
        <v>46112</v>
      </c>
      <c r="S1" s="98">
        <f t="shared" si="11"/>
        <v>46142</v>
      </c>
      <c r="T1" s="98">
        <f t="shared" si="11"/>
        <v>46173</v>
      </c>
      <c r="U1" s="98">
        <f t="shared" si="11"/>
        <v>46203</v>
      </c>
      <c r="V1" s="98">
        <f t="shared" si="11"/>
        <v>46234</v>
      </c>
      <c r="W1" s="98">
        <f t="shared" si="11"/>
        <v>46265</v>
      </c>
      <c r="X1" s="98">
        <f t="shared" si="11"/>
        <v>46295</v>
      </c>
      <c r="Y1" s="98">
        <f t="shared" si="11"/>
        <v>46326</v>
      </c>
      <c r="Z1" s="98">
        <f t="shared" si="11"/>
        <v>46356</v>
      </c>
      <c r="AA1" s="98">
        <f t="shared" si="11"/>
        <v>46387</v>
      </c>
      <c r="AB1" s="98">
        <f t="shared" si="11"/>
        <v>46418</v>
      </c>
      <c r="AE1" s="98">
        <f>EOMONTH(AE2,0)</f>
        <v>46446</v>
      </c>
      <c r="AF1" s="98">
        <f t="shared" ref="AF1" si="12">EOMONTH(AF2,0)</f>
        <v>46477</v>
      </c>
      <c r="AG1" s="98">
        <f t="shared" ref="AG1" si="13">EOMONTH(AG2,0)</f>
        <v>46507</v>
      </c>
      <c r="AH1" s="98">
        <f t="shared" ref="AH1" si="14">EOMONTH(AH2,0)</f>
        <v>46538</v>
      </c>
      <c r="AI1" s="98">
        <f t="shared" ref="AI1" si="15">EOMONTH(AI2,0)</f>
        <v>46568</v>
      </c>
      <c r="AJ1" s="98">
        <f t="shared" ref="AJ1" si="16">EOMONTH(AJ2,0)</f>
        <v>46599</v>
      </c>
      <c r="AK1" s="98">
        <f t="shared" ref="AK1" si="17">EOMONTH(AK2,0)</f>
        <v>46630</v>
      </c>
      <c r="AL1" s="98">
        <f t="shared" ref="AL1" si="18">EOMONTH(AL2,0)</f>
        <v>46660</v>
      </c>
      <c r="AM1" s="98">
        <f t="shared" ref="AM1" si="19">EOMONTH(AM2,0)</f>
        <v>46691</v>
      </c>
      <c r="AN1" s="98">
        <f t="shared" ref="AN1" si="20">EOMONTH(AN2,0)</f>
        <v>46721</v>
      </c>
      <c r="AO1" s="98">
        <f t="shared" ref="AO1" si="21">EOMONTH(AO2,0)</f>
        <v>46752</v>
      </c>
      <c r="AP1" s="98">
        <f t="shared" ref="AP1" si="22">EOMONTH(AP2,0)</f>
        <v>46783</v>
      </c>
    </row>
    <row r="2" spans="1:43">
      <c r="A2" s="11" t="s">
        <v>391</v>
      </c>
      <c r="B2" s="11"/>
      <c r="C2" s="98">
        <v>45689</v>
      </c>
      <c r="D2" s="98">
        <v>45717</v>
      </c>
      <c r="E2" s="98">
        <v>45748</v>
      </c>
      <c r="F2" s="98">
        <v>45778</v>
      </c>
      <c r="G2" s="99">
        <v>45809</v>
      </c>
      <c r="H2" s="99">
        <v>45839</v>
      </c>
      <c r="I2" s="99">
        <v>45870</v>
      </c>
      <c r="J2" s="99">
        <v>45901</v>
      </c>
      <c r="K2" s="99">
        <v>45931</v>
      </c>
      <c r="L2" s="99">
        <v>45962</v>
      </c>
      <c r="M2" s="99">
        <v>45992</v>
      </c>
      <c r="N2" s="99">
        <v>46023</v>
      </c>
      <c r="O2" s="101" t="s">
        <v>462</v>
      </c>
      <c r="Q2" s="98">
        <v>46054</v>
      </c>
      <c r="R2" s="98">
        <v>46082</v>
      </c>
      <c r="S2" s="98">
        <v>46113</v>
      </c>
      <c r="T2" s="98">
        <v>46143</v>
      </c>
      <c r="U2" s="98">
        <v>46174</v>
      </c>
      <c r="V2" s="98">
        <v>46204</v>
      </c>
      <c r="W2" s="98">
        <v>46235</v>
      </c>
      <c r="X2" s="98">
        <v>46266</v>
      </c>
      <c r="Y2" s="98">
        <v>46296</v>
      </c>
      <c r="Z2" s="98">
        <v>46327</v>
      </c>
      <c r="AA2" s="98">
        <v>46357</v>
      </c>
      <c r="AB2" s="98">
        <v>46388</v>
      </c>
      <c r="AC2" s="101" t="s">
        <v>463</v>
      </c>
      <c r="AE2" s="98">
        <v>46419</v>
      </c>
      <c r="AF2" s="98">
        <v>46447</v>
      </c>
      <c r="AG2" s="98">
        <v>46478</v>
      </c>
      <c r="AH2" s="98">
        <v>46508</v>
      </c>
      <c r="AI2" s="98">
        <v>46539</v>
      </c>
      <c r="AJ2" s="98">
        <v>46569</v>
      </c>
      <c r="AK2" s="98">
        <v>46600</v>
      </c>
      <c r="AL2" s="98">
        <v>46631</v>
      </c>
      <c r="AM2" s="98">
        <v>46661</v>
      </c>
      <c r="AN2" s="98">
        <v>46692</v>
      </c>
      <c r="AO2" s="98">
        <v>46722</v>
      </c>
      <c r="AP2" s="98">
        <v>46753</v>
      </c>
      <c r="AQ2" s="101" t="s">
        <v>464</v>
      </c>
    </row>
    <row r="3" spans="1:43">
      <c r="A3" s="13" t="s">
        <v>396</v>
      </c>
      <c r="C3" s="108">
        <v>176020.36000000002</v>
      </c>
      <c r="D3" s="108">
        <v>241390.07</v>
      </c>
      <c r="E3" s="108">
        <v>243660</v>
      </c>
      <c r="F3" s="108">
        <v>226436</v>
      </c>
      <c r="G3" s="109">
        <v>210000</v>
      </c>
      <c r="H3" s="109">
        <v>310000</v>
      </c>
      <c r="I3" s="109">
        <v>240000</v>
      </c>
      <c r="J3" s="109">
        <v>240000</v>
      </c>
      <c r="K3" s="109">
        <v>310000</v>
      </c>
      <c r="L3" s="109">
        <v>310000</v>
      </c>
      <c r="M3" s="109">
        <v>310000</v>
      </c>
      <c r="N3" s="109">
        <v>240000</v>
      </c>
      <c r="O3" s="102">
        <f>SUM(C3:N3)</f>
        <v>3057506.43</v>
      </c>
      <c r="Q3" s="109">
        <f>Q40</f>
        <v>195081.19999999998</v>
      </c>
      <c r="R3" s="109">
        <f t="shared" ref="R3:AB3" si="23">R40</f>
        <v>269204</v>
      </c>
      <c r="S3" s="109">
        <f t="shared" si="23"/>
        <v>252712.41</v>
      </c>
      <c r="T3" s="109">
        <f t="shared" si="23"/>
        <v>250097.03999999998</v>
      </c>
      <c r="U3" s="109">
        <f t="shared" si="23"/>
        <v>242723.35574468083</v>
      </c>
      <c r="V3" s="109">
        <f t="shared" si="23"/>
        <v>310707.82</v>
      </c>
      <c r="W3" s="109">
        <f t="shared" si="23"/>
        <v>245213.4</v>
      </c>
      <c r="X3" s="109">
        <f t="shared" si="23"/>
        <v>269938.19489361707</v>
      </c>
      <c r="Y3" s="109">
        <f t="shared" si="23"/>
        <v>324600.74000000005</v>
      </c>
      <c r="Z3" s="109">
        <f t="shared" si="23"/>
        <v>342182.80999999994</v>
      </c>
      <c r="AA3" s="109">
        <f t="shared" si="23"/>
        <v>337235.86199999996</v>
      </c>
      <c r="AB3" s="109">
        <f t="shared" si="23"/>
        <v>264740.712</v>
      </c>
      <c r="AC3" s="102">
        <f>SUM(Q3:AB3)</f>
        <v>3304437.544638298</v>
      </c>
      <c r="AE3" s="109">
        <v>300000</v>
      </c>
      <c r="AF3" s="109">
        <v>300000</v>
      </c>
      <c r="AG3" s="109">
        <v>300000</v>
      </c>
      <c r="AH3" s="109">
        <v>300000</v>
      </c>
      <c r="AI3" s="109">
        <v>300000</v>
      </c>
      <c r="AJ3" s="109">
        <v>300000</v>
      </c>
      <c r="AK3" s="109">
        <v>300000</v>
      </c>
      <c r="AL3" s="109">
        <v>300000</v>
      </c>
      <c r="AM3" s="109">
        <v>300000</v>
      </c>
      <c r="AN3" s="109">
        <v>300000</v>
      </c>
      <c r="AO3" s="109">
        <v>300000</v>
      </c>
      <c r="AP3" s="109">
        <v>300000</v>
      </c>
      <c r="AQ3" s="102">
        <f>SUM(AE3:AP3)</f>
        <v>3600000</v>
      </c>
    </row>
    <row r="4" spans="1:43">
      <c r="C4" s="108"/>
      <c r="D4" s="108"/>
      <c r="E4" s="108"/>
      <c r="F4" s="108"/>
      <c r="G4" s="102"/>
      <c r="H4" s="102"/>
      <c r="I4" s="102"/>
      <c r="J4" s="102"/>
      <c r="K4" s="102"/>
      <c r="L4" s="102"/>
      <c r="M4" s="102"/>
      <c r="N4" s="102"/>
      <c r="O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E4" s="102"/>
      <c r="AF4" s="102"/>
      <c r="AG4" s="102"/>
      <c r="AH4" s="102"/>
      <c r="AI4" s="102"/>
      <c r="AJ4" s="102"/>
      <c r="AK4" s="102"/>
      <c r="AL4" s="102"/>
      <c r="AM4" s="102"/>
      <c r="AN4" s="102"/>
      <c r="AO4" s="102"/>
      <c r="AP4" s="102"/>
      <c r="AQ4" s="102"/>
    </row>
    <row r="5" spans="1:43">
      <c r="A5" s="103" t="s">
        <v>465</v>
      </c>
      <c r="B5" s="103"/>
      <c r="C5" s="108"/>
      <c r="D5" s="108"/>
      <c r="E5" s="108"/>
      <c r="F5" s="108"/>
      <c r="G5" s="102"/>
      <c r="H5" s="102"/>
      <c r="I5" s="102"/>
      <c r="J5" s="102"/>
      <c r="K5" s="102"/>
      <c r="L5" s="102"/>
      <c r="M5" s="102"/>
      <c r="N5" s="102"/>
      <c r="O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80">
        <f>(AC3-O3)/O3</f>
        <v>8.0762255220603998E-2</v>
      </c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2"/>
      <c r="AQ5" s="102"/>
    </row>
    <row r="6" spans="1:43">
      <c r="A6" s="17" t="s">
        <v>466</v>
      </c>
      <c r="B6" s="17" t="s">
        <v>467</v>
      </c>
      <c r="C6" s="14"/>
      <c r="D6" s="14"/>
      <c r="E6" s="14"/>
      <c r="F6" s="14"/>
      <c r="AC6" s="11" t="s">
        <v>468</v>
      </c>
    </row>
    <row r="7" spans="1:43">
      <c r="A7" s="13" t="s">
        <v>64</v>
      </c>
      <c r="B7" s="13" t="s">
        <v>64</v>
      </c>
      <c r="C7" s="110"/>
      <c r="D7" s="110"/>
      <c r="E7" s="110">
        <v>0.76</v>
      </c>
      <c r="F7" s="110">
        <v>0.76</v>
      </c>
      <c r="G7" s="100">
        <v>0.74</v>
      </c>
      <c r="H7" s="100">
        <v>0.74</v>
      </c>
      <c r="I7" s="100">
        <v>0.74</v>
      </c>
      <c r="J7" s="100">
        <v>0.73</v>
      </c>
      <c r="K7" s="264">
        <f>K25/$AE$40</f>
        <v>0.7543333333333333</v>
      </c>
      <c r="L7" s="264">
        <f t="shared" ref="L7:N7" si="24">L25/$AE$40</f>
        <v>0.7543333333333333</v>
      </c>
      <c r="M7" s="264">
        <f t="shared" si="24"/>
        <v>0.7543333333333333</v>
      </c>
      <c r="N7" s="264">
        <f t="shared" si="24"/>
        <v>0.58399999999999996</v>
      </c>
      <c r="O7" s="20"/>
      <c r="P7" s="20"/>
      <c r="Q7" s="264">
        <f t="shared" ref="Q7:AB7" si="25">Q25/Q3</f>
        <v>0.7371125459552228</v>
      </c>
      <c r="R7" s="264">
        <f t="shared" si="25"/>
        <v>0.70425402297142692</v>
      </c>
      <c r="S7" s="264">
        <f t="shared" si="25"/>
        <v>0.72603379469967466</v>
      </c>
      <c r="T7" s="264">
        <f t="shared" si="25"/>
        <v>0.73389912971381033</v>
      </c>
      <c r="U7" s="264">
        <f t="shared" si="25"/>
        <v>0.74375722701319058</v>
      </c>
      <c r="V7" s="264">
        <f t="shared" si="25"/>
        <v>0.72198536876220232</v>
      </c>
      <c r="W7" s="264">
        <f t="shared" si="25"/>
        <v>0.73857138312995951</v>
      </c>
      <c r="X7" s="264">
        <f t="shared" si="25"/>
        <v>0.71842767592199563</v>
      </c>
      <c r="Y7" s="264">
        <f t="shared" si="25"/>
        <v>0.70888464394751527</v>
      </c>
      <c r="Z7" s="264">
        <f t="shared" si="25"/>
        <v>0.67480984798739607</v>
      </c>
      <c r="AA7" s="264">
        <f t="shared" si="25"/>
        <v>0.68395919885886869</v>
      </c>
      <c r="AB7" s="264">
        <f t="shared" si="25"/>
        <v>0.65759972723802296</v>
      </c>
      <c r="AC7" s="20"/>
      <c r="AE7" s="264">
        <f>AE25/$AE$40</f>
        <v>0.48411589333333327</v>
      </c>
      <c r="AF7" s="264">
        <f t="shared" ref="AF7:AP7" si="26">AF25/$AE$40</f>
        <v>0.63827960000000006</v>
      </c>
      <c r="AG7" s="264">
        <f t="shared" si="26"/>
        <v>0.61770842500000001</v>
      </c>
      <c r="AH7" s="264">
        <f t="shared" si="26"/>
        <v>0.61793819999999999</v>
      </c>
      <c r="AI7" s="264">
        <f t="shared" si="26"/>
        <v>0.60777507499999994</v>
      </c>
      <c r="AJ7" s="264">
        <f t="shared" si="26"/>
        <v>0.75523255</v>
      </c>
      <c r="AK7" s="264">
        <f t="shared" si="26"/>
        <v>0.60972892000000001</v>
      </c>
      <c r="AL7" s="264">
        <f t="shared" si="26"/>
        <v>0.65290126900000001</v>
      </c>
      <c r="AM7" s="264">
        <f t="shared" si="26"/>
        <v>0.77468508266666669</v>
      </c>
      <c r="AN7" s="264">
        <f t="shared" si="26"/>
        <v>0.77739137766666666</v>
      </c>
      <c r="AO7" s="264">
        <f t="shared" si="26"/>
        <v>0.77654041899999993</v>
      </c>
      <c r="AP7" s="264">
        <f t="shared" si="26"/>
        <v>0.58611451399999992</v>
      </c>
      <c r="AQ7" s="20"/>
    </row>
    <row r="8" spans="1:43">
      <c r="A8" s="13" t="s">
        <v>320</v>
      </c>
      <c r="B8" s="13" t="s">
        <v>65</v>
      </c>
      <c r="C8" s="110"/>
      <c r="D8" s="110"/>
      <c r="E8" s="110">
        <v>0.04</v>
      </c>
      <c r="F8" s="110">
        <v>0.04</v>
      </c>
      <c r="G8" s="100">
        <v>0.03</v>
      </c>
      <c r="H8" s="100">
        <v>0.03</v>
      </c>
      <c r="I8" s="100">
        <v>0.03</v>
      </c>
      <c r="J8" s="100">
        <v>0.03</v>
      </c>
      <c r="K8" s="264">
        <f t="shared" ref="K8:N8" si="27">K26/$AE$40</f>
        <v>4.1333333333333333E-2</v>
      </c>
      <c r="L8" s="264">
        <f t="shared" si="27"/>
        <v>4.1333333333333333E-2</v>
      </c>
      <c r="M8" s="264">
        <f t="shared" si="27"/>
        <v>4.1333333333333333E-2</v>
      </c>
      <c r="N8" s="264">
        <f t="shared" si="27"/>
        <v>3.2000000000000001E-2</v>
      </c>
      <c r="O8" s="20"/>
      <c r="P8" s="20"/>
      <c r="Q8" s="264">
        <f t="shared" ref="Q8:AB8" si="28">Q26/Q3</f>
        <v>9.9609803507462544E-3</v>
      </c>
      <c r="R8" s="264">
        <f t="shared" si="28"/>
        <v>9.5169462563706331E-3</v>
      </c>
      <c r="S8" s="264">
        <f t="shared" si="28"/>
        <v>9.680450595995661E-3</v>
      </c>
      <c r="T8" s="264">
        <f t="shared" si="28"/>
        <v>9.7853217295174721E-3</v>
      </c>
      <c r="U8" s="264">
        <f t="shared" si="28"/>
        <v>9.9167630268425424E-3</v>
      </c>
      <c r="V8" s="264">
        <f t="shared" si="28"/>
        <v>9.626471583496032E-3</v>
      </c>
      <c r="W8" s="264">
        <f t="shared" si="28"/>
        <v>9.9806943666210738E-3</v>
      </c>
      <c r="X8" s="264">
        <f t="shared" si="28"/>
        <v>9.8414750126300764E-3</v>
      </c>
      <c r="Y8" s="264">
        <f t="shared" si="28"/>
        <v>9.579522215506963E-3</v>
      </c>
      <c r="Z8" s="264">
        <f t="shared" si="28"/>
        <v>9.5043640561605081E-3</v>
      </c>
      <c r="AA8" s="264">
        <f t="shared" si="28"/>
        <v>9.6332281529418144E-3</v>
      </c>
      <c r="AB8" s="264">
        <f t="shared" si="28"/>
        <v>9.2619679892679291E-3</v>
      </c>
      <c r="AC8" s="20"/>
      <c r="AE8" s="264">
        <f>AE26/$AE$40</f>
        <v>6.4773333333333332E-3</v>
      </c>
      <c r="AF8" s="264">
        <f t="shared" ref="AF8:AP8" si="29">AF26/$AE$40</f>
        <v>8.5400000000000007E-3</v>
      </c>
      <c r="AG8" s="264">
        <f t="shared" si="29"/>
        <v>8.1545666666666666E-3</v>
      </c>
      <c r="AH8" s="264">
        <f t="shared" si="29"/>
        <v>8.157600000000001E-3</v>
      </c>
      <c r="AI8" s="264">
        <f t="shared" si="29"/>
        <v>8.0234333333333348E-3</v>
      </c>
      <c r="AJ8" s="264">
        <f t="shared" si="29"/>
        <v>9.970066666666666E-3</v>
      </c>
      <c r="AK8" s="264">
        <f t="shared" si="29"/>
        <v>8.1580000000000003E-3</v>
      </c>
      <c r="AL8" s="264">
        <f t="shared" si="29"/>
        <v>8.8553E-3</v>
      </c>
      <c r="AM8" s="264">
        <f t="shared" si="29"/>
        <v>1.0365066666666667E-2</v>
      </c>
      <c r="AN8" s="264">
        <f t="shared" si="29"/>
        <v>1.0840766666666666E-2</v>
      </c>
      <c r="AO8" s="264">
        <f t="shared" si="29"/>
        <v>1.0828900000000001E-2</v>
      </c>
      <c r="AP8" s="264">
        <f t="shared" si="29"/>
        <v>8.1734000000000008E-3</v>
      </c>
      <c r="AQ8" s="20"/>
    </row>
    <row r="9" spans="1:43">
      <c r="A9" s="13" t="s">
        <v>265</v>
      </c>
      <c r="B9" s="13" t="s">
        <v>65</v>
      </c>
      <c r="C9" s="110"/>
      <c r="D9" s="110"/>
      <c r="E9" s="110">
        <v>0.03</v>
      </c>
      <c r="F9" s="110">
        <v>0.03</v>
      </c>
      <c r="G9" s="100">
        <v>0.05</v>
      </c>
      <c r="H9" s="100">
        <v>0.05</v>
      </c>
      <c r="I9" s="100">
        <v>0.05</v>
      </c>
      <c r="J9" s="100">
        <v>0.05</v>
      </c>
      <c r="K9" s="264">
        <f t="shared" ref="K9:N9" si="30">K27/$AE$40</f>
        <v>3.1E-2</v>
      </c>
      <c r="L9" s="264">
        <f t="shared" si="30"/>
        <v>3.1E-2</v>
      </c>
      <c r="M9" s="264">
        <f t="shared" si="30"/>
        <v>3.1E-2</v>
      </c>
      <c r="N9" s="264">
        <f t="shared" si="30"/>
        <v>2.4E-2</v>
      </c>
      <c r="O9" s="20"/>
      <c r="P9" s="20"/>
      <c r="Q9" s="264">
        <f t="shared" ref="Q9:AB9" si="31">Q27/Q3</f>
        <v>4.980490175373127E-2</v>
      </c>
      <c r="R9" s="264">
        <f t="shared" si="31"/>
        <v>4.7584731281853164E-2</v>
      </c>
      <c r="S9" s="264">
        <f t="shared" si="31"/>
        <v>4.8402252979978307E-2</v>
      </c>
      <c r="T9" s="264">
        <f t="shared" si="31"/>
        <v>4.8926608647587362E-2</v>
      </c>
      <c r="U9" s="264">
        <f t="shared" si="31"/>
        <v>3.966705210737017E-2</v>
      </c>
      <c r="V9" s="264">
        <f t="shared" si="31"/>
        <v>3.8505886333984128E-2</v>
      </c>
      <c r="W9" s="264">
        <f t="shared" si="31"/>
        <v>4.9903471833105367E-2</v>
      </c>
      <c r="X9" s="264">
        <f t="shared" si="31"/>
        <v>5.9048850075780451E-2</v>
      </c>
      <c r="Y9" s="264">
        <f t="shared" si="31"/>
        <v>4.7897611077534812E-2</v>
      </c>
      <c r="Z9" s="264">
        <f t="shared" si="31"/>
        <v>6.6530548393123556E-2</v>
      </c>
      <c r="AA9" s="264">
        <f t="shared" si="31"/>
        <v>6.7432597070592695E-2</v>
      </c>
      <c r="AB9" s="264">
        <f t="shared" si="31"/>
        <v>6.483377592487552E-2</v>
      </c>
      <c r="AC9" s="20"/>
      <c r="AE9" s="264">
        <f>AE27/$AE$40</f>
        <v>5.7213800000000009E-2</v>
      </c>
      <c r="AF9" s="264">
        <f t="shared" ref="AF9:AP9" si="32">AF27/$AE$40</f>
        <v>6.2935180000000007E-2</v>
      </c>
      <c r="AG9" s="264">
        <f t="shared" si="32"/>
        <v>6.9228698000000019E-2</v>
      </c>
      <c r="AH9" s="264">
        <f t="shared" si="32"/>
        <v>6.9228698000000019E-2</v>
      </c>
      <c r="AI9" s="264">
        <f t="shared" si="32"/>
        <v>7.6151567800000028E-2</v>
      </c>
      <c r="AJ9" s="264">
        <f t="shared" si="32"/>
        <v>8.3766724580000035E-2</v>
      </c>
      <c r="AK9" s="264">
        <f t="shared" si="32"/>
        <v>6.9228698000000019E-2</v>
      </c>
      <c r="AL9" s="264">
        <f t="shared" si="32"/>
        <v>7.6151567800000028E-2</v>
      </c>
      <c r="AM9" s="264">
        <f t="shared" si="32"/>
        <v>8.3766724580000035E-2</v>
      </c>
      <c r="AN9" s="264">
        <f t="shared" si="32"/>
        <v>9.2143397038000036E-2</v>
      </c>
      <c r="AO9" s="264">
        <f t="shared" si="32"/>
        <v>9.2143397038000036E-2</v>
      </c>
      <c r="AP9" s="264">
        <f t="shared" si="32"/>
        <v>0.10135773674180004</v>
      </c>
      <c r="AQ9" s="20"/>
    </row>
    <row r="10" spans="1:43">
      <c r="A10" s="13" t="s">
        <v>236</v>
      </c>
      <c r="B10" s="13" t="s">
        <v>65</v>
      </c>
      <c r="C10" s="110"/>
      <c r="D10" s="110"/>
      <c r="E10" s="110">
        <v>0.06</v>
      </c>
      <c r="F10" s="110">
        <v>0.06</v>
      </c>
      <c r="G10" s="100">
        <v>0.08</v>
      </c>
      <c r="H10" s="100">
        <v>0.08</v>
      </c>
      <c r="I10" s="100">
        <v>0.08</v>
      </c>
      <c r="J10" s="100">
        <v>0.09</v>
      </c>
      <c r="K10" s="264">
        <f t="shared" ref="K10:N10" si="33">K28/$AE$40</f>
        <v>0.10333333333333333</v>
      </c>
      <c r="L10" s="264">
        <f t="shared" si="33"/>
        <v>0.10333333333333333</v>
      </c>
      <c r="M10" s="264">
        <f t="shared" si="33"/>
        <v>0.10333333333333333</v>
      </c>
      <c r="N10" s="264">
        <f t="shared" si="33"/>
        <v>0.08</v>
      </c>
      <c r="O10" s="20"/>
      <c r="P10" s="20"/>
      <c r="Q10" s="264">
        <f t="shared" ref="Q10:AB10" si="34">Q28/Q3</f>
        <v>9.3550788082090955E-2</v>
      </c>
      <c r="R10" s="264">
        <f t="shared" si="34"/>
        <v>0.12444094441390173</v>
      </c>
      <c r="S10" s="264">
        <f t="shared" si="34"/>
        <v>9.9718094572403465E-2</v>
      </c>
      <c r="T10" s="264">
        <f t="shared" si="34"/>
        <v>8.9965079154875255E-2</v>
      </c>
      <c r="U10" s="264">
        <f t="shared" si="34"/>
        <v>8.7657801530486301E-2</v>
      </c>
      <c r="V10" s="264">
        <f t="shared" si="34"/>
        <v>0.12399108590186111</v>
      </c>
      <c r="W10" s="264">
        <f t="shared" si="34"/>
        <v>9.1756812637482296E-2</v>
      </c>
      <c r="X10" s="264">
        <f t="shared" si="34"/>
        <v>9.4584298838032835E-2</v>
      </c>
      <c r="Y10" s="264">
        <f t="shared" si="34"/>
        <v>0.11868395617335929</v>
      </c>
      <c r="Z10" s="264">
        <f t="shared" si="34"/>
        <v>0.13510287088939391</v>
      </c>
      <c r="AA10" s="264">
        <f t="shared" si="34"/>
        <v>0.12337623808229507</v>
      </c>
      <c r="AB10" s="264">
        <f t="shared" si="34"/>
        <v>0.15716091297661841</v>
      </c>
      <c r="AC10" s="20"/>
      <c r="AE10" s="264">
        <f>AE28/$AE$40</f>
        <v>0.12166666666666667</v>
      </c>
      <c r="AF10" s="264">
        <f t="shared" ref="AF10:AP10" si="35">AF28/$AE$40</f>
        <v>0.14516666666666667</v>
      </c>
      <c r="AG10" s="264">
        <f t="shared" si="35"/>
        <v>0.105</v>
      </c>
      <c r="AH10" s="264">
        <f t="shared" si="35"/>
        <v>9.375E-2</v>
      </c>
      <c r="AI10" s="264">
        <f t="shared" si="35"/>
        <v>8.8652482269503549E-2</v>
      </c>
      <c r="AJ10" s="264">
        <f t="shared" si="35"/>
        <v>0.16052083333333333</v>
      </c>
      <c r="AK10" s="264">
        <f t="shared" si="35"/>
        <v>9.375E-2</v>
      </c>
      <c r="AL10" s="264">
        <f t="shared" si="35"/>
        <v>0.10638297872340427</v>
      </c>
      <c r="AM10" s="264">
        <f t="shared" si="35"/>
        <v>0.16052041666666667</v>
      </c>
      <c r="AN10" s="264">
        <f t="shared" si="35"/>
        <v>0.1926245</v>
      </c>
      <c r="AO10" s="264">
        <f t="shared" si="35"/>
        <v>0.17336204999999999</v>
      </c>
      <c r="AP10" s="264">
        <f t="shared" si="35"/>
        <v>0.17336204999999999</v>
      </c>
      <c r="AQ10" s="20"/>
    </row>
    <row r="11" spans="1:43">
      <c r="A11" s="13" t="s">
        <v>263</v>
      </c>
      <c r="B11" s="13" t="s">
        <v>65</v>
      </c>
      <c r="C11" s="110"/>
      <c r="D11" s="110"/>
      <c r="E11" s="110">
        <v>0.06</v>
      </c>
      <c r="F11" s="110">
        <v>0.06</v>
      </c>
      <c r="G11" s="100">
        <v>0.06</v>
      </c>
      <c r="H11" s="100">
        <v>0.06</v>
      </c>
      <c r="I11" s="100">
        <v>0.06</v>
      </c>
      <c r="J11" s="100">
        <v>0.06</v>
      </c>
      <c r="K11" s="264">
        <f t="shared" ref="K11:N11" si="36">K29/$AE$40</f>
        <v>6.2E-2</v>
      </c>
      <c r="L11" s="264">
        <f t="shared" si="36"/>
        <v>6.2E-2</v>
      </c>
      <c r="M11" s="264">
        <f t="shared" si="36"/>
        <v>6.2E-2</v>
      </c>
      <c r="N11" s="264">
        <f t="shared" si="36"/>
        <v>4.8000000000000001E-2</v>
      </c>
      <c r="O11" s="20"/>
      <c r="P11" s="20"/>
      <c r="Q11" s="264">
        <f t="shared" ref="Q11:AB11" si="37">Q29/Q3</f>
        <v>6.972686245522379E-2</v>
      </c>
      <c r="R11" s="264">
        <f t="shared" si="37"/>
        <v>6.6618623794594434E-2</v>
      </c>
      <c r="S11" s="264">
        <f t="shared" si="37"/>
        <v>6.7763154171969625E-2</v>
      </c>
      <c r="T11" s="264">
        <f t="shared" si="37"/>
        <v>6.8497252106622317E-2</v>
      </c>
      <c r="U11" s="264">
        <f t="shared" si="37"/>
        <v>6.9417341187897802E-2</v>
      </c>
      <c r="V11" s="264">
        <f t="shared" si="37"/>
        <v>5.7758829500976189E-2</v>
      </c>
      <c r="W11" s="264">
        <f t="shared" si="37"/>
        <v>5.9884166199726439E-2</v>
      </c>
      <c r="X11" s="264">
        <f t="shared" si="37"/>
        <v>6.8890325088410531E-2</v>
      </c>
      <c r="Y11" s="264">
        <f t="shared" si="37"/>
        <v>6.7056655508548751E-2</v>
      </c>
      <c r="Z11" s="264">
        <f t="shared" si="37"/>
        <v>6.6530548393123556E-2</v>
      </c>
      <c r="AA11" s="264">
        <f t="shared" si="37"/>
        <v>6.7432597070592695E-2</v>
      </c>
      <c r="AB11" s="264">
        <f t="shared" si="37"/>
        <v>6.483377592487552E-2</v>
      </c>
      <c r="AC11" s="20"/>
      <c r="AE11" s="264">
        <f>AE29/$AE$40</f>
        <v>0.06</v>
      </c>
      <c r="AF11" s="264">
        <f t="shared" ref="AF11:AP11" si="38">AF29/$AE$40</f>
        <v>0.06</v>
      </c>
      <c r="AG11" s="264">
        <f t="shared" si="38"/>
        <v>0.06</v>
      </c>
      <c r="AH11" s="264">
        <f t="shared" si="38"/>
        <v>0.06</v>
      </c>
      <c r="AI11" s="264">
        <f t="shared" si="38"/>
        <v>4.2000000000000003E-2</v>
      </c>
      <c r="AJ11" s="264">
        <f t="shared" si="38"/>
        <v>6.2E-2</v>
      </c>
      <c r="AK11" s="264">
        <f t="shared" si="38"/>
        <v>0.06</v>
      </c>
      <c r="AL11" s="264">
        <f t="shared" si="38"/>
        <v>0.06</v>
      </c>
      <c r="AM11" s="264">
        <f t="shared" si="38"/>
        <v>0.06</v>
      </c>
      <c r="AN11" s="264">
        <f t="shared" si="38"/>
        <v>0.06</v>
      </c>
      <c r="AO11" s="264">
        <f t="shared" si="38"/>
        <v>0.06</v>
      </c>
      <c r="AP11" s="264">
        <f t="shared" si="38"/>
        <v>0.06</v>
      </c>
      <c r="AQ11" s="20"/>
    </row>
    <row r="12" spans="1:43">
      <c r="A12" s="13" t="s">
        <v>292</v>
      </c>
      <c r="B12" s="13" t="s">
        <v>66</v>
      </c>
      <c r="C12" s="110"/>
      <c r="D12" s="110"/>
      <c r="E12" s="110"/>
      <c r="F12" s="110"/>
      <c r="G12" s="100"/>
      <c r="H12" s="100"/>
      <c r="I12" s="100"/>
      <c r="J12" s="100"/>
      <c r="K12" s="264">
        <f t="shared" ref="K12:N12" si="39">K30/$AE$40</f>
        <v>0</v>
      </c>
      <c r="L12" s="264">
        <f t="shared" si="39"/>
        <v>0</v>
      </c>
      <c r="M12" s="264">
        <f t="shared" si="39"/>
        <v>0</v>
      </c>
      <c r="N12" s="264">
        <f t="shared" si="39"/>
        <v>0</v>
      </c>
      <c r="O12" s="20"/>
      <c r="Q12" s="264">
        <v>0</v>
      </c>
      <c r="R12" s="264">
        <v>0</v>
      </c>
      <c r="S12" s="264">
        <v>0</v>
      </c>
      <c r="T12" s="264">
        <v>0</v>
      </c>
      <c r="U12" s="264">
        <v>0</v>
      </c>
      <c r="V12" s="264">
        <v>0</v>
      </c>
      <c r="W12" s="264">
        <v>0</v>
      </c>
      <c r="X12" s="264">
        <v>0</v>
      </c>
      <c r="Y12" s="264">
        <v>0</v>
      </c>
      <c r="Z12" s="264">
        <v>0</v>
      </c>
      <c r="AA12" s="264">
        <v>0</v>
      </c>
      <c r="AB12" s="264">
        <v>0</v>
      </c>
      <c r="AC12" s="20"/>
      <c r="AE12" s="264">
        <f t="shared" ref="AE12:AP12" si="40">AE30/$AE$40</f>
        <v>0</v>
      </c>
      <c r="AF12" s="264">
        <f t="shared" si="40"/>
        <v>0</v>
      </c>
      <c r="AG12" s="264">
        <f t="shared" si="40"/>
        <v>0</v>
      </c>
      <c r="AH12" s="264">
        <f t="shared" si="40"/>
        <v>0</v>
      </c>
      <c r="AI12" s="264">
        <f t="shared" si="40"/>
        <v>0</v>
      </c>
      <c r="AJ12" s="264">
        <f t="shared" si="40"/>
        <v>0</v>
      </c>
      <c r="AK12" s="264">
        <f t="shared" si="40"/>
        <v>0</v>
      </c>
      <c r="AL12" s="264">
        <f t="shared" si="40"/>
        <v>0</v>
      </c>
      <c r="AM12" s="264">
        <f t="shared" si="40"/>
        <v>0</v>
      </c>
      <c r="AN12" s="264">
        <f t="shared" si="40"/>
        <v>0</v>
      </c>
      <c r="AO12" s="264">
        <f t="shared" si="40"/>
        <v>0</v>
      </c>
      <c r="AP12" s="264">
        <f t="shared" si="40"/>
        <v>0</v>
      </c>
      <c r="AQ12" s="20"/>
    </row>
    <row r="13" spans="1:43">
      <c r="A13" s="13" t="s">
        <v>255</v>
      </c>
      <c r="B13" s="13" t="s">
        <v>66</v>
      </c>
      <c r="C13" s="110"/>
      <c r="D13" s="110"/>
      <c r="E13" s="110"/>
      <c r="F13" s="110"/>
      <c r="G13" s="100"/>
      <c r="H13" s="100"/>
      <c r="I13" s="100"/>
      <c r="J13" s="100"/>
      <c r="K13" s="264">
        <f t="shared" ref="K13:N13" si="41">K31/$AE$40</f>
        <v>0</v>
      </c>
      <c r="L13" s="264">
        <f t="shared" si="41"/>
        <v>0</v>
      </c>
      <c r="M13" s="264">
        <f t="shared" si="41"/>
        <v>0</v>
      </c>
      <c r="N13" s="264">
        <f t="shared" si="41"/>
        <v>0</v>
      </c>
      <c r="O13" s="20" t="s">
        <v>469</v>
      </c>
      <c r="Q13" s="264">
        <v>0</v>
      </c>
      <c r="R13" s="264">
        <v>0</v>
      </c>
      <c r="S13" s="264">
        <v>0</v>
      </c>
      <c r="T13" s="264">
        <v>0</v>
      </c>
      <c r="U13" s="264">
        <v>0</v>
      </c>
      <c r="V13" s="264">
        <v>0</v>
      </c>
      <c r="W13" s="264">
        <v>0</v>
      </c>
      <c r="X13" s="264">
        <v>0</v>
      </c>
      <c r="Y13" s="264">
        <v>0</v>
      </c>
      <c r="Z13" s="264">
        <v>0</v>
      </c>
      <c r="AA13" s="264">
        <v>0</v>
      </c>
      <c r="AB13" s="264">
        <v>0</v>
      </c>
      <c r="AC13" s="20"/>
      <c r="AE13" s="264">
        <f t="shared" ref="AE13:AP13" si="42">AE31/$AE$40</f>
        <v>0</v>
      </c>
      <c r="AF13" s="264">
        <f t="shared" si="42"/>
        <v>0</v>
      </c>
      <c r="AG13" s="264">
        <f t="shared" si="42"/>
        <v>0</v>
      </c>
      <c r="AH13" s="264">
        <f t="shared" si="42"/>
        <v>0</v>
      </c>
      <c r="AI13" s="264">
        <f t="shared" si="42"/>
        <v>0</v>
      </c>
      <c r="AJ13" s="264">
        <f t="shared" si="42"/>
        <v>0</v>
      </c>
      <c r="AK13" s="264">
        <f t="shared" si="42"/>
        <v>0</v>
      </c>
      <c r="AL13" s="264">
        <f t="shared" si="42"/>
        <v>0</v>
      </c>
      <c r="AM13" s="264">
        <f t="shared" si="42"/>
        <v>0</v>
      </c>
      <c r="AN13" s="264">
        <f t="shared" si="42"/>
        <v>0</v>
      </c>
      <c r="AO13" s="264">
        <f t="shared" si="42"/>
        <v>0</v>
      </c>
      <c r="AP13" s="264">
        <f t="shared" si="42"/>
        <v>0</v>
      </c>
      <c r="AQ13" s="20"/>
    </row>
    <row r="14" spans="1:43">
      <c r="A14" s="13" t="s">
        <v>398</v>
      </c>
      <c r="B14" s="13" t="s">
        <v>66</v>
      </c>
      <c r="C14" s="110"/>
      <c r="D14" s="110"/>
      <c r="E14" s="110"/>
      <c r="F14" s="110"/>
      <c r="G14" s="100"/>
      <c r="H14" s="100"/>
      <c r="I14" s="100"/>
      <c r="J14" s="100"/>
      <c r="K14" s="264">
        <f t="shared" ref="K14:N14" si="43">K32/$AE$40</f>
        <v>0</v>
      </c>
      <c r="L14" s="264">
        <f t="shared" si="43"/>
        <v>0</v>
      </c>
      <c r="M14" s="264">
        <f t="shared" si="43"/>
        <v>0</v>
      </c>
      <c r="N14" s="264">
        <f t="shared" si="43"/>
        <v>0</v>
      </c>
      <c r="O14" s="20"/>
      <c r="Q14" s="264">
        <v>0</v>
      </c>
      <c r="R14" s="264">
        <v>0</v>
      </c>
      <c r="S14" s="264">
        <v>0</v>
      </c>
      <c r="T14" s="264">
        <v>0</v>
      </c>
      <c r="U14" s="264">
        <v>0</v>
      </c>
      <c r="V14" s="264">
        <v>0</v>
      </c>
      <c r="W14" s="264">
        <v>0</v>
      </c>
      <c r="X14" s="264">
        <v>0</v>
      </c>
      <c r="Y14" s="264">
        <v>0</v>
      </c>
      <c r="Z14" s="264">
        <v>0</v>
      </c>
      <c r="AA14" s="264">
        <v>0</v>
      </c>
      <c r="AB14" s="264">
        <v>0</v>
      </c>
      <c r="AC14" s="20"/>
      <c r="AE14" s="264">
        <f t="shared" ref="AE14:AP14" si="44">AE32/$AE$40</f>
        <v>0</v>
      </c>
      <c r="AF14" s="264">
        <f t="shared" si="44"/>
        <v>0</v>
      </c>
      <c r="AG14" s="264">
        <f t="shared" si="44"/>
        <v>0</v>
      </c>
      <c r="AH14" s="264">
        <f t="shared" si="44"/>
        <v>0</v>
      </c>
      <c r="AI14" s="264">
        <f t="shared" si="44"/>
        <v>0</v>
      </c>
      <c r="AJ14" s="264">
        <f t="shared" si="44"/>
        <v>0</v>
      </c>
      <c r="AK14" s="264">
        <f t="shared" si="44"/>
        <v>0</v>
      </c>
      <c r="AL14" s="264">
        <f t="shared" si="44"/>
        <v>0</v>
      </c>
      <c r="AM14" s="264">
        <f t="shared" si="44"/>
        <v>0</v>
      </c>
      <c r="AN14" s="264">
        <f t="shared" si="44"/>
        <v>0</v>
      </c>
      <c r="AO14" s="264">
        <f t="shared" si="44"/>
        <v>0</v>
      </c>
      <c r="AP14" s="264">
        <f t="shared" si="44"/>
        <v>0</v>
      </c>
      <c r="AQ14" s="20"/>
    </row>
    <row r="15" spans="1:43">
      <c r="A15" s="13" t="s">
        <v>274</v>
      </c>
      <c r="B15" s="13" t="s">
        <v>66</v>
      </c>
      <c r="C15" s="110"/>
      <c r="D15" s="110"/>
      <c r="E15" s="110"/>
      <c r="F15" s="110"/>
      <c r="G15" s="100"/>
      <c r="H15" s="100"/>
      <c r="I15" s="100"/>
      <c r="J15" s="100"/>
      <c r="K15" s="264">
        <f t="shared" ref="K15:N15" si="45">K33/$AE$40</f>
        <v>0</v>
      </c>
      <c r="L15" s="264">
        <f t="shared" si="45"/>
        <v>0</v>
      </c>
      <c r="M15" s="264">
        <f t="shared" si="45"/>
        <v>0</v>
      </c>
      <c r="N15" s="264">
        <f t="shared" si="45"/>
        <v>0</v>
      </c>
      <c r="O15" s="20"/>
      <c r="Q15" s="264">
        <v>0</v>
      </c>
      <c r="R15" s="264">
        <v>0</v>
      </c>
      <c r="S15" s="264">
        <v>0</v>
      </c>
      <c r="T15" s="264">
        <v>0</v>
      </c>
      <c r="U15" s="264">
        <v>0</v>
      </c>
      <c r="V15" s="264">
        <v>0</v>
      </c>
      <c r="W15" s="264">
        <v>0</v>
      </c>
      <c r="X15" s="264">
        <v>0</v>
      </c>
      <c r="Y15" s="264">
        <v>0</v>
      </c>
      <c r="Z15" s="264">
        <v>0</v>
      </c>
      <c r="AA15" s="264">
        <v>0</v>
      </c>
      <c r="AB15" s="264">
        <v>0</v>
      </c>
      <c r="AC15" s="20"/>
      <c r="AE15" s="264">
        <f t="shared" ref="AE15:AP15" si="46">AE33/$AE$40</f>
        <v>0</v>
      </c>
      <c r="AF15" s="264">
        <f t="shared" si="46"/>
        <v>0</v>
      </c>
      <c r="AG15" s="264">
        <f t="shared" si="46"/>
        <v>0</v>
      </c>
      <c r="AH15" s="264">
        <f t="shared" si="46"/>
        <v>0</v>
      </c>
      <c r="AI15" s="264">
        <f t="shared" si="46"/>
        <v>0</v>
      </c>
      <c r="AJ15" s="264">
        <f t="shared" si="46"/>
        <v>0</v>
      </c>
      <c r="AK15" s="264">
        <f t="shared" si="46"/>
        <v>0</v>
      </c>
      <c r="AL15" s="264">
        <f t="shared" si="46"/>
        <v>0</v>
      </c>
      <c r="AM15" s="264">
        <f t="shared" si="46"/>
        <v>0</v>
      </c>
      <c r="AN15" s="264">
        <f t="shared" si="46"/>
        <v>0</v>
      </c>
      <c r="AO15" s="264">
        <f t="shared" si="46"/>
        <v>0</v>
      </c>
      <c r="AP15" s="264">
        <f t="shared" si="46"/>
        <v>0</v>
      </c>
      <c r="AQ15" s="20"/>
    </row>
    <row r="16" spans="1:43">
      <c r="A16" s="13" t="s">
        <v>311</v>
      </c>
      <c r="B16" s="13" t="s">
        <v>66</v>
      </c>
      <c r="C16" s="110"/>
      <c r="D16" s="110"/>
      <c r="E16" s="110"/>
      <c r="F16" s="110"/>
      <c r="G16" s="100"/>
      <c r="H16" s="100"/>
      <c r="I16" s="100"/>
      <c r="J16" s="100"/>
      <c r="K16" s="264">
        <f t="shared" ref="K16:N16" si="47">K34/$AE$40</f>
        <v>0</v>
      </c>
      <c r="L16" s="264">
        <f t="shared" si="47"/>
        <v>0</v>
      </c>
      <c r="M16" s="264">
        <f t="shared" si="47"/>
        <v>0</v>
      </c>
      <c r="N16" s="264">
        <f t="shared" si="47"/>
        <v>0</v>
      </c>
      <c r="O16" s="20"/>
      <c r="Q16" s="264">
        <v>0</v>
      </c>
      <c r="R16" s="264">
        <v>0</v>
      </c>
      <c r="S16" s="264">
        <v>0</v>
      </c>
      <c r="T16" s="264">
        <v>0</v>
      </c>
      <c r="U16" s="264">
        <v>0</v>
      </c>
      <c r="V16" s="264">
        <v>0</v>
      </c>
      <c r="W16" s="264">
        <v>0</v>
      </c>
      <c r="X16" s="264">
        <v>0</v>
      </c>
      <c r="Y16" s="264">
        <v>0</v>
      </c>
      <c r="Z16" s="264">
        <v>0</v>
      </c>
      <c r="AA16" s="264">
        <v>0</v>
      </c>
      <c r="AB16" s="264">
        <v>0</v>
      </c>
      <c r="AC16" s="20"/>
      <c r="AE16" s="264">
        <f t="shared" ref="AE16:AP16" si="48">AE34/$AE$40</f>
        <v>0</v>
      </c>
      <c r="AF16" s="264">
        <f t="shared" si="48"/>
        <v>0</v>
      </c>
      <c r="AG16" s="264">
        <f t="shared" si="48"/>
        <v>0</v>
      </c>
      <c r="AH16" s="264">
        <f t="shared" si="48"/>
        <v>0</v>
      </c>
      <c r="AI16" s="264">
        <f t="shared" si="48"/>
        <v>0</v>
      </c>
      <c r="AJ16" s="264">
        <f t="shared" si="48"/>
        <v>0</v>
      </c>
      <c r="AK16" s="264">
        <f t="shared" si="48"/>
        <v>0</v>
      </c>
      <c r="AL16" s="264">
        <f t="shared" si="48"/>
        <v>0</v>
      </c>
      <c r="AM16" s="264">
        <f t="shared" si="48"/>
        <v>0</v>
      </c>
      <c r="AN16" s="264">
        <f t="shared" si="48"/>
        <v>0</v>
      </c>
      <c r="AO16" s="264">
        <f t="shared" si="48"/>
        <v>0</v>
      </c>
      <c r="AP16" s="264">
        <f t="shared" si="48"/>
        <v>0</v>
      </c>
      <c r="AQ16" s="20"/>
    </row>
    <row r="17" spans="1:43">
      <c r="C17" s="14"/>
      <c r="D17" s="14"/>
      <c r="E17" s="14"/>
      <c r="F17" s="14"/>
    </row>
    <row r="18" spans="1:43">
      <c r="A18" s="13" t="s">
        <v>400</v>
      </c>
      <c r="B18" s="13" t="s">
        <v>65</v>
      </c>
      <c r="C18" s="110"/>
      <c r="D18" s="110"/>
      <c r="E18" s="110"/>
      <c r="F18" s="110"/>
      <c r="G18" s="100"/>
      <c r="H18" s="100"/>
      <c r="I18" s="100"/>
      <c r="J18" s="100"/>
      <c r="K18" s="264">
        <f t="shared" ref="K18:N18" si="49">K36/$AE$40</f>
        <v>0</v>
      </c>
      <c r="L18" s="264">
        <f t="shared" si="49"/>
        <v>0</v>
      </c>
      <c r="M18" s="264">
        <f t="shared" si="49"/>
        <v>0</v>
      </c>
      <c r="N18" s="264">
        <f t="shared" si="49"/>
        <v>0</v>
      </c>
      <c r="O18" s="20"/>
      <c r="Q18" s="264">
        <f t="shared" ref="Q18:AB18" si="50">Q36/Q3</f>
        <v>7.9687842805970036E-3</v>
      </c>
      <c r="R18" s="264">
        <f t="shared" si="50"/>
        <v>9.5169462563706331E-3</v>
      </c>
      <c r="S18" s="264">
        <f t="shared" si="50"/>
        <v>9.680450595995661E-3</v>
      </c>
      <c r="T18" s="264">
        <f t="shared" si="50"/>
        <v>9.7853217295174721E-3</v>
      </c>
      <c r="U18" s="264">
        <f t="shared" si="50"/>
        <v>9.9167630268425424E-3</v>
      </c>
      <c r="V18" s="264">
        <f t="shared" si="50"/>
        <v>9.626471583496032E-3</v>
      </c>
      <c r="W18" s="264">
        <f t="shared" si="50"/>
        <v>9.9806943666210738E-3</v>
      </c>
      <c r="X18" s="264">
        <f t="shared" si="50"/>
        <v>9.8414750126300764E-3</v>
      </c>
      <c r="Y18" s="264">
        <f t="shared" si="50"/>
        <v>9.579522215506963E-3</v>
      </c>
      <c r="Z18" s="264">
        <f t="shared" si="50"/>
        <v>9.5043640561605081E-3</v>
      </c>
      <c r="AA18" s="264">
        <f t="shared" si="50"/>
        <v>9.6332281529418144E-3</v>
      </c>
      <c r="AB18" s="264">
        <f t="shared" si="50"/>
        <v>9.2619679892679291E-3</v>
      </c>
      <c r="AC18" s="20"/>
      <c r="AE18" s="264">
        <f t="shared" ref="AE18:AP18" si="51">AE36/$AE$40</f>
        <v>5.4409599999999999E-3</v>
      </c>
      <c r="AF18" s="264">
        <f t="shared" si="51"/>
        <v>8.9669999999999993E-3</v>
      </c>
      <c r="AG18" s="264">
        <f t="shared" si="51"/>
        <v>8.562295000000001E-3</v>
      </c>
      <c r="AH18" s="264">
        <f t="shared" si="51"/>
        <v>8.5654800000000003E-3</v>
      </c>
      <c r="AI18" s="264">
        <f t="shared" si="51"/>
        <v>8.4246050000000017E-3</v>
      </c>
      <c r="AJ18" s="264">
        <f t="shared" si="51"/>
        <v>1.046857E-2</v>
      </c>
      <c r="AK18" s="264">
        <f t="shared" si="51"/>
        <v>8.5658999999999996E-3</v>
      </c>
      <c r="AL18" s="264">
        <f t="shared" si="51"/>
        <v>9.2980650000000012E-3</v>
      </c>
      <c r="AM18" s="264">
        <f t="shared" si="51"/>
        <v>1.088332E-2</v>
      </c>
      <c r="AN18" s="264">
        <f t="shared" si="51"/>
        <v>1.1382804999999999E-2</v>
      </c>
      <c r="AO18" s="264">
        <f t="shared" si="51"/>
        <v>1.1370345E-2</v>
      </c>
      <c r="AP18" s="264">
        <f t="shared" si="51"/>
        <v>8.5820700000000007E-3</v>
      </c>
      <c r="AQ18" s="20"/>
    </row>
    <row r="19" spans="1:43">
      <c r="A19" s="13" t="s">
        <v>401</v>
      </c>
      <c r="B19" s="13" t="s">
        <v>67</v>
      </c>
      <c r="C19" s="110"/>
      <c r="D19" s="110"/>
      <c r="E19" s="110">
        <v>0.05</v>
      </c>
      <c r="F19" s="110">
        <v>0.05</v>
      </c>
      <c r="G19" s="100">
        <v>0.04</v>
      </c>
      <c r="H19" s="100">
        <v>0.04</v>
      </c>
      <c r="I19" s="100">
        <v>0.04</v>
      </c>
      <c r="J19" s="100">
        <v>0.04</v>
      </c>
      <c r="K19" s="264">
        <f t="shared" ref="K19:N19" si="52">K37/$AE$40</f>
        <v>4.1333333333333333E-2</v>
      </c>
      <c r="L19" s="264">
        <f t="shared" si="52"/>
        <v>4.1333333333333333E-2</v>
      </c>
      <c r="M19" s="264">
        <f t="shared" si="52"/>
        <v>4.1333333333333333E-2</v>
      </c>
      <c r="N19" s="264">
        <f t="shared" si="52"/>
        <v>3.2000000000000001E-2</v>
      </c>
      <c r="O19" s="20"/>
      <c r="Q19" s="264">
        <f t="shared" ref="Q19:AB19" si="53">Q37/Q3</f>
        <v>3.1875137122388014E-2</v>
      </c>
      <c r="R19" s="264">
        <f t="shared" si="53"/>
        <v>3.8067785025482533E-2</v>
      </c>
      <c r="S19" s="264">
        <f t="shared" si="53"/>
        <v>3.8721802383982644E-2</v>
      </c>
      <c r="T19" s="264">
        <f t="shared" si="53"/>
        <v>3.9141286918069888E-2</v>
      </c>
      <c r="U19" s="264">
        <f t="shared" si="53"/>
        <v>3.966705210737017E-2</v>
      </c>
      <c r="V19" s="264">
        <f t="shared" si="53"/>
        <v>3.8505886333984128E-2</v>
      </c>
      <c r="W19" s="264">
        <f t="shared" si="53"/>
        <v>3.9922777466484295E-2</v>
      </c>
      <c r="X19" s="264">
        <f t="shared" si="53"/>
        <v>3.9365900050520305E-2</v>
      </c>
      <c r="Y19" s="264">
        <f t="shared" si="53"/>
        <v>3.8318088862027852E-2</v>
      </c>
      <c r="Z19" s="264">
        <f t="shared" si="53"/>
        <v>3.8017456224642032E-2</v>
      </c>
      <c r="AA19" s="264">
        <f t="shared" si="53"/>
        <v>3.8532912611767257E-2</v>
      </c>
      <c r="AB19" s="264">
        <f t="shared" si="53"/>
        <v>3.7047871957071717E-2</v>
      </c>
      <c r="AC19" s="20"/>
      <c r="AE19" s="264">
        <f t="shared" ref="AE19:AP19" si="54">AE37/$AE$40</f>
        <v>2.0727466666666666E-2</v>
      </c>
      <c r="AF19" s="264">
        <f t="shared" si="54"/>
        <v>3.4160000000000003E-2</v>
      </c>
      <c r="AG19" s="264">
        <f t="shared" si="54"/>
        <v>3.2618266666666666E-2</v>
      </c>
      <c r="AH19" s="264">
        <f t="shared" si="54"/>
        <v>3.2630400000000004E-2</v>
      </c>
      <c r="AI19" s="264">
        <f t="shared" si="54"/>
        <v>3.2093733333333339E-2</v>
      </c>
      <c r="AJ19" s="264">
        <f t="shared" si="54"/>
        <v>3.9880266666666664E-2</v>
      </c>
      <c r="AK19" s="264">
        <f t="shared" si="54"/>
        <v>3.2632000000000001E-2</v>
      </c>
      <c r="AL19" s="264">
        <f t="shared" si="54"/>
        <v>3.54212E-2</v>
      </c>
      <c r="AM19" s="264">
        <f t="shared" si="54"/>
        <v>4.1460266666666669E-2</v>
      </c>
      <c r="AN19" s="264">
        <f t="shared" si="54"/>
        <v>4.3363066666666665E-2</v>
      </c>
      <c r="AO19" s="264">
        <f t="shared" si="54"/>
        <v>4.3315600000000003E-2</v>
      </c>
      <c r="AP19" s="264">
        <f t="shared" si="54"/>
        <v>3.2693600000000003E-2</v>
      </c>
      <c r="AQ19" s="20"/>
    </row>
    <row r="20" spans="1:43">
      <c r="A20" s="13" t="s">
        <v>305</v>
      </c>
      <c r="B20" s="13" t="s">
        <v>67</v>
      </c>
      <c r="C20" s="110"/>
      <c r="D20" s="110"/>
      <c r="E20" s="110"/>
      <c r="F20" s="110"/>
      <c r="G20" s="100"/>
      <c r="H20" s="100"/>
      <c r="I20" s="100"/>
      <c r="J20" s="100"/>
      <c r="K20" s="264">
        <f t="shared" ref="K20:N20" si="55">K38/$AE$40</f>
        <v>0</v>
      </c>
      <c r="L20" s="264">
        <f t="shared" si="55"/>
        <v>0</v>
      </c>
      <c r="M20" s="264">
        <f t="shared" si="55"/>
        <v>0</v>
      </c>
      <c r="N20" s="264">
        <f t="shared" si="55"/>
        <v>0</v>
      </c>
      <c r="O20" s="20"/>
      <c r="Q20" s="264">
        <v>0</v>
      </c>
      <c r="R20" s="264">
        <v>0</v>
      </c>
      <c r="S20" s="264">
        <v>0</v>
      </c>
      <c r="T20" s="264">
        <v>0</v>
      </c>
      <c r="U20" s="264">
        <v>0</v>
      </c>
      <c r="V20" s="264">
        <v>0</v>
      </c>
      <c r="W20" s="264">
        <v>0</v>
      </c>
      <c r="X20" s="264">
        <v>0</v>
      </c>
      <c r="Y20" s="264">
        <v>0</v>
      </c>
      <c r="Z20" s="264">
        <v>0</v>
      </c>
      <c r="AA20" s="264">
        <v>0</v>
      </c>
      <c r="AB20" s="264">
        <v>0</v>
      </c>
      <c r="AC20" s="20"/>
      <c r="AE20" s="264">
        <f t="shared" ref="AE20:AP20" si="56">AE38/$AE$40</f>
        <v>0</v>
      </c>
      <c r="AF20" s="264">
        <f t="shared" si="56"/>
        <v>0</v>
      </c>
      <c r="AG20" s="264">
        <f t="shared" si="56"/>
        <v>0</v>
      </c>
      <c r="AH20" s="264">
        <f t="shared" si="56"/>
        <v>0</v>
      </c>
      <c r="AI20" s="264">
        <f t="shared" si="56"/>
        <v>0</v>
      </c>
      <c r="AJ20" s="264">
        <f t="shared" si="56"/>
        <v>0</v>
      </c>
      <c r="AK20" s="264">
        <f t="shared" si="56"/>
        <v>0</v>
      </c>
      <c r="AL20" s="264">
        <f t="shared" si="56"/>
        <v>0</v>
      </c>
      <c r="AM20" s="264">
        <f t="shared" si="56"/>
        <v>0</v>
      </c>
      <c r="AN20" s="264">
        <f t="shared" si="56"/>
        <v>0</v>
      </c>
      <c r="AO20" s="264">
        <f t="shared" si="56"/>
        <v>0</v>
      </c>
      <c r="AP20" s="264">
        <f t="shared" si="56"/>
        <v>0</v>
      </c>
      <c r="AQ20" s="20"/>
    </row>
    <row r="21" spans="1:43">
      <c r="A21" s="13" t="s">
        <v>470</v>
      </c>
      <c r="B21" s="13" t="s">
        <v>67</v>
      </c>
      <c r="C21" s="110"/>
      <c r="D21" s="110"/>
      <c r="E21" s="110"/>
      <c r="F21" s="110"/>
      <c r="G21" s="100"/>
      <c r="H21" s="100"/>
      <c r="I21" s="100"/>
      <c r="J21" s="100"/>
      <c r="K21" s="264">
        <f t="shared" ref="K21:N21" si="57">K39/$AE$40</f>
        <v>0</v>
      </c>
      <c r="L21" s="264">
        <f t="shared" si="57"/>
        <v>0</v>
      </c>
      <c r="M21" s="264">
        <f t="shared" si="57"/>
        <v>0</v>
      </c>
      <c r="N21" s="264">
        <f t="shared" si="57"/>
        <v>0</v>
      </c>
      <c r="O21" s="20"/>
      <c r="Q21" s="264">
        <v>0</v>
      </c>
      <c r="R21" s="264">
        <v>0</v>
      </c>
      <c r="S21" s="264">
        <v>0</v>
      </c>
      <c r="T21" s="264">
        <v>0</v>
      </c>
      <c r="U21" s="264">
        <v>0</v>
      </c>
      <c r="V21" s="264">
        <v>0</v>
      </c>
      <c r="W21" s="264">
        <v>0</v>
      </c>
      <c r="X21" s="264">
        <v>0</v>
      </c>
      <c r="Y21" s="264">
        <v>0</v>
      </c>
      <c r="Z21" s="264">
        <v>0</v>
      </c>
      <c r="AA21" s="264">
        <v>0</v>
      </c>
      <c r="AB21" s="264">
        <v>0</v>
      </c>
      <c r="AC21" s="20"/>
      <c r="AE21" s="264">
        <f t="shared" ref="AE21:AP21" si="58">AE39/$AE$40</f>
        <v>0</v>
      </c>
      <c r="AF21" s="264">
        <f t="shared" si="58"/>
        <v>0</v>
      </c>
      <c r="AG21" s="264">
        <f t="shared" si="58"/>
        <v>0</v>
      </c>
      <c r="AH21" s="264">
        <f t="shared" si="58"/>
        <v>0</v>
      </c>
      <c r="AI21" s="264">
        <f t="shared" si="58"/>
        <v>0</v>
      </c>
      <c r="AJ21" s="264">
        <f t="shared" si="58"/>
        <v>0</v>
      </c>
      <c r="AK21" s="264">
        <f t="shared" si="58"/>
        <v>0</v>
      </c>
      <c r="AL21" s="264">
        <f t="shared" si="58"/>
        <v>0</v>
      </c>
      <c r="AM21" s="264">
        <f t="shared" si="58"/>
        <v>0</v>
      </c>
      <c r="AN21" s="264">
        <f t="shared" si="58"/>
        <v>0</v>
      </c>
      <c r="AO21" s="264">
        <f t="shared" si="58"/>
        <v>0</v>
      </c>
      <c r="AP21" s="264">
        <f t="shared" si="58"/>
        <v>0</v>
      </c>
      <c r="AQ21" s="20"/>
    </row>
    <row r="22" spans="1:43">
      <c r="A22" s="11" t="s">
        <v>471</v>
      </c>
      <c r="B22" s="11"/>
      <c r="C22" s="111">
        <f t="shared" ref="C22:N22" si="59">SUM(C7:C21)</f>
        <v>0</v>
      </c>
      <c r="D22" s="111">
        <f t="shared" si="59"/>
        <v>0</v>
      </c>
      <c r="E22" s="111">
        <f t="shared" si="59"/>
        <v>1.0000000000000002</v>
      </c>
      <c r="F22" s="111">
        <f t="shared" si="59"/>
        <v>1.0000000000000002</v>
      </c>
      <c r="G22" s="12">
        <f t="shared" si="59"/>
        <v>1</v>
      </c>
      <c r="H22" s="12">
        <f t="shared" si="59"/>
        <v>1</v>
      </c>
      <c r="I22" s="12">
        <f t="shared" si="59"/>
        <v>1</v>
      </c>
      <c r="J22" s="12">
        <f t="shared" si="59"/>
        <v>1</v>
      </c>
      <c r="K22" s="12">
        <f t="shared" si="59"/>
        <v>1.0333333333333332</v>
      </c>
      <c r="L22" s="12">
        <f t="shared" si="59"/>
        <v>1.0333333333333332</v>
      </c>
      <c r="M22" s="12">
        <f t="shared" si="59"/>
        <v>1.0333333333333332</v>
      </c>
      <c r="N22" s="12">
        <f t="shared" si="59"/>
        <v>0.8</v>
      </c>
      <c r="O22" s="12"/>
      <c r="Q22" s="12">
        <f t="shared" ref="Q22:AB22" si="60">SUM(Q7:Q21)</f>
        <v>1</v>
      </c>
      <c r="R22" s="12">
        <f t="shared" si="60"/>
        <v>1</v>
      </c>
      <c r="S22" s="12">
        <f t="shared" si="60"/>
        <v>1</v>
      </c>
      <c r="T22" s="12">
        <f t="shared" si="60"/>
        <v>1.0000000000000002</v>
      </c>
      <c r="U22" s="12">
        <f t="shared" si="60"/>
        <v>1</v>
      </c>
      <c r="V22" s="12">
        <f t="shared" si="60"/>
        <v>1</v>
      </c>
      <c r="W22" s="12">
        <f t="shared" si="60"/>
        <v>1</v>
      </c>
      <c r="X22" s="12">
        <f t="shared" si="60"/>
        <v>1</v>
      </c>
      <c r="Y22" s="12">
        <f t="shared" si="60"/>
        <v>0.99999999999999978</v>
      </c>
      <c r="Z22" s="12">
        <f t="shared" si="60"/>
        <v>1</v>
      </c>
      <c r="AA22" s="12">
        <f t="shared" si="60"/>
        <v>0.99999999999999989</v>
      </c>
      <c r="AB22" s="12">
        <f t="shared" si="60"/>
        <v>0.99999999999999989</v>
      </c>
      <c r="AC22" s="12"/>
      <c r="AE22" s="12">
        <f>SUM(AE7:AE21)</f>
        <v>0.75564211999999997</v>
      </c>
      <c r="AF22" s="12">
        <f t="shared" ref="AF22:AP22" si="61">SUM(AF7:AF21)</f>
        <v>0.95804844666666655</v>
      </c>
      <c r="AG22" s="12">
        <f t="shared" si="61"/>
        <v>0.90127225133333333</v>
      </c>
      <c r="AH22" s="12">
        <f t="shared" si="61"/>
        <v>0.89027037800000008</v>
      </c>
      <c r="AI22" s="12">
        <f t="shared" si="61"/>
        <v>0.8631208967361701</v>
      </c>
      <c r="AJ22" s="12">
        <f t="shared" si="61"/>
        <v>1.1218390112466667</v>
      </c>
      <c r="AK22" s="12">
        <f t="shared" si="61"/>
        <v>0.88206351800000005</v>
      </c>
      <c r="AL22" s="12">
        <f t="shared" si="61"/>
        <v>0.94901038052340436</v>
      </c>
      <c r="AM22" s="12">
        <f t="shared" si="61"/>
        <v>1.1416808772466667</v>
      </c>
      <c r="AN22" s="12">
        <f t="shared" si="61"/>
        <v>1.1877459130380001</v>
      </c>
      <c r="AO22" s="12">
        <f t="shared" si="61"/>
        <v>1.167560711038</v>
      </c>
      <c r="AP22" s="12">
        <f t="shared" si="61"/>
        <v>0.97028337074180004</v>
      </c>
      <c r="AQ22" s="12"/>
    </row>
    <row r="23" spans="1:43">
      <c r="C23" s="14"/>
      <c r="D23" s="14"/>
      <c r="E23" s="14"/>
      <c r="F23" s="14"/>
    </row>
    <row r="24" spans="1:43">
      <c r="A24" s="17" t="s">
        <v>472</v>
      </c>
      <c r="B24" s="17"/>
      <c r="C24" s="14"/>
      <c r="D24" s="14"/>
      <c r="E24" s="14"/>
      <c r="F24" s="14"/>
    </row>
    <row r="25" spans="1:43">
      <c r="A25" s="13" t="s">
        <v>64</v>
      </c>
      <c r="B25" s="13" t="s">
        <v>64</v>
      </c>
      <c r="C25" s="18">
        <v>176020.36000000002</v>
      </c>
      <c r="D25" s="18">
        <v>241390.07</v>
      </c>
      <c r="E25" s="18">
        <f t="shared" ref="E25:F28" si="62">E$3*E7</f>
        <v>185181.6</v>
      </c>
      <c r="F25" s="18">
        <f t="shared" si="62"/>
        <v>172091.36000000002</v>
      </c>
      <c r="G25" s="19">
        <f t="shared" ref="G25:G28" si="63">$G$3*G7</f>
        <v>155400</v>
      </c>
      <c r="H25" s="19">
        <f t="shared" ref="H25:H28" si="64">$H$3*H7</f>
        <v>229400</v>
      </c>
      <c r="I25" s="19">
        <f t="shared" ref="I25:J28" si="65">I$3*I7</f>
        <v>177600</v>
      </c>
      <c r="J25" s="19">
        <f t="shared" si="65"/>
        <v>175200</v>
      </c>
      <c r="K25" s="265">
        <v>226300</v>
      </c>
      <c r="L25" s="265">
        <v>226300</v>
      </c>
      <c r="M25" s="265">
        <v>226300</v>
      </c>
      <c r="N25" s="265">
        <v>175200</v>
      </c>
      <c r="O25" s="20">
        <f>SUM(C25:N25)</f>
        <v>2366383.39</v>
      </c>
      <c r="Q25" s="265">
        <v>143796.79999999999</v>
      </c>
      <c r="R25" s="265">
        <v>189588</v>
      </c>
      <c r="S25" s="265">
        <v>183477.75</v>
      </c>
      <c r="T25" s="265">
        <v>183546</v>
      </c>
      <c r="U25" s="265">
        <v>180527.25</v>
      </c>
      <c r="V25" s="265">
        <v>224326.5</v>
      </c>
      <c r="W25" s="265">
        <v>181107.6</v>
      </c>
      <c r="X25" s="265">
        <v>193931.07</v>
      </c>
      <c r="Y25" s="265">
        <v>230104.48</v>
      </c>
      <c r="Z25" s="265">
        <v>230908.33</v>
      </c>
      <c r="AA25" s="265">
        <v>230655.56999999998</v>
      </c>
      <c r="AB25" s="265">
        <v>174093.41999999998</v>
      </c>
      <c r="AC25" s="20">
        <f>SUM(Q25:AB25)</f>
        <v>2346062.77</v>
      </c>
      <c r="AD25" s="50"/>
      <c r="AE25" s="265">
        <f t="shared" ref="AE25:AP25" si="66">Q25*1.01</f>
        <v>145234.76799999998</v>
      </c>
      <c r="AF25" s="265">
        <f t="shared" si="66"/>
        <v>191483.88</v>
      </c>
      <c r="AG25" s="265">
        <f t="shared" si="66"/>
        <v>185312.5275</v>
      </c>
      <c r="AH25" s="265">
        <f t="shared" si="66"/>
        <v>185381.46</v>
      </c>
      <c r="AI25" s="265">
        <f t="shared" si="66"/>
        <v>182332.52249999999</v>
      </c>
      <c r="AJ25" s="265">
        <f t="shared" si="66"/>
        <v>226569.76500000001</v>
      </c>
      <c r="AK25" s="265">
        <f t="shared" si="66"/>
        <v>182918.67600000001</v>
      </c>
      <c r="AL25" s="265">
        <f t="shared" si="66"/>
        <v>195870.38070000001</v>
      </c>
      <c r="AM25" s="265">
        <f t="shared" si="66"/>
        <v>232405.52480000001</v>
      </c>
      <c r="AN25" s="265">
        <f t="shared" si="66"/>
        <v>233217.41329999999</v>
      </c>
      <c r="AO25" s="265">
        <f t="shared" si="66"/>
        <v>232962.12569999998</v>
      </c>
      <c r="AP25" s="265">
        <f t="shared" si="66"/>
        <v>175834.35419999997</v>
      </c>
      <c r="AQ25" s="20">
        <f>SUM(AE25:AP25)</f>
        <v>2369523.3976999996</v>
      </c>
    </row>
    <row r="26" spans="1:43">
      <c r="A26" s="13" t="s">
        <v>320</v>
      </c>
      <c r="B26" s="13" t="s">
        <v>65</v>
      </c>
      <c r="C26" s="18">
        <f t="shared" ref="C26:D28" si="67">C$3*C8</f>
        <v>0</v>
      </c>
      <c r="D26" s="18">
        <f t="shared" si="67"/>
        <v>0</v>
      </c>
      <c r="E26" s="18">
        <f t="shared" si="62"/>
        <v>9746.4</v>
      </c>
      <c r="F26" s="18">
        <f t="shared" si="62"/>
        <v>9057.44</v>
      </c>
      <c r="G26" s="19">
        <f t="shared" si="63"/>
        <v>6300</v>
      </c>
      <c r="H26" s="19">
        <f t="shared" si="64"/>
        <v>9300</v>
      </c>
      <c r="I26" s="19">
        <f t="shared" si="65"/>
        <v>7200</v>
      </c>
      <c r="J26" s="19">
        <f t="shared" si="65"/>
        <v>7200</v>
      </c>
      <c r="K26" s="265">
        <v>12400</v>
      </c>
      <c r="L26" s="265">
        <v>12400</v>
      </c>
      <c r="M26" s="265">
        <v>12400</v>
      </c>
      <c r="N26" s="265">
        <v>9600</v>
      </c>
      <c r="O26" s="20">
        <f t="shared" ref="O26:O38" si="68">SUM(C26:N26)</f>
        <v>95603.839999999997</v>
      </c>
      <c r="Q26" s="265">
        <v>1943.2</v>
      </c>
      <c r="R26" s="265">
        <v>2562</v>
      </c>
      <c r="S26" s="265">
        <v>2446.37</v>
      </c>
      <c r="T26" s="265">
        <v>2447.2800000000002</v>
      </c>
      <c r="U26" s="265">
        <v>2407.0300000000002</v>
      </c>
      <c r="V26" s="265">
        <v>2991.02</v>
      </c>
      <c r="W26" s="265">
        <v>2447.4</v>
      </c>
      <c r="X26" s="265">
        <v>2656.59</v>
      </c>
      <c r="Y26" s="265">
        <v>3109.52</v>
      </c>
      <c r="Z26" s="265">
        <v>3252.23</v>
      </c>
      <c r="AA26" s="265">
        <v>3248.67</v>
      </c>
      <c r="AB26" s="265">
        <v>2452.02</v>
      </c>
      <c r="AC26" s="20">
        <f t="shared" ref="AC26:AC38" si="69">SUM(Q26:AB26)</f>
        <v>31963.330000000005</v>
      </c>
      <c r="AD26" s="50"/>
      <c r="AE26" s="265">
        <f t="shared" ref="AE26:AP26" si="70">Q26</f>
        <v>1943.2</v>
      </c>
      <c r="AF26" s="265">
        <f t="shared" si="70"/>
        <v>2562</v>
      </c>
      <c r="AG26" s="265">
        <f t="shared" si="70"/>
        <v>2446.37</v>
      </c>
      <c r="AH26" s="265">
        <f t="shared" si="70"/>
        <v>2447.2800000000002</v>
      </c>
      <c r="AI26" s="265">
        <f t="shared" si="70"/>
        <v>2407.0300000000002</v>
      </c>
      <c r="AJ26" s="265">
        <f t="shared" si="70"/>
        <v>2991.02</v>
      </c>
      <c r="AK26" s="265">
        <f t="shared" si="70"/>
        <v>2447.4</v>
      </c>
      <c r="AL26" s="265">
        <f t="shared" si="70"/>
        <v>2656.59</v>
      </c>
      <c r="AM26" s="265">
        <f t="shared" si="70"/>
        <v>3109.52</v>
      </c>
      <c r="AN26" s="265">
        <f t="shared" si="70"/>
        <v>3252.23</v>
      </c>
      <c r="AO26" s="265">
        <f t="shared" si="70"/>
        <v>3248.67</v>
      </c>
      <c r="AP26" s="265">
        <f t="shared" si="70"/>
        <v>2452.02</v>
      </c>
      <c r="AQ26" s="20">
        <f t="shared" ref="AQ26:AQ38" si="71">SUM(AE26:AP26)</f>
        <v>31963.330000000005</v>
      </c>
    </row>
    <row r="27" spans="1:43">
      <c r="A27" s="13" t="s">
        <v>265</v>
      </c>
      <c r="B27" s="13" t="s">
        <v>65</v>
      </c>
      <c r="C27" s="18">
        <f t="shared" si="67"/>
        <v>0</v>
      </c>
      <c r="D27" s="18">
        <f t="shared" si="67"/>
        <v>0</v>
      </c>
      <c r="E27" s="18">
        <f t="shared" si="62"/>
        <v>7309.8</v>
      </c>
      <c r="F27" s="18">
        <f t="shared" si="62"/>
        <v>6793.08</v>
      </c>
      <c r="G27" s="19">
        <f t="shared" si="63"/>
        <v>10500</v>
      </c>
      <c r="H27" s="19">
        <f t="shared" si="64"/>
        <v>15500</v>
      </c>
      <c r="I27" s="19">
        <f t="shared" si="65"/>
        <v>12000</v>
      </c>
      <c r="J27" s="19">
        <f t="shared" si="65"/>
        <v>12000</v>
      </c>
      <c r="K27" s="265">
        <v>9300</v>
      </c>
      <c r="L27" s="265">
        <v>9300</v>
      </c>
      <c r="M27" s="265">
        <v>9300</v>
      </c>
      <c r="N27" s="265">
        <v>7200</v>
      </c>
      <c r="O27" s="20">
        <f t="shared" si="68"/>
        <v>99202.880000000005</v>
      </c>
      <c r="Q27" s="265">
        <v>9716</v>
      </c>
      <c r="R27" s="265">
        <v>12810</v>
      </c>
      <c r="S27" s="265">
        <v>12231.85</v>
      </c>
      <c r="T27" s="265">
        <v>12236.400000000001</v>
      </c>
      <c r="U27" s="265">
        <v>9628.1200000000008</v>
      </c>
      <c r="V27" s="265">
        <v>11964.08</v>
      </c>
      <c r="W27" s="265">
        <v>12237</v>
      </c>
      <c r="X27" s="265">
        <v>15939.539999999999</v>
      </c>
      <c r="Y27" s="265">
        <v>15547.6</v>
      </c>
      <c r="Z27" s="265">
        <v>22765.61</v>
      </c>
      <c r="AA27" s="265">
        <v>22740.690000000002</v>
      </c>
      <c r="AB27" s="265">
        <v>17164.140000000003</v>
      </c>
      <c r="AC27" s="20">
        <f t="shared" si="69"/>
        <v>174981.03000000003</v>
      </c>
      <c r="AD27" s="50"/>
      <c r="AE27" s="265">
        <f>AB27</f>
        <v>17164.140000000003</v>
      </c>
      <c r="AF27" s="265">
        <f>AE27*1.1</f>
        <v>18880.554000000004</v>
      </c>
      <c r="AG27" s="265">
        <f>AF27*1.1</f>
        <v>20768.609400000005</v>
      </c>
      <c r="AH27" s="265">
        <f>AG27</f>
        <v>20768.609400000005</v>
      </c>
      <c r="AI27" s="265">
        <f>AH27*1.1</f>
        <v>22845.470340000007</v>
      </c>
      <c r="AJ27" s="265">
        <f>AI27*1.1</f>
        <v>25130.01737400001</v>
      </c>
      <c r="AK27" s="265">
        <f>AH27</f>
        <v>20768.609400000005</v>
      </c>
      <c r="AL27" s="265">
        <f>AK27*1.1</f>
        <v>22845.470340000007</v>
      </c>
      <c r="AM27" s="265">
        <f>AL27*1.1</f>
        <v>25130.01737400001</v>
      </c>
      <c r="AN27" s="265">
        <f>AM27*1.1</f>
        <v>27643.019111400012</v>
      </c>
      <c r="AO27" s="265">
        <f>AN27</f>
        <v>27643.019111400012</v>
      </c>
      <c r="AP27" s="265">
        <f>AO27*1.1</f>
        <v>30407.321022540014</v>
      </c>
      <c r="AQ27" s="20">
        <f t="shared" si="71"/>
        <v>279994.85687334009</v>
      </c>
    </row>
    <row r="28" spans="1:43">
      <c r="A28" s="13" t="s">
        <v>236</v>
      </c>
      <c r="B28" s="13" t="s">
        <v>65</v>
      </c>
      <c r="C28" s="18">
        <f t="shared" si="67"/>
        <v>0</v>
      </c>
      <c r="D28" s="18">
        <f t="shared" si="67"/>
        <v>0</v>
      </c>
      <c r="E28" s="18">
        <f t="shared" si="62"/>
        <v>14619.6</v>
      </c>
      <c r="F28" s="18">
        <f t="shared" si="62"/>
        <v>13586.16</v>
      </c>
      <c r="G28" s="19">
        <f t="shared" si="63"/>
        <v>16800</v>
      </c>
      <c r="H28" s="19">
        <f t="shared" si="64"/>
        <v>24800</v>
      </c>
      <c r="I28" s="19">
        <f t="shared" si="65"/>
        <v>19200</v>
      </c>
      <c r="J28" s="19">
        <f t="shared" si="65"/>
        <v>21600</v>
      </c>
      <c r="K28" s="265">
        <v>31000</v>
      </c>
      <c r="L28" s="265">
        <v>31000</v>
      </c>
      <c r="M28" s="265">
        <v>31000</v>
      </c>
      <c r="N28" s="265">
        <v>24000</v>
      </c>
      <c r="O28" s="20">
        <f t="shared" si="68"/>
        <v>227605.76000000001</v>
      </c>
      <c r="Q28" s="265">
        <v>18250</v>
      </c>
      <c r="R28" s="265">
        <v>33500</v>
      </c>
      <c r="S28" s="265">
        <v>25200</v>
      </c>
      <c r="T28" s="265">
        <v>22500</v>
      </c>
      <c r="U28" s="265">
        <v>21276.595744680853</v>
      </c>
      <c r="V28" s="265">
        <v>38525</v>
      </c>
      <c r="W28" s="265">
        <v>22500</v>
      </c>
      <c r="X28" s="265">
        <v>25531.914893617024</v>
      </c>
      <c r="Y28" s="265">
        <v>38524.9</v>
      </c>
      <c r="Z28" s="265">
        <v>46229.88</v>
      </c>
      <c r="AA28" s="265">
        <v>41606.892</v>
      </c>
      <c r="AB28" s="265">
        <v>41606.892</v>
      </c>
      <c r="AC28" s="20">
        <f t="shared" si="69"/>
        <v>375252.07463829784</v>
      </c>
      <c r="AD28" s="50"/>
      <c r="AE28" s="265">
        <v>36500</v>
      </c>
      <c r="AF28" s="265">
        <f>R28*1.3</f>
        <v>43550</v>
      </c>
      <c r="AG28" s="265">
        <f t="shared" ref="AG28:AP28" si="72">S28*1.25</f>
        <v>31500</v>
      </c>
      <c r="AH28" s="265">
        <f t="shared" si="72"/>
        <v>28125</v>
      </c>
      <c r="AI28" s="265">
        <f t="shared" si="72"/>
        <v>26595.744680851065</v>
      </c>
      <c r="AJ28" s="265">
        <f t="shared" si="72"/>
        <v>48156.25</v>
      </c>
      <c r="AK28" s="265">
        <f t="shared" si="72"/>
        <v>28125</v>
      </c>
      <c r="AL28" s="265">
        <f t="shared" si="72"/>
        <v>31914.89361702128</v>
      </c>
      <c r="AM28" s="265">
        <f t="shared" si="72"/>
        <v>48156.125</v>
      </c>
      <c r="AN28" s="265">
        <f t="shared" si="72"/>
        <v>57787.35</v>
      </c>
      <c r="AO28" s="265">
        <f t="shared" si="72"/>
        <v>52008.614999999998</v>
      </c>
      <c r="AP28" s="265">
        <f t="shared" si="72"/>
        <v>52008.614999999998</v>
      </c>
      <c r="AQ28" s="20">
        <f t="shared" si="71"/>
        <v>484427.59329787228</v>
      </c>
    </row>
    <row r="29" spans="1:43">
      <c r="A29" s="13" t="s">
        <v>263</v>
      </c>
      <c r="B29" s="13" t="s">
        <v>65</v>
      </c>
      <c r="C29" s="18">
        <f t="shared" ref="C29:F36" si="73">C$3*C11</f>
        <v>0</v>
      </c>
      <c r="D29" s="18">
        <f t="shared" si="73"/>
        <v>0</v>
      </c>
      <c r="E29" s="18">
        <f t="shared" si="73"/>
        <v>14619.6</v>
      </c>
      <c r="F29" s="18">
        <f t="shared" si="73"/>
        <v>13586.16</v>
      </c>
      <c r="G29" s="19">
        <f t="shared" ref="G29:G38" si="74">$G$3*G11</f>
        <v>12600</v>
      </c>
      <c r="H29" s="19">
        <f t="shared" ref="H29:H36" si="75">$H$3*H11</f>
        <v>18600</v>
      </c>
      <c r="I29" s="19">
        <f t="shared" ref="I29:J36" si="76">I$3*I11</f>
        <v>14400</v>
      </c>
      <c r="J29" s="19">
        <f t="shared" si="76"/>
        <v>14400</v>
      </c>
      <c r="K29" s="265">
        <v>18600</v>
      </c>
      <c r="L29" s="265">
        <v>18600</v>
      </c>
      <c r="M29" s="265">
        <v>18600</v>
      </c>
      <c r="N29" s="265">
        <v>14400</v>
      </c>
      <c r="O29" s="20">
        <f t="shared" si="68"/>
        <v>158405.76000000001</v>
      </c>
      <c r="Q29" s="265">
        <v>13602.400000000001</v>
      </c>
      <c r="R29" s="265">
        <v>17934</v>
      </c>
      <c r="S29" s="265">
        <v>17124.59</v>
      </c>
      <c r="T29" s="265">
        <v>17130.960000000003</v>
      </c>
      <c r="U29" s="265">
        <v>16849.210000000003</v>
      </c>
      <c r="V29" s="265">
        <v>17946.12</v>
      </c>
      <c r="W29" s="265">
        <v>14684.4</v>
      </c>
      <c r="X29" s="265">
        <v>18596.13</v>
      </c>
      <c r="Y29" s="265">
        <v>21766.640000000003</v>
      </c>
      <c r="Z29" s="265">
        <v>22765.61</v>
      </c>
      <c r="AA29" s="265">
        <v>22740.690000000002</v>
      </c>
      <c r="AB29" s="265">
        <v>17164.140000000003</v>
      </c>
      <c r="AC29" s="20">
        <f t="shared" si="69"/>
        <v>218304.89</v>
      </c>
      <c r="AD29" s="50"/>
      <c r="AE29" s="265">
        <v>18000</v>
      </c>
      <c r="AF29" s="265">
        <v>18000</v>
      </c>
      <c r="AG29" s="265">
        <v>18000</v>
      </c>
      <c r="AH29" s="265">
        <v>18000</v>
      </c>
      <c r="AI29" s="265">
        <v>12600</v>
      </c>
      <c r="AJ29" s="265">
        <v>18600</v>
      </c>
      <c r="AK29" s="265">
        <v>18000</v>
      </c>
      <c r="AL29" s="265">
        <v>18000</v>
      </c>
      <c r="AM29" s="265">
        <v>18000</v>
      </c>
      <c r="AN29" s="265">
        <v>18000</v>
      </c>
      <c r="AO29" s="265">
        <v>18000</v>
      </c>
      <c r="AP29" s="265">
        <v>18000</v>
      </c>
      <c r="AQ29" s="20">
        <f t="shared" si="71"/>
        <v>211200</v>
      </c>
    </row>
    <row r="30" spans="1:43">
      <c r="A30" s="13" t="s">
        <v>292</v>
      </c>
      <c r="B30" s="13" t="s">
        <v>66</v>
      </c>
      <c r="C30" s="18">
        <f t="shared" si="73"/>
        <v>0</v>
      </c>
      <c r="D30" s="18">
        <f t="shared" si="73"/>
        <v>0</v>
      </c>
      <c r="E30" s="18">
        <f t="shared" si="73"/>
        <v>0</v>
      </c>
      <c r="F30" s="18">
        <f t="shared" si="73"/>
        <v>0</v>
      </c>
      <c r="G30" s="19">
        <f t="shared" si="74"/>
        <v>0</v>
      </c>
      <c r="H30" s="19">
        <f t="shared" si="75"/>
        <v>0</v>
      </c>
      <c r="I30" s="19">
        <f t="shared" si="76"/>
        <v>0</v>
      </c>
      <c r="J30" s="19">
        <f t="shared" si="76"/>
        <v>0</v>
      </c>
      <c r="K30" s="265">
        <v>0</v>
      </c>
      <c r="L30" s="265">
        <v>0</v>
      </c>
      <c r="M30" s="265">
        <v>0</v>
      </c>
      <c r="N30" s="265">
        <v>0</v>
      </c>
      <c r="O30" s="20">
        <f t="shared" si="68"/>
        <v>0</v>
      </c>
      <c r="Q30" s="265">
        <v>0</v>
      </c>
      <c r="R30" s="265">
        <v>0</v>
      </c>
      <c r="S30" s="265">
        <v>0</v>
      </c>
      <c r="T30" s="265">
        <v>0</v>
      </c>
      <c r="U30" s="265">
        <v>0</v>
      </c>
      <c r="V30" s="265">
        <v>0</v>
      </c>
      <c r="W30" s="265">
        <v>0</v>
      </c>
      <c r="X30" s="265">
        <v>0</v>
      </c>
      <c r="Y30" s="265">
        <v>0</v>
      </c>
      <c r="Z30" s="265">
        <v>0</v>
      </c>
      <c r="AA30" s="265">
        <v>0</v>
      </c>
      <c r="AB30" s="265">
        <v>0</v>
      </c>
      <c r="AC30" s="20">
        <f t="shared" si="69"/>
        <v>0</v>
      </c>
      <c r="AE30" s="265">
        <v>0</v>
      </c>
      <c r="AF30" s="265">
        <v>0</v>
      </c>
      <c r="AG30" s="265">
        <v>0</v>
      </c>
      <c r="AH30" s="265">
        <v>0</v>
      </c>
      <c r="AI30" s="265">
        <v>0</v>
      </c>
      <c r="AJ30" s="265">
        <v>0</v>
      </c>
      <c r="AK30" s="265">
        <v>0</v>
      </c>
      <c r="AL30" s="265">
        <v>0</v>
      </c>
      <c r="AM30" s="265">
        <v>0</v>
      </c>
      <c r="AN30" s="265">
        <v>0</v>
      </c>
      <c r="AO30" s="265">
        <v>0</v>
      </c>
      <c r="AP30" s="265">
        <v>0</v>
      </c>
      <c r="AQ30" s="20">
        <f t="shared" si="71"/>
        <v>0</v>
      </c>
    </row>
    <row r="31" spans="1:43">
      <c r="A31" s="13" t="s">
        <v>255</v>
      </c>
      <c r="B31" s="13" t="s">
        <v>66</v>
      </c>
      <c r="C31" s="18">
        <f t="shared" si="73"/>
        <v>0</v>
      </c>
      <c r="D31" s="18">
        <f t="shared" si="73"/>
        <v>0</v>
      </c>
      <c r="E31" s="18">
        <f t="shared" si="73"/>
        <v>0</v>
      </c>
      <c r="F31" s="18">
        <f t="shared" si="73"/>
        <v>0</v>
      </c>
      <c r="G31" s="19">
        <f t="shared" si="74"/>
        <v>0</v>
      </c>
      <c r="H31" s="19">
        <f t="shared" si="75"/>
        <v>0</v>
      </c>
      <c r="I31" s="19">
        <f t="shared" si="76"/>
        <v>0</v>
      </c>
      <c r="J31" s="19">
        <f t="shared" si="76"/>
        <v>0</v>
      </c>
      <c r="K31" s="265">
        <v>0</v>
      </c>
      <c r="L31" s="265">
        <v>0</v>
      </c>
      <c r="M31" s="265">
        <v>0</v>
      </c>
      <c r="N31" s="265">
        <v>0</v>
      </c>
      <c r="O31" s="20">
        <f t="shared" si="68"/>
        <v>0</v>
      </c>
      <c r="Q31" s="265">
        <v>0</v>
      </c>
      <c r="R31" s="265">
        <v>0</v>
      </c>
      <c r="S31" s="265">
        <v>0</v>
      </c>
      <c r="T31" s="265">
        <v>0</v>
      </c>
      <c r="U31" s="265">
        <v>0</v>
      </c>
      <c r="V31" s="265">
        <v>0</v>
      </c>
      <c r="W31" s="265">
        <v>0</v>
      </c>
      <c r="X31" s="265">
        <v>0</v>
      </c>
      <c r="Y31" s="265">
        <v>0</v>
      </c>
      <c r="Z31" s="265">
        <v>0</v>
      </c>
      <c r="AA31" s="265">
        <v>0</v>
      </c>
      <c r="AB31" s="265">
        <v>0</v>
      </c>
      <c r="AC31" s="20">
        <f t="shared" si="69"/>
        <v>0</v>
      </c>
      <c r="AE31" s="265">
        <v>0</v>
      </c>
      <c r="AF31" s="265">
        <v>0</v>
      </c>
      <c r="AG31" s="265">
        <v>0</v>
      </c>
      <c r="AH31" s="265">
        <v>0</v>
      </c>
      <c r="AI31" s="265">
        <v>0</v>
      </c>
      <c r="AJ31" s="265">
        <v>0</v>
      </c>
      <c r="AK31" s="265">
        <v>0</v>
      </c>
      <c r="AL31" s="265">
        <v>0</v>
      </c>
      <c r="AM31" s="265">
        <v>0</v>
      </c>
      <c r="AN31" s="265">
        <v>0</v>
      </c>
      <c r="AO31" s="265">
        <v>0</v>
      </c>
      <c r="AP31" s="265">
        <v>0</v>
      </c>
      <c r="AQ31" s="20">
        <f t="shared" si="71"/>
        <v>0</v>
      </c>
    </row>
    <row r="32" spans="1:43">
      <c r="A32" s="13" t="s">
        <v>398</v>
      </c>
      <c r="B32" s="13" t="s">
        <v>66</v>
      </c>
      <c r="C32" s="18">
        <f t="shared" si="73"/>
        <v>0</v>
      </c>
      <c r="D32" s="18">
        <f t="shared" si="73"/>
        <v>0</v>
      </c>
      <c r="E32" s="18">
        <f t="shared" si="73"/>
        <v>0</v>
      </c>
      <c r="F32" s="18">
        <f t="shared" si="73"/>
        <v>0</v>
      </c>
      <c r="G32" s="19">
        <f t="shared" si="74"/>
        <v>0</v>
      </c>
      <c r="H32" s="19">
        <f t="shared" si="75"/>
        <v>0</v>
      </c>
      <c r="I32" s="19">
        <f t="shared" si="76"/>
        <v>0</v>
      </c>
      <c r="J32" s="19">
        <f t="shared" si="76"/>
        <v>0</v>
      </c>
      <c r="K32" s="265">
        <v>0</v>
      </c>
      <c r="L32" s="265">
        <v>0</v>
      </c>
      <c r="M32" s="265">
        <v>0</v>
      </c>
      <c r="N32" s="265">
        <v>0</v>
      </c>
      <c r="O32" s="20">
        <f t="shared" si="68"/>
        <v>0</v>
      </c>
      <c r="Q32" s="265">
        <v>0</v>
      </c>
      <c r="R32" s="265">
        <v>0</v>
      </c>
      <c r="S32" s="265">
        <v>0</v>
      </c>
      <c r="T32" s="265">
        <v>0</v>
      </c>
      <c r="U32" s="265">
        <v>0</v>
      </c>
      <c r="V32" s="265">
        <v>0</v>
      </c>
      <c r="W32" s="265">
        <v>0</v>
      </c>
      <c r="X32" s="265">
        <v>0</v>
      </c>
      <c r="Y32" s="265">
        <v>0</v>
      </c>
      <c r="Z32" s="265">
        <v>0</v>
      </c>
      <c r="AA32" s="265">
        <v>0</v>
      </c>
      <c r="AB32" s="265">
        <v>0</v>
      </c>
      <c r="AC32" s="20">
        <f t="shared" si="69"/>
        <v>0</v>
      </c>
      <c r="AE32" s="265">
        <v>0</v>
      </c>
      <c r="AF32" s="265">
        <v>0</v>
      </c>
      <c r="AG32" s="265">
        <v>0</v>
      </c>
      <c r="AH32" s="265">
        <v>0</v>
      </c>
      <c r="AI32" s="265">
        <v>0</v>
      </c>
      <c r="AJ32" s="265">
        <v>0</v>
      </c>
      <c r="AK32" s="265">
        <v>0</v>
      </c>
      <c r="AL32" s="265">
        <v>0</v>
      </c>
      <c r="AM32" s="265">
        <v>0</v>
      </c>
      <c r="AN32" s="265">
        <v>0</v>
      </c>
      <c r="AO32" s="265">
        <v>0</v>
      </c>
      <c r="AP32" s="265">
        <v>0</v>
      </c>
      <c r="AQ32" s="20">
        <f t="shared" si="71"/>
        <v>0</v>
      </c>
    </row>
    <row r="33" spans="1:43">
      <c r="A33" s="13" t="s">
        <v>274</v>
      </c>
      <c r="B33" s="13" t="s">
        <v>66</v>
      </c>
      <c r="C33" s="18">
        <f t="shared" si="73"/>
        <v>0</v>
      </c>
      <c r="D33" s="18">
        <f t="shared" si="73"/>
        <v>0</v>
      </c>
      <c r="E33" s="18">
        <f t="shared" si="73"/>
        <v>0</v>
      </c>
      <c r="F33" s="18">
        <f t="shared" si="73"/>
        <v>0</v>
      </c>
      <c r="G33" s="19">
        <f t="shared" si="74"/>
        <v>0</v>
      </c>
      <c r="H33" s="19">
        <f t="shared" si="75"/>
        <v>0</v>
      </c>
      <c r="I33" s="19">
        <f t="shared" si="76"/>
        <v>0</v>
      </c>
      <c r="J33" s="19">
        <f t="shared" si="76"/>
        <v>0</v>
      </c>
      <c r="K33" s="265">
        <v>0</v>
      </c>
      <c r="L33" s="265">
        <v>0</v>
      </c>
      <c r="M33" s="265">
        <v>0</v>
      </c>
      <c r="N33" s="265">
        <v>0</v>
      </c>
      <c r="O33" s="20">
        <f t="shared" si="68"/>
        <v>0</v>
      </c>
      <c r="Q33" s="265">
        <v>0</v>
      </c>
      <c r="R33" s="265">
        <v>0</v>
      </c>
      <c r="S33" s="265">
        <v>0</v>
      </c>
      <c r="T33" s="265">
        <v>0</v>
      </c>
      <c r="U33" s="265">
        <v>0</v>
      </c>
      <c r="V33" s="265">
        <v>0</v>
      </c>
      <c r="W33" s="265">
        <v>0</v>
      </c>
      <c r="X33" s="265">
        <v>0</v>
      </c>
      <c r="Y33" s="265">
        <v>0</v>
      </c>
      <c r="Z33" s="265">
        <v>0</v>
      </c>
      <c r="AA33" s="265">
        <v>0</v>
      </c>
      <c r="AB33" s="265">
        <v>0</v>
      </c>
      <c r="AC33" s="20">
        <f t="shared" si="69"/>
        <v>0</v>
      </c>
      <c r="AE33" s="265">
        <v>0</v>
      </c>
      <c r="AF33" s="265">
        <v>0</v>
      </c>
      <c r="AG33" s="265">
        <v>0</v>
      </c>
      <c r="AH33" s="265">
        <v>0</v>
      </c>
      <c r="AI33" s="265">
        <v>0</v>
      </c>
      <c r="AJ33" s="265">
        <v>0</v>
      </c>
      <c r="AK33" s="265">
        <v>0</v>
      </c>
      <c r="AL33" s="265">
        <v>0</v>
      </c>
      <c r="AM33" s="265">
        <v>0</v>
      </c>
      <c r="AN33" s="265">
        <v>0</v>
      </c>
      <c r="AO33" s="265">
        <v>0</v>
      </c>
      <c r="AP33" s="265">
        <v>0</v>
      </c>
      <c r="AQ33" s="20">
        <f t="shared" si="71"/>
        <v>0</v>
      </c>
    </row>
    <row r="34" spans="1:43">
      <c r="A34" s="13" t="s">
        <v>311</v>
      </c>
      <c r="B34" s="13" t="s">
        <v>66</v>
      </c>
      <c r="C34" s="18">
        <f t="shared" si="73"/>
        <v>0</v>
      </c>
      <c r="D34" s="18">
        <f t="shared" si="73"/>
        <v>0</v>
      </c>
      <c r="E34" s="18">
        <f t="shared" si="73"/>
        <v>0</v>
      </c>
      <c r="F34" s="18">
        <f t="shared" si="73"/>
        <v>0</v>
      </c>
      <c r="G34" s="19">
        <f t="shared" si="74"/>
        <v>0</v>
      </c>
      <c r="H34" s="19">
        <f t="shared" si="75"/>
        <v>0</v>
      </c>
      <c r="I34" s="19">
        <f t="shared" si="76"/>
        <v>0</v>
      </c>
      <c r="J34" s="19">
        <f t="shared" si="76"/>
        <v>0</v>
      </c>
      <c r="K34" s="265">
        <v>0</v>
      </c>
      <c r="L34" s="265">
        <v>0</v>
      </c>
      <c r="M34" s="265">
        <v>0</v>
      </c>
      <c r="N34" s="265">
        <v>0</v>
      </c>
      <c r="O34" s="20">
        <f t="shared" si="68"/>
        <v>0</v>
      </c>
      <c r="Q34" s="265">
        <v>0</v>
      </c>
      <c r="R34" s="265">
        <v>0</v>
      </c>
      <c r="S34" s="265">
        <v>0</v>
      </c>
      <c r="T34" s="265">
        <v>0</v>
      </c>
      <c r="U34" s="265">
        <v>0</v>
      </c>
      <c r="V34" s="265">
        <v>0</v>
      </c>
      <c r="W34" s="265">
        <v>0</v>
      </c>
      <c r="X34" s="265">
        <v>0</v>
      </c>
      <c r="Y34" s="265">
        <v>0</v>
      </c>
      <c r="Z34" s="265">
        <v>0</v>
      </c>
      <c r="AA34" s="265">
        <v>0</v>
      </c>
      <c r="AB34" s="265">
        <v>0</v>
      </c>
      <c r="AC34" s="20">
        <f t="shared" si="69"/>
        <v>0</v>
      </c>
      <c r="AE34" s="265">
        <v>0</v>
      </c>
      <c r="AF34" s="265">
        <v>0</v>
      </c>
      <c r="AG34" s="265">
        <v>0</v>
      </c>
      <c r="AH34" s="265">
        <v>0</v>
      </c>
      <c r="AI34" s="265">
        <v>0</v>
      </c>
      <c r="AJ34" s="265">
        <v>0</v>
      </c>
      <c r="AK34" s="265">
        <v>0</v>
      </c>
      <c r="AL34" s="265">
        <v>0</v>
      </c>
      <c r="AM34" s="265">
        <v>0</v>
      </c>
      <c r="AN34" s="265">
        <v>0</v>
      </c>
      <c r="AO34" s="265">
        <v>0</v>
      </c>
      <c r="AP34" s="265">
        <v>0</v>
      </c>
      <c r="AQ34" s="20">
        <f t="shared" si="71"/>
        <v>0</v>
      </c>
    </row>
    <row r="35" spans="1:43">
      <c r="C35" s="18">
        <f t="shared" si="73"/>
        <v>0</v>
      </c>
      <c r="D35" s="18">
        <f t="shared" si="73"/>
        <v>0</v>
      </c>
      <c r="E35" s="18">
        <f t="shared" si="73"/>
        <v>0</v>
      </c>
      <c r="F35" s="18">
        <f t="shared" si="73"/>
        <v>0</v>
      </c>
      <c r="G35" s="19">
        <f t="shared" si="74"/>
        <v>0</v>
      </c>
      <c r="H35" s="19">
        <f t="shared" si="75"/>
        <v>0</v>
      </c>
      <c r="I35" s="19">
        <f t="shared" si="76"/>
        <v>0</v>
      </c>
      <c r="J35" s="19">
        <f t="shared" si="76"/>
        <v>0</v>
      </c>
      <c r="K35" s="265">
        <v>0</v>
      </c>
      <c r="L35" s="265">
        <v>0</v>
      </c>
      <c r="M35" s="265">
        <v>0</v>
      </c>
      <c r="N35" s="265">
        <v>0</v>
      </c>
      <c r="O35" s="20">
        <f t="shared" si="68"/>
        <v>0</v>
      </c>
      <c r="Q35" s="265">
        <v>0</v>
      </c>
      <c r="R35" s="265">
        <v>0</v>
      </c>
      <c r="S35" s="265">
        <v>0</v>
      </c>
      <c r="T35" s="265">
        <v>0</v>
      </c>
      <c r="U35" s="265">
        <v>0</v>
      </c>
      <c r="V35" s="265">
        <v>0</v>
      </c>
      <c r="W35" s="265">
        <v>0</v>
      </c>
      <c r="X35" s="265">
        <v>0</v>
      </c>
      <c r="Y35" s="265">
        <v>0</v>
      </c>
      <c r="Z35" s="265">
        <v>0</v>
      </c>
      <c r="AA35" s="265">
        <v>0</v>
      </c>
      <c r="AB35" s="265">
        <v>0</v>
      </c>
      <c r="AC35" s="20">
        <f t="shared" si="69"/>
        <v>0</v>
      </c>
      <c r="AE35" s="265">
        <v>0</v>
      </c>
      <c r="AF35" s="265">
        <v>0</v>
      </c>
      <c r="AG35" s="265">
        <v>0</v>
      </c>
      <c r="AH35" s="265">
        <v>0</v>
      </c>
      <c r="AI35" s="265">
        <v>0</v>
      </c>
      <c r="AJ35" s="265">
        <v>0</v>
      </c>
      <c r="AK35" s="265">
        <v>0</v>
      </c>
      <c r="AL35" s="265">
        <v>0</v>
      </c>
      <c r="AM35" s="265">
        <v>0</v>
      </c>
      <c r="AN35" s="265">
        <v>0</v>
      </c>
      <c r="AO35" s="265">
        <v>0</v>
      </c>
      <c r="AP35" s="265">
        <v>0</v>
      </c>
      <c r="AQ35" s="20">
        <f t="shared" si="71"/>
        <v>0</v>
      </c>
    </row>
    <row r="36" spans="1:43">
      <c r="A36" s="13" t="s">
        <v>400</v>
      </c>
      <c r="B36" s="13" t="s">
        <v>65</v>
      </c>
      <c r="C36" s="18">
        <f t="shared" si="73"/>
        <v>0</v>
      </c>
      <c r="D36" s="18">
        <f t="shared" si="73"/>
        <v>0</v>
      </c>
      <c r="E36" s="18">
        <f t="shared" si="73"/>
        <v>0</v>
      </c>
      <c r="F36" s="18">
        <f t="shared" si="73"/>
        <v>0</v>
      </c>
      <c r="G36" s="19">
        <f t="shared" si="74"/>
        <v>0</v>
      </c>
      <c r="H36" s="19">
        <f t="shared" si="75"/>
        <v>0</v>
      </c>
      <c r="I36" s="19">
        <f t="shared" si="76"/>
        <v>0</v>
      </c>
      <c r="J36" s="19">
        <f t="shared" si="76"/>
        <v>0</v>
      </c>
      <c r="K36" s="265">
        <v>0</v>
      </c>
      <c r="L36" s="265">
        <v>0</v>
      </c>
      <c r="M36" s="265">
        <v>0</v>
      </c>
      <c r="N36" s="265">
        <v>0</v>
      </c>
      <c r="O36" s="20">
        <f t="shared" si="68"/>
        <v>0</v>
      </c>
      <c r="Q36" s="265">
        <v>1554.56</v>
      </c>
      <c r="R36" s="265">
        <v>2562</v>
      </c>
      <c r="S36" s="265">
        <v>2446.37</v>
      </c>
      <c r="T36" s="265">
        <v>2447.2800000000002</v>
      </c>
      <c r="U36" s="265">
        <v>2407.0300000000002</v>
      </c>
      <c r="V36" s="265">
        <v>2991.02</v>
      </c>
      <c r="W36" s="265">
        <v>2447.4</v>
      </c>
      <c r="X36" s="265">
        <v>2656.59</v>
      </c>
      <c r="Y36" s="265">
        <v>3109.52</v>
      </c>
      <c r="Z36" s="265">
        <v>3252.23</v>
      </c>
      <c r="AA36" s="265">
        <v>3248.67</v>
      </c>
      <c r="AB36" s="265">
        <v>2452.02</v>
      </c>
      <c r="AC36" s="20">
        <f t="shared" si="69"/>
        <v>31574.69</v>
      </c>
      <c r="AE36" s="265">
        <f t="shared" ref="AE36:AP36" si="77">Q36*1.05</f>
        <v>1632.288</v>
      </c>
      <c r="AF36" s="265">
        <f t="shared" si="77"/>
        <v>2690.1</v>
      </c>
      <c r="AG36" s="265">
        <f t="shared" si="77"/>
        <v>2568.6885000000002</v>
      </c>
      <c r="AH36" s="265">
        <f t="shared" si="77"/>
        <v>2569.6440000000002</v>
      </c>
      <c r="AI36" s="265">
        <f t="shared" si="77"/>
        <v>2527.3815000000004</v>
      </c>
      <c r="AJ36" s="265">
        <f t="shared" si="77"/>
        <v>3140.5709999999999</v>
      </c>
      <c r="AK36" s="265">
        <f t="shared" si="77"/>
        <v>2569.77</v>
      </c>
      <c r="AL36" s="265">
        <f t="shared" si="77"/>
        <v>2789.4195000000004</v>
      </c>
      <c r="AM36" s="265">
        <f t="shared" si="77"/>
        <v>3264.9960000000001</v>
      </c>
      <c r="AN36" s="265">
        <f t="shared" si="77"/>
        <v>3414.8415</v>
      </c>
      <c r="AO36" s="265">
        <f t="shared" si="77"/>
        <v>3411.1035000000002</v>
      </c>
      <c r="AP36" s="265">
        <f t="shared" si="77"/>
        <v>2574.6210000000001</v>
      </c>
      <c r="AQ36" s="20">
        <f t="shared" si="71"/>
        <v>33153.424500000001</v>
      </c>
    </row>
    <row r="37" spans="1:43">
      <c r="A37" s="13" t="s">
        <v>401</v>
      </c>
      <c r="B37" s="13" t="s">
        <v>67</v>
      </c>
      <c r="C37" s="18">
        <f t="shared" ref="C37:J37" si="78">C$3*C19</f>
        <v>0</v>
      </c>
      <c r="D37" s="18">
        <f t="shared" si="78"/>
        <v>0</v>
      </c>
      <c r="E37" s="18">
        <f t="shared" si="78"/>
        <v>12183</v>
      </c>
      <c r="F37" s="18">
        <f t="shared" si="78"/>
        <v>11321.800000000001</v>
      </c>
      <c r="G37" s="19">
        <f t="shared" si="74"/>
        <v>8400</v>
      </c>
      <c r="H37" s="19">
        <f t="shared" ref="H37:H38" si="79">$H$3*H19</f>
        <v>12400</v>
      </c>
      <c r="I37" s="19">
        <f t="shared" si="78"/>
        <v>9600</v>
      </c>
      <c r="J37" s="19">
        <f t="shared" si="78"/>
        <v>9600</v>
      </c>
      <c r="K37" s="265">
        <v>12400</v>
      </c>
      <c r="L37" s="265">
        <v>12400</v>
      </c>
      <c r="M37" s="265">
        <v>12400</v>
      </c>
      <c r="N37" s="265">
        <v>9600</v>
      </c>
      <c r="O37" s="20">
        <f t="shared" si="68"/>
        <v>110304.8</v>
      </c>
      <c r="Q37" s="265">
        <v>6218.24</v>
      </c>
      <c r="R37" s="265">
        <v>10248</v>
      </c>
      <c r="S37" s="265">
        <v>9785.48</v>
      </c>
      <c r="T37" s="265">
        <v>9789.1200000000008</v>
      </c>
      <c r="U37" s="265">
        <v>9628.1200000000008</v>
      </c>
      <c r="V37" s="265">
        <v>11964.08</v>
      </c>
      <c r="W37" s="265">
        <v>9789.6</v>
      </c>
      <c r="X37" s="265">
        <v>10626.36</v>
      </c>
      <c r="Y37" s="265">
        <v>12438.08</v>
      </c>
      <c r="Z37" s="265">
        <v>13008.92</v>
      </c>
      <c r="AA37" s="265">
        <v>12994.68</v>
      </c>
      <c r="AB37" s="265">
        <v>9808.08</v>
      </c>
      <c r="AC37" s="20">
        <f t="shared" si="69"/>
        <v>126298.76</v>
      </c>
      <c r="AE37" s="265">
        <f t="shared" ref="AE37:AP37" si="80">Q37</f>
        <v>6218.24</v>
      </c>
      <c r="AF37" s="265">
        <f t="shared" si="80"/>
        <v>10248</v>
      </c>
      <c r="AG37" s="265">
        <f t="shared" si="80"/>
        <v>9785.48</v>
      </c>
      <c r="AH37" s="265">
        <f t="shared" si="80"/>
        <v>9789.1200000000008</v>
      </c>
      <c r="AI37" s="265">
        <f t="shared" si="80"/>
        <v>9628.1200000000008</v>
      </c>
      <c r="AJ37" s="265">
        <f t="shared" si="80"/>
        <v>11964.08</v>
      </c>
      <c r="AK37" s="265">
        <f t="shared" si="80"/>
        <v>9789.6</v>
      </c>
      <c r="AL37" s="265">
        <f t="shared" si="80"/>
        <v>10626.36</v>
      </c>
      <c r="AM37" s="265">
        <f t="shared" si="80"/>
        <v>12438.08</v>
      </c>
      <c r="AN37" s="265">
        <f t="shared" si="80"/>
        <v>13008.92</v>
      </c>
      <c r="AO37" s="265">
        <f t="shared" si="80"/>
        <v>12994.68</v>
      </c>
      <c r="AP37" s="265">
        <f t="shared" si="80"/>
        <v>9808.08</v>
      </c>
      <c r="AQ37" s="20">
        <f t="shared" si="71"/>
        <v>126298.76</v>
      </c>
    </row>
    <row r="38" spans="1:43">
      <c r="A38" s="13" t="s">
        <v>470</v>
      </c>
      <c r="B38" s="13" t="s">
        <v>67</v>
      </c>
      <c r="C38" s="18">
        <f t="shared" ref="C38:J38" si="81">C$3*C21</f>
        <v>0</v>
      </c>
      <c r="D38" s="18">
        <f t="shared" si="81"/>
        <v>0</v>
      </c>
      <c r="E38" s="18">
        <f t="shared" si="81"/>
        <v>0</v>
      </c>
      <c r="F38" s="18">
        <f t="shared" si="81"/>
        <v>0</v>
      </c>
      <c r="G38" s="19">
        <f t="shared" si="74"/>
        <v>0</v>
      </c>
      <c r="H38" s="19">
        <f t="shared" si="79"/>
        <v>0</v>
      </c>
      <c r="I38" s="19">
        <f t="shared" si="81"/>
        <v>0</v>
      </c>
      <c r="J38" s="19">
        <f t="shared" si="81"/>
        <v>0</v>
      </c>
      <c r="K38" s="265">
        <v>0</v>
      </c>
      <c r="L38" s="265">
        <v>0</v>
      </c>
      <c r="M38" s="265">
        <v>0</v>
      </c>
      <c r="N38" s="265">
        <v>0</v>
      </c>
      <c r="O38" s="20">
        <f t="shared" si="68"/>
        <v>0</v>
      </c>
      <c r="Q38" s="265" t="s">
        <v>184</v>
      </c>
      <c r="R38" s="265" t="s">
        <v>184</v>
      </c>
      <c r="S38" s="265" t="s">
        <v>184</v>
      </c>
      <c r="T38" s="265" t="s">
        <v>184</v>
      </c>
      <c r="U38" s="265" t="s">
        <v>184</v>
      </c>
      <c r="V38" s="265" t="s">
        <v>184</v>
      </c>
      <c r="W38" s="265" t="s">
        <v>184</v>
      </c>
      <c r="X38" s="265" t="s">
        <v>184</v>
      </c>
      <c r="Y38" s="265" t="s">
        <v>184</v>
      </c>
      <c r="Z38" s="265" t="s">
        <v>184</v>
      </c>
      <c r="AA38" s="265" t="s">
        <v>184</v>
      </c>
      <c r="AB38" s="265" t="s">
        <v>184</v>
      </c>
      <c r="AC38" s="20">
        <f t="shared" si="69"/>
        <v>0</v>
      </c>
      <c r="AE38" s="19">
        <v>0</v>
      </c>
      <c r="AF38" s="19">
        <v>0</v>
      </c>
      <c r="AG38" s="19">
        <v>0</v>
      </c>
      <c r="AH38" s="19">
        <v>0</v>
      </c>
      <c r="AI38" s="19">
        <v>0</v>
      </c>
      <c r="AJ38" s="19">
        <v>0</v>
      </c>
      <c r="AK38" s="19">
        <v>0</v>
      </c>
      <c r="AL38" s="19">
        <v>0</v>
      </c>
      <c r="AM38" s="19">
        <v>0</v>
      </c>
      <c r="AN38" s="19">
        <v>0</v>
      </c>
      <c r="AO38" s="19">
        <v>0</v>
      </c>
      <c r="AP38" s="19">
        <v>0</v>
      </c>
      <c r="AQ38" s="20">
        <f t="shared" si="71"/>
        <v>0</v>
      </c>
    </row>
    <row r="39" spans="1:43">
      <c r="B39" s="13" t="s">
        <v>67</v>
      </c>
      <c r="C39" s="14"/>
      <c r="D39" s="14"/>
      <c r="E39" s="14"/>
      <c r="F39" s="14"/>
      <c r="G39" s="19"/>
      <c r="Q39" s="19"/>
      <c r="R39" s="19"/>
      <c r="S39" s="19"/>
      <c r="T39" s="19"/>
      <c r="U39" s="19"/>
      <c r="AE39" s="19"/>
      <c r="AF39" s="19"/>
      <c r="AG39" s="19"/>
      <c r="AH39" s="19"/>
      <c r="AI39" s="19"/>
    </row>
    <row r="40" spans="1:43" ht="13" thickBot="1">
      <c r="A40" s="11" t="s">
        <v>473</v>
      </c>
      <c r="B40" s="11"/>
      <c r="C40" s="112">
        <f>C3</f>
        <v>176020.36000000002</v>
      </c>
      <c r="D40" s="112">
        <f>D3</f>
        <v>241390.07</v>
      </c>
      <c r="E40" s="112">
        <f t="shared" ref="E40:O40" si="82">SUM(E25:E39)</f>
        <v>243660</v>
      </c>
      <c r="F40" s="112">
        <f t="shared" si="82"/>
        <v>226436</v>
      </c>
      <c r="G40" s="113">
        <f t="shared" si="82"/>
        <v>210000</v>
      </c>
      <c r="H40" s="113">
        <f t="shared" si="82"/>
        <v>310000</v>
      </c>
      <c r="I40" s="113">
        <f t="shared" si="82"/>
        <v>240000</v>
      </c>
      <c r="J40" s="113">
        <f t="shared" si="82"/>
        <v>240000</v>
      </c>
      <c r="K40" s="113">
        <f t="shared" si="82"/>
        <v>310000</v>
      </c>
      <c r="L40" s="113">
        <f t="shared" si="82"/>
        <v>310000</v>
      </c>
      <c r="M40" s="113">
        <f t="shared" si="82"/>
        <v>310000</v>
      </c>
      <c r="N40" s="113">
        <f t="shared" si="82"/>
        <v>240000</v>
      </c>
      <c r="O40" s="113">
        <f t="shared" si="82"/>
        <v>3057506.4299999997</v>
      </c>
      <c r="Q40" s="113">
        <f t="shared" ref="Q40:AB40" si="83">SUM(Q25:Q38)</f>
        <v>195081.19999999998</v>
      </c>
      <c r="R40" s="113">
        <f t="shared" si="83"/>
        <v>269204</v>
      </c>
      <c r="S40" s="113">
        <f t="shared" si="83"/>
        <v>252712.41</v>
      </c>
      <c r="T40" s="113">
        <f t="shared" si="83"/>
        <v>250097.03999999998</v>
      </c>
      <c r="U40" s="113">
        <f t="shared" si="83"/>
        <v>242723.35574468083</v>
      </c>
      <c r="V40" s="113">
        <f t="shared" si="83"/>
        <v>310707.82</v>
      </c>
      <c r="W40" s="113">
        <f t="shared" si="83"/>
        <v>245213.4</v>
      </c>
      <c r="X40" s="113">
        <f t="shared" si="83"/>
        <v>269938.19489361707</v>
      </c>
      <c r="Y40" s="113">
        <f t="shared" si="83"/>
        <v>324600.74000000005</v>
      </c>
      <c r="Z40" s="113">
        <f t="shared" si="83"/>
        <v>342182.80999999994</v>
      </c>
      <c r="AA40" s="113">
        <f t="shared" si="83"/>
        <v>337235.86199999996</v>
      </c>
      <c r="AB40" s="113">
        <f t="shared" si="83"/>
        <v>264740.712</v>
      </c>
      <c r="AC40" s="113">
        <f>SUM(Q40:AB40)</f>
        <v>3304437.544638298</v>
      </c>
      <c r="AE40" s="113">
        <f>AE3</f>
        <v>300000</v>
      </c>
      <c r="AF40" s="113">
        <f>AF3</f>
        <v>300000</v>
      </c>
      <c r="AG40" s="113">
        <f t="shared" ref="AG40:AQ40" si="84">SUM(AG25:AG39)</f>
        <v>270381.67540000001</v>
      </c>
      <c r="AH40" s="113">
        <f t="shared" si="84"/>
        <v>267081.11340000003</v>
      </c>
      <c r="AI40" s="113">
        <f t="shared" si="84"/>
        <v>258936.26902085103</v>
      </c>
      <c r="AJ40" s="113">
        <f t="shared" si="84"/>
        <v>336551.70337400003</v>
      </c>
      <c r="AK40" s="113">
        <f t="shared" si="84"/>
        <v>264619.05540000001</v>
      </c>
      <c r="AL40" s="113">
        <f t="shared" si="84"/>
        <v>284703.11415702128</v>
      </c>
      <c r="AM40" s="113">
        <f t="shared" si="84"/>
        <v>342504.26317400002</v>
      </c>
      <c r="AN40" s="113">
        <f t="shared" si="84"/>
        <v>356323.77391139994</v>
      </c>
      <c r="AO40" s="113">
        <f t="shared" si="84"/>
        <v>350268.21331140003</v>
      </c>
      <c r="AP40" s="113">
        <f t="shared" si="84"/>
        <v>291085.01122253994</v>
      </c>
      <c r="AQ40" s="113">
        <f t="shared" si="84"/>
        <v>3536561.3623712119</v>
      </c>
    </row>
    <row r="41" spans="1:43">
      <c r="C41" s="14"/>
      <c r="D41" s="14"/>
      <c r="E41" s="14"/>
      <c r="F41" s="14"/>
      <c r="Q41" s="265"/>
      <c r="R41" s="265"/>
      <c r="S41" s="265"/>
      <c r="T41" s="265"/>
      <c r="U41" s="265"/>
      <c r="V41" s="265"/>
      <c r="W41" s="265"/>
      <c r="X41" s="265"/>
      <c r="Y41" s="265"/>
      <c r="Z41" s="265"/>
      <c r="AA41" s="265"/>
      <c r="AB41" s="265"/>
    </row>
    <row r="42" spans="1:43">
      <c r="C42" s="14"/>
      <c r="D42" s="14"/>
      <c r="E42" s="14"/>
      <c r="F42" s="14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</row>
    <row r="43" spans="1:43">
      <c r="C43" s="14"/>
      <c r="D43" s="14"/>
      <c r="E43" s="14"/>
      <c r="F43" s="14"/>
    </row>
    <row r="44" spans="1:43">
      <c r="A44" s="17" t="s">
        <v>474</v>
      </c>
      <c r="B44" s="17"/>
      <c r="C44" s="14"/>
      <c r="D44" s="14"/>
      <c r="E44" s="14"/>
      <c r="F44" s="14"/>
      <c r="O44" s="11" t="s">
        <v>475</v>
      </c>
      <c r="AC44" s="11" t="s">
        <v>475</v>
      </c>
      <c r="AQ44" s="11" t="s">
        <v>475</v>
      </c>
    </row>
    <row r="45" spans="1:43">
      <c r="A45" s="13" t="s">
        <v>476</v>
      </c>
      <c r="C45" s="114">
        <v>0.16</v>
      </c>
      <c r="D45" s="114">
        <v>0.16000000000000003</v>
      </c>
      <c r="E45" s="114">
        <v>0.16</v>
      </c>
      <c r="F45" s="114">
        <v>0.16</v>
      </c>
      <c r="G45" s="115">
        <v>0.16</v>
      </c>
      <c r="H45" s="115">
        <v>0.16</v>
      </c>
      <c r="I45" s="115">
        <v>0.16</v>
      </c>
      <c r="J45" s="115">
        <v>0.16</v>
      </c>
      <c r="K45" s="115">
        <v>0.16</v>
      </c>
      <c r="L45" s="115">
        <v>0.16</v>
      </c>
      <c r="M45" s="115">
        <v>0.16</v>
      </c>
      <c r="N45" s="115">
        <v>0.16</v>
      </c>
      <c r="O45" s="44"/>
      <c r="Q45" s="115">
        <v>0.18</v>
      </c>
      <c r="R45" s="115">
        <v>0.18</v>
      </c>
      <c r="S45" s="115">
        <v>0.18</v>
      </c>
      <c r="T45" s="115">
        <v>0.18</v>
      </c>
      <c r="U45" s="115">
        <v>0.18</v>
      </c>
      <c r="V45" s="115">
        <v>0.18</v>
      </c>
      <c r="W45" s="115">
        <v>0.18</v>
      </c>
      <c r="X45" s="115">
        <v>0.18</v>
      </c>
      <c r="Y45" s="115">
        <v>0.18</v>
      </c>
      <c r="Z45" s="115">
        <v>0.18</v>
      </c>
      <c r="AA45" s="115">
        <v>0.18</v>
      </c>
      <c r="AB45" s="115">
        <v>0.18</v>
      </c>
      <c r="AC45" s="44"/>
      <c r="AE45" s="115">
        <v>0.16</v>
      </c>
      <c r="AF45" s="115">
        <v>0.16000000000000003</v>
      </c>
      <c r="AG45" s="115">
        <v>0.16</v>
      </c>
      <c r="AH45" s="115">
        <v>0.16</v>
      </c>
      <c r="AI45" s="115">
        <v>0.16</v>
      </c>
      <c r="AJ45" s="115">
        <v>0.16</v>
      </c>
      <c r="AK45" s="115">
        <v>0.16</v>
      </c>
      <c r="AL45" s="115">
        <v>0.16</v>
      </c>
      <c r="AM45" s="115">
        <v>0.16</v>
      </c>
      <c r="AN45" s="115">
        <v>0.16</v>
      </c>
      <c r="AO45" s="115">
        <v>0.16</v>
      </c>
      <c r="AP45" s="115">
        <v>0.16</v>
      </c>
      <c r="AQ45" s="12"/>
    </row>
    <row r="46" spans="1:43">
      <c r="A46" s="13" t="s">
        <v>477</v>
      </c>
      <c r="C46" s="114"/>
      <c r="D46" s="114"/>
      <c r="E46" s="114">
        <f>E47-E45</f>
        <v>0.03</v>
      </c>
      <c r="F46" s="114">
        <f t="shared" ref="F46:N46" si="85">F47-F45</f>
        <v>0.03</v>
      </c>
      <c r="G46" s="115">
        <f t="shared" si="85"/>
        <v>7.0000000000000007E-2</v>
      </c>
      <c r="H46" s="115">
        <f t="shared" si="85"/>
        <v>7.9999999999999988E-2</v>
      </c>
      <c r="I46" s="115">
        <f t="shared" si="85"/>
        <v>7.0000000000000007E-2</v>
      </c>
      <c r="J46" s="115">
        <f t="shared" si="85"/>
        <v>7.0000000000000007E-2</v>
      </c>
      <c r="K46" s="115">
        <f t="shared" si="85"/>
        <v>7.9999999999999988E-2</v>
      </c>
      <c r="L46" s="115">
        <f t="shared" si="85"/>
        <v>7.9999999999999988E-2</v>
      </c>
      <c r="M46" s="115">
        <f t="shared" si="85"/>
        <v>7.0000000000000007E-2</v>
      </c>
      <c r="N46" s="115">
        <f t="shared" si="85"/>
        <v>7.0000000000000007E-2</v>
      </c>
      <c r="O46" s="20"/>
      <c r="Q46" s="115">
        <v>0.05</v>
      </c>
      <c r="R46" s="115">
        <v>0.05</v>
      </c>
      <c r="S46" s="115">
        <v>0.05</v>
      </c>
      <c r="T46" s="115">
        <v>0.05</v>
      </c>
      <c r="U46" s="115">
        <v>0.05</v>
      </c>
      <c r="V46" s="115">
        <v>0.05</v>
      </c>
      <c r="W46" s="115">
        <v>0.05</v>
      </c>
      <c r="X46" s="115">
        <v>0.05</v>
      </c>
      <c r="Y46" s="115">
        <v>0.05</v>
      </c>
      <c r="Z46" s="115">
        <v>0.05</v>
      </c>
      <c r="AA46" s="115">
        <v>0.05</v>
      </c>
      <c r="AB46" s="115">
        <v>0.05</v>
      </c>
      <c r="AC46" s="20"/>
      <c r="AE46" s="115">
        <f>AE47-AE45</f>
        <v>0.03</v>
      </c>
      <c r="AF46" s="115">
        <f>AF47-AF45</f>
        <v>0.03</v>
      </c>
      <c r="AG46" s="115">
        <f>AG47-AG45</f>
        <v>0.03</v>
      </c>
      <c r="AH46" s="115">
        <f t="shared" ref="AH46:AP46" si="86">AH47-AH45</f>
        <v>0.03</v>
      </c>
      <c r="AI46" s="115">
        <f t="shared" si="86"/>
        <v>7.0000000000000007E-2</v>
      </c>
      <c r="AJ46" s="115">
        <f t="shared" si="86"/>
        <v>7.9999999999999988E-2</v>
      </c>
      <c r="AK46" s="115">
        <f t="shared" si="86"/>
        <v>7.0000000000000007E-2</v>
      </c>
      <c r="AL46" s="115">
        <f t="shared" si="86"/>
        <v>7.0000000000000007E-2</v>
      </c>
      <c r="AM46" s="115">
        <f t="shared" si="86"/>
        <v>7.9999999999999988E-2</v>
      </c>
      <c r="AN46" s="115">
        <f t="shared" si="86"/>
        <v>7.9999999999999988E-2</v>
      </c>
      <c r="AO46" s="115">
        <f t="shared" si="86"/>
        <v>7.0000000000000007E-2</v>
      </c>
      <c r="AP46" s="115">
        <f t="shared" si="86"/>
        <v>7.0000000000000007E-2</v>
      </c>
      <c r="AQ46" s="12"/>
    </row>
    <row r="47" spans="1:43">
      <c r="A47" s="13" t="s">
        <v>478</v>
      </c>
      <c r="C47" s="116">
        <v>0.19</v>
      </c>
      <c r="D47" s="116">
        <v>0.19000000000000003</v>
      </c>
      <c r="E47" s="116">
        <v>0.19</v>
      </c>
      <c r="F47" s="116">
        <v>0.19</v>
      </c>
      <c r="G47" s="117">
        <v>0.23</v>
      </c>
      <c r="H47" s="117">
        <v>0.24</v>
      </c>
      <c r="I47" s="117">
        <v>0.23</v>
      </c>
      <c r="J47" s="117">
        <v>0.23</v>
      </c>
      <c r="K47" s="117">
        <v>0.24</v>
      </c>
      <c r="L47" s="117">
        <v>0.24</v>
      </c>
      <c r="M47" s="117">
        <v>0.23</v>
      </c>
      <c r="N47" s="117">
        <v>0.23</v>
      </c>
      <c r="O47" s="20"/>
      <c r="Q47" s="117">
        <v>0.23</v>
      </c>
      <c r="R47" s="117">
        <v>0.23</v>
      </c>
      <c r="S47" s="117">
        <v>0.23</v>
      </c>
      <c r="T47" s="117">
        <v>0.23</v>
      </c>
      <c r="U47" s="117">
        <v>0.23</v>
      </c>
      <c r="V47" s="117">
        <v>0.23</v>
      </c>
      <c r="W47" s="117">
        <v>0.23</v>
      </c>
      <c r="X47" s="117">
        <v>0.23</v>
      </c>
      <c r="Y47" s="117">
        <v>0.23</v>
      </c>
      <c r="Z47" s="117">
        <v>0.23</v>
      </c>
      <c r="AA47" s="117">
        <v>0.23</v>
      </c>
      <c r="AB47" s="117">
        <v>0.23</v>
      </c>
      <c r="AC47" s="12">
        <f>AVERAGE(Q47:AB47)</f>
        <v>0.23</v>
      </c>
      <c r="AE47" s="117">
        <v>0.19</v>
      </c>
      <c r="AF47" s="117">
        <v>0.19000000000000003</v>
      </c>
      <c r="AG47" s="117">
        <v>0.19</v>
      </c>
      <c r="AH47" s="117">
        <v>0.19</v>
      </c>
      <c r="AI47" s="117">
        <v>0.23</v>
      </c>
      <c r="AJ47" s="117">
        <v>0.24</v>
      </c>
      <c r="AK47" s="117">
        <v>0.23</v>
      </c>
      <c r="AL47" s="117">
        <v>0.23</v>
      </c>
      <c r="AM47" s="117">
        <v>0.24</v>
      </c>
      <c r="AN47" s="117">
        <v>0.24</v>
      </c>
      <c r="AO47" s="117">
        <v>0.23</v>
      </c>
      <c r="AP47" s="117">
        <v>0.23</v>
      </c>
      <c r="AQ47" s="12">
        <f>AVERAGE(AE47:AP47)</f>
        <v>0.21916666666666665</v>
      </c>
    </row>
    <row r="48" spans="1:43">
      <c r="A48" s="13" t="s">
        <v>479</v>
      </c>
      <c r="C48" s="116"/>
      <c r="D48" s="116"/>
      <c r="E48" s="116"/>
      <c r="F48" s="116"/>
      <c r="G48" s="117"/>
      <c r="H48" s="117"/>
      <c r="I48" s="117"/>
      <c r="J48" s="117"/>
      <c r="K48" s="117"/>
      <c r="L48" s="117"/>
      <c r="M48" s="117"/>
      <c r="N48" s="117"/>
      <c r="O48" s="20"/>
      <c r="Q48" s="117">
        <f t="shared" ref="Q48:AB48" si="87">(Q53/Q25)*100%</f>
        <v>0.22999999999999998</v>
      </c>
      <c r="R48" s="117">
        <f t="shared" si="87"/>
        <v>0.23000000000000004</v>
      </c>
      <c r="S48" s="117">
        <f t="shared" si="87"/>
        <v>0.23</v>
      </c>
      <c r="T48" s="117">
        <f t="shared" si="87"/>
        <v>0.23</v>
      </c>
      <c r="U48" s="117">
        <f t="shared" si="87"/>
        <v>0.23</v>
      </c>
      <c r="V48" s="117">
        <f t="shared" si="87"/>
        <v>0.23</v>
      </c>
      <c r="W48" s="117">
        <f t="shared" si="87"/>
        <v>0.22999999999999998</v>
      </c>
      <c r="X48" s="117">
        <f t="shared" si="87"/>
        <v>0.23</v>
      </c>
      <c r="Y48" s="117">
        <f t="shared" si="87"/>
        <v>0.23</v>
      </c>
      <c r="Z48" s="117">
        <f t="shared" si="87"/>
        <v>0.23</v>
      </c>
      <c r="AA48" s="117">
        <f t="shared" si="87"/>
        <v>0.23</v>
      </c>
      <c r="AB48" s="117">
        <f t="shared" si="87"/>
        <v>0.23</v>
      </c>
      <c r="AC48" s="12">
        <f>AVERAGE(Q48:AB48)</f>
        <v>0.23</v>
      </c>
      <c r="AE48" s="117">
        <f t="shared" ref="AE48:AP48" si="88">(AE53/AE25)*100%</f>
        <v>0.19</v>
      </c>
      <c r="AF48" s="117">
        <f t="shared" si="88"/>
        <v>0.19000000000000003</v>
      </c>
      <c r="AG48" s="117">
        <f t="shared" si="88"/>
        <v>0.19</v>
      </c>
      <c r="AH48" s="117">
        <f t="shared" si="88"/>
        <v>0.18999999999999997</v>
      </c>
      <c r="AI48" s="117">
        <f t="shared" si="88"/>
        <v>0.22999999999999998</v>
      </c>
      <c r="AJ48" s="117">
        <f t="shared" si="88"/>
        <v>0.24</v>
      </c>
      <c r="AK48" s="117">
        <f t="shared" si="88"/>
        <v>0.22999999999999998</v>
      </c>
      <c r="AL48" s="117">
        <f t="shared" si="88"/>
        <v>0.23</v>
      </c>
      <c r="AM48" s="117">
        <f t="shared" si="88"/>
        <v>0.24</v>
      </c>
      <c r="AN48" s="117">
        <f t="shared" si="88"/>
        <v>0.24</v>
      </c>
      <c r="AO48" s="117">
        <f t="shared" si="88"/>
        <v>0.23</v>
      </c>
      <c r="AP48" s="117">
        <f t="shared" si="88"/>
        <v>0.23</v>
      </c>
      <c r="AQ48" s="12">
        <f>AVERAGE(AE48:AP48)</f>
        <v>0.21916666666666665</v>
      </c>
    </row>
    <row r="49" spans="1:43">
      <c r="A49" s="13" t="s">
        <v>480</v>
      </c>
      <c r="C49" s="116">
        <v>0.17</v>
      </c>
      <c r="D49" s="116">
        <v>0.17</v>
      </c>
      <c r="E49" s="116">
        <v>0.17</v>
      </c>
      <c r="F49" s="116">
        <v>0.17</v>
      </c>
      <c r="G49" s="117">
        <v>0.21</v>
      </c>
      <c r="H49" s="117">
        <v>0.2</v>
      </c>
      <c r="I49" s="117">
        <v>0.2</v>
      </c>
      <c r="J49" s="117">
        <v>0.2</v>
      </c>
      <c r="K49" s="117">
        <v>0.2</v>
      </c>
      <c r="L49" s="117">
        <v>0.2</v>
      </c>
      <c r="M49" s="117">
        <v>0.2</v>
      </c>
      <c r="N49" s="117">
        <v>0.2</v>
      </c>
      <c r="O49" s="20"/>
      <c r="Q49" s="117">
        <f t="shared" ref="Q49:AB49" si="89">(Q56/Q28)*100%</f>
        <v>0.49315068493150682</v>
      </c>
      <c r="R49" s="117">
        <f t="shared" si="89"/>
        <v>0.44776119402985076</v>
      </c>
      <c r="S49" s="117">
        <f t="shared" si="89"/>
        <v>0.3968253968253968</v>
      </c>
      <c r="T49" s="117">
        <f t="shared" si="89"/>
        <v>0.44444444444444442</v>
      </c>
      <c r="U49" s="117">
        <f t="shared" si="89"/>
        <v>0.47</v>
      </c>
      <c r="V49" s="117">
        <f t="shared" si="89"/>
        <v>0.38935756002595717</v>
      </c>
      <c r="W49" s="117">
        <f t="shared" si="89"/>
        <v>0.42222222222222222</v>
      </c>
      <c r="X49" s="117">
        <f t="shared" si="89"/>
        <v>0.39166666666666661</v>
      </c>
      <c r="Y49" s="117">
        <f t="shared" si="89"/>
        <v>0.38935857069064422</v>
      </c>
      <c r="Z49" s="117">
        <f t="shared" si="89"/>
        <v>0.3244654755755369</v>
      </c>
      <c r="AA49" s="117">
        <f t="shared" si="89"/>
        <v>0.32446547557553684</v>
      </c>
      <c r="AB49" s="117">
        <f t="shared" si="89"/>
        <v>0.28841375606714387</v>
      </c>
      <c r="AC49" s="12">
        <f>AVERAGE(Q49:AB49)</f>
        <v>0.39851095392124219</v>
      </c>
      <c r="AE49" s="117">
        <f t="shared" ref="AE49:AP49" si="90">(AE56/AE28)*100%</f>
        <v>0.24657534246575341</v>
      </c>
      <c r="AF49" s="117">
        <f t="shared" si="90"/>
        <v>0.34443168771526983</v>
      </c>
      <c r="AG49" s="117">
        <f t="shared" si="90"/>
        <v>0.31746031746031744</v>
      </c>
      <c r="AH49" s="117">
        <f t="shared" si="90"/>
        <v>0.35555555555555557</v>
      </c>
      <c r="AI49" s="117">
        <f t="shared" si="90"/>
        <v>0.376</v>
      </c>
      <c r="AJ49" s="117">
        <f t="shared" si="90"/>
        <v>0.31148604802076574</v>
      </c>
      <c r="AK49" s="117">
        <f t="shared" si="90"/>
        <v>0.33777777777777779</v>
      </c>
      <c r="AL49" s="117">
        <f t="shared" si="90"/>
        <v>0.3133333333333333</v>
      </c>
      <c r="AM49" s="117">
        <f t="shared" si="90"/>
        <v>0.3114868565525154</v>
      </c>
      <c r="AN49" s="117">
        <f t="shared" si="90"/>
        <v>0.25957238046042952</v>
      </c>
      <c r="AO49" s="117">
        <f t="shared" si="90"/>
        <v>0.25957238046042952</v>
      </c>
      <c r="AP49" s="117">
        <f t="shared" si="90"/>
        <v>0.23073100485371512</v>
      </c>
      <c r="AQ49" s="12">
        <f>AVERAGE(AE49:AP49)</f>
        <v>0.30533189038798864</v>
      </c>
    </row>
    <row r="50" spans="1:43">
      <c r="A50" s="13" t="s">
        <v>481</v>
      </c>
      <c r="C50" s="116">
        <v>0.18</v>
      </c>
      <c r="D50" s="116">
        <v>0.18</v>
      </c>
      <c r="E50" s="116">
        <v>0.18</v>
      </c>
      <c r="F50" s="116">
        <v>0.18</v>
      </c>
      <c r="G50" s="117">
        <v>0.17</v>
      </c>
      <c r="H50" s="117">
        <v>0.17</v>
      </c>
      <c r="I50" s="117">
        <v>0.17</v>
      </c>
      <c r="J50" s="117">
        <v>0.17</v>
      </c>
      <c r="K50" s="117">
        <v>0.17</v>
      </c>
      <c r="L50" s="117">
        <v>0.17</v>
      </c>
      <c r="M50" s="117">
        <v>0.17</v>
      </c>
      <c r="N50" s="117">
        <v>0.17</v>
      </c>
      <c r="Q50" s="117">
        <v>0.24</v>
      </c>
      <c r="R50" s="117">
        <v>0.24</v>
      </c>
      <c r="S50" s="117">
        <v>0.24</v>
      </c>
      <c r="T50" s="117">
        <v>0.24</v>
      </c>
      <c r="U50" s="117">
        <v>0.24</v>
      </c>
      <c r="V50" s="117">
        <v>0.24</v>
      </c>
      <c r="W50" s="117">
        <v>0.24</v>
      </c>
      <c r="X50" s="117">
        <v>0.24</v>
      </c>
      <c r="Y50" s="117">
        <v>0.24</v>
      </c>
      <c r="Z50" s="117">
        <v>0.24</v>
      </c>
      <c r="AA50" s="117">
        <v>0.24</v>
      </c>
      <c r="AB50" s="117">
        <v>0.24</v>
      </c>
      <c r="AE50" s="117">
        <v>0.18</v>
      </c>
      <c r="AF50" s="117">
        <v>0.18</v>
      </c>
      <c r="AG50" s="117">
        <v>0.18</v>
      </c>
      <c r="AH50" s="117">
        <v>0.18</v>
      </c>
      <c r="AI50" s="117">
        <v>0.17</v>
      </c>
      <c r="AJ50" s="117">
        <v>0.17</v>
      </c>
      <c r="AK50" s="117">
        <v>0.17</v>
      </c>
      <c r="AL50" s="117">
        <v>0.17</v>
      </c>
      <c r="AM50" s="117">
        <v>0.17</v>
      </c>
      <c r="AN50" s="117">
        <v>0.17</v>
      </c>
      <c r="AO50" s="117">
        <v>0.17</v>
      </c>
      <c r="AP50" s="117">
        <v>0.17</v>
      </c>
    </row>
    <row r="51" spans="1:43">
      <c r="A51" s="13" t="s">
        <v>482</v>
      </c>
      <c r="C51" s="116">
        <v>0.14000000000000001</v>
      </c>
      <c r="D51" s="116">
        <v>0.14000000000000001</v>
      </c>
      <c r="E51" s="116">
        <v>0.14000000000000001</v>
      </c>
      <c r="F51" s="116">
        <v>0.14000000000000001</v>
      </c>
      <c r="G51" s="117">
        <v>7.0000000000000007E-2</v>
      </c>
      <c r="H51" s="117">
        <v>0.12</v>
      </c>
      <c r="I51" s="117">
        <v>0.1</v>
      </c>
      <c r="J51" s="117">
        <v>0.1</v>
      </c>
      <c r="K51" s="117">
        <v>0.12</v>
      </c>
      <c r="L51" s="117">
        <v>0.12</v>
      </c>
      <c r="M51" s="117">
        <v>0.12</v>
      </c>
      <c r="N51" s="117">
        <v>0.1</v>
      </c>
      <c r="O51" s="20"/>
      <c r="Q51" s="117">
        <v>0.08</v>
      </c>
      <c r="R51" s="117">
        <v>0.08</v>
      </c>
      <c r="S51" s="117">
        <v>0.08</v>
      </c>
      <c r="T51" s="117">
        <v>0.08</v>
      </c>
      <c r="U51" s="117">
        <v>0.08</v>
      </c>
      <c r="V51" s="117">
        <v>0.1</v>
      </c>
      <c r="W51" s="117">
        <v>0.08</v>
      </c>
      <c r="X51" s="117">
        <v>0.08</v>
      </c>
      <c r="Y51" s="117">
        <v>0.1</v>
      </c>
      <c r="Z51" s="117">
        <v>0.1</v>
      </c>
      <c r="AA51" s="117">
        <v>0.08</v>
      </c>
      <c r="AB51" s="117">
        <v>0.08</v>
      </c>
      <c r="AC51" s="20"/>
      <c r="AE51" s="117">
        <v>0.14000000000000001</v>
      </c>
      <c r="AF51" s="117">
        <v>0.14000000000000001</v>
      </c>
      <c r="AG51" s="117">
        <v>0.14000000000000001</v>
      </c>
      <c r="AH51" s="117">
        <v>0.14000000000000001</v>
      </c>
      <c r="AI51" s="117">
        <v>7.0000000000000007E-2</v>
      </c>
      <c r="AJ51" s="117">
        <v>0.12</v>
      </c>
      <c r="AK51" s="117">
        <v>0.1</v>
      </c>
      <c r="AL51" s="117">
        <v>0.1</v>
      </c>
      <c r="AM51" s="117">
        <v>0.12</v>
      </c>
      <c r="AN51" s="117">
        <v>0.12</v>
      </c>
      <c r="AO51" s="117">
        <v>0.12</v>
      </c>
      <c r="AP51" s="117">
        <v>0.1</v>
      </c>
      <c r="AQ51" s="20"/>
    </row>
    <row r="52" spans="1:43">
      <c r="C52" s="114"/>
      <c r="D52" s="114"/>
      <c r="E52" s="114"/>
      <c r="F52" s="114"/>
      <c r="G52" s="115"/>
      <c r="H52" s="115"/>
      <c r="I52" s="115"/>
      <c r="J52" s="115"/>
      <c r="K52" s="115"/>
      <c r="L52" s="115"/>
      <c r="M52" s="115"/>
      <c r="N52" s="115"/>
      <c r="O52" s="20"/>
      <c r="Q52" s="115"/>
      <c r="R52" s="115"/>
      <c r="S52" s="115"/>
      <c r="T52" s="115"/>
      <c r="U52" s="115"/>
      <c r="V52" s="115"/>
      <c r="W52" s="115"/>
      <c r="X52" s="115"/>
      <c r="Y52" s="115"/>
      <c r="Z52" s="115"/>
      <c r="AA52" s="115"/>
      <c r="AB52" s="115"/>
      <c r="AC52" s="20"/>
      <c r="AE52" s="115"/>
      <c r="AF52" s="115"/>
      <c r="AG52" s="115"/>
      <c r="AH52" s="115"/>
      <c r="AI52" s="115"/>
      <c r="AJ52" s="115"/>
      <c r="AK52" s="115"/>
      <c r="AL52" s="115"/>
      <c r="AM52" s="115"/>
      <c r="AN52" s="115"/>
      <c r="AO52" s="115"/>
      <c r="AP52" s="115"/>
      <c r="AQ52" s="20"/>
    </row>
    <row r="53" spans="1:43">
      <c r="A53" s="13" t="s">
        <v>64</v>
      </c>
      <c r="B53" s="13" t="s">
        <v>64</v>
      </c>
      <c r="C53" s="118"/>
      <c r="D53" s="118"/>
      <c r="E53" s="118">
        <f t="shared" ref="E53:N53" si="91">E47*E25</f>
        <v>35184.504000000001</v>
      </c>
      <c r="F53" s="118">
        <f t="shared" si="91"/>
        <v>32697.358400000005</v>
      </c>
      <c r="G53" s="119">
        <f t="shared" si="91"/>
        <v>35742</v>
      </c>
      <c r="H53" s="119">
        <f t="shared" si="91"/>
        <v>55056</v>
      </c>
      <c r="I53" s="119">
        <f t="shared" si="91"/>
        <v>40848</v>
      </c>
      <c r="J53" s="119">
        <f t="shared" si="91"/>
        <v>40296</v>
      </c>
      <c r="K53" s="119">
        <f t="shared" si="91"/>
        <v>54312</v>
      </c>
      <c r="L53" s="119">
        <f t="shared" si="91"/>
        <v>54312</v>
      </c>
      <c r="M53" s="119">
        <f t="shared" si="91"/>
        <v>52049</v>
      </c>
      <c r="N53" s="119">
        <f t="shared" si="91"/>
        <v>40296</v>
      </c>
      <c r="O53" s="20">
        <f t="shared" ref="O53:O58" si="92">SUM(C53:N53)</f>
        <v>440792.86239999998</v>
      </c>
      <c r="Q53" s="119">
        <f>Q47*Q25</f>
        <v>33073.263999999996</v>
      </c>
      <c r="R53" s="119">
        <f t="shared" ref="R53:AB53" si="93">R47*R25</f>
        <v>43605.240000000005</v>
      </c>
      <c r="S53" s="119">
        <f t="shared" si="93"/>
        <v>42199.8825</v>
      </c>
      <c r="T53" s="119">
        <f t="shared" si="93"/>
        <v>42215.58</v>
      </c>
      <c r="U53" s="119">
        <f t="shared" si="93"/>
        <v>41521.267500000002</v>
      </c>
      <c r="V53" s="119">
        <f t="shared" si="93"/>
        <v>51595.095000000001</v>
      </c>
      <c r="W53" s="119">
        <f t="shared" si="93"/>
        <v>41654.748</v>
      </c>
      <c r="X53" s="119">
        <f t="shared" si="93"/>
        <v>44604.146100000005</v>
      </c>
      <c r="Y53" s="119">
        <f t="shared" si="93"/>
        <v>52924.030400000003</v>
      </c>
      <c r="Z53" s="119">
        <f t="shared" si="93"/>
        <v>53108.9159</v>
      </c>
      <c r="AA53" s="119">
        <f t="shared" si="93"/>
        <v>53050.7811</v>
      </c>
      <c r="AB53" s="119">
        <f t="shared" si="93"/>
        <v>40041.486599999997</v>
      </c>
      <c r="AC53" s="20">
        <f t="shared" ref="AC53:AC58" si="94">SUM(Q53:AB53)</f>
        <v>539594.43709999998</v>
      </c>
      <c r="AE53" s="119">
        <f t="shared" ref="AE53:AP53" si="95">AE47*AE25</f>
        <v>27594.605919999998</v>
      </c>
      <c r="AF53" s="119">
        <f t="shared" si="95"/>
        <v>36381.937200000008</v>
      </c>
      <c r="AG53" s="119">
        <f t="shared" si="95"/>
        <v>35209.380225000001</v>
      </c>
      <c r="AH53" s="119">
        <f t="shared" si="95"/>
        <v>35222.477399999996</v>
      </c>
      <c r="AI53" s="119">
        <f t="shared" si="95"/>
        <v>41936.480174999997</v>
      </c>
      <c r="AJ53" s="119">
        <f t="shared" si="95"/>
        <v>54376.743600000002</v>
      </c>
      <c r="AK53" s="119">
        <f t="shared" si="95"/>
        <v>42071.295480000001</v>
      </c>
      <c r="AL53" s="119">
        <f t="shared" si="95"/>
        <v>45050.187561000006</v>
      </c>
      <c r="AM53" s="119">
        <f t="shared" si="95"/>
        <v>55777.325951999999</v>
      </c>
      <c r="AN53" s="119">
        <f t="shared" si="95"/>
        <v>55972.179191999996</v>
      </c>
      <c r="AO53" s="119">
        <f t="shared" si="95"/>
        <v>53581.288910999996</v>
      </c>
      <c r="AP53" s="119">
        <f t="shared" si="95"/>
        <v>40441.901465999996</v>
      </c>
      <c r="AQ53" s="20">
        <f t="shared" ref="AQ53:AQ58" si="96">SUM(AE53:AP53)</f>
        <v>523615.80308200006</v>
      </c>
    </row>
    <row r="54" spans="1:43">
      <c r="A54" s="13" t="s">
        <v>483</v>
      </c>
      <c r="B54" s="13" t="s">
        <v>65</v>
      </c>
      <c r="C54" s="118"/>
      <c r="D54" s="118"/>
      <c r="E54" s="118">
        <f t="shared" ref="E54:N54" si="97">E49*E26</f>
        <v>1656.8880000000001</v>
      </c>
      <c r="F54" s="118">
        <f t="shared" si="97"/>
        <v>1539.7648000000002</v>
      </c>
      <c r="G54" s="119">
        <f t="shared" si="97"/>
        <v>1323</v>
      </c>
      <c r="H54" s="119">
        <f t="shared" si="97"/>
        <v>1860</v>
      </c>
      <c r="I54" s="119">
        <f t="shared" si="97"/>
        <v>1440</v>
      </c>
      <c r="J54" s="119">
        <f t="shared" si="97"/>
        <v>1440</v>
      </c>
      <c r="K54" s="119">
        <f t="shared" si="97"/>
        <v>2480</v>
      </c>
      <c r="L54" s="119">
        <f t="shared" si="97"/>
        <v>2480</v>
      </c>
      <c r="M54" s="119">
        <f t="shared" si="97"/>
        <v>2480</v>
      </c>
      <c r="N54" s="119">
        <f t="shared" si="97"/>
        <v>1920</v>
      </c>
      <c r="O54" s="20">
        <f t="shared" si="92"/>
        <v>18619.6528</v>
      </c>
      <c r="Q54" s="119">
        <v>0</v>
      </c>
      <c r="R54" s="119">
        <v>0</v>
      </c>
      <c r="S54" s="119">
        <v>0</v>
      </c>
      <c r="T54" s="119">
        <v>0</v>
      </c>
      <c r="U54" s="119">
        <v>0</v>
      </c>
      <c r="V54" s="119">
        <v>0</v>
      </c>
      <c r="W54" s="119">
        <v>0</v>
      </c>
      <c r="X54" s="119">
        <v>0</v>
      </c>
      <c r="Y54" s="119">
        <v>0</v>
      </c>
      <c r="Z54" s="119">
        <v>0</v>
      </c>
      <c r="AA54" s="119">
        <v>0</v>
      </c>
      <c r="AB54" s="119">
        <v>0</v>
      </c>
      <c r="AC54" s="20">
        <f t="shared" si="94"/>
        <v>0</v>
      </c>
      <c r="AE54" s="119">
        <v>0</v>
      </c>
      <c r="AF54" s="119">
        <v>0</v>
      </c>
      <c r="AG54" s="119">
        <v>0</v>
      </c>
      <c r="AH54" s="119">
        <v>0</v>
      </c>
      <c r="AI54" s="119">
        <v>0</v>
      </c>
      <c r="AJ54" s="119">
        <v>0</v>
      </c>
      <c r="AK54" s="119">
        <v>0</v>
      </c>
      <c r="AL54" s="119">
        <v>0</v>
      </c>
      <c r="AM54" s="119">
        <v>0</v>
      </c>
      <c r="AN54" s="119">
        <v>0</v>
      </c>
      <c r="AO54" s="119">
        <v>0</v>
      </c>
      <c r="AP54" s="119">
        <v>0</v>
      </c>
      <c r="AQ54" s="20">
        <f t="shared" si="96"/>
        <v>0</v>
      </c>
    </row>
    <row r="55" spans="1:43">
      <c r="A55" s="13" t="s">
        <v>73</v>
      </c>
      <c r="B55" s="13" t="s">
        <v>65</v>
      </c>
      <c r="C55" s="120"/>
      <c r="D55" s="120"/>
      <c r="E55" s="118">
        <f t="shared" ref="E55:N55" si="98">E49*E27</f>
        <v>1242.6660000000002</v>
      </c>
      <c r="F55" s="118">
        <f t="shared" si="98"/>
        <v>1154.8236000000002</v>
      </c>
      <c r="G55" s="119">
        <f t="shared" si="98"/>
        <v>2205</v>
      </c>
      <c r="H55" s="119">
        <f t="shared" si="98"/>
        <v>3100</v>
      </c>
      <c r="I55" s="119">
        <f t="shared" si="98"/>
        <v>2400</v>
      </c>
      <c r="J55" s="119">
        <f t="shared" si="98"/>
        <v>2400</v>
      </c>
      <c r="K55" s="119">
        <f t="shared" si="98"/>
        <v>1860</v>
      </c>
      <c r="L55" s="119">
        <f t="shared" si="98"/>
        <v>1860</v>
      </c>
      <c r="M55" s="119">
        <f t="shared" si="98"/>
        <v>1860</v>
      </c>
      <c r="N55" s="119">
        <f t="shared" si="98"/>
        <v>1440</v>
      </c>
      <c r="O55" s="20">
        <f t="shared" si="92"/>
        <v>19522.489600000001</v>
      </c>
      <c r="Q55" s="119">
        <v>3692.08</v>
      </c>
      <c r="R55" s="119">
        <v>4867.8</v>
      </c>
      <c r="S55" s="119">
        <v>4648.1030000000001</v>
      </c>
      <c r="T55" s="119">
        <v>4649.8320000000003</v>
      </c>
      <c r="U55" s="119">
        <v>3658.6856000000002</v>
      </c>
      <c r="V55" s="119">
        <v>4546.3504000000003</v>
      </c>
      <c r="W55" s="119">
        <v>4650.0600000000004</v>
      </c>
      <c r="X55" s="119">
        <v>6057.0252</v>
      </c>
      <c r="Y55" s="119">
        <v>5908.0880000000006</v>
      </c>
      <c r="Z55" s="119">
        <v>8650.9318000000003</v>
      </c>
      <c r="AA55" s="119">
        <v>8641.4622000000018</v>
      </c>
      <c r="AB55" s="119">
        <v>6522.3732000000009</v>
      </c>
      <c r="AC55" s="20">
        <f t="shared" si="94"/>
        <v>66492.791400000002</v>
      </c>
      <c r="AE55" s="119">
        <v>6500</v>
      </c>
      <c r="AF55" s="119">
        <v>7000</v>
      </c>
      <c r="AG55" s="119">
        <v>6500</v>
      </c>
      <c r="AH55" s="119">
        <v>6500</v>
      </c>
      <c r="AI55" s="119">
        <v>6500</v>
      </c>
      <c r="AJ55" s="119">
        <v>7500</v>
      </c>
      <c r="AK55" s="119">
        <v>6500</v>
      </c>
      <c r="AL55" s="119">
        <v>6500</v>
      </c>
      <c r="AM55" s="119">
        <v>6500</v>
      </c>
      <c r="AN55" s="119">
        <v>7000</v>
      </c>
      <c r="AO55" s="119">
        <v>7000</v>
      </c>
      <c r="AP55" s="119">
        <v>6500</v>
      </c>
      <c r="AQ55" s="20">
        <f t="shared" si="96"/>
        <v>80500</v>
      </c>
    </row>
    <row r="56" spans="1:43">
      <c r="A56" s="13" t="s">
        <v>484</v>
      </c>
      <c r="B56" s="13" t="s">
        <v>65</v>
      </c>
      <c r="C56" s="118"/>
      <c r="D56" s="118"/>
      <c r="E56" s="118">
        <f t="shared" ref="E56:N56" si="99">E49*E28</f>
        <v>2485.3320000000003</v>
      </c>
      <c r="F56" s="118">
        <f t="shared" si="99"/>
        <v>2309.6472000000003</v>
      </c>
      <c r="G56" s="119">
        <f t="shared" si="99"/>
        <v>3528</v>
      </c>
      <c r="H56" s="119">
        <f t="shared" si="99"/>
        <v>4960</v>
      </c>
      <c r="I56" s="119">
        <f t="shared" si="99"/>
        <v>3840</v>
      </c>
      <c r="J56" s="119">
        <f t="shared" si="99"/>
        <v>4320</v>
      </c>
      <c r="K56" s="119">
        <f t="shared" si="99"/>
        <v>6200</v>
      </c>
      <c r="L56" s="119">
        <f t="shared" si="99"/>
        <v>6200</v>
      </c>
      <c r="M56" s="119">
        <f t="shared" si="99"/>
        <v>6200</v>
      </c>
      <c r="N56" s="119">
        <f t="shared" si="99"/>
        <v>4800</v>
      </c>
      <c r="O56" s="20">
        <f t="shared" si="92"/>
        <v>44842.979200000002</v>
      </c>
      <c r="Q56" s="119">
        <v>9000</v>
      </c>
      <c r="R56" s="119">
        <v>15000</v>
      </c>
      <c r="S56" s="119">
        <v>10000</v>
      </c>
      <c r="T56" s="119">
        <v>10000</v>
      </c>
      <c r="U56" s="119">
        <v>10000</v>
      </c>
      <c r="V56" s="119">
        <v>15000</v>
      </c>
      <c r="W56" s="119">
        <v>9500</v>
      </c>
      <c r="X56" s="119">
        <v>10000</v>
      </c>
      <c r="Y56" s="119">
        <v>15000</v>
      </c>
      <c r="Z56" s="119">
        <v>15000</v>
      </c>
      <c r="AA56" s="119">
        <v>13500</v>
      </c>
      <c r="AB56" s="119">
        <v>12000</v>
      </c>
      <c r="AC56" s="20">
        <f t="shared" si="94"/>
        <v>144000</v>
      </c>
      <c r="AE56" s="119">
        <v>9000</v>
      </c>
      <c r="AF56" s="119">
        <v>15000</v>
      </c>
      <c r="AG56" s="119">
        <v>10000</v>
      </c>
      <c r="AH56" s="119">
        <v>10000</v>
      </c>
      <c r="AI56" s="119">
        <v>10000</v>
      </c>
      <c r="AJ56" s="119">
        <v>15000</v>
      </c>
      <c r="AK56" s="119">
        <v>9500</v>
      </c>
      <c r="AL56" s="119">
        <v>10000</v>
      </c>
      <c r="AM56" s="119">
        <v>15000</v>
      </c>
      <c r="AN56" s="119">
        <v>15000</v>
      </c>
      <c r="AO56" s="119">
        <v>13500</v>
      </c>
      <c r="AP56" s="119">
        <v>12000</v>
      </c>
      <c r="AQ56" s="20">
        <f t="shared" si="96"/>
        <v>144000</v>
      </c>
    </row>
    <row r="57" spans="1:43">
      <c r="A57" s="170" t="s">
        <v>69</v>
      </c>
      <c r="B57" s="13" t="s">
        <v>65</v>
      </c>
      <c r="C57" s="118"/>
      <c r="D57" s="118"/>
      <c r="E57" s="118">
        <f t="shared" ref="E57:N57" si="100">E50*E29</f>
        <v>2631.5279999999998</v>
      </c>
      <c r="F57" s="118">
        <f t="shared" si="100"/>
        <v>2445.5088000000001</v>
      </c>
      <c r="G57" s="119">
        <f t="shared" si="100"/>
        <v>2142</v>
      </c>
      <c r="H57" s="119">
        <f t="shared" si="100"/>
        <v>3162</v>
      </c>
      <c r="I57" s="119">
        <f t="shared" si="100"/>
        <v>2448</v>
      </c>
      <c r="J57" s="119">
        <f t="shared" si="100"/>
        <v>2448</v>
      </c>
      <c r="K57" s="119">
        <f t="shared" si="100"/>
        <v>3162</v>
      </c>
      <c r="L57" s="119">
        <f t="shared" si="100"/>
        <v>3162</v>
      </c>
      <c r="M57" s="119">
        <f t="shared" si="100"/>
        <v>3162</v>
      </c>
      <c r="N57" s="119">
        <f t="shared" si="100"/>
        <v>2448</v>
      </c>
      <c r="O57" s="20">
        <f t="shared" si="92"/>
        <v>27211.036800000002</v>
      </c>
      <c r="Q57" s="119">
        <f t="shared" ref="Q57:AB57" si="101">Q50*Q29</f>
        <v>3264.576</v>
      </c>
      <c r="R57" s="119">
        <f t="shared" si="101"/>
        <v>4304.16</v>
      </c>
      <c r="S57" s="119">
        <f t="shared" si="101"/>
        <v>4109.9016000000001</v>
      </c>
      <c r="T57" s="119">
        <f t="shared" si="101"/>
        <v>4111.4304000000002</v>
      </c>
      <c r="U57" s="119">
        <f t="shared" si="101"/>
        <v>4043.8104000000003</v>
      </c>
      <c r="V57" s="119">
        <f t="shared" si="101"/>
        <v>4307.0688</v>
      </c>
      <c r="W57" s="119">
        <f t="shared" si="101"/>
        <v>3524.2559999999999</v>
      </c>
      <c r="X57" s="119">
        <f t="shared" si="101"/>
        <v>4463.0712000000003</v>
      </c>
      <c r="Y57" s="119">
        <f t="shared" si="101"/>
        <v>5223.9936000000007</v>
      </c>
      <c r="Z57" s="119">
        <f t="shared" si="101"/>
        <v>5463.7464</v>
      </c>
      <c r="AA57" s="119">
        <f t="shared" si="101"/>
        <v>5457.7656000000006</v>
      </c>
      <c r="AB57" s="119">
        <f t="shared" si="101"/>
        <v>4119.3936000000003</v>
      </c>
      <c r="AC57" s="20">
        <f t="shared" si="94"/>
        <v>52393.173600000002</v>
      </c>
      <c r="AE57" s="119">
        <f t="shared" ref="AE57:AP57" si="102">AE50*AE29</f>
        <v>3240</v>
      </c>
      <c r="AF57" s="119">
        <f t="shared" si="102"/>
        <v>3240</v>
      </c>
      <c r="AG57" s="119">
        <f t="shared" si="102"/>
        <v>3240</v>
      </c>
      <c r="AH57" s="119">
        <f t="shared" si="102"/>
        <v>3240</v>
      </c>
      <c r="AI57" s="119">
        <f t="shared" si="102"/>
        <v>2142</v>
      </c>
      <c r="AJ57" s="119">
        <f t="shared" si="102"/>
        <v>3162</v>
      </c>
      <c r="AK57" s="119">
        <f t="shared" si="102"/>
        <v>3060</v>
      </c>
      <c r="AL57" s="119">
        <f t="shared" si="102"/>
        <v>3060</v>
      </c>
      <c r="AM57" s="119">
        <f t="shared" si="102"/>
        <v>3060</v>
      </c>
      <c r="AN57" s="119">
        <f t="shared" si="102"/>
        <v>3060</v>
      </c>
      <c r="AO57" s="119">
        <f t="shared" si="102"/>
        <v>3060</v>
      </c>
      <c r="AP57" s="119">
        <f t="shared" si="102"/>
        <v>3060</v>
      </c>
      <c r="AQ57" s="20">
        <f t="shared" si="96"/>
        <v>36624</v>
      </c>
    </row>
    <row r="58" spans="1:43">
      <c r="A58" s="13" t="s">
        <v>67</v>
      </c>
      <c r="B58" s="13" t="s">
        <v>67</v>
      </c>
      <c r="C58" s="118"/>
      <c r="D58" s="118"/>
      <c r="E58" s="118">
        <f t="shared" ref="E58:N58" si="103">E51*E37</f>
        <v>1705.6200000000001</v>
      </c>
      <c r="F58" s="118">
        <f t="shared" si="103"/>
        <v>1585.0520000000004</v>
      </c>
      <c r="G58" s="119">
        <f t="shared" si="103"/>
        <v>588</v>
      </c>
      <c r="H58" s="119">
        <f t="shared" si="103"/>
        <v>1488</v>
      </c>
      <c r="I58" s="119">
        <f t="shared" si="103"/>
        <v>960</v>
      </c>
      <c r="J58" s="119">
        <f t="shared" si="103"/>
        <v>960</v>
      </c>
      <c r="K58" s="119">
        <f t="shared" si="103"/>
        <v>1488</v>
      </c>
      <c r="L58" s="119">
        <f t="shared" si="103"/>
        <v>1488</v>
      </c>
      <c r="M58" s="119">
        <f t="shared" si="103"/>
        <v>1488</v>
      </c>
      <c r="N58" s="119">
        <f t="shared" si="103"/>
        <v>960</v>
      </c>
      <c r="O58" s="20">
        <f t="shared" si="92"/>
        <v>12710.672</v>
      </c>
      <c r="Q58" s="119">
        <f t="shared" ref="Q58:AB58" si="104">Q51*Q37</f>
        <v>497.45920000000001</v>
      </c>
      <c r="R58" s="119">
        <f t="shared" si="104"/>
        <v>819.84</v>
      </c>
      <c r="S58" s="119">
        <f t="shared" si="104"/>
        <v>782.83839999999998</v>
      </c>
      <c r="T58" s="119">
        <f t="shared" si="104"/>
        <v>783.1296000000001</v>
      </c>
      <c r="U58" s="119">
        <f t="shared" si="104"/>
        <v>770.2496000000001</v>
      </c>
      <c r="V58" s="119">
        <f t="shared" si="104"/>
        <v>1196.4080000000001</v>
      </c>
      <c r="W58" s="119">
        <f t="shared" si="104"/>
        <v>783.16800000000001</v>
      </c>
      <c r="X58" s="119">
        <f t="shared" si="104"/>
        <v>850.10880000000009</v>
      </c>
      <c r="Y58" s="119">
        <f t="shared" si="104"/>
        <v>1243.808</v>
      </c>
      <c r="Z58" s="119">
        <f t="shared" si="104"/>
        <v>1300.8920000000001</v>
      </c>
      <c r="AA58" s="119">
        <f t="shared" si="104"/>
        <v>1039.5744</v>
      </c>
      <c r="AB58" s="119">
        <f t="shared" si="104"/>
        <v>784.64639999999997</v>
      </c>
      <c r="AC58" s="20">
        <f t="shared" si="94"/>
        <v>10852.1224</v>
      </c>
      <c r="AE58" s="119">
        <f t="shared" ref="AE58:AP58" si="105">AE51*AE37</f>
        <v>870.55360000000007</v>
      </c>
      <c r="AF58" s="119">
        <f t="shared" si="105"/>
        <v>1434.72</v>
      </c>
      <c r="AG58" s="119">
        <f t="shared" si="105"/>
        <v>1369.9672</v>
      </c>
      <c r="AH58" s="119">
        <f t="shared" si="105"/>
        <v>1370.4768000000001</v>
      </c>
      <c r="AI58" s="119">
        <f t="shared" si="105"/>
        <v>673.96840000000009</v>
      </c>
      <c r="AJ58" s="119">
        <f t="shared" si="105"/>
        <v>1435.6895999999999</v>
      </c>
      <c r="AK58" s="119">
        <f t="shared" si="105"/>
        <v>978.96</v>
      </c>
      <c r="AL58" s="119">
        <f t="shared" si="105"/>
        <v>1062.6360000000002</v>
      </c>
      <c r="AM58" s="119">
        <f t="shared" si="105"/>
        <v>1492.5696</v>
      </c>
      <c r="AN58" s="119">
        <f t="shared" si="105"/>
        <v>1561.0704000000001</v>
      </c>
      <c r="AO58" s="119">
        <f t="shared" si="105"/>
        <v>1559.3616</v>
      </c>
      <c r="AP58" s="119">
        <f t="shared" si="105"/>
        <v>980.80799999999999</v>
      </c>
      <c r="AQ58" s="20">
        <f t="shared" si="96"/>
        <v>14790.781200000001</v>
      </c>
    </row>
    <row r="59" spans="1:43">
      <c r="C59" s="14"/>
      <c r="D59" s="14"/>
      <c r="E59" s="14"/>
      <c r="F59" s="14"/>
    </row>
    <row r="60" spans="1:43" ht="13" thickBot="1">
      <c r="A60" s="11" t="s">
        <v>485</v>
      </c>
      <c r="B60" s="11"/>
      <c r="C60" s="112">
        <v>45101.869927200001</v>
      </c>
      <c r="D60" s="112">
        <v>48591.77683200001</v>
      </c>
      <c r="E60" s="112">
        <v>44752.373544800001</v>
      </c>
      <c r="F60" s="112">
        <v>44752.373544800001</v>
      </c>
      <c r="G60" s="121">
        <f>SUM(G53:G58)</f>
        <v>45528</v>
      </c>
      <c r="H60" s="121">
        <f>SUM(H53:H58)</f>
        <v>69626</v>
      </c>
      <c r="I60" s="121">
        <f t="shared" ref="I60:N60" si="106">SUM(I53:I58)</f>
        <v>51936</v>
      </c>
      <c r="J60" s="121">
        <f t="shared" si="106"/>
        <v>51864</v>
      </c>
      <c r="K60" s="121">
        <f t="shared" si="106"/>
        <v>69502</v>
      </c>
      <c r="L60" s="121">
        <f t="shared" si="106"/>
        <v>69502</v>
      </c>
      <c r="M60" s="121">
        <f t="shared" si="106"/>
        <v>67239</v>
      </c>
      <c r="N60" s="121">
        <f t="shared" si="106"/>
        <v>51864</v>
      </c>
      <c r="O60" s="113">
        <f>SUM(C60:N60)</f>
        <v>660259.39384879998</v>
      </c>
      <c r="Q60" s="121">
        <f>SUM(Q53:Q58)</f>
        <v>49527.379199999996</v>
      </c>
      <c r="R60" s="121">
        <f t="shared" ref="R60:AB60" si="107">SUM(R53:R58)</f>
        <v>68597.040000000008</v>
      </c>
      <c r="S60" s="121">
        <f t="shared" si="107"/>
        <v>61740.7255</v>
      </c>
      <c r="T60" s="121">
        <f t="shared" si="107"/>
        <v>61759.972000000002</v>
      </c>
      <c r="U60" s="121">
        <f t="shared" si="107"/>
        <v>59994.013100000004</v>
      </c>
      <c r="V60" s="121">
        <f t="shared" si="107"/>
        <v>76644.922199999986</v>
      </c>
      <c r="W60" s="121">
        <f t="shared" si="107"/>
        <v>60112.231999999996</v>
      </c>
      <c r="X60" s="121">
        <f t="shared" si="107"/>
        <v>65974.351299999995</v>
      </c>
      <c r="Y60" s="121">
        <f t="shared" si="107"/>
        <v>80299.920000000013</v>
      </c>
      <c r="Z60" s="121">
        <f t="shared" si="107"/>
        <v>83524.486100000009</v>
      </c>
      <c r="AA60" s="121">
        <f t="shared" si="107"/>
        <v>81689.583299999998</v>
      </c>
      <c r="AB60" s="121">
        <f t="shared" si="107"/>
        <v>63467.899799999999</v>
      </c>
      <c r="AC60" s="113">
        <f>SUM(Q60:AB60)</f>
        <v>813332.52450000006</v>
      </c>
      <c r="AE60" s="121">
        <v>45101.869927200001</v>
      </c>
      <c r="AF60" s="121">
        <v>48591.77683200001</v>
      </c>
      <c r="AG60" s="121">
        <v>44752.373544800001</v>
      </c>
      <c r="AH60" s="121">
        <v>44752.373544800001</v>
      </c>
      <c r="AI60" s="121">
        <f>SUM(AI53:AI58)</f>
        <v>61252.448574999995</v>
      </c>
      <c r="AJ60" s="121">
        <f>SUM(AJ53:AJ58)</f>
        <v>81474.433199999999</v>
      </c>
      <c r="AK60" s="121">
        <f t="shared" ref="AK60:AP60" si="108">SUM(AK53:AK58)</f>
        <v>62110.25548</v>
      </c>
      <c r="AL60" s="121">
        <f t="shared" si="108"/>
        <v>65672.823561000012</v>
      </c>
      <c r="AM60" s="121">
        <f t="shared" si="108"/>
        <v>81829.895552000002</v>
      </c>
      <c r="AN60" s="121">
        <f t="shared" si="108"/>
        <v>82593.249591999993</v>
      </c>
      <c r="AO60" s="121">
        <f t="shared" si="108"/>
        <v>78700.650511</v>
      </c>
      <c r="AP60" s="121">
        <f t="shared" si="108"/>
        <v>62982.709465999993</v>
      </c>
      <c r="AQ60" s="113">
        <f>SUM(AE60:AP60)</f>
        <v>759814.85978579998</v>
      </c>
    </row>
    <row r="61" spans="1:43" ht="13" thickBot="1">
      <c r="C61" s="122"/>
      <c r="D61" s="122"/>
      <c r="E61" s="122"/>
      <c r="F61" s="122"/>
      <c r="G61" s="107"/>
      <c r="H61" s="107"/>
      <c r="I61" s="107"/>
      <c r="J61" s="107"/>
      <c r="K61" s="107"/>
      <c r="L61" s="107"/>
      <c r="M61" s="107"/>
      <c r="N61" s="107"/>
      <c r="O61" s="113">
        <v>653615.42635499989</v>
      </c>
      <c r="Q61" s="367"/>
      <c r="R61" s="367"/>
      <c r="S61" s="367"/>
      <c r="T61" s="367"/>
      <c r="U61" s="367"/>
      <c r="V61" s="367"/>
      <c r="W61" s="367"/>
      <c r="X61" s="367"/>
      <c r="Y61" s="367"/>
      <c r="Z61" s="367"/>
      <c r="AA61" s="367"/>
      <c r="AB61" s="367"/>
      <c r="AC61" s="368">
        <v>653615.42635499989</v>
      </c>
      <c r="AE61" s="107"/>
      <c r="AF61" s="107"/>
      <c r="AG61" s="107"/>
      <c r="AH61" s="107"/>
      <c r="AI61" s="107"/>
      <c r="AJ61" s="107"/>
      <c r="AK61" s="107"/>
      <c r="AL61" s="107"/>
      <c r="AM61" s="107"/>
      <c r="AN61" s="107"/>
      <c r="AO61" s="107"/>
      <c r="AP61" s="107"/>
      <c r="AQ61" s="113">
        <v>653615.42635499989</v>
      </c>
    </row>
    <row r="62" spans="1:43">
      <c r="C62" s="122"/>
      <c r="D62" s="14"/>
      <c r="E62" s="14"/>
      <c r="F62" s="14"/>
      <c r="K62" s="107"/>
      <c r="O62" s="20">
        <v>62963.80665500008</v>
      </c>
      <c r="Q62" s="369"/>
      <c r="R62" s="369"/>
      <c r="S62" s="369"/>
      <c r="T62" s="369"/>
      <c r="U62" s="369"/>
      <c r="V62" s="369"/>
      <c r="W62" s="369"/>
      <c r="X62" s="369"/>
      <c r="Y62" s="369"/>
      <c r="Z62" s="369"/>
      <c r="AA62" s="369"/>
      <c r="AB62" s="369"/>
      <c r="AC62" s="370">
        <v>62963.80665500008</v>
      </c>
      <c r="AQ62" s="20">
        <v>62963.80665500008</v>
      </c>
    </row>
    <row r="63" spans="1:43">
      <c r="C63" s="14"/>
      <c r="D63" s="14"/>
      <c r="E63" s="14"/>
      <c r="F63" s="14"/>
      <c r="O63" s="44">
        <v>9.6331579880433213E-2</v>
      </c>
      <c r="Q63" s="369"/>
      <c r="R63" s="369"/>
      <c r="S63" s="369"/>
      <c r="T63" s="369"/>
      <c r="U63" s="369"/>
      <c r="V63" s="369"/>
      <c r="W63" s="369"/>
      <c r="X63" s="369"/>
      <c r="Y63" s="369"/>
      <c r="Z63" s="369"/>
      <c r="AA63" s="369"/>
      <c r="AB63" s="369"/>
      <c r="AC63" s="371">
        <v>9.6331579880433213E-2</v>
      </c>
      <c r="AQ63" s="44">
        <v>9.6331579880433213E-2</v>
      </c>
    </row>
    <row r="64" spans="1:43" ht="13" thickBot="1">
      <c r="C64" s="112">
        <v>37742.744568000002</v>
      </c>
      <c r="D64" s="112">
        <v>41387.313312000006</v>
      </c>
      <c r="E64" s="112">
        <v>38951.766323999997</v>
      </c>
      <c r="F64" s="112">
        <v>38951.766323999997</v>
      </c>
      <c r="G64" s="113">
        <v>45852.430826999996</v>
      </c>
      <c r="H64" s="113">
        <v>63765</v>
      </c>
      <c r="I64" s="113">
        <v>52578.33</v>
      </c>
      <c r="J64" s="113">
        <v>58275</v>
      </c>
      <c r="K64" s="113">
        <v>68265</v>
      </c>
      <c r="L64" s="113">
        <v>69930</v>
      </c>
      <c r="M64" s="113">
        <v>70560</v>
      </c>
      <c r="N64" s="113">
        <v>67356.074999999997</v>
      </c>
      <c r="O64" s="113">
        <v>653615.42635499989</v>
      </c>
      <c r="Q64" s="368">
        <v>37742.744568000002</v>
      </c>
      <c r="R64" s="368">
        <v>41387.313312000006</v>
      </c>
      <c r="S64" s="368">
        <v>38951.766323999997</v>
      </c>
      <c r="T64" s="368">
        <v>38951.766323999997</v>
      </c>
      <c r="U64" s="368">
        <v>45852.430826999996</v>
      </c>
      <c r="V64" s="368">
        <v>63765</v>
      </c>
      <c r="W64" s="368">
        <v>52578.33</v>
      </c>
      <c r="X64" s="368">
        <v>58275</v>
      </c>
      <c r="Y64" s="368">
        <v>68265</v>
      </c>
      <c r="Z64" s="368">
        <v>69930</v>
      </c>
      <c r="AA64" s="368">
        <v>70560</v>
      </c>
      <c r="AB64" s="368">
        <v>67356.074999999997</v>
      </c>
      <c r="AC64" s="368">
        <v>653615.42635499989</v>
      </c>
      <c r="AE64" s="113">
        <v>37742.744568000002</v>
      </c>
      <c r="AF64" s="113">
        <v>41387.313312000006</v>
      </c>
      <c r="AG64" s="113">
        <v>38951.766323999997</v>
      </c>
      <c r="AH64" s="113">
        <v>38951.766323999997</v>
      </c>
      <c r="AI64" s="113">
        <v>45852.430826999996</v>
      </c>
      <c r="AJ64" s="113">
        <v>63765</v>
      </c>
      <c r="AK64" s="113">
        <v>52578.33</v>
      </c>
      <c r="AL64" s="113">
        <v>58275</v>
      </c>
      <c r="AM64" s="113">
        <v>68265</v>
      </c>
      <c r="AN64" s="113">
        <v>69930</v>
      </c>
      <c r="AO64" s="113">
        <v>70560</v>
      </c>
      <c r="AP64" s="113">
        <v>67356.074999999997</v>
      </c>
      <c r="AQ64" s="113">
        <v>653615.42635499989</v>
      </c>
    </row>
    <row r="65" spans="1:42">
      <c r="C65" s="14"/>
      <c r="D65" s="14"/>
      <c r="E65" s="14"/>
      <c r="F65" s="14"/>
    </row>
    <row r="66" spans="1:42">
      <c r="C66" s="14"/>
      <c r="D66" s="14"/>
      <c r="E66" s="14"/>
      <c r="F66" s="14"/>
    </row>
    <row r="67" spans="1:42">
      <c r="C67" s="14"/>
      <c r="D67" s="14"/>
      <c r="E67" s="14"/>
      <c r="F67" s="14"/>
    </row>
    <row r="68" spans="1:42">
      <c r="A68" s="13" t="s">
        <v>104</v>
      </c>
      <c r="C68" s="14"/>
      <c r="D68" s="14"/>
      <c r="E68" s="14"/>
      <c r="F68" s="14"/>
    </row>
    <row r="69" spans="1:42">
      <c r="C69" s="14"/>
      <c r="D69" s="14"/>
      <c r="E69" s="14"/>
      <c r="F69" s="14"/>
    </row>
    <row r="70" spans="1:42">
      <c r="A70" s="22" t="s">
        <v>108</v>
      </c>
      <c r="B70" s="22"/>
      <c r="C70" s="123">
        <v>-68172.66</v>
      </c>
      <c r="D70" s="123">
        <v>-98632.36</v>
      </c>
      <c r="E70" s="123">
        <f t="shared" ref="E70:N70" si="109">-E3*40%</f>
        <v>-97464</v>
      </c>
      <c r="F70" s="123">
        <f t="shared" si="109"/>
        <v>-90574.400000000009</v>
      </c>
      <c r="G70" s="124">
        <f t="shared" si="109"/>
        <v>-84000</v>
      </c>
      <c r="H70" s="124">
        <f t="shared" si="109"/>
        <v>-124000</v>
      </c>
      <c r="I70" s="124">
        <f t="shared" si="109"/>
        <v>-96000</v>
      </c>
      <c r="J70" s="124">
        <f t="shared" si="109"/>
        <v>-96000</v>
      </c>
      <c r="K70" s="124">
        <f t="shared" si="109"/>
        <v>-124000</v>
      </c>
      <c r="L70" s="124">
        <f t="shared" si="109"/>
        <v>-124000</v>
      </c>
      <c r="M70" s="124">
        <f t="shared" si="109"/>
        <v>-124000</v>
      </c>
      <c r="N70" s="124">
        <f t="shared" si="109"/>
        <v>-96000</v>
      </c>
      <c r="Q70" s="124">
        <f t="shared" ref="Q70:AB70" si="110">-Q3*40%</f>
        <v>-78032.479999999996</v>
      </c>
      <c r="R70" s="124">
        <f t="shared" si="110"/>
        <v>-107681.60000000001</v>
      </c>
      <c r="S70" s="124">
        <f t="shared" si="110"/>
        <v>-101084.96400000001</v>
      </c>
      <c r="T70" s="124">
        <f t="shared" si="110"/>
        <v>-100038.81599999999</v>
      </c>
      <c r="U70" s="124">
        <f t="shared" si="110"/>
        <v>-97089.342297872339</v>
      </c>
      <c r="V70" s="124">
        <f t="shared" si="110"/>
        <v>-124283.12800000001</v>
      </c>
      <c r="W70" s="124">
        <f t="shared" si="110"/>
        <v>-98085.36</v>
      </c>
      <c r="X70" s="124">
        <f t="shared" si="110"/>
        <v>-107975.27795744683</v>
      </c>
      <c r="Y70" s="124">
        <f t="shared" si="110"/>
        <v>-129840.29600000003</v>
      </c>
      <c r="Z70" s="124">
        <f t="shared" si="110"/>
        <v>-136873.12399999998</v>
      </c>
      <c r="AA70" s="124">
        <f t="shared" si="110"/>
        <v>-134894.34479999999</v>
      </c>
      <c r="AB70" s="124">
        <f t="shared" si="110"/>
        <v>-105896.28480000001</v>
      </c>
      <c r="AE70" s="124">
        <v>-68172.66</v>
      </c>
      <c r="AF70" s="124">
        <v>-98632.36</v>
      </c>
      <c r="AG70" s="124">
        <f t="shared" ref="AG70:AP70" si="111">-AG3*40%</f>
        <v>-120000</v>
      </c>
      <c r="AH70" s="124">
        <f t="shared" si="111"/>
        <v>-120000</v>
      </c>
      <c r="AI70" s="124">
        <f t="shared" si="111"/>
        <v>-120000</v>
      </c>
      <c r="AJ70" s="124">
        <f t="shared" si="111"/>
        <v>-120000</v>
      </c>
      <c r="AK70" s="124">
        <f t="shared" si="111"/>
        <v>-120000</v>
      </c>
      <c r="AL70" s="124">
        <f t="shared" si="111"/>
        <v>-120000</v>
      </c>
      <c r="AM70" s="124">
        <f t="shared" si="111"/>
        <v>-120000</v>
      </c>
      <c r="AN70" s="124">
        <f t="shared" si="111"/>
        <v>-120000</v>
      </c>
      <c r="AO70" s="124">
        <f t="shared" si="111"/>
        <v>-120000</v>
      </c>
      <c r="AP70" s="124">
        <f t="shared" si="111"/>
        <v>-120000</v>
      </c>
    </row>
    <row r="71" spans="1:42">
      <c r="A71" s="22" t="s">
        <v>486</v>
      </c>
      <c r="B71" s="22"/>
      <c r="C71" s="123"/>
      <c r="D71" s="123"/>
      <c r="E71" s="123">
        <f>E82</f>
        <v>-2170.98</v>
      </c>
      <c r="F71" s="123">
        <f t="shared" ref="F71:N71" si="112">F82</f>
        <v>-2119.308</v>
      </c>
      <c r="G71" s="124">
        <f t="shared" si="112"/>
        <v>-2070</v>
      </c>
      <c r="H71" s="124">
        <f t="shared" si="112"/>
        <v>-2370</v>
      </c>
      <c r="I71" s="124">
        <f t="shared" si="112"/>
        <v>-2160</v>
      </c>
      <c r="J71" s="124">
        <f t="shared" si="112"/>
        <v>-2160</v>
      </c>
      <c r="K71" s="124">
        <f>K82</f>
        <v>-2370</v>
      </c>
      <c r="L71" s="124">
        <f t="shared" si="112"/>
        <v>-2370</v>
      </c>
      <c r="M71" s="124">
        <f t="shared" si="112"/>
        <v>-2370</v>
      </c>
      <c r="N71" s="124">
        <f t="shared" si="112"/>
        <v>-2160</v>
      </c>
      <c r="Q71" s="124">
        <f t="shared" ref="Q71:R71" si="113">Q82</f>
        <v>-2025.2436</v>
      </c>
      <c r="R71" s="124">
        <f t="shared" si="113"/>
        <v>-2247.6120000000001</v>
      </c>
      <c r="S71" s="372">
        <f>S82</f>
        <v>-2198.1372300000003</v>
      </c>
      <c r="T71" s="372">
        <f t="shared" ref="T71:AB71" si="114">T82</f>
        <v>-2190.2911199999999</v>
      </c>
      <c r="U71" s="372">
        <f t="shared" si="114"/>
        <v>-2168.1700672340426</v>
      </c>
      <c r="V71" s="372">
        <f t="shared" si="114"/>
        <v>-2372.1234599999998</v>
      </c>
      <c r="W71" s="372">
        <f t="shared" si="114"/>
        <v>-2175.6401999999998</v>
      </c>
      <c r="X71" s="372">
        <f t="shared" si="114"/>
        <v>-2249.8145846808511</v>
      </c>
      <c r="Y71" s="372">
        <f t="shared" si="114"/>
        <v>-2413.80222</v>
      </c>
      <c r="Z71" s="372">
        <f t="shared" si="114"/>
        <v>-2466.5484299999998</v>
      </c>
      <c r="AA71" s="372">
        <f t="shared" si="114"/>
        <v>-2451.707586</v>
      </c>
      <c r="AB71" s="372">
        <f t="shared" si="114"/>
        <v>-2234.2221359999999</v>
      </c>
      <c r="AE71" s="124"/>
      <c r="AF71" s="124"/>
      <c r="AG71" s="124">
        <f>AG82</f>
        <v>-2340</v>
      </c>
      <c r="AH71" s="124">
        <f t="shared" ref="AH71:AP71" si="115">AH82</f>
        <v>-2340</v>
      </c>
      <c r="AI71" s="124">
        <f t="shared" si="115"/>
        <v>-2340</v>
      </c>
      <c r="AJ71" s="124">
        <f t="shared" si="115"/>
        <v>-2340</v>
      </c>
      <c r="AK71" s="124">
        <f t="shared" si="115"/>
        <v>-2340</v>
      </c>
      <c r="AL71" s="124">
        <f t="shared" si="115"/>
        <v>-2340</v>
      </c>
      <c r="AM71" s="124">
        <f t="shared" si="115"/>
        <v>-2340</v>
      </c>
      <c r="AN71" s="124">
        <f t="shared" si="115"/>
        <v>-2340</v>
      </c>
      <c r="AO71" s="124">
        <f t="shared" si="115"/>
        <v>-2340</v>
      </c>
      <c r="AP71" s="124">
        <f t="shared" si="115"/>
        <v>-2340</v>
      </c>
    </row>
    <row r="72" spans="1:42">
      <c r="C72" s="14"/>
      <c r="D72" s="14"/>
      <c r="E72" s="14"/>
      <c r="F72" s="14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spans="1:42">
      <c r="A73" s="125" t="s">
        <v>110</v>
      </c>
      <c r="B73" s="125"/>
      <c r="C73" s="126"/>
      <c r="D73" s="126"/>
      <c r="E73" s="127">
        <f>SUM(E70:E71)</f>
        <v>-99634.98</v>
      </c>
      <c r="F73" s="127">
        <f t="shared" ref="F73:N73" si="116">SUM(F70:F71)</f>
        <v>-92693.708000000013</v>
      </c>
      <c r="G73" s="128">
        <f t="shared" si="116"/>
        <v>-86070</v>
      </c>
      <c r="H73" s="128">
        <f t="shared" si="116"/>
        <v>-126370</v>
      </c>
      <c r="I73" s="128">
        <f t="shared" si="116"/>
        <v>-98160</v>
      </c>
      <c r="J73" s="128">
        <f t="shared" si="116"/>
        <v>-98160</v>
      </c>
      <c r="K73" s="128">
        <f t="shared" si="116"/>
        <v>-126370</v>
      </c>
      <c r="L73" s="128">
        <f t="shared" si="116"/>
        <v>-126370</v>
      </c>
      <c r="M73" s="128">
        <f t="shared" si="116"/>
        <v>-126370</v>
      </c>
      <c r="N73" s="128">
        <f t="shared" si="116"/>
        <v>-98160</v>
      </c>
      <c r="Q73" s="373">
        <f t="shared" ref="Q73:R73" si="117">SUM(Q70:Q71)</f>
        <v>-80057.723599999998</v>
      </c>
      <c r="R73" s="373">
        <f t="shared" si="117"/>
        <v>-109929.212</v>
      </c>
      <c r="S73" s="373">
        <f>SUM(S70:S71)</f>
        <v>-103283.10123</v>
      </c>
      <c r="T73" s="373">
        <f t="shared" ref="T73:AB73" si="118">SUM(T70:T71)</f>
        <v>-102229.10711999999</v>
      </c>
      <c r="U73" s="373">
        <f t="shared" si="118"/>
        <v>-99257.512365106377</v>
      </c>
      <c r="V73" s="373">
        <f t="shared" si="118"/>
        <v>-126655.25146000001</v>
      </c>
      <c r="W73" s="373">
        <f t="shared" si="118"/>
        <v>-100261.00019999999</v>
      </c>
      <c r="X73" s="373">
        <f t="shared" si="118"/>
        <v>-110225.09254212768</v>
      </c>
      <c r="Y73" s="373">
        <f t="shared" si="118"/>
        <v>-132254.09822000004</v>
      </c>
      <c r="Z73" s="373">
        <f t="shared" si="118"/>
        <v>-139339.67242999998</v>
      </c>
      <c r="AA73" s="373">
        <f t="shared" si="118"/>
        <v>-137346.052386</v>
      </c>
      <c r="AB73" s="373">
        <f t="shared" si="118"/>
        <v>-108130.50693600001</v>
      </c>
      <c r="AE73" s="128"/>
      <c r="AF73" s="128"/>
      <c r="AG73" s="128">
        <f>SUM(AG70:AG71)</f>
        <v>-122340</v>
      </c>
      <c r="AH73" s="128">
        <f t="shared" ref="AH73:AP73" si="119">SUM(AH70:AH71)</f>
        <v>-122340</v>
      </c>
      <c r="AI73" s="128">
        <f t="shared" si="119"/>
        <v>-122340</v>
      </c>
      <c r="AJ73" s="128">
        <f t="shared" si="119"/>
        <v>-122340</v>
      </c>
      <c r="AK73" s="128">
        <f t="shared" si="119"/>
        <v>-122340</v>
      </c>
      <c r="AL73" s="128">
        <f t="shared" si="119"/>
        <v>-122340</v>
      </c>
      <c r="AM73" s="128">
        <f t="shared" si="119"/>
        <v>-122340</v>
      </c>
      <c r="AN73" s="128">
        <f t="shared" si="119"/>
        <v>-122340</v>
      </c>
      <c r="AO73" s="128">
        <f t="shared" si="119"/>
        <v>-122340</v>
      </c>
      <c r="AP73" s="128">
        <f t="shared" si="119"/>
        <v>-122340</v>
      </c>
    </row>
    <row r="74" spans="1:42" ht="13" thickTop="1">
      <c r="C74" s="14"/>
      <c r="D74" s="14"/>
      <c r="E74" s="14"/>
      <c r="F74" s="14"/>
    </row>
    <row r="75" spans="1:42">
      <c r="A75" s="129" t="s">
        <v>487</v>
      </c>
      <c r="B75" s="129"/>
      <c r="C75" s="130">
        <v>0.39500000000000002</v>
      </c>
      <c r="D75" s="130">
        <v>0.38300000000000001</v>
      </c>
      <c r="E75" s="131">
        <f t="shared" ref="E75:N75" si="120">-E70/E3</f>
        <v>0.4</v>
      </c>
      <c r="F75" s="131">
        <f t="shared" si="120"/>
        <v>0.4</v>
      </c>
      <c r="G75" s="132">
        <f t="shared" si="120"/>
        <v>0.4</v>
      </c>
      <c r="H75" s="132">
        <f t="shared" si="120"/>
        <v>0.4</v>
      </c>
      <c r="I75" s="132">
        <f t="shared" si="120"/>
        <v>0.4</v>
      </c>
      <c r="J75" s="132">
        <f t="shared" si="120"/>
        <v>0.4</v>
      </c>
      <c r="K75" s="132">
        <f t="shared" si="120"/>
        <v>0.4</v>
      </c>
      <c r="L75" s="132">
        <f t="shared" si="120"/>
        <v>0.4</v>
      </c>
      <c r="M75" s="132">
        <f t="shared" si="120"/>
        <v>0.4</v>
      </c>
      <c r="N75" s="132">
        <f t="shared" si="120"/>
        <v>0.4</v>
      </c>
      <c r="Q75" s="132">
        <v>0.39500000000000002</v>
      </c>
      <c r="R75" s="132">
        <v>0.38300000000000001</v>
      </c>
      <c r="S75" s="132">
        <f t="shared" ref="S75:AB75" si="121">-S70/S3</f>
        <v>0.4</v>
      </c>
      <c r="T75" s="132">
        <f t="shared" si="121"/>
        <v>0.4</v>
      </c>
      <c r="U75" s="132">
        <f t="shared" si="121"/>
        <v>0.4</v>
      </c>
      <c r="V75" s="132">
        <f t="shared" si="121"/>
        <v>0.4</v>
      </c>
      <c r="W75" s="132">
        <f t="shared" si="121"/>
        <v>0.4</v>
      </c>
      <c r="X75" s="132">
        <f t="shared" si="121"/>
        <v>0.4</v>
      </c>
      <c r="Y75" s="132">
        <f t="shared" si="121"/>
        <v>0.4</v>
      </c>
      <c r="Z75" s="132">
        <f t="shared" si="121"/>
        <v>0.4</v>
      </c>
      <c r="AA75" s="132">
        <f t="shared" si="121"/>
        <v>0.4</v>
      </c>
      <c r="AB75" s="132">
        <f t="shared" si="121"/>
        <v>0.4</v>
      </c>
      <c r="AE75" s="132">
        <v>0.39500000000000002</v>
      </c>
      <c r="AF75" s="132">
        <v>0.38300000000000001</v>
      </c>
      <c r="AG75" s="132">
        <f t="shared" ref="AG75:AP75" si="122">-AG70/AG3</f>
        <v>0.4</v>
      </c>
      <c r="AH75" s="132">
        <f t="shared" si="122"/>
        <v>0.4</v>
      </c>
      <c r="AI75" s="132">
        <f t="shared" si="122"/>
        <v>0.4</v>
      </c>
      <c r="AJ75" s="132">
        <f t="shared" si="122"/>
        <v>0.4</v>
      </c>
      <c r="AK75" s="132">
        <f t="shared" si="122"/>
        <v>0.4</v>
      </c>
      <c r="AL75" s="132">
        <f t="shared" si="122"/>
        <v>0.4</v>
      </c>
      <c r="AM75" s="132">
        <f t="shared" si="122"/>
        <v>0.4</v>
      </c>
      <c r="AN75" s="132">
        <f t="shared" si="122"/>
        <v>0.4</v>
      </c>
      <c r="AO75" s="132">
        <f t="shared" si="122"/>
        <v>0.4</v>
      </c>
      <c r="AP75" s="132">
        <f t="shared" si="122"/>
        <v>0.4</v>
      </c>
    </row>
    <row r="76" spans="1:42">
      <c r="A76" s="129" t="s">
        <v>488</v>
      </c>
      <c r="B76" s="129"/>
      <c r="C76" s="130">
        <v>0.39</v>
      </c>
      <c r="D76" s="130">
        <v>0.41</v>
      </c>
      <c r="E76" s="131">
        <f t="shared" ref="E76:N76" si="123">-E73/E3</f>
        <v>0.40890987441516868</v>
      </c>
      <c r="F76" s="131">
        <f t="shared" si="123"/>
        <v>0.40935941281421689</v>
      </c>
      <c r="G76" s="132">
        <f t="shared" si="123"/>
        <v>0.40985714285714286</v>
      </c>
      <c r="H76" s="132">
        <f t="shared" si="123"/>
        <v>0.40764516129032258</v>
      </c>
      <c r="I76" s="132">
        <f t="shared" si="123"/>
        <v>0.40899999999999997</v>
      </c>
      <c r="J76" s="132">
        <f t="shared" si="123"/>
        <v>0.40899999999999997</v>
      </c>
      <c r="K76" s="132">
        <f t="shared" si="123"/>
        <v>0.40764516129032258</v>
      </c>
      <c r="L76" s="132">
        <f t="shared" si="123"/>
        <v>0.40764516129032258</v>
      </c>
      <c r="M76" s="132">
        <f t="shared" si="123"/>
        <v>0.40764516129032258</v>
      </c>
      <c r="N76" s="132">
        <f t="shared" si="123"/>
        <v>0.40899999999999997</v>
      </c>
      <c r="Q76" s="132">
        <v>0.39</v>
      </c>
      <c r="R76" s="132">
        <v>0.41</v>
      </c>
      <c r="S76" s="132">
        <f t="shared" ref="S76:AB76" si="124">-S73/S3</f>
        <v>0.40869817683270876</v>
      </c>
      <c r="T76" s="132">
        <f t="shared" si="124"/>
        <v>0.40875776506591199</v>
      </c>
      <c r="U76" s="132">
        <f t="shared" si="124"/>
        <v>0.40893268000758332</v>
      </c>
      <c r="V76" s="132">
        <f t="shared" si="124"/>
        <v>0.4076345792004849</v>
      </c>
      <c r="W76" s="132">
        <f t="shared" si="124"/>
        <v>0.40887243600879886</v>
      </c>
      <c r="X76" s="132">
        <f t="shared" si="124"/>
        <v>0.40833455445446504</v>
      </c>
      <c r="Y76" s="132">
        <f t="shared" si="124"/>
        <v>0.40743621909179883</v>
      </c>
      <c r="Z76" s="132">
        <f t="shared" si="124"/>
        <v>0.40720827685645578</v>
      </c>
      <c r="AA76" s="132">
        <f t="shared" si="124"/>
        <v>0.40727000850816991</v>
      </c>
      <c r="AB76" s="132">
        <f t="shared" si="124"/>
        <v>0.40843928430622339</v>
      </c>
      <c r="AE76" s="132">
        <v>0.39</v>
      </c>
      <c r="AF76" s="132">
        <v>0.41</v>
      </c>
      <c r="AG76" s="132">
        <f t="shared" ref="AG76:AP76" si="125">-AG73/AG3</f>
        <v>0.4078</v>
      </c>
      <c r="AH76" s="132">
        <f t="shared" si="125"/>
        <v>0.4078</v>
      </c>
      <c r="AI76" s="132">
        <f t="shared" si="125"/>
        <v>0.4078</v>
      </c>
      <c r="AJ76" s="132">
        <f t="shared" si="125"/>
        <v>0.4078</v>
      </c>
      <c r="AK76" s="132">
        <f t="shared" si="125"/>
        <v>0.4078</v>
      </c>
      <c r="AL76" s="132">
        <f t="shared" si="125"/>
        <v>0.4078</v>
      </c>
      <c r="AM76" s="132">
        <f t="shared" si="125"/>
        <v>0.4078</v>
      </c>
      <c r="AN76" s="132">
        <f t="shared" si="125"/>
        <v>0.4078</v>
      </c>
      <c r="AO76" s="132">
        <f t="shared" si="125"/>
        <v>0.4078</v>
      </c>
      <c r="AP76" s="132">
        <f t="shared" si="125"/>
        <v>0.4078</v>
      </c>
    </row>
    <row r="77" spans="1:42">
      <c r="C77" s="14"/>
      <c r="D77" s="14"/>
      <c r="E77" s="131"/>
      <c r="F77" s="131"/>
      <c r="G77" s="132"/>
      <c r="H77" s="132"/>
      <c r="I77" s="132"/>
      <c r="J77" s="132"/>
      <c r="K77" s="132"/>
      <c r="L77" s="132"/>
      <c r="M77" s="132"/>
      <c r="N77" s="132"/>
      <c r="Q77" s="132"/>
      <c r="R77" s="132"/>
      <c r="S77" s="132"/>
      <c r="T77" s="132"/>
      <c r="U77" s="132"/>
      <c r="V77" s="132"/>
      <c r="W77" s="132"/>
      <c r="X77" s="132"/>
      <c r="Y77" s="132"/>
      <c r="Z77" s="132"/>
      <c r="AA77" s="132"/>
      <c r="AB77" s="132"/>
      <c r="AE77" s="132"/>
      <c r="AF77" s="132"/>
      <c r="AG77" s="132"/>
      <c r="AH77" s="132"/>
      <c r="AI77" s="132"/>
      <c r="AJ77" s="132"/>
      <c r="AK77" s="132"/>
      <c r="AL77" s="132"/>
      <c r="AM77" s="132"/>
      <c r="AN77" s="132"/>
      <c r="AO77" s="132"/>
      <c r="AP77" s="132"/>
    </row>
    <row r="78" spans="1:42">
      <c r="A78" s="13" t="s">
        <v>489</v>
      </c>
      <c r="C78" s="14"/>
      <c r="D78" s="14"/>
      <c r="E78" s="14"/>
      <c r="F78" s="14"/>
    </row>
    <row r="79" spans="1:42">
      <c r="A79" s="13" t="s">
        <v>490</v>
      </c>
      <c r="C79" s="14"/>
      <c r="D79" s="14"/>
      <c r="E79" s="133">
        <v>-1440</v>
      </c>
      <c r="F79" s="133">
        <v>-1440</v>
      </c>
      <c r="G79" s="23">
        <v>-1440</v>
      </c>
      <c r="H79" s="23">
        <v>-1440</v>
      </c>
      <c r="I79" s="23">
        <v>-1440</v>
      </c>
      <c r="J79" s="23">
        <v>-1440</v>
      </c>
      <c r="K79" s="23">
        <v>-1440</v>
      </c>
      <c r="L79" s="23">
        <v>-1440</v>
      </c>
      <c r="M79" s="23">
        <v>-1440</v>
      </c>
      <c r="N79" s="23">
        <v>-1440</v>
      </c>
      <c r="Q79" s="23">
        <v>-1440</v>
      </c>
      <c r="R79" s="23">
        <v>-1440</v>
      </c>
      <c r="S79" s="23">
        <v>-1440</v>
      </c>
      <c r="T79" s="23">
        <v>-1440</v>
      </c>
      <c r="U79" s="23">
        <v>-1440</v>
      </c>
      <c r="V79" s="23">
        <v>-1440</v>
      </c>
      <c r="W79" s="23">
        <v>-1440</v>
      </c>
      <c r="X79" s="23">
        <v>-1440</v>
      </c>
      <c r="Y79" s="23">
        <v>-1440</v>
      </c>
      <c r="Z79" s="23">
        <v>-1440</v>
      </c>
      <c r="AA79" s="23">
        <v>-1440</v>
      </c>
      <c r="AB79" s="23">
        <v>-1440</v>
      </c>
      <c r="AE79" s="23"/>
      <c r="AF79" s="23"/>
      <c r="AG79" s="23">
        <v>-1440</v>
      </c>
      <c r="AH79" s="23">
        <v>-1440</v>
      </c>
      <c r="AI79" s="23">
        <v>-1440</v>
      </c>
      <c r="AJ79" s="23">
        <v>-1440</v>
      </c>
      <c r="AK79" s="23">
        <v>-1440</v>
      </c>
      <c r="AL79" s="23">
        <v>-1440</v>
      </c>
      <c r="AM79" s="23">
        <v>-1440</v>
      </c>
      <c r="AN79" s="23">
        <v>-1440</v>
      </c>
      <c r="AO79" s="23">
        <v>-1440</v>
      </c>
      <c r="AP79" s="23">
        <v>-1440</v>
      </c>
    </row>
    <row r="80" spans="1:42">
      <c r="A80" s="13" t="s">
        <v>491</v>
      </c>
      <c r="C80" s="14"/>
      <c r="D80" s="14"/>
      <c r="E80" s="133">
        <f t="shared" ref="E80:N80" si="126">-E3*0.3%</f>
        <v>-730.98</v>
      </c>
      <c r="F80" s="133">
        <f t="shared" si="126"/>
        <v>-679.30799999999999</v>
      </c>
      <c r="G80" s="23">
        <f t="shared" si="126"/>
        <v>-630</v>
      </c>
      <c r="H80" s="23">
        <f t="shared" si="126"/>
        <v>-930</v>
      </c>
      <c r="I80" s="23">
        <f t="shared" si="126"/>
        <v>-720</v>
      </c>
      <c r="J80" s="23">
        <f t="shared" si="126"/>
        <v>-720</v>
      </c>
      <c r="K80" s="23">
        <f t="shared" si="126"/>
        <v>-930</v>
      </c>
      <c r="L80" s="23">
        <f t="shared" si="126"/>
        <v>-930</v>
      </c>
      <c r="M80" s="23">
        <f t="shared" si="126"/>
        <v>-930</v>
      </c>
      <c r="N80" s="23">
        <f t="shared" si="126"/>
        <v>-720</v>
      </c>
      <c r="Q80" s="23">
        <f>-Q3*0.3%</f>
        <v>-585.24360000000001</v>
      </c>
      <c r="R80" s="23">
        <f t="shared" ref="R80" si="127">-R3*0.3%</f>
        <v>-807.61199999999997</v>
      </c>
      <c r="S80" s="23">
        <f t="shared" ref="S80:AB80" si="128">-S3*0.3%</f>
        <v>-758.13723000000005</v>
      </c>
      <c r="T80" s="23">
        <f t="shared" si="128"/>
        <v>-750.29111999999998</v>
      </c>
      <c r="U80" s="23">
        <f t="shared" si="128"/>
        <v>-728.17006723404245</v>
      </c>
      <c r="V80" s="23">
        <f t="shared" si="128"/>
        <v>-932.12346000000002</v>
      </c>
      <c r="W80" s="23">
        <f t="shared" si="128"/>
        <v>-735.64020000000005</v>
      </c>
      <c r="X80" s="23">
        <f t="shared" si="128"/>
        <v>-809.81458468085123</v>
      </c>
      <c r="Y80" s="23">
        <f t="shared" si="128"/>
        <v>-973.80222000000015</v>
      </c>
      <c r="Z80" s="23">
        <f t="shared" si="128"/>
        <v>-1026.5484299999998</v>
      </c>
      <c r="AA80" s="23">
        <f t="shared" si="128"/>
        <v>-1011.7075859999999</v>
      </c>
      <c r="AB80" s="23">
        <f t="shared" si="128"/>
        <v>-794.22213599999998</v>
      </c>
      <c r="AE80" s="23"/>
      <c r="AF80" s="23"/>
      <c r="AG80" s="23">
        <f t="shared" ref="AG80:AP80" si="129">-AG3*0.3%</f>
        <v>-900</v>
      </c>
      <c r="AH80" s="23">
        <f t="shared" si="129"/>
        <v>-900</v>
      </c>
      <c r="AI80" s="23">
        <f t="shared" si="129"/>
        <v>-900</v>
      </c>
      <c r="AJ80" s="23">
        <f t="shared" si="129"/>
        <v>-900</v>
      </c>
      <c r="AK80" s="23">
        <f t="shared" si="129"/>
        <v>-900</v>
      </c>
      <c r="AL80" s="23">
        <f t="shared" si="129"/>
        <v>-900</v>
      </c>
      <c r="AM80" s="23">
        <f t="shared" si="129"/>
        <v>-900</v>
      </c>
      <c r="AN80" s="23">
        <f t="shared" si="129"/>
        <v>-900</v>
      </c>
      <c r="AO80" s="23">
        <f t="shared" si="129"/>
        <v>-900</v>
      </c>
      <c r="AP80" s="23">
        <f t="shared" si="129"/>
        <v>-900</v>
      </c>
    </row>
    <row r="81" spans="1:43">
      <c r="A81" s="13" t="s">
        <v>492</v>
      </c>
      <c r="C81" s="14"/>
      <c r="D81" s="14"/>
      <c r="E81" s="123"/>
      <c r="F81" s="123"/>
      <c r="G81" s="124"/>
      <c r="H81" s="124"/>
      <c r="I81" s="124"/>
      <c r="J81" s="124"/>
      <c r="K81" s="124"/>
      <c r="L81" s="124"/>
      <c r="M81" s="124"/>
      <c r="N81" s="124"/>
      <c r="Q81" s="124"/>
      <c r="R81" s="124"/>
      <c r="S81" s="124"/>
      <c r="T81" s="124"/>
      <c r="U81" s="124"/>
      <c r="V81" s="124"/>
      <c r="W81" s="124"/>
      <c r="X81" s="124"/>
      <c r="Y81" s="124"/>
      <c r="Z81" s="124"/>
      <c r="AA81" s="124"/>
      <c r="AB81" s="124"/>
      <c r="AE81" s="124"/>
      <c r="AF81" s="124"/>
      <c r="AG81" s="124"/>
      <c r="AH81" s="124"/>
      <c r="AI81" s="124"/>
      <c r="AJ81" s="124"/>
      <c r="AK81" s="124"/>
      <c r="AL81" s="124"/>
      <c r="AM81" s="124"/>
      <c r="AN81" s="124"/>
      <c r="AO81" s="124"/>
      <c r="AP81" s="124"/>
    </row>
    <row r="82" spans="1:43" ht="13" thickBot="1">
      <c r="A82" s="125" t="s">
        <v>207</v>
      </c>
      <c r="B82" s="125"/>
      <c r="C82" s="126"/>
      <c r="D82" s="126"/>
      <c r="E82" s="127">
        <f>SUM(E79:E80)</f>
        <v>-2170.98</v>
      </c>
      <c r="F82" s="127">
        <f t="shared" ref="F82:N82" si="130">SUM(F79:F80)</f>
        <v>-2119.308</v>
      </c>
      <c r="G82" s="128">
        <f t="shared" si="130"/>
        <v>-2070</v>
      </c>
      <c r="H82" s="128">
        <f t="shared" si="130"/>
        <v>-2370</v>
      </c>
      <c r="I82" s="128">
        <f t="shared" si="130"/>
        <v>-2160</v>
      </c>
      <c r="J82" s="128">
        <f t="shared" si="130"/>
        <v>-2160</v>
      </c>
      <c r="K82" s="128">
        <f t="shared" si="130"/>
        <v>-2370</v>
      </c>
      <c r="L82" s="128">
        <f t="shared" si="130"/>
        <v>-2370</v>
      </c>
      <c r="M82" s="128">
        <f t="shared" si="130"/>
        <v>-2370</v>
      </c>
      <c r="N82" s="128">
        <f t="shared" si="130"/>
        <v>-2160</v>
      </c>
      <c r="Q82" s="128">
        <f t="shared" ref="Q82:T82" si="131">SUM(Q79:Q80)</f>
        <v>-2025.2436</v>
      </c>
      <c r="R82" s="128">
        <f t="shared" si="131"/>
        <v>-2247.6120000000001</v>
      </c>
      <c r="S82" s="128">
        <f t="shared" si="131"/>
        <v>-2198.1372300000003</v>
      </c>
      <c r="T82" s="128">
        <f t="shared" si="131"/>
        <v>-2190.2911199999999</v>
      </c>
      <c r="U82" s="128">
        <f t="shared" ref="U82:AB82" si="132">SUM(U79:U80)</f>
        <v>-2168.1700672340426</v>
      </c>
      <c r="V82" s="128">
        <f t="shared" si="132"/>
        <v>-2372.1234599999998</v>
      </c>
      <c r="W82" s="128">
        <f t="shared" si="132"/>
        <v>-2175.6401999999998</v>
      </c>
      <c r="X82" s="128">
        <f t="shared" si="132"/>
        <v>-2249.8145846808511</v>
      </c>
      <c r="Y82" s="128">
        <f t="shared" si="132"/>
        <v>-2413.80222</v>
      </c>
      <c r="Z82" s="128">
        <f t="shared" si="132"/>
        <v>-2466.5484299999998</v>
      </c>
      <c r="AA82" s="128">
        <f t="shared" si="132"/>
        <v>-2451.707586</v>
      </c>
      <c r="AB82" s="128">
        <f t="shared" si="132"/>
        <v>-2234.2221359999999</v>
      </c>
      <c r="AE82" s="128"/>
      <c r="AF82" s="128"/>
      <c r="AG82" s="128">
        <f>SUM(AG79:AG80)</f>
        <v>-2340</v>
      </c>
      <c r="AH82" s="128">
        <f t="shared" ref="AH82:AP82" si="133">SUM(AH79:AH80)</f>
        <v>-2340</v>
      </c>
      <c r="AI82" s="128">
        <f t="shared" si="133"/>
        <v>-2340</v>
      </c>
      <c r="AJ82" s="128">
        <f t="shared" si="133"/>
        <v>-2340</v>
      </c>
      <c r="AK82" s="128">
        <f t="shared" si="133"/>
        <v>-2340</v>
      </c>
      <c r="AL82" s="128">
        <f t="shared" si="133"/>
        <v>-2340</v>
      </c>
      <c r="AM82" s="128">
        <f t="shared" si="133"/>
        <v>-2340</v>
      </c>
      <c r="AN82" s="128">
        <f t="shared" si="133"/>
        <v>-2340</v>
      </c>
      <c r="AO82" s="128">
        <f t="shared" si="133"/>
        <v>-2340</v>
      </c>
      <c r="AP82" s="128">
        <f t="shared" si="133"/>
        <v>-2340</v>
      </c>
    </row>
    <row r="83" spans="1:43" ht="13" thickTop="1">
      <c r="C83" s="14"/>
      <c r="D83" s="14"/>
      <c r="E83" s="14"/>
      <c r="F83" s="14"/>
    </row>
    <row r="84" spans="1:43">
      <c r="A84" s="17" t="s">
        <v>493</v>
      </c>
      <c r="B84" s="17"/>
      <c r="C84" s="14"/>
      <c r="D84" s="14"/>
      <c r="E84" s="14"/>
      <c r="F84" s="14"/>
    </row>
    <row r="85" spans="1:43">
      <c r="A85" s="13" t="s">
        <v>64</v>
      </c>
      <c r="C85" s="18"/>
      <c r="D85" s="18"/>
      <c r="E85" s="18">
        <f t="shared" ref="E85:N98" si="134">IFERROR(E$73*INDEX($E$7:$E$21,MATCH($A85,$A$7:$A$21,0)),0)</f>
        <v>-75722.584799999997</v>
      </c>
      <c r="F85" s="18">
        <f t="shared" si="134"/>
        <v>-70447.218080000006</v>
      </c>
      <c r="G85" s="19">
        <f t="shared" si="134"/>
        <v>-65413.200000000004</v>
      </c>
      <c r="H85" s="19">
        <f t="shared" si="134"/>
        <v>-96041.2</v>
      </c>
      <c r="I85" s="19">
        <f t="shared" si="134"/>
        <v>-74601.600000000006</v>
      </c>
      <c r="J85" s="19">
        <f t="shared" si="134"/>
        <v>-74601.600000000006</v>
      </c>
      <c r="K85" s="19">
        <f t="shared" si="134"/>
        <v>-96041.2</v>
      </c>
      <c r="L85" s="19">
        <f t="shared" si="134"/>
        <v>-96041.2</v>
      </c>
      <c r="M85" s="19">
        <f t="shared" si="134"/>
        <v>-96041.2</v>
      </c>
      <c r="N85" s="19">
        <f t="shared" si="134"/>
        <v>-74601.600000000006</v>
      </c>
      <c r="O85" s="20">
        <f>SUM(C85:N85)</f>
        <v>-819552.60287999979</v>
      </c>
      <c r="Q85" s="19">
        <f t="shared" ref="Q85:AB98" si="135">IFERROR(Q$73*INDEX($E$7:$E$21,MATCH($A85,$A$7:$A$21,0)),0)</f>
        <v>-60843.869935999996</v>
      </c>
      <c r="R85" s="19">
        <f t="shared" si="135"/>
        <v>-83546.201119999998</v>
      </c>
      <c r="S85" s="19">
        <f t="shared" si="135"/>
        <v>-78495.156934800005</v>
      </c>
      <c r="T85" s="19">
        <f t="shared" si="135"/>
        <v>-77694.121411199987</v>
      </c>
      <c r="U85" s="19">
        <f t="shared" si="135"/>
        <v>-75435.709397480852</v>
      </c>
      <c r="V85" s="19">
        <f t="shared" si="135"/>
        <v>-96257.991109600014</v>
      </c>
      <c r="W85" s="19">
        <f t="shared" si="135"/>
        <v>-76198.360151999994</v>
      </c>
      <c r="X85" s="19">
        <f t="shared" si="135"/>
        <v>-83771.070332017029</v>
      </c>
      <c r="Y85" s="19">
        <f t="shared" si="135"/>
        <v>-100513.11464720004</v>
      </c>
      <c r="Z85" s="19">
        <f t="shared" si="135"/>
        <v>-105898.15104679999</v>
      </c>
      <c r="AA85" s="19">
        <f t="shared" si="135"/>
        <v>-104382.99981336</v>
      </c>
      <c r="AB85" s="19">
        <f t="shared" si="135"/>
        <v>-82179.185271360009</v>
      </c>
      <c r="AC85" s="20">
        <f>SUM(Q85:AB85)</f>
        <v>-1025215.9311718178</v>
      </c>
      <c r="AE85" s="19"/>
      <c r="AF85" s="19"/>
      <c r="AG85" s="19">
        <f t="shared" ref="AG85:AP98" si="136">IFERROR(AG$73*INDEX($E$7:$E$21,MATCH($A85,$A$7:$A$21,0)),0)</f>
        <v>-92978.4</v>
      </c>
      <c r="AH85" s="19">
        <f t="shared" si="136"/>
        <v>-92978.4</v>
      </c>
      <c r="AI85" s="19">
        <f t="shared" si="136"/>
        <v>-92978.4</v>
      </c>
      <c r="AJ85" s="19">
        <f t="shared" si="136"/>
        <v>-92978.4</v>
      </c>
      <c r="AK85" s="19">
        <f t="shared" si="136"/>
        <v>-92978.4</v>
      </c>
      <c r="AL85" s="19">
        <f t="shared" si="136"/>
        <v>-92978.4</v>
      </c>
      <c r="AM85" s="19">
        <f t="shared" si="136"/>
        <v>-92978.4</v>
      </c>
      <c r="AN85" s="19">
        <f t="shared" si="136"/>
        <v>-92978.4</v>
      </c>
      <c r="AO85" s="19">
        <f t="shared" si="136"/>
        <v>-92978.4</v>
      </c>
      <c r="AP85" s="19">
        <f t="shared" si="136"/>
        <v>-92978.4</v>
      </c>
      <c r="AQ85" s="20">
        <f>SUM(AE85:AP85)</f>
        <v>-929784.00000000012</v>
      </c>
    </row>
    <row r="86" spans="1:43">
      <c r="A86" s="13" t="s">
        <v>320</v>
      </c>
      <c r="C86" s="18"/>
      <c r="D86" s="18"/>
      <c r="E86" s="18">
        <f t="shared" si="134"/>
        <v>-3985.3991999999998</v>
      </c>
      <c r="F86" s="18">
        <f t="shared" si="134"/>
        <v>-3707.7483200000006</v>
      </c>
      <c r="G86" s="19">
        <f t="shared" si="134"/>
        <v>-3442.8</v>
      </c>
      <c r="H86" s="19">
        <f t="shared" si="134"/>
        <v>-5054.8</v>
      </c>
      <c r="I86" s="19">
        <f t="shared" si="134"/>
        <v>-3926.4</v>
      </c>
      <c r="J86" s="19">
        <f t="shared" si="134"/>
        <v>-3926.4</v>
      </c>
      <c r="K86" s="19">
        <f t="shared" si="134"/>
        <v>-5054.8</v>
      </c>
      <c r="L86" s="19">
        <f t="shared" si="134"/>
        <v>-5054.8</v>
      </c>
      <c r="M86" s="19">
        <f t="shared" si="134"/>
        <v>-5054.8</v>
      </c>
      <c r="N86" s="19">
        <f t="shared" si="134"/>
        <v>-3926.4</v>
      </c>
      <c r="O86" s="20">
        <f t="shared" ref="O86:O98" si="137">SUM(C86:N86)</f>
        <v>-43134.34752000001</v>
      </c>
      <c r="Q86" s="19">
        <f t="shared" si="135"/>
        <v>-3202.3089439999999</v>
      </c>
      <c r="R86" s="19">
        <f t="shared" si="135"/>
        <v>-4397.1684800000003</v>
      </c>
      <c r="S86" s="19">
        <f t="shared" si="135"/>
        <v>-4131.3240492000004</v>
      </c>
      <c r="T86" s="19">
        <f t="shared" si="135"/>
        <v>-4089.1642847999997</v>
      </c>
      <c r="U86" s="19">
        <f t="shared" si="135"/>
        <v>-3970.3004946042552</v>
      </c>
      <c r="V86" s="19">
        <f t="shared" si="135"/>
        <v>-5066.2100584000009</v>
      </c>
      <c r="W86" s="19">
        <f t="shared" si="135"/>
        <v>-4010.440008</v>
      </c>
      <c r="X86" s="19">
        <f t="shared" si="135"/>
        <v>-4409.0037016851074</v>
      </c>
      <c r="Y86" s="19">
        <f t="shared" si="135"/>
        <v>-5290.1639288000015</v>
      </c>
      <c r="Z86" s="19">
        <f t="shared" si="135"/>
        <v>-5573.5868971999989</v>
      </c>
      <c r="AA86" s="19">
        <f t="shared" si="135"/>
        <v>-5493.8420954399999</v>
      </c>
      <c r="AB86" s="19">
        <f t="shared" si="135"/>
        <v>-4325.2202774400002</v>
      </c>
      <c r="AC86" s="20">
        <f t="shared" ref="AC86:AC98" si="138">SUM(Q86:AB86)</f>
        <v>-53958.73321956936</v>
      </c>
      <c r="AE86" s="19"/>
      <c r="AF86" s="19"/>
      <c r="AG86" s="19">
        <f t="shared" si="136"/>
        <v>-4893.6000000000004</v>
      </c>
      <c r="AH86" s="19">
        <f t="shared" si="136"/>
        <v>-4893.6000000000004</v>
      </c>
      <c r="AI86" s="19">
        <f t="shared" si="136"/>
        <v>-4893.6000000000004</v>
      </c>
      <c r="AJ86" s="19">
        <f t="shared" si="136"/>
        <v>-4893.6000000000004</v>
      </c>
      <c r="AK86" s="19">
        <f t="shared" si="136"/>
        <v>-4893.6000000000004</v>
      </c>
      <c r="AL86" s="19">
        <f t="shared" si="136"/>
        <v>-4893.6000000000004</v>
      </c>
      <c r="AM86" s="19">
        <f t="shared" si="136"/>
        <v>-4893.6000000000004</v>
      </c>
      <c r="AN86" s="19">
        <f t="shared" si="136"/>
        <v>-4893.6000000000004</v>
      </c>
      <c r="AO86" s="19">
        <f t="shared" si="136"/>
        <v>-4893.6000000000004</v>
      </c>
      <c r="AP86" s="19">
        <f t="shared" si="136"/>
        <v>-4893.6000000000004</v>
      </c>
      <c r="AQ86" s="20">
        <f t="shared" ref="AQ86:AQ98" si="139">SUM(AE86:AP86)</f>
        <v>-48935.999999999993</v>
      </c>
    </row>
    <row r="87" spans="1:43">
      <c r="A87" s="13" t="s">
        <v>265</v>
      </c>
      <c r="C87" s="18"/>
      <c r="D87" s="18"/>
      <c r="E87" s="18">
        <f t="shared" si="134"/>
        <v>-2989.0493999999999</v>
      </c>
      <c r="F87" s="18">
        <f t="shared" si="134"/>
        <v>-2780.8112400000005</v>
      </c>
      <c r="G87" s="19">
        <f t="shared" si="134"/>
        <v>-2582.1</v>
      </c>
      <c r="H87" s="19">
        <f t="shared" si="134"/>
        <v>-3791.1</v>
      </c>
      <c r="I87" s="19">
        <f t="shared" si="134"/>
        <v>-2944.7999999999997</v>
      </c>
      <c r="J87" s="19">
        <f t="shared" si="134"/>
        <v>-2944.7999999999997</v>
      </c>
      <c r="K87" s="19">
        <f t="shared" si="134"/>
        <v>-3791.1</v>
      </c>
      <c r="L87" s="19">
        <f t="shared" si="134"/>
        <v>-3791.1</v>
      </c>
      <c r="M87" s="19">
        <f t="shared" si="134"/>
        <v>-3791.1</v>
      </c>
      <c r="N87" s="19">
        <f t="shared" si="134"/>
        <v>-2944.7999999999997</v>
      </c>
      <c r="O87" s="20">
        <f t="shared" si="137"/>
        <v>-32350.760639999997</v>
      </c>
      <c r="Q87" s="19">
        <f t="shared" si="135"/>
        <v>-2401.7317079999998</v>
      </c>
      <c r="R87" s="19">
        <f t="shared" si="135"/>
        <v>-3297.8763599999997</v>
      </c>
      <c r="S87" s="19">
        <f t="shared" si="135"/>
        <v>-3098.4930368999999</v>
      </c>
      <c r="T87" s="19">
        <f t="shared" si="135"/>
        <v>-3066.8732135999994</v>
      </c>
      <c r="U87" s="19">
        <f t="shared" si="135"/>
        <v>-2977.725370953191</v>
      </c>
      <c r="V87" s="19">
        <f t="shared" si="135"/>
        <v>-3799.6575438000004</v>
      </c>
      <c r="W87" s="19">
        <f t="shared" si="135"/>
        <v>-3007.8300059999997</v>
      </c>
      <c r="X87" s="19">
        <f t="shared" si="135"/>
        <v>-3306.7527762638301</v>
      </c>
      <c r="Y87" s="19">
        <f t="shared" si="135"/>
        <v>-3967.6229466000013</v>
      </c>
      <c r="Z87" s="19">
        <f t="shared" si="135"/>
        <v>-4180.1901728999992</v>
      </c>
      <c r="AA87" s="19">
        <f t="shared" si="135"/>
        <v>-4120.3815715800001</v>
      </c>
      <c r="AB87" s="19">
        <f t="shared" si="135"/>
        <v>-3243.91520808</v>
      </c>
      <c r="AC87" s="20">
        <f t="shared" si="138"/>
        <v>-40469.049914677023</v>
      </c>
      <c r="AE87" s="19"/>
      <c r="AF87" s="19"/>
      <c r="AG87" s="19">
        <f t="shared" si="136"/>
        <v>-3670.2</v>
      </c>
      <c r="AH87" s="19">
        <f t="shared" si="136"/>
        <v>-3670.2</v>
      </c>
      <c r="AI87" s="19">
        <f t="shared" si="136"/>
        <v>-3670.2</v>
      </c>
      <c r="AJ87" s="19">
        <f t="shared" si="136"/>
        <v>-3670.2</v>
      </c>
      <c r="AK87" s="19">
        <f t="shared" si="136"/>
        <v>-3670.2</v>
      </c>
      <c r="AL87" s="19">
        <f t="shared" si="136"/>
        <v>-3670.2</v>
      </c>
      <c r="AM87" s="19">
        <f t="shared" si="136"/>
        <v>-3670.2</v>
      </c>
      <c r="AN87" s="19">
        <f t="shared" si="136"/>
        <v>-3670.2</v>
      </c>
      <c r="AO87" s="19">
        <f t="shared" si="136"/>
        <v>-3670.2</v>
      </c>
      <c r="AP87" s="19">
        <f t="shared" si="136"/>
        <v>-3670.2</v>
      </c>
      <c r="AQ87" s="20">
        <f t="shared" si="139"/>
        <v>-36702</v>
      </c>
    </row>
    <row r="88" spans="1:43">
      <c r="A88" s="13" t="s">
        <v>236</v>
      </c>
      <c r="C88" s="18"/>
      <c r="D88" s="18"/>
      <c r="E88" s="18">
        <f t="shared" si="134"/>
        <v>-5978.0987999999998</v>
      </c>
      <c r="F88" s="18">
        <f t="shared" si="134"/>
        <v>-5561.6224800000009</v>
      </c>
      <c r="G88" s="19">
        <f t="shared" si="134"/>
        <v>-5164.2</v>
      </c>
      <c r="H88" s="19">
        <f t="shared" si="134"/>
        <v>-7582.2</v>
      </c>
      <c r="I88" s="19">
        <f t="shared" si="134"/>
        <v>-5889.5999999999995</v>
      </c>
      <c r="J88" s="19">
        <f t="shared" si="134"/>
        <v>-5889.5999999999995</v>
      </c>
      <c r="K88" s="19">
        <f t="shared" si="134"/>
        <v>-7582.2</v>
      </c>
      <c r="L88" s="19">
        <f t="shared" si="134"/>
        <v>-7582.2</v>
      </c>
      <c r="M88" s="19">
        <f t="shared" si="134"/>
        <v>-7582.2</v>
      </c>
      <c r="N88" s="19">
        <f t="shared" si="134"/>
        <v>-5889.5999999999995</v>
      </c>
      <c r="O88" s="20">
        <f t="shared" si="137"/>
        <v>-64701.521279999994</v>
      </c>
      <c r="Q88" s="19">
        <f t="shared" si="135"/>
        <v>-4803.4634159999996</v>
      </c>
      <c r="R88" s="19">
        <f t="shared" si="135"/>
        <v>-6595.7527199999995</v>
      </c>
      <c r="S88" s="19">
        <f t="shared" si="135"/>
        <v>-6196.9860737999998</v>
      </c>
      <c r="T88" s="19">
        <f t="shared" si="135"/>
        <v>-6133.7464271999988</v>
      </c>
      <c r="U88" s="19">
        <f t="shared" si="135"/>
        <v>-5955.4507419063821</v>
      </c>
      <c r="V88" s="19">
        <f t="shared" si="135"/>
        <v>-7599.3150876000009</v>
      </c>
      <c r="W88" s="19">
        <f t="shared" si="135"/>
        <v>-6015.6600119999994</v>
      </c>
      <c r="X88" s="19">
        <f t="shared" si="135"/>
        <v>-6613.5055525276603</v>
      </c>
      <c r="Y88" s="19">
        <f t="shared" si="135"/>
        <v>-7935.2458932000027</v>
      </c>
      <c r="Z88" s="19">
        <f t="shared" si="135"/>
        <v>-8360.3803457999984</v>
      </c>
      <c r="AA88" s="19">
        <f t="shared" si="135"/>
        <v>-8240.7631431600003</v>
      </c>
      <c r="AB88" s="19">
        <f t="shared" si="135"/>
        <v>-6487.8304161599999</v>
      </c>
      <c r="AC88" s="20">
        <f t="shared" si="138"/>
        <v>-80938.099829354047</v>
      </c>
      <c r="AE88" s="19"/>
      <c r="AF88" s="19"/>
      <c r="AG88" s="19">
        <f t="shared" si="136"/>
        <v>-7340.4</v>
      </c>
      <c r="AH88" s="19">
        <f t="shared" si="136"/>
        <v>-7340.4</v>
      </c>
      <c r="AI88" s="19">
        <f t="shared" si="136"/>
        <v>-7340.4</v>
      </c>
      <c r="AJ88" s="19">
        <f t="shared" si="136"/>
        <v>-7340.4</v>
      </c>
      <c r="AK88" s="19">
        <f t="shared" si="136"/>
        <v>-7340.4</v>
      </c>
      <c r="AL88" s="19">
        <f t="shared" si="136"/>
        <v>-7340.4</v>
      </c>
      <c r="AM88" s="19">
        <f t="shared" si="136"/>
        <v>-7340.4</v>
      </c>
      <c r="AN88" s="19">
        <f t="shared" si="136"/>
        <v>-7340.4</v>
      </c>
      <c r="AO88" s="19">
        <f t="shared" si="136"/>
        <v>-7340.4</v>
      </c>
      <c r="AP88" s="19">
        <f t="shared" si="136"/>
        <v>-7340.4</v>
      </c>
      <c r="AQ88" s="20">
        <f t="shared" si="139"/>
        <v>-73404</v>
      </c>
    </row>
    <row r="89" spans="1:43">
      <c r="A89" s="13" t="s">
        <v>263</v>
      </c>
      <c r="C89" s="18"/>
      <c r="D89" s="18"/>
      <c r="E89" s="18">
        <f t="shared" si="134"/>
        <v>-5978.0987999999998</v>
      </c>
      <c r="F89" s="18">
        <f t="shared" si="134"/>
        <v>-5561.6224800000009</v>
      </c>
      <c r="G89" s="19">
        <f t="shared" si="134"/>
        <v>-5164.2</v>
      </c>
      <c r="H89" s="19">
        <f t="shared" si="134"/>
        <v>-7582.2</v>
      </c>
      <c r="I89" s="19">
        <f t="shared" si="134"/>
        <v>-5889.5999999999995</v>
      </c>
      <c r="J89" s="19">
        <f t="shared" si="134"/>
        <v>-5889.5999999999995</v>
      </c>
      <c r="K89" s="19">
        <f t="shared" si="134"/>
        <v>-7582.2</v>
      </c>
      <c r="L89" s="19">
        <f t="shared" si="134"/>
        <v>-7582.2</v>
      </c>
      <c r="M89" s="19">
        <f t="shared" si="134"/>
        <v>-7582.2</v>
      </c>
      <c r="N89" s="19">
        <f t="shared" si="134"/>
        <v>-5889.5999999999995</v>
      </c>
      <c r="O89" s="20">
        <f t="shared" si="137"/>
        <v>-64701.521279999994</v>
      </c>
      <c r="Q89" s="19">
        <f t="shared" si="135"/>
        <v>-4803.4634159999996</v>
      </c>
      <c r="R89" s="19">
        <f t="shared" si="135"/>
        <v>-6595.7527199999995</v>
      </c>
      <c r="S89" s="19">
        <f t="shared" si="135"/>
        <v>-6196.9860737999998</v>
      </c>
      <c r="T89" s="19">
        <f t="shared" si="135"/>
        <v>-6133.7464271999988</v>
      </c>
      <c r="U89" s="19">
        <f t="shared" si="135"/>
        <v>-5955.4507419063821</v>
      </c>
      <c r="V89" s="19">
        <f t="shared" si="135"/>
        <v>-7599.3150876000009</v>
      </c>
      <c r="W89" s="19">
        <f t="shared" si="135"/>
        <v>-6015.6600119999994</v>
      </c>
      <c r="X89" s="19">
        <f t="shared" si="135"/>
        <v>-6613.5055525276603</v>
      </c>
      <c r="Y89" s="19">
        <f t="shared" si="135"/>
        <v>-7935.2458932000027</v>
      </c>
      <c r="Z89" s="19">
        <f t="shared" si="135"/>
        <v>-8360.3803457999984</v>
      </c>
      <c r="AA89" s="19">
        <f t="shared" si="135"/>
        <v>-8240.7631431600003</v>
      </c>
      <c r="AB89" s="19">
        <f t="shared" si="135"/>
        <v>-6487.8304161599999</v>
      </c>
      <c r="AC89" s="20">
        <f t="shared" si="138"/>
        <v>-80938.099829354047</v>
      </c>
      <c r="AE89" s="19"/>
      <c r="AF89" s="19"/>
      <c r="AG89" s="19">
        <f t="shared" si="136"/>
        <v>-7340.4</v>
      </c>
      <c r="AH89" s="19">
        <f t="shared" si="136"/>
        <v>-7340.4</v>
      </c>
      <c r="AI89" s="19">
        <f t="shared" si="136"/>
        <v>-7340.4</v>
      </c>
      <c r="AJ89" s="19">
        <f t="shared" si="136"/>
        <v>-7340.4</v>
      </c>
      <c r="AK89" s="19">
        <f t="shared" si="136"/>
        <v>-7340.4</v>
      </c>
      <c r="AL89" s="19">
        <f t="shared" si="136"/>
        <v>-7340.4</v>
      </c>
      <c r="AM89" s="19">
        <f t="shared" si="136"/>
        <v>-7340.4</v>
      </c>
      <c r="AN89" s="19">
        <f t="shared" si="136"/>
        <v>-7340.4</v>
      </c>
      <c r="AO89" s="19">
        <f t="shared" si="136"/>
        <v>-7340.4</v>
      </c>
      <c r="AP89" s="19">
        <f t="shared" si="136"/>
        <v>-7340.4</v>
      </c>
      <c r="AQ89" s="20">
        <f t="shared" si="139"/>
        <v>-73404</v>
      </c>
    </row>
    <row r="90" spans="1:43">
      <c r="A90" s="13" t="s">
        <v>292</v>
      </c>
      <c r="C90" s="18"/>
      <c r="D90" s="18"/>
      <c r="E90" s="18">
        <f t="shared" si="134"/>
        <v>0</v>
      </c>
      <c r="F90" s="18">
        <f t="shared" si="134"/>
        <v>0</v>
      </c>
      <c r="G90" s="19">
        <f t="shared" si="134"/>
        <v>0</v>
      </c>
      <c r="H90" s="19">
        <f t="shared" si="134"/>
        <v>0</v>
      </c>
      <c r="I90" s="19">
        <f t="shared" si="134"/>
        <v>0</v>
      </c>
      <c r="J90" s="19">
        <f t="shared" si="134"/>
        <v>0</v>
      </c>
      <c r="K90" s="19">
        <f t="shared" si="134"/>
        <v>0</v>
      </c>
      <c r="L90" s="19">
        <f t="shared" si="134"/>
        <v>0</v>
      </c>
      <c r="M90" s="19">
        <f t="shared" si="134"/>
        <v>0</v>
      </c>
      <c r="N90" s="19">
        <f t="shared" si="134"/>
        <v>0</v>
      </c>
      <c r="O90" s="20">
        <f t="shared" si="137"/>
        <v>0</v>
      </c>
      <c r="Q90" s="19">
        <f t="shared" si="135"/>
        <v>0</v>
      </c>
      <c r="R90" s="19">
        <f t="shared" si="135"/>
        <v>0</v>
      </c>
      <c r="S90" s="19">
        <f t="shared" si="135"/>
        <v>0</v>
      </c>
      <c r="T90" s="19">
        <f t="shared" si="135"/>
        <v>0</v>
      </c>
      <c r="U90" s="19">
        <f t="shared" si="135"/>
        <v>0</v>
      </c>
      <c r="V90" s="19">
        <f t="shared" si="135"/>
        <v>0</v>
      </c>
      <c r="W90" s="19">
        <f t="shared" si="135"/>
        <v>0</v>
      </c>
      <c r="X90" s="19">
        <f t="shared" si="135"/>
        <v>0</v>
      </c>
      <c r="Y90" s="19">
        <f t="shared" si="135"/>
        <v>0</v>
      </c>
      <c r="Z90" s="19">
        <f t="shared" si="135"/>
        <v>0</v>
      </c>
      <c r="AA90" s="19">
        <f t="shared" si="135"/>
        <v>0</v>
      </c>
      <c r="AB90" s="19">
        <f t="shared" si="135"/>
        <v>0</v>
      </c>
      <c r="AC90" s="20">
        <f t="shared" si="138"/>
        <v>0</v>
      </c>
      <c r="AE90" s="19"/>
      <c r="AF90" s="19"/>
      <c r="AG90" s="19">
        <f t="shared" si="136"/>
        <v>0</v>
      </c>
      <c r="AH90" s="19">
        <f t="shared" si="136"/>
        <v>0</v>
      </c>
      <c r="AI90" s="19">
        <f t="shared" si="136"/>
        <v>0</v>
      </c>
      <c r="AJ90" s="19">
        <f t="shared" si="136"/>
        <v>0</v>
      </c>
      <c r="AK90" s="19">
        <f t="shared" si="136"/>
        <v>0</v>
      </c>
      <c r="AL90" s="19">
        <f t="shared" si="136"/>
        <v>0</v>
      </c>
      <c r="AM90" s="19">
        <f t="shared" si="136"/>
        <v>0</v>
      </c>
      <c r="AN90" s="19">
        <f t="shared" si="136"/>
        <v>0</v>
      </c>
      <c r="AO90" s="19">
        <f t="shared" si="136"/>
        <v>0</v>
      </c>
      <c r="AP90" s="19">
        <f t="shared" si="136"/>
        <v>0</v>
      </c>
      <c r="AQ90" s="20">
        <f t="shared" si="139"/>
        <v>0</v>
      </c>
    </row>
    <row r="91" spans="1:43">
      <c r="A91" s="13" t="s">
        <v>255</v>
      </c>
      <c r="C91" s="18"/>
      <c r="D91" s="18"/>
      <c r="E91" s="18">
        <f t="shared" si="134"/>
        <v>0</v>
      </c>
      <c r="F91" s="18">
        <f t="shared" si="134"/>
        <v>0</v>
      </c>
      <c r="G91" s="19">
        <f t="shared" si="134"/>
        <v>0</v>
      </c>
      <c r="H91" s="19">
        <f t="shared" si="134"/>
        <v>0</v>
      </c>
      <c r="I91" s="19">
        <f t="shared" si="134"/>
        <v>0</v>
      </c>
      <c r="J91" s="19">
        <f t="shared" si="134"/>
        <v>0</v>
      </c>
      <c r="K91" s="19">
        <f t="shared" si="134"/>
        <v>0</v>
      </c>
      <c r="L91" s="19">
        <f t="shared" si="134"/>
        <v>0</v>
      </c>
      <c r="M91" s="19">
        <f t="shared" si="134"/>
        <v>0</v>
      </c>
      <c r="N91" s="19">
        <f t="shared" si="134"/>
        <v>0</v>
      </c>
      <c r="O91" s="20">
        <f t="shared" si="137"/>
        <v>0</v>
      </c>
      <c r="Q91" s="19">
        <f t="shared" si="135"/>
        <v>0</v>
      </c>
      <c r="R91" s="19">
        <f t="shared" si="135"/>
        <v>0</v>
      </c>
      <c r="S91" s="19">
        <f t="shared" si="135"/>
        <v>0</v>
      </c>
      <c r="T91" s="19">
        <f t="shared" si="135"/>
        <v>0</v>
      </c>
      <c r="U91" s="19">
        <f t="shared" si="135"/>
        <v>0</v>
      </c>
      <c r="V91" s="19">
        <f t="shared" si="135"/>
        <v>0</v>
      </c>
      <c r="W91" s="19">
        <f t="shared" si="135"/>
        <v>0</v>
      </c>
      <c r="X91" s="19">
        <f t="shared" si="135"/>
        <v>0</v>
      </c>
      <c r="Y91" s="19">
        <f t="shared" si="135"/>
        <v>0</v>
      </c>
      <c r="Z91" s="19">
        <f t="shared" si="135"/>
        <v>0</v>
      </c>
      <c r="AA91" s="19">
        <f t="shared" si="135"/>
        <v>0</v>
      </c>
      <c r="AB91" s="19">
        <f t="shared" si="135"/>
        <v>0</v>
      </c>
      <c r="AC91" s="20">
        <f t="shared" si="138"/>
        <v>0</v>
      </c>
      <c r="AE91" s="19"/>
      <c r="AF91" s="19"/>
      <c r="AG91" s="19">
        <f t="shared" si="136"/>
        <v>0</v>
      </c>
      <c r="AH91" s="19">
        <f t="shared" si="136"/>
        <v>0</v>
      </c>
      <c r="AI91" s="19">
        <f t="shared" si="136"/>
        <v>0</v>
      </c>
      <c r="AJ91" s="19">
        <f t="shared" si="136"/>
        <v>0</v>
      </c>
      <c r="AK91" s="19">
        <f t="shared" si="136"/>
        <v>0</v>
      </c>
      <c r="AL91" s="19">
        <f t="shared" si="136"/>
        <v>0</v>
      </c>
      <c r="AM91" s="19">
        <f t="shared" si="136"/>
        <v>0</v>
      </c>
      <c r="AN91" s="19">
        <f t="shared" si="136"/>
        <v>0</v>
      </c>
      <c r="AO91" s="19">
        <f t="shared" si="136"/>
        <v>0</v>
      </c>
      <c r="AP91" s="19">
        <f t="shared" si="136"/>
        <v>0</v>
      </c>
      <c r="AQ91" s="20">
        <f t="shared" si="139"/>
        <v>0</v>
      </c>
    </row>
    <row r="92" spans="1:43">
      <c r="A92" s="13" t="s">
        <v>398</v>
      </c>
      <c r="C92" s="18"/>
      <c r="D92" s="18"/>
      <c r="E92" s="18">
        <f t="shared" si="134"/>
        <v>0</v>
      </c>
      <c r="F92" s="18">
        <f t="shared" si="134"/>
        <v>0</v>
      </c>
      <c r="G92" s="19">
        <f t="shared" si="134"/>
        <v>0</v>
      </c>
      <c r="H92" s="19">
        <f t="shared" si="134"/>
        <v>0</v>
      </c>
      <c r="I92" s="19">
        <f t="shared" si="134"/>
        <v>0</v>
      </c>
      <c r="J92" s="19">
        <f t="shared" si="134"/>
        <v>0</v>
      </c>
      <c r="K92" s="19">
        <f t="shared" si="134"/>
        <v>0</v>
      </c>
      <c r="L92" s="19">
        <f t="shared" si="134"/>
        <v>0</v>
      </c>
      <c r="M92" s="19">
        <f t="shared" si="134"/>
        <v>0</v>
      </c>
      <c r="N92" s="19">
        <f t="shared" si="134"/>
        <v>0</v>
      </c>
      <c r="O92" s="20">
        <f t="shared" si="137"/>
        <v>0</v>
      </c>
      <c r="Q92" s="19">
        <f t="shared" si="135"/>
        <v>0</v>
      </c>
      <c r="R92" s="19">
        <f t="shared" si="135"/>
        <v>0</v>
      </c>
      <c r="S92" s="19">
        <f t="shared" si="135"/>
        <v>0</v>
      </c>
      <c r="T92" s="19">
        <f t="shared" si="135"/>
        <v>0</v>
      </c>
      <c r="U92" s="19">
        <f t="shared" si="135"/>
        <v>0</v>
      </c>
      <c r="V92" s="19">
        <f t="shared" si="135"/>
        <v>0</v>
      </c>
      <c r="W92" s="19">
        <f t="shared" si="135"/>
        <v>0</v>
      </c>
      <c r="X92" s="19">
        <f t="shared" si="135"/>
        <v>0</v>
      </c>
      <c r="Y92" s="19">
        <f t="shared" si="135"/>
        <v>0</v>
      </c>
      <c r="Z92" s="19">
        <f t="shared" si="135"/>
        <v>0</v>
      </c>
      <c r="AA92" s="19">
        <f t="shared" si="135"/>
        <v>0</v>
      </c>
      <c r="AB92" s="19">
        <f t="shared" si="135"/>
        <v>0</v>
      </c>
      <c r="AC92" s="20">
        <f t="shared" si="138"/>
        <v>0</v>
      </c>
      <c r="AE92" s="19"/>
      <c r="AF92" s="19"/>
      <c r="AG92" s="19">
        <f t="shared" si="136"/>
        <v>0</v>
      </c>
      <c r="AH92" s="19">
        <f t="shared" si="136"/>
        <v>0</v>
      </c>
      <c r="AI92" s="19">
        <f t="shared" si="136"/>
        <v>0</v>
      </c>
      <c r="AJ92" s="19">
        <f t="shared" si="136"/>
        <v>0</v>
      </c>
      <c r="AK92" s="19">
        <f t="shared" si="136"/>
        <v>0</v>
      </c>
      <c r="AL92" s="19">
        <f t="shared" si="136"/>
        <v>0</v>
      </c>
      <c r="AM92" s="19">
        <f t="shared" si="136"/>
        <v>0</v>
      </c>
      <c r="AN92" s="19">
        <f t="shared" si="136"/>
        <v>0</v>
      </c>
      <c r="AO92" s="19">
        <f t="shared" si="136"/>
        <v>0</v>
      </c>
      <c r="AP92" s="19">
        <f t="shared" si="136"/>
        <v>0</v>
      </c>
      <c r="AQ92" s="20">
        <f t="shared" si="139"/>
        <v>0</v>
      </c>
    </row>
    <row r="93" spans="1:43">
      <c r="A93" s="13" t="s">
        <v>274</v>
      </c>
      <c r="C93" s="18"/>
      <c r="D93" s="18"/>
      <c r="E93" s="18">
        <f t="shared" si="134"/>
        <v>0</v>
      </c>
      <c r="F93" s="18">
        <f t="shared" si="134"/>
        <v>0</v>
      </c>
      <c r="G93" s="19">
        <f t="shared" si="134"/>
        <v>0</v>
      </c>
      <c r="H93" s="19">
        <f t="shared" si="134"/>
        <v>0</v>
      </c>
      <c r="I93" s="19">
        <f t="shared" si="134"/>
        <v>0</v>
      </c>
      <c r="J93" s="19">
        <f t="shared" si="134"/>
        <v>0</v>
      </c>
      <c r="K93" s="19">
        <f t="shared" si="134"/>
        <v>0</v>
      </c>
      <c r="L93" s="19">
        <f t="shared" si="134"/>
        <v>0</v>
      </c>
      <c r="M93" s="19">
        <f t="shared" si="134"/>
        <v>0</v>
      </c>
      <c r="N93" s="19">
        <f t="shared" si="134"/>
        <v>0</v>
      </c>
      <c r="O93" s="20">
        <f t="shared" si="137"/>
        <v>0</v>
      </c>
      <c r="Q93" s="19">
        <f t="shared" si="135"/>
        <v>0</v>
      </c>
      <c r="R93" s="19">
        <f t="shared" si="135"/>
        <v>0</v>
      </c>
      <c r="S93" s="19">
        <f t="shared" si="135"/>
        <v>0</v>
      </c>
      <c r="T93" s="19">
        <f t="shared" si="135"/>
        <v>0</v>
      </c>
      <c r="U93" s="19">
        <f t="shared" si="135"/>
        <v>0</v>
      </c>
      <c r="V93" s="19">
        <f t="shared" si="135"/>
        <v>0</v>
      </c>
      <c r="W93" s="19">
        <f t="shared" si="135"/>
        <v>0</v>
      </c>
      <c r="X93" s="19">
        <f t="shared" si="135"/>
        <v>0</v>
      </c>
      <c r="Y93" s="19">
        <f t="shared" si="135"/>
        <v>0</v>
      </c>
      <c r="Z93" s="19">
        <f t="shared" si="135"/>
        <v>0</v>
      </c>
      <c r="AA93" s="19">
        <f t="shared" si="135"/>
        <v>0</v>
      </c>
      <c r="AB93" s="19">
        <f t="shared" si="135"/>
        <v>0</v>
      </c>
      <c r="AC93" s="20">
        <f t="shared" si="138"/>
        <v>0</v>
      </c>
      <c r="AE93" s="19"/>
      <c r="AF93" s="19"/>
      <c r="AG93" s="19">
        <f t="shared" si="136"/>
        <v>0</v>
      </c>
      <c r="AH93" s="19">
        <f t="shared" si="136"/>
        <v>0</v>
      </c>
      <c r="AI93" s="19">
        <f t="shared" si="136"/>
        <v>0</v>
      </c>
      <c r="AJ93" s="19">
        <f t="shared" si="136"/>
        <v>0</v>
      </c>
      <c r="AK93" s="19">
        <f t="shared" si="136"/>
        <v>0</v>
      </c>
      <c r="AL93" s="19">
        <f t="shared" si="136"/>
        <v>0</v>
      </c>
      <c r="AM93" s="19">
        <f t="shared" si="136"/>
        <v>0</v>
      </c>
      <c r="AN93" s="19">
        <f t="shared" si="136"/>
        <v>0</v>
      </c>
      <c r="AO93" s="19">
        <f t="shared" si="136"/>
        <v>0</v>
      </c>
      <c r="AP93" s="19">
        <f t="shared" si="136"/>
        <v>0</v>
      </c>
      <c r="AQ93" s="20">
        <f t="shared" si="139"/>
        <v>0</v>
      </c>
    </row>
    <row r="94" spans="1:43">
      <c r="A94" s="13" t="s">
        <v>311</v>
      </c>
      <c r="C94" s="18"/>
      <c r="D94" s="18"/>
      <c r="E94" s="18">
        <f t="shared" si="134"/>
        <v>0</v>
      </c>
      <c r="F94" s="18">
        <f t="shared" si="134"/>
        <v>0</v>
      </c>
      <c r="G94" s="19">
        <f t="shared" si="134"/>
        <v>0</v>
      </c>
      <c r="H94" s="19">
        <f t="shared" si="134"/>
        <v>0</v>
      </c>
      <c r="I94" s="19">
        <f t="shared" si="134"/>
        <v>0</v>
      </c>
      <c r="J94" s="19">
        <f t="shared" si="134"/>
        <v>0</v>
      </c>
      <c r="K94" s="19">
        <f t="shared" si="134"/>
        <v>0</v>
      </c>
      <c r="L94" s="19">
        <f t="shared" si="134"/>
        <v>0</v>
      </c>
      <c r="M94" s="19">
        <f t="shared" si="134"/>
        <v>0</v>
      </c>
      <c r="N94" s="19">
        <f t="shared" si="134"/>
        <v>0</v>
      </c>
      <c r="O94" s="20">
        <f t="shared" si="137"/>
        <v>0</v>
      </c>
      <c r="Q94" s="19">
        <f t="shared" si="135"/>
        <v>0</v>
      </c>
      <c r="R94" s="19">
        <f t="shared" si="135"/>
        <v>0</v>
      </c>
      <c r="S94" s="19">
        <f t="shared" si="135"/>
        <v>0</v>
      </c>
      <c r="T94" s="19">
        <f t="shared" si="135"/>
        <v>0</v>
      </c>
      <c r="U94" s="19">
        <f t="shared" si="135"/>
        <v>0</v>
      </c>
      <c r="V94" s="19">
        <f t="shared" si="135"/>
        <v>0</v>
      </c>
      <c r="W94" s="19">
        <f t="shared" si="135"/>
        <v>0</v>
      </c>
      <c r="X94" s="19">
        <f t="shared" si="135"/>
        <v>0</v>
      </c>
      <c r="Y94" s="19">
        <f t="shared" si="135"/>
        <v>0</v>
      </c>
      <c r="Z94" s="19">
        <f t="shared" si="135"/>
        <v>0</v>
      </c>
      <c r="AA94" s="19">
        <f t="shared" si="135"/>
        <v>0</v>
      </c>
      <c r="AB94" s="19">
        <f t="shared" si="135"/>
        <v>0</v>
      </c>
      <c r="AC94" s="20">
        <f t="shared" si="138"/>
        <v>0</v>
      </c>
      <c r="AE94" s="19"/>
      <c r="AF94" s="19"/>
      <c r="AG94" s="19">
        <f t="shared" si="136"/>
        <v>0</v>
      </c>
      <c r="AH94" s="19">
        <f t="shared" si="136"/>
        <v>0</v>
      </c>
      <c r="AI94" s="19">
        <f t="shared" si="136"/>
        <v>0</v>
      </c>
      <c r="AJ94" s="19">
        <f t="shared" si="136"/>
        <v>0</v>
      </c>
      <c r="AK94" s="19">
        <f t="shared" si="136"/>
        <v>0</v>
      </c>
      <c r="AL94" s="19">
        <f t="shared" si="136"/>
        <v>0</v>
      </c>
      <c r="AM94" s="19">
        <f t="shared" si="136"/>
        <v>0</v>
      </c>
      <c r="AN94" s="19">
        <f t="shared" si="136"/>
        <v>0</v>
      </c>
      <c r="AO94" s="19">
        <f t="shared" si="136"/>
        <v>0</v>
      </c>
      <c r="AP94" s="19">
        <f t="shared" si="136"/>
        <v>0</v>
      </c>
      <c r="AQ94" s="20">
        <f t="shared" si="139"/>
        <v>0</v>
      </c>
    </row>
    <row r="95" spans="1:43">
      <c r="C95" s="18"/>
      <c r="D95" s="18"/>
      <c r="E95" s="18">
        <f t="shared" si="134"/>
        <v>0</v>
      </c>
      <c r="F95" s="18">
        <f t="shared" si="134"/>
        <v>0</v>
      </c>
      <c r="G95" s="19">
        <f t="shared" si="134"/>
        <v>0</v>
      </c>
      <c r="H95" s="19">
        <f t="shared" si="134"/>
        <v>0</v>
      </c>
      <c r="I95" s="19">
        <f t="shared" si="134"/>
        <v>0</v>
      </c>
      <c r="J95" s="19">
        <f t="shared" si="134"/>
        <v>0</v>
      </c>
      <c r="K95" s="19">
        <f t="shared" si="134"/>
        <v>0</v>
      </c>
      <c r="L95" s="19">
        <f t="shared" si="134"/>
        <v>0</v>
      </c>
      <c r="M95" s="19">
        <f t="shared" si="134"/>
        <v>0</v>
      </c>
      <c r="N95" s="19">
        <f t="shared" si="134"/>
        <v>0</v>
      </c>
      <c r="O95" s="20">
        <f t="shared" si="137"/>
        <v>0</v>
      </c>
      <c r="Q95" s="19">
        <f t="shared" si="135"/>
        <v>0</v>
      </c>
      <c r="R95" s="19">
        <f t="shared" si="135"/>
        <v>0</v>
      </c>
      <c r="S95" s="19">
        <f t="shared" si="135"/>
        <v>0</v>
      </c>
      <c r="T95" s="19">
        <f t="shared" si="135"/>
        <v>0</v>
      </c>
      <c r="U95" s="19">
        <f t="shared" si="135"/>
        <v>0</v>
      </c>
      <c r="V95" s="19">
        <f t="shared" si="135"/>
        <v>0</v>
      </c>
      <c r="W95" s="19">
        <f t="shared" si="135"/>
        <v>0</v>
      </c>
      <c r="X95" s="19">
        <f t="shared" si="135"/>
        <v>0</v>
      </c>
      <c r="Y95" s="19">
        <f t="shared" si="135"/>
        <v>0</v>
      </c>
      <c r="Z95" s="19">
        <f t="shared" si="135"/>
        <v>0</v>
      </c>
      <c r="AA95" s="19">
        <f t="shared" si="135"/>
        <v>0</v>
      </c>
      <c r="AB95" s="19">
        <f t="shared" si="135"/>
        <v>0</v>
      </c>
      <c r="AC95" s="20">
        <f t="shared" si="138"/>
        <v>0</v>
      </c>
      <c r="AE95" s="19"/>
      <c r="AF95" s="19"/>
      <c r="AG95" s="19">
        <f t="shared" si="136"/>
        <v>0</v>
      </c>
      <c r="AH95" s="19">
        <f t="shared" si="136"/>
        <v>0</v>
      </c>
      <c r="AI95" s="19">
        <f t="shared" si="136"/>
        <v>0</v>
      </c>
      <c r="AJ95" s="19">
        <f t="shared" si="136"/>
        <v>0</v>
      </c>
      <c r="AK95" s="19">
        <f t="shared" si="136"/>
        <v>0</v>
      </c>
      <c r="AL95" s="19">
        <f t="shared" si="136"/>
        <v>0</v>
      </c>
      <c r="AM95" s="19">
        <f t="shared" si="136"/>
        <v>0</v>
      </c>
      <c r="AN95" s="19">
        <f t="shared" si="136"/>
        <v>0</v>
      </c>
      <c r="AO95" s="19">
        <f t="shared" si="136"/>
        <v>0</v>
      </c>
      <c r="AP95" s="19">
        <f t="shared" si="136"/>
        <v>0</v>
      </c>
      <c r="AQ95" s="20">
        <f t="shared" si="139"/>
        <v>0</v>
      </c>
    </row>
    <row r="96" spans="1:43">
      <c r="A96" s="13" t="s">
        <v>400</v>
      </c>
      <c r="C96" s="18"/>
      <c r="D96" s="18"/>
      <c r="E96" s="18">
        <f t="shared" si="134"/>
        <v>0</v>
      </c>
      <c r="F96" s="18">
        <f t="shared" si="134"/>
        <v>0</v>
      </c>
      <c r="G96" s="19">
        <f t="shared" si="134"/>
        <v>0</v>
      </c>
      <c r="H96" s="19">
        <f t="shared" si="134"/>
        <v>0</v>
      </c>
      <c r="I96" s="19">
        <f t="shared" si="134"/>
        <v>0</v>
      </c>
      <c r="J96" s="19">
        <f t="shared" si="134"/>
        <v>0</v>
      </c>
      <c r="K96" s="19">
        <f t="shared" si="134"/>
        <v>0</v>
      </c>
      <c r="L96" s="19">
        <f t="shared" si="134"/>
        <v>0</v>
      </c>
      <c r="M96" s="19">
        <f t="shared" si="134"/>
        <v>0</v>
      </c>
      <c r="N96" s="19">
        <f t="shared" si="134"/>
        <v>0</v>
      </c>
      <c r="O96" s="20">
        <f t="shared" si="137"/>
        <v>0</v>
      </c>
      <c r="Q96" s="19">
        <f t="shared" si="135"/>
        <v>0</v>
      </c>
      <c r="R96" s="19">
        <f t="shared" si="135"/>
        <v>0</v>
      </c>
      <c r="S96" s="19">
        <f t="shared" si="135"/>
        <v>0</v>
      </c>
      <c r="T96" s="19">
        <f t="shared" si="135"/>
        <v>0</v>
      </c>
      <c r="U96" s="19">
        <f t="shared" si="135"/>
        <v>0</v>
      </c>
      <c r="V96" s="19">
        <f t="shared" si="135"/>
        <v>0</v>
      </c>
      <c r="W96" s="19">
        <f t="shared" si="135"/>
        <v>0</v>
      </c>
      <c r="X96" s="19">
        <f t="shared" si="135"/>
        <v>0</v>
      </c>
      <c r="Y96" s="19">
        <f t="shared" si="135"/>
        <v>0</v>
      </c>
      <c r="Z96" s="19">
        <f t="shared" si="135"/>
        <v>0</v>
      </c>
      <c r="AA96" s="19">
        <f t="shared" si="135"/>
        <v>0</v>
      </c>
      <c r="AB96" s="19">
        <f t="shared" si="135"/>
        <v>0</v>
      </c>
      <c r="AC96" s="20">
        <f t="shared" si="138"/>
        <v>0</v>
      </c>
      <c r="AE96" s="19"/>
      <c r="AF96" s="19"/>
      <c r="AG96" s="19">
        <f t="shared" si="136"/>
        <v>0</v>
      </c>
      <c r="AH96" s="19">
        <f t="shared" si="136"/>
        <v>0</v>
      </c>
      <c r="AI96" s="19">
        <f t="shared" si="136"/>
        <v>0</v>
      </c>
      <c r="AJ96" s="19">
        <f t="shared" si="136"/>
        <v>0</v>
      </c>
      <c r="AK96" s="19">
        <f t="shared" si="136"/>
        <v>0</v>
      </c>
      <c r="AL96" s="19">
        <f t="shared" si="136"/>
        <v>0</v>
      </c>
      <c r="AM96" s="19">
        <f t="shared" si="136"/>
        <v>0</v>
      </c>
      <c r="AN96" s="19">
        <f t="shared" si="136"/>
        <v>0</v>
      </c>
      <c r="AO96" s="19">
        <f t="shared" si="136"/>
        <v>0</v>
      </c>
      <c r="AP96" s="19">
        <f t="shared" si="136"/>
        <v>0</v>
      </c>
      <c r="AQ96" s="20">
        <f t="shared" si="139"/>
        <v>0</v>
      </c>
    </row>
    <row r="97" spans="1:43">
      <c r="A97" s="13" t="s">
        <v>401</v>
      </c>
      <c r="C97" s="18"/>
      <c r="D97" s="18"/>
      <c r="E97" s="18">
        <f t="shared" si="134"/>
        <v>-4981.7489999999998</v>
      </c>
      <c r="F97" s="18">
        <f t="shared" si="134"/>
        <v>-4634.6854000000012</v>
      </c>
      <c r="G97" s="19">
        <f t="shared" si="134"/>
        <v>-4303.5</v>
      </c>
      <c r="H97" s="19">
        <f t="shared" si="134"/>
        <v>-6318.5</v>
      </c>
      <c r="I97" s="19">
        <f t="shared" si="134"/>
        <v>-4908</v>
      </c>
      <c r="J97" s="19">
        <f t="shared" si="134"/>
        <v>-4908</v>
      </c>
      <c r="K97" s="19">
        <f t="shared" si="134"/>
        <v>-6318.5</v>
      </c>
      <c r="L97" s="19">
        <f t="shared" si="134"/>
        <v>-6318.5</v>
      </c>
      <c r="M97" s="19">
        <f t="shared" si="134"/>
        <v>-6318.5</v>
      </c>
      <c r="N97" s="19">
        <f t="shared" si="134"/>
        <v>-4908</v>
      </c>
      <c r="O97" s="20">
        <f t="shared" si="137"/>
        <v>-53917.934399999998</v>
      </c>
      <c r="Q97" s="19">
        <f t="shared" si="135"/>
        <v>-4002.88618</v>
      </c>
      <c r="R97" s="19">
        <f t="shared" si="135"/>
        <v>-5496.4606000000003</v>
      </c>
      <c r="S97" s="19">
        <f t="shared" si="135"/>
        <v>-5164.1550615000006</v>
      </c>
      <c r="T97" s="19">
        <f t="shared" si="135"/>
        <v>-5111.4553559999995</v>
      </c>
      <c r="U97" s="19">
        <f t="shared" si="135"/>
        <v>-4962.8756182553188</v>
      </c>
      <c r="V97" s="19">
        <f t="shared" si="135"/>
        <v>-6332.7625730000009</v>
      </c>
      <c r="W97" s="19">
        <f t="shared" si="135"/>
        <v>-5013.0500099999999</v>
      </c>
      <c r="X97" s="19">
        <f t="shared" si="135"/>
        <v>-5511.2546271063839</v>
      </c>
      <c r="Y97" s="19">
        <f t="shared" si="135"/>
        <v>-6612.7049110000025</v>
      </c>
      <c r="Z97" s="19">
        <f t="shared" si="135"/>
        <v>-6966.9836214999996</v>
      </c>
      <c r="AA97" s="19">
        <f t="shared" si="135"/>
        <v>-6867.3026193000005</v>
      </c>
      <c r="AB97" s="19">
        <f t="shared" si="135"/>
        <v>-5406.525346800001</v>
      </c>
      <c r="AC97" s="20">
        <f t="shared" si="138"/>
        <v>-67448.416524461703</v>
      </c>
      <c r="AE97" s="19"/>
      <c r="AF97" s="19"/>
      <c r="AG97" s="19">
        <f t="shared" si="136"/>
        <v>-6117</v>
      </c>
      <c r="AH97" s="19">
        <f t="shared" si="136"/>
        <v>-6117</v>
      </c>
      <c r="AI97" s="19">
        <f t="shared" si="136"/>
        <v>-6117</v>
      </c>
      <c r="AJ97" s="19">
        <f t="shared" si="136"/>
        <v>-6117</v>
      </c>
      <c r="AK97" s="19">
        <f t="shared" si="136"/>
        <v>-6117</v>
      </c>
      <c r="AL97" s="19">
        <f t="shared" si="136"/>
        <v>-6117</v>
      </c>
      <c r="AM97" s="19">
        <f t="shared" si="136"/>
        <v>-6117</v>
      </c>
      <c r="AN97" s="19">
        <f t="shared" si="136"/>
        <v>-6117</v>
      </c>
      <c r="AO97" s="19">
        <f t="shared" si="136"/>
        <v>-6117</v>
      </c>
      <c r="AP97" s="19">
        <f t="shared" si="136"/>
        <v>-6117</v>
      </c>
      <c r="AQ97" s="20">
        <f t="shared" si="139"/>
        <v>-61170</v>
      </c>
    </row>
    <row r="98" spans="1:43">
      <c r="A98" s="13" t="s">
        <v>470</v>
      </c>
      <c r="C98" s="18"/>
      <c r="D98" s="18"/>
      <c r="E98" s="18">
        <f t="shared" si="134"/>
        <v>0</v>
      </c>
      <c r="F98" s="18">
        <f t="shared" si="134"/>
        <v>0</v>
      </c>
      <c r="G98" s="19">
        <f t="shared" si="134"/>
        <v>0</v>
      </c>
      <c r="H98" s="19">
        <f t="shared" si="134"/>
        <v>0</v>
      </c>
      <c r="I98" s="19">
        <f t="shared" si="134"/>
        <v>0</v>
      </c>
      <c r="J98" s="19">
        <f t="shared" si="134"/>
        <v>0</v>
      </c>
      <c r="K98" s="19">
        <f t="shared" si="134"/>
        <v>0</v>
      </c>
      <c r="L98" s="19">
        <f t="shared" si="134"/>
        <v>0</v>
      </c>
      <c r="M98" s="19">
        <f t="shared" si="134"/>
        <v>0</v>
      </c>
      <c r="N98" s="19">
        <f t="shared" si="134"/>
        <v>0</v>
      </c>
      <c r="O98" s="20">
        <f t="shared" si="137"/>
        <v>0</v>
      </c>
      <c r="Q98" s="19">
        <f t="shared" si="135"/>
        <v>0</v>
      </c>
      <c r="R98" s="19">
        <f t="shared" si="135"/>
        <v>0</v>
      </c>
      <c r="S98" s="19">
        <f t="shared" si="135"/>
        <v>0</v>
      </c>
      <c r="T98" s="19">
        <f t="shared" si="135"/>
        <v>0</v>
      </c>
      <c r="U98" s="19">
        <f t="shared" si="135"/>
        <v>0</v>
      </c>
      <c r="V98" s="19">
        <f t="shared" si="135"/>
        <v>0</v>
      </c>
      <c r="W98" s="19">
        <f t="shared" si="135"/>
        <v>0</v>
      </c>
      <c r="X98" s="19">
        <f t="shared" si="135"/>
        <v>0</v>
      </c>
      <c r="Y98" s="19">
        <f t="shared" si="135"/>
        <v>0</v>
      </c>
      <c r="Z98" s="19">
        <f t="shared" si="135"/>
        <v>0</v>
      </c>
      <c r="AA98" s="19">
        <f t="shared" si="135"/>
        <v>0</v>
      </c>
      <c r="AB98" s="19">
        <f t="shared" si="135"/>
        <v>0</v>
      </c>
      <c r="AC98" s="20">
        <f t="shared" si="138"/>
        <v>0</v>
      </c>
      <c r="AE98" s="19"/>
      <c r="AF98" s="19"/>
      <c r="AG98" s="19">
        <f t="shared" si="136"/>
        <v>0</v>
      </c>
      <c r="AH98" s="19">
        <f t="shared" si="136"/>
        <v>0</v>
      </c>
      <c r="AI98" s="19">
        <f t="shared" si="136"/>
        <v>0</v>
      </c>
      <c r="AJ98" s="19">
        <f t="shared" si="136"/>
        <v>0</v>
      </c>
      <c r="AK98" s="19">
        <f t="shared" si="136"/>
        <v>0</v>
      </c>
      <c r="AL98" s="19">
        <f t="shared" si="136"/>
        <v>0</v>
      </c>
      <c r="AM98" s="19">
        <f t="shared" si="136"/>
        <v>0</v>
      </c>
      <c r="AN98" s="19">
        <f t="shared" si="136"/>
        <v>0</v>
      </c>
      <c r="AO98" s="19">
        <f t="shared" si="136"/>
        <v>0</v>
      </c>
      <c r="AP98" s="19">
        <f t="shared" si="136"/>
        <v>0</v>
      </c>
      <c r="AQ98" s="20">
        <f t="shared" si="139"/>
        <v>0</v>
      </c>
    </row>
    <row r="99" spans="1:43">
      <c r="C99" s="14"/>
      <c r="D99" s="14"/>
      <c r="E99" s="14"/>
      <c r="F99" s="14"/>
    </row>
    <row r="100" spans="1:43" ht="13" thickBot="1">
      <c r="A100" s="11" t="s">
        <v>473</v>
      </c>
      <c r="B100" s="11"/>
      <c r="C100" s="112">
        <f>C63</f>
        <v>0</v>
      </c>
      <c r="D100" s="112">
        <f>D63</f>
        <v>0</v>
      </c>
      <c r="E100" s="112">
        <f t="shared" ref="E100:O100" si="140">SUM(E85:E99)</f>
        <v>-99634.98</v>
      </c>
      <c r="F100" s="112">
        <f t="shared" si="140"/>
        <v>-92693.708000000013</v>
      </c>
      <c r="G100" s="113">
        <f t="shared" si="140"/>
        <v>-86070</v>
      </c>
      <c r="H100" s="113">
        <f t="shared" si="140"/>
        <v>-126370</v>
      </c>
      <c r="I100" s="113">
        <f t="shared" si="140"/>
        <v>-98160.000000000015</v>
      </c>
      <c r="J100" s="113">
        <f t="shared" si="140"/>
        <v>-98160.000000000015</v>
      </c>
      <c r="K100" s="113">
        <f t="shared" si="140"/>
        <v>-126370</v>
      </c>
      <c r="L100" s="113">
        <f t="shared" si="140"/>
        <v>-126370</v>
      </c>
      <c r="M100" s="113">
        <f t="shared" si="140"/>
        <v>-126370</v>
      </c>
      <c r="N100" s="113">
        <f t="shared" si="140"/>
        <v>-98160.000000000015</v>
      </c>
      <c r="O100" s="113">
        <f t="shared" si="140"/>
        <v>-1078358.6879999996</v>
      </c>
      <c r="Q100" s="113">
        <f t="shared" ref="Q100:R100" si="141">SUM(Q85:Q99)</f>
        <v>-80057.723599999998</v>
      </c>
      <c r="R100" s="113">
        <f t="shared" si="141"/>
        <v>-109929.21200000001</v>
      </c>
      <c r="S100" s="113">
        <f t="shared" ref="S100:AB100" si="142">SUM(S85:S99)</f>
        <v>-103283.10123000001</v>
      </c>
      <c r="T100" s="113">
        <f t="shared" si="142"/>
        <v>-102229.10711999999</v>
      </c>
      <c r="U100" s="113">
        <f t="shared" si="142"/>
        <v>-99257.512365106391</v>
      </c>
      <c r="V100" s="113">
        <f t="shared" si="142"/>
        <v>-126655.25146000001</v>
      </c>
      <c r="W100" s="113">
        <f t="shared" si="142"/>
        <v>-100261.00019999999</v>
      </c>
      <c r="X100" s="113">
        <f t="shared" si="142"/>
        <v>-110225.09254212768</v>
      </c>
      <c r="Y100" s="113">
        <f t="shared" si="142"/>
        <v>-132254.09822000004</v>
      </c>
      <c r="Z100" s="113">
        <f t="shared" si="142"/>
        <v>-139339.67242999998</v>
      </c>
      <c r="AA100" s="113">
        <f t="shared" si="142"/>
        <v>-137346.05238600002</v>
      </c>
      <c r="AB100" s="113">
        <f t="shared" si="142"/>
        <v>-108130.50693600001</v>
      </c>
      <c r="AC100" s="113">
        <f>SUM(AC85:AC99)</f>
        <v>-1348968.3304892341</v>
      </c>
      <c r="AE100" s="113">
        <f>AE63</f>
        <v>0</v>
      </c>
      <c r="AF100" s="113">
        <f>AF63</f>
        <v>0</v>
      </c>
      <c r="AG100" s="113">
        <f t="shared" ref="AG100:AQ100" si="143">SUM(AG85:AG99)</f>
        <v>-122339.99999999999</v>
      </c>
      <c r="AH100" s="113">
        <f t="shared" si="143"/>
        <v>-122339.99999999999</v>
      </c>
      <c r="AI100" s="113">
        <f t="shared" si="143"/>
        <v>-122339.99999999999</v>
      </c>
      <c r="AJ100" s="113">
        <f t="shared" si="143"/>
        <v>-122339.99999999999</v>
      </c>
      <c r="AK100" s="113">
        <f t="shared" si="143"/>
        <v>-122339.99999999999</v>
      </c>
      <c r="AL100" s="113">
        <f t="shared" si="143"/>
        <v>-122339.99999999999</v>
      </c>
      <c r="AM100" s="113">
        <f t="shared" si="143"/>
        <v>-122339.99999999999</v>
      </c>
      <c r="AN100" s="113">
        <f t="shared" si="143"/>
        <v>-122339.99999999999</v>
      </c>
      <c r="AO100" s="113">
        <f t="shared" si="143"/>
        <v>-122339.99999999999</v>
      </c>
      <c r="AP100" s="113">
        <f t="shared" si="143"/>
        <v>-122339.99999999999</v>
      </c>
      <c r="AQ100" s="113">
        <f t="shared" si="143"/>
        <v>-1223400</v>
      </c>
    </row>
    <row r="101" spans="1:43">
      <c r="A101" s="13" t="s">
        <v>494</v>
      </c>
      <c r="C101" s="14"/>
      <c r="D101" s="14"/>
      <c r="E101" s="18">
        <f>E73-E100</f>
        <v>0</v>
      </c>
      <c r="F101" s="18">
        <f t="shared" ref="F101:N101" si="144">F73-F100</f>
        <v>0</v>
      </c>
      <c r="G101" s="19">
        <f t="shared" si="144"/>
        <v>0</v>
      </c>
      <c r="H101" s="19">
        <f t="shared" si="144"/>
        <v>0</v>
      </c>
      <c r="I101" s="19">
        <f t="shared" si="144"/>
        <v>0</v>
      </c>
      <c r="J101" s="19">
        <f t="shared" si="144"/>
        <v>0</v>
      </c>
      <c r="K101" s="19">
        <f t="shared" si="144"/>
        <v>0</v>
      </c>
      <c r="L101" s="19">
        <f t="shared" si="144"/>
        <v>0</v>
      </c>
      <c r="M101" s="19">
        <f t="shared" si="144"/>
        <v>0</v>
      </c>
      <c r="N101" s="19">
        <f t="shared" si="144"/>
        <v>0</v>
      </c>
      <c r="O101" s="19">
        <f>O73-O100</f>
        <v>1078358.6879999996</v>
      </c>
      <c r="Q101" s="19"/>
      <c r="R101" s="19"/>
      <c r="S101" s="19">
        <f>S73-S100</f>
        <v>0</v>
      </c>
      <c r="T101" s="19">
        <f t="shared" ref="T101:AB101" si="145">T73-T100</f>
        <v>0</v>
      </c>
      <c r="U101" s="19">
        <f t="shared" si="145"/>
        <v>0</v>
      </c>
      <c r="V101" s="19">
        <f t="shared" si="145"/>
        <v>0</v>
      </c>
      <c r="W101" s="19">
        <f t="shared" si="145"/>
        <v>0</v>
      </c>
      <c r="X101" s="19">
        <f t="shared" si="145"/>
        <v>0</v>
      </c>
      <c r="Y101" s="19">
        <f t="shared" si="145"/>
        <v>0</v>
      </c>
      <c r="Z101" s="19">
        <f t="shared" si="145"/>
        <v>0</v>
      </c>
      <c r="AA101" s="19">
        <f t="shared" si="145"/>
        <v>0</v>
      </c>
      <c r="AB101" s="19">
        <f t="shared" si="145"/>
        <v>0</v>
      </c>
      <c r="AC101" s="19">
        <f>AC73-AC100</f>
        <v>1348968.3304892341</v>
      </c>
      <c r="AE101" s="19"/>
      <c r="AF101" s="19"/>
      <c r="AG101" s="19">
        <f>AG73-AG100</f>
        <v>0</v>
      </c>
      <c r="AH101" s="19">
        <f t="shared" ref="AH101:AP101" si="146">AH73-AH100</f>
        <v>0</v>
      </c>
      <c r="AI101" s="19">
        <f t="shared" si="146"/>
        <v>0</v>
      </c>
      <c r="AJ101" s="19">
        <f t="shared" si="146"/>
        <v>0</v>
      </c>
      <c r="AK101" s="19">
        <f t="shared" si="146"/>
        <v>0</v>
      </c>
      <c r="AL101" s="19">
        <f t="shared" si="146"/>
        <v>0</v>
      </c>
      <c r="AM101" s="19">
        <f t="shared" si="146"/>
        <v>0</v>
      </c>
      <c r="AN101" s="19">
        <f t="shared" si="146"/>
        <v>0</v>
      </c>
      <c r="AO101" s="19">
        <f t="shared" si="146"/>
        <v>0</v>
      </c>
      <c r="AP101" s="19">
        <f t="shared" si="146"/>
        <v>0</v>
      </c>
      <c r="AQ101" s="19">
        <f>AQ73-AQ100</f>
        <v>1223400</v>
      </c>
    </row>
  </sheetData>
  <sheetProtection sheet="1" objects="1" scenarios="1"/>
  <pageMargins left="0.7" right="0.7" top="0.75" bottom="0.75" header="0.3" footer="0.3"/>
  <pageSetup paperSize="9" orientation="portrait" horizontalDpi="360" verticalDpi="360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AF108-10E7-4547-B456-222BE85C07F9}">
  <sheetPr codeName="Sheet22"/>
  <dimension ref="A1:BF153"/>
  <sheetViews>
    <sheetView topLeftCell="A98" zoomScale="112" zoomScaleNormal="130" workbookViewId="0">
      <selection activeCell="AH154" sqref="AH154"/>
    </sheetView>
  </sheetViews>
  <sheetFormatPr baseColWidth="10" defaultColWidth="8.5" defaultRowHeight="12" outlineLevelCol="1"/>
  <cols>
    <col min="1" max="1" width="8.5" style="13"/>
    <col min="2" max="2" width="11.5" style="13" customWidth="1"/>
    <col min="3" max="3" width="18.5" style="13" bestFit="1" customWidth="1"/>
    <col min="4" max="4" width="21.5" style="13" customWidth="1"/>
    <col min="5" max="5" width="82.5" style="13" customWidth="1"/>
    <col min="6" max="13" width="8.5" style="13" hidden="1" customWidth="1" outlineLevel="1"/>
    <col min="14" max="14" width="10.5" style="13" customWidth="1" collapsed="1"/>
    <col min="15" max="19" width="8.5" style="13" customWidth="1"/>
    <col min="20" max="20" width="23" style="13" customWidth="1"/>
    <col min="21" max="32" width="8.5" style="13"/>
    <col min="33" max="33" width="14.5" style="13" customWidth="1"/>
    <col min="34" max="34" width="10.1640625" style="11" bestFit="1" customWidth="1"/>
    <col min="35" max="47" width="8.5" style="13"/>
    <col min="48" max="48" width="8.5" style="11"/>
    <col min="49" max="52" width="8.5" style="13"/>
    <col min="53" max="53" width="11" style="13" bestFit="1" customWidth="1"/>
    <col min="54" max="16384" width="8.5" style="13"/>
  </cols>
  <sheetData>
    <row r="1" spans="1:58">
      <c r="N1" s="40">
        <f>SUBTOTAL(9,N4:N310)</f>
        <v>-99597.42333333334</v>
      </c>
      <c r="O1" s="40">
        <f>SUBTOTAL(9,O4:O310)</f>
        <v>-99846.42333333334</v>
      </c>
      <c r="P1" s="40">
        <f>SUBTOTAL(9,P4:P310)</f>
        <v>-95926.42333333334</v>
      </c>
      <c r="Q1" s="40">
        <f>SUBTOTAL(9,Q4:Q310)</f>
        <v>-95958.42333333334</v>
      </c>
      <c r="X1" s="175" t="s">
        <v>495</v>
      </c>
      <c r="Z1" s="170" t="s">
        <v>496</v>
      </c>
    </row>
    <row r="2" spans="1:58">
      <c r="A2" s="11" t="s">
        <v>56</v>
      </c>
      <c r="B2" s="11" t="s">
        <v>497</v>
      </c>
      <c r="C2" s="11" t="s">
        <v>393</v>
      </c>
      <c r="D2" s="11" t="s">
        <v>498</v>
      </c>
      <c r="E2" s="11" t="s">
        <v>499</v>
      </c>
      <c r="F2" s="146">
        <v>45689</v>
      </c>
      <c r="G2" s="146">
        <v>45717</v>
      </c>
      <c r="H2" s="146">
        <v>45748</v>
      </c>
      <c r="I2" s="146">
        <v>45778</v>
      </c>
      <c r="J2" s="146">
        <v>45809</v>
      </c>
      <c r="K2" s="146">
        <v>45839</v>
      </c>
      <c r="L2" s="146">
        <v>45870</v>
      </c>
      <c r="M2" s="146">
        <v>45901</v>
      </c>
      <c r="N2" s="146">
        <v>45931</v>
      </c>
      <c r="O2" s="146">
        <v>45962</v>
      </c>
      <c r="P2" s="146">
        <v>45992</v>
      </c>
      <c r="Q2" s="146">
        <v>46023</v>
      </c>
      <c r="R2" s="11" t="s">
        <v>207</v>
      </c>
      <c r="S2" s="13" t="s">
        <v>208</v>
      </c>
      <c r="T2" s="13" t="s">
        <v>500</v>
      </c>
      <c r="U2" s="13" t="s">
        <v>208</v>
      </c>
      <c r="V2" s="146">
        <v>46054</v>
      </c>
      <c r="W2" s="146">
        <v>46082</v>
      </c>
      <c r="X2" s="146">
        <v>46113</v>
      </c>
      <c r="Y2" s="146">
        <v>46143</v>
      </c>
      <c r="Z2" s="146">
        <v>46174</v>
      </c>
      <c r="AA2" s="146">
        <v>46204</v>
      </c>
      <c r="AB2" s="146">
        <v>46235</v>
      </c>
      <c r="AC2" s="146">
        <v>46266</v>
      </c>
      <c r="AD2" s="146">
        <v>46296</v>
      </c>
      <c r="AE2" s="146">
        <v>46327</v>
      </c>
      <c r="AF2" s="146">
        <v>46357</v>
      </c>
      <c r="AG2" s="146">
        <v>46388</v>
      </c>
      <c r="AH2" s="11" t="s">
        <v>207</v>
      </c>
      <c r="AJ2" s="146">
        <v>46419</v>
      </c>
      <c r="AK2" s="146">
        <v>46447</v>
      </c>
      <c r="AL2" s="146">
        <v>46478</v>
      </c>
      <c r="AM2" s="146">
        <v>46508</v>
      </c>
      <c r="AN2" s="146">
        <v>46539</v>
      </c>
      <c r="AO2" s="146">
        <v>46569</v>
      </c>
      <c r="AP2" s="146">
        <v>46600</v>
      </c>
      <c r="AQ2" s="146">
        <v>46631</v>
      </c>
      <c r="AR2" s="146">
        <v>46661</v>
      </c>
      <c r="AS2" s="146">
        <v>46692</v>
      </c>
      <c r="AT2" s="146">
        <v>46722</v>
      </c>
      <c r="AU2" s="146">
        <v>46753</v>
      </c>
      <c r="AV2" s="11" t="s">
        <v>207</v>
      </c>
    </row>
    <row r="3" spans="1:58">
      <c r="A3" s="13" t="s">
        <v>105</v>
      </c>
      <c r="B3" s="13" t="s">
        <v>394</v>
      </c>
      <c r="C3" s="13" t="s">
        <v>198</v>
      </c>
      <c r="D3" s="13" t="s">
        <v>198</v>
      </c>
      <c r="E3" s="13" t="s">
        <v>501</v>
      </c>
      <c r="F3" s="19">
        <v>-2500</v>
      </c>
      <c r="G3" s="19">
        <v>-2500</v>
      </c>
      <c r="H3" s="19">
        <v>-2500</v>
      </c>
      <c r="I3" s="19"/>
      <c r="J3" s="19"/>
      <c r="K3" s="19"/>
      <c r="L3" s="19"/>
      <c r="M3" s="19"/>
      <c r="N3" s="19"/>
      <c r="O3" s="19"/>
      <c r="P3" s="19"/>
      <c r="Q3" s="19"/>
      <c r="R3" s="20">
        <f t="shared" ref="R3:R14" si="0">SUM(F3:Q3)</f>
        <v>-7500</v>
      </c>
      <c r="T3" s="13" t="s">
        <v>502</v>
      </c>
      <c r="U3" s="13" t="s">
        <v>503</v>
      </c>
      <c r="V3" s="19">
        <v>0</v>
      </c>
      <c r="W3" s="19">
        <v>0</v>
      </c>
      <c r="X3" s="19">
        <v>0</v>
      </c>
      <c r="Y3" s="19">
        <v>0</v>
      </c>
      <c r="Z3" s="19">
        <v>0</v>
      </c>
      <c r="AA3" s="19">
        <v>0</v>
      </c>
      <c r="AB3" s="19">
        <v>0</v>
      </c>
      <c r="AC3" s="19">
        <v>0</v>
      </c>
      <c r="AD3" s="19">
        <v>0</v>
      </c>
      <c r="AE3" s="19">
        <v>0</v>
      </c>
      <c r="AF3" s="19">
        <v>0</v>
      </c>
      <c r="AG3" s="19">
        <v>0</v>
      </c>
      <c r="AH3" s="20">
        <f>SUM(V3:AG3)</f>
        <v>0</v>
      </c>
      <c r="AJ3" s="19">
        <v>0</v>
      </c>
      <c r="AK3" s="19">
        <v>0</v>
      </c>
      <c r="AL3" s="19">
        <v>0</v>
      </c>
      <c r="AM3" s="19">
        <v>0</v>
      </c>
      <c r="AN3" s="19">
        <v>0</v>
      </c>
      <c r="AO3" s="19">
        <v>0</v>
      </c>
      <c r="AP3" s="19">
        <v>0</v>
      </c>
      <c r="AQ3" s="19">
        <v>0</v>
      </c>
      <c r="AR3" s="19">
        <v>0</v>
      </c>
      <c r="AS3" s="19">
        <v>0</v>
      </c>
      <c r="AT3" s="19">
        <v>0</v>
      </c>
      <c r="AU3" s="19">
        <v>0</v>
      </c>
      <c r="AV3" s="20">
        <f>SUM(AJ3:AU3)</f>
        <v>0</v>
      </c>
    </row>
    <row r="4" spans="1:58">
      <c r="A4" s="13" t="s">
        <v>105</v>
      </c>
      <c r="B4" s="13" t="s">
        <v>394</v>
      </c>
      <c r="C4" s="13" t="s">
        <v>146</v>
      </c>
      <c r="D4" s="13" t="s">
        <v>504</v>
      </c>
      <c r="E4" s="13" t="s">
        <v>505</v>
      </c>
      <c r="F4" s="19">
        <v>-3600</v>
      </c>
      <c r="G4" s="19">
        <v>-3600</v>
      </c>
      <c r="H4" s="19">
        <v>-3600</v>
      </c>
      <c r="I4" s="19">
        <v>-3600</v>
      </c>
      <c r="J4" s="19">
        <v>-3600</v>
      </c>
      <c r="K4" s="19">
        <v>-3600</v>
      </c>
      <c r="L4" s="19"/>
      <c r="M4" s="19"/>
      <c r="N4" s="19"/>
      <c r="O4" s="19"/>
      <c r="P4" s="19"/>
      <c r="Q4" s="19"/>
      <c r="R4" s="20">
        <f t="shared" si="0"/>
        <v>-21600</v>
      </c>
      <c r="T4" s="13" t="s">
        <v>506</v>
      </c>
      <c r="U4" s="13" t="s">
        <v>507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  <c r="AD4" s="19">
        <v>0</v>
      </c>
      <c r="AE4" s="19">
        <v>0</v>
      </c>
      <c r="AF4" s="19">
        <v>0</v>
      </c>
      <c r="AG4" s="19">
        <v>0</v>
      </c>
      <c r="AH4" s="20">
        <f t="shared" ref="AH4:AH65" si="1">SUM(V4:AG4)</f>
        <v>0</v>
      </c>
      <c r="AJ4" s="19">
        <v>0</v>
      </c>
      <c r="AK4" s="19">
        <v>0</v>
      </c>
      <c r="AL4" s="19">
        <v>0</v>
      </c>
      <c r="AM4" s="19">
        <v>0</v>
      </c>
      <c r="AN4" s="19">
        <v>0</v>
      </c>
      <c r="AO4" s="19">
        <v>0</v>
      </c>
      <c r="AP4" s="19">
        <v>0</v>
      </c>
      <c r="AQ4" s="19">
        <v>0</v>
      </c>
      <c r="AR4" s="19">
        <v>0</v>
      </c>
      <c r="AS4" s="19">
        <v>0</v>
      </c>
      <c r="AT4" s="19">
        <v>0</v>
      </c>
      <c r="AU4" s="19">
        <v>0</v>
      </c>
      <c r="AV4" s="20">
        <f t="shared" ref="AV4:AV65" si="2">SUM(AJ4:AU4)</f>
        <v>0</v>
      </c>
    </row>
    <row r="5" spans="1:58">
      <c r="A5" s="13" t="s">
        <v>105</v>
      </c>
      <c r="B5" s="13" t="s">
        <v>394</v>
      </c>
      <c r="C5" s="13" t="s">
        <v>146</v>
      </c>
      <c r="D5" s="13" t="s">
        <v>508</v>
      </c>
      <c r="E5" s="13" t="s">
        <v>509</v>
      </c>
      <c r="F5" s="19">
        <v>-2400</v>
      </c>
      <c r="G5" s="19">
        <v>-2400</v>
      </c>
      <c r="H5" s="19">
        <v>-2400</v>
      </c>
      <c r="I5" s="19">
        <v>-2400</v>
      </c>
      <c r="J5" s="19">
        <v>-2400</v>
      </c>
      <c r="K5" s="19">
        <v>-2400</v>
      </c>
      <c r="L5" s="19">
        <v>-2400</v>
      </c>
      <c r="M5" s="19">
        <v>-2400</v>
      </c>
      <c r="N5" s="19">
        <v>-2400</v>
      </c>
      <c r="O5" s="19">
        <v>-2400</v>
      </c>
      <c r="P5" s="19">
        <v>-2400</v>
      </c>
      <c r="Q5" s="19">
        <v>-2400</v>
      </c>
      <c r="R5" s="20">
        <f t="shared" si="0"/>
        <v>-28800</v>
      </c>
      <c r="T5" s="13" t="s">
        <v>510</v>
      </c>
      <c r="V5" s="19">
        <v>-2400</v>
      </c>
      <c r="W5" s="19">
        <v>-2400</v>
      </c>
      <c r="X5" s="19">
        <v>-2400</v>
      </c>
      <c r="Y5" s="19">
        <v>-2400</v>
      </c>
      <c r="Z5" s="19">
        <v>-2400</v>
      </c>
      <c r="AA5" s="19">
        <v>-2400</v>
      </c>
      <c r="AB5" s="19">
        <v>-2400</v>
      </c>
      <c r="AC5" s="19">
        <v>-2400</v>
      </c>
      <c r="AD5" s="19">
        <v>-2400</v>
      </c>
      <c r="AE5" s="19">
        <v>-2400</v>
      </c>
      <c r="AF5" s="19">
        <v>-2400</v>
      </c>
      <c r="AG5" s="19">
        <v>-2400</v>
      </c>
      <c r="AH5" s="20">
        <f t="shared" si="1"/>
        <v>-28800</v>
      </c>
      <c r="AJ5" s="19">
        <v>-2400</v>
      </c>
      <c r="AK5" s="19">
        <v>-2400</v>
      </c>
      <c r="AL5" s="19">
        <v>-2400</v>
      </c>
      <c r="AM5" s="19">
        <v>-2400</v>
      </c>
      <c r="AN5" s="19">
        <v>-2400</v>
      </c>
      <c r="AO5" s="19">
        <v>-2400</v>
      </c>
      <c r="AP5" s="19">
        <v>-2400</v>
      </c>
      <c r="AQ5" s="19">
        <v>-2400</v>
      </c>
      <c r="AR5" s="19">
        <v>-2400</v>
      </c>
      <c r="AS5" s="19">
        <v>-2400</v>
      </c>
      <c r="AT5" s="19">
        <v>-2400</v>
      </c>
      <c r="AU5" s="19">
        <v>-2400</v>
      </c>
      <c r="AV5" s="20">
        <f t="shared" si="2"/>
        <v>-28800</v>
      </c>
    </row>
    <row r="6" spans="1:58">
      <c r="A6" s="13" t="s">
        <v>105</v>
      </c>
      <c r="B6" s="13" t="s">
        <v>394</v>
      </c>
      <c r="C6" s="13" t="s">
        <v>146</v>
      </c>
      <c r="D6" s="13" t="s">
        <v>508</v>
      </c>
      <c r="E6" s="13" t="s">
        <v>511</v>
      </c>
      <c r="F6" s="19">
        <v>-1000</v>
      </c>
      <c r="G6" s="19">
        <v>-1000</v>
      </c>
      <c r="H6" s="19">
        <v>-1000</v>
      </c>
      <c r="I6" s="19">
        <v>-1000</v>
      </c>
      <c r="J6" s="19">
        <v>-1000</v>
      </c>
      <c r="K6" s="19">
        <v>-1000</v>
      </c>
      <c r="L6" s="19">
        <v>-1000</v>
      </c>
      <c r="M6" s="19">
        <v>-1000</v>
      </c>
      <c r="N6" s="19">
        <v>-1000</v>
      </c>
      <c r="O6" s="19">
        <v>-1000</v>
      </c>
      <c r="P6" s="19">
        <v>-1000</v>
      </c>
      <c r="Q6" s="19">
        <v>-1000</v>
      </c>
      <c r="R6" s="20">
        <f t="shared" si="0"/>
        <v>-12000</v>
      </c>
      <c r="T6" s="13" t="s">
        <v>512</v>
      </c>
      <c r="V6" s="19">
        <v>-500</v>
      </c>
      <c r="W6" s="19">
        <v>-500</v>
      </c>
      <c r="X6" s="19">
        <v>-500</v>
      </c>
      <c r="Y6" s="19">
        <v>-500</v>
      </c>
      <c r="Z6" s="19">
        <v>-500</v>
      </c>
      <c r="AA6" s="19">
        <v>-500</v>
      </c>
      <c r="AB6" s="19">
        <v>-500</v>
      </c>
      <c r="AC6" s="19">
        <v>-500</v>
      </c>
      <c r="AD6" s="19">
        <v>-500</v>
      </c>
      <c r="AE6" s="19">
        <v>-500</v>
      </c>
      <c r="AF6" s="19">
        <v>-500</v>
      </c>
      <c r="AG6" s="19">
        <v>-500</v>
      </c>
      <c r="AH6" s="20">
        <f t="shared" si="1"/>
        <v>-6000</v>
      </c>
      <c r="AJ6" s="19">
        <v>-500</v>
      </c>
      <c r="AK6" s="19">
        <v>-500</v>
      </c>
      <c r="AL6" s="19">
        <v>-500</v>
      </c>
      <c r="AM6" s="19">
        <v>-500</v>
      </c>
      <c r="AN6" s="19">
        <v>-500</v>
      </c>
      <c r="AO6" s="19">
        <v>-500</v>
      </c>
      <c r="AP6" s="19">
        <v>-500</v>
      </c>
      <c r="AQ6" s="19">
        <v>-500</v>
      </c>
      <c r="AR6" s="19">
        <v>-500</v>
      </c>
      <c r="AS6" s="19">
        <v>-500</v>
      </c>
      <c r="AT6" s="19">
        <v>-500</v>
      </c>
      <c r="AU6" s="19">
        <v>-500</v>
      </c>
      <c r="AV6" s="20">
        <f t="shared" si="2"/>
        <v>-6000</v>
      </c>
    </row>
    <row r="7" spans="1:58">
      <c r="A7" s="13" t="s">
        <v>105</v>
      </c>
      <c r="B7" s="13" t="s">
        <v>396</v>
      </c>
      <c r="C7" s="13" t="s">
        <v>146</v>
      </c>
      <c r="D7" s="13" t="s">
        <v>513</v>
      </c>
      <c r="E7" s="13" t="s">
        <v>514</v>
      </c>
      <c r="F7" s="19">
        <v>-2000</v>
      </c>
      <c r="G7" s="19">
        <v>-2000</v>
      </c>
      <c r="H7" s="19">
        <v>-2000</v>
      </c>
      <c r="I7" s="19">
        <v>-2000</v>
      </c>
      <c r="J7" s="19">
        <v>-2000</v>
      </c>
      <c r="K7" s="19">
        <v>-2000</v>
      </c>
      <c r="L7" s="19">
        <v>-2000</v>
      </c>
      <c r="M7" s="19">
        <v>-2000</v>
      </c>
      <c r="N7" s="19">
        <v>-2000</v>
      </c>
      <c r="O7" s="19">
        <v>-2000</v>
      </c>
      <c r="P7" s="19">
        <v>-2000</v>
      </c>
      <c r="Q7" s="19">
        <v>-2000</v>
      </c>
      <c r="R7" s="20">
        <f t="shared" si="0"/>
        <v>-24000</v>
      </c>
      <c r="V7" s="19">
        <v>-2000</v>
      </c>
      <c r="W7" s="19">
        <v>-2000</v>
      </c>
      <c r="X7" s="19">
        <v>-2000</v>
      </c>
      <c r="Y7" s="19">
        <v>-2000</v>
      </c>
      <c r="Z7" s="19">
        <v>-2000</v>
      </c>
      <c r="AA7" s="19">
        <v>-2000</v>
      </c>
      <c r="AB7" s="19">
        <v>-2000</v>
      </c>
      <c r="AC7" s="19">
        <v>-2000</v>
      </c>
      <c r="AD7" s="19">
        <v>-2000</v>
      </c>
      <c r="AE7" s="19">
        <v>-2000</v>
      </c>
      <c r="AF7" s="19">
        <v>-2000</v>
      </c>
      <c r="AG7" s="19">
        <v>-2000</v>
      </c>
      <c r="AH7" s="20">
        <f t="shared" si="1"/>
        <v>-24000</v>
      </c>
      <c r="AJ7" s="19">
        <v>-2000</v>
      </c>
      <c r="AK7" s="19">
        <v>-2000</v>
      </c>
      <c r="AL7" s="19">
        <v>-2000</v>
      </c>
      <c r="AM7" s="19">
        <v>-2000</v>
      </c>
      <c r="AN7" s="19">
        <v>-2000</v>
      </c>
      <c r="AO7" s="19">
        <v>-2000</v>
      </c>
      <c r="AP7" s="19">
        <v>-2000</v>
      </c>
      <c r="AQ7" s="19">
        <v>-2000</v>
      </c>
      <c r="AR7" s="19">
        <v>-2000</v>
      </c>
      <c r="AS7" s="19">
        <v>-2000</v>
      </c>
      <c r="AT7" s="19">
        <v>-2000</v>
      </c>
      <c r="AU7" s="19">
        <v>-2000</v>
      </c>
      <c r="AV7" s="20">
        <f t="shared" si="2"/>
        <v>-24000</v>
      </c>
    </row>
    <row r="8" spans="1:58">
      <c r="A8" s="13" t="s">
        <v>105</v>
      </c>
      <c r="B8" s="13" t="s">
        <v>396</v>
      </c>
      <c r="C8" s="13" t="s">
        <v>146</v>
      </c>
      <c r="D8" s="13" t="s">
        <v>513</v>
      </c>
      <c r="E8" s="13" t="s">
        <v>515</v>
      </c>
      <c r="F8" s="19">
        <v>-2250</v>
      </c>
      <c r="G8" s="19">
        <v>-2250</v>
      </c>
      <c r="H8" s="19">
        <v>-2250</v>
      </c>
      <c r="I8" s="19"/>
      <c r="J8" s="19"/>
      <c r="K8" s="19"/>
      <c r="L8" s="19"/>
      <c r="M8" s="19"/>
      <c r="N8" s="19"/>
      <c r="O8" s="19"/>
      <c r="P8" s="19"/>
      <c r="Q8" s="19"/>
      <c r="R8" s="20">
        <f t="shared" si="0"/>
        <v>-6750</v>
      </c>
      <c r="T8" s="13" t="s">
        <v>516</v>
      </c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20">
        <f t="shared" si="1"/>
        <v>0</v>
      </c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20">
        <f t="shared" si="2"/>
        <v>0</v>
      </c>
    </row>
    <row r="9" spans="1:58">
      <c r="A9" s="13" t="s">
        <v>105</v>
      </c>
      <c r="B9" s="13" t="s">
        <v>517</v>
      </c>
      <c r="C9" s="13" t="s">
        <v>146</v>
      </c>
      <c r="D9" s="13" t="s">
        <v>518</v>
      </c>
      <c r="E9" s="13" t="s">
        <v>519</v>
      </c>
      <c r="F9" s="19">
        <v>-4000</v>
      </c>
      <c r="G9" s="19">
        <v>-4000</v>
      </c>
      <c r="H9" s="19">
        <v>-4000</v>
      </c>
      <c r="I9" s="19">
        <v>-4200</v>
      </c>
      <c r="J9" s="19">
        <v>-4200</v>
      </c>
      <c r="K9" s="19">
        <v>-4200</v>
      </c>
      <c r="L9" s="19">
        <v>-4200</v>
      </c>
      <c r="M9" s="19">
        <v>-4200</v>
      </c>
      <c r="N9" s="19">
        <v>-4200</v>
      </c>
      <c r="O9" s="19">
        <v>-4200</v>
      </c>
      <c r="P9" s="19">
        <v>-4200</v>
      </c>
      <c r="Q9" s="19">
        <v>-4200</v>
      </c>
      <c r="R9" s="20">
        <f t="shared" si="0"/>
        <v>-49800</v>
      </c>
      <c r="T9" s="13" t="s">
        <v>520</v>
      </c>
      <c r="V9" s="173">
        <v>-4200</v>
      </c>
      <c r="W9" s="173">
        <v>-4200</v>
      </c>
      <c r="X9" s="173">
        <v>-4200</v>
      </c>
      <c r="Y9" s="173">
        <v>-4200</v>
      </c>
      <c r="Z9" s="173">
        <v>-4200</v>
      </c>
      <c r="AA9" s="173">
        <v>-4200</v>
      </c>
      <c r="AB9" s="173">
        <v>-4200</v>
      </c>
      <c r="AC9" s="173">
        <v>-4200</v>
      </c>
      <c r="AD9" s="173">
        <v>-4200</v>
      </c>
      <c r="AE9" s="173">
        <v>-4200</v>
      </c>
      <c r="AF9" s="173">
        <v>-4200</v>
      </c>
      <c r="AG9" s="173">
        <v>-4200</v>
      </c>
      <c r="AH9" s="20">
        <f t="shared" si="1"/>
        <v>-50400</v>
      </c>
      <c r="AJ9" s="173">
        <v>-4200</v>
      </c>
      <c r="AK9" s="173">
        <v>-4200</v>
      </c>
      <c r="AL9" s="173">
        <v>-4200</v>
      </c>
      <c r="AM9" s="173">
        <v>-4200</v>
      </c>
      <c r="AN9" s="173">
        <v>-4200</v>
      </c>
      <c r="AO9" s="173">
        <v>-4200</v>
      </c>
      <c r="AP9" s="173">
        <v>-4200</v>
      </c>
      <c r="AQ9" s="173">
        <v>-4200</v>
      </c>
      <c r="AR9" s="173">
        <v>-4200</v>
      </c>
      <c r="AS9" s="173">
        <v>-4200</v>
      </c>
      <c r="AT9" s="173">
        <v>-4200</v>
      </c>
      <c r="AU9" s="173">
        <v>-4200</v>
      </c>
      <c r="AV9" s="20">
        <f t="shared" si="2"/>
        <v>-50400</v>
      </c>
    </row>
    <row r="10" spans="1:58">
      <c r="A10" s="13" t="s">
        <v>105</v>
      </c>
      <c r="B10" s="13" t="s">
        <v>517</v>
      </c>
      <c r="C10" s="13" t="s">
        <v>146</v>
      </c>
      <c r="D10" s="13" t="s">
        <v>518</v>
      </c>
      <c r="E10" s="13" t="s">
        <v>521</v>
      </c>
      <c r="F10" s="19">
        <v>-240</v>
      </c>
      <c r="G10" s="19">
        <v>-240</v>
      </c>
      <c r="H10" s="19">
        <v>-240</v>
      </c>
      <c r="I10" s="19">
        <v>-240</v>
      </c>
      <c r="J10" s="19">
        <v>-240</v>
      </c>
      <c r="K10" s="19">
        <v>-240</v>
      </c>
      <c r="L10" s="19">
        <v>-240</v>
      </c>
      <c r="M10" s="19">
        <v>-240</v>
      </c>
      <c r="N10" s="19">
        <v>-240</v>
      </c>
      <c r="O10" s="19">
        <v>-240</v>
      </c>
      <c r="P10" s="19">
        <v>-240</v>
      </c>
      <c r="Q10" s="19">
        <v>-240</v>
      </c>
      <c r="R10" s="20">
        <f t="shared" si="0"/>
        <v>-2880</v>
      </c>
      <c r="T10" s="13" t="s">
        <v>522</v>
      </c>
      <c r="V10" s="174">
        <v>-50</v>
      </c>
      <c r="W10" s="174">
        <v>-50</v>
      </c>
      <c r="X10" s="174">
        <v>-50</v>
      </c>
      <c r="Y10" s="174">
        <v>-50</v>
      </c>
      <c r="Z10" s="174">
        <v>-50</v>
      </c>
      <c r="AA10" s="174">
        <v>-50</v>
      </c>
      <c r="AB10" s="174">
        <v>-50</v>
      </c>
      <c r="AC10" s="174">
        <v>-50</v>
      </c>
      <c r="AD10" s="174">
        <v>-50</v>
      </c>
      <c r="AE10" s="174">
        <v>-50</v>
      </c>
      <c r="AF10" s="174">
        <v>-50</v>
      </c>
      <c r="AG10" s="174">
        <v>-50</v>
      </c>
      <c r="AH10" s="20">
        <f t="shared" si="1"/>
        <v>-600</v>
      </c>
      <c r="AJ10" s="174">
        <v>-50</v>
      </c>
      <c r="AK10" s="174">
        <v>-50</v>
      </c>
      <c r="AL10" s="174">
        <v>-50</v>
      </c>
      <c r="AM10" s="174">
        <v>-50</v>
      </c>
      <c r="AN10" s="174">
        <v>-50</v>
      </c>
      <c r="AO10" s="174">
        <v>-50</v>
      </c>
      <c r="AP10" s="174">
        <v>-50</v>
      </c>
      <c r="AQ10" s="174">
        <v>-50</v>
      </c>
      <c r="AR10" s="174">
        <v>-50</v>
      </c>
      <c r="AS10" s="174">
        <v>-50</v>
      </c>
      <c r="AT10" s="174">
        <v>-50</v>
      </c>
      <c r="AU10" s="174">
        <v>-50</v>
      </c>
      <c r="AV10" s="20">
        <f t="shared" si="2"/>
        <v>-600</v>
      </c>
    </row>
    <row r="11" spans="1:58">
      <c r="A11" s="13" t="s">
        <v>105</v>
      </c>
      <c r="B11" s="13" t="s">
        <v>517</v>
      </c>
      <c r="C11" s="13" t="s">
        <v>146</v>
      </c>
      <c r="D11" s="13" t="s">
        <v>518</v>
      </c>
      <c r="E11" s="13" t="s">
        <v>523</v>
      </c>
      <c r="F11" s="19">
        <f>-400*6</f>
        <v>-2400</v>
      </c>
      <c r="G11" s="19">
        <f>-400*6</f>
        <v>-2400</v>
      </c>
      <c r="H11" s="19">
        <f>-400*6</f>
        <v>-2400</v>
      </c>
      <c r="I11" s="19">
        <f t="shared" ref="I11:Q11" si="3">-400*9</f>
        <v>-3600</v>
      </c>
      <c r="J11" s="19">
        <f t="shared" si="3"/>
        <v>-3600</v>
      </c>
      <c r="K11" s="19">
        <f t="shared" si="3"/>
        <v>-3600</v>
      </c>
      <c r="L11" s="19">
        <f t="shared" si="3"/>
        <v>-3600</v>
      </c>
      <c r="M11" s="19">
        <f t="shared" si="3"/>
        <v>-3600</v>
      </c>
      <c r="N11" s="19">
        <f t="shared" si="3"/>
        <v>-3600</v>
      </c>
      <c r="O11" s="19">
        <f t="shared" si="3"/>
        <v>-3600</v>
      </c>
      <c r="P11" s="19">
        <f t="shared" si="3"/>
        <v>-3600</v>
      </c>
      <c r="Q11" s="19">
        <f t="shared" si="3"/>
        <v>-3600</v>
      </c>
      <c r="R11" s="20">
        <f t="shared" si="0"/>
        <v>-39600</v>
      </c>
      <c r="T11" s="13" t="s">
        <v>524</v>
      </c>
      <c r="V11" s="19">
        <f>-400*9</f>
        <v>-3600</v>
      </c>
      <c r="W11" s="19">
        <f t="shared" ref="W11:AG11" si="4">-400*9</f>
        <v>-3600</v>
      </c>
      <c r="X11" s="19">
        <f t="shared" si="4"/>
        <v>-3600</v>
      </c>
      <c r="Y11" s="19">
        <f t="shared" si="4"/>
        <v>-3600</v>
      </c>
      <c r="Z11" s="19">
        <f t="shared" si="4"/>
        <v>-3600</v>
      </c>
      <c r="AA11" s="19">
        <f t="shared" si="4"/>
        <v>-3600</v>
      </c>
      <c r="AB11" s="19">
        <f t="shared" si="4"/>
        <v>-3600</v>
      </c>
      <c r="AC11" s="19">
        <f t="shared" si="4"/>
        <v>-3600</v>
      </c>
      <c r="AD11" s="19">
        <f t="shared" si="4"/>
        <v>-3600</v>
      </c>
      <c r="AE11" s="19">
        <f t="shared" si="4"/>
        <v>-3600</v>
      </c>
      <c r="AF11" s="19">
        <f t="shared" si="4"/>
        <v>-3600</v>
      </c>
      <c r="AG11" s="19">
        <f t="shared" si="4"/>
        <v>-3600</v>
      </c>
      <c r="AH11" s="20">
        <f t="shared" si="1"/>
        <v>-43200</v>
      </c>
      <c r="AJ11" s="19">
        <f>-400*9</f>
        <v>-3600</v>
      </c>
      <c r="AK11" s="19">
        <f t="shared" ref="AK11:AU11" si="5">-400*9</f>
        <v>-3600</v>
      </c>
      <c r="AL11" s="19">
        <f t="shared" si="5"/>
        <v>-3600</v>
      </c>
      <c r="AM11" s="19">
        <f t="shared" si="5"/>
        <v>-3600</v>
      </c>
      <c r="AN11" s="19">
        <f t="shared" si="5"/>
        <v>-3600</v>
      </c>
      <c r="AO11" s="19">
        <f t="shared" si="5"/>
        <v>-3600</v>
      </c>
      <c r="AP11" s="19">
        <f t="shared" si="5"/>
        <v>-3600</v>
      </c>
      <c r="AQ11" s="19">
        <f t="shared" si="5"/>
        <v>-3600</v>
      </c>
      <c r="AR11" s="19">
        <f t="shared" si="5"/>
        <v>-3600</v>
      </c>
      <c r="AS11" s="19">
        <f t="shared" si="5"/>
        <v>-3600</v>
      </c>
      <c r="AT11" s="19">
        <f t="shared" si="5"/>
        <v>-3600</v>
      </c>
      <c r="AU11" s="19">
        <f t="shared" si="5"/>
        <v>-3600</v>
      </c>
      <c r="AV11" s="20">
        <f t="shared" si="2"/>
        <v>-43200</v>
      </c>
    </row>
    <row r="12" spans="1:58">
      <c r="A12" s="13" t="s">
        <v>105</v>
      </c>
      <c r="B12" s="13" t="s">
        <v>517</v>
      </c>
      <c r="C12" s="13" t="s">
        <v>146</v>
      </c>
      <c r="D12" s="13" t="s">
        <v>518</v>
      </c>
      <c r="E12" s="13" t="s">
        <v>525</v>
      </c>
      <c r="F12" s="19">
        <v>-200</v>
      </c>
      <c r="G12" s="19">
        <v>-200</v>
      </c>
      <c r="H12" s="19">
        <v>-200</v>
      </c>
      <c r="I12" s="19">
        <v>-200</v>
      </c>
      <c r="J12" s="19">
        <v>-200</v>
      </c>
      <c r="K12" s="19">
        <v>-200</v>
      </c>
      <c r="L12" s="19">
        <v>-200</v>
      </c>
      <c r="M12" s="19">
        <v>-200</v>
      </c>
      <c r="N12" s="19">
        <v>-200</v>
      </c>
      <c r="O12" s="19">
        <v>-200</v>
      </c>
      <c r="P12" s="19">
        <v>-200</v>
      </c>
      <c r="Q12" s="19">
        <v>-200</v>
      </c>
      <c r="R12" s="20">
        <f t="shared" si="0"/>
        <v>-2400</v>
      </c>
      <c r="T12" s="13" t="s">
        <v>526</v>
      </c>
      <c r="V12" s="174"/>
      <c r="W12" s="174"/>
      <c r="X12" s="174"/>
      <c r="Y12" s="174"/>
      <c r="Z12" s="174"/>
      <c r="AA12" s="174"/>
      <c r="AB12" s="174"/>
      <c r="AC12" s="174"/>
      <c r="AD12" s="174"/>
      <c r="AE12" s="174"/>
      <c r="AF12" s="174"/>
      <c r="AG12" s="174"/>
      <c r="AH12" s="20">
        <f t="shared" si="1"/>
        <v>0</v>
      </c>
      <c r="AJ12" s="174"/>
      <c r="AK12" s="174"/>
      <c r="AL12" s="174"/>
      <c r="AM12" s="174"/>
      <c r="AN12" s="174"/>
      <c r="AO12" s="174"/>
      <c r="AP12" s="174"/>
      <c r="AQ12" s="174"/>
      <c r="AR12" s="174"/>
      <c r="AS12" s="174"/>
      <c r="AT12" s="174"/>
      <c r="AU12" s="174"/>
      <c r="AV12" s="20">
        <f t="shared" si="2"/>
        <v>0</v>
      </c>
    </row>
    <row r="13" spans="1:58">
      <c r="A13" s="13" t="s">
        <v>105</v>
      </c>
      <c r="B13" s="13" t="s">
        <v>517</v>
      </c>
      <c r="C13" s="13" t="s">
        <v>146</v>
      </c>
      <c r="D13" s="13" t="s">
        <v>518</v>
      </c>
      <c r="E13" s="13" t="s">
        <v>527</v>
      </c>
      <c r="F13" s="19">
        <v>-3300</v>
      </c>
      <c r="G13" s="19">
        <v>-3300</v>
      </c>
      <c r="H13" s="19">
        <v>-3300</v>
      </c>
      <c r="I13" s="19"/>
      <c r="J13" s="19"/>
      <c r="K13" s="19"/>
      <c r="L13" s="19"/>
      <c r="M13" s="19"/>
      <c r="N13" s="145"/>
      <c r="O13" s="145"/>
      <c r="P13" s="145"/>
      <c r="Q13" s="145"/>
      <c r="R13" s="20">
        <f t="shared" si="0"/>
        <v>-9900</v>
      </c>
      <c r="T13" s="13" t="s">
        <v>528</v>
      </c>
      <c r="V13" s="145"/>
      <c r="W13" s="145"/>
      <c r="X13" s="145"/>
      <c r="Y13" s="145"/>
      <c r="Z13" s="145"/>
      <c r="AA13" s="145"/>
      <c r="AB13" s="145"/>
      <c r="AC13" s="145"/>
      <c r="AD13" s="145"/>
      <c r="AE13" s="145"/>
      <c r="AF13" s="145"/>
      <c r="AG13" s="145"/>
      <c r="AH13" s="20">
        <f t="shared" si="1"/>
        <v>0</v>
      </c>
      <c r="AJ13" s="145"/>
      <c r="AK13" s="145"/>
      <c r="AL13" s="145"/>
      <c r="AM13" s="145"/>
      <c r="AN13" s="145"/>
      <c r="AO13" s="145"/>
      <c r="AP13" s="145"/>
      <c r="AQ13" s="145"/>
      <c r="AR13" s="145"/>
      <c r="AS13" s="145"/>
      <c r="AT13" s="145"/>
      <c r="AU13" s="145"/>
      <c r="AV13" s="20">
        <f t="shared" si="2"/>
        <v>0</v>
      </c>
    </row>
    <row r="14" spans="1:58">
      <c r="A14" s="13" t="s">
        <v>105</v>
      </c>
      <c r="B14" s="13" t="s">
        <v>517</v>
      </c>
      <c r="C14" s="13" t="s">
        <v>146</v>
      </c>
      <c r="D14" s="13" t="s">
        <v>518</v>
      </c>
      <c r="E14" s="13" t="s">
        <v>527</v>
      </c>
      <c r="F14" s="19">
        <f t="shared" ref="F14:M14" si="6">-3000/12</f>
        <v>-250</v>
      </c>
      <c r="G14" s="19">
        <f t="shared" si="6"/>
        <v>-250</v>
      </c>
      <c r="H14" s="19">
        <f t="shared" si="6"/>
        <v>-250</v>
      </c>
      <c r="I14" s="19">
        <f t="shared" si="6"/>
        <v>-250</v>
      </c>
      <c r="J14" s="19">
        <f t="shared" si="6"/>
        <v>-250</v>
      </c>
      <c r="K14" s="19">
        <f t="shared" si="6"/>
        <v>-250</v>
      </c>
      <c r="L14" s="19">
        <f t="shared" si="6"/>
        <v>-250</v>
      </c>
      <c r="M14" s="19">
        <f t="shared" si="6"/>
        <v>-250</v>
      </c>
      <c r="N14" s="145"/>
      <c r="O14" s="145"/>
      <c r="P14" s="145"/>
      <c r="Q14" s="145"/>
      <c r="R14" s="20">
        <f t="shared" si="0"/>
        <v>-2000</v>
      </c>
      <c r="T14" s="13" t="s">
        <v>529</v>
      </c>
      <c r="V14" s="145"/>
      <c r="W14" s="145"/>
      <c r="X14" s="145"/>
      <c r="Y14" s="145"/>
      <c r="Z14" s="145"/>
      <c r="AA14" s="145"/>
      <c r="AB14" s="145"/>
      <c r="AC14" s="145"/>
      <c r="AD14" s="145"/>
      <c r="AE14" s="145"/>
      <c r="AF14" s="145"/>
      <c r="AG14" s="145"/>
      <c r="AH14" s="20">
        <f t="shared" si="1"/>
        <v>0</v>
      </c>
      <c r="AJ14" s="145"/>
      <c r="AK14" s="145"/>
      <c r="AL14" s="145"/>
      <c r="AM14" s="145"/>
      <c r="AN14" s="145"/>
      <c r="AO14" s="145"/>
      <c r="AP14" s="145"/>
      <c r="AQ14" s="145"/>
      <c r="AR14" s="145"/>
      <c r="AS14" s="145"/>
      <c r="AT14" s="145"/>
      <c r="AU14" s="145"/>
      <c r="AV14" s="20">
        <f t="shared" si="2"/>
        <v>0</v>
      </c>
      <c r="BB14" s="50"/>
      <c r="BC14" s="50"/>
      <c r="BD14" s="50"/>
      <c r="BF14" s="50"/>
    </row>
    <row r="15" spans="1:58">
      <c r="A15" s="13" t="s">
        <v>105</v>
      </c>
      <c r="B15" s="13" t="s">
        <v>517</v>
      </c>
      <c r="C15" s="13" t="s">
        <v>146</v>
      </c>
      <c r="D15" s="13" t="s">
        <v>518</v>
      </c>
      <c r="E15" s="13" t="s">
        <v>530</v>
      </c>
      <c r="F15" s="19">
        <v>-2500</v>
      </c>
      <c r="G15" s="19"/>
      <c r="H15" s="19"/>
      <c r="I15" s="19">
        <v>-2500</v>
      </c>
      <c r="J15" s="19">
        <v>-2500</v>
      </c>
      <c r="K15" s="19">
        <v>-2500</v>
      </c>
      <c r="L15" s="19">
        <v>-2500</v>
      </c>
      <c r="M15" s="19">
        <v>-2500</v>
      </c>
      <c r="N15" s="19">
        <v>-2500</v>
      </c>
      <c r="O15" s="19">
        <v>-2500</v>
      </c>
      <c r="P15" s="19">
        <v>-2500</v>
      </c>
      <c r="Q15" s="19">
        <v>-2500</v>
      </c>
      <c r="R15" s="20">
        <f t="shared" ref="R15:R78" si="7">SUM(F15:Q15)</f>
        <v>-25000</v>
      </c>
      <c r="V15" s="19">
        <v>-2500</v>
      </c>
      <c r="W15" s="19">
        <v>-2500</v>
      </c>
      <c r="X15" s="19">
        <v>-2500</v>
      </c>
      <c r="Y15" s="19">
        <v>-2500</v>
      </c>
      <c r="Z15" s="19">
        <v>-2500</v>
      </c>
      <c r="AA15" s="19">
        <v>-2500</v>
      </c>
      <c r="AB15" s="19">
        <v>-2500</v>
      </c>
      <c r="AC15" s="19">
        <v>-2500</v>
      </c>
      <c r="AD15" s="19">
        <v>-2500</v>
      </c>
      <c r="AE15" s="19">
        <v>-2500</v>
      </c>
      <c r="AF15" s="19">
        <v>-2500</v>
      </c>
      <c r="AG15" s="19">
        <v>-2500</v>
      </c>
      <c r="AH15" s="20">
        <f t="shared" si="1"/>
        <v>-30000</v>
      </c>
      <c r="AJ15" s="19">
        <v>-2500</v>
      </c>
      <c r="AK15" s="19">
        <v>-2500</v>
      </c>
      <c r="AL15" s="19">
        <v>-2500</v>
      </c>
      <c r="AM15" s="19">
        <v>-2500</v>
      </c>
      <c r="AN15" s="19">
        <v>-2500</v>
      </c>
      <c r="AO15" s="19">
        <v>-2500</v>
      </c>
      <c r="AP15" s="19">
        <v>-2500</v>
      </c>
      <c r="AQ15" s="19">
        <v>-2500</v>
      </c>
      <c r="AR15" s="19">
        <v>-2500</v>
      </c>
      <c r="AS15" s="19">
        <v>-2500</v>
      </c>
      <c r="AT15" s="19">
        <v>-2500</v>
      </c>
      <c r="AU15" s="19">
        <v>-2500</v>
      </c>
      <c r="AV15" s="20">
        <f t="shared" si="2"/>
        <v>-30000</v>
      </c>
      <c r="BC15" s="50"/>
      <c r="BF15" s="50"/>
    </row>
    <row r="16" spans="1:58">
      <c r="A16" s="13" t="s">
        <v>105</v>
      </c>
      <c r="B16" s="13" t="s">
        <v>531</v>
      </c>
      <c r="C16" s="13" t="s">
        <v>146</v>
      </c>
      <c r="D16" s="13" t="s">
        <v>508</v>
      </c>
      <c r="E16" s="13" t="s">
        <v>532</v>
      </c>
      <c r="F16" s="19">
        <v>-3500</v>
      </c>
      <c r="G16" s="19">
        <v>-3500</v>
      </c>
      <c r="H16" s="19">
        <v>-3500</v>
      </c>
      <c r="I16" s="19">
        <v>-3500</v>
      </c>
      <c r="J16" s="19">
        <v>-3500</v>
      </c>
      <c r="R16" s="20">
        <f t="shared" si="7"/>
        <v>-17500</v>
      </c>
      <c r="V16" s="19">
        <v>-1000</v>
      </c>
      <c r="W16" s="19">
        <v>-1000</v>
      </c>
      <c r="X16" s="19">
        <v>-1000</v>
      </c>
      <c r="Y16" s="19">
        <v>-1000</v>
      </c>
      <c r="Z16" s="19">
        <v>-1000</v>
      </c>
      <c r="AA16" s="19">
        <v>-1000</v>
      </c>
      <c r="AB16" s="19">
        <v>-1000</v>
      </c>
      <c r="AC16" s="19">
        <v>-1000</v>
      </c>
      <c r="AD16" s="19">
        <v>-1000</v>
      </c>
      <c r="AE16" s="19">
        <v>-1000</v>
      </c>
      <c r="AF16" s="19">
        <v>-1000</v>
      </c>
      <c r="AG16" s="19">
        <v>-1000</v>
      </c>
      <c r="AH16" s="20">
        <f t="shared" si="1"/>
        <v>-12000</v>
      </c>
      <c r="AJ16" s="19">
        <v>-1000</v>
      </c>
      <c r="AK16" s="19">
        <v>-1000</v>
      </c>
      <c r="AL16" s="19">
        <v>-1000</v>
      </c>
      <c r="AM16" s="19">
        <v>-1000</v>
      </c>
      <c r="AN16" s="19">
        <v>-1000</v>
      </c>
      <c r="AO16" s="19">
        <v>-1000</v>
      </c>
      <c r="AP16" s="19">
        <v>-1000</v>
      </c>
      <c r="AQ16" s="19">
        <v>-1000</v>
      </c>
      <c r="AR16" s="19">
        <v>-1000</v>
      </c>
      <c r="AS16" s="19">
        <v>-1000</v>
      </c>
      <c r="AT16" s="19">
        <v>-1000</v>
      </c>
      <c r="AU16" s="19">
        <v>-1000</v>
      </c>
      <c r="AV16" s="20">
        <f t="shared" si="2"/>
        <v>-12000</v>
      </c>
      <c r="BB16" s="50"/>
      <c r="BC16" s="50"/>
      <c r="BD16" s="50"/>
      <c r="BF16" s="50"/>
    </row>
    <row r="17" spans="1:56">
      <c r="A17" s="13" t="s">
        <v>105</v>
      </c>
      <c r="B17" s="13" t="s">
        <v>533</v>
      </c>
      <c r="C17" s="13" t="s">
        <v>146</v>
      </c>
      <c r="D17" s="13" t="s">
        <v>534</v>
      </c>
      <c r="E17" s="13" t="s">
        <v>535</v>
      </c>
      <c r="F17" s="19">
        <f t="shared" ref="F17:Q17" si="8">-3000/12</f>
        <v>-250</v>
      </c>
      <c r="G17" s="19">
        <f t="shared" si="8"/>
        <v>-250</v>
      </c>
      <c r="H17" s="19">
        <f t="shared" si="8"/>
        <v>-250</v>
      </c>
      <c r="I17" s="19">
        <f t="shared" si="8"/>
        <v>-250</v>
      </c>
      <c r="J17" s="19">
        <f t="shared" si="8"/>
        <v>-250</v>
      </c>
      <c r="K17" s="19">
        <f t="shared" si="8"/>
        <v>-250</v>
      </c>
      <c r="L17" s="19">
        <f t="shared" si="8"/>
        <v>-250</v>
      </c>
      <c r="M17" s="19">
        <f t="shared" si="8"/>
        <v>-250</v>
      </c>
      <c r="N17" s="19">
        <f t="shared" si="8"/>
        <v>-250</v>
      </c>
      <c r="O17" s="19">
        <f t="shared" si="8"/>
        <v>-250</v>
      </c>
      <c r="P17" s="19">
        <f t="shared" si="8"/>
        <v>-250</v>
      </c>
      <c r="Q17" s="19">
        <f t="shared" si="8"/>
        <v>-250</v>
      </c>
      <c r="R17" s="20">
        <f t="shared" si="7"/>
        <v>-3000</v>
      </c>
      <c r="V17" s="145"/>
      <c r="W17" s="145"/>
      <c r="X17" s="145"/>
      <c r="Y17" s="145"/>
      <c r="Z17" s="145"/>
      <c r="AA17" s="145"/>
      <c r="AB17" s="145"/>
      <c r="AC17" s="145"/>
      <c r="AD17" s="145"/>
      <c r="AE17" s="145"/>
      <c r="AF17" s="145"/>
      <c r="AG17" s="145"/>
      <c r="AH17" s="20">
        <f t="shared" si="1"/>
        <v>0</v>
      </c>
      <c r="AJ17" s="145"/>
      <c r="AK17" s="145"/>
      <c r="AL17" s="145"/>
      <c r="AM17" s="145"/>
      <c r="AN17" s="145"/>
      <c r="AO17" s="145"/>
      <c r="AP17" s="145"/>
      <c r="AQ17" s="145"/>
      <c r="AR17" s="145"/>
      <c r="AS17" s="145"/>
      <c r="AT17" s="145"/>
      <c r="AU17" s="145"/>
      <c r="AV17" s="20">
        <f t="shared" si="2"/>
        <v>0</v>
      </c>
      <c r="BB17" s="50"/>
      <c r="BC17" s="50"/>
      <c r="BD17" s="50"/>
    </row>
    <row r="18" spans="1:56">
      <c r="A18" s="13" t="s">
        <v>105</v>
      </c>
      <c r="B18" s="13" t="s">
        <v>533</v>
      </c>
      <c r="C18" s="13" t="s">
        <v>146</v>
      </c>
      <c r="D18" s="13" t="s">
        <v>534</v>
      </c>
      <c r="E18" s="13" t="s">
        <v>536</v>
      </c>
      <c r="F18" s="19">
        <v>-750</v>
      </c>
      <c r="G18" s="19">
        <v>-750</v>
      </c>
      <c r="H18" s="19">
        <v>-750</v>
      </c>
      <c r="I18" s="19">
        <v>-750</v>
      </c>
      <c r="J18" s="19">
        <v>-750</v>
      </c>
      <c r="K18" s="19">
        <v>-750</v>
      </c>
      <c r="L18" s="19">
        <v>-750</v>
      </c>
      <c r="M18" s="19">
        <v>-750</v>
      </c>
      <c r="N18" s="19">
        <v>-750</v>
      </c>
      <c r="O18" s="19">
        <v>-750</v>
      </c>
      <c r="P18" s="19">
        <v>-750</v>
      </c>
      <c r="Q18" s="19">
        <v>-750</v>
      </c>
      <c r="R18" s="20">
        <f t="shared" si="7"/>
        <v>-9000</v>
      </c>
      <c r="V18" s="19">
        <v>-750</v>
      </c>
      <c r="W18" s="19">
        <v>-750</v>
      </c>
      <c r="X18" s="19">
        <v>-750</v>
      </c>
      <c r="Y18" s="19">
        <v>-750</v>
      </c>
      <c r="Z18" s="19">
        <v>-750</v>
      </c>
      <c r="AA18" s="19">
        <v>-750</v>
      </c>
      <c r="AB18" s="19">
        <v>-750</v>
      </c>
      <c r="AC18" s="19">
        <v>-750</v>
      </c>
      <c r="AD18" s="19">
        <v>-750</v>
      </c>
      <c r="AE18" s="19">
        <v>-750</v>
      </c>
      <c r="AF18" s="19">
        <v>-750</v>
      </c>
      <c r="AG18" s="19">
        <v>-750</v>
      </c>
      <c r="AH18" s="20">
        <f t="shared" si="1"/>
        <v>-9000</v>
      </c>
      <c r="AJ18" s="19">
        <v>-750</v>
      </c>
      <c r="AK18" s="19">
        <v>-750</v>
      </c>
      <c r="AL18" s="19">
        <v>-750</v>
      </c>
      <c r="AM18" s="19">
        <v>-750</v>
      </c>
      <c r="AN18" s="19">
        <v>-750</v>
      </c>
      <c r="AO18" s="19">
        <v>-750</v>
      </c>
      <c r="AP18" s="19">
        <v>-750</v>
      </c>
      <c r="AQ18" s="19">
        <v>-750</v>
      </c>
      <c r="AR18" s="19">
        <v>-750</v>
      </c>
      <c r="AS18" s="19">
        <v>-750</v>
      </c>
      <c r="AT18" s="19">
        <v>-750</v>
      </c>
      <c r="AU18" s="19">
        <v>-750</v>
      </c>
      <c r="AV18" s="20">
        <f t="shared" si="2"/>
        <v>-9000</v>
      </c>
    </row>
    <row r="19" spans="1:56">
      <c r="A19" s="13" t="s">
        <v>105</v>
      </c>
      <c r="B19" s="13" t="s">
        <v>533</v>
      </c>
      <c r="C19" s="13" t="s">
        <v>146</v>
      </c>
      <c r="D19" s="13" t="s">
        <v>534</v>
      </c>
      <c r="E19" s="13" t="s">
        <v>537</v>
      </c>
      <c r="F19" s="19">
        <f t="shared" ref="F19:Q19" si="9">-2500/12</f>
        <v>-208.33333333333334</v>
      </c>
      <c r="G19" s="19">
        <f t="shared" si="9"/>
        <v>-208.33333333333334</v>
      </c>
      <c r="H19" s="19">
        <f t="shared" si="9"/>
        <v>-208.33333333333334</v>
      </c>
      <c r="I19" s="19">
        <f t="shared" si="9"/>
        <v>-208.33333333333334</v>
      </c>
      <c r="J19" s="19">
        <f t="shared" si="9"/>
        <v>-208.33333333333334</v>
      </c>
      <c r="K19" s="19">
        <f t="shared" si="9"/>
        <v>-208.33333333333334</v>
      </c>
      <c r="L19" s="19">
        <f t="shared" si="9"/>
        <v>-208.33333333333334</v>
      </c>
      <c r="M19" s="19">
        <f t="shared" si="9"/>
        <v>-208.33333333333334</v>
      </c>
      <c r="N19" s="19">
        <f t="shared" si="9"/>
        <v>-208.33333333333334</v>
      </c>
      <c r="O19" s="19">
        <f t="shared" si="9"/>
        <v>-208.33333333333334</v>
      </c>
      <c r="P19" s="19">
        <f t="shared" si="9"/>
        <v>-208.33333333333334</v>
      </c>
      <c r="Q19" s="19">
        <f t="shared" si="9"/>
        <v>-208.33333333333334</v>
      </c>
      <c r="R19" s="20">
        <f t="shared" si="7"/>
        <v>-2500</v>
      </c>
      <c r="V19" s="19">
        <f>-2500/12</f>
        <v>-208.33333333333334</v>
      </c>
      <c r="W19" s="19">
        <f t="shared" ref="W19:AG19" si="10">-2500/12</f>
        <v>-208.33333333333334</v>
      </c>
      <c r="X19" s="19">
        <f t="shared" si="10"/>
        <v>-208.33333333333334</v>
      </c>
      <c r="Y19" s="19">
        <f t="shared" si="10"/>
        <v>-208.33333333333334</v>
      </c>
      <c r="Z19" s="19">
        <f t="shared" si="10"/>
        <v>-208.33333333333334</v>
      </c>
      <c r="AA19" s="19">
        <f t="shared" si="10"/>
        <v>-208.33333333333334</v>
      </c>
      <c r="AB19" s="19">
        <f t="shared" si="10"/>
        <v>-208.33333333333334</v>
      </c>
      <c r="AC19" s="19">
        <f t="shared" si="10"/>
        <v>-208.33333333333334</v>
      </c>
      <c r="AD19" s="19">
        <f t="shared" si="10"/>
        <v>-208.33333333333334</v>
      </c>
      <c r="AE19" s="19">
        <f t="shared" si="10"/>
        <v>-208.33333333333334</v>
      </c>
      <c r="AF19" s="19">
        <f t="shared" si="10"/>
        <v>-208.33333333333334</v>
      </c>
      <c r="AG19" s="19">
        <f t="shared" si="10"/>
        <v>-208.33333333333334</v>
      </c>
      <c r="AH19" s="20">
        <f t="shared" si="1"/>
        <v>-2500</v>
      </c>
      <c r="AJ19" s="19">
        <f>-2500/12</f>
        <v>-208.33333333333334</v>
      </c>
      <c r="AK19" s="19">
        <f t="shared" ref="AK19:AU19" si="11">-2500/12</f>
        <v>-208.33333333333334</v>
      </c>
      <c r="AL19" s="19">
        <f t="shared" si="11"/>
        <v>-208.33333333333334</v>
      </c>
      <c r="AM19" s="19">
        <f t="shared" si="11"/>
        <v>-208.33333333333334</v>
      </c>
      <c r="AN19" s="19">
        <f t="shared" si="11"/>
        <v>-208.33333333333334</v>
      </c>
      <c r="AO19" s="19">
        <f t="shared" si="11"/>
        <v>-208.33333333333334</v>
      </c>
      <c r="AP19" s="19">
        <f t="shared" si="11"/>
        <v>-208.33333333333334</v>
      </c>
      <c r="AQ19" s="19">
        <f t="shared" si="11"/>
        <v>-208.33333333333334</v>
      </c>
      <c r="AR19" s="19">
        <f t="shared" si="11"/>
        <v>-208.33333333333334</v>
      </c>
      <c r="AS19" s="19">
        <f t="shared" si="11"/>
        <v>-208.33333333333334</v>
      </c>
      <c r="AT19" s="19">
        <f t="shared" si="11"/>
        <v>-208.33333333333334</v>
      </c>
      <c r="AU19" s="19">
        <f t="shared" si="11"/>
        <v>-208.33333333333334</v>
      </c>
      <c r="AV19" s="20">
        <f t="shared" si="2"/>
        <v>-2500</v>
      </c>
      <c r="BB19" s="50"/>
      <c r="BC19" s="50"/>
      <c r="BD19" s="50"/>
    </row>
    <row r="20" spans="1:56">
      <c r="A20" s="13" t="s">
        <v>105</v>
      </c>
      <c r="B20" s="13" t="s">
        <v>372</v>
      </c>
      <c r="C20" s="13" t="s">
        <v>146</v>
      </c>
      <c r="D20" s="13" t="s">
        <v>534</v>
      </c>
      <c r="E20" s="13" t="s">
        <v>538</v>
      </c>
      <c r="F20" s="19">
        <v>-250</v>
      </c>
      <c r="G20" s="19">
        <v>-250</v>
      </c>
      <c r="H20" s="19">
        <v>-250</v>
      </c>
      <c r="I20" s="19">
        <v>-250</v>
      </c>
      <c r="J20" s="19">
        <v>-250</v>
      </c>
      <c r="K20" s="19">
        <v>-250</v>
      </c>
      <c r="L20" s="19">
        <v>-250</v>
      </c>
      <c r="M20" s="19">
        <v>-250</v>
      </c>
      <c r="N20" s="19">
        <v>-250</v>
      </c>
      <c r="O20" s="19">
        <v>-250</v>
      </c>
      <c r="P20" s="19">
        <v>-250</v>
      </c>
      <c r="Q20" s="19">
        <v>-250</v>
      </c>
      <c r="R20" s="20">
        <f t="shared" si="7"/>
        <v>-3000</v>
      </c>
      <c r="V20" s="19">
        <v>-250</v>
      </c>
      <c r="W20" s="19">
        <v>-250</v>
      </c>
      <c r="X20" s="19">
        <v>-250</v>
      </c>
      <c r="Y20" s="19">
        <v>-250</v>
      </c>
      <c r="Z20" s="19">
        <v>-250</v>
      </c>
      <c r="AA20" s="19">
        <v>-250</v>
      </c>
      <c r="AB20" s="19">
        <v>-250</v>
      </c>
      <c r="AC20" s="19">
        <v>-250</v>
      </c>
      <c r="AD20" s="19">
        <v>-250</v>
      </c>
      <c r="AE20" s="19">
        <v>-250</v>
      </c>
      <c r="AF20" s="19">
        <v>-250</v>
      </c>
      <c r="AG20" s="19">
        <v>-250</v>
      </c>
      <c r="AH20" s="20">
        <f t="shared" si="1"/>
        <v>-3000</v>
      </c>
      <c r="AJ20" s="19">
        <v>-250</v>
      </c>
      <c r="AK20" s="19">
        <v>-250</v>
      </c>
      <c r="AL20" s="19">
        <v>-250</v>
      </c>
      <c r="AM20" s="19">
        <v>-250</v>
      </c>
      <c r="AN20" s="19">
        <v>-250</v>
      </c>
      <c r="AO20" s="19">
        <v>-250</v>
      </c>
      <c r="AP20" s="19">
        <v>-250</v>
      </c>
      <c r="AQ20" s="19">
        <v>-250</v>
      </c>
      <c r="AR20" s="19">
        <v>-250</v>
      </c>
      <c r="AS20" s="19">
        <v>-250</v>
      </c>
      <c r="AT20" s="19">
        <v>-250</v>
      </c>
      <c r="AU20" s="19">
        <v>-250</v>
      </c>
      <c r="AV20" s="20">
        <f t="shared" si="2"/>
        <v>-3000</v>
      </c>
    </row>
    <row r="21" spans="1:56">
      <c r="A21" s="13" t="s">
        <v>105</v>
      </c>
      <c r="B21" s="13" t="s">
        <v>372</v>
      </c>
      <c r="C21" s="13" t="s">
        <v>146</v>
      </c>
      <c r="D21" s="13" t="s">
        <v>539</v>
      </c>
      <c r="F21" s="19">
        <v>-7500</v>
      </c>
      <c r="G21" s="19">
        <v>-4500</v>
      </c>
      <c r="H21" s="19">
        <v>-4500</v>
      </c>
      <c r="I21" s="19">
        <v>-16950</v>
      </c>
      <c r="J21" s="19">
        <v>-3750</v>
      </c>
      <c r="K21" s="19">
        <v>-3750</v>
      </c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20">
        <f t="shared" si="7"/>
        <v>-40950</v>
      </c>
      <c r="V21" s="19">
        <v>-4167</v>
      </c>
      <c r="W21" s="19">
        <v>-4167</v>
      </c>
      <c r="X21" s="19">
        <v>-4167</v>
      </c>
      <c r="Y21" s="19">
        <v>-4167</v>
      </c>
      <c r="Z21" s="19">
        <v>-4167</v>
      </c>
      <c r="AA21" s="19">
        <v>-4167</v>
      </c>
      <c r="AB21" s="19">
        <v>-4167</v>
      </c>
      <c r="AC21" s="19">
        <v>-4167</v>
      </c>
      <c r="AD21" s="19">
        <v>-4167</v>
      </c>
      <c r="AE21" s="19">
        <v>-4167</v>
      </c>
      <c r="AF21" s="19">
        <v>-4167</v>
      </c>
      <c r="AG21" s="19">
        <v>-4167</v>
      </c>
      <c r="AH21" s="20">
        <f t="shared" si="1"/>
        <v>-50004</v>
      </c>
      <c r="AJ21" s="19">
        <v>-4167</v>
      </c>
      <c r="AK21" s="19">
        <v>-4167</v>
      </c>
      <c r="AL21" s="19">
        <v>-4167</v>
      </c>
      <c r="AM21" s="19">
        <v>-4167</v>
      </c>
      <c r="AN21" s="19">
        <v>-4167</v>
      </c>
      <c r="AO21" s="19">
        <v>-4167</v>
      </c>
      <c r="AP21" s="19">
        <v>-4167</v>
      </c>
      <c r="AQ21" s="19">
        <v>-4167</v>
      </c>
      <c r="AR21" s="19">
        <v>-4167</v>
      </c>
      <c r="AS21" s="19">
        <v>-4167</v>
      </c>
      <c r="AT21" s="19">
        <v>-4167</v>
      </c>
      <c r="AU21" s="19">
        <v>-4167</v>
      </c>
      <c r="AV21" s="20">
        <f t="shared" si="2"/>
        <v>-50004</v>
      </c>
    </row>
    <row r="22" spans="1:56">
      <c r="A22" s="13" t="s">
        <v>105</v>
      </c>
      <c r="B22" s="13" t="s">
        <v>372</v>
      </c>
      <c r="C22" s="13" t="s">
        <v>146</v>
      </c>
      <c r="D22" s="13" t="s">
        <v>534</v>
      </c>
      <c r="E22" s="13" t="s">
        <v>540</v>
      </c>
      <c r="F22" s="19">
        <v>-1000</v>
      </c>
      <c r="G22" s="19">
        <v>-1000</v>
      </c>
      <c r="H22" s="19">
        <v>-1000</v>
      </c>
      <c r="I22" s="19">
        <v>-1000</v>
      </c>
      <c r="J22" s="19">
        <v>-1000</v>
      </c>
      <c r="K22" s="19">
        <v>-1000</v>
      </c>
      <c r="L22" s="19">
        <v>-1000</v>
      </c>
      <c r="M22" s="19">
        <v>-1000</v>
      </c>
      <c r="N22" s="19">
        <v>-1000</v>
      </c>
      <c r="O22" s="19">
        <v>-1000</v>
      </c>
      <c r="P22" s="19">
        <v>-1000</v>
      </c>
      <c r="Q22" s="19">
        <v>-1000</v>
      </c>
      <c r="R22" s="20">
        <f t="shared" si="7"/>
        <v>-12000</v>
      </c>
      <c r="V22" s="19">
        <v>-1000</v>
      </c>
      <c r="W22" s="19">
        <v>-1000</v>
      </c>
      <c r="X22" s="19">
        <v>-1000</v>
      </c>
      <c r="Y22" s="19">
        <v>-1000</v>
      </c>
      <c r="Z22" s="19">
        <v>-1000</v>
      </c>
      <c r="AA22" s="19">
        <v>-1000</v>
      </c>
      <c r="AB22" s="19">
        <v>-1000</v>
      </c>
      <c r="AC22" s="19">
        <v>-1000</v>
      </c>
      <c r="AD22" s="19">
        <v>-1000</v>
      </c>
      <c r="AE22" s="19">
        <v>-1000</v>
      </c>
      <c r="AF22" s="19">
        <v>-1000</v>
      </c>
      <c r="AG22" s="19">
        <v>-1000</v>
      </c>
      <c r="AH22" s="20">
        <f t="shared" si="1"/>
        <v>-12000</v>
      </c>
      <c r="AJ22" s="19">
        <v>-1000</v>
      </c>
      <c r="AK22" s="19">
        <v>-1000</v>
      </c>
      <c r="AL22" s="19">
        <v>-1000</v>
      </c>
      <c r="AM22" s="19">
        <v>-1000</v>
      </c>
      <c r="AN22" s="19">
        <v>-1000</v>
      </c>
      <c r="AO22" s="19">
        <v>-1000</v>
      </c>
      <c r="AP22" s="19">
        <v>-1000</v>
      </c>
      <c r="AQ22" s="19">
        <v>-1000</v>
      </c>
      <c r="AR22" s="19">
        <v>-1000</v>
      </c>
      <c r="AS22" s="19">
        <v>-1000</v>
      </c>
      <c r="AT22" s="19">
        <v>-1000</v>
      </c>
      <c r="AU22" s="19">
        <v>-1000</v>
      </c>
      <c r="AV22" s="20">
        <f t="shared" si="2"/>
        <v>-12000</v>
      </c>
    </row>
    <row r="23" spans="1:56">
      <c r="A23" s="13" t="s">
        <v>105</v>
      </c>
      <c r="B23" s="13" t="s">
        <v>372</v>
      </c>
      <c r="C23" s="13" t="s">
        <v>146</v>
      </c>
      <c r="D23" s="13" t="s">
        <v>534</v>
      </c>
      <c r="E23" s="13" t="s">
        <v>541</v>
      </c>
      <c r="F23" s="19"/>
      <c r="G23" s="19"/>
      <c r="H23" s="19"/>
      <c r="I23" s="19"/>
      <c r="J23" s="19"/>
      <c r="K23" s="19"/>
      <c r="L23" s="19"/>
      <c r="M23" s="19"/>
      <c r="N23" s="19">
        <f>-5957/6</f>
        <v>-992.83333333333337</v>
      </c>
      <c r="O23" s="19">
        <f>-5957/6</f>
        <v>-992.83333333333337</v>
      </c>
      <c r="P23" s="19">
        <f>-5957/6</f>
        <v>-992.83333333333337</v>
      </c>
      <c r="Q23" s="19">
        <f>-5957/6</f>
        <v>-992.83333333333337</v>
      </c>
      <c r="R23" s="20">
        <f t="shared" si="7"/>
        <v>-3971.3333333333335</v>
      </c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20">
        <f t="shared" si="1"/>
        <v>0</v>
      </c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20">
        <f t="shared" si="2"/>
        <v>0</v>
      </c>
    </row>
    <row r="24" spans="1:56">
      <c r="A24" s="13" t="s">
        <v>105</v>
      </c>
      <c r="B24" s="13" t="s">
        <v>542</v>
      </c>
      <c r="C24" s="13" t="s">
        <v>146</v>
      </c>
      <c r="D24" s="13" t="s">
        <v>534</v>
      </c>
      <c r="E24" s="13" t="s">
        <v>543</v>
      </c>
      <c r="F24" s="19">
        <f t="shared" ref="F24:Q24" si="12">-30000/12</f>
        <v>-2500</v>
      </c>
      <c r="G24" s="19">
        <f t="shared" si="12"/>
        <v>-2500</v>
      </c>
      <c r="H24" s="19">
        <f t="shared" si="12"/>
        <v>-2500</v>
      </c>
      <c r="I24" s="19">
        <f t="shared" si="12"/>
        <v>-2500</v>
      </c>
      <c r="J24" s="19">
        <f t="shared" si="12"/>
        <v>-2500</v>
      </c>
      <c r="K24" s="19">
        <f t="shared" si="12"/>
        <v>-2500</v>
      </c>
      <c r="L24" s="19">
        <f t="shared" si="12"/>
        <v>-2500</v>
      </c>
      <c r="M24" s="19">
        <f t="shared" si="12"/>
        <v>-2500</v>
      </c>
      <c r="N24" s="19">
        <f t="shared" si="12"/>
        <v>-2500</v>
      </c>
      <c r="O24" s="19">
        <f t="shared" si="12"/>
        <v>-2500</v>
      </c>
      <c r="P24" s="19">
        <f t="shared" si="12"/>
        <v>-2500</v>
      </c>
      <c r="Q24" s="19">
        <f t="shared" si="12"/>
        <v>-2500</v>
      </c>
      <c r="R24" s="20">
        <f t="shared" si="7"/>
        <v>-30000</v>
      </c>
      <c r="T24" s="13" t="s">
        <v>544</v>
      </c>
      <c r="V24" s="19">
        <v>-1500</v>
      </c>
      <c r="W24" s="19">
        <v>-1500</v>
      </c>
      <c r="X24" s="19">
        <v>-1500</v>
      </c>
      <c r="Y24" s="19">
        <v>-1500</v>
      </c>
      <c r="Z24" s="19">
        <v>-1500</v>
      </c>
      <c r="AA24" s="19">
        <v>-1500</v>
      </c>
      <c r="AB24" s="19">
        <v>-1500</v>
      </c>
      <c r="AC24" s="19">
        <v>-1500</v>
      </c>
      <c r="AD24" s="19">
        <v>-1500</v>
      </c>
      <c r="AE24" s="19">
        <v>-1500</v>
      </c>
      <c r="AF24" s="19">
        <v>-1500</v>
      </c>
      <c r="AG24" s="19">
        <v>-1500</v>
      </c>
      <c r="AH24" s="20">
        <f t="shared" si="1"/>
        <v>-18000</v>
      </c>
      <c r="AJ24" s="19">
        <v>-1500</v>
      </c>
      <c r="AK24" s="19">
        <v>-1500</v>
      </c>
      <c r="AL24" s="19">
        <v>-1500</v>
      </c>
      <c r="AM24" s="19">
        <v>-1500</v>
      </c>
      <c r="AN24" s="19">
        <v>-1500</v>
      </c>
      <c r="AO24" s="19">
        <v>-1500</v>
      </c>
      <c r="AP24" s="19">
        <v>-1500</v>
      </c>
      <c r="AQ24" s="19">
        <v>-1500</v>
      </c>
      <c r="AR24" s="19">
        <v>-1500</v>
      </c>
      <c r="AS24" s="19">
        <v>-1500</v>
      </c>
      <c r="AT24" s="19">
        <v>-1500</v>
      </c>
      <c r="AU24" s="19">
        <v>-1500</v>
      </c>
      <c r="AV24" s="20">
        <f t="shared" si="2"/>
        <v>-18000</v>
      </c>
    </row>
    <row r="25" spans="1:56">
      <c r="A25" s="13" t="s">
        <v>105</v>
      </c>
      <c r="B25" s="13" t="s">
        <v>542</v>
      </c>
      <c r="C25" s="13" t="s">
        <v>146</v>
      </c>
      <c r="D25" s="13" t="s">
        <v>534</v>
      </c>
      <c r="E25" s="13" t="s">
        <v>545</v>
      </c>
      <c r="F25" s="19">
        <v>-1250</v>
      </c>
      <c r="G25" s="19">
        <v>-1250</v>
      </c>
      <c r="H25" s="19">
        <v>-1250</v>
      </c>
      <c r="I25" s="19">
        <v>-1250</v>
      </c>
      <c r="J25" s="19">
        <v>-1250</v>
      </c>
      <c r="K25" s="19">
        <v>-1250</v>
      </c>
      <c r="L25" s="19">
        <v>-1250</v>
      </c>
      <c r="M25" s="19">
        <v>-1250</v>
      </c>
      <c r="N25" s="19">
        <v>-1250</v>
      </c>
      <c r="O25" s="19">
        <v>-1250</v>
      </c>
      <c r="P25" s="19">
        <v>-1250</v>
      </c>
      <c r="Q25" s="19">
        <v>-1250</v>
      </c>
      <c r="R25" s="20">
        <f t="shared" si="7"/>
        <v>-15000</v>
      </c>
      <c r="V25" s="19">
        <v>-1250</v>
      </c>
      <c r="W25" s="19">
        <v>-1250</v>
      </c>
      <c r="X25" s="19">
        <v>-1250</v>
      </c>
      <c r="Y25" s="19">
        <v>-1250</v>
      </c>
      <c r="Z25" s="19">
        <v>-1250</v>
      </c>
      <c r="AA25" s="19">
        <v>-1250</v>
      </c>
      <c r="AB25" s="19">
        <v>-1250</v>
      </c>
      <c r="AC25" s="19">
        <v>-1250</v>
      </c>
      <c r="AD25" s="19">
        <v>-1250</v>
      </c>
      <c r="AE25" s="19">
        <v>-1250</v>
      </c>
      <c r="AF25" s="19">
        <v>-1250</v>
      </c>
      <c r="AG25" s="19">
        <v>-1250</v>
      </c>
      <c r="AH25" s="20">
        <f t="shared" si="1"/>
        <v>-15000</v>
      </c>
      <c r="AJ25" s="19">
        <v>-1250</v>
      </c>
      <c r="AK25" s="19">
        <v>-1250</v>
      </c>
      <c r="AL25" s="19">
        <v>-1250</v>
      </c>
      <c r="AM25" s="19">
        <v>-1250</v>
      </c>
      <c r="AN25" s="19">
        <v>-1250</v>
      </c>
      <c r="AO25" s="19">
        <v>-1250</v>
      </c>
      <c r="AP25" s="19">
        <v>-1250</v>
      </c>
      <c r="AQ25" s="19">
        <v>-1250</v>
      </c>
      <c r="AR25" s="19">
        <v>-1250</v>
      </c>
      <c r="AS25" s="19">
        <v>-1250</v>
      </c>
      <c r="AT25" s="19">
        <v>-1250</v>
      </c>
      <c r="AU25" s="19">
        <v>-1250</v>
      </c>
      <c r="AV25" s="20">
        <f t="shared" si="2"/>
        <v>-15000</v>
      </c>
    </row>
    <row r="26" spans="1:56">
      <c r="A26" s="13" t="s">
        <v>105</v>
      </c>
      <c r="B26" s="13" t="s">
        <v>542</v>
      </c>
      <c r="C26" s="13" t="s">
        <v>146</v>
      </c>
      <c r="D26" s="13" t="s">
        <v>534</v>
      </c>
      <c r="E26" s="13" t="s">
        <v>546</v>
      </c>
      <c r="F26" s="19">
        <v>-1250</v>
      </c>
      <c r="G26" s="19">
        <v>-1250</v>
      </c>
      <c r="H26" s="19">
        <v>-1250</v>
      </c>
      <c r="I26" s="19">
        <v>-1250</v>
      </c>
      <c r="J26" s="19">
        <v>-1250</v>
      </c>
      <c r="K26" s="19">
        <v>-1250</v>
      </c>
      <c r="L26" s="19">
        <v>-1250</v>
      </c>
      <c r="M26" s="19">
        <v>-1250</v>
      </c>
      <c r="N26" s="19">
        <v>-1250</v>
      </c>
      <c r="O26" s="19">
        <v>-1250</v>
      </c>
      <c r="P26" s="19">
        <v>-1250</v>
      </c>
      <c r="Q26" s="19">
        <v>-1250</v>
      </c>
      <c r="R26" s="20">
        <f t="shared" si="7"/>
        <v>-15000</v>
      </c>
      <c r="V26" s="19">
        <v>-1250</v>
      </c>
      <c r="W26" s="19">
        <v>-1250</v>
      </c>
      <c r="X26" s="19">
        <v>-1250</v>
      </c>
      <c r="Y26" s="19">
        <v>-1250</v>
      </c>
      <c r="Z26" s="19">
        <v>-1250</v>
      </c>
      <c r="AA26" s="19">
        <v>-1250</v>
      </c>
      <c r="AB26" s="19">
        <v>-1250</v>
      </c>
      <c r="AC26" s="19">
        <v>-1250</v>
      </c>
      <c r="AD26" s="19">
        <v>-1250</v>
      </c>
      <c r="AE26" s="19">
        <v>-1250</v>
      </c>
      <c r="AF26" s="19">
        <v>-1250</v>
      </c>
      <c r="AG26" s="19">
        <v>-1250</v>
      </c>
      <c r="AH26" s="20">
        <f t="shared" si="1"/>
        <v>-15000</v>
      </c>
      <c r="AJ26" s="19">
        <v>-1250</v>
      </c>
      <c r="AK26" s="19">
        <v>-1250</v>
      </c>
      <c r="AL26" s="19">
        <v>-1250</v>
      </c>
      <c r="AM26" s="19">
        <v>-1250</v>
      </c>
      <c r="AN26" s="19">
        <v>-1250</v>
      </c>
      <c r="AO26" s="19">
        <v>-1250</v>
      </c>
      <c r="AP26" s="19">
        <v>-1250</v>
      </c>
      <c r="AQ26" s="19">
        <v>-1250</v>
      </c>
      <c r="AR26" s="19">
        <v>-1250</v>
      </c>
      <c r="AS26" s="19">
        <v>-1250</v>
      </c>
      <c r="AT26" s="19">
        <v>-1250</v>
      </c>
      <c r="AU26" s="19">
        <v>-1250</v>
      </c>
      <c r="AV26" s="20">
        <f t="shared" si="2"/>
        <v>-15000</v>
      </c>
    </row>
    <row r="27" spans="1:56">
      <c r="A27" s="13" t="s">
        <v>105</v>
      </c>
      <c r="B27" s="13" t="s">
        <v>542</v>
      </c>
      <c r="C27" s="13" t="s">
        <v>146</v>
      </c>
      <c r="D27" s="13" t="s">
        <v>534</v>
      </c>
      <c r="E27" s="13" t="s">
        <v>547</v>
      </c>
      <c r="F27" s="19">
        <f t="shared" ref="F27:Q27" si="13">-10000/12</f>
        <v>-833.33333333333337</v>
      </c>
      <c r="G27" s="19">
        <f t="shared" si="13"/>
        <v>-833.33333333333337</v>
      </c>
      <c r="H27" s="19">
        <f t="shared" si="13"/>
        <v>-833.33333333333337</v>
      </c>
      <c r="I27" s="19">
        <f t="shared" si="13"/>
        <v>-833.33333333333337</v>
      </c>
      <c r="J27" s="19">
        <f t="shared" si="13"/>
        <v>-833.33333333333337</v>
      </c>
      <c r="K27" s="19">
        <f t="shared" si="13"/>
        <v>-833.33333333333337</v>
      </c>
      <c r="L27" s="19">
        <f t="shared" si="13"/>
        <v>-833.33333333333337</v>
      </c>
      <c r="M27" s="19">
        <f t="shared" si="13"/>
        <v>-833.33333333333337</v>
      </c>
      <c r="N27" s="19">
        <f t="shared" si="13"/>
        <v>-833.33333333333337</v>
      </c>
      <c r="O27" s="19">
        <f t="shared" si="13"/>
        <v>-833.33333333333337</v>
      </c>
      <c r="P27" s="19">
        <f t="shared" si="13"/>
        <v>-833.33333333333337</v>
      </c>
      <c r="Q27" s="19">
        <f t="shared" si="13"/>
        <v>-833.33333333333337</v>
      </c>
      <c r="R27" s="20">
        <f t="shared" si="7"/>
        <v>-10000</v>
      </c>
      <c r="V27" s="19">
        <f>-10000/12</f>
        <v>-833.33333333333337</v>
      </c>
      <c r="W27" s="19">
        <f t="shared" ref="W27:AG27" si="14">-10000/12</f>
        <v>-833.33333333333337</v>
      </c>
      <c r="X27" s="19">
        <f t="shared" si="14"/>
        <v>-833.33333333333337</v>
      </c>
      <c r="Y27" s="19">
        <f t="shared" si="14"/>
        <v>-833.33333333333337</v>
      </c>
      <c r="Z27" s="19">
        <f t="shared" si="14"/>
        <v>-833.33333333333337</v>
      </c>
      <c r="AA27" s="19">
        <f t="shared" si="14"/>
        <v>-833.33333333333337</v>
      </c>
      <c r="AB27" s="19">
        <f t="shared" si="14"/>
        <v>-833.33333333333337</v>
      </c>
      <c r="AC27" s="19">
        <f t="shared" si="14"/>
        <v>-833.33333333333337</v>
      </c>
      <c r="AD27" s="19">
        <f t="shared" si="14"/>
        <v>-833.33333333333337</v>
      </c>
      <c r="AE27" s="19">
        <f t="shared" si="14"/>
        <v>-833.33333333333337</v>
      </c>
      <c r="AF27" s="19">
        <f t="shared" si="14"/>
        <v>-833.33333333333337</v>
      </c>
      <c r="AG27" s="19">
        <f t="shared" si="14"/>
        <v>-833.33333333333337</v>
      </c>
      <c r="AH27" s="20">
        <f t="shared" si="1"/>
        <v>-10000</v>
      </c>
      <c r="AJ27" s="19">
        <f>-10000/12</f>
        <v>-833.33333333333337</v>
      </c>
      <c r="AK27" s="19">
        <f t="shared" ref="AK27:AU27" si="15">-10000/12</f>
        <v>-833.33333333333337</v>
      </c>
      <c r="AL27" s="19">
        <f t="shared" si="15"/>
        <v>-833.33333333333337</v>
      </c>
      <c r="AM27" s="19">
        <f t="shared" si="15"/>
        <v>-833.33333333333337</v>
      </c>
      <c r="AN27" s="19">
        <f t="shared" si="15"/>
        <v>-833.33333333333337</v>
      </c>
      <c r="AO27" s="19">
        <f t="shared" si="15"/>
        <v>-833.33333333333337</v>
      </c>
      <c r="AP27" s="19">
        <f t="shared" si="15"/>
        <v>-833.33333333333337</v>
      </c>
      <c r="AQ27" s="19">
        <f t="shared" si="15"/>
        <v>-833.33333333333337</v>
      </c>
      <c r="AR27" s="19">
        <f t="shared" si="15"/>
        <v>-833.33333333333337</v>
      </c>
      <c r="AS27" s="19">
        <f t="shared" si="15"/>
        <v>-833.33333333333337</v>
      </c>
      <c r="AT27" s="19">
        <f t="shared" si="15"/>
        <v>-833.33333333333337</v>
      </c>
      <c r="AU27" s="19">
        <f t="shared" si="15"/>
        <v>-833.33333333333337</v>
      </c>
      <c r="AV27" s="20">
        <f t="shared" si="2"/>
        <v>-10000</v>
      </c>
    </row>
    <row r="28" spans="1:56">
      <c r="A28" s="13" t="s">
        <v>105</v>
      </c>
      <c r="B28" s="13" t="s">
        <v>542</v>
      </c>
      <c r="C28" s="13" t="s">
        <v>146</v>
      </c>
      <c r="D28" s="13" t="s">
        <v>534</v>
      </c>
      <c r="E28" s="13" t="s">
        <v>548</v>
      </c>
      <c r="F28" s="19">
        <f t="shared" ref="F28:Q28" si="16">-3500/12</f>
        <v>-291.66666666666669</v>
      </c>
      <c r="G28" s="19">
        <f t="shared" si="16"/>
        <v>-291.66666666666669</v>
      </c>
      <c r="H28" s="19">
        <f t="shared" si="16"/>
        <v>-291.66666666666669</v>
      </c>
      <c r="I28" s="19">
        <f t="shared" si="16"/>
        <v>-291.66666666666669</v>
      </c>
      <c r="J28" s="19">
        <f t="shared" si="16"/>
        <v>-291.66666666666669</v>
      </c>
      <c r="K28" s="19">
        <f t="shared" si="16"/>
        <v>-291.66666666666669</v>
      </c>
      <c r="L28" s="19">
        <f t="shared" si="16"/>
        <v>-291.66666666666669</v>
      </c>
      <c r="M28" s="19">
        <f t="shared" si="16"/>
        <v>-291.66666666666669</v>
      </c>
      <c r="N28" s="19">
        <f t="shared" si="16"/>
        <v>-291.66666666666669</v>
      </c>
      <c r="O28" s="19">
        <f t="shared" si="16"/>
        <v>-291.66666666666669</v>
      </c>
      <c r="P28" s="19">
        <f t="shared" si="16"/>
        <v>-291.66666666666669</v>
      </c>
      <c r="Q28" s="19">
        <f t="shared" si="16"/>
        <v>-291.66666666666669</v>
      </c>
      <c r="R28" s="20">
        <f t="shared" si="7"/>
        <v>-3499.9999999999995</v>
      </c>
      <c r="V28" s="19">
        <f>-3500/12</f>
        <v>-291.66666666666669</v>
      </c>
      <c r="W28" s="19">
        <f t="shared" ref="W28:AG28" si="17">-3500/12</f>
        <v>-291.66666666666669</v>
      </c>
      <c r="X28" s="19">
        <f t="shared" si="17"/>
        <v>-291.66666666666669</v>
      </c>
      <c r="Y28" s="19">
        <f t="shared" si="17"/>
        <v>-291.66666666666669</v>
      </c>
      <c r="Z28" s="19">
        <f t="shared" si="17"/>
        <v>-291.66666666666669</v>
      </c>
      <c r="AA28" s="19">
        <f t="shared" si="17"/>
        <v>-291.66666666666669</v>
      </c>
      <c r="AB28" s="19">
        <f t="shared" si="17"/>
        <v>-291.66666666666669</v>
      </c>
      <c r="AC28" s="19">
        <f t="shared" si="17"/>
        <v>-291.66666666666669</v>
      </c>
      <c r="AD28" s="19">
        <f t="shared" si="17"/>
        <v>-291.66666666666669</v>
      </c>
      <c r="AE28" s="19">
        <f t="shared" si="17"/>
        <v>-291.66666666666669</v>
      </c>
      <c r="AF28" s="19">
        <f t="shared" si="17"/>
        <v>-291.66666666666669</v>
      </c>
      <c r="AG28" s="19">
        <f t="shared" si="17"/>
        <v>-291.66666666666669</v>
      </c>
      <c r="AH28" s="20">
        <f t="shared" si="1"/>
        <v>-3499.9999999999995</v>
      </c>
      <c r="AJ28" s="19">
        <f>-3500/12</f>
        <v>-291.66666666666669</v>
      </c>
      <c r="AK28" s="19">
        <f t="shared" ref="AK28:AU28" si="18">-3500/12</f>
        <v>-291.66666666666669</v>
      </c>
      <c r="AL28" s="19">
        <f t="shared" si="18"/>
        <v>-291.66666666666669</v>
      </c>
      <c r="AM28" s="19">
        <f t="shared" si="18"/>
        <v>-291.66666666666669</v>
      </c>
      <c r="AN28" s="19">
        <f t="shared" si="18"/>
        <v>-291.66666666666669</v>
      </c>
      <c r="AO28" s="19">
        <f t="shared" si="18"/>
        <v>-291.66666666666669</v>
      </c>
      <c r="AP28" s="19">
        <f t="shared" si="18"/>
        <v>-291.66666666666669</v>
      </c>
      <c r="AQ28" s="19">
        <f t="shared" si="18"/>
        <v>-291.66666666666669</v>
      </c>
      <c r="AR28" s="19">
        <f t="shared" si="18"/>
        <v>-291.66666666666669</v>
      </c>
      <c r="AS28" s="19">
        <f t="shared" si="18"/>
        <v>-291.66666666666669</v>
      </c>
      <c r="AT28" s="19">
        <f t="shared" si="18"/>
        <v>-291.66666666666669</v>
      </c>
      <c r="AU28" s="19">
        <f t="shared" si="18"/>
        <v>-291.66666666666669</v>
      </c>
      <c r="AV28" s="20">
        <f t="shared" si="2"/>
        <v>-3499.9999999999995</v>
      </c>
    </row>
    <row r="29" spans="1:56">
      <c r="A29" s="13" t="s">
        <v>105</v>
      </c>
      <c r="B29" s="13" t="s">
        <v>542</v>
      </c>
      <c r="C29" s="13" t="s">
        <v>146</v>
      </c>
      <c r="D29" s="13" t="s">
        <v>534</v>
      </c>
      <c r="E29" s="13" t="s">
        <v>549</v>
      </c>
      <c r="F29" s="19">
        <f>-8000/12</f>
        <v>-666.66666666666663</v>
      </c>
      <c r="G29" s="19">
        <f t="shared" ref="G29:Q29" si="19">F29</f>
        <v>-666.66666666666663</v>
      </c>
      <c r="H29" s="19">
        <f t="shared" si="19"/>
        <v>-666.66666666666663</v>
      </c>
      <c r="I29" s="19">
        <f t="shared" si="19"/>
        <v>-666.66666666666663</v>
      </c>
      <c r="J29" s="19">
        <f t="shared" si="19"/>
        <v>-666.66666666666663</v>
      </c>
      <c r="K29" s="19">
        <f t="shared" si="19"/>
        <v>-666.66666666666663</v>
      </c>
      <c r="L29" s="19">
        <f t="shared" si="19"/>
        <v>-666.66666666666663</v>
      </c>
      <c r="M29" s="19">
        <f t="shared" si="19"/>
        <v>-666.66666666666663</v>
      </c>
      <c r="N29" s="19">
        <f t="shared" si="19"/>
        <v>-666.66666666666663</v>
      </c>
      <c r="O29" s="19">
        <f t="shared" si="19"/>
        <v>-666.66666666666663</v>
      </c>
      <c r="P29" s="19">
        <f t="shared" si="19"/>
        <v>-666.66666666666663</v>
      </c>
      <c r="Q29" s="19">
        <f t="shared" si="19"/>
        <v>-666.66666666666663</v>
      </c>
      <c r="R29" s="20">
        <f t="shared" si="7"/>
        <v>-8000.0000000000009</v>
      </c>
      <c r="V29" s="19">
        <f>U29</f>
        <v>0</v>
      </c>
      <c r="W29" s="19">
        <f t="shared" ref="W29:AG29" si="20">V29</f>
        <v>0</v>
      </c>
      <c r="X29" s="19">
        <f t="shared" si="20"/>
        <v>0</v>
      </c>
      <c r="Y29" s="19">
        <f t="shared" si="20"/>
        <v>0</v>
      </c>
      <c r="Z29" s="19">
        <f t="shared" si="20"/>
        <v>0</v>
      </c>
      <c r="AA29" s="19">
        <f t="shared" si="20"/>
        <v>0</v>
      </c>
      <c r="AB29" s="19">
        <f t="shared" si="20"/>
        <v>0</v>
      </c>
      <c r="AC29" s="19">
        <f t="shared" si="20"/>
        <v>0</v>
      </c>
      <c r="AD29" s="19">
        <f t="shared" si="20"/>
        <v>0</v>
      </c>
      <c r="AE29" s="19">
        <f t="shared" si="20"/>
        <v>0</v>
      </c>
      <c r="AF29" s="19">
        <f t="shared" si="20"/>
        <v>0</v>
      </c>
      <c r="AG29" s="19">
        <f t="shared" si="20"/>
        <v>0</v>
      </c>
      <c r="AH29" s="20">
        <f t="shared" si="1"/>
        <v>0</v>
      </c>
      <c r="AJ29" s="19">
        <f>AI29</f>
        <v>0</v>
      </c>
      <c r="AK29" s="19">
        <f t="shared" ref="AK29:AK31" si="21">AJ29</f>
        <v>0</v>
      </c>
      <c r="AL29" s="19">
        <f t="shared" ref="AL29:AL31" si="22">AK29</f>
        <v>0</v>
      </c>
      <c r="AM29" s="19">
        <f t="shared" ref="AM29:AM31" si="23">AL29</f>
        <v>0</v>
      </c>
      <c r="AN29" s="19">
        <f t="shared" ref="AN29:AN31" si="24">AM29</f>
        <v>0</v>
      </c>
      <c r="AO29" s="19">
        <f t="shared" ref="AO29:AO31" si="25">AN29</f>
        <v>0</v>
      </c>
      <c r="AP29" s="19">
        <f t="shared" ref="AP29:AP31" si="26">AO29</f>
        <v>0</v>
      </c>
      <c r="AQ29" s="19">
        <f t="shared" ref="AQ29:AQ31" si="27">AP29</f>
        <v>0</v>
      </c>
      <c r="AR29" s="19">
        <f t="shared" ref="AR29:AR31" si="28">AQ29</f>
        <v>0</v>
      </c>
      <c r="AS29" s="19">
        <f t="shared" ref="AS29:AS31" si="29">AR29</f>
        <v>0</v>
      </c>
      <c r="AT29" s="19">
        <f t="shared" ref="AT29:AT31" si="30">AS29</f>
        <v>0</v>
      </c>
      <c r="AU29" s="19">
        <f t="shared" ref="AU29:AU31" si="31">AT29</f>
        <v>0</v>
      </c>
      <c r="AV29" s="20">
        <f t="shared" si="2"/>
        <v>0</v>
      </c>
    </row>
    <row r="30" spans="1:56">
      <c r="A30" s="13" t="s">
        <v>105</v>
      </c>
      <c r="B30" s="13" t="s">
        <v>542</v>
      </c>
      <c r="C30" s="13" t="s">
        <v>146</v>
      </c>
      <c r="D30" s="13" t="s">
        <v>534</v>
      </c>
      <c r="E30" s="13" t="s">
        <v>550</v>
      </c>
      <c r="F30" s="19">
        <f>-500/12</f>
        <v>-41.666666666666664</v>
      </c>
      <c r="G30" s="19">
        <f t="shared" ref="G30:Q30" si="32">F30</f>
        <v>-41.666666666666664</v>
      </c>
      <c r="H30" s="19">
        <f t="shared" si="32"/>
        <v>-41.666666666666664</v>
      </c>
      <c r="I30" s="19">
        <f t="shared" si="32"/>
        <v>-41.666666666666664</v>
      </c>
      <c r="J30" s="19">
        <f t="shared" si="32"/>
        <v>-41.666666666666664</v>
      </c>
      <c r="K30" s="19">
        <f t="shared" si="32"/>
        <v>-41.666666666666664</v>
      </c>
      <c r="L30" s="19">
        <f t="shared" si="32"/>
        <v>-41.666666666666664</v>
      </c>
      <c r="M30" s="19">
        <f t="shared" si="32"/>
        <v>-41.666666666666664</v>
      </c>
      <c r="N30" s="19">
        <f t="shared" si="32"/>
        <v>-41.666666666666664</v>
      </c>
      <c r="O30" s="19">
        <f t="shared" si="32"/>
        <v>-41.666666666666664</v>
      </c>
      <c r="P30" s="19">
        <f t="shared" si="32"/>
        <v>-41.666666666666664</v>
      </c>
      <c r="Q30" s="19">
        <f t="shared" si="32"/>
        <v>-41.666666666666664</v>
      </c>
      <c r="R30" s="20">
        <f t="shared" si="7"/>
        <v>-500.00000000000006</v>
      </c>
      <c r="V30" s="19">
        <f>U30</f>
        <v>0</v>
      </c>
      <c r="W30" s="19">
        <f t="shared" ref="W30:AG30" si="33">V30</f>
        <v>0</v>
      </c>
      <c r="X30" s="19">
        <f t="shared" si="33"/>
        <v>0</v>
      </c>
      <c r="Y30" s="19">
        <f t="shared" si="33"/>
        <v>0</v>
      </c>
      <c r="Z30" s="19">
        <f t="shared" si="33"/>
        <v>0</v>
      </c>
      <c r="AA30" s="19">
        <f t="shared" si="33"/>
        <v>0</v>
      </c>
      <c r="AB30" s="19">
        <f t="shared" si="33"/>
        <v>0</v>
      </c>
      <c r="AC30" s="19">
        <f t="shared" si="33"/>
        <v>0</v>
      </c>
      <c r="AD30" s="19">
        <f t="shared" si="33"/>
        <v>0</v>
      </c>
      <c r="AE30" s="19">
        <f t="shared" si="33"/>
        <v>0</v>
      </c>
      <c r="AF30" s="19">
        <f t="shared" si="33"/>
        <v>0</v>
      </c>
      <c r="AG30" s="19">
        <f t="shared" si="33"/>
        <v>0</v>
      </c>
      <c r="AH30" s="20">
        <f t="shared" si="1"/>
        <v>0</v>
      </c>
      <c r="AJ30" s="19">
        <f>AI30</f>
        <v>0</v>
      </c>
      <c r="AK30" s="19">
        <f t="shared" si="21"/>
        <v>0</v>
      </c>
      <c r="AL30" s="19">
        <f t="shared" si="22"/>
        <v>0</v>
      </c>
      <c r="AM30" s="19">
        <f t="shared" si="23"/>
        <v>0</v>
      </c>
      <c r="AN30" s="19">
        <f t="shared" si="24"/>
        <v>0</v>
      </c>
      <c r="AO30" s="19">
        <f t="shared" si="25"/>
        <v>0</v>
      </c>
      <c r="AP30" s="19">
        <f t="shared" si="26"/>
        <v>0</v>
      </c>
      <c r="AQ30" s="19">
        <f t="shared" si="27"/>
        <v>0</v>
      </c>
      <c r="AR30" s="19">
        <f t="shared" si="28"/>
        <v>0</v>
      </c>
      <c r="AS30" s="19">
        <f t="shared" si="29"/>
        <v>0</v>
      </c>
      <c r="AT30" s="19">
        <f t="shared" si="30"/>
        <v>0</v>
      </c>
      <c r="AU30" s="19">
        <f t="shared" si="31"/>
        <v>0</v>
      </c>
      <c r="AV30" s="20">
        <f t="shared" si="2"/>
        <v>0</v>
      </c>
    </row>
    <row r="31" spans="1:56">
      <c r="A31" s="13" t="s">
        <v>105</v>
      </c>
      <c r="B31" s="13" t="s">
        <v>542</v>
      </c>
      <c r="C31" s="13" t="s">
        <v>146</v>
      </c>
      <c r="D31" s="13" t="s">
        <v>534</v>
      </c>
      <c r="E31" s="13" t="s">
        <v>551</v>
      </c>
      <c r="F31" s="19">
        <f>-500/12</f>
        <v>-41.666666666666664</v>
      </c>
      <c r="G31" s="19">
        <f t="shared" ref="G31:Q31" si="34">F31</f>
        <v>-41.666666666666664</v>
      </c>
      <c r="H31" s="19">
        <f t="shared" si="34"/>
        <v>-41.666666666666664</v>
      </c>
      <c r="I31" s="19">
        <f t="shared" si="34"/>
        <v>-41.666666666666664</v>
      </c>
      <c r="J31" s="19">
        <f t="shared" si="34"/>
        <v>-41.666666666666664</v>
      </c>
      <c r="K31" s="19">
        <f t="shared" si="34"/>
        <v>-41.666666666666664</v>
      </c>
      <c r="L31" s="19">
        <f t="shared" si="34"/>
        <v>-41.666666666666664</v>
      </c>
      <c r="M31" s="19">
        <f t="shared" si="34"/>
        <v>-41.666666666666664</v>
      </c>
      <c r="N31" s="19">
        <f t="shared" si="34"/>
        <v>-41.666666666666664</v>
      </c>
      <c r="O31" s="19">
        <f t="shared" si="34"/>
        <v>-41.666666666666664</v>
      </c>
      <c r="P31" s="19">
        <f t="shared" si="34"/>
        <v>-41.666666666666664</v>
      </c>
      <c r="Q31" s="19">
        <f t="shared" si="34"/>
        <v>-41.666666666666664</v>
      </c>
      <c r="R31" s="20">
        <f t="shared" si="7"/>
        <v>-500.00000000000006</v>
      </c>
      <c r="V31" s="19">
        <f>U31</f>
        <v>0</v>
      </c>
      <c r="W31" s="19">
        <f t="shared" ref="W31:AG31" si="35">V31</f>
        <v>0</v>
      </c>
      <c r="X31" s="19">
        <f t="shared" si="35"/>
        <v>0</v>
      </c>
      <c r="Y31" s="19">
        <f t="shared" si="35"/>
        <v>0</v>
      </c>
      <c r="Z31" s="19">
        <f t="shared" si="35"/>
        <v>0</v>
      </c>
      <c r="AA31" s="19">
        <f t="shared" si="35"/>
        <v>0</v>
      </c>
      <c r="AB31" s="19">
        <f t="shared" si="35"/>
        <v>0</v>
      </c>
      <c r="AC31" s="19">
        <f t="shared" si="35"/>
        <v>0</v>
      </c>
      <c r="AD31" s="19">
        <f t="shared" si="35"/>
        <v>0</v>
      </c>
      <c r="AE31" s="19">
        <f t="shared" si="35"/>
        <v>0</v>
      </c>
      <c r="AF31" s="19">
        <f t="shared" si="35"/>
        <v>0</v>
      </c>
      <c r="AG31" s="19">
        <f t="shared" si="35"/>
        <v>0</v>
      </c>
      <c r="AH31" s="20">
        <f t="shared" si="1"/>
        <v>0</v>
      </c>
      <c r="AJ31" s="19">
        <f>AI31</f>
        <v>0</v>
      </c>
      <c r="AK31" s="19">
        <f t="shared" si="21"/>
        <v>0</v>
      </c>
      <c r="AL31" s="19">
        <f t="shared" si="22"/>
        <v>0</v>
      </c>
      <c r="AM31" s="19">
        <f t="shared" si="23"/>
        <v>0</v>
      </c>
      <c r="AN31" s="19">
        <f t="shared" si="24"/>
        <v>0</v>
      </c>
      <c r="AO31" s="19">
        <f t="shared" si="25"/>
        <v>0</v>
      </c>
      <c r="AP31" s="19">
        <f t="shared" si="26"/>
        <v>0</v>
      </c>
      <c r="AQ31" s="19">
        <f t="shared" si="27"/>
        <v>0</v>
      </c>
      <c r="AR31" s="19">
        <f t="shared" si="28"/>
        <v>0</v>
      </c>
      <c r="AS31" s="19">
        <f t="shared" si="29"/>
        <v>0</v>
      </c>
      <c r="AT31" s="19">
        <f t="shared" si="30"/>
        <v>0</v>
      </c>
      <c r="AU31" s="19">
        <f t="shared" si="31"/>
        <v>0</v>
      </c>
      <c r="AV31" s="20">
        <f t="shared" si="2"/>
        <v>0</v>
      </c>
    </row>
    <row r="32" spans="1:56">
      <c r="A32" s="13" t="s">
        <v>105</v>
      </c>
      <c r="B32" s="13" t="s">
        <v>542</v>
      </c>
      <c r="C32" s="13" t="s">
        <v>146</v>
      </c>
      <c r="D32" s="13" t="s">
        <v>534</v>
      </c>
      <c r="E32" s="13" t="s">
        <v>552</v>
      </c>
      <c r="F32" s="19">
        <f t="shared" ref="F32:Q32" si="36">-2000/12</f>
        <v>-166.66666666666666</v>
      </c>
      <c r="G32" s="19">
        <f t="shared" si="36"/>
        <v>-166.66666666666666</v>
      </c>
      <c r="H32" s="19">
        <f t="shared" si="36"/>
        <v>-166.66666666666666</v>
      </c>
      <c r="I32" s="19">
        <f t="shared" si="36"/>
        <v>-166.66666666666666</v>
      </c>
      <c r="J32" s="19">
        <f t="shared" si="36"/>
        <v>-166.66666666666666</v>
      </c>
      <c r="K32" s="19">
        <f t="shared" si="36"/>
        <v>-166.66666666666666</v>
      </c>
      <c r="L32" s="19">
        <f t="shared" si="36"/>
        <v>-166.66666666666666</v>
      </c>
      <c r="M32" s="19">
        <f t="shared" si="36"/>
        <v>-166.66666666666666</v>
      </c>
      <c r="N32" s="19">
        <f t="shared" si="36"/>
        <v>-166.66666666666666</v>
      </c>
      <c r="O32" s="19">
        <f t="shared" si="36"/>
        <v>-166.66666666666666</v>
      </c>
      <c r="P32" s="19">
        <f t="shared" si="36"/>
        <v>-166.66666666666666</v>
      </c>
      <c r="Q32" s="19">
        <f t="shared" si="36"/>
        <v>-166.66666666666666</v>
      </c>
      <c r="R32" s="20">
        <f t="shared" si="7"/>
        <v>-2000.0000000000002</v>
      </c>
      <c r="V32" s="19">
        <f>-2000/12</f>
        <v>-166.66666666666666</v>
      </c>
      <c r="W32" s="19">
        <f t="shared" ref="W32:AG32" si="37">-2000/12</f>
        <v>-166.66666666666666</v>
      </c>
      <c r="X32" s="19">
        <f t="shared" si="37"/>
        <v>-166.66666666666666</v>
      </c>
      <c r="Y32" s="19">
        <f t="shared" si="37"/>
        <v>-166.66666666666666</v>
      </c>
      <c r="Z32" s="19">
        <f t="shared" si="37"/>
        <v>-166.66666666666666</v>
      </c>
      <c r="AA32" s="19">
        <f t="shared" si="37"/>
        <v>-166.66666666666666</v>
      </c>
      <c r="AB32" s="19">
        <f t="shared" si="37"/>
        <v>-166.66666666666666</v>
      </c>
      <c r="AC32" s="19">
        <f t="shared" si="37"/>
        <v>-166.66666666666666</v>
      </c>
      <c r="AD32" s="19">
        <f t="shared" si="37"/>
        <v>-166.66666666666666</v>
      </c>
      <c r="AE32" s="19">
        <f t="shared" si="37"/>
        <v>-166.66666666666666</v>
      </c>
      <c r="AF32" s="19">
        <f t="shared" si="37"/>
        <v>-166.66666666666666</v>
      </c>
      <c r="AG32" s="19">
        <f t="shared" si="37"/>
        <v>-166.66666666666666</v>
      </c>
      <c r="AH32" s="20">
        <f t="shared" si="1"/>
        <v>-2000.0000000000002</v>
      </c>
      <c r="AJ32" s="19">
        <f>-2000/12</f>
        <v>-166.66666666666666</v>
      </c>
      <c r="AK32" s="19">
        <f t="shared" ref="AK32:AU32" si="38">-2000/12</f>
        <v>-166.66666666666666</v>
      </c>
      <c r="AL32" s="19">
        <f t="shared" si="38"/>
        <v>-166.66666666666666</v>
      </c>
      <c r="AM32" s="19">
        <f t="shared" si="38"/>
        <v>-166.66666666666666</v>
      </c>
      <c r="AN32" s="19">
        <f t="shared" si="38"/>
        <v>-166.66666666666666</v>
      </c>
      <c r="AO32" s="19">
        <f t="shared" si="38"/>
        <v>-166.66666666666666</v>
      </c>
      <c r="AP32" s="19">
        <f t="shared" si="38"/>
        <v>-166.66666666666666</v>
      </c>
      <c r="AQ32" s="19">
        <f t="shared" si="38"/>
        <v>-166.66666666666666</v>
      </c>
      <c r="AR32" s="19">
        <f t="shared" si="38"/>
        <v>-166.66666666666666</v>
      </c>
      <c r="AS32" s="19">
        <f t="shared" si="38"/>
        <v>-166.66666666666666</v>
      </c>
      <c r="AT32" s="19">
        <f t="shared" si="38"/>
        <v>-166.66666666666666</v>
      </c>
      <c r="AU32" s="19">
        <f t="shared" si="38"/>
        <v>-166.66666666666666</v>
      </c>
      <c r="AV32" s="20">
        <f t="shared" si="2"/>
        <v>-2000.0000000000002</v>
      </c>
    </row>
    <row r="33" spans="1:48">
      <c r="A33" s="13" t="s">
        <v>105</v>
      </c>
      <c r="B33" s="13" t="s">
        <v>542</v>
      </c>
      <c r="C33" s="13" t="s">
        <v>146</v>
      </c>
      <c r="D33" s="13" t="s">
        <v>534</v>
      </c>
      <c r="E33" s="13" t="s">
        <v>553</v>
      </c>
      <c r="F33" s="19"/>
      <c r="G33" s="19"/>
      <c r="H33" s="19"/>
      <c r="I33" s="19"/>
      <c r="J33" s="19"/>
      <c r="K33" s="19"/>
      <c r="L33" s="19"/>
      <c r="M33" s="19"/>
      <c r="N33" s="19">
        <f>-10000/12</f>
        <v>-833.33333333333337</v>
      </c>
      <c r="O33" s="19">
        <f>-10000/12</f>
        <v>-833.33333333333337</v>
      </c>
      <c r="P33" s="19">
        <f>-10000/12</f>
        <v>-833.33333333333337</v>
      </c>
      <c r="Q33" s="19">
        <f>-10000/12</f>
        <v>-833.33333333333337</v>
      </c>
      <c r="R33" s="20">
        <f t="shared" si="7"/>
        <v>-3333.3333333333335</v>
      </c>
      <c r="V33" s="19">
        <f>-10000/12</f>
        <v>-833.33333333333337</v>
      </c>
      <c r="W33" s="19">
        <f t="shared" ref="W33:AG33" si="39">-10000/12</f>
        <v>-833.33333333333337</v>
      </c>
      <c r="X33" s="19">
        <f t="shared" si="39"/>
        <v>-833.33333333333337</v>
      </c>
      <c r="Y33" s="19">
        <f t="shared" si="39"/>
        <v>-833.33333333333337</v>
      </c>
      <c r="Z33" s="19">
        <f t="shared" si="39"/>
        <v>-833.33333333333337</v>
      </c>
      <c r="AA33" s="19">
        <f t="shared" si="39"/>
        <v>-833.33333333333337</v>
      </c>
      <c r="AB33" s="19">
        <f t="shared" si="39"/>
        <v>-833.33333333333337</v>
      </c>
      <c r="AC33" s="19">
        <f t="shared" si="39"/>
        <v>-833.33333333333337</v>
      </c>
      <c r="AD33" s="19">
        <f t="shared" si="39"/>
        <v>-833.33333333333337</v>
      </c>
      <c r="AE33" s="19">
        <f t="shared" si="39"/>
        <v>-833.33333333333337</v>
      </c>
      <c r="AF33" s="19">
        <f t="shared" si="39"/>
        <v>-833.33333333333337</v>
      </c>
      <c r="AG33" s="19">
        <f t="shared" si="39"/>
        <v>-833.33333333333337</v>
      </c>
      <c r="AH33" s="20">
        <f t="shared" si="1"/>
        <v>-10000</v>
      </c>
      <c r="AJ33" s="19">
        <f>-10000/12</f>
        <v>-833.33333333333337</v>
      </c>
      <c r="AK33" s="19">
        <f t="shared" ref="AK33:AU33" si="40">-10000/12</f>
        <v>-833.33333333333337</v>
      </c>
      <c r="AL33" s="19">
        <f t="shared" si="40"/>
        <v>-833.33333333333337</v>
      </c>
      <c r="AM33" s="19">
        <f t="shared" si="40"/>
        <v>-833.33333333333337</v>
      </c>
      <c r="AN33" s="19">
        <f t="shared" si="40"/>
        <v>-833.33333333333337</v>
      </c>
      <c r="AO33" s="19">
        <f t="shared" si="40"/>
        <v>-833.33333333333337</v>
      </c>
      <c r="AP33" s="19">
        <f t="shared" si="40"/>
        <v>-833.33333333333337</v>
      </c>
      <c r="AQ33" s="19">
        <f t="shared" si="40"/>
        <v>-833.33333333333337</v>
      </c>
      <c r="AR33" s="19">
        <f t="shared" si="40"/>
        <v>-833.33333333333337</v>
      </c>
      <c r="AS33" s="19">
        <f t="shared" si="40"/>
        <v>-833.33333333333337</v>
      </c>
      <c r="AT33" s="19">
        <f t="shared" si="40"/>
        <v>-833.33333333333337</v>
      </c>
      <c r="AU33" s="19">
        <f t="shared" si="40"/>
        <v>-833.33333333333337</v>
      </c>
      <c r="AV33" s="20">
        <f t="shared" si="2"/>
        <v>-10000</v>
      </c>
    </row>
    <row r="34" spans="1:48">
      <c r="A34" s="13" t="s">
        <v>105</v>
      </c>
      <c r="B34" s="13" t="s">
        <v>121</v>
      </c>
      <c r="C34" s="13" t="s">
        <v>146</v>
      </c>
      <c r="D34" s="13" t="s">
        <v>508</v>
      </c>
      <c r="F34" s="19"/>
      <c r="G34" s="19"/>
      <c r="H34" s="19"/>
      <c r="I34" s="19">
        <v>-2650</v>
      </c>
      <c r="J34" s="19">
        <v>-2650</v>
      </c>
      <c r="K34" s="19">
        <v>-2650</v>
      </c>
      <c r="L34" s="19">
        <v>-2650</v>
      </c>
      <c r="M34" s="19">
        <v>-2650</v>
      </c>
      <c r="N34" s="19">
        <v>-2650</v>
      </c>
      <c r="O34" s="19">
        <v>-2650</v>
      </c>
      <c r="P34" s="19">
        <v>-2650</v>
      </c>
      <c r="Q34" s="19">
        <v>-2650</v>
      </c>
      <c r="R34" s="20">
        <f t="shared" si="7"/>
        <v>-23850</v>
      </c>
      <c r="V34" s="145"/>
      <c r="W34" s="145"/>
      <c r="X34" s="145"/>
      <c r="Y34" s="145"/>
      <c r="Z34" s="145"/>
      <c r="AA34" s="145"/>
      <c r="AB34" s="145"/>
      <c r="AC34" s="145"/>
      <c r="AD34" s="145"/>
      <c r="AE34" s="145"/>
      <c r="AF34" s="145"/>
      <c r="AG34" s="145"/>
      <c r="AH34" s="20">
        <f t="shared" si="1"/>
        <v>0</v>
      </c>
      <c r="AJ34" s="145"/>
      <c r="AK34" s="145"/>
      <c r="AL34" s="145"/>
      <c r="AM34" s="145"/>
      <c r="AN34" s="145"/>
      <c r="AO34" s="145"/>
      <c r="AP34" s="145"/>
      <c r="AQ34" s="145"/>
      <c r="AR34" s="145"/>
      <c r="AS34" s="145"/>
      <c r="AT34" s="145"/>
      <c r="AU34" s="145"/>
      <c r="AV34" s="20">
        <f t="shared" si="2"/>
        <v>0</v>
      </c>
    </row>
    <row r="35" spans="1:48">
      <c r="A35" s="13" t="s">
        <v>105</v>
      </c>
      <c r="B35" s="13" t="s">
        <v>517</v>
      </c>
      <c r="C35" s="13" t="s">
        <v>554</v>
      </c>
      <c r="D35" s="13" t="s">
        <v>555</v>
      </c>
      <c r="E35" s="13" t="s">
        <v>556</v>
      </c>
      <c r="F35" s="19"/>
      <c r="G35" s="19"/>
      <c r="H35" s="19"/>
      <c r="I35" s="19">
        <f t="shared" ref="I35:Q35" si="41">-2253.9/3</f>
        <v>-751.30000000000007</v>
      </c>
      <c r="J35" s="19">
        <f t="shared" si="41"/>
        <v>-751.30000000000007</v>
      </c>
      <c r="K35" s="19">
        <f t="shared" si="41"/>
        <v>-751.30000000000007</v>
      </c>
      <c r="L35" s="19">
        <f t="shared" si="41"/>
        <v>-751.30000000000007</v>
      </c>
      <c r="M35" s="19">
        <f t="shared" si="41"/>
        <v>-751.30000000000007</v>
      </c>
      <c r="N35" s="19">
        <f t="shared" si="41"/>
        <v>-751.30000000000007</v>
      </c>
      <c r="O35" s="19">
        <f t="shared" si="41"/>
        <v>-751.30000000000007</v>
      </c>
      <c r="P35" s="19">
        <f t="shared" si="41"/>
        <v>-751.30000000000007</v>
      </c>
      <c r="Q35" s="19">
        <f t="shared" si="41"/>
        <v>-751.30000000000007</v>
      </c>
      <c r="R35" s="20">
        <f t="shared" si="7"/>
        <v>-6761.7000000000007</v>
      </c>
      <c r="T35" s="13" t="s">
        <v>557</v>
      </c>
      <c r="V35" s="19">
        <f>-2253.9/3</f>
        <v>-751.30000000000007</v>
      </c>
      <c r="W35" s="19">
        <f t="shared" ref="W35:AG35" si="42">-2253.9/3</f>
        <v>-751.30000000000007</v>
      </c>
      <c r="X35" s="19">
        <f t="shared" si="42"/>
        <v>-751.30000000000007</v>
      </c>
      <c r="Y35" s="19">
        <f t="shared" si="42"/>
        <v>-751.30000000000007</v>
      </c>
      <c r="Z35" s="19">
        <f t="shared" si="42"/>
        <v>-751.30000000000007</v>
      </c>
      <c r="AA35" s="19">
        <f t="shared" si="42"/>
        <v>-751.30000000000007</v>
      </c>
      <c r="AB35" s="19">
        <f t="shared" si="42"/>
        <v>-751.30000000000007</v>
      </c>
      <c r="AC35" s="19">
        <f t="shared" si="42"/>
        <v>-751.30000000000007</v>
      </c>
      <c r="AD35" s="19">
        <f t="shared" si="42"/>
        <v>-751.30000000000007</v>
      </c>
      <c r="AE35" s="19">
        <f t="shared" si="42"/>
        <v>-751.30000000000007</v>
      </c>
      <c r="AF35" s="19">
        <f t="shared" si="42"/>
        <v>-751.30000000000007</v>
      </c>
      <c r="AG35" s="19">
        <f t="shared" si="42"/>
        <v>-751.30000000000007</v>
      </c>
      <c r="AH35" s="20">
        <f t="shared" si="1"/>
        <v>-9015.6</v>
      </c>
      <c r="AJ35" s="19">
        <f>-2253.9/3</f>
        <v>-751.30000000000007</v>
      </c>
      <c r="AK35" s="19">
        <f t="shared" ref="AK35:AU35" si="43">-2253.9/3</f>
        <v>-751.30000000000007</v>
      </c>
      <c r="AL35" s="19">
        <f t="shared" si="43"/>
        <v>-751.30000000000007</v>
      </c>
      <c r="AM35" s="19">
        <f t="shared" si="43"/>
        <v>-751.30000000000007</v>
      </c>
      <c r="AN35" s="19">
        <f t="shared" si="43"/>
        <v>-751.30000000000007</v>
      </c>
      <c r="AO35" s="19">
        <f t="shared" si="43"/>
        <v>-751.30000000000007</v>
      </c>
      <c r="AP35" s="19">
        <f t="shared" si="43"/>
        <v>-751.30000000000007</v>
      </c>
      <c r="AQ35" s="19">
        <f t="shared" si="43"/>
        <v>-751.30000000000007</v>
      </c>
      <c r="AR35" s="19">
        <f t="shared" si="43"/>
        <v>-751.30000000000007</v>
      </c>
      <c r="AS35" s="19">
        <f t="shared" si="43"/>
        <v>-751.30000000000007</v>
      </c>
      <c r="AT35" s="19">
        <f t="shared" si="43"/>
        <v>-751.30000000000007</v>
      </c>
      <c r="AU35" s="19">
        <f t="shared" si="43"/>
        <v>-751.30000000000007</v>
      </c>
      <c r="AV35" s="20">
        <f t="shared" si="2"/>
        <v>-9015.6</v>
      </c>
    </row>
    <row r="36" spans="1:48">
      <c r="A36" s="13" t="s">
        <v>105</v>
      </c>
      <c r="B36" s="13" t="s">
        <v>533</v>
      </c>
      <c r="C36" s="13" t="s">
        <v>149</v>
      </c>
      <c r="D36" s="13" t="s">
        <v>149</v>
      </c>
      <c r="E36" s="13" t="s">
        <v>558</v>
      </c>
      <c r="F36" s="19">
        <v>-2600</v>
      </c>
      <c r="G36" s="19">
        <v>-2600</v>
      </c>
      <c r="H36" s="19">
        <v>-2600</v>
      </c>
      <c r="I36" s="19">
        <v>-2600</v>
      </c>
      <c r="J36" s="19">
        <v>-2600</v>
      </c>
      <c r="K36" s="19">
        <v>-2600</v>
      </c>
      <c r="L36" s="19">
        <v>-2600</v>
      </c>
      <c r="M36" s="19">
        <v>-2600</v>
      </c>
      <c r="N36" s="19">
        <v>-2600</v>
      </c>
      <c r="O36" s="19">
        <v>-2600</v>
      </c>
      <c r="P36" s="19">
        <v>-2600</v>
      </c>
      <c r="Q36" s="19">
        <v>-2600</v>
      </c>
      <c r="R36" s="20">
        <f t="shared" si="7"/>
        <v>-31200</v>
      </c>
      <c r="V36" s="19">
        <v>-2600</v>
      </c>
      <c r="W36" s="19">
        <v>-2600</v>
      </c>
      <c r="X36" s="19">
        <v>-2600</v>
      </c>
      <c r="Y36" s="19">
        <v>-2600</v>
      </c>
      <c r="Z36" s="19">
        <v>-2600</v>
      </c>
      <c r="AA36" s="19">
        <v>-2600</v>
      </c>
      <c r="AB36" s="19">
        <v>-2600</v>
      </c>
      <c r="AC36" s="19">
        <v>-2600</v>
      </c>
      <c r="AD36" s="19">
        <v>-2600</v>
      </c>
      <c r="AE36" s="19">
        <v>-2600</v>
      </c>
      <c r="AF36" s="19">
        <v>-2600</v>
      </c>
      <c r="AG36" s="19">
        <v>-2600</v>
      </c>
      <c r="AH36" s="20">
        <f t="shared" si="1"/>
        <v>-31200</v>
      </c>
      <c r="AJ36" s="19">
        <v>-2600</v>
      </c>
      <c r="AK36" s="19">
        <v>-2600</v>
      </c>
      <c r="AL36" s="19">
        <v>-2600</v>
      </c>
      <c r="AM36" s="19">
        <v>-2600</v>
      </c>
      <c r="AN36" s="19">
        <v>-2600</v>
      </c>
      <c r="AO36" s="19">
        <v>-2600</v>
      </c>
      <c r="AP36" s="19">
        <v>-2600</v>
      </c>
      <c r="AQ36" s="19">
        <v>-2600</v>
      </c>
      <c r="AR36" s="19">
        <v>-2600</v>
      </c>
      <c r="AS36" s="19">
        <v>-2600</v>
      </c>
      <c r="AT36" s="19">
        <v>-2600</v>
      </c>
      <c r="AU36" s="19">
        <v>-2600</v>
      </c>
      <c r="AV36" s="20">
        <f t="shared" si="2"/>
        <v>-31200</v>
      </c>
    </row>
    <row r="37" spans="1:48">
      <c r="A37" s="13" t="s">
        <v>105</v>
      </c>
      <c r="B37" s="13" t="s">
        <v>533</v>
      </c>
      <c r="C37" s="13" t="s">
        <v>149</v>
      </c>
      <c r="D37" s="13" t="s">
        <v>149</v>
      </c>
      <c r="E37" s="13" t="s">
        <v>559</v>
      </c>
      <c r="F37" s="19">
        <v>-336</v>
      </c>
      <c r="G37" s="19">
        <v>-336</v>
      </c>
      <c r="H37" s="19">
        <v>-336</v>
      </c>
      <c r="I37" s="19">
        <v>-336</v>
      </c>
      <c r="J37" s="19">
        <v>-336</v>
      </c>
      <c r="K37" s="19">
        <v>-336</v>
      </c>
      <c r="L37" s="19">
        <v>-336</v>
      </c>
      <c r="M37" s="19">
        <v>-336</v>
      </c>
      <c r="N37" s="19">
        <v>-336</v>
      </c>
      <c r="O37" s="19">
        <v>-336</v>
      </c>
      <c r="P37" s="19">
        <v>-336</v>
      </c>
      <c r="Q37" s="19">
        <v>-336</v>
      </c>
      <c r="R37" s="20">
        <f t="shared" si="7"/>
        <v>-4032</v>
      </c>
      <c r="T37" s="13" t="s">
        <v>560</v>
      </c>
      <c r="V37" s="19">
        <v>-336</v>
      </c>
      <c r="W37" s="19">
        <v>-336</v>
      </c>
      <c r="X37" s="19">
        <v>-336</v>
      </c>
      <c r="Y37" s="19">
        <v>-336</v>
      </c>
      <c r="Z37" s="19">
        <v>-336</v>
      </c>
      <c r="AA37" s="19">
        <v>-336</v>
      </c>
      <c r="AB37" s="19">
        <v>-336</v>
      </c>
      <c r="AC37" s="19">
        <v>-336</v>
      </c>
      <c r="AD37" s="19">
        <v>-336</v>
      </c>
      <c r="AE37" s="19">
        <v>-336</v>
      </c>
      <c r="AF37" s="19">
        <v>-336</v>
      </c>
      <c r="AG37" s="19">
        <v>-336</v>
      </c>
      <c r="AH37" s="20">
        <f t="shared" si="1"/>
        <v>-4032</v>
      </c>
      <c r="AJ37" s="19">
        <v>-336</v>
      </c>
      <c r="AK37" s="19">
        <v>-336</v>
      </c>
      <c r="AL37" s="19">
        <v>-336</v>
      </c>
      <c r="AM37" s="19">
        <v>-336</v>
      </c>
      <c r="AN37" s="19">
        <v>-336</v>
      </c>
      <c r="AO37" s="19">
        <v>-336</v>
      </c>
      <c r="AP37" s="19">
        <v>-336</v>
      </c>
      <c r="AQ37" s="19">
        <v>-336</v>
      </c>
      <c r="AR37" s="19">
        <v>-336</v>
      </c>
      <c r="AS37" s="19">
        <v>-336</v>
      </c>
      <c r="AT37" s="19">
        <v>-336</v>
      </c>
      <c r="AU37" s="19">
        <v>-336</v>
      </c>
      <c r="AV37" s="20">
        <f t="shared" si="2"/>
        <v>-4032</v>
      </c>
    </row>
    <row r="38" spans="1:48">
      <c r="A38" s="13" t="s">
        <v>105</v>
      </c>
      <c r="B38" s="13" t="s">
        <v>533</v>
      </c>
      <c r="C38" s="13" t="s">
        <v>149</v>
      </c>
      <c r="D38" s="13" t="s">
        <v>149</v>
      </c>
      <c r="E38" s="13" t="s">
        <v>561</v>
      </c>
      <c r="F38" s="19">
        <v>-265</v>
      </c>
      <c r="G38" s="19">
        <v>-265</v>
      </c>
      <c r="H38" s="19">
        <v>-265</v>
      </c>
      <c r="I38" s="19">
        <v>-265</v>
      </c>
      <c r="J38" s="19">
        <v>-265</v>
      </c>
      <c r="K38" s="19">
        <v>-265</v>
      </c>
      <c r="L38" s="19">
        <v>-265</v>
      </c>
      <c r="M38" s="19">
        <v>-265</v>
      </c>
      <c r="N38" s="19">
        <v>-265</v>
      </c>
      <c r="O38" s="19">
        <v>-265</v>
      </c>
      <c r="P38" s="19">
        <v>-265</v>
      </c>
      <c r="Q38" s="19">
        <v>-265</v>
      </c>
      <c r="R38" s="20">
        <f t="shared" si="7"/>
        <v>-3180</v>
      </c>
      <c r="V38" s="19">
        <v>-265</v>
      </c>
      <c r="W38" s="19">
        <v>-265</v>
      </c>
      <c r="X38" s="19">
        <v>-265</v>
      </c>
      <c r="Y38" s="19">
        <v>-265</v>
      </c>
      <c r="Z38" s="19">
        <v>-265</v>
      </c>
      <c r="AA38" s="19">
        <v>-265</v>
      </c>
      <c r="AB38" s="19">
        <v>-265</v>
      </c>
      <c r="AC38" s="19">
        <v>-265</v>
      </c>
      <c r="AD38" s="19">
        <v>-265</v>
      </c>
      <c r="AE38" s="19">
        <v>-265</v>
      </c>
      <c r="AF38" s="19">
        <v>-265</v>
      </c>
      <c r="AG38" s="19">
        <v>-265</v>
      </c>
      <c r="AH38" s="20">
        <f t="shared" si="1"/>
        <v>-3180</v>
      </c>
      <c r="AJ38" s="19">
        <v>-265</v>
      </c>
      <c r="AK38" s="19">
        <v>-265</v>
      </c>
      <c r="AL38" s="19">
        <v>-265</v>
      </c>
      <c r="AM38" s="19">
        <v>-265</v>
      </c>
      <c r="AN38" s="19">
        <v>-265</v>
      </c>
      <c r="AO38" s="19">
        <v>-265</v>
      </c>
      <c r="AP38" s="19">
        <v>-265</v>
      </c>
      <c r="AQ38" s="19">
        <v>-265</v>
      </c>
      <c r="AR38" s="19">
        <v>-265</v>
      </c>
      <c r="AS38" s="19">
        <v>-265</v>
      </c>
      <c r="AT38" s="19">
        <v>-265</v>
      </c>
      <c r="AU38" s="19">
        <v>-265</v>
      </c>
      <c r="AV38" s="20">
        <f t="shared" si="2"/>
        <v>-3180</v>
      </c>
    </row>
    <row r="39" spans="1:48">
      <c r="A39" s="13" t="s">
        <v>105</v>
      </c>
      <c r="B39" s="13" t="s">
        <v>395</v>
      </c>
      <c r="C39" s="13" t="s">
        <v>143</v>
      </c>
      <c r="D39" s="13" t="s">
        <v>562</v>
      </c>
      <c r="F39" s="19"/>
      <c r="G39" s="19"/>
      <c r="H39" s="19"/>
      <c r="I39" s="19">
        <v>-242</v>
      </c>
      <c r="J39" s="19">
        <v>-242</v>
      </c>
      <c r="K39" s="19">
        <v>-242</v>
      </c>
      <c r="L39" s="19">
        <v>-242</v>
      </c>
      <c r="M39" s="19">
        <v>-242</v>
      </c>
      <c r="N39" s="19">
        <v>-242</v>
      </c>
      <c r="O39" s="19">
        <v>-242</v>
      </c>
      <c r="P39" s="19">
        <v>-242</v>
      </c>
      <c r="Q39" s="19">
        <v>-242</v>
      </c>
      <c r="R39" s="20">
        <f t="shared" si="7"/>
        <v>-2178</v>
      </c>
      <c r="V39" s="19">
        <v>-242</v>
      </c>
      <c r="W39" s="19">
        <v>-242</v>
      </c>
      <c r="X39" s="19">
        <v>-242</v>
      </c>
      <c r="Y39" s="19">
        <v>-242</v>
      </c>
      <c r="Z39" s="19">
        <v>-242</v>
      </c>
      <c r="AA39" s="19">
        <v>-242</v>
      </c>
      <c r="AB39" s="19">
        <v>-242</v>
      </c>
      <c r="AC39" s="19">
        <v>-242</v>
      </c>
      <c r="AD39" s="19">
        <v>-242</v>
      </c>
      <c r="AE39" s="19">
        <v>-242</v>
      </c>
      <c r="AF39" s="19">
        <v>-242</v>
      </c>
      <c r="AG39" s="19">
        <v>-242</v>
      </c>
      <c r="AH39" s="20">
        <f t="shared" si="1"/>
        <v>-2904</v>
      </c>
      <c r="AJ39" s="19">
        <v>-242</v>
      </c>
      <c r="AK39" s="19">
        <v>-242</v>
      </c>
      <c r="AL39" s="19">
        <v>-242</v>
      </c>
      <c r="AM39" s="19">
        <v>-242</v>
      </c>
      <c r="AN39" s="19">
        <v>-242</v>
      </c>
      <c r="AO39" s="19">
        <v>-242</v>
      </c>
      <c r="AP39" s="19">
        <v>-242</v>
      </c>
      <c r="AQ39" s="19">
        <v>-242</v>
      </c>
      <c r="AR39" s="19">
        <v>-242</v>
      </c>
      <c r="AS39" s="19">
        <v>-242</v>
      </c>
      <c r="AT39" s="19">
        <v>-242</v>
      </c>
      <c r="AU39" s="19">
        <v>-242</v>
      </c>
      <c r="AV39" s="20">
        <f t="shared" si="2"/>
        <v>-2904</v>
      </c>
    </row>
    <row r="40" spans="1:48">
      <c r="A40" s="13" t="s">
        <v>105</v>
      </c>
      <c r="B40" s="13" t="s">
        <v>533</v>
      </c>
      <c r="C40" s="13" t="s">
        <v>143</v>
      </c>
      <c r="D40" s="13" t="s">
        <v>563</v>
      </c>
      <c r="E40" s="13" t="s">
        <v>564</v>
      </c>
      <c r="F40" s="19">
        <v>-100</v>
      </c>
      <c r="G40" s="19">
        <v>-100</v>
      </c>
      <c r="H40" s="19">
        <v>-100</v>
      </c>
      <c r="I40" s="19">
        <v>-100</v>
      </c>
      <c r="J40" s="19">
        <v>-100</v>
      </c>
      <c r="K40" s="19">
        <v>-100</v>
      </c>
      <c r="L40" s="19">
        <v>-100</v>
      </c>
      <c r="M40" s="19">
        <v>-100</v>
      </c>
      <c r="N40" s="19">
        <v>-100</v>
      </c>
      <c r="O40" s="19">
        <v>-100</v>
      </c>
      <c r="P40" s="19">
        <v>-100</v>
      </c>
      <c r="Q40" s="19">
        <v>-100</v>
      </c>
      <c r="R40" s="20">
        <f t="shared" si="7"/>
        <v>-1200</v>
      </c>
      <c r="V40" s="176"/>
      <c r="W40" s="176"/>
      <c r="X40" s="176"/>
      <c r="Y40" s="176"/>
      <c r="Z40" s="176"/>
      <c r="AA40" s="176"/>
      <c r="AB40" s="176"/>
      <c r="AC40" s="176"/>
      <c r="AD40" s="176"/>
      <c r="AE40" s="176"/>
      <c r="AF40" s="176"/>
      <c r="AG40" s="176"/>
      <c r="AH40" s="20">
        <f t="shared" si="1"/>
        <v>0</v>
      </c>
      <c r="AJ40" s="176"/>
      <c r="AK40" s="176"/>
      <c r="AL40" s="176"/>
      <c r="AM40" s="176"/>
      <c r="AN40" s="176"/>
      <c r="AO40" s="176"/>
      <c r="AP40" s="176"/>
      <c r="AQ40" s="176"/>
      <c r="AR40" s="176"/>
      <c r="AS40" s="176"/>
      <c r="AT40" s="176"/>
      <c r="AU40" s="176"/>
      <c r="AV40" s="20">
        <f t="shared" si="2"/>
        <v>0</v>
      </c>
    </row>
    <row r="41" spans="1:48">
      <c r="A41" s="13" t="s">
        <v>105</v>
      </c>
      <c r="B41" s="13" t="s">
        <v>533</v>
      </c>
      <c r="C41" s="13" t="s">
        <v>150</v>
      </c>
      <c r="D41" s="13" t="s">
        <v>565</v>
      </c>
      <c r="E41" s="13" t="s">
        <v>566</v>
      </c>
      <c r="F41" s="19">
        <v>-208</v>
      </c>
      <c r="G41" s="19">
        <v>-208</v>
      </c>
      <c r="H41" s="19">
        <v>-208</v>
      </c>
      <c r="I41" s="19">
        <v>-208</v>
      </c>
      <c r="J41" s="19">
        <v>-208</v>
      </c>
      <c r="K41" s="19">
        <v>-208</v>
      </c>
      <c r="L41" s="19">
        <v>-208</v>
      </c>
      <c r="M41" s="19">
        <v>-208</v>
      </c>
      <c r="N41" s="19">
        <v>-208</v>
      </c>
      <c r="O41" s="19">
        <v>-208</v>
      </c>
      <c r="P41" s="19">
        <v>-208</v>
      </c>
      <c r="Q41" s="19">
        <v>-208</v>
      </c>
      <c r="R41" s="20">
        <f t="shared" si="7"/>
        <v>-2496</v>
      </c>
      <c r="V41" s="19">
        <v>-208</v>
      </c>
      <c r="W41" s="19">
        <v>-208</v>
      </c>
      <c r="X41" s="19">
        <v>-208</v>
      </c>
      <c r="Y41" s="19">
        <v>-208</v>
      </c>
      <c r="Z41" s="19">
        <v>-208</v>
      </c>
      <c r="AA41" s="19">
        <v>-208</v>
      </c>
      <c r="AB41" s="19">
        <v>-208</v>
      </c>
      <c r="AC41" s="19">
        <v>-208</v>
      </c>
      <c r="AD41" s="19">
        <v>-208</v>
      </c>
      <c r="AE41" s="19">
        <v>-208</v>
      </c>
      <c r="AF41" s="19">
        <v>-208</v>
      </c>
      <c r="AG41" s="19">
        <v>-208</v>
      </c>
      <c r="AH41" s="20">
        <f t="shared" si="1"/>
        <v>-2496</v>
      </c>
      <c r="AJ41" s="19">
        <v>-208</v>
      </c>
      <c r="AK41" s="19">
        <v>-208</v>
      </c>
      <c r="AL41" s="19">
        <v>-208</v>
      </c>
      <c r="AM41" s="19">
        <v>-208</v>
      </c>
      <c r="AN41" s="19">
        <v>-208</v>
      </c>
      <c r="AO41" s="19">
        <v>-208</v>
      </c>
      <c r="AP41" s="19">
        <v>-208</v>
      </c>
      <c r="AQ41" s="19">
        <v>-208</v>
      </c>
      <c r="AR41" s="19">
        <v>-208</v>
      </c>
      <c r="AS41" s="19">
        <v>-208</v>
      </c>
      <c r="AT41" s="19">
        <v>-208</v>
      </c>
      <c r="AU41" s="19">
        <v>-208</v>
      </c>
      <c r="AV41" s="20">
        <f t="shared" si="2"/>
        <v>-2496</v>
      </c>
    </row>
    <row r="42" spans="1:48">
      <c r="A42" s="13" t="s">
        <v>105</v>
      </c>
      <c r="B42" s="13" t="s">
        <v>533</v>
      </c>
      <c r="C42" s="13" t="s">
        <v>150</v>
      </c>
      <c r="D42" s="13" t="s">
        <v>565</v>
      </c>
      <c r="E42" s="13" t="s">
        <v>567</v>
      </c>
      <c r="F42" s="19">
        <f>-120000/12</f>
        <v>-10000</v>
      </c>
      <c r="G42" s="19">
        <f t="shared" ref="G42:Q42" si="44">F42</f>
        <v>-10000</v>
      </c>
      <c r="H42" s="19">
        <f t="shared" si="44"/>
        <v>-10000</v>
      </c>
      <c r="I42" s="19">
        <f t="shared" si="44"/>
        <v>-10000</v>
      </c>
      <c r="J42" s="19">
        <f t="shared" si="44"/>
        <v>-10000</v>
      </c>
      <c r="K42" s="19">
        <f t="shared" si="44"/>
        <v>-10000</v>
      </c>
      <c r="L42" s="19">
        <f t="shared" si="44"/>
        <v>-10000</v>
      </c>
      <c r="M42" s="19">
        <f t="shared" si="44"/>
        <v>-10000</v>
      </c>
      <c r="N42" s="19">
        <f t="shared" si="44"/>
        <v>-10000</v>
      </c>
      <c r="O42" s="19">
        <f t="shared" si="44"/>
        <v>-10000</v>
      </c>
      <c r="P42" s="19">
        <f t="shared" si="44"/>
        <v>-10000</v>
      </c>
      <c r="Q42" s="19">
        <f t="shared" si="44"/>
        <v>-10000</v>
      </c>
      <c r="R42" s="20">
        <f t="shared" si="7"/>
        <v>-120000</v>
      </c>
      <c r="V42" s="19">
        <v>-10000</v>
      </c>
      <c r="W42" s="19">
        <v>-10000</v>
      </c>
      <c r="X42" s="19">
        <v>-10000</v>
      </c>
      <c r="Y42" s="19">
        <f>-10000*1.5</f>
        <v>-15000</v>
      </c>
      <c r="Z42" s="19">
        <f t="shared" ref="Z42:AG42" si="45">-10000*1.5</f>
        <v>-15000</v>
      </c>
      <c r="AA42" s="19">
        <f t="shared" si="45"/>
        <v>-15000</v>
      </c>
      <c r="AB42" s="19">
        <f t="shared" si="45"/>
        <v>-15000</v>
      </c>
      <c r="AC42" s="19">
        <f t="shared" si="45"/>
        <v>-15000</v>
      </c>
      <c r="AD42" s="19">
        <f t="shared" si="45"/>
        <v>-15000</v>
      </c>
      <c r="AE42" s="19">
        <f t="shared" si="45"/>
        <v>-15000</v>
      </c>
      <c r="AF42" s="19">
        <f t="shared" si="45"/>
        <v>-15000</v>
      </c>
      <c r="AG42" s="19">
        <f t="shared" si="45"/>
        <v>-15000</v>
      </c>
      <c r="AH42" s="20">
        <f t="shared" si="1"/>
        <v>-165000</v>
      </c>
      <c r="AJ42" s="19">
        <v>-10000</v>
      </c>
      <c r="AK42" s="19">
        <v>-10000</v>
      </c>
      <c r="AL42" s="19">
        <v>-10000</v>
      </c>
      <c r="AM42" s="19">
        <f>-10000*1.5</f>
        <v>-15000</v>
      </c>
      <c r="AN42" s="19">
        <f t="shared" ref="AN42:AU42" si="46">-10000*1.5</f>
        <v>-15000</v>
      </c>
      <c r="AO42" s="19">
        <f t="shared" si="46"/>
        <v>-15000</v>
      </c>
      <c r="AP42" s="19">
        <f t="shared" si="46"/>
        <v>-15000</v>
      </c>
      <c r="AQ42" s="19">
        <f t="shared" si="46"/>
        <v>-15000</v>
      </c>
      <c r="AR42" s="19">
        <f t="shared" si="46"/>
        <v>-15000</v>
      </c>
      <c r="AS42" s="19">
        <f t="shared" si="46"/>
        <v>-15000</v>
      </c>
      <c r="AT42" s="19">
        <f t="shared" si="46"/>
        <v>-15000</v>
      </c>
      <c r="AU42" s="19">
        <f t="shared" si="46"/>
        <v>-15000</v>
      </c>
      <c r="AV42" s="20">
        <f t="shared" si="2"/>
        <v>-165000</v>
      </c>
    </row>
    <row r="43" spans="1:48">
      <c r="A43" s="13" t="s">
        <v>105</v>
      </c>
      <c r="B43" s="13" t="s">
        <v>517</v>
      </c>
      <c r="C43" s="13" t="s">
        <v>143</v>
      </c>
      <c r="D43" s="13" t="s">
        <v>568</v>
      </c>
      <c r="E43" s="13" t="s">
        <v>569</v>
      </c>
      <c r="F43" s="19">
        <v>-210</v>
      </c>
      <c r="G43" s="19">
        <v>-210</v>
      </c>
      <c r="H43" s="19">
        <v>-210</v>
      </c>
      <c r="I43" s="19">
        <v>-210</v>
      </c>
      <c r="J43" s="19">
        <v>-210</v>
      </c>
      <c r="K43" s="19">
        <v>-210</v>
      </c>
      <c r="L43" s="19">
        <v>-210</v>
      </c>
      <c r="M43" s="19">
        <v>-210</v>
      </c>
      <c r="N43" s="19">
        <v>-210</v>
      </c>
      <c r="O43" s="19">
        <v>-210</v>
      </c>
      <c r="P43" s="19">
        <v>-210</v>
      </c>
      <c r="Q43" s="19">
        <v>-210</v>
      </c>
      <c r="R43" s="20">
        <f t="shared" si="7"/>
        <v>-2520</v>
      </c>
      <c r="V43" s="176"/>
      <c r="W43" s="176"/>
      <c r="X43" s="176"/>
      <c r="Y43" s="176"/>
      <c r="Z43" s="176"/>
      <c r="AA43" s="176"/>
      <c r="AB43" s="176"/>
      <c r="AC43" s="176"/>
      <c r="AD43" s="176"/>
      <c r="AE43" s="176"/>
      <c r="AF43" s="176"/>
      <c r="AG43" s="176"/>
      <c r="AH43" s="20">
        <f t="shared" si="1"/>
        <v>0</v>
      </c>
      <c r="AJ43" s="176"/>
      <c r="AK43" s="176"/>
      <c r="AL43" s="176"/>
      <c r="AM43" s="176"/>
      <c r="AN43" s="176"/>
      <c r="AO43" s="176"/>
      <c r="AP43" s="176"/>
      <c r="AQ43" s="176"/>
      <c r="AR43" s="176"/>
      <c r="AS43" s="176"/>
      <c r="AT43" s="176"/>
      <c r="AU43" s="176"/>
      <c r="AV43" s="20">
        <f t="shared" si="2"/>
        <v>0</v>
      </c>
    </row>
    <row r="44" spans="1:48">
      <c r="A44" s="13" t="s">
        <v>105</v>
      </c>
      <c r="B44" s="13" t="s">
        <v>533</v>
      </c>
      <c r="C44" s="13" t="s">
        <v>143</v>
      </c>
      <c r="D44" s="13" t="s">
        <v>570</v>
      </c>
      <c r="E44" s="13" t="s">
        <v>571</v>
      </c>
      <c r="F44" s="19">
        <v>-213</v>
      </c>
      <c r="G44" s="19">
        <v>-213</v>
      </c>
      <c r="H44" s="19">
        <v>-213</v>
      </c>
      <c r="I44" s="19">
        <v>-213</v>
      </c>
      <c r="J44" s="19">
        <v>-213</v>
      </c>
      <c r="K44" s="19">
        <v>-213</v>
      </c>
      <c r="L44" s="19">
        <v>-213</v>
      </c>
      <c r="M44" s="19">
        <v>-213</v>
      </c>
      <c r="N44" s="19">
        <v>-213</v>
      </c>
      <c r="O44" s="19">
        <v>-213</v>
      </c>
      <c r="P44" s="19">
        <v>-213</v>
      </c>
      <c r="Q44" s="19">
        <v>-213</v>
      </c>
      <c r="R44" s="20">
        <f t="shared" si="7"/>
        <v>-2556</v>
      </c>
      <c r="V44" s="19">
        <v>-213</v>
      </c>
      <c r="W44" s="19">
        <v>-213</v>
      </c>
      <c r="X44" s="19">
        <v>-213</v>
      </c>
      <c r="Y44" s="19">
        <v>-213</v>
      </c>
      <c r="Z44" s="19">
        <v>-213</v>
      </c>
      <c r="AA44" s="19">
        <v>-213</v>
      </c>
      <c r="AB44" s="19">
        <v>-213</v>
      </c>
      <c r="AC44" s="19">
        <v>-213</v>
      </c>
      <c r="AD44" s="19">
        <v>-213</v>
      </c>
      <c r="AE44" s="19">
        <v>-213</v>
      </c>
      <c r="AF44" s="19">
        <v>-213</v>
      </c>
      <c r="AG44" s="19">
        <v>-213</v>
      </c>
      <c r="AH44" s="20">
        <f t="shared" si="1"/>
        <v>-2556</v>
      </c>
      <c r="AJ44" s="19">
        <v>-213</v>
      </c>
      <c r="AK44" s="19">
        <v>-213</v>
      </c>
      <c r="AL44" s="19">
        <v>-213</v>
      </c>
      <c r="AM44" s="19">
        <v>-213</v>
      </c>
      <c r="AN44" s="19">
        <v>-213</v>
      </c>
      <c r="AO44" s="19">
        <v>-213</v>
      </c>
      <c r="AP44" s="19">
        <v>-213</v>
      </c>
      <c r="AQ44" s="19">
        <v>-213</v>
      </c>
      <c r="AR44" s="19">
        <v>-213</v>
      </c>
      <c r="AS44" s="19">
        <v>-213</v>
      </c>
      <c r="AT44" s="19">
        <v>-213</v>
      </c>
      <c r="AU44" s="19">
        <v>-213</v>
      </c>
      <c r="AV44" s="20">
        <f t="shared" si="2"/>
        <v>-2556</v>
      </c>
    </row>
    <row r="45" spans="1:48">
      <c r="A45" s="13" t="s">
        <v>105</v>
      </c>
      <c r="B45" s="13" t="s">
        <v>533</v>
      </c>
      <c r="C45" s="13" t="s">
        <v>143</v>
      </c>
      <c r="D45" s="13" t="s">
        <v>572</v>
      </c>
      <c r="E45" s="13" t="s">
        <v>573</v>
      </c>
      <c r="F45" s="19">
        <v>-2500</v>
      </c>
      <c r="G45" s="19">
        <v>-2500</v>
      </c>
      <c r="H45" s="19">
        <v>-2500</v>
      </c>
      <c r="I45" s="19">
        <v>-2500</v>
      </c>
      <c r="J45" s="19">
        <v>-2500</v>
      </c>
      <c r="K45" s="19">
        <v>-2500</v>
      </c>
      <c r="L45" s="19">
        <v>-2500</v>
      </c>
      <c r="M45" s="19">
        <v>-2500</v>
      </c>
      <c r="N45" s="19">
        <v>-500</v>
      </c>
      <c r="O45" s="19">
        <v>-500</v>
      </c>
      <c r="P45" s="19">
        <v>-500</v>
      </c>
      <c r="Q45" s="19">
        <v>-500</v>
      </c>
      <c r="R45" s="20">
        <f t="shared" si="7"/>
        <v>-22000</v>
      </c>
      <c r="V45" s="19">
        <v>-500</v>
      </c>
      <c r="W45" s="19">
        <v>-500</v>
      </c>
      <c r="X45" s="19">
        <v>-500</v>
      </c>
      <c r="Y45" s="19">
        <v>-500</v>
      </c>
      <c r="Z45" s="19">
        <v>-500</v>
      </c>
      <c r="AA45" s="19">
        <v>-500</v>
      </c>
      <c r="AB45" s="19">
        <v>-500</v>
      </c>
      <c r="AC45" s="19">
        <v>-500</v>
      </c>
      <c r="AD45" s="19">
        <v>-500</v>
      </c>
      <c r="AE45" s="19">
        <v>-500</v>
      </c>
      <c r="AF45" s="19">
        <v>-500</v>
      </c>
      <c r="AG45" s="19">
        <v>-500</v>
      </c>
      <c r="AH45" s="20">
        <f t="shared" si="1"/>
        <v>-6000</v>
      </c>
      <c r="AJ45" s="19">
        <v>-500</v>
      </c>
      <c r="AK45" s="19">
        <v>-500</v>
      </c>
      <c r="AL45" s="19">
        <v>-500</v>
      </c>
      <c r="AM45" s="19">
        <v>-500</v>
      </c>
      <c r="AN45" s="19">
        <v>-500</v>
      </c>
      <c r="AO45" s="19">
        <v>-500</v>
      </c>
      <c r="AP45" s="19">
        <v>-500</v>
      </c>
      <c r="AQ45" s="19">
        <v>-500</v>
      </c>
      <c r="AR45" s="19">
        <v>-500</v>
      </c>
      <c r="AS45" s="19">
        <v>-500</v>
      </c>
      <c r="AT45" s="19">
        <v>-500</v>
      </c>
      <c r="AU45" s="19">
        <v>-500</v>
      </c>
      <c r="AV45" s="20">
        <f t="shared" si="2"/>
        <v>-6000</v>
      </c>
    </row>
    <row r="46" spans="1:48">
      <c r="A46" s="13" t="s">
        <v>105</v>
      </c>
      <c r="B46" s="13" t="s">
        <v>533</v>
      </c>
      <c r="C46" s="13" t="s">
        <v>143</v>
      </c>
      <c r="D46" s="13" t="s">
        <v>574</v>
      </c>
      <c r="E46" s="13" t="s">
        <v>575</v>
      </c>
      <c r="F46" s="19">
        <v>-10</v>
      </c>
      <c r="G46" s="19">
        <v>-10</v>
      </c>
      <c r="H46" s="19">
        <v>-10</v>
      </c>
      <c r="I46" s="19">
        <v>-10</v>
      </c>
      <c r="J46" s="19">
        <v>-10</v>
      </c>
      <c r="K46" s="19">
        <v>-10</v>
      </c>
      <c r="L46" s="19">
        <v>-10</v>
      </c>
      <c r="M46" s="19">
        <v>-10</v>
      </c>
      <c r="N46" s="19">
        <v>-10</v>
      </c>
      <c r="O46" s="19">
        <v>-10</v>
      </c>
      <c r="P46" s="19">
        <v>-10</v>
      </c>
      <c r="Q46" s="19">
        <v>-10</v>
      </c>
      <c r="R46" s="20">
        <f t="shared" si="7"/>
        <v>-120</v>
      </c>
      <c r="V46" s="176"/>
      <c r="W46" s="176"/>
      <c r="X46" s="176"/>
      <c r="Y46" s="176"/>
      <c r="Z46" s="176"/>
      <c r="AA46" s="176"/>
      <c r="AB46" s="176"/>
      <c r="AC46" s="176"/>
      <c r="AD46" s="176"/>
      <c r="AE46" s="176"/>
      <c r="AF46" s="176"/>
      <c r="AG46" s="176"/>
      <c r="AH46" s="20">
        <f t="shared" si="1"/>
        <v>0</v>
      </c>
      <c r="AJ46" s="176"/>
      <c r="AK46" s="176"/>
      <c r="AL46" s="176"/>
      <c r="AM46" s="176"/>
      <c r="AN46" s="176"/>
      <c r="AO46" s="176"/>
      <c r="AP46" s="176"/>
      <c r="AQ46" s="176"/>
      <c r="AR46" s="176"/>
      <c r="AS46" s="176"/>
      <c r="AT46" s="176"/>
      <c r="AU46" s="176"/>
      <c r="AV46" s="20">
        <f t="shared" si="2"/>
        <v>0</v>
      </c>
    </row>
    <row r="47" spans="1:48">
      <c r="A47" s="13" t="s">
        <v>105</v>
      </c>
      <c r="B47" s="13" t="s">
        <v>542</v>
      </c>
      <c r="C47" s="13" t="s">
        <v>542</v>
      </c>
      <c r="D47" s="13" t="s">
        <v>574</v>
      </c>
      <c r="E47" s="13" t="s">
        <v>576</v>
      </c>
      <c r="F47" s="19">
        <f>-6500/12</f>
        <v>-541.66666666666663</v>
      </c>
      <c r="G47" s="19">
        <f t="shared" ref="G47:Q47" si="47">F47</f>
        <v>-541.66666666666663</v>
      </c>
      <c r="H47" s="19">
        <f t="shared" si="47"/>
        <v>-541.66666666666663</v>
      </c>
      <c r="I47" s="19">
        <f t="shared" si="47"/>
        <v>-541.66666666666663</v>
      </c>
      <c r="J47" s="19">
        <f t="shared" si="47"/>
        <v>-541.66666666666663</v>
      </c>
      <c r="K47" s="19">
        <f t="shared" si="47"/>
        <v>-541.66666666666663</v>
      </c>
      <c r="L47" s="19">
        <f t="shared" si="47"/>
        <v>-541.66666666666663</v>
      </c>
      <c r="M47" s="19">
        <f t="shared" si="47"/>
        <v>-541.66666666666663</v>
      </c>
      <c r="N47" s="19">
        <f t="shared" si="47"/>
        <v>-541.66666666666663</v>
      </c>
      <c r="O47" s="19">
        <f t="shared" si="47"/>
        <v>-541.66666666666663</v>
      </c>
      <c r="P47" s="19">
        <f t="shared" si="47"/>
        <v>-541.66666666666663</v>
      </c>
      <c r="Q47" s="19">
        <f t="shared" si="47"/>
        <v>-541.66666666666663</v>
      </c>
      <c r="R47" s="20">
        <f t="shared" si="7"/>
        <v>-6500.0000000000009</v>
      </c>
      <c r="V47" s="19">
        <v>-541.66666666666663</v>
      </c>
      <c r="W47" s="19">
        <v>-541.66666666666663</v>
      </c>
      <c r="X47" s="19">
        <v>-541.66666666666663</v>
      </c>
      <c r="Y47" s="19">
        <v>-541.66666666666663</v>
      </c>
      <c r="Z47" s="19">
        <v>-541.66666666666663</v>
      </c>
      <c r="AA47" s="19">
        <v>-541.66666666666663</v>
      </c>
      <c r="AB47" s="19">
        <v>-541.66666666666663</v>
      </c>
      <c r="AC47" s="19">
        <v>-541.66666666666663</v>
      </c>
      <c r="AD47" s="19">
        <v>-541.66666666666663</v>
      </c>
      <c r="AE47" s="19">
        <v>-541.66666666666663</v>
      </c>
      <c r="AF47" s="19">
        <v>-541.66666666666663</v>
      </c>
      <c r="AG47" s="19">
        <v>-541.66666666666663</v>
      </c>
      <c r="AH47" s="20">
        <f t="shared" si="1"/>
        <v>-6500.0000000000009</v>
      </c>
      <c r="AJ47" s="19">
        <v>-541.66666666666663</v>
      </c>
      <c r="AK47" s="19">
        <v>-541.66666666666663</v>
      </c>
      <c r="AL47" s="19">
        <v>-541.66666666666663</v>
      </c>
      <c r="AM47" s="19">
        <v>-541.66666666666663</v>
      </c>
      <c r="AN47" s="19">
        <v>-541.66666666666663</v>
      </c>
      <c r="AO47" s="19">
        <v>-541.66666666666663</v>
      </c>
      <c r="AP47" s="19">
        <v>-541.66666666666663</v>
      </c>
      <c r="AQ47" s="19">
        <v>-541.66666666666663</v>
      </c>
      <c r="AR47" s="19">
        <v>-541.66666666666663</v>
      </c>
      <c r="AS47" s="19">
        <v>-541.66666666666663</v>
      </c>
      <c r="AT47" s="19">
        <v>-541.66666666666663</v>
      </c>
      <c r="AU47" s="19">
        <v>-541.66666666666663</v>
      </c>
      <c r="AV47" s="20">
        <f t="shared" si="2"/>
        <v>-6500.0000000000009</v>
      </c>
    </row>
    <row r="48" spans="1:48">
      <c r="A48" s="13" t="s">
        <v>105</v>
      </c>
      <c r="B48" s="13" t="s">
        <v>542</v>
      </c>
      <c r="C48" s="13" t="s">
        <v>542</v>
      </c>
      <c r="D48" s="13" t="s">
        <v>574</v>
      </c>
      <c r="E48" s="13" t="s">
        <v>577</v>
      </c>
      <c r="F48" s="19">
        <v>-2250</v>
      </c>
      <c r="G48" s="19">
        <v>-2250</v>
      </c>
      <c r="H48" s="19">
        <v>-2250</v>
      </c>
      <c r="I48" s="19">
        <v>-2250</v>
      </c>
      <c r="J48" s="19">
        <v>-2250</v>
      </c>
      <c r="K48" s="19">
        <v>-2250</v>
      </c>
      <c r="L48" s="19">
        <v>-2250</v>
      </c>
      <c r="M48" s="19">
        <v>-2250</v>
      </c>
      <c r="N48" s="19">
        <v>-2250</v>
      </c>
      <c r="O48" s="19">
        <v>-2250</v>
      </c>
      <c r="P48" s="19">
        <v>-2250</v>
      </c>
      <c r="Q48" s="19">
        <v>-2250</v>
      </c>
      <c r="R48" s="20">
        <f t="shared" si="7"/>
        <v>-27000</v>
      </c>
      <c r="V48" s="19">
        <v>-2250</v>
      </c>
      <c r="W48" s="19">
        <v>-2250</v>
      </c>
      <c r="X48" s="19">
        <v>-2250</v>
      </c>
      <c r="Y48" s="19">
        <v>-2250</v>
      </c>
      <c r="Z48" s="19">
        <v>-2250</v>
      </c>
      <c r="AA48" s="19">
        <v>-2250</v>
      </c>
      <c r="AB48" s="19">
        <v>-2250</v>
      </c>
      <c r="AC48" s="19">
        <v>-2250</v>
      </c>
      <c r="AD48" s="19">
        <v>-2250</v>
      </c>
      <c r="AE48" s="19">
        <v>-2250</v>
      </c>
      <c r="AF48" s="19">
        <v>-2250</v>
      </c>
      <c r="AG48" s="19">
        <v>-2250</v>
      </c>
      <c r="AH48" s="20">
        <f t="shared" si="1"/>
        <v>-27000</v>
      </c>
      <c r="AJ48" s="19">
        <v>-2250</v>
      </c>
      <c r="AK48" s="19">
        <v>-2250</v>
      </c>
      <c r="AL48" s="19">
        <v>-2250</v>
      </c>
      <c r="AM48" s="19">
        <v>-2250</v>
      </c>
      <c r="AN48" s="19">
        <v>-2250</v>
      </c>
      <c r="AO48" s="19">
        <v>-2250</v>
      </c>
      <c r="AP48" s="19">
        <v>-2250</v>
      </c>
      <c r="AQ48" s="19">
        <v>-2250</v>
      </c>
      <c r="AR48" s="19">
        <v>-2250</v>
      </c>
      <c r="AS48" s="19">
        <v>-2250</v>
      </c>
      <c r="AT48" s="19">
        <v>-2250</v>
      </c>
      <c r="AU48" s="19">
        <v>-2250</v>
      </c>
      <c r="AV48" s="20">
        <f t="shared" si="2"/>
        <v>-27000</v>
      </c>
    </row>
    <row r="49" spans="1:48">
      <c r="A49" s="13" t="s">
        <v>105</v>
      </c>
      <c r="B49" s="13" t="s">
        <v>542</v>
      </c>
      <c r="C49" s="13" t="s">
        <v>542</v>
      </c>
      <c r="D49" s="13" t="s">
        <v>574</v>
      </c>
      <c r="E49" s="13" t="s">
        <v>578</v>
      </c>
      <c r="F49" s="19">
        <f t="shared" ref="F49:Q49" si="48">-7500/12</f>
        <v>-625</v>
      </c>
      <c r="G49" s="19">
        <f t="shared" si="48"/>
        <v>-625</v>
      </c>
      <c r="H49" s="19">
        <f t="shared" si="48"/>
        <v>-625</v>
      </c>
      <c r="I49" s="19">
        <f t="shared" si="48"/>
        <v>-625</v>
      </c>
      <c r="J49" s="19">
        <f t="shared" si="48"/>
        <v>-625</v>
      </c>
      <c r="K49" s="19">
        <f t="shared" si="48"/>
        <v>-625</v>
      </c>
      <c r="L49" s="19">
        <f t="shared" si="48"/>
        <v>-625</v>
      </c>
      <c r="M49" s="19">
        <f t="shared" si="48"/>
        <v>-625</v>
      </c>
      <c r="N49" s="19">
        <f t="shared" si="48"/>
        <v>-625</v>
      </c>
      <c r="O49" s="19">
        <f t="shared" si="48"/>
        <v>-625</v>
      </c>
      <c r="P49" s="19">
        <f t="shared" si="48"/>
        <v>-625</v>
      </c>
      <c r="Q49" s="19">
        <f t="shared" si="48"/>
        <v>-625</v>
      </c>
      <c r="R49" s="20">
        <f t="shared" si="7"/>
        <v>-7500</v>
      </c>
      <c r="V49" s="19">
        <f>-7500/12</f>
        <v>-625</v>
      </c>
      <c r="W49" s="19">
        <f t="shared" ref="W49:AG49" si="49">-7500/12</f>
        <v>-625</v>
      </c>
      <c r="X49" s="19">
        <f t="shared" si="49"/>
        <v>-625</v>
      </c>
      <c r="Y49" s="19">
        <f t="shared" si="49"/>
        <v>-625</v>
      </c>
      <c r="Z49" s="19">
        <f t="shared" si="49"/>
        <v>-625</v>
      </c>
      <c r="AA49" s="19">
        <f t="shared" si="49"/>
        <v>-625</v>
      </c>
      <c r="AB49" s="19">
        <f t="shared" si="49"/>
        <v>-625</v>
      </c>
      <c r="AC49" s="19">
        <f t="shared" si="49"/>
        <v>-625</v>
      </c>
      <c r="AD49" s="19">
        <f t="shared" si="49"/>
        <v>-625</v>
      </c>
      <c r="AE49" s="19">
        <f t="shared" si="49"/>
        <v>-625</v>
      </c>
      <c r="AF49" s="19">
        <f t="shared" si="49"/>
        <v>-625</v>
      </c>
      <c r="AG49" s="19">
        <f t="shared" si="49"/>
        <v>-625</v>
      </c>
      <c r="AH49" s="20">
        <f t="shared" si="1"/>
        <v>-7500</v>
      </c>
      <c r="AJ49" s="19">
        <f>-7500/12</f>
        <v>-625</v>
      </c>
      <c r="AK49" s="19">
        <f t="shared" ref="AK49:AU49" si="50">-7500/12</f>
        <v>-625</v>
      </c>
      <c r="AL49" s="19">
        <f t="shared" si="50"/>
        <v>-625</v>
      </c>
      <c r="AM49" s="19">
        <f t="shared" si="50"/>
        <v>-625</v>
      </c>
      <c r="AN49" s="19">
        <f t="shared" si="50"/>
        <v>-625</v>
      </c>
      <c r="AO49" s="19">
        <f t="shared" si="50"/>
        <v>-625</v>
      </c>
      <c r="AP49" s="19">
        <f t="shared" si="50"/>
        <v>-625</v>
      </c>
      <c r="AQ49" s="19">
        <f t="shared" si="50"/>
        <v>-625</v>
      </c>
      <c r="AR49" s="19">
        <f t="shared" si="50"/>
        <v>-625</v>
      </c>
      <c r="AS49" s="19">
        <f t="shared" si="50"/>
        <v>-625</v>
      </c>
      <c r="AT49" s="19">
        <f t="shared" si="50"/>
        <v>-625</v>
      </c>
      <c r="AU49" s="19">
        <f t="shared" si="50"/>
        <v>-625</v>
      </c>
      <c r="AV49" s="20">
        <f t="shared" si="2"/>
        <v>-7500</v>
      </c>
    </row>
    <row r="50" spans="1:48">
      <c r="A50" s="13" t="s">
        <v>105</v>
      </c>
      <c r="B50" s="13" t="s">
        <v>121</v>
      </c>
      <c r="C50" s="13" t="s">
        <v>143</v>
      </c>
      <c r="D50" s="13" t="s">
        <v>579</v>
      </c>
      <c r="E50" s="13" t="s">
        <v>580</v>
      </c>
      <c r="I50" s="19"/>
      <c r="J50" s="19">
        <v>-225</v>
      </c>
      <c r="K50" s="19">
        <v>-225</v>
      </c>
      <c r="L50" s="19">
        <v>-225</v>
      </c>
      <c r="M50" s="19">
        <v>-225</v>
      </c>
      <c r="N50" s="19">
        <v>-225</v>
      </c>
      <c r="O50" s="19">
        <v>-225</v>
      </c>
      <c r="P50" s="19">
        <v>-225</v>
      </c>
      <c r="Q50" s="19">
        <v>-225</v>
      </c>
      <c r="R50" s="20">
        <f t="shared" si="7"/>
        <v>-1800</v>
      </c>
      <c r="V50" s="19">
        <v>-225</v>
      </c>
      <c r="W50" s="19">
        <v>-225</v>
      </c>
      <c r="X50" s="19">
        <v>-225</v>
      </c>
      <c r="Y50" s="19">
        <v>-225</v>
      </c>
      <c r="Z50" s="19">
        <v>-225</v>
      </c>
      <c r="AA50" s="19">
        <v>-225</v>
      </c>
      <c r="AB50" s="19">
        <v>-225</v>
      </c>
      <c r="AC50" s="19">
        <v>-225</v>
      </c>
      <c r="AD50" s="19">
        <v>-225</v>
      </c>
      <c r="AE50" s="19">
        <v>-225</v>
      </c>
      <c r="AF50" s="19">
        <v>-225</v>
      </c>
      <c r="AG50" s="19">
        <v>-225</v>
      </c>
      <c r="AH50" s="20">
        <f t="shared" si="1"/>
        <v>-2700</v>
      </c>
      <c r="AJ50" s="19">
        <v>-225</v>
      </c>
      <c r="AK50" s="19">
        <v>-225</v>
      </c>
      <c r="AL50" s="19">
        <v>-225</v>
      </c>
      <c r="AM50" s="19">
        <v>-225</v>
      </c>
      <c r="AN50" s="19">
        <v>-225</v>
      </c>
      <c r="AO50" s="19">
        <v>-225</v>
      </c>
      <c r="AP50" s="19">
        <v>-225</v>
      </c>
      <c r="AQ50" s="19">
        <v>-225</v>
      </c>
      <c r="AR50" s="19">
        <v>-225</v>
      </c>
      <c r="AS50" s="19">
        <v>-225</v>
      </c>
      <c r="AT50" s="19">
        <v>-225</v>
      </c>
      <c r="AU50" s="19">
        <v>-225</v>
      </c>
      <c r="AV50" s="20">
        <f t="shared" si="2"/>
        <v>-2700</v>
      </c>
    </row>
    <row r="51" spans="1:48">
      <c r="A51" s="13" t="s">
        <v>105</v>
      </c>
      <c r="B51" s="13" t="s">
        <v>394</v>
      </c>
      <c r="C51" s="13" t="s">
        <v>147</v>
      </c>
      <c r="D51" s="13" t="s">
        <v>555</v>
      </c>
      <c r="E51" s="13" t="s">
        <v>581</v>
      </c>
      <c r="F51" s="19">
        <v>-550</v>
      </c>
      <c r="G51" s="19">
        <v>-550</v>
      </c>
      <c r="H51" s="19">
        <v>-550</v>
      </c>
      <c r="I51" s="19">
        <v>-550</v>
      </c>
      <c r="J51" s="19"/>
      <c r="K51" s="19"/>
      <c r="L51" s="19"/>
      <c r="M51" s="19"/>
      <c r="N51" s="19"/>
      <c r="O51" s="19"/>
      <c r="P51" s="19"/>
      <c r="Q51" s="19"/>
      <c r="R51" s="20">
        <f t="shared" si="7"/>
        <v>-2200</v>
      </c>
      <c r="T51" s="13" t="s">
        <v>582</v>
      </c>
      <c r="V51" s="176"/>
      <c r="W51" s="176"/>
      <c r="X51" s="176"/>
      <c r="Y51" s="176"/>
      <c r="Z51" s="176"/>
      <c r="AA51" s="176"/>
      <c r="AB51" s="176"/>
      <c r="AC51" s="176"/>
      <c r="AD51" s="176"/>
      <c r="AE51" s="176"/>
      <c r="AF51" s="176"/>
      <c r="AG51" s="176"/>
      <c r="AH51" s="20">
        <f t="shared" si="1"/>
        <v>0</v>
      </c>
      <c r="AJ51" s="176"/>
      <c r="AK51" s="176"/>
      <c r="AL51" s="176"/>
      <c r="AM51" s="176"/>
      <c r="AN51" s="176"/>
      <c r="AO51" s="176"/>
      <c r="AP51" s="176"/>
      <c r="AQ51" s="176"/>
      <c r="AR51" s="176"/>
      <c r="AS51" s="176"/>
      <c r="AT51" s="176"/>
      <c r="AU51" s="176"/>
      <c r="AV51" s="20">
        <f t="shared" si="2"/>
        <v>0</v>
      </c>
    </row>
    <row r="52" spans="1:48">
      <c r="A52" s="13" t="s">
        <v>105</v>
      </c>
      <c r="B52" s="13" t="s">
        <v>394</v>
      </c>
      <c r="C52" s="13" t="s">
        <v>147</v>
      </c>
      <c r="D52" s="13" t="s">
        <v>555</v>
      </c>
      <c r="E52" s="13" t="s">
        <v>583</v>
      </c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20">
        <f t="shared" si="7"/>
        <v>0</v>
      </c>
      <c r="T52" s="13" t="s">
        <v>584</v>
      </c>
      <c r="V52" s="176"/>
      <c r="W52" s="176"/>
      <c r="X52" s="176"/>
      <c r="Y52" s="176"/>
      <c r="Z52" s="176"/>
      <c r="AA52" s="176"/>
      <c r="AB52" s="176"/>
      <c r="AC52" s="176"/>
      <c r="AD52" s="176"/>
      <c r="AE52" s="176"/>
      <c r="AF52" s="176"/>
      <c r="AG52" s="176"/>
      <c r="AH52" s="20">
        <f t="shared" si="1"/>
        <v>0</v>
      </c>
      <c r="AJ52" s="176"/>
      <c r="AK52" s="176"/>
      <c r="AL52" s="176"/>
      <c r="AM52" s="176"/>
      <c r="AN52" s="176"/>
      <c r="AO52" s="176"/>
      <c r="AP52" s="176"/>
      <c r="AQ52" s="176"/>
      <c r="AR52" s="176"/>
      <c r="AS52" s="176"/>
      <c r="AT52" s="176"/>
      <c r="AU52" s="176"/>
      <c r="AV52" s="20">
        <f t="shared" si="2"/>
        <v>0</v>
      </c>
    </row>
    <row r="53" spans="1:48">
      <c r="A53" s="13" t="s">
        <v>105</v>
      </c>
      <c r="B53" s="13" t="s">
        <v>394</v>
      </c>
      <c r="C53" s="13" t="s">
        <v>147</v>
      </c>
      <c r="D53" s="13" t="s">
        <v>555</v>
      </c>
      <c r="E53" s="13" t="s">
        <v>585</v>
      </c>
      <c r="F53" s="19">
        <v>-515</v>
      </c>
      <c r="G53" s="19">
        <v>-515</v>
      </c>
      <c r="H53" s="19">
        <v>-515</v>
      </c>
      <c r="I53" s="19"/>
      <c r="J53" s="19"/>
      <c r="K53" s="19"/>
      <c r="L53" s="19"/>
      <c r="M53" s="19"/>
      <c r="N53" s="19"/>
      <c r="O53" s="19"/>
      <c r="P53" s="19"/>
      <c r="Q53" s="19"/>
      <c r="R53" s="20">
        <f t="shared" si="7"/>
        <v>-1545</v>
      </c>
      <c r="T53" s="13" t="s">
        <v>586</v>
      </c>
      <c r="V53" s="176"/>
      <c r="W53" s="176"/>
      <c r="X53" s="176"/>
      <c r="Y53" s="176"/>
      <c r="Z53" s="176"/>
      <c r="AA53" s="176"/>
      <c r="AB53" s="176"/>
      <c r="AC53" s="176"/>
      <c r="AD53" s="176"/>
      <c r="AE53" s="176"/>
      <c r="AF53" s="176"/>
      <c r="AG53" s="176"/>
      <c r="AH53" s="20">
        <f t="shared" si="1"/>
        <v>0</v>
      </c>
      <c r="AJ53" s="176"/>
      <c r="AK53" s="176"/>
      <c r="AL53" s="176"/>
      <c r="AM53" s="176"/>
      <c r="AN53" s="176"/>
      <c r="AO53" s="176"/>
      <c r="AP53" s="176"/>
      <c r="AQ53" s="176"/>
      <c r="AR53" s="176"/>
      <c r="AS53" s="176"/>
      <c r="AT53" s="176"/>
      <c r="AU53" s="176"/>
      <c r="AV53" s="20">
        <f t="shared" si="2"/>
        <v>0</v>
      </c>
    </row>
    <row r="54" spans="1:48">
      <c r="A54" s="13" t="s">
        <v>105</v>
      </c>
      <c r="B54" s="13" t="s">
        <v>394</v>
      </c>
      <c r="C54" s="13" t="s">
        <v>147</v>
      </c>
      <c r="D54" s="13" t="s">
        <v>555</v>
      </c>
      <c r="E54" s="13" t="s">
        <v>587</v>
      </c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20">
        <f t="shared" si="7"/>
        <v>0</v>
      </c>
      <c r="T54" s="13" t="s">
        <v>584</v>
      </c>
      <c r="V54" s="176"/>
      <c r="W54" s="176"/>
      <c r="X54" s="176"/>
      <c r="Y54" s="176"/>
      <c r="Z54" s="176"/>
      <c r="AA54" s="176"/>
      <c r="AB54" s="176"/>
      <c r="AC54" s="176"/>
      <c r="AD54" s="176"/>
      <c r="AE54" s="176"/>
      <c r="AF54" s="176"/>
      <c r="AG54" s="176"/>
      <c r="AH54" s="20">
        <f t="shared" si="1"/>
        <v>0</v>
      </c>
      <c r="AJ54" s="176"/>
      <c r="AK54" s="176"/>
      <c r="AL54" s="176"/>
      <c r="AM54" s="176"/>
      <c r="AN54" s="176"/>
      <c r="AO54" s="176"/>
      <c r="AP54" s="176"/>
      <c r="AQ54" s="176"/>
      <c r="AR54" s="176"/>
      <c r="AS54" s="176"/>
      <c r="AT54" s="176"/>
      <c r="AU54" s="176"/>
      <c r="AV54" s="20">
        <f t="shared" si="2"/>
        <v>0</v>
      </c>
    </row>
    <row r="55" spans="1:48">
      <c r="A55" s="13" t="s">
        <v>105</v>
      </c>
      <c r="B55" s="13" t="s">
        <v>394</v>
      </c>
      <c r="C55" s="13" t="s">
        <v>147</v>
      </c>
      <c r="D55" s="13" t="s">
        <v>555</v>
      </c>
      <c r="E55" s="13" t="s">
        <v>588</v>
      </c>
      <c r="F55" s="19">
        <v>-596</v>
      </c>
      <c r="G55" s="19">
        <v>-596</v>
      </c>
      <c r="H55" s="19">
        <v>-596</v>
      </c>
      <c r="I55" s="19">
        <v>-474</v>
      </c>
      <c r="J55" s="19">
        <v>-474</v>
      </c>
      <c r="K55" s="19">
        <v>-474</v>
      </c>
      <c r="L55" s="19">
        <v>-474</v>
      </c>
      <c r="M55" s="19">
        <v>-474</v>
      </c>
      <c r="N55" s="19">
        <v>-474</v>
      </c>
      <c r="O55" s="19">
        <v>-474</v>
      </c>
      <c r="P55" s="19">
        <v>-474</v>
      </c>
      <c r="Q55" s="19">
        <v>-474</v>
      </c>
      <c r="R55" s="20">
        <f t="shared" si="7"/>
        <v>-6054</v>
      </c>
      <c r="T55" s="13" t="s">
        <v>589</v>
      </c>
      <c r="V55" s="176"/>
      <c r="W55" s="176"/>
      <c r="X55" s="176"/>
      <c r="Y55" s="176"/>
      <c r="Z55" s="176"/>
      <c r="AA55" s="176"/>
      <c r="AB55" s="176"/>
      <c r="AC55" s="176"/>
      <c r="AD55" s="176"/>
      <c r="AE55" s="176"/>
      <c r="AF55" s="176"/>
      <c r="AG55" s="176"/>
      <c r="AH55" s="20">
        <f t="shared" si="1"/>
        <v>0</v>
      </c>
      <c r="AJ55" s="176"/>
      <c r="AK55" s="176"/>
      <c r="AL55" s="176"/>
      <c r="AM55" s="176"/>
      <c r="AN55" s="176"/>
      <c r="AO55" s="176"/>
      <c r="AP55" s="176"/>
      <c r="AQ55" s="176"/>
      <c r="AR55" s="176"/>
      <c r="AS55" s="176"/>
      <c r="AT55" s="176"/>
      <c r="AU55" s="176"/>
      <c r="AV55" s="20">
        <f t="shared" si="2"/>
        <v>0</v>
      </c>
    </row>
    <row r="56" spans="1:48">
      <c r="A56" s="13" t="s">
        <v>105</v>
      </c>
      <c r="B56" s="13" t="s">
        <v>394</v>
      </c>
      <c r="C56" s="13" t="s">
        <v>147</v>
      </c>
      <c r="D56" s="13" t="s">
        <v>555</v>
      </c>
      <c r="E56" s="13" t="s">
        <v>590</v>
      </c>
      <c r="F56" s="19">
        <v>-5000</v>
      </c>
      <c r="G56" s="19">
        <v>-5000</v>
      </c>
      <c r="H56" s="19">
        <v>-5000</v>
      </c>
      <c r="I56" s="19">
        <v>-5000</v>
      </c>
      <c r="J56" s="19">
        <v>-5000</v>
      </c>
      <c r="K56" s="19">
        <v>-5000</v>
      </c>
      <c r="L56" s="19">
        <v>-5000</v>
      </c>
      <c r="M56" s="19">
        <v>-5000</v>
      </c>
      <c r="N56" s="19">
        <v>-5000</v>
      </c>
      <c r="O56" s="19">
        <v>-5000</v>
      </c>
      <c r="P56" s="19">
        <v>-5000</v>
      </c>
      <c r="Q56" s="19">
        <v>-5000</v>
      </c>
      <c r="R56" s="20">
        <f t="shared" si="7"/>
        <v>-60000</v>
      </c>
      <c r="T56" s="13" t="s">
        <v>591</v>
      </c>
      <c r="V56" s="176"/>
      <c r="W56" s="176"/>
      <c r="X56" s="176"/>
      <c r="Y56" s="176"/>
      <c r="Z56" s="176"/>
      <c r="AA56" s="176"/>
      <c r="AB56" s="176"/>
      <c r="AC56" s="176"/>
      <c r="AD56" s="176"/>
      <c r="AE56" s="176"/>
      <c r="AF56" s="176"/>
      <c r="AG56" s="176"/>
      <c r="AH56" s="20">
        <f t="shared" si="1"/>
        <v>0</v>
      </c>
      <c r="AJ56" s="176"/>
      <c r="AK56" s="176"/>
      <c r="AL56" s="176"/>
      <c r="AM56" s="176"/>
      <c r="AN56" s="176"/>
      <c r="AO56" s="176"/>
      <c r="AP56" s="176"/>
      <c r="AQ56" s="176"/>
      <c r="AR56" s="176"/>
      <c r="AS56" s="176"/>
      <c r="AT56" s="176"/>
      <c r="AU56" s="176"/>
      <c r="AV56" s="20">
        <f t="shared" si="2"/>
        <v>0</v>
      </c>
    </row>
    <row r="57" spans="1:48">
      <c r="A57" s="13" t="s">
        <v>105</v>
      </c>
      <c r="B57" s="13" t="s">
        <v>394</v>
      </c>
      <c r="C57" s="13" t="s">
        <v>147</v>
      </c>
      <c r="D57" s="13" t="s">
        <v>555</v>
      </c>
      <c r="E57" s="13" t="s">
        <v>592</v>
      </c>
      <c r="F57" s="19">
        <v>-1500</v>
      </c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20">
        <f t="shared" si="7"/>
        <v>-1500</v>
      </c>
      <c r="T57" s="13" t="s">
        <v>584</v>
      </c>
      <c r="V57" s="176"/>
      <c r="W57" s="176"/>
      <c r="X57" s="176"/>
      <c r="Y57" s="176"/>
      <c r="Z57" s="176"/>
      <c r="AA57" s="176"/>
      <c r="AB57" s="176"/>
      <c r="AC57" s="176"/>
      <c r="AD57" s="176"/>
      <c r="AE57" s="176"/>
      <c r="AF57" s="176"/>
      <c r="AG57" s="176"/>
      <c r="AH57" s="20">
        <f t="shared" si="1"/>
        <v>0</v>
      </c>
      <c r="AJ57" s="176"/>
      <c r="AK57" s="176"/>
      <c r="AL57" s="176"/>
      <c r="AM57" s="176"/>
      <c r="AN57" s="176"/>
      <c r="AO57" s="176"/>
      <c r="AP57" s="176"/>
      <c r="AQ57" s="176"/>
      <c r="AR57" s="176"/>
      <c r="AS57" s="176"/>
      <c r="AT57" s="176"/>
      <c r="AU57" s="176"/>
      <c r="AV57" s="20">
        <f t="shared" si="2"/>
        <v>0</v>
      </c>
    </row>
    <row r="58" spans="1:48">
      <c r="A58" s="13" t="s">
        <v>105</v>
      </c>
      <c r="B58" s="13" t="s">
        <v>394</v>
      </c>
      <c r="C58" s="13" t="s">
        <v>147</v>
      </c>
      <c r="D58" s="13" t="s">
        <v>555</v>
      </c>
      <c r="E58" s="13" t="s">
        <v>593</v>
      </c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20">
        <f t="shared" si="7"/>
        <v>0</v>
      </c>
      <c r="T58" s="13" t="s">
        <v>584</v>
      </c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20">
        <f t="shared" si="1"/>
        <v>0</v>
      </c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20">
        <f t="shared" si="2"/>
        <v>0</v>
      </c>
    </row>
    <row r="59" spans="1:48">
      <c r="A59" s="13" t="s">
        <v>105</v>
      </c>
      <c r="B59" s="13" t="s">
        <v>394</v>
      </c>
      <c r="C59" s="13" t="s">
        <v>147</v>
      </c>
      <c r="D59" s="13" t="s">
        <v>555</v>
      </c>
      <c r="E59" s="13" t="s">
        <v>594</v>
      </c>
      <c r="F59" s="19">
        <v>-5</v>
      </c>
      <c r="G59" s="19">
        <v>-5</v>
      </c>
      <c r="H59" s="19">
        <v>-5</v>
      </c>
      <c r="I59" s="19">
        <v>-5</v>
      </c>
      <c r="J59" s="19">
        <v>-5</v>
      </c>
      <c r="K59" s="19">
        <v>-5</v>
      </c>
      <c r="L59" s="19">
        <v>-5</v>
      </c>
      <c r="M59" s="19">
        <v>-5</v>
      </c>
      <c r="N59" s="19">
        <v>-5</v>
      </c>
      <c r="O59" s="19">
        <v>-5</v>
      </c>
      <c r="P59" s="19">
        <v>-5</v>
      </c>
      <c r="Q59" s="19">
        <v>-5</v>
      </c>
      <c r="R59" s="20">
        <f t="shared" si="7"/>
        <v>-60</v>
      </c>
      <c r="T59" s="13" t="s">
        <v>595</v>
      </c>
      <c r="V59" s="19">
        <v>-5</v>
      </c>
      <c r="W59" s="19">
        <v>-5</v>
      </c>
      <c r="X59" s="19">
        <v>-5</v>
      </c>
      <c r="Y59" s="19">
        <v>-5</v>
      </c>
      <c r="Z59" s="19">
        <v>-5</v>
      </c>
      <c r="AA59" s="19">
        <v>-5</v>
      </c>
      <c r="AB59" s="19">
        <v>-5</v>
      </c>
      <c r="AC59" s="19">
        <v>-5</v>
      </c>
      <c r="AD59" s="19">
        <v>-5</v>
      </c>
      <c r="AE59" s="19">
        <v>-5</v>
      </c>
      <c r="AF59" s="19">
        <v>-5</v>
      </c>
      <c r="AG59" s="19">
        <v>-5</v>
      </c>
      <c r="AH59" s="20">
        <f t="shared" si="1"/>
        <v>-60</v>
      </c>
      <c r="AJ59" s="19">
        <v>-5</v>
      </c>
      <c r="AK59" s="19">
        <v>-5</v>
      </c>
      <c r="AL59" s="19">
        <v>-5</v>
      </c>
      <c r="AM59" s="19">
        <v>-5</v>
      </c>
      <c r="AN59" s="19">
        <v>-5</v>
      </c>
      <c r="AO59" s="19">
        <v>-5</v>
      </c>
      <c r="AP59" s="19">
        <v>-5</v>
      </c>
      <c r="AQ59" s="19">
        <v>-5</v>
      </c>
      <c r="AR59" s="19">
        <v>-5</v>
      </c>
      <c r="AS59" s="19">
        <v>-5</v>
      </c>
      <c r="AT59" s="19">
        <v>-5</v>
      </c>
      <c r="AU59" s="19">
        <v>-5</v>
      </c>
      <c r="AV59" s="20">
        <f t="shared" si="2"/>
        <v>-60</v>
      </c>
    </row>
    <row r="60" spans="1:48">
      <c r="A60" s="13" t="s">
        <v>105</v>
      </c>
      <c r="B60" s="13" t="s">
        <v>394</v>
      </c>
      <c r="C60" s="13" t="s">
        <v>147</v>
      </c>
      <c r="D60" s="13" t="s">
        <v>596</v>
      </c>
      <c r="E60" s="13" t="s">
        <v>597</v>
      </c>
      <c r="F60" s="19">
        <v>-4000</v>
      </c>
      <c r="G60" s="19">
        <v>-4000</v>
      </c>
      <c r="H60" s="19">
        <v>-4000</v>
      </c>
      <c r="I60" s="19">
        <v>-4000</v>
      </c>
      <c r="J60" s="19">
        <v>-4000</v>
      </c>
      <c r="K60" s="19">
        <v>-4000</v>
      </c>
      <c r="L60" s="19">
        <v>-4000</v>
      </c>
      <c r="M60" s="19">
        <v>-4000</v>
      </c>
      <c r="N60" s="19">
        <v>-4000</v>
      </c>
      <c r="O60" s="19">
        <v>-4000</v>
      </c>
      <c r="P60" s="19"/>
      <c r="Q60" s="19"/>
      <c r="R60" s="20">
        <f t="shared" si="7"/>
        <v>-40000</v>
      </c>
      <c r="T60" s="13" t="s">
        <v>598</v>
      </c>
      <c r="V60" s="176"/>
      <c r="W60" s="176"/>
      <c r="X60" s="176"/>
      <c r="Y60" s="176"/>
      <c r="Z60" s="176"/>
      <c r="AA60" s="176"/>
      <c r="AB60" s="176"/>
      <c r="AC60" s="176"/>
      <c r="AD60" s="176"/>
      <c r="AE60" s="176"/>
      <c r="AF60" s="176"/>
      <c r="AG60" s="176"/>
      <c r="AH60" s="20">
        <f t="shared" si="1"/>
        <v>0</v>
      </c>
      <c r="AJ60" s="176"/>
      <c r="AK60" s="176"/>
      <c r="AL60" s="176"/>
      <c r="AM60" s="176"/>
      <c r="AN60" s="176"/>
      <c r="AO60" s="176"/>
      <c r="AP60" s="176"/>
      <c r="AQ60" s="176"/>
      <c r="AR60" s="176"/>
      <c r="AS60" s="176"/>
      <c r="AT60" s="176"/>
      <c r="AU60" s="176"/>
      <c r="AV60" s="20">
        <f t="shared" si="2"/>
        <v>0</v>
      </c>
    </row>
    <row r="61" spans="1:48">
      <c r="A61" s="13" t="s">
        <v>105</v>
      </c>
      <c r="B61" s="13" t="s">
        <v>394</v>
      </c>
      <c r="C61" s="13" t="s">
        <v>147</v>
      </c>
      <c r="D61" s="13" t="s">
        <v>555</v>
      </c>
      <c r="E61" s="13" t="s">
        <v>599</v>
      </c>
      <c r="F61" s="19">
        <v>-1042</v>
      </c>
      <c r="G61" s="19">
        <v>-1042</v>
      </c>
      <c r="H61" s="19">
        <v>-1042</v>
      </c>
      <c r="I61" s="19">
        <v>-1042</v>
      </c>
      <c r="J61" s="19">
        <v>-1042</v>
      </c>
      <c r="K61" s="19">
        <v>-1042</v>
      </c>
      <c r="L61" s="19">
        <v>-1042</v>
      </c>
      <c r="M61" s="19">
        <v>-1042</v>
      </c>
      <c r="N61" s="19">
        <v>-1042</v>
      </c>
      <c r="O61" s="19">
        <v>-1042</v>
      </c>
      <c r="P61" s="19">
        <v>-1042</v>
      </c>
      <c r="Q61" s="19">
        <v>-1042</v>
      </c>
      <c r="R61" s="20">
        <f t="shared" si="7"/>
        <v>-12504</v>
      </c>
      <c r="T61" s="13" t="s">
        <v>600</v>
      </c>
      <c r="V61" s="19">
        <v>-1042</v>
      </c>
      <c r="W61" s="19">
        <v>-1042</v>
      </c>
      <c r="X61" s="19">
        <v>-1042</v>
      </c>
      <c r="Y61" s="19">
        <v>-1042</v>
      </c>
      <c r="Z61" s="19">
        <v>-1042</v>
      </c>
      <c r="AA61" s="19">
        <v>-1042</v>
      </c>
      <c r="AB61" s="19">
        <v>-1042</v>
      </c>
      <c r="AC61" s="19">
        <v>-1042</v>
      </c>
      <c r="AD61" s="19">
        <v>-1042</v>
      </c>
      <c r="AE61" s="19">
        <v>-1042</v>
      </c>
      <c r="AF61" s="19">
        <v>-1042</v>
      </c>
      <c r="AG61" s="19">
        <v>-1042</v>
      </c>
      <c r="AH61" s="20">
        <f t="shared" si="1"/>
        <v>-12504</v>
      </c>
      <c r="AJ61" s="19">
        <v>-1042</v>
      </c>
      <c r="AK61" s="19">
        <v>-1042</v>
      </c>
      <c r="AL61" s="19">
        <v>-1042</v>
      </c>
      <c r="AM61" s="19">
        <v>-1042</v>
      </c>
      <c r="AN61" s="19">
        <v>-1042</v>
      </c>
      <c r="AO61" s="19">
        <v>-1042</v>
      </c>
      <c r="AP61" s="19">
        <v>-1042</v>
      </c>
      <c r="AQ61" s="19">
        <v>-1042</v>
      </c>
      <c r="AR61" s="19">
        <v>-1042</v>
      </c>
      <c r="AS61" s="19">
        <v>-1042</v>
      </c>
      <c r="AT61" s="19">
        <v>-1042</v>
      </c>
      <c r="AU61" s="19">
        <v>-1042</v>
      </c>
      <c r="AV61" s="20">
        <f t="shared" si="2"/>
        <v>-12504</v>
      </c>
    </row>
    <row r="62" spans="1:48">
      <c r="A62" s="13" t="s">
        <v>105</v>
      </c>
      <c r="B62" s="13" t="s">
        <v>394</v>
      </c>
      <c r="C62" s="13" t="s">
        <v>147</v>
      </c>
      <c r="D62" s="13" t="s">
        <v>555</v>
      </c>
      <c r="E62" s="13" t="s">
        <v>601</v>
      </c>
      <c r="F62" s="19">
        <v>-163</v>
      </c>
      <c r="G62" s="19">
        <v>-163</v>
      </c>
      <c r="H62" s="19">
        <v>-163</v>
      </c>
      <c r="I62" s="19">
        <v>-163</v>
      </c>
      <c r="J62" s="19">
        <v>-163</v>
      </c>
      <c r="K62" s="19">
        <v>-163</v>
      </c>
      <c r="L62" s="19">
        <v>-163</v>
      </c>
      <c r="M62" s="19">
        <v>-163</v>
      </c>
      <c r="N62" s="19">
        <v>-163</v>
      </c>
      <c r="O62" s="19">
        <v>-163</v>
      </c>
      <c r="P62" s="19">
        <v>-163</v>
      </c>
      <c r="Q62" s="19">
        <v>-163</v>
      </c>
      <c r="R62" s="20">
        <f t="shared" si="7"/>
        <v>-1956</v>
      </c>
      <c r="T62" s="13" t="s">
        <v>602</v>
      </c>
      <c r="V62" s="19">
        <v>-163</v>
      </c>
      <c r="W62" s="19">
        <v>-163</v>
      </c>
      <c r="X62" s="19">
        <v>-163</v>
      </c>
      <c r="Y62" s="19">
        <v>-163</v>
      </c>
      <c r="Z62" s="19">
        <v>-163</v>
      </c>
      <c r="AA62" s="19">
        <v>-163</v>
      </c>
      <c r="AB62" s="19">
        <v>-163</v>
      </c>
      <c r="AC62" s="19">
        <v>-163</v>
      </c>
      <c r="AD62" s="19">
        <v>-163</v>
      </c>
      <c r="AE62" s="19">
        <v>-163</v>
      </c>
      <c r="AF62" s="19">
        <v>-163</v>
      </c>
      <c r="AG62" s="19">
        <v>-163</v>
      </c>
      <c r="AH62" s="20">
        <f t="shared" si="1"/>
        <v>-1956</v>
      </c>
      <c r="AJ62" s="19">
        <v>-163</v>
      </c>
      <c r="AK62" s="19">
        <v>-163</v>
      </c>
      <c r="AL62" s="19">
        <v>-163</v>
      </c>
      <c r="AM62" s="19">
        <v>-163</v>
      </c>
      <c r="AN62" s="19">
        <v>-163</v>
      </c>
      <c r="AO62" s="19">
        <v>-163</v>
      </c>
      <c r="AP62" s="19">
        <v>-163</v>
      </c>
      <c r="AQ62" s="19">
        <v>-163</v>
      </c>
      <c r="AR62" s="19">
        <v>-163</v>
      </c>
      <c r="AS62" s="19">
        <v>-163</v>
      </c>
      <c r="AT62" s="19">
        <v>-163</v>
      </c>
      <c r="AU62" s="19">
        <v>-163</v>
      </c>
      <c r="AV62" s="20">
        <f t="shared" si="2"/>
        <v>-1956</v>
      </c>
    </row>
    <row r="63" spans="1:48">
      <c r="A63" s="13" t="s">
        <v>105</v>
      </c>
      <c r="B63" s="13" t="s">
        <v>394</v>
      </c>
      <c r="C63" s="13" t="s">
        <v>147</v>
      </c>
      <c r="D63" s="13" t="s">
        <v>555</v>
      </c>
      <c r="E63" s="13" t="s">
        <v>603</v>
      </c>
      <c r="F63" s="19"/>
      <c r="G63" s="19"/>
      <c r="H63" s="19"/>
      <c r="I63" s="19"/>
      <c r="J63" s="19">
        <v>-845</v>
      </c>
      <c r="K63" s="19">
        <v>-845</v>
      </c>
      <c r="L63" s="19">
        <v>-845</v>
      </c>
      <c r="M63" s="19">
        <v>-845</v>
      </c>
      <c r="N63" s="19">
        <v>-845</v>
      </c>
      <c r="O63" s="19">
        <v>-845</v>
      </c>
      <c r="P63" s="19">
        <v>-845</v>
      </c>
      <c r="Q63" s="19">
        <v>-845</v>
      </c>
      <c r="R63" s="20">
        <f t="shared" si="7"/>
        <v>-6760</v>
      </c>
      <c r="T63" s="13" t="s">
        <v>604</v>
      </c>
      <c r="V63" s="19">
        <v>-845</v>
      </c>
      <c r="W63" s="19">
        <v>-845</v>
      </c>
      <c r="X63" s="19">
        <v>-845</v>
      </c>
      <c r="Y63" s="19">
        <v>-845</v>
      </c>
      <c r="Z63" s="19">
        <v>-845</v>
      </c>
      <c r="AA63" s="19">
        <v>-845</v>
      </c>
      <c r="AB63" s="19">
        <v>-845</v>
      </c>
      <c r="AC63" s="19">
        <v>-845</v>
      </c>
      <c r="AD63" s="19">
        <v>-845</v>
      </c>
      <c r="AE63" s="19">
        <v>-845</v>
      </c>
      <c r="AF63" s="19">
        <v>-845</v>
      </c>
      <c r="AG63" s="19">
        <v>-845</v>
      </c>
      <c r="AH63" s="20">
        <f t="shared" si="1"/>
        <v>-10140</v>
      </c>
      <c r="AJ63" s="19">
        <v>-845</v>
      </c>
      <c r="AK63" s="19">
        <v>-845</v>
      </c>
      <c r="AL63" s="19">
        <v>-845</v>
      </c>
      <c r="AM63" s="19">
        <v>-845</v>
      </c>
      <c r="AN63" s="19">
        <v>-845</v>
      </c>
      <c r="AO63" s="19">
        <v>-845</v>
      </c>
      <c r="AP63" s="19">
        <v>-845</v>
      </c>
      <c r="AQ63" s="19">
        <v>-845</v>
      </c>
      <c r="AR63" s="19">
        <v>-845</v>
      </c>
      <c r="AS63" s="19">
        <v>-845</v>
      </c>
      <c r="AT63" s="19">
        <v>-845</v>
      </c>
      <c r="AU63" s="19">
        <v>-845</v>
      </c>
      <c r="AV63" s="20">
        <f t="shared" si="2"/>
        <v>-10140</v>
      </c>
    </row>
    <row r="64" spans="1:48">
      <c r="A64" s="13" t="s">
        <v>105</v>
      </c>
      <c r="B64" s="13" t="s">
        <v>394</v>
      </c>
      <c r="C64" s="13" t="s">
        <v>147</v>
      </c>
      <c r="D64" s="13" t="s">
        <v>555</v>
      </c>
      <c r="E64" s="13" t="s">
        <v>605</v>
      </c>
      <c r="F64" s="19">
        <v>-2610</v>
      </c>
      <c r="G64" s="19">
        <v>-2610</v>
      </c>
      <c r="H64" s="19">
        <v>-2610</v>
      </c>
      <c r="I64" s="19">
        <v>-2610</v>
      </c>
      <c r="J64" s="19">
        <v>-2610</v>
      </c>
      <c r="K64" s="19">
        <v>-2610</v>
      </c>
      <c r="L64" s="19">
        <v>-2610</v>
      </c>
      <c r="M64" s="19">
        <v>-2610</v>
      </c>
      <c r="N64" s="19">
        <v>-2610</v>
      </c>
      <c r="O64" s="19">
        <v>-2610</v>
      </c>
      <c r="P64" s="19">
        <v>-2610</v>
      </c>
      <c r="Q64" s="19">
        <v>-2610</v>
      </c>
      <c r="R64" s="20">
        <f t="shared" si="7"/>
        <v>-31320</v>
      </c>
      <c r="T64" s="13" t="s">
        <v>606</v>
      </c>
      <c r="V64" s="19">
        <v>-2610</v>
      </c>
      <c r="W64" s="19">
        <v>-2610</v>
      </c>
      <c r="X64" s="19">
        <v>-2610</v>
      </c>
      <c r="Y64" s="19">
        <v>-2610</v>
      </c>
      <c r="Z64" s="19">
        <v>-2610</v>
      </c>
      <c r="AA64" s="19">
        <v>-2610</v>
      </c>
      <c r="AB64" s="19">
        <v>-2610</v>
      </c>
      <c r="AC64" s="19">
        <v>-2610</v>
      </c>
      <c r="AD64" s="19">
        <v>-2610</v>
      </c>
      <c r="AE64" s="19">
        <v>-2610</v>
      </c>
      <c r="AF64" s="19">
        <v>-2610</v>
      </c>
      <c r="AG64" s="19">
        <v>-2610</v>
      </c>
      <c r="AH64" s="20">
        <f t="shared" si="1"/>
        <v>-31320</v>
      </c>
      <c r="AJ64" s="19">
        <v>-2610</v>
      </c>
      <c r="AK64" s="19">
        <v>-2610</v>
      </c>
      <c r="AL64" s="19">
        <v>-2610</v>
      </c>
      <c r="AM64" s="19">
        <v>-2610</v>
      </c>
      <c r="AN64" s="19">
        <v>-2610</v>
      </c>
      <c r="AO64" s="19">
        <v>-2610</v>
      </c>
      <c r="AP64" s="19">
        <v>-2610</v>
      </c>
      <c r="AQ64" s="19">
        <v>-2610</v>
      </c>
      <c r="AR64" s="19">
        <v>-2610</v>
      </c>
      <c r="AS64" s="19">
        <v>-2610</v>
      </c>
      <c r="AT64" s="19">
        <v>-2610</v>
      </c>
      <c r="AU64" s="19">
        <v>-2610</v>
      </c>
      <c r="AV64" s="20">
        <f t="shared" si="2"/>
        <v>-31320</v>
      </c>
    </row>
    <row r="65" spans="1:48">
      <c r="A65" s="13" t="s">
        <v>105</v>
      </c>
      <c r="B65" s="13" t="s">
        <v>394</v>
      </c>
      <c r="C65" s="13" t="s">
        <v>147</v>
      </c>
      <c r="D65" s="13" t="s">
        <v>555</v>
      </c>
      <c r="E65" s="13" t="s">
        <v>607</v>
      </c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20">
        <f t="shared" si="7"/>
        <v>0</v>
      </c>
      <c r="T65" s="13" t="s">
        <v>584</v>
      </c>
      <c r="V65" s="176"/>
      <c r="W65" s="176"/>
      <c r="X65" s="176"/>
      <c r="Y65" s="176"/>
      <c r="Z65" s="176"/>
      <c r="AA65" s="176"/>
      <c r="AB65" s="176"/>
      <c r="AC65" s="176"/>
      <c r="AD65" s="176"/>
      <c r="AE65" s="176"/>
      <c r="AF65" s="176"/>
      <c r="AG65" s="176"/>
      <c r="AH65" s="20">
        <f t="shared" si="1"/>
        <v>0</v>
      </c>
      <c r="AJ65" s="176"/>
      <c r="AK65" s="176"/>
      <c r="AL65" s="176"/>
      <c r="AM65" s="176"/>
      <c r="AN65" s="176"/>
      <c r="AO65" s="176"/>
      <c r="AP65" s="176"/>
      <c r="AQ65" s="176"/>
      <c r="AR65" s="176"/>
      <c r="AS65" s="176"/>
      <c r="AT65" s="176"/>
      <c r="AU65" s="176"/>
      <c r="AV65" s="20">
        <f t="shared" si="2"/>
        <v>0</v>
      </c>
    </row>
    <row r="66" spans="1:48">
      <c r="A66" s="13" t="s">
        <v>105</v>
      </c>
      <c r="B66" s="13" t="s">
        <v>394</v>
      </c>
      <c r="C66" s="13" t="s">
        <v>147</v>
      </c>
      <c r="D66" s="13" t="s">
        <v>555</v>
      </c>
      <c r="E66" s="13" t="s">
        <v>608</v>
      </c>
      <c r="F66" s="19">
        <f t="shared" ref="F66:Q66" si="51">SUM(F88:F99)</f>
        <v>-6206</v>
      </c>
      <c r="G66" s="19">
        <f t="shared" si="51"/>
        <v>-5389</v>
      </c>
      <c r="H66" s="19">
        <f t="shared" si="51"/>
        <v>-5389</v>
      </c>
      <c r="I66" s="19">
        <f t="shared" si="51"/>
        <v>-5389</v>
      </c>
      <c r="J66" s="19">
        <f t="shared" si="51"/>
        <v>-4907</v>
      </c>
      <c r="K66" s="19">
        <f t="shared" si="51"/>
        <v>-4907</v>
      </c>
      <c r="L66" s="19">
        <f t="shared" si="51"/>
        <v>-4249</v>
      </c>
      <c r="M66" s="19">
        <f t="shared" si="51"/>
        <v>-3979</v>
      </c>
      <c r="N66" s="19">
        <f t="shared" si="51"/>
        <v>-4306</v>
      </c>
      <c r="O66" s="19">
        <f t="shared" si="51"/>
        <v>-4548</v>
      </c>
      <c r="P66" s="19">
        <f t="shared" si="51"/>
        <v>-4588</v>
      </c>
      <c r="Q66" s="19">
        <f t="shared" si="51"/>
        <v>-4604</v>
      </c>
      <c r="R66" s="20">
        <f t="shared" si="7"/>
        <v>-58461</v>
      </c>
      <c r="T66" s="13" t="s">
        <v>609</v>
      </c>
      <c r="V66" s="173">
        <f>SUM(V88:V99)</f>
        <v>-4759</v>
      </c>
      <c r="W66" s="173">
        <f t="shared" ref="W66:AG66" si="52">SUM(W88:W99)</f>
        <v>-4759</v>
      </c>
      <c r="X66" s="173">
        <f t="shared" si="52"/>
        <v>-4759</v>
      </c>
      <c r="Y66" s="173">
        <f t="shared" si="52"/>
        <v>-4759</v>
      </c>
      <c r="Z66" s="173">
        <f t="shared" si="52"/>
        <v>-4759</v>
      </c>
      <c r="AA66" s="173">
        <f t="shared" si="52"/>
        <v>-4759</v>
      </c>
      <c r="AB66" s="173">
        <f t="shared" si="52"/>
        <v>-4759</v>
      </c>
      <c r="AC66" s="173">
        <f t="shared" si="52"/>
        <v>-4759</v>
      </c>
      <c r="AD66" s="173">
        <f t="shared" si="52"/>
        <v>-4759</v>
      </c>
      <c r="AE66" s="173">
        <f t="shared" si="52"/>
        <v>-4759</v>
      </c>
      <c r="AF66" s="173">
        <f t="shared" si="52"/>
        <v>-4759</v>
      </c>
      <c r="AG66" s="173">
        <f t="shared" si="52"/>
        <v>-4759</v>
      </c>
      <c r="AH66" s="20">
        <f t="shared" ref="AH66:AH129" si="53">SUM(V66:AG66)</f>
        <v>-57108</v>
      </c>
      <c r="AJ66" s="173">
        <f>SUM(AJ88:AJ99)</f>
        <v>-4414</v>
      </c>
      <c r="AK66" s="173">
        <f t="shared" ref="AK66:AU66" si="54">SUM(AK88:AK99)</f>
        <v>-4414</v>
      </c>
      <c r="AL66" s="173">
        <f t="shared" si="54"/>
        <v>-4414</v>
      </c>
      <c r="AM66" s="173">
        <f t="shared" si="54"/>
        <v>-4414</v>
      </c>
      <c r="AN66" s="173">
        <f t="shared" si="54"/>
        <v>-4414</v>
      </c>
      <c r="AO66" s="173">
        <f t="shared" si="54"/>
        <v>-4414</v>
      </c>
      <c r="AP66" s="173">
        <f t="shared" si="54"/>
        <v>-4414</v>
      </c>
      <c r="AQ66" s="173">
        <f t="shared" si="54"/>
        <v>-4414</v>
      </c>
      <c r="AR66" s="173">
        <f t="shared" si="54"/>
        <v>-4414</v>
      </c>
      <c r="AS66" s="173">
        <f t="shared" si="54"/>
        <v>-4414</v>
      </c>
      <c r="AT66" s="173">
        <f t="shared" si="54"/>
        <v>-4414</v>
      </c>
      <c r="AU66" s="173">
        <f t="shared" si="54"/>
        <v>-4414</v>
      </c>
      <c r="AV66" s="20">
        <f t="shared" ref="AV66:AV129" si="55">SUM(AJ66:AU66)</f>
        <v>-52968</v>
      </c>
    </row>
    <row r="67" spans="1:48">
      <c r="A67" s="13" t="s">
        <v>105</v>
      </c>
      <c r="B67" s="13" t="s">
        <v>394</v>
      </c>
      <c r="C67" s="13" t="s">
        <v>147</v>
      </c>
      <c r="D67" s="13" t="s">
        <v>555</v>
      </c>
      <c r="E67" s="13" t="s">
        <v>608</v>
      </c>
      <c r="F67" s="19"/>
      <c r="G67" s="19"/>
      <c r="H67" s="19"/>
      <c r="I67" s="19"/>
      <c r="J67" s="19"/>
      <c r="K67" s="19"/>
      <c r="L67" s="19">
        <v>-2900</v>
      </c>
      <c r="M67" s="19">
        <v>-2900</v>
      </c>
      <c r="N67" s="19">
        <v>-2900</v>
      </c>
      <c r="O67" s="19">
        <v>-2900</v>
      </c>
      <c r="P67" s="19">
        <v>-2900</v>
      </c>
      <c r="Q67" s="19">
        <v>-2900</v>
      </c>
      <c r="R67" s="20">
        <f t="shared" si="7"/>
        <v>-17400</v>
      </c>
      <c r="T67" s="13" t="s">
        <v>610</v>
      </c>
      <c r="V67" s="19">
        <v>-2900</v>
      </c>
      <c r="W67" s="19">
        <v>-2900</v>
      </c>
      <c r="X67" s="19">
        <v>-2900</v>
      </c>
      <c r="Y67" s="19">
        <v>-2900</v>
      </c>
      <c r="Z67" s="19">
        <v>-2900</v>
      </c>
      <c r="AA67" s="19">
        <v>-2900</v>
      </c>
      <c r="AB67" s="19">
        <v>-2900</v>
      </c>
      <c r="AC67" s="19">
        <v>-2900</v>
      </c>
      <c r="AD67" s="19">
        <v>-2900</v>
      </c>
      <c r="AE67" s="19">
        <v>-2900</v>
      </c>
      <c r="AF67" s="19">
        <v>-2900</v>
      </c>
      <c r="AG67" s="19">
        <v>-2900</v>
      </c>
      <c r="AH67" s="20">
        <f t="shared" si="53"/>
        <v>-34800</v>
      </c>
      <c r="AJ67" s="19">
        <v>-2900</v>
      </c>
      <c r="AK67" s="19">
        <v>-2900</v>
      </c>
      <c r="AL67" s="19">
        <v>-2900</v>
      </c>
      <c r="AM67" s="19">
        <v>-2900</v>
      </c>
      <c r="AN67" s="19">
        <v>-2900</v>
      </c>
      <c r="AO67" s="19">
        <v>-2900</v>
      </c>
      <c r="AP67" s="19">
        <v>-2900</v>
      </c>
      <c r="AQ67" s="19">
        <v>-2900</v>
      </c>
      <c r="AR67" s="19">
        <v>-2900</v>
      </c>
      <c r="AS67" s="19">
        <v>-2900</v>
      </c>
      <c r="AT67" s="19">
        <v>-2900</v>
      </c>
      <c r="AU67" s="19">
        <v>-2900</v>
      </c>
      <c r="AV67" s="20">
        <f t="shared" si="55"/>
        <v>-34800</v>
      </c>
    </row>
    <row r="68" spans="1:48">
      <c r="A68" s="13" t="s">
        <v>105</v>
      </c>
      <c r="B68" s="13" t="s">
        <v>394</v>
      </c>
      <c r="C68" s="13" t="s">
        <v>147</v>
      </c>
      <c r="D68" s="13" t="s">
        <v>555</v>
      </c>
      <c r="E68" s="13" t="s">
        <v>611</v>
      </c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20">
        <f t="shared" si="7"/>
        <v>0</v>
      </c>
      <c r="T68" s="13" t="s">
        <v>584</v>
      </c>
      <c r="V68" s="176"/>
      <c r="W68" s="176"/>
      <c r="X68" s="176"/>
      <c r="Y68" s="176"/>
      <c r="Z68" s="176"/>
      <c r="AA68" s="176"/>
      <c r="AB68" s="176"/>
      <c r="AC68" s="176"/>
      <c r="AD68" s="176"/>
      <c r="AE68" s="176"/>
      <c r="AF68" s="176"/>
      <c r="AG68" s="176"/>
      <c r="AH68" s="20">
        <f t="shared" si="53"/>
        <v>0</v>
      </c>
      <c r="AJ68" s="176"/>
      <c r="AK68" s="176"/>
      <c r="AL68" s="176"/>
      <c r="AM68" s="176"/>
      <c r="AN68" s="176"/>
      <c r="AO68" s="176"/>
      <c r="AP68" s="176"/>
      <c r="AQ68" s="176"/>
      <c r="AR68" s="176"/>
      <c r="AS68" s="176"/>
      <c r="AT68" s="176"/>
      <c r="AU68" s="176"/>
      <c r="AV68" s="20">
        <f t="shared" si="55"/>
        <v>0</v>
      </c>
    </row>
    <row r="69" spans="1:48">
      <c r="A69" s="13" t="s">
        <v>105</v>
      </c>
      <c r="B69" s="13" t="s">
        <v>394</v>
      </c>
      <c r="C69" s="13" t="s">
        <v>147</v>
      </c>
      <c r="D69" s="13" t="s">
        <v>555</v>
      </c>
      <c r="E69" s="13" t="s">
        <v>612</v>
      </c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20">
        <f t="shared" si="7"/>
        <v>0</v>
      </c>
      <c r="T69" s="13" t="s">
        <v>584</v>
      </c>
      <c r="V69" s="176"/>
      <c r="W69" s="176"/>
      <c r="X69" s="176"/>
      <c r="Y69" s="176"/>
      <c r="Z69" s="176"/>
      <c r="AA69" s="176"/>
      <c r="AB69" s="176"/>
      <c r="AC69" s="176"/>
      <c r="AD69" s="176"/>
      <c r="AE69" s="176"/>
      <c r="AF69" s="176"/>
      <c r="AG69" s="176"/>
      <c r="AH69" s="20">
        <f t="shared" si="53"/>
        <v>0</v>
      </c>
      <c r="AJ69" s="176"/>
      <c r="AK69" s="176"/>
      <c r="AL69" s="176"/>
      <c r="AM69" s="176"/>
      <c r="AN69" s="176"/>
      <c r="AO69" s="176"/>
      <c r="AP69" s="176"/>
      <c r="AQ69" s="176"/>
      <c r="AR69" s="176"/>
      <c r="AS69" s="176"/>
      <c r="AT69" s="176"/>
      <c r="AU69" s="176"/>
      <c r="AV69" s="20">
        <f t="shared" si="55"/>
        <v>0</v>
      </c>
    </row>
    <row r="70" spans="1:48">
      <c r="A70" s="13" t="s">
        <v>105</v>
      </c>
      <c r="B70" s="13" t="s">
        <v>394</v>
      </c>
      <c r="C70" s="13" t="s">
        <v>147</v>
      </c>
      <c r="D70" s="13" t="s">
        <v>555</v>
      </c>
      <c r="E70" s="13" t="s">
        <v>613</v>
      </c>
      <c r="F70" s="19">
        <v>-20</v>
      </c>
      <c r="G70" s="19">
        <v>-20</v>
      </c>
      <c r="H70" s="19">
        <v>-20</v>
      </c>
      <c r="I70" s="19"/>
      <c r="J70" s="19"/>
      <c r="K70" s="19"/>
      <c r="L70" s="19"/>
      <c r="M70" s="19"/>
      <c r="N70" s="19"/>
      <c r="O70" s="19"/>
      <c r="P70" s="19"/>
      <c r="Q70" s="19"/>
      <c r="R70" s="20">
        <f t="shared" si="7"/>
        <v>-60</v>
      </c>
      <c r="T70" s="13" t="s">
        <v>614</v>
      </c>
      <c r="V70" s="176"/>
      <c r="W70" s="176"/>
      <c r="X70" s="176"/>
      <c r="Y70" s="176"/>
      <c r="Z70" s="176"/>
      <c r="AA70" s="176"/>
      <c r="AB70" s="176"/>
      <c r="AC70" s="176"/>
      <c r="AD70" s="176"/>
      <c r="AE70" s="176"/>
      <c r="AF70" s="176"/>
      <c r="AG70" s="176"/>
      <c r="AH70" s="20">
        <f t="shared" si="53"/>
        <v>0</v>
      </c>
      <c r="AJ70" s="176"/>
      <c r="AK70" s="176"/>
      <c r="AL70" s="176"/>
      <c r="AM70" s="176"/>
      <c r="AN70" s="176"/>
      <c r="AO70" s="176"/>
      <c r="AP70" s="176"/>
      <c r="AQ70" s="176"/>
      <c r="AR70" s="176"/>
      <c r="AS70" s="176"/>
      <c r="AT70" s="176"/>
      <c r="AU70" s="176"/>
      <c r="AV70" s="20">
        <f t="shared" si="55"/>
        <v>0</v>
      </c>
    </row>
    <row r="71" spans="1:48">
      <c r="A71" s="13" t="s">
        <v>105</v>
      </c>
      <c r="B71" s="13" t="s">
        <v>394</v>
      </c>
      <c r="C71" s="13" t="s">
        <v>147</v>
      </c>
      <c r="D71" s="13" t="s">
        <v>555</v>
      </c>
      <c r="E71" s="13" t="s">
        <v>615</v>
      </c>
      <c r="F71" s="19">
        <v>-240</v>
      </c>
      <c r="G71" s="19">
        <v>-240</v>
      </c>
      <c r="H71" s="19">
        <v>-240</v>
      </c>
      <c r="I71" s="19">
        <v>-240</v>
      </c>
      <c r="J71" s="19">
        <v>-240</v>
      </c>
      <c r="K71" s="19">
        <v>-240</v>
      </c>
      <c r="L71" s="19">
        <v>-240</v>
      </c>
      <c r="M71" s="19">
        <v>-240</v>
      </c>
      <c r="N71" s="19">
        <v>-240</v>
      </c>
      <c r="O71" s="19">
        <v>-240</v>
      </c>
      <c r="P71" s="19">
        <v>-240</v>
      </c>
      <c r="Q71" s="19">
        <v>-240</v>
      </c>
      <c r="R71" s="20">
        <f t="shared" si="7"/>
        <v>-2880</v>
      </c>
      <c r="T71" s="13" t="s">
        <v>616</v>
      </c>
      <c r="V71" s="19">
        <v>-240</v>
      </c>
      <c r="W71" s="19">
        <v>-240</v>
      </c>
      <c r="X71" s="19">
        <v>-240</v>
      </c>
      <c r="Y71" s="19">
        <v>-240</v>
      </c>
      <c r="Z71" s="19">
        <v>-240</v>
      </c>
      <c r="AA71" s="19">
        <v>-240</v>
      </c>
      <c r="AB71" s="19">
        <v>-240</v>
      </c>
      <c r="AC71" s="19">
        <v>-240</v>
      </c>
      <c r="AD71" s="19">
        <v>-240</v>
      </c>
      <c r="AE71" s="19">
        <v>-240</v>
      </c>
      <c r="AF71" s="19">
        <v>-240</v>
      </c>
      <c r="AG71" s="19">
        <v>-240</v>
      </c>
      <c r="AH71" s="20">
        <f t="shared" si="53"/>
        <v>-2880</v>
      </c>
      <c r="AJ71" s="19">
        <v>-240</v>
      </c>
      <c r="AK71" s="19">
        <v>-240</v>
      </c>
      <c r="AL71" s="19">
        <v>-240</v>
      </c>
      <c r="AM71" s="19">
        <v>-240</v>
      </c>
      <c r="AN71" s="19">
        <v>-240</v>
      </c>
      <c r="AO71" s="19">
        <v>-240</v>
      </c>
      <c r="AP71" s="19">
        <v>-240</v>
      </c>
      <c r="AQ71" s="19">
        <v>-240</v>
      </c>
      <c r="AR71" s="19">
        <v>-240</v>
      </c>
      <c r="AS71" s="19">
        <v>-240</v>
      </c>
      <c r="AT71" s="19">
        <v>-240</v>
      </c>
      <c r="AU71" s="19">
        <v>-240</v>
      </c>
      <c r="AV71" s="20">
        <f t="shared" si="55"/>
        <v>-2880</v>
      </c>
    </row>
    <row r="72" spans="1:48">
      <c r="A72" s="13" t="s">
        <v>105</v>
      </c>
      <c r="B72" s="13" t="s">
        <v>394</v>
      </c>
      <c r="C72" s="13" t="s">
        <v>147</v>
      </c>
      <c r="D72" s="13" t="s">
        <v>555</v>
      </c>
      <c r="E72" s="13" t="s">
        <v>617</v>
      </c>
      <c r="F72" s="19">
        <v>-1000</v>
      </c>
      <c r="G72" s="19">
        <v>-1000</v>
      </c>
      <c r="H72" s="19">
        <v>-1000</v>
      </c>
      <c r="I72" s="19">
        <v>-1150</v>
      </c>
      <c r="J72" s="19"/>
      <c r="K72" s="19"/>
      <c r="L72" s="19"/>
      <c r="M72" s="19"/>
      <c r="N72" s="19"/>
      <c r="O72" s="19"/>
      <c r="P72" s="19"/>
      <c r="Q72" s="19"/>
      <c r="R72" s="20">
        <f t="shared" si="7"/>
        <v>-4150</v>
      </c>
      <c r="T72" s="13" t="s">
        <v>618</v>
      </c>
      <c r="V72" s="176"/>
      <c r="W72" s="176"/>
      <c r="X72" s="176"/>
      <c r="Y72" s="176"/>
      <c r="Z72" s="176"/>
      <c r="AA72" s="176"/>
      <c r="AB72" s="176"/>
      <c r="AC72" s="176"/>
      <c r="AD72" s="176"/>
      <c r="AE72" s="176"/>
      <c r="AF72" s="176"/>
      <c r="AG72" s="176"/>
      <c r="AH72" s="20">
        <f t="shared" si="53"/>
        <v>0</v>
      </c>
      <c r="AJ72" s="176"/>
      <c r="AK72" s="176"/>
      <c r="AL72" s="176"/>
      <c r="AM72" s="176"/>
      <c r="AN72" s="176"/>
      <c r="AO72" s="176"/>
      <c r="AP72" s="176"/>
      <c r="AQ72" s="176"/>
      <c r="AR72" s="176"/>
      <c r="AS72" s="176"/>
      <c r="AT72" s="176"/>
      <c r="AU72" s="176"/>
      <c r="AV72" s="20">
        <f t="shared" si="55"/>
        <v>0</v>
      </c>
    </row>
    <row r="73" spans="1:48">
      <c r="A73" s="13" t="s">
        <v>105</v>
      </c>
      <c r="B73" s="13" t="s">
        <v>394</v>
      </c>
      <c r="C73" s="13" t="s">
        <v>147</v>
      </c>
      <c r="D73" s="13" t="s">
        <v>555</v>
      </c>
      <c r="E73" s="13" t="s">
        <v>619</v>
      </c>
      <c r="F73" s="19"/>
      <c r="G73" s="19"/>
      <c r="H73" s="19"/>
      <c r="I73" s="19">
        <f t="shared" ref="I73:Q73" si="56">-2615/12</f>
        <v>-217.91666666666666</v>
      </c>
      <c r="J73" s="19">
        <f t="shared" si="56"/>
        <v>-217.91666666666666</v>
      </c>
      <c r="K73" s="19">
        <f t="shared" si="56"/>
        <v>-217.91666666666666</v>
      </c>
      <c r="L73" s="19">
        <f t="shared" si="56"/>
        <v>-217.91666666666666</v>
      </c>
      <c r="M73" s="19">
        <f t="shared" si="56"/>
        <v>-217.91666666666666</v>
      </c>
      <c r="N73" s="19">
        <f t="shared" si="56"/>
        <v>-217.91666666666666</v>
      </c>
      <c r="O73" s="19">
        <f t="shared" si="56"/>
        <v>-217.91666666666666</v>
      </c>
      <c r="P73" s="19">
        <f t="shared" si="56"/>
        <v>-217.91666666666666</v>
      </c>
      <c r="Q73" s="19">
        <f t="shared" si="56"/>
        <v>-217.91666666666666</v>
      </c>
      <c r="R73" s="20">
        <f t="shared" si="7"/>
        <v>-1961.2500000000002</v>
      </c>
      <c r="T73" s="13" t="s">
        <v>620</v>
      </c>
      <c r="V73" s="19">
        <f>-2615/12</f>
        <v>-217.91666666666666</v>
      </c>
      <c r="W73" s="19">
        <f t="shared" ref="W73:AG73" si="57">-2615/12</f>
        <v>-217.91666666666666</v>
      </c>
      <c r="X73" s="19">
        <f t="shared" si="57"/>
        <v>-217.91666666666666</v>
      </c>
      <c r="Y73" s="19">
        <f t="shared" si="57"/>
        <v>-217.91666666666666</v>
      </c>
      <c r="Z73" s="19">
        <f t="shared" si="57"/>
        <v>-217.91666666666666</v>
      </c>
      <c r="AA73" s="19">
        <f t="shared" si="57"/>
        <v>-217.91666666666666</v>
      </c>
      <c r="AB73" s="19">
        <f t="shared" si="57"/>
        <v>-217.91666666666666</v>
      </c>
      <c r="AC73" s="19">
        <f t="shared" si="57"/>
        <v>-217.91666666666666</v>
      </c>
      <c r="AD73" s="19">
        <f t="shared" si="57"/>
        <v>-217.91666666666666</v>
      </c>
      <c r="AE73" s="19">
        <f t="shared" si="57"/>
        <v>-217.91666666666666</v>
      </c>
      <c r="AF73" s="19">
        <f t="shared" si="57"/>
        <v>-217.91666666666666</v>
      </c>
      <c r="AG73" s="19">
        <f t="shared" si="57"/>
        <v>-217.91666666666666</v>
      </c>
      <c r="AH73" s="20">
        <f t="shared" si="53"/>
        <v>-2615</v>
      </c>
      <c r="AJ73" s="19">
        <f>-2615/12</f>
        <v>-217.91666666666666</v>
      </c>
      <c r="AK73" s="19">
        <f t="shared" ref="AK73:AU73" si="58">-2615/12</f>
        <v>-217.91666666666666</v>
      </c>
      <c r="AL73" s="19">
        <f t="shared" si="58"/>
        <v>-217.91666666666666</v>
      </c>
      <c r="AM73" s="19">
        <f t="shared" si="58"/>
        <v>-217.91666666666666</v>
      </c>
      <c r="AN73" s="19">
        <f t="shared" si="58"/>
        <v>-217.91666666666666</v>
      </c>
      <c r="AO73" s="19">
        <f t="shared" si="58"/>
        <v>-217.91666666666666</v>
      </c>
      <c r="AP73" s="19">
        <f t="shared" si="58"/>
        <v>-217.91666666666666</v>
      </c>
      <c r="AQ73" s="19">
        <f t="shared" si="58"/>
        <v>-217.91666666666666</v>
      </c>
      <c r="AR73" s="19">
        <f t="shared" si="58"/>
        <v>-217.91666666666666</v>
      </c>
      <c r="AS73" s="19">
        <f t="shared" si="58"/>
        <v>-217.91666666666666</v>
      </c>
      <c r="AT73" s="19">
        <f t="shared" si="58"/>
        <v>-217.91666666666666</v>
      </c>
      <c r="AU73" s="19">
        <f t="shared" si="58"/>
        <v>-217.91666666666666</v>
      </c>
      <c r="AV73" s="20">
        <f t="shared" si="55"/>
        <v>-2615</v>
      </c>
    </row>
    <row r="74" spans="1:48">
      <c r="A74" s="13" t="s">
        <v>105</v>
      </c>
      <c r="B74" s="13" t="s">
        <v>394</v>
      </c>
      <c r="C74" s="13" t="s">
        <v>147</v>
      </c>
      <c r="D74" s="13" t="s">
        <v>555</v>
      </c>
      <c r="E74" s="13" t="s">
        <v>397</v>
      </c>
      <c r="F74" s="19">
        <v>-2000</v>
      </c>
      <c r="G74" s="19">
        <v>-2000</v>
      </c>
      <c r="H74" s="19">
        <v>-2000</v>
      </c>
      <c r="I74" s="19">
        <v>-2000</v>
      </c>
      <c r="J74" s="19">
        <v>-2000</v>
      </c>
      <c r="K74" s="19">
        <v>-2000</v>
      </c>
      <c r="L74" s="19">
        <v>-2000</v>
      </c>
      <c r="M74" s="19">
        <v>-2000</v>
      </c>
      <c r="N74" s="19">
        <v>-2000</v>
      </c>
      <c r="O74" s="19">
        <v>-2000</v>
      </c>
      <c r="P74" s="19">
        <v>-2000</v>
      </c>
      <c r="Q74" s="19">
        <v>-2000</v>
      </c>
      <c r="R74" s="20">
        <f t="shared" si="7"/>
        <v>-24000</v>
      </c>
      <c r="T74" s="13" t="s">
        <v>621</v>
      </c>
      <c r="V74" s="19">
        <v>-2000</v>
      </c>
      <c r="W74" s="19">
        <v>-2000</v>
      </c>
      <c r="X74" s="19">
        <v>-2000</v>
      </c>
      <c r="Y74" s="19">
        <v>-2000</v>
      </c>
      <c r="Z74" s="19">
        <v>-2000</v>
      </c>
      <c r="AA74" s="19">
        <v>-2000</v>
      </c>
      <c r="AB74" s="19">
        <v>-2000</v>
      </c>
      <c r="AC74" s="19">
        <v>-2000</v>
      </c>
      <c r="AD74" s="19">
        <v>-2000</v>
      </c>
      <c r="AE74" s="19">
        <v>-2000</v>
      </c>
      <c r="AF74" s="19">
        <v>-2000</v>
      </c>
      <c r="AG74" s="19">
        <v>-2000</v>
      </c>
      <c r="AH74" s="20">
        <f t="shared" si="53"/>
        <v>-24000</v>
      </c>
      <c r="AJ74" s="19">
        <v>-2000</v>
      </c>
      <c r="AK74" s="19">
        <v>-2000</v>
      </c>
      <c r="AL74" s="19">
        <v>-2000</v>
      </c>
      <c r="AM74" s="19">
        <v>-2000</v>
      </c>
      <c r="AN74" s="19">
        <v>-2000</v>
      </c>
      <c r="AO74" s="19">
        <v>-2000</v>
      </c>
      <c r="AP74" s="19">
        <v>-2000</v>
      </c>
      <c r="AQ74" s="19">
        <v>-2000</v>
      </c>
      <c r="AR74" s="19">
        <v>-2000</v>
      </c>
      <c r="AS74" s="19">
        <v>-2000</v>
      </c>
      <c r="AT74" s="19">
        <v>-2000</v>
      </c>
      <c r="AU74" s="19">
        <v>-2000</v>
      </c>
      <c r="AV74" s="20">
        <f t="shared" si="55"/>
        <v>-24000</v>
      </c>
    </row>
    <row r="75" spans="1:48">
      <c r="A75" s="13" t="s">
        <v>105</v>
      </c>
      <c r="B75" s="13" t="s">
        <v>394</v>
      </c>
      <c r="C75" s="13" t="s">
        <v>147</v>
      </c>
      <c r="D75" s="13" t="s">
        <v>555</v>
      </c>
      <c r="E75" s="13" t="s">
        <v>622</v>
      </c>
      <c r="F75" s="19">
        <v>-413.34</v>
      </c>
      <c r="G75" s="19">
        <v>-288.22000000000003</v>
      </c>
      <c r="H75" s="19">
        <v>-288.22000000000003</v>
      </c>
      <c r="I75" s="19">
        <v>-300</v>
      </c>
      <c r="J75" s="19"/>
      <c r="K75" s="19"/>
      <c r="L75" s="19"/>
      <c r="M75" s="19"/>
      <c r="N75" s="19"/>
      <c r="O75" s="19"/>
      <c r="P75" s="19"/>
      <c r="Q75" s="19"/>
      <c r="R75" s="20">
        <f t="shared" si="7"/>
        <v>-1289.78</v>
      </c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20">
        <f t="shared" si="53"/>
        <v>0</v>
      </c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20">
        <f t="shared" si="55"/>
        <v>0</v>
      </c>
    </row>
    <row r="76" spans="1:48">
      <c r="A76" s="13" t="s">
        <v>105</v>
      </c>
      <c r="B76" s="13" t="s">
        <v>394</v>
      </c>
      <c r="C76" s="13" t="s">
        <v>147</v>
      </c>
      <c r="D76" s="13" t="s">
        <v>555</v>
      </c>
      <c r="E76" s="13" t="s">
        <v>623</v>
      </c>
      <c r="F76" s="19">
        <v>-47.04</v>
      </c>
      <c r="G76" s="19">
        <v>-43.81</v>
      </c>
      <c r="H76" s="19">
        <v>-43.81</v>
      </c>
      <c r="I76" s="19">
        <v>-12</v>
      </c>
      <c r="J76" s="19">
        <v>-12</v>
      </c>
      <c r="K76" s="19">
        <v>-12</v>
      </c>
      <c r="L76" s="19">
        <v>-12</v>
      </c>
      <c r="M76" s="19">
        <v>-12</v>
      </c>
      <c r="N76" s="19">
        <v>-12</v>
      </c>
      <c r="O76" s="19">
        <v>-12</v>
      </c>
      <c r="P76" s="19">
        <v>-12</v>
      </c>
      <c r="Q76" s="19">
        <v>-12</v>
      </c>
      <c r="R76" s="20">
        <f t="shared" si="7"/>
        <v>-242.66</v>
      </c>
      <c r="T76" s="13" t="s">
        <v>624</v>
      </c>
      <c r="V76" s="19">
        <v>-12</v>
      </c>
      <c r="W76" s="19">
        <v>-12</v>
      </c>
      <c r="X76" s="19">
        <v>-12</v>
      </c>
      <c r="Y76" s="19">
        <v>-12</v>
      </c>
      <c r="Z76" s="19">
        <v>-12</v>
      </c>
      <c r="AA76" s="19">
        <v>-12</v>
      </c>
      <c r="AB76" s="19">
        <v>-12</v>
      </c>
      <c r="AC76" s="19">
        <v>-12</v>
      </c>
      <c r="AD76" s="19">
        <v>-12</v>
      </c>
      <c r="AE76" s="19">
        <v>-12</v>
      </c>
      <c r="AF76" s="19">
        <v>-12</v>
      </c>
      <c r="AG76" s="19">
        <v>-12</v>
      </c>
      <c r="AH76" s="20">
        <f t="shared" si="53"/>
        <v>-144</v>
      </c>
      <c r="AJ76" s="19">
        <v>-12</v>
      </c>
      <c r="AK76" s="19">
        <v>-12</v>
      </c>
      <c r="AL76" s="19">
        <v>-12</v>
      </c>
      <c r="AM76" s="19">
        <v>-12</v>
      </c>
      <c r="AN76" s="19">
        <v>-12</v>
      </c>
      <c r="AO76" s="19">
        <v>-12</v>
      </c>
      <c r="AP76" s="19">
        <v>-12</v>
      </c>
      <c r="AQ76" s="19">
        <v>-12</v>
      </c>
      <c r="AR76" s="19">
        <v>-12</v>
      </c>
      <c r="AS76" s="19">
        <v>-12</v>
      </c>
      <c r="AT76" s="19">
        <v>-12</v>
      </c>
      <c r="AU76" s="19">
        <v>-12</v>
      </c>
      <c r="AV76" s="20">
        <f t="shared" si="55"/>
        <v>-144</v>
      </c>
    </row>
    <row r="77" spans="1:48">
      <c r="A77" s="13" t="s">
        <v>105</v>
      </c>
      <c r="B77" s="13" t="s">
        <v>394</v>
      </c>
      <c r="C77" s="13" t="s">
        <v>147</v>
      </c>
      <c r="D77" s="13" t="s">
        <v>555</v>
      </c>
      <c r="E77" s="13" t="s">
        <v>625</v>
      </c>
      <c r="F77" s="19">
        <v>-38.630000000000003</v>
      </c>
      <c r="G77" s="19">
        <v>0</v>
      </c>
      <c r="H77" s="19">
        <v>0</v>
      </c>
      <c r="I77" s="19">
        <v>-99</v>
      </c>
      <c r="J77" s="19">
        <v>-99</v>
      </c>
      <c r="K77" s="19">
        <v>-99</v>
      </c>
      <c r="L77" s="19"/>
      <c r="M77" s="19"/>
      <c r="N77" s="19"/>
      <c r="O77" s="19"/>
      <c r="P77" s="19"/>
      <c r="Q77" s="19"/>
      <c r="R77" s="20">
        <f t="shared" si="7"/>
        <v>-335.63</v>
      </c>
      <c r="T77" s="13" t="s">
        <v>626</v>
      </c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20">
        <f t="shared" si="53"/>
        <v>0</v>
      </c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20">
        <f t="shared" si="55"/>
        <v>0</v>
      </c>
    </row>
    <row r="78" spans="1:48">
      <c r="A78" s="13" t="s">
        <v>105</v>
      </c>
      <c r="B78" s="13" t="s">
        <v>394</v>
      </c>
      <c r="C78" s="13" t="s">
        <v>147</v>
      </c>
      <c r="D78" s="13" t="s">
        <v>555</v>
      </c>
      <c r="E78" s="13" t="s">
        <v>627</v>
      </c>
      <c r="F78" s="19">
        <v>-23.8</v>
      </c>
      <c r="G78" s="19">
        <v>-23.17</v>
      </c>
      <c r="H78" s="19">
        <v>-23.17</v>
      </c>
      <c r="I78" s="19">
        <v>-25</v>
      </c>
      <c r="J78" s="19">
        <v>-25</v>
      </c>
      <c r="K78" s="19">
        <v>-25</v>
      </c>
      <c r="L78" s="19">
        <v>-25</v>
      </c>
      <c r="M78" s="19">
        <v>-25</v>
      </c>
      <c r="N78" s="19">
        <v>-25</v>
      </c>
      <c r="O78" s="19">
        <v>-25</v>
      </c>
      <c r="P78" s="19">
        <v>-25</v>
      </c>
      <c r="Q78" s="19">
        <v>-25</v>
      </c>
      <c r="R78" s="20">
        <f t="shared" si="7"/>
        <v>-295.14</v>
      </c>
      <c r="T78" s="13" t="s">
        <v>628</v>
      </c>
      <c r="V78" s="19">
        <v>-25</v>
      </c>
      <c r="W78" s="19">
        <v>-25</v>
      </c>
      <c r="X78" s="19">
        <v>-25</v>
      </c>
      <c r="Y78" s="19">
        <v>-25</v>
      </c>
      <c r="Z78" s="19">
        <v>-25</v>
      </c>
      <c r="AA78" s="19">
        <v>-25</v>
      </c>
      <c r="AB78" s="19">
        <v>-25</v>
      </c>
      <c r="AC78" s="19">
        <v>-25</v>
      </c>
      <c r="AD78" s="19">
        <v>-25</v>
      </c>
      <c r="AE78" s="19">
        <v>-25</v>
      </c>
      <c r="AF78" s="19">
        <v>-25</v>
      </c>
      <c r="AG78" s="19">
        <v>-25</v>
      </c>
      <c r="AH78" s="20">
        <f t="shared" si="53"/>
        <v>-300</v>
      </c>
      <c r="AJ78" s="19">
        <v>-25</v>
      </c>
      <c r="AK78" s="19">
        <v>-25</v>
      </c>
      <c r="AL78" s="19">
        <v>-25</v>
      </c>
      <c r="AM78" s="19">
        <v>-25</v>
      </c>
      <c r="AN78" s="19">
        <v>-25</v>
      </c>
      <c r="AO78" s="19">
        <v>-25</v>
      </c>
      <c r="AP78" s="19">
        <v>-25</v>
      </c>
      <c r="AQ78" s="19">
        <v>-25</v>
      </c>
      <c r="AR78" s="19">
        <v>-25</v>
      </c>
      <c r="AS78" s="19">
        <v>-25</v>
      </c>
      <c r="AT78" s="19">
        <v>-25</v>
      </c>
      <c r="AU78" s="19">
        <v>-25</v>
      </c>
      <c r="AV78" s="20">
        <f t="shared" si="55"/>
        <v>-300</v>
      </c>
    </row>
    <row r="79" spans="1:48">
      <c r="A79" s="13" t="s">
        <v>105</v>
      </c>
      <c r="B79" s="13" t="s">
        <v>394</v>
      </c>
      <c r="C79" s="13" t="s">
        <v>147</v>
      </c>
      <c r="D79" s="13" t="s">
        <v>555</v>
      </c>
      <c r="E79" s="13" t="s">
        <v>629</v>
      </c>
      <c r="F79" s="19">
        <v>-236.11</v>
      </c>
      <c r="G79" s="19">
        <v>-236.11</v>
      </c>
      <c r="H79" s="19">
        <v>-236.11</v>
      </c>
      <c r="I79" s="19">
        <v>-235</v>
      </c>
      <c r="J79" s="19">
        <v>-235</v>
      </c>
      <c r="K79" s="19">
        <v>-235</v>
      </c>
      <c r="L79" s="19">
        <v>-235</v>
      </c>
      <c r="M79" s="19">
        <v>-235</v>
      </c>
      <c r="N79" s="19">
        <v>-235</v>
      </c>
      <c r="O79" s="19">
        <v>-235</v>
      </c>
      <c r="P79" s="19">
        <v>-235</v>
      </c>
      <c r="Q79" s="19">
        <v>-235</v>
      </c>
      <c r="R79" s="20">
        <f t="shared" ref="R79:R140" si="59">SUM(F79:Q79)</f>
        <v>-2823.33</v>
      </c>
      <c r="T79" s="13" t="s">
        <v>630</v>
      </c>
      <c r="V79" s="173">
        <v>-235</v>
      </c>
      <c r="W79" s="173">
        <v>-235</v>
      </c>
      <c r="X79" s="173">
        <v>-235</v>
      </c>
      <c r="Y79" s="173">
        <v>-235</v>
      </c>
      <c r="Z79" s="173">
        <v>-235</v>
      </c>
      <c r="AA79" s="173">
        <v>-235</v>
      </c>
      <c r="AB79" s="173">
        <v>-235</v>
      </c>
      <c r="AC79" s="173">
        <v>-235</v>
      </c>
      <c r="AD79" s="173">
        <v>-235</v>
      </c>
      <c r="AE79" s="173">
        <v>-235</v>
      </c>
      <c r="AF79" s="173">
        <v>-235</v>
      </c>
      <c r="AG79" s="173">
        <v>-235</v>
      </c>
      <c r="AH79" s="20">
        <f t="shared" si="53"/>
        <v>-2820</v>
      </c>
      <c r="AJ79" s="173">
        <v>-235</v>
      </c>
      <c r="AK79" s="173">
        <v>-235</v>
      </c>
      <c r="AL79" s="173">
        <v>-235</v>
      </c>
      <c r="AM79" s="173">
        <v>-235</v>
      </c>
      <c r="AN79" s="173">
        <v>-235</v>
      </c>
      <c r="AO79" s="173">
        <v>-235</v>
      </c>
      <c r="AP79" s="173">
        <v>-235</v>
      </c>
      <c r="AQ79" s="173">
        <v>-235</v>
      </c>
      <c r="AR79" s="173">
        <v>-235</v>
      </c>
      <c r="AS79" s="173">
        <v>-235</v>
      </c>
      <c r="AT79" s="173">
        <v>-235</v>
      </c>
      <c r="AU79" s="173">
        <v>-235</v>
      </c>
      <c r="AV79" s="20">
        <f t="shared" si="55"/>
        <v>-2820</v>
      </c>
    </row>
    <row r="80" spans="1:48">
      <c r="A80" s="13" t="s">
        <v>105</v>
      </c>
      <c r="B80" s="13" t="s">
        <v>394</v>
      </c>
      <c r="C80" s="13" t="s">
        <v>147</v>
      </c>
      <c r="D80" s="13" t="s">
        <v>555</v>
      </c>
      <c r="E80" s="13" t="s">
        <v>631</v>
      </c>
      <c r="F80" s="19">
        <v>-333.23</v>
      </c>
      <c r="G80" s="19">
        <v>-333.23</v>
      </c>
      <c r="H80" s="19">
        <v>-333.23</v>
      </c>
      <c r="I80" s="19">
        <v>-333</v>
      </c>
      <c r="J80" s="19">
        <v>-333</v>
      </c>
      <c r="K80" s="19">
        <v>-333</v>
      </c>
      <c r="L80" s="19">
        <v>-333</v>
      </c>
      <c r="M80" s="19">
        <v>-333</v>
      </c>
      <c r="N80" s="19">
        <v>-333</v>
      </c>
      <c r="O80" s="19">
        <v>-333</v>
      </c>
      <c r="P80" s="19">
        <v>-333</v>
      </c>
      <c r="Q80" s="19">
        <v>-333</v>
      </c>
      <c r="R80" s="20">
        <f t="shared" si="59"/>
        <v>-3996.69</v>
      </c>
      <c r="T80" s="13" t="s">
        <v>632</v>
      </c>
      <c r="V80" s="173">
        <v>-333</v>
      </c>
      <c r="W80" s="173">
        <v>-333</v>
      </c>
      <c r="X80" s="173">
        <v>-333</v>
      </c>
      <c r="Y80" s="173">
        <v>-333</v>
      </c>
      <c r="Z80" s="173">
        <v>-333</v>
      </c>
      <c r="AA80" s="173">
        <v>-333</v>
      </c>
      <c r="AB80" s="173">
        <v>-333</v>
      </c>
      <c r="AC80" s="173">
        <v>-333</v>
      </c>
      <c r="AD80" s="173">
        <v>-333</v>
      </c>
      <c r="AE80" s="173">
        <v>-333</v>
      </c>
      <c r="AF80" s="173">
        <v>-333</v>
      </c>
      <c r="AG80" s="173">
        <v>-333</v>
      </c>
      <c r="AH80" s="20">
        <f t="shared" si="53"/>
        <v>-3996</v>
      </c>
      <c r="AJ80" s="173">
        <v>-333</v>
      </c>
      <c r="AK80" s="173">
        <v>-333</v>
      </c>
      <c r="AL80" s="173">
        <v>-333</v>
      </c>
      <c r="AM80" s="173">
        <v>-333</v>
      </c>
      <c r="AN80" s="173">
        <v>-333</v>
      </c>
      <c r="AO80" s="173">
        <v>-333</v>
      </c>
      <c r="AP80" s="173">
        <v>-333</v>
      </c>
      <c r="AQ80" s="173">
        <v>-333</v>
      </c>
      <c r="AR80" s="173">
        <v>-333</v>
      </c>
      <c r="AS80" s="173">
        <v>-333</v>
      </c>
      <c r="AT80" s="173">
        <v>-333</v>
      </c>
      <c r="AU80" s="173">
        <v>-333</v>
      </c>
      <c r="AV80" s="20">
        <f t="shared" si="55"/>
        <v>-3996</v>
      </c>
    </row>
    <row r="81" spans="1:48">
      <c r="A81" s="13" t="s">
        <v>105</v>
      </c>
      <c r="B81" s="13" t="s">
        <v>394</v>
      </c>
      <c r="C81" s="13" t="s">
        <v>147</v>
      </c>
      <c r="D81" s="13" t="s">
        <v>555</v>
      </c>
      <c r="E81" s="13" t="s">
        <v>633</v>
      </c>
      <c r="F81" s="19">
        <v>-23.38</v>
      </c>
      <c r="G81" s="19">
        <v>0</v>
      </c>
      <c r="H81" s="19">
        <v>0</v>
      </c>
      <c r="I81" s="19"/>
      <c r="J81" s="19"/>
      <c r="K81" s="19"/>
      <c r="L81" s="19"/>
      <c r="M81" s="19"/>
      <c r="N81" s="19"/>
      <c r="O81" s="19"/>
      <c r="P81" s="19"/>
      <c r="Q81" s="19"/>
      <c r="R81" s="20">
        <f t="shared" si="59"/>
        <v>-23.38</v>
      </c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20">
        <f t="shared" si="53"/>
        <v>0</v>
      </c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20">
        <f t="shared" si="55"/>
        <v>0</v>
      </c>
    </row>
    <row r="82" spans="1:48">
      <c r="A82" s="13" t="s">
        <v>105</v>
      </c>
      <c r="B82" s="13" t="s">
        <v>394</v>
      </c>
      <c r="C82" s="13" t="s">
        <v>147</v>
      </c>
      <c r="D82" s="13" t="s">
        <v>555</v>
      </c>
      <c r="E82" s="13" t="s">
        <v>634</v>
      </c>
      <c r="F82" s="19"/>
      <c r="G82" s="19"/>
      <c r="H82" s="19"/>
      <c r="I82" s="19"/>
      <c r="J82" s="19"/>
      <c r="K82" s="19"/>
      <c r="L82" s="19"/>
      <c r="M82" s="19"/>
      <c r="N82" s="19">
        <v>-1500</v>
      </c>
      <c r="O82" s="19">
        <v>-1500</v>
      </c>
      <c r="P82" s="19">
        <v>-1500</v>
      </c>
      <c r="Q82" s="19">
        <v>-1500</v>
      </c>
      <c r="R82" s="20">
        <f t="shared" si="59"/>
        <v>-6000</v>
      </c>
      <c r="T82" s="13" t="s">
        <v>582</v>
      </c>
      <c r="V82" s="19">
        <v>-1500</v>
      </c>
      <c r="W82" s="19">
        <v>-1500</v>
      </c>
      <c r="X82" s="19">
        <v>-1500</v>
      </c>
      <c r="Y82" s="19">
        <v>-1500</v>
      </c>
      <c r="Z82" s="19">
        <v>-1500</v>
      </c>
      <c r="AA82" s="19">
        <v>-1500</v>
      </c>
      <c r="AB82" s="19">
        <v>-1500</v>
      </c>
      <c r="AC82" s="19">
        <v>-1500</v>
      </c>
      <c r="AD82" s="19">
        <v>-1500</v>
      </c>
      <c r="AE82" s="19">
        <v>-1500</v>
      </c>
      <c r="AF82" s="19">
        <v>-1500</v>
      </c>
      <c r="AG82" s="19">
        <v>-1500</v>
      </c>
      <c r="AH82" s="20">
        <f t="shared" si="53"/>
        <v>-18000</v>
      </c>
      <c r="AJ82" s="19">
        <v>-1500</v>
      </c>
      <c r="AK82" s="19">
        <v>-1500</v>
      </c>
      <c r="AL82" s="19">
        <v>-1500</v>
      </c>
      <c r="AM82" s="19">
        <v>-1500</v>
      </c>
      <c r="AN82" s="19">
        <v>-1500</v>
      </c>
      <c r="AO82" s="19">
        <v>-1500</v>
      </c>
      <c r="AP82" s="19">
        <v>-1500</v>
      </c>
      <c r="AQ82" s="19">
        <v>-1500</v>
      </c>
      <c r="AR82" s="19">
        <v>-1500</v>
      </c>
      <c r="AS82" s="19">
        <v>-1500</v>
      </c>
      <c r="AT82" s="19">
        <v>-1500</v>
      </c>
      <c r="AU82" s="19">
        <v>-1500</v>
      </c>
      <c r="AV82" s="20">
        <f t="shared" si="55"/>
        <v>-18000</v>
      </c>
    </row>
    <row r="83" spans="1:48">
      <c r="A83" s="13" t="s">
        <v>105</v>
      </c>
      <c r="B83" s="13" t="s">
        <v>394</v>
      </c>
      <c r="C83" s="13" t="s">
        <v>147</v>
      </c>
      <c r="D83" s="13" t="s">
        <v>555</v>
      </c>
      <c r="E83" s="13" t="s">
        <v>608</v>
      </c>
      <c r="F83" s="19">
        <v>-2410</v>
      </c>
      <c r="G83" s="19">
        <v>-2410</v>
      </c>
      <c r="H83" s="19">
        <v>-2410</v>
      </c>
      <c r="I83" s="19">
        <v>-2410</v>
      </c>
      <c r="J83" s="19">
        <v>-1606</v>
      </c>
      <c r="K83" s="19">
        <v>-1606</v>
      </c>
      <c r="L83" s="19">
        <v>-1606</v>
      </c>
      <c r="M83" s="19">
        <v>-1606</v>
      </c>
      <c r="N83" s="19">
        <v>-1606</v>
      </c>
      <c r="O83" s="19">
        <v>-1606</v>
      </c>
      <c r="P83" s="19">
        <v>-1606</v>
      </c>
      <c r="Q83" s="19">
        <v>-1606</v>
      </c>
      <c r="R83" s="20">
        <f t="shared" si="59"/>
        <v>-22488</v>
      </c>
      <c r="T83" s="13" t="s">
        <v>635</v>
      </c>
      <c r="V83" s="19">
        <v>-1606</v>
      </c>
      <c r="W83" s="19">
        <v>-1606</v>
      </c>
      <c r="X83" s="19">
        <v>-1606</v>
      </c>
      <c r="Y83" s="19">
        <v>-1606</v>
      </c>
      <c r="Z83" s="19">
        <v>-1606</v>
      </c>
      <c r="AA83" s="19">
        <v>-1606</v>
      </c>
      <c r="AB83" s="19">
        <v>-1606</v>
      </c>
      <c r="AC83" s="19">
        <v>-1606</v>
      </c>
      <c r="AD83" s="19">
        <v>-1606</v>
      </c>
      <c r="AE83" s="19">
        <v>-1606</v>
      </c>
      <c r="AF83" s="19">
        <v>-1606</v>
      </c>
      <c r="AG83" s="19">
        <v>-1606</v>
      </c>
      <c r="AH83" s="20">
        <f t="shared" si="53"/>
        <v>-19272</v>
      </c>
      <c r="AJ83" s="19">
        <v>-1606</v>
      </c>
      <c r="AK83" s="19">
        <v>-1606</v>
      </c>
      <c r="AL83" s="19">
        <v>-1606</v>
      </c>
      <c r="AM83" s="19">
        <v>-1606</v>
      </c>
      <c r="AN83" s="19">
        <v>-1606</v>
      </c>
      <c r="AO83" s="19">
        <v>-1606</v>
      </c>
      <c r="AP83" s="19">
        <v>-1606</v>
      </c>
      <c r="AQ83" s="19">
        <v>-1606</v>
      </c>
      <c r="AR83" s="19">
        <v>-1606</v>
      </c>
      <c r="AS83" s="19">
        <v>-1606</v>
      </c>
      <c r="AT83" s="19">
        <v>-1606</v>
      </c>
      <c r="AU83" s="19">
        <v>-1606</v>
      </c>
      <c r="AV83" s="20">
        <f t="shared" si="55"/>
        <v>-19272</v>
      </c>
    </row>
    <row r="84" spans="1:48">
      <c r="A84" s="13" t="s">
        <v>105</v>
      </c>
      <c r="B84" s="13" t="s">
        <v>394</v>
      </c>
      <c r="C84" s="13" t="s">
        <v>147</v>
      </c>
      <c r="D84" s="13" t="s">
        <v>636</v>
      </c>
      <c r="E84" s="13" t="s">
        <v>637</v>
      </c>
      <c r="F84" s="19">
        <v>-240</v>
      </c>
      <c r="G84" s="19">
        <v>-240</v>
      </c>
      <c r="H84" s="19">
        <v>-240</v>
      </c>
      <c r="I84" s="19">
        <v>-240</v>
      </c>
      <c r="J84" s="19">
        <v>-41</v>
      </c>
      <c r="K84" s="19">
        <v>-41</v>
      </c>
      <c r="L84" s="19">
        <v>-41</v>
      </c>
      <c r="M84" s="19">
        <v>-41</v>
      </c>
      <c r="N84" s="19">
        <v>-41</v>
      </c>
      <c r="O84" s="19">
        <v>-41</v>
      </c>
      <c r="P84" s="19">
        <v>-41</v>
      </c>
      <c r="Q84" s="19">
        <v>-41</v>
      </c>
      <c r="R84" s="20">
        <f t="shared" si="59"/>
        <v>-1288</v>
      </c>
      <c r="T84" s="13" t="s">
        <v>638</v>
      </c>
      <c r="V84" s="19">
        <v>-41</v>
      </c>
      <c r="W84" s="19">
        <v>-41</v>
      </c>
      <c r="X84" s="19">
        <v>-41</v>
      </c>
      <c r="Y84" s="19">
        <v>-41</v>
      </c>
      <c r="Z84" s="19">
        <v>-41</v>
      </c>
      <c r="AA84" s="19">
        <v>-41</v>
      </c>
      <c r="AB84" s="19">
        <v>-41</v>
      </c>
      <c r="AC84" s="19">
        <v>-41</v>
      </c>
      <c r="AD84" s="19">
        <v>-41</v>
      </c>
      <c r="AE84" s="19">
        <v>-41</v>
      </c>
      <c r="AF84" s="19">
        <v>-41</v>
      </c>
      <c r="AG84" s="19">
        <v>-41</v>
      </c>
      <c r="AH84" s="20">
        <f t="shared" si="53"/>
        <v>-492</v>
      </c>
      <c r="AJ84" s="19">
        <v>-41</v>
      </c>
      <c r="AK84" s="19">
        <v>-41</v>
      </c>
      <c r="AL84" s="19">
        <v>-41</v>
      </c>
      <c r="AM84" s="19">
        <v>-41</v>
      </c>
      <c r="AN84" s="19">
        <v>-41</v>
      </c>
      <c r="AO84" s="19">
        <v>-41</v>
      </c>
      <c r="AP84" s="19">
        <v>-41</v>
      </c>
      <c r="AQ84" s="19">
        <v>-41</v>
      </c>
      <c r="AR84" s="19">
        <v>-41</v>
      </c>
      <c r="AS84" s="19">
        <v>-41</v>
      </c>
      <c r="AT84" s="19">
        <v>-41</v>
      </c>
      <c r="AU84" s="19">
        <v>-41</v>
      </c>
      <c r="AV84" s="20">
        <f t="shared" si="55"/>
        <v>-492</v>
      </c>
    </row>
    <row r="85" spans="1:48">
      <c r="A85" s="13" t="s">
        <v>105</v>
      </c>
      <c r="B85" s="13" t="s">
        <v>394</v>
      </c>
      <c r="C85" s="13" t="s">
        <v>147</v>
      </c>
      <c r="D85" s="13" t="s">
        <v>636</v>
      </c>
      <c r="E85" s="13" t="s">
        <v>639</v>
      </c>
      <c r="F85" s="19">
        <v>-25</v>
      </c>
      <c r="G85" s="19">
        <v>-25</v>
      </c>
      <c r="H85" s="19">
        <v>-25</v>
      </c>
      <c r="I85" s="19">
        <v>-25</v>
      </c>
      <c r="J85" s="19">
        <v>-8</v>
      </c>
      <c r="K85" s="19">
        <v>-8</v>
      </c>
      <c r="L85" s="19">
        <v>-8</v>
      </c>
      <c r="M85" s="19">
        <v>-8</v>
      </c>
      <c r="N85" s="19">
        <v>-8</v>
      </c>
      <c r="O85" s="19">
        <v>-8</v>
      </c>
      <c r="P85" s="19">
        <v>-8</v>
      </c>
      <c r="Q85" s="19">
        <v>-8</v>
      </c>
      <c r="R85" s="20">
        <f t="shared" si="59"/>
        <v>-164</v>
      </c>
      <c r="T85" s="13" t="s">
        <v>640</v>
      </c>
      <c r="V85" s="19">
        <v>-8</v>
      </c>
      <c r="W85" s="19">
        <v>-8</v>
      </c>
      <c r="X85" s="19">
        <v>-8</v>
      </c>
      <c r="Y85" s="19">
        <v>-8</v>
      </c>
      <c r="Z85" s="19">
        <v>-8</v>
      </c>
      <c r="AA85" s="19">
        <v>-8</v>
      </c>
      <c r="AB85" s="19">
        <v>-8</v>
      </c>
      <c r="AC85" s="19">
        <v>-8</v>
      </c>
      <c r="AD85" s="19">
        <v>-8</v>
      </c>
      <c r="AE85" s="19">
        <v>-8</v>
      </c>
      <c r="AF85" s="19">
        <v>-8</v>
      </c>
      <c r="AG85" s="19">
        <v>-8</v>
      </c>
      <c r="AH85" s="20">
        <f t="shared" si="53"/>
        <v>-96</v>
      </c>
      <c r="AJ85" s="19">
        <v>-8</v>
      </c>
      <c r="AK85" s="19">
        <v>-8</v>
      </c>
      <c r="AL85" s="19">
        <v>-8</v>
      </c>
      <c r="AM85" s="19">
        <v>-8</v>
      </c>
      <c r="AN85" s="19">
        <v>-8</v>
      </c>
      <c r="AO85" s="19">
        <v>-8</v>
      </c>
      <c r="AP85" s="19">
        <v>-8</v>
      </c>
      <c r="AQ85" s="19">
        <v>-8</v>
      </c>
      <c r="AR85" s="19">
        <v>-8</v>
      </c>
      <c r="AS85" s="19">
        <v>-8</v>
      </c>
      <c r="AT85" s="19">
        <v>-8</v>
      </c>
      <c r="AU85" s="19">
        <v>-8</v>
      </c>
      <c r="AV85" s="20">
        <f t="shared" si="55"/>
        <v>-96</v>
      </c>
    </row>
    <row r="86" spans="1:48">
      <c r="A86" s="13" t="s">
        <v>105</v>
      </c>
      <c r="B86" s="13" t="s">
        <v>394</v>
      </c>
      <c r="C86" s="13" t="s">
        <v>147</v>
      </c>
      <c r="D86" s="13" t="s">
        <v>636</v>
      </c>
      <c r="E86" s="13" t="s">
        <v>641</v>
      </c>
      <c r="F86" s="19">
        <v>-13</v>
      </c>
      <c r="G86" s="19">
        <v>-13</v>
      </c>
      <c r="H86" s="19">
        <v>-13</v>
      </c>
      <c r="I86" s="19">
        <v>-13</v>
      </c>
      <c r="J86" s="19"/>
      <c r="K86" s="19"/>
      <c r="L86" s="19"/>
      <c r="M86" s="19"/>
      <c r="N86" s="19"/>
      <c r="O86" s="19"/>
      <c r="P86" s="19"/>
      <c r="Q86" s="19"/>
      <c r="R86" s="20">
        <f t="shared" si="59"/>
        <v>-52</v>
      </c>
      <c r="T86" s="13" t="s">
        <v>642</v>
      </c>
      <c r="V86" s="19">
        <v>0</v>
      </c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20">
        <f t="shared" si="53"/>
        <v>0</v>
      </c>
      <c r="AJ86" s="19">
        <v>0</v>
      </c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20">
        <f t="shared" si="55"/>
        <v>0</v>
      </c>
    </row>
    <row r="87" spans="1:48">
      <c r="A87" s="13" t="s">
        <v>105</v>
      </c>
      <c r="B87" s="13" t="s">
        <v>394</v>
      </c>
      <c r="C87" s="13" t="s">
        <v>147</v>
      </c>
      <c r="D87" s="13" t="s">
        <v>636</v>
      </c>
      <c r="E87" s="13" t="s">
        <v>643</v>
      </c>
      <c r="F87" s="19">
        <v>-27</v>
      </c>
      <c r="G87" s="19">
        <v>-27</v>
      </c>
      <c r="H87" s="19">
        <v>-27</v>
      </c>
      <c r="I87" s="19">
        <v>-27</v>
      </c>
      <c r="J87" s="19"/>
      <c r="K87" s="19"/>
      <c r="L87" s="19"/>
      <c r="M87" s="19"/>
      <c r="N87" s="19"/>
      <c r="O87" s="19"/>
      <c r="P87" s="19"/>
      <c r="Q87" s="19"/>
      <c r="R87" s="20">
        <f t="shared" si="59"/>
        <v>-108</v>
      </c>
      <c r="T87" s="13" t="s">
        <v>644</v>
      </c>
      <c r="V87" s="19">
        <v>0</v>
      </c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20">
        <f t="shared" si="53"/>
        <v>0</v>
      </c>
      <c r="AJ87" s="19">
        <v>0</v>
      </c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20">
        <f t="shared" si="55"/>
        <v>0</v>
      </c>
    </row>
    <row r="88" spans="1:48">
      <c r="A88" s="13" t="s">
        <v>105</v>
      </c>
      <c r="B88" s="13" t="s">
        <v>394</v>
      </c>
      <c r="C88" s="13" t="s">
        <v>147</v>
      </c>
      <c r="D88" s="13" t="s">
        <v>636</v>
      </c>
      <c r="E88" s="13" t="s">
        <v>645</v>
      </c>
      <c r="F88" s="19">
        <v>-355</v>
      </c>
      <c r="G88" s="19">
        <v>-355</v>
      </c>
      <c r="H88" s="19">
        <v>-355</v>
      </c>
      <c r="I88" s="19">
        <v>-355</v>
      </c>
      <c r="J88" s="19">
        <v>-40</v>
      </c>
      <c r="K88" s="19">
        <v>-40</v>
      </c>
      <c r="L88" s="19">
        <v>-40</v>
      </c>
      <c r="M88" s="19">
        <v>-40</v>
      </c>
      <c r="N88" s="19">
        <v>-40</v>
      </c>
      <c r="O88" s="19">
        <v>-40</v>
      </c>
      <c r="P88" s="19">
        <v>-40</v>
      </c>
      <c r="Q88" s="19">
        <v>-40</v>
      </c>
      <c r="R88" s="20">
        <f t="shared" si="59"/>
        <v>-1740</v>
      </c>
      <c r="T88" s="13" t="s">
        <v>646</v>
      </c>
      <c r="V88" s="19">
        <v>-40</v>
      </c>
      <c r="W88" s="19">
        <v>-40</v>
      </c>
      <c r="X88" s="19">
        <v>-40</v>
      </c>
      <c r="Y88" s="19">
        <v>-40</v>
      </c>
      <c r="Z88" s="19">
        <v>-40</v>
      </c>
      <c r="AA88" s="19">
        <v>-40</v>
      </c>
      <c r="AB88" s="19">
        <v>-40</v>
      </c>
      <c r="AC88" s="19">
        <v>-40</v>
      </c>
      <c r="AD88" s="19">
        <v>-40</v>
      </c>
      <c r="AE88" s="19">
        <v>-40</v>
      </c>
      <c r="AF88" s="19">
        <v>-40</v>
      </c>
      <c r="AG88" s="19">
        <v>-40</v>
      </c>
      <c r="AH88" s="20">
        <f t="shared" si="53"/>
        <v>-480</v>
      </c>
      <c r="AJ88" s="19">
        <v>-40</v>
      </c>
      <c r="AK88" s="19">
        <v>-40</v>
      </c>
      <c r="AL88" s="19">
        <v>-40</v>
      </c>
      <c r="AM88" s="19">
        <v>-40</v>
      </c>
      <c r="AN88" s="19">
        <v>-40</v>
      </c>
      <c r="AO88" s="19">
        <v>-40</v>
      </c>
      <c r="AP88" s="19">
        <v>-40</v>
      </c>
      <c r="AQ88" s="19">
        <v>-40</v>
      </c>
      <c r="AR88" s="19">
        <v>-40</v>
      </c>
      <c r="AS88" s="19">
        <v>-40</v>
      </c>
      <c r="AT88" s="19">
        <v>-40</v>
      </c>
      <c r="AU88" s="19">
        <v>-40</v>
      </c>
      <c r="AV88" s="20">
        <f t="shared" si="55"/>
        <v>-480</v>
      </c>
    </row>
    <row r="89" spans="1:48">
      <c r="A89" s="13" t="s">
        <v>105</v>
      </c>
      <c r="B89" s="13" t="s">
        <v>394</v>
      </c>
      <c r="C89" s="13" t="s">
        <v>147</v>
      </c>
      <c r="D89" s="13" t="s">
        <v>636</v>
      </c>
      <c r="E89" s="13" t="s">
        <v>647</v>
      </c>
      <c r="F89" s="19">
        <v>-37</v>
      </c>
      <c r="G89" s="19">
        <v>-37</v>
      </c>
      <c r="H89" s="19">
        <v>-37</v>
      </c>
      <c r="I89" s="19">
        <v>-37</v>
      </c>
      <c r="J89" s="19">
        <v>-12</v>
      </c>
      <c r="K89" s="19">
        <v>-12</v>
      </c>
      <c r="L89" s="19">
        <v>-12</v>
      </c>
      <c r="M89" s="19">
        <v>-12</v>
      </c>
      <c r="N89" s="19">
        <v>-12</v>
      </c>
      <c r="O89" s="19">
        <v>-12</v>
      </c>
      <c r="P89" s="19">
        <v>-12</v>
      </c>
      <c r="Q89" s="19">
        <v>-12</v>
      </c>
      <c r="R89" s="20">
        <f t="shared" si="59"/>
        <v>-244</v>
      </c>
      <c r="T89" s="13" t="s">
        <v>648</v>
      </c>
      <c r="V89" s="19">
        <v>-12</v>
      </c>
      <c r="W89" s="19">
        <v>-12</v>
      </c>
      <c r="X89" s="19">
        <v>-12</v>
      </c>
      <c r="Y89" s="19">
        <v>-12</v>
      </c>
      <c r="Z89" s="19">
        <v>-12</v>
      </c>
      <c r="AA89" s="19">
        <v>-12</v>
      </c>
      <c r="AB89" s="19">
        <v>-12</v>
      </c>
      <c r="AC89" s="19">
        <v>-12</v>
      </c>
      <c r="AD89" s="19">
        <v>-12</v>
      </c>
      <c r="AE89" s="19">
        <v>-12</v>
      </c>
      <c r="AF89" s="19">
        <v>-12</v>
      </c>
      <c r="AG89" s="19">
        <v>-12</v>
      </c>
      <c r="AH89" s="20">
        <f t="shared" si="53"/>
        <v>-144</v>
      </c>
      <c r="AJ89" s="19">
        <v>-12</v>
      </c>
      <c r="AK89" s="19">
        <v>-12</v>
      </c>
      <c r="AL89" s="19">
        <v>-12</v>
      </c>
      <c r="AM89" s="19">
        <v>-12</v>
      </c>
      <c r="AN89" s="19">
        <v>-12</v>
      </c>
      <c r="AO89" s="19">
        <v>-12</v>
      </c>
      <c r="AP89" s="19">
        <v>-12</v>
      </c>
      <c r="AQ89" s="19">
        <v>-12</v>
      </c>
      <c r="AR89" s="19">
        <v>-12</v>
      </c>
      <c r="AS89" s="19">
        <v>-12</v>
      </c>
      <c r="AT89" s="19">
        <v>-12</v>
      </c>
      <c r="AU89" s="19">
        <v>-12</v>
      </c>
      <c r="AV89" s="20">
        <f t="shared" si="55"/>
        <v>-144</v>
      </c>
    </row>
    <row r="90" spans="1:48">
      <c r="A90" s="13" t="s">
        <v>105</v>
      </c>
      <c r="B90" s="13" t="s">
        <v>394</v>
      </c>
      <c r="C90" s="13" t="s">
        <v>147</v>
      </c>
      <c r="D90" s="13" t="s">
        <v>636</v>
      </c>
      <c r="E90" s="13" t="s">
        <v>649</v>
      </c>
      <c r="F90" s="19">
        <v>-170</v>
      </c>
      <c r="G90" s="19">
        <v>-170</v>
      </c>
      <c r="H90" s="19">
        <v>-170</v>
      </c>
      <c r="I90" s="19">
        <v>-170</v>
      </c>
      <c r="J90" s="19">
        <v>-28</v>
      </c>
      <c r="K90" s="19">
        <v>-28</v>
      </c>
      <c r="L90" s="19">
        <v>-28</v>
      </c>
      <c r="M90" s="19">
        <v>-28</v>
      </c>
      <c r="N90" s="19">
        <v>-28</v>
      </c>
      <c r="O90" s="19">
        <v>-28</v>
      </c>
      <c r="P90" s="19">
        <v>-28</v>
      </c>
      <c r="Q90" s="19">
        <v>-28</v>
      </c>
      <c r="R90" s="20">
        <f t="shared" si="59"/>
        <v>-904</v>
      </c>
      <c r="T90" s="13" t="s">
        <v>650</v>
      </c>
      <c r="V90" s="19">
        <v>-28</v>
      </c>
      <c r="W90" s="19">
        <v>-28</v>
      </c>
      <c r="X90" s="19">
        <v>-28</v>
      </c>
      <c r="Y90" s="19">
        <v>-28</v>
      </c>
      <c r="Z90" s="19">
        <v>-28</v>
      </c>
      <c r="AA90" s="19">
        <v>-28</v>
      </c>
      <c r="AB90" s="19">
        <v>-28</v>
      </c>
      <c r="AC90" s="19">
        <v>-28</v>
      </c>
      <c r="AD90" s="19">
        <v>-28</v>
      </c>
      <c r="AE90" s="19">
        <v>-28</v>
      </c>
      <c r="AF90" s="19">
        <v>-28</v>
      </c>
      <c r="AG90" s="19">
        <v>-28</v>
      </c>
      <c r="AH90" s="20">
        <f t="shared" si="53"/>
        <v>-336</v>
      </c>
      <c r="AJ90" s="19">
        <v>-28</v>
      </c>
      <c r="AK90" s="19">
        <v>-28</v>
      </c>
      <c r="AL90" s="19">
        <v>-28</v>
      </c>
      <c r="AM90" s="19">
        <v>-28</v>
      </c>
      <c r="AN90" s="19">
        <v>-28</v>
      </c>
      <c r="AO90" s="19">
        <v>-28</v>
      </c>
      <c r="AP90" s="19">
        <v>-28</v>
      </c>
      <c r="AQ90" s="19">
        <v>-28</v>
      </c>
      <c r="AR90" s="19">
        <v>-28</v>
      </c>
      <c r="AS90" s="19">
        <v>-28</v>
      </c>
      <c r="AT90" s="19">
        <v>-28</v>
      </c>
      <c r="AU90" s="19">
        <v>-28</v>
      </c>
      <c r="AV90" s="20">
        <f t="shared" si="55"/>
        <v>-336</v>
      </c>
    </row>
    <row r="91" spans="1:48">
      <c r="A91" s="13" t="s">
        <v>105</v>
      </c>
      <c r="B91" s="13" t="s">
        <v>394</v>
      </c>
      <c r="C91" s="13" t="s">
        <v>147</v>
      </c>
      <c r="D91" s="13" t="s">
        <v>636</v>
      </c>
      <c r="E91" s="13" t="s">
        <v>651</v>
      </c>
      <c r="F91" s="19">
        <v>-557</v>
      </c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20">
        <f t="shared" si="59"/>
        <v>-557</v>
      </c>
      <c r="T91" s="13" t="s">
        <v>584</v>
      </c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20">
        <f t="shared" si="53"/>
        <v>0</v>
      </c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20">
        <f t="shared" si="55"/>
        <v>0</v>
      </c>
    </row>
    <row r="92" spans="1:48">
      <c r="A92" s="13" t="s">
        <v>105</v>
      </c>
      <c r="B92" s="13" t="s">
        <v>394</v>
      </c>
      <c r="C92" s="13" t="s">
        <v>147</v>
      </c>
      <c r="D92" s="13" t="s">
        <v>636</v>
      </c>
      <c r="E92" s="13" t="s">
        <v>652</v>
      </c>
      <c r="F92" s="19">
        <v>-16</v>
      </c>
      <c r="G92" s="19">
        <v>-16</v>
      </c>
      <c r="H92" s="19">
        <v>-16</v>
      </c>
      <c r="I92" s="19">
        <v>-16</v>
      </c>
      <c r="J92" s="19">
        <v>-16</v>
      </c>
      <c r="K92" s="19">
        <v>-16</v>
      </c>
      <c r="L92" s="19">
        <v>-16</v>
      </c>
      <c r="M92" s="19">
        <v>-16</v>
      </c>
      <c r="N92" s="19">
        <v>-16</v>
      </c>
      <c r="O92" s="19">
        <v>-16</v>
      </c>
      <c r="P92" s="19">
        <v>-16</v>
      </c>
      <c r="Q92" s="19">
        <v>-16</v>
      </c>
      <c r="R92" s="20">
        <f t="shared" si="59"/>
        <v>-192</v>
      </c>
      <c r="T92" s="13" t="s">
        <v>653</v>
      </c>
      <c r="V92" s="19">
        <v>-16</v>
      </c>
      <c r="W92" s="19">
        <v>-16</v>
      </c>
      <c r="X92" s="19">
        <v>-16</v>
      </c>
      <c r="Y92" s="19">
        <v>-16</v>
      </c>
      <c r="Z92" s="19">
        <v>-16</v>
      </c>
      <c r="AA92" s="19">
        <v>-16</v>
      </c>
      <c r="AB92" s="19">
        <v>-16</v>
      </c>
      <c r="AC92" s="19">
        <v>-16</v>
      </c>
      <c r="AD92" s="19">
        <v>-16</v>
      </c>
      <c r="AE92" s="19">
        <v>-16</v>
      </c>
      <c r="AF92" s="19">
        <v>-16</v>
      </c>
      <c r="AG92" s="19">
        <v>-16</v>
      </c>
      <c r="AH92" s="20">
        <f t="shared" si="53"/>
        <v>-192</v>
      </c>
      <c r="AJ92" s="19">
        <v>-16</v>
      </c>
      <c r="AK92" s="19">
        <v>-16</v>
      </c>
      <c r="AL92" s="19">
        <v>-16</v>
      </c>
      <c r="AM92" s="19">
        <v>-16</v>
      </c>
      <c r="AN92" s="19">
        <v>-16</v>
      </c>
      <c r="AO92" s="19">
        <v>-16</v>
      </c>
      <c r="AP92" s="19">
        <v>-16</v>
      </c>
      <c r="AQ92" s="19">
        <v>-16</v>
      </c>
      <c r="AR92" s="19">
        <v>-16</v>
      </c>
      <c r="AS92" s="19">
        <v>-16</v>
      </c>
      <c r="AT92" s="19">
        <v>-16</v>
      </c>
      <c r="AU92" s="19">
        <v>-16</v>
      </c>
      <c r="AV92" s="20">
        <f t="shared" si="55"/>
        <v>-192</v>
      </c>
    </row>
    <row r="93" spans="1:48">
      <c r="A93" s="13" t="s">
        <v>105</v>
      </c>
      <c r="B93" s="13" t="s">
        <v>394</v>
      </c>
      <c r="C93" s="13" t="s">
        <v>147</v>
      </c>
      <c r="D93" s="13" t="s">
        <v>636</v>
      </c>
      <c r="E93" s="13" t="s">
        <v>654</v>
      </c>
      <c r="F93" s="19">
        <v>-523</v>
      </c>
      <c r="G93" s="19">
        <v>-523</v>
      </c>
      <c r="H93" s="19">
        <v>-523</v>
      </c>
      <c r="I93" s="19">
        <v>-523</v>
      </c>
      <c r="J93" s="19">
        <v>-523</v>
      </c>
      <c r="K93" s="19">
        <v>-523</v>
      </c>
      <c r="L93" s="19">
        <v>-523</v>
      </c>
      <c r="M93" s="19">
        <v>-523</v>
      </c>
      <c r="N93" s="19">
        <v>-523</v>
      </c>
      <c r="O93" s="19">
        <v>-523</v>
      </c>
      <c r="P93" s="19">
        <v>-523</v>
      </c>
      <c r="Q93" s="19">
        <v>-523</v>
      </c>
      <c r="R93" s="20">
        <f t="shared" si="59"/>
        <v>-6276</v>
      </c>
      <c r="T93" s="13" t="s">
        <v>655</v>
      </c>
      <c r="V93" s="19">
        <v>-523</v>
      </c>
      <c r="W93" s="19">
        <v>-523</v>
      </c>
      <c r="X93" s="19">
        <v>-523</v>
      </c>
      <c r="Y93" s="19">
        <v>-523</v>
      </c>
      <c r="Z93" s="19">
        <v>-523</v>
      </c>
      <c r="AA93" s="19">
        <v>-523</v>
      </c>
      <c r="AB93" s="19">
        <v>-523</v>
      </c>
      <c r="AC93" s="19">
        <v>-523</v>
      </c>
      <c r="AD93" s="19">
        <v>-523</v>
      </c>
      <c r="AE93" s="19">
        <v>-523</v>
      </c>
      <c r="AF93" s="19">
        <v>-523</v>
      </c>
      <c r="AG93" s="19">
        <v>-523</v>
      </c>
      <c r="AH93" s="20">
        <f t="shared" si="53"/>
        <v>-6276</v>
      </c>
      <c r="AJ93" s="19">
        <v>-523</v>
      </c>
      <c r="AK93" s="19">
        <v>-523</v>
      </c>
      <c r="AL93" s="19">
        <v>-523</v>
      </c>
      <c r="AM93" s="19">
        <v>-523</v>
      </c>
      <c r="AN93" s="19">
        <v>-523</v>
      </c>
      <c r="AO93" s="19">
        <v>-523</v>
      </c>
      <c r="AP93" s="19">
        <v>-523</v>
      </c>
      <c r="AQ93" s="19">
        <v>-523</v>
      </c>
      <c r="AR93" s="19">
        <v>-523</v>
      </c>
      <c r="AS93" s="19">
        <v>-523</v>
      </c>
      <c r="AT93" s="19">
        <v>-523</v>
      </c>
      <c r="AU93" s="19">
        <v>-523</v>
      </c>
      <c r="AV93" s="20">
        <f t="shared" si="55"/>
        <v>-6276</v>
      </c>
    </row>
    <row r="94" spans="1:48">
      <c r="A94" s="13" t="s">
        <v>105</v>
      </c>
      <c r="B94" s="13" t="s">
        <v>394</v>
      </c>
      <c r="C94" s="13" t="s">
        <v>147</v>
      </c>
      <c r="D94" s="13" t="s">
        <v>636</v>
      </c>
      <c r="E94" s="13" t="s">
        <v>656</v>
      </c>
      <c r="F94" s="19">
        <v>-1968</v>
      </c>
      <c r="G94" s="19">
        <v>-1968</v>
      </c>
      <c r="H94" s="19">
        <v>-1968</v>
      </c>
      <c r="I94" s="19">
        <v>-1968</v>
      </c>
      <c r="J94" s="19">
        <v>-1968</v>
      </c>
      <c r="K94" s="19">
        <v>-1968</v>
      </c>
      <c r="L94" s="19">
        <v>-1968</v>
      </c>
      <c r="M94" s="19">
        <v>-1968</v>
      </c>
      <c r="N94" s="19">
        <v>-1968</v>
      </c>
      <c r="O94" s="19">
        <v>-1968</v>
      </c>
      <c r="P94" s="19">
        <v>-1968</v>
      </c>
      <c r="Q94" s="19">
        <v>-1968</v>
      </c>
      <c r="R94" s="20">
        <f t="shared" si="59"/>
        <v>-23616</v>
      </c>
      <c r="T94" s="13" t="s">
        <v>657</v>
      </c>
      <c r="V94" s="19">
        <v>-1968</v>
      </c>
      <c r="W94" s="19">
        <v>-1968</v>
      </c>
      <c r="X94" s="19">
        <v>-1968</v>
      </c>
      <c r="Y94" s="19">
        <v>-1968</v>
      </c>
      <c r="Z94" s="19">
        <v>-1968</v>
      </c>
      <c r="AA94" s="19">
        <v>-1968</v>
      </c>
      <c r="AB94" s="19">
        <v>-1968</v>
      </c>
      <c r="AC94" s="19">
        <v>-1968</v>
      </c>
      <c r="AD94" s="19">
        <v>-1968</v>
      </c>
      <c r="AE94" s="19">
        <v>-1968</v>
      </c>
      <c r="AF94" s="19">
        <v>-1968</v>
      </c>
      <c r="AG94" s="19">
        <v>-1968</v>
      </c>
      <c r="AH94" s="20">
        <f t="shared" si="53"/>
        <v>-23616</v>
      </c>
      <c r="AJ94" s="19">
        <v>-1968</v>
      </c>
      <c r="AK94" s="19">
        <v>-1968</v>
      </c>
      <c r="AL94" s="19">
        <v>-1968</v>
      </c>
      <c r="AM94" s="19">
        <v>-1968</v>
      </c>
      <c r="AN94" s="19">
        <v>-1968</v>
      </c>
      <c r="AO94" s="19">
        <v>-1968</v>
      </c>
      <c r="AP94" s="19">
        <v>-1968</v>
      </c>
      <c r="AQ94" s="19">
        <v>-1968</v>
      </c>
      <c r="AR94" s="19">
        <v>-1968</v>
      </c>
      <c r="AS94" s="19">
        <v>-1968</v>
      </c>
      <c r="AT94" s="19">
        <v>-1968</v>
      </c>
      <c r="AU94" s="19">
        <v>-1968</v>
      </c>
      <c r="AV94" s="20">
        <f t="shared" si="55"/>
        <v>-23616</v>
      </c>
    </row>
    <row r="95" spans="1:48">
      <c r="A95" s="13" t="s">
        <v>105</v>
      </c>
      <c r="B95" s="13" t="s">
        <v>395</v>
      </c>
      <c r="C95" s="13" t="s">
        <v>147</v>
      </c>
      <c r="D95" s="13" t="s">
        <v>555</v>
      </c>
      <c r="E95" s="13" t="s">
        <v>658</v>
      </c>
      <c r="F95" s="19">
        <v>-260</v>
      </c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20">
        <f t="shared" si="59"/>
        <v>-260</v>
      </c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20">
        <f t="shared" si="53"/>
        <v>0</v>
      </c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20">
        <f t="shared" si="55"/>
        <v>0</v>
      </c>
    </row>
    <row r="96" spans="1:48">
      <c r="A96" s="13" t="s">
        <v>105</v>
      </c>
      <c r="B96" s="13" t="s">
        <v>396</v>
      </c>
      <c r="C96" s="13" t="s">
        <v>147</v>
      </c>
      <c r="D96" s="13" t="s">
        <v>596</v>
      </c>
      <c r="E96" s="13" t="s">
        <v>659</v>
      </c>
      <c r="F96" s="19">
        <v>-2000</v>
      </c>
      <c r="G96" s="19">
        <v>-2000</v>
      </c>
      <c r="H96" s="19">
        <v>-2000</v>
      </c>
      <c r="I96" s="19">
        <v>-2000</v>
      </c>
      <c r="J96" s="19">
        <v>-2000</v>
      </c>
      <c r="K96" s="19">
        <v>-2000</v>
      </c>
      <c r="L96" s="19">
        <v>-1542</v>
      </c>
      <c r="M96" s="19">
        <v>-1272</v>
      </c>
      <c r="N96" s="19">
        <v>-1409</v>
      </c>
      <c r="O96" s="19">
        <v>-1651</v>
      </c>
      <c r="P96" s="19">
        <v>-1691</v>
      </c>
      <c r="Q96" s="19">
        <v>-1707</v>
      </c>
      <c r="R96" s="20">
        <f t="shared" si="59"/>
        <v>-21272</v>
      </c>
      <c r="T96" s="13" t="s">
        <v>396</v>
      </c>
      <c r="V96" s="19">
        <v>-1707</v>
      </c>
      <c r="W96" s="19">
        <v>-1707</v>
      </c>
      <c r="X96" s="19">
        <v>-1707</v>
      </c>
      <c r="Y96" s="19">
        <v>-1707</v>
      </c>
      <c r="Z96" s="19">
        <v>-1707</v>
      </c>
      <c r="AA96" s="19">
        <v>-1707</v>
      </c>
      <c r="AB96" s="19">
        <v>-1707</v>
      </c>
      <c r="AC96" s="19">
        <v>-1707</v>
      </c>
      <c r="AD96" s="19">
        <v>-1707</v>
      </c>
      <c r="AE96" s="19">
        <v>-1707</v>
      </c>
      <c r="AF96" s="19">
        <v>-1707</v>
      </c>
      <c r="AG96" s="19">
        <v>-1707</v>
      </c>
      <c r="AH96" s="20">
        <f t="shared" si="53"/>
        <v>-20484</v>
      </c>
      <c r="AJ96" s="19">
        <v>-1707</v>
      </c>
      <c r="AK96" s="19">
        <v>-1707</v>
      </c>
      <c r="AL96" s="19">
        <v>-1707</v>
      </c>
      <c r="AM96" s="19">
        <v>-1707</v>
      </c>
      <c r="AN96" s="19">
        <v>-1707</v>
      </c>
      <c r="AO96" s="19">
        <v>-1707</v>
      </c>
      <c r="AP96" s="19">
        <v>-1707</v>
      </c>
      <c r="AQ96" s="19">
        <v>-1707</v>
      </c>
      <c r="AR96" s="19">
        <v>-1707</v>
      </c>
      <c r="AS96" s="19">
        <v>-1707</v>
      </c>
      <c r="AT96" s="19">
        <v>-1707</v>
      </c>
      <c r="AU96" s="19">
        <v>-1707</v>
      </c>
      <c r="AV96" s="20">
        <f t="shared" si="55"/>
        <v>-20484</v>
      </c>
    </row>
    <row r="97" spans="1:48">
      <c r="A97" s="13" t="s">
        <v>105</v>
      </c>
      <c r="B97" s="13" t="s">
        <v>396</v>
      </c>
      <c r="C97" s="13" t="s">
        <v>147</v>
      </c>
      <c r="D97" s="13" t="s">
        <v>596</v>
      </c>
      <c r="E97" s="13" t="s">
        <v>660</v>
      </c>
      <c r="F97" s="19">
        <v>-200</v>
      </c>
      <c r="G97" s="19">
        <v>-200</v>
      </c>
      <c r="H97" s="19">
        <v>-200</v>
      </c>
      <c r="I97" s="19">
        <v>-200</v>
      </c>
      <c r="J97" s="19">
        <v>-200</v>
      </c>
      <c r="K97" s="19">
        <v>-200</v>
      </c>
      <c r="L97" s="19"/>
      <c r="M97" s="19"/>
      <c r="N97" s="19">
        <v>-190</v>
      </c>
      <c r="O97" s="19">
        <v>-190</v>
      </c>
      <c r="P97" s="19">
        <v>-190</v>
      </c>
      <c r="Q97" s="19">
        <v>-190</v>
      </c>
      <c r="R97" s="20">
        <f t="shared" si="59"/>
        <v>-1960</v>
      </c>
      <c r="T97" s="13" t="s">
        <v>661</v>
      </c>
      <c r="V97" s="19">
        <v>-345</v>
      </c>
      <c r="W97" s="19">
        <v>-345</v>
      </c>
      <c r="X97" s="19">
        <v>-345</v>
      </c>
      <c r="Y97" s="19">
        <v>-345</v>
      </c>
      <c r="Z97" s="19">
        <v>-345</v>
      </c>
      <c r="AA97" s="19">
        <v>-345</v>
      </c>
      <c r="AB97" s="19">
        <v>-345</v>
      </c>
      <c r="AC97" s="19">
        <v>-345</v>
      </c>
      <c r="AD97" s="19">
        <v>-345</v>
      </c>
      <c r="AE97" s="19">
        <v>-345</v>
      </c>
      <c r="AF97" s="19">
        <v>-345</v>
      </c>
      <c r="AG97" s="19">
        <v>-345</v>
      </c>
      <c r="AH97" s="20">
        <f t="shared" si="53"/>
        <v>-4140</v>
      </c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20">
        <f t="shared" si="55"/>
        <v>0</v>
      </c>
    </row>
    <row r="98" spans="1:48">
      <c r="A98" s="13" t="s">
        <v>105</v>
      </c>
      <c r="B98" s="13" t="s">
        <v>396</v>
      </c>
      <c r="C98" s="13" t="s">
        <v>147</v>
      </c>
      <c r="D98" s="13" t="s">
        <v>596</v>
      </c>
      <c r="E98" s="13" t="s">
        <v>662</v>
      </c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20">
        <f t="shared" si="59"/>
        <v>0</v>
      </c>
      <c r="T98" s="13" t="s">
        <v>396</v>
      </c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20">
        <f t="shared" si="53"/>
        <v>0</v>
      </c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20">
        <f t="shared" si="55"/>
        <v>0</v>
      </c>
    </row>
    <row r="99" spans="1:48">
      <c r="A99" s="13" t="s">
        <v>105</v>
      </c>
      <c r="B99" s="13" t="s">
        <v>396</v>
      </c>
      <c r="C99" s="13" t="s">
        <v>147</v>
      </c>
      <c r="D99" s="13" t="s">
        <v>596</v>
      </c>
      <c r="E99" s="13" t="s">
        <v>663</v>
      </c>
      <c r="F99" s="19">
        <v>-120</v>
      </c>
      <c r="G99" s="19">
        <v>-120</v>
      </c>
      <c r="H99" s="19">
        <v>-120</v>
      </c>
      <c r="I99" s="19">
        <v>-120</v>
      </c>
      <c r="J99" s="19">
        <v>-120</v>
      </c>
      <c r="K99" s="19">
        <v>-120</v>
      </c>
      <c r="L99" s="19">
        <v>-120</v>
      </c>
      <c r="M99" s="19">
        <v>-120</v>
      </c>
      <c r="N99" s="19">
        <v>-120</v>
      </c>
      <c r="O99" s="19">
        <v>-120</v>
      </c>
      <c r="P99" s="19">
        <v>-120</v>
      </c>
      <c r="Q99" s="19">
        <v>-120</v>
      </c>
      <c r="R99" s="20">
        <f t="shared" si="59"/>
        <v>-1440</v>
      </c>
      <c r="T99" s="13" t="s">
        <v>396</v>
      </c>
      <c r="V99" s="19">
        <v>-120</v>
      </c>
      <c r="W99" s="19">
        <v>-120</v>
      </c>
      <c r="X99" s="19">
        <v>-120</v>
      </c>
      <c r="Y99" s="19">
        <v>-120</v>
      </c>
      <c r="Z99" s="19">
        <v>-120</v>
      </c>
      <c r="AA99" s="19">
        <v>-120</v>
      </c>
      <c r="AB99" s="19">
        <v>-120</v>
      </c>
      <c r="AC99" s="19">
        <v>-120</v>
      </c>
      <c r="AD99" s="19">
        <v>-120</v>
      </c>
      <c r="AE99" s="19">
        <v>-120</v>
      </c>
      <c r="AF99" s="19">
        <v>-120</v>
      </c>
      <c r="AG99" s="19">
        <v>-120</v>
      </c>
      <c r="AH99" s="20">
        <f t="shared" si="53"/>
        <v>-1440</v>
      </c>
      <c r="AJ99" s="19">
        <v>-120</v>
      </c>
      <c r="AK99" s="19">
        <v>-120</v>
      </c>
      <c r="AL99" s="19">
        <v>-120</v>
      </c>
      <c r="AM99" s="19">
        <v>-120</v>
      </c>
      <c r="AN99" s="19">
        <v>-120</v>
      </c>
      <c r="AO99" s="19">
        <v>-120</v>
      </c>
      <c r="AP99" s="19">
        <v>-120</v>
      </c>
      <c r="AQ99" s="19">
        <v>-120</v>
      </c>
      <c r="AR99" s="19">
        <v>-120</v>
      </c>
      <c r="AS99" s="19">
        <v>-120</v>
      </c>
      <c r="AT99" s="19">
        <v>-120</v>
      </c>
      <c r="AU99" s="19">
        <v>-120</v>
      </c>
      <c r="AV99" s="20">
        <f t="shared" si="55"/>
        <v>-1440</v>
      </c>
    </row>
    <row r="100" spans="1:48">
      <c r="A100" s="13" t="s">
        <v>105</v>
      </c>
      <c r="B100" s="13" t="s">
        <v>517</v>
      </c>
      <c r="C100" s="13" t="s">
        <v>147</v>
      </c>
      <c r="D100" s="13" t="s">
        <v>555</v>
      </c>
      <c r="E100" s="13" t="s">
        <v>664</v>
      </c>
      <c r="F100" s="19">
        <v>-200</v>
      </c>
      <c r="G100" s="19">
        <v>-200</v>
      </c>
      <c r="H100" s="19">
        <v>-200</v>
      </c>
      <c r="I100" s="19">
        <v>-200</v>
      </c>
      <c r="J100" s="19">
        <v>-200</v>
      </c>
      <c r="K100" s="19">
        <v>-200</v>
      </c>
      <c r="L100" s="19">
        <v>-200</v>
      </c>
      <c r="M100" s="19">
        <v>-200</v>
      </c>
      <c r="N100" s="19">
        <v>-200</v>
      </c>
      <c r="O100" s="19">
        <v>-200</v>
      </c>
      <c r="P100" s="19">
        <v>-200</v>
      </c>
      <c r="Q100" s="19">
        <v>-200</v>
      </c>
      <c r="R100" s="20">
        <f t="shared" si="59"/>
        <v>-2400</v>
      </c>
      <c r="V100" s="173">
        <v>-200</v>
      </c>
      <c r="W100" s="173">
        <v>-200</v>
      </c>
      <c r="X100" s="173">
        <v>-200</v>
      </c>
      <c r="Y100" s="173">
        <v>-200</v>
      </c>
      <c r="Z100" s="173">
        <v>-200</v>
      </c>
      <c r="AA100" s="173">
        <v>-200</v>
      </c>
      <c r="AB100" s="173">
        <v>-200</v>
      </c>
      <c r="AC100" s="173">
        <v>-200</v>
      </c>
      <c r="AD100" s="173">
        <v>-200</v>
      </c>
      <c r="AE100" s="173">
        <v>-200</v>
      </c>
      <c r="AF100" s="173">
        <v>-200</v>
      </c>
      <c r="AG100" s="173">
        <v>-200</v>
      </c>
      <c r="AH100" s="20">
        <f t="shared" si="53"/>
        <v>-2400</v>
      </c>
      <c r="AJ100" s="173">
        <v>-200</v>
      </c>
      <c r="AK100" s="173">
        <v>-200</v>
      </c>
      <c r="AL100" s="173">
        <v>-200</v>
      </c>
      <c r="AM100" s="173">
        <v>-200</v>
      </c>
      <c r="AN100" s="173">
        <v>-200</v>
      </c>
      <c r="AO100" s="173">
        <v>-200</v>
      </c>
      <c r="AP100" s="173">
        <v>-200</v>
      </c>
      <c r="AQ100" s="173">
        <v>-200</v>
      </c>
      <c r="AR100" s="173">
        <v>-200</v>
      </c>
      <c r="AS100" s="173">
        <v>-200</v>
      </c>
      <c r="AT100" s="173">
        <v>-200</v>
      </c>
      <c r="AU100" s="173">
        <v>-200</v>
      </c>
      <c r="AV100" s="20">
        <f t="shared" si="55"/>
        <v>-2400</v>
      </c>
    </row>
    <row r="101" spans="1:48">
      <c r="A101" s="13" t="s">
        <v>105</v>
      </c>
      <c r="B101" s="13" t="s">
        <v>517</v>
      </c>
      <c r="C101" s="13" t="s">
        <v>147</v>
      </c>
      <c r="D101" s="13" t="s">
        <v>555</v>
      </c>
      <c r="E101" s="13" t="s">
        <v>665</v>
      </c>
      <c r="F101" s="19">
        <v>-50</v>
      </c>
      <c r="G101" s="19">
        <v>-50</v>
      </c>
      <c r="H101" s="19">
        <v>-50</v>
      </c>
      <c r="I101" s="19">
        <v>-50</v>
      </c>
      <c r="J101" s="19">
        <v>-50</v>
      </c>
      <c r="K101" s="19">
        <v>-50</v>
      </c>
      <c r="L101" s="19">
        <v>-50</v>
      </c>
      <c r="M101" s="19">
        <v>-50</v>
      </c>
      <c r="N101" s="19">
        <v>-50</v>
      </c>
      <c r="O101" s="19">
        <v>-50</v>
      </c>
      <c r="P101" s="19">
        <v>-50</v>
      </c>
      <c r="Q101" s="19">
        <v>-50</v>
      </c>
      <c r="R101" s="20">
        <f t="shared" si="59"/>
        <v>-600</v>
      </c>
      <c r="V101" s="19">
        <v>-50</v>
      </c>
      <c r="W101" s="19">
        <v>-50</v>
      </c>
      <c r="X101" s="19">
        <v>-50</v>
      </c>
      <c r="Y101" s="19">
        <v>-50</v>
      </c>
      <c r="Z101" s="19">
        <v>-50</v>
      </c>
      <c r="AA101" s="19">
        <v>-50</v>
      </c>
      <c r="AB101" s="19">
        <v>-50</v>
      </c>
      <c r="AC101" s="19">
        <v>-50</v>
      </c>
      <c r="AD101" s="19">
        <v>-50</v>
      </c>
      <c r="AE101" s="19">
        <v>-50</v>
      </c>
      <c r="AF101" s="19">
        <v>-50</v>
      </c>
      <c r="AG101" s="19">
        <v>-50</v>
      </c>
      <c r="AH101" s="20">
        <f t="shared" si="53"/>
        <v>-600</v>
      </c>
      <c r="AJ101" s="19">
        <v>-50</v>
      </c>
      <c r="AK101" s="19">
        <v>-50</v>
      </c>
      <c r="AL101" s="19">
        <v>-50</v>
      </c>
      <c r="AM101" s="19">
        <v>-50</v>
      </c>
      <c r="AN101" s="19">
        <v>-50</v>
      </c>
      <c r="AO101" s="19">
        <v>-50</v>
      </c>
      <c r="AP101" s="19">
        <v>-50</v>
      </c>
      <c r="AQ101" s="19">
        <v>-50</v>
      </c>
      <c r="AR101" s="19">
        <v>-50</v>
      </c>
      <c r="AS101" s="19">
        <v>-50</v>
      </c>
      <c r="AT101" s="19">
        <v>-50</v>
      </c>
      <c r="AU101" s="19">
        <v>-50</v>
      </c>
      <c r="AV101" s="20">
        <f t="shared" si="55"/>
        <v>-600</v>
      </c>
    </row>
    <row r="102" spans="1:48">
      <c r="A102" s="13" t="s">
        <v>105</v>
      </c>
      <c r="B102" s="13" t="s">
        <v>517</v>
      </c>
      <c r="C102" s="13" t="s">
        <v>147</v>
      </c>
      <c r="D102" s="13" t="s">
        <v>555</v>
      </c>
      <c r="E102" s="13" t="s">
        <v>666</v>
      </c>
      <c r="F102" s="19">
        <v>-50</v>
      </c>
      <c r="G102" s="19">
        <v>-50</v>
      </c>
      <c r="H102" s="19">
        <v>-50</v>
      </c>
      <c r="I102" s="19">
        <v>-50</v>
      </c>
      <c r="J102" s="19">
        <v>-50</v>
      </c>
      <c r="K102" s="19">
        <v>-50</v>
      </c>
      <c r="L102" s="19">
        <v>-50</v>
      </c>
      <c r="M102" s="19">
        <v>-50</v>
      </c>
      <c r="N102" s="19">
        <v>-50</v>
      </c>
      <c r="O102" s="19">
        <v>-50</v>
      </c>
      <c r="P102" s="19">
        <v>-50</v>
      </c>
      <c r="Q102" s="19">
        <v>-50</v>
      </c>
      <c r="R102" s="20">
        <f t="shared" si="59"/>
        <v>-600</v>
      </c>
      <c r="V102" s="19">
        <v>-50</v>
      </c>
      <c r="W102" s="19">
        <v>-50</v>
      </c>
      <c r="X102" s="19">
        <v>-50</v>
      </c>
      <c r="Y102" s="19">
        <v>-50</v>
      </c>
      <c r="Z102" s="19">
        <v>-50</v>
      </c>
      <c r="AA102" s="19">
        <v>-50</v>
      </c>
      <c r="AB102" s="19">
        <v>-50</v>
      </c>
      <c r="AC102" s="19">
        <v>-50</v>
      </c>
      <c r="AD102" s="19">
        <v>-50</v>
      </c>
      <c r="AE102" s="19">
        <v>-50</v>
      </c>
      <c r="AF102" s="19">
        <v>-50</v>
      </c>
      <c r="AG102" s="19">
        <v>-50</v>
      </c>
      <c r="AH102" s="20">
        <f t="shared" si="53"/>
        <v>-600</v>
      </c>
      <c r="AJ102" s="19">
        <v>-50</v>
      </c>
      <c r="AK102" s="19">
        <v>-50</v>
      </c>
      <c r="AL102" s="19">
        <v>-50</v>
      </c>
      <c r="AM102" s="19">
        <v>-50</v>
      </c>
      <c r="AN102" s="19">
        <v>-50</v>
      </c>
      <c r="AO102" s="19">
        <v>-50</v>
      </c>
      <c r="AP102" s="19">
        <v>-50</v>
      </c>
      <c r="AQ102" s="19">
        <v>-50</v>
      </c>
      <c r="AR102" s="19">
        <v>-50</v>
      </c>
      <c r="AS102" s="19">
        <v>-50</v>
      </c>
      <c r="AT102" s="19">
        <v>-50</v>
      </c>
      <c r="AU102" s="19">
        <v>-50</v>
      </c>
      <c r="AV102" s="20">
        <f t="shared" si="55"/>
        <v>-600</v>
      </c>
    </row>
    <row r="103" spans="1:48">
      <c r="A103" s="13" t="s">
        <v>105</v>
      </c>
      <c r="B103" s="13" t="s">
        <v>517</v>
      </c>
      <c r="C103" s="13" t="s">
        <v>147</v>
      </c>
      <c r="D103" s="13" t="s">
        <v>555</v>
      </c>
      <c r="E103" s="13" t="s">
        <v>667</v>
      </c>
      <c r="F103" s="19">
        <v>-50</v>
      </c>
      <c r="G103" s="19">
        <v>-50</v>
      </c>
      <c r="H103" s="19">
        <v>-50</v>
      </c>
      <c r="I103" s="19">
        <v>-50</v>
      </c>
      <c r="J103" s="19">
        <v>-64</v>
      </c>
      <c r="K103" s="19">
        <v>-64</v>
      </c>
      <c r="L103" s="19">
        <v>-64</v>
      </c>
      <c r="M103" s="19">
        <v>-64</v>
      </c>
      <c r="N103" s="19">
        <v>-64</v>
      </c>
      <c r="O103" s="19">
        <v>-64</v>
      </c>
      <c r="P103" s="19">
        <v>-64</v>
      </c>
      <c r="Q103" s="19">
        <v>-64</v>
      </c>
      <c r="R103" s="20">
        <f t="shared" si="59"/>
        <v>-712</v>
      </c>
      <c r="V103" s="19">
        <v>-64</v>
      </c>
      <c r="W103" s="19">
        <v>-64</v>
      </c>
      <c r="X103" s="19">
        <v>-64</v>
      </c>
      <c r="Y103" s="19">
        <v>-64</v>
      </c>
      <c r="Z103" s="19">
        <v>-64</v>
      </c>
      <c r="AA103" s="19">
        <v>-64</v>
      </c>
      <c r="AB103" s="19">
        <v>-64</v>
      </c>
      <c r="AC103" s="19">
        <v>-64</v>
      </c>
      <c r="AD103" s="19">
        <v>-64</v>
      </c>
      <c r="AE103" s="19">
        <v>-64</v>
      </c>
      <c r="AF103" s="19">
        <v>-64</v>
      </c>
      <c r="AG103" s="19">
        <v>-64</v>
      </c>
      <c r="AH103" s="20">
        <f t="shared" si="53"/>
        <v>-768</v>
      </c>
      <c r="AJ103" s="19">
        <v>-64</v>
      </c>
      <c r="AK103" s="19">
        <v>-64</v>
      </c>
      <c r="AL103" s="19">
        <v>-64</v>
      </c>
      <c r="AM103" s="19">
        <v>-64</v>
      </c>
      <c r="AN103" s="19">
        <v>-64</v>
      </c>
      <c r="AO103" s="19">
        <v>-64</v>
      </c>
      <c r="AP103" s="19">
        <v>-64</v>
      </c>
      <c r="AQ103" s="19">
        <v>-64</v>
      </c>
      <c r="AR103" s="19">
        <v>-64</v>
      </c>
      <c r="AS103" s="19">
        <v>-64</v>
      </c>
      <c r="AT103" s="19">
        <v>-64</v>
      </c>
      <c r="AU103" s="19">
        <v>-64</v>
      </c>
      <c r="AV103" s="20">
        <f t="shared" si="55"/>
        <v>-768</v>
      </c>
    </row>
    <row r="104" spans="1:48">
      <c r="A104" s="13" t="s">
        <v>105</v>
      </c>
      <c r="B104" s="13" t="s">
        <v>517</v>
      </c>
      <c r="C104" s="13" t="s">
        <v>147</v>
      </c>
      <c r="D104" s="13" t="s">
        <v>555</v>
      </c>
      <c r="E104" s="13" t="s">
        <v>668</v>
      </c>
      <c r="F104" s="19">
        <v>-200</v>
      </c>
      <c r="G104" s="19">
        <v>-200</v>
      </c>
      <c r="H104" s="19">
        <v>-200</v>
      </c>
      <c r="I104" s="19">
        <v>-200</v>
      </c>
      <c r="J104" s="19">
        <v>-330</v>
      </c>
      <c r="K104" s="19">
        <v>-330</v>
      </c>
      <c r="L104" s="19">
        <v>-330</v>
      </c>
      <c r="M104" s="19">
        <v>-330</v>
      </c>
      <c r="N104" s="19">
        <v>-330</v>
      </c>
      <c r="O104" s="19">
        <v>-330</v>
      </c>
      <c r="P104" s="19">
        <v>-330</v>
      </c>
      <c r="Q104" s="19">
        <v>-330</v>
      </c>
      <c r="R104" s="20">
        <f t="shared" si="59"/>
        <v>-3440</v>
      </c>
      <c r="V104" s="19">
        <v>-330</v>
      </c>
      <c r="W104" s="19">
        <v>-330</v>
      </c>
      <c r="X104" s="19">
        <v>-330</v>
      </c>
      <c r="Y104" s="19">
        <v>-330</v>
      </c>
      <c r="Z104" s="19">
        <v>-330</v>
      </c>
      <c r="AA104" s="19">
        <v>-330</v>
      </c>
      <c r="AB104" s="19">
        <v>-330</v>
      </c>
      <c r="AC104" s="19">
        <v>-330</v>
      </c>
      <c r="AD104" s="19">
        <v>-330</v>
      </c>
      <c r="AE104" s="19">
        <v>-330</v>
      </c>
      <c r="AF104" s="19">
        <v>-330</v>
      </c>
      <c r="AG104" s="19">
        <v>-330</v>
      </c>
      <c r="AH104" s="20">
        <f t="shared" si="53"/>
        <v>-3960</v>
      </c>
      <c r="AJ104" s="19">
        <v>-330</v>
      </c>
      <c r="AK104" s="19">
        <v>-330</v>
      </c>
      <c r="AL104" s="19">
        <v>-330</v>
      </c>
      <c r="AM104" s="19">
        <v>-330</v>
      </c>
      <c r="AN104" s="19">
        <v>-330</v>
      </c>
      <c r="AO104" s="19">
        <v>-330</v>
      </c>
      <c r="AP104" s="19">
        <v>-330</v>
      </c>
      <c r="AQ104" s="19">
        <v>-330</v>
      </c>
      <c r="AR104" s="19">
        <v>-330</v>
      </c>
      <c r="AS104" s="19">
        <v>-330</v>
      </c>
      <c r="AT104" s="19">
        <v>-330</v>
      </c>
      <c r="AU104" s="19">
        <v>-330</v>
      </c>
      <c r="AV104" s="20">
        <f t="shared" si="55"/>
        <v>-3960</v>
      </c>
    </row>
    <row r="105" spans="1:48">
      <c r="A105" s="13" t="s">
        <v>105</v>
      </c>
      <c r="B105" s="13" t="s">
        <v>517</v>
      </c>
      <c r="C105" s="13" t="s">
        <v>147</v>
      </c>
      <c r="D105" s="13" t="s">
        <v>555</v>
      </c>
      <c r="E105" s="13" t="s">
        <v>669</v>
      </c>
      <c r="F105" s="19">
        <v>-500</v>
      </c>
      <c r="G105" s="19">
        <v>-500</v>
      </c>
      <c r="H105" s="19">
        <v>-500</v>
      </c>
      <c r="I105" s="19">
        <v>-500</v>
      </c>
      <c r="J105" s="19">
        <v>-460</v>
      </c>
      <c r="K105" s="19">
        <v>-460</v>
      </c>
      <c r="L105" s="19">
        <v>-460</v>
      </c>
      <c r="M105" s="19">
        <v>-460</v>
      </c>
      <c r="N105" s="19">
        <v>-460</v>
      </c>
      <c r="O105" s="19">
        <v>-460</v>
      </c>
      <c r="P105" s="19">
        <v>-460</v>
      </c>
      <c r="Q105" s="19">
        <v>-460</v>
      </c>
      <c r="R105" s="20">
        <f t="shared" si="59"/>
        <v>-5680</v>
      </c>
      <c r="T105" s="13" t="s">
        <v>670</v>
      </c>
      <c r="V105" s="19">
        <v>-460</v>
      </c>
      <c r="W105" s="19">
        <v>-460</v>
      </c>
      <c r="X105" s="19">
        <v>-460</v>
      </c>
      <c r="Y105" s="19">
        <v>-460</v>
      </c>
      <c r="Z105" s="19">
        <v>-460</v>
      </c>
      <c r="AA105" s="19">
        <v>-460</v>
      </c>
      <c r="AB105" s="19">
        <v>-460</v>
      </c>
      <c r="AC105" s="19">
        <v>-460</v>
      </c>
      <c r="AD105" s="19">
        <v>-460</v>
      </c>
      <c r="AE105" s="19">
        <v>-460</v>
      </c>
      <c r="AF105" s="19">
        <v>-460</v>
      </c>
      <c r="AG105" s="19">
        <v>-460</v>
      </c>
      <c r="AH105" s="20">
        <f t="shared" si="53"/>
        <v>-5520</v>
      </c>
      <c r="AJ105" s="19">
        <v>-460</v>
      </c>
      <c r="AK105" s="19">
        <v>-460</v>
      </c>
      <c r="AL105" s="19">
        <v>-460</v>
      </c>
      <c r="AM105" s="19">
        <v>-460</v>
      </c>
      <c r="AN105" s="19">
        <v>-460</v>
      </c>
      <c r="AO105" s="19">
        <v>-460</v>
      </c>
      <c r="AP105" s="19">
        <v>-460</v>
      </c>
      <c r="AQ105" s="19">
        <v>-460</v>
      </c>
      <c r="AR105" s="19">
        <v>-460</v>
      </c>
      <c r="AS105" s="19">
        <v>-460</v>
      </c>
      <c r="AT105" s="19">
        <v>-460</v>
      </c>
      <c r="AU105" s="19">
        <v>-460</v>
      </c>
      <c r="AV105" s="20">
        <f t="shared" si="55"/>
        <v>-5520</v>
      </c>
    </row>
    <row r="106" spans="1:48">
      <c r="A106" s="13" t="s">
        <v>105</v>
      </c>
      <c r="B106" s="13" t="s">
        <v>517</v>
      </c>
      <c r="C106" s="13" t="s">
        <v>147</v>
      </c>
      <c r="D106" s="13" t="s">
        <v>555</v>
      </c>
      <c r="E106" s="13" t="s">
        <v>671</v>
      </c>
      <c r="F106" s="19">
        <v>-500</v>
      </c>
      <c r="G106" s="19">
        <v>-500</v>
      </c>
      <c r="H106" s="19">
        <v>-500</v>
      </c>
      <c r="I106" s="19">
        <v>-500</v>
      </c>
      <c r="J106" s="19">
        <v>-460</v>
      </c>
      <c r="K106" s="19">
        <v>-460</v>
      </c>
      <c r="L106" s="19">
        <v>-460</v>
      </c>
      <c r="M106" s="19">
        <v>-460</v>
      </c>
      <c r="N106" s="19">
        <v>-50</v>
      </c>
      <c r="O106" s="19">
        <v>-50</v>
      </c>
      <c r="P106" s="19">
        <v>-50</v>
      </c>
      <c r="Q106" s="19">
        <v>-50</v>
      </c>
      <c r="R106" s="20">
        <f t="shared" si="59"/>
        <v>-4040</v>
      </c>
      <c r="V106" s="19">
        <v>-50</v>
      </c>
      <c r="W106" s="19">
        <v>-50</v>
      </c>
      <c r="X106" s="19">
        <v>-50</v>
      </c>
      <c r="Y106" s="19">
        <v>-50</v>
      </c>
      <c r="Z106" s="19">
        <v>-50</v>
      </c>
      <c r="AA106" s="19">
        <v>-50</v>
      </c>
      <c r="AB106" s="19">
        <v>-50</v>
      </c>
      <c r="AC106" s="19">
        <v>-50</v>
      </c>
      <c r="AD106" s="19">
        <v>-50</v>
      </c>
      <c r="AE106" s="19">
        <v>-50</v>
      </c>
      <c r="AF106" s="19">
        <v>-50</v>
      </c>
      <c r="AG106" s="19">
        <v>-50</v>
      </c>
      <c r="AH106" s="20">
        <f t="shared" si="53"/>
        <v>-600</v>
      </c>
      <c r="AJ106" s="19">
        <v>-50</v>
      </c>
      <c r="AK106" s="19">
        <v>-50</v>
      </c>
      <c r="AL106" s="19">
        <v>-50</v>
      </c>
      <c r="AM106" s="19">
        <v>-50</v>
      </c>
      <c r="AN106" s="19">
        <v>-50</v>
      </c>
      <c r="AO106" s="19">
        <v>-50</v>
      </c>
      <c r="AP106" s="19">
        <v>-50</v>
      </c>
      <c r="AQ106" s="19">
        <v>-50</v>
      </c>
      <c r="AR106" s="19">
        <v>-50</v>
      </c>
      <c r="AS106" s="19">
        <v>-50</v>
      </c>
      <c r="AT106" s="19">
        <v>-50</v>
      </c>
      <c r="AU106" s="19">
        <v>-50</v>
      </c>
      <c r="AV106" s="20">
        <f t="shared" si="55"/>
        <v>-600</v>
      </c>
    </row>
    <row r="107" spans="1:48">
      <c r="A107" s="13" t="s">
        <v>105</v>
      </c>
      <c r="B107" s="13" t="s">
        <v>517</v>
      </c>
      <c r="C107" s="13" t="s">
        <v>147</v>
      </c>
      <c r="D107" s="13" t="s">
        <v>555</v>
      </c>
      <c r="E107" s="13" t="s">
        <v>569</v>
      </c>
      <c r="F107" s="19">
        <f>-3000/12</f>
        <v>-250</v>
      </c>
      <c r="G107" s="19">
        <f>-3000/12</f>
        <v>-250</v>
      </c>
      <c r="H107" s="19">
        <f>-3000/12</f>
        <v>-250</v>
      </c>
      <c r="I107" s="19"/>
      <c r="J107" s="19"/>
      <c r="K107" s="19"/>
      <c r="L107" s="19"/>
      <c r="M107" s="19"/>
      <c r="N107" s="19"/>
      <c r="O107" s="19"/>
      <c r="P107" s="19"/>
      <c r="Q107" s="19"/>
      <c r="R107" s="20">
        <f t="shared" si="59"/>
        <v>-750</v>
      </c>
      <c r="V107" s="145"/>
      <c r="W107" s="145"/>
      <c r="X107" s="145"/>
      <c r="Y107" s="145"/>
      <c r="Z107" s="145"/>
      <c r="AA107" s="145"/>
      <c r="AB107" s="145"/>
      <c r="AC107" s="145"/>
      <c r="AD107" s="145"/>
      <c r="AE107" s="145"/>
      <c r="AF107" s="145"/>
      <c r="AG107" s="145"/>
      <c r="AH107" s="20">
        <f t="shared" si="53"/>
        <v>0</v>
      </c>
      <c r="AJ107" s="145"/>
      <c r="AK107" s="145"/>
      <c r="AL107" s="145"/>
      <c r="AM107" s="145"/>
      <c r="AN107" s="145"/>
      <c r="AO107" s="145"/>
      <c r="AP107" s="145"/>
      <c r="AQ107" s="145"/>
      <c r="AR107" s="145"/>
      <c r="AS107" s="145"/>
      <c r="AT107" s="145"/>
      <c r="AU107" s="145"/>
      <c r="AV107" s="20">
        <f t="shared" si="55"/>
        <v>0</v>
      </c>
    </row>
    <row r="108" spans="1:48">
      <c r="A108" s="13" t="s">
        <v>105</v>
      </c>
      <c r="B108" s="13" t="s">
        <v>517</v>
      </c>
      <c r="C108" s="13" t="s">
        <v>147</v>
      </c>
      <c r="D108" s="13" t="s">
        <v>555</v>
      </c>
      <c r="E108" s="13" t="s">
        <v>672</v>
      </c>
      <c r="F108" s="19"/>
      <c r="G108" s="19"/>
      <c r="H108" s="19"/>
      <c r="I108" s="19">
        <f>-7188/12</f>
        <v>-599</v>
      </c>
      <c r="J108" s="19">
        <f>-7188/12</f>
        <v>-599</v>
      </c>
      <c r="K108" s="19">
        <f>-7188/12</f>
        <v>-599</v>
      </c>
      <c r="L108" s="19">
        <f>-7188/12</f>
        <v>-599</v>
      </c>
      <c r="M108" s="19">
        <f>-7188/12</f>
        <v>-599</v>
      </c>
      <c r="N108" s="19">
        <v>-100</v>
      </c>
      <c r="O108" s="19">
        <v>-100</v>
      </c>
      <c r="P108" s="19">
        <v>-100</v>
      </c>
      <c r="Q108" s="19">
        <v>-100</v>
      </c>
      <c r="R108" s="20">
        <f t="shared" si="59"/>
        <v>-3395</v>
      </c>
      <c r="T108" s="13" t="s">
        <v>673</v>
      </c>
      <c r="V108" s="19">
        <v>-100</v>
      </c>
      <c r="W108" s="19">
        <v>-100</v>
      </c>
      <c r="X108" s="19">
        <v>-100</v>
      </c>
      <c r="Y108" s="19">
        <v>-100</v>
      </c>
      <c r="Z108" s="19">
        <v>-100</v>
      </c>
      <c r="AA108" s="19">
        <v>-100</v>
      </c>
      <c r="AB108" s="19">
        <v>-100</v>
      </c>
      <c r="AC108" s="19">
        <v>-100</v>
      </c>
      <c r="AD108" s="19">
        <v>-100</v>
      </c>
      <c r="AE108" s="19">
        <v>-100</v>
      </c>
      <c r="AF108" s="19">
        <v>-100</v>
      </c>
      <c r="AG108" s="19">
        <v>-100</v>
      </c>
      <c r="AH108" s="20">
        <f t="shared" si="53"/>
        <v>-1200</v>
      </c>
      <c r="AJ108" s="19">
        <v>-100</v>
      </c>
      <c r="AK108" s="19">
        <v>-100</v>
      </c>
      <c r="AL108" s="19">
        <v>-100</v>
      </c>
      <c r="AM108" s="19">
        <v>-100</v>
      </c>
      <c r="AN108" s="19">
        <v>-100</v>
      </c>
      <c r="AO108" s="19">
        <v>-100</v>
      </c>
      <c r="AP108" s="19">
        <v>-100</v>
      </c>
      <c r="AQ108" s="19">
        <v>-100</v>
      </c>
      <c r="AR108" s="19">
        <v>-100</v>
      </c>
      <c r="AS108" s="19">
        <v>-100</v>
      </c>
      <c r="AT108" s="19">
        <v>-100</v>
      </c>
      <c r="AU108" s="19">
        <v>-100</v>
      </c>
      <c r="AV108" s="20">
        <f t="shared" si="55"/>
        <v>-1200</v>
      </c>
    </row>
    <row r="109" spans="1:48">
      <c r="A109" s="13" t="s">
        <v>105</v>
      </c>
      <c r="B109" s="13" t="s">
        <v>517</v>
      </c>
      <c r="C109" s="13" t="s">
        <v>147</v>
      </c>
      <c r="D109" s="13" t="s">
        <v>555</v>
      </c>
      <c r="E109" s="13" t="s">
        <v>674</v>
      </c>
      <c r="F109" s="19"/>
      <c r="G109" s="19"/>
      <c r="H109" s="19"/>
      <c r="I109" s="19"/>
      <c r="J109" s="19"/>
      <c r="K109" s="19"/>
      <c r="L109" s="19">
        <v>-50</v>
      </c>
      <c r="M109" s="19">
        <v>-50</v>
      </c>
      <c r="N109" s="145"/>
      <c r="O109" s="145"/>
      <c r="P109" s="145"/>
      <c r="Q109" s="145"/>
      <c r="R109" s="20">
        <f t="shared" si="59"/>
        <v>-100</v>
      </c>
      <c r="V109" s="145"/>
      <c r="W109" s="145"/>
      <c r="X109" s="145"/>
      <c r="Y109" s="145"/>
      <c r="Z109" s="145"/>
      <c r="AA109" s="145"/>
      <c r="AB109" s="145"/>
      <c r="AC109" s="145"/>
      <c r="AD109" s="145"/>
      <c r="AE109" s="145"/>
      <c r="AF109" s="145"/>
      <c r="AG109" s="145"/>
      <c r="AH109" s="20">
        <f t="shared" si="53"/>
        <v>0</v>
      </c>
      <c r="AJ109" s="145"/>
      <c r="AK109" s="145"/>
      <c r="AL109" s="145"/>
      <c r="AM109" s="145"/>
      <c r="AN109" s="145"/>
      <c r="AO109" s="145"/>
      <c r="AP109" s="145"/>
      <c r="AQ109" s="145"/>
      <c r="AR109" s="145"/>
      <c r="AS109" s="145"/>
      <c r="AT109" s="145"/>
      <c r="AU109" s="145"/>
      <c r="AV109" s="20">
        <f t="shared" si="55"/>
        <v>0</v>
      </c>
    </row>
    <row r="110" spans="1:48">
      <c r="A110" s="13" t="s">
        <v>105</v>
      </c>
      <c r="B110" s="13" t="s">
        <v>675</v>
      </c>
      <c r="C110" s="13" t="s">
        <v>147</v>
      </c>
      <c r="D110" s="13" t="s">
        <v>555</v>
      </c>
      <c r="E110" s="13" t="s">
        <v>676</v>
      </c>
      <c r="F110" s="19">
        <v>0</v>
      </c>
      <c r="G110" s="19">
        <v>0</v>
      </c>
      <c r="H110" s="19">
        <v>0</v>
      </c>
      <c r="I110" s="19">
        <f t="shared" ref="I110:Q110" si="60">-6000/1.28</f>
        <v>-4687.5</v>
      </c>
      <c r="J110" s="19">
        <f t="shared" si="60"/>
        <v>-4687.5</v>
      </c>
      <c r="K110" s="19">
        <f t="shared" si="60"/>
        <v>-4687.5</v>
      </c>
      <c r="L110" s="19">
        <f t="shared" si="60"/>
        <v>-4687.5</v>
      </c>
      <c r="M110" s="19">
        <f t="shared" si="60"/>
        <v>-4687.5</v>
      </c>
      <c r="N110" s="19">
        <f t="shared" si="60"/>
        <v>-4687.5</v>
      </c>
      <c r="O110" s="19">
        <f t="shared" si="60"/>
        <v>-4687.5</v>
      </c>
      <c r="P110" s="19">
        <f t="shared" si="60"/>
        <v>-4687.5</v>
      </c>
      <c r="Q110" s="19">
        <f t="shared" si="60"/>
        <v>-4687.5</v>
      </c>
      <c r="R110" s="20">
        <f t="shared" si="59"/>
        <v>-42187.5</v>
      </c>
      <c r="V110" s="19">
        <f>-6000/1.28</f>
        <v>-4687.5</v>
      </c>
      <c r="W110" s="19">
        <f t="shared" ref="W110:AG110" si="61">-6000/1.28</f>
        <v>-4687.5</v>
      </c>
      <c r="X110" s="19">
        <f t="shared" si="61"/>
        <v>-4687.5</v>
      </c>
      <c r="Y110" s="19">
        <f t="shared" si="61"/>
        <v>-4687.5</v>
      </c>
      <c r="Z110" s="19">
        <f t="shared" si="61"/>
        <v>-4687.5</v>
      </c>
      <c r="AA110" s="19">
        <f t="shared" si="61"/>
        <v>-4687.5</v>
      </c>
      <c r="AB110" s="19">
        <f t="shared" si="61"/>
        <v>-4687.5</v>
      </c>
      <c r="AC110" s="19">
        <f t="shared" si="61"/>
        <v>-4687.5</v>
      </c>
      <c r="AD110" s="19">
        <f t="shared" si="61"/>
        <v>-4687.5</v>
      </c>
      <c r="AE110" s="19">
        <f t="shared" si="61"/>
        <v>-4687.5</v>
      </c>
      <c r="AF110" s="19">
        <f t="shared" si="61"/>
        <v>-4687.5</v>
      </c>
      <c r="AG110" s="19">
        <f t="shared" si="61"/>
        <v>-4687.5</v>
      </c>
      <c r="AH110" s="20">
        <f t="shared" si="53"/>
        <v>-56250</v>
      </c>
      <c r="AJ110" s="19">
        <f>-6000/1.28</f>
        <v>-4687.5</v>
      </c>
      <c r="AK110" s="19">
        <f t="shared" ref="AK110:AU110" si="62">-6000/1.28</f>
        <v>-4687.5</v>
      </c>
      <c r="AL110" s="19">
        <f t="shared" si="62"/>
        <v>-4687.5</v>
      </c>
      <c r="AM110" s="19">
        <f t="shared" si="62"/>
        <v>-4687.5</v>
      </c>
      <c r="AN110" s="19">
        <f t="shared" si="62"/>
        <v>-4687.5</v>
      </c>
      <c r="AO110" s="19">
        <f t="shared" si="62"/>
        <v>-4687.5</v>
      </c>
      <c r="AP110" s="19">
        <f t="shared" si="62"/>
        <v>-4687.5</v>
      </c>
      <c r="AQ110" s="19">
        <f t="shared" si="62"/>
        <v>-4687.5</v>
      </c>
      <c r="AR110" s="19">
        <f t="shared" si="62"/>
        <v>-4687.5</v>
      </c>
      <c r="AS110" s="19">
        <f t="shared" si="62"/>
        <v>-4687.5</v>
      </c>
      <c r="AT110" s="19">
        <f t="shared" si="62"/>
        <v>-4687.5</v>
      </c>
      <c r="AU110" s="19">
        <f t="shared" si="62"/>
        <v>-4687.5</v>
      </c>
      <c r="AV110" s="20">
        <f t="shared" si="55"/>
        <v>-56250</v>
      </c>
    </row>
    <row r="111" spans="1:48">
      <c r="A111" s="13" t="s">
        <v>105</v>
      </c>
      <c r="B111" s="13" t="s">
        <v>533</v>
      </c>
      <c r="C111" s="13" t="s">
        <v>147</v>
      </c>
      <c r="D111" s="13" t="s">
        <v>555</v>
      </c>
      <c r="E111" s="13" t="s">
        <v>677</v>
      </c>
      <c r="F111" s="19">
        <v>-1541</v>
      </c>
      <c r="G111" s="19">
        <v>-1541</v>
      </c>
      <c r="H111" s="19">
        <v>-1541</v>
      </c>
      <c r="I111" s="19">
        <v>-1100</v>
      </c>
      <c r="J111" s="19">
        <v>-1100</v>
      </c>
      <c r="K111" s="19">
        <v>-1100</v>
      </c>
      <c r="L111" s="19">
        <v>-1100</v>
      </c>
      <c r="M111" s="19">
        <v>-1100</v>
      </c>
      <c r="N111" s="19">
        <v>-1100</v>
      </c>
      <c r="O111" s="19">
        <v>-1100</v>
      </c>
      <c r="P111" s="19">
        <v>-1100</v>
      </c>
      <c r="Q111" s="19">
        <v>-1100</v>
      </c>
      <c r="R111" s="20">
        <f t="shared" si="59"/>
        <v>-14523</v>
      </c>
      <c r="V111" s="19">
        <v>-1100</v>
      </c>
      <c r="W111" s="19">
        <v>-1100</v>
      </c>
      <c r="X111" s="19">
        <v>-1100</v>
      </c>
      <c r="Y111" s="19">
        <v>-1100</v>
      </c>
      <c r="Z111" s="19">
        <v>-1100</v>
      </c>
      <c r="AA111" s="19">
        <v>-1100</v>
      </c>
      <c r="AB111" s="19">
        <v>-1100</v>
      </c>
      <c r="AC111" s="19">
        <v>-1100</v>
      </c>
      <c r="AD111" s="19">
        <v>-1100</v>
      </c>
      <c r="AE111" s="19">
        <v>-1100</v>
      </c>
      <c r="AF111" s="19">
        <v>-1100</v>
      </c>
      <c r="AG111" s="19">
        <v>-1100</v>
      </c>
      <c r="AH111" s="20">
        <f t="shared" si="53"/>
        <v>-13200</v>
      </c>
      <c r="AJ111" s="19">
        <v>-1100</v>
      </c>
      <c r="AK111" s="19">
        <v>-1100</v>
      </c>
      <c r="AL111" s="19">
        <v>-1100</v>
      </c>
      <c r="AM111" s="19">
        <v>-1100</v>
      </c>
      <c r="AN111" s="19">
        <v>-1100</v>
      </c>
      <c r="AO111" s="19">
        <v>-1100</v>
      </c>
      <c r="AP111" s="19">
        <v>-1100</v>
      </c>
      <c r="AQ111" s="19">
        <v>-1100</v>
      </c>
      <c r="AR111" s="19">
        <v>-1100</v>
      </c>
      <c r="AS111" s="19">
        <v>-1100</v>
      </c>
      <c r="AT111" s="19">
        <v>-1100</v>
      </c>
      <c r="AU111" s="19">
        <v>-1100</v>
      </c>
      <c r="AV111" s="20">
        <f t="shared" si="55"/>
        <v>-13200</v>
      </c>
    </row>
    <row r="112" spans="1:48">
      <c r="A112" s="13" t="s">
        <v>105</v>
      </c>
      <c r="B112" s="13" t="s">
        <v>533</v>
      </c>
      <c r="C112" s="13" t="s">
        <v>147</v>
      </c>
      <c r="D112" s="13" t="s">
        <v>555</v>
      </c>
      <c r="E112" s="13" t="s">
        <v>678</v>
      </c>
      <c r="F112" s="19">
        <f t="shared" ref="F112:Q112" si="63">-400/12</f>
        <v>-33.333333333333336</v>
      </c>
      <c r="G112" s="19">
        <f t="shared" si="63"/>
        <v>-33.333333333333336</v>
      </c>
      <c r="H112" s="19">
        <f t="shared" si="63"/>
        <v>-33.333333333333336</v>
      </c>
      <c r="I112" s="19">
        <f t="shared" si="63"/>
        <v>-33.333333333333336</v>
      </c>
      <c r="J112" s="19">
        <f t="shared" si="63"/>
        <v>-33.333333333333336</v>
      </c>
      <c r="K112" s="19">
        <f t="shared" si="63"/>
        <v>-33.333333333333336</v>
      </c>
      <c r="L112" s="19">
        <f t="shared" si="63"/>
        <v>-33.333333333333336</v>
      </c>
      <c r="M112" s="19">
        <f t="shared" si="63"/>
        <v>-33.333333333333336</v>
      </c>
      <c r="N112" s="19">
        <f t="shared" si="63"/>
        <v>-33.333333333333336</v>
      </c>
      <c r="O112" s="19">
        <f t="shared" si="63"/>
        <v>-33.333333333333336</v>
      </c>
      <c r="P112" s="19">
        <f t="shared" si="63"/>
        <v>-33.333333333333336</v>
      </c>
      <c r="Q112" s="19">
        <f t="shared" si="63"/>
        <v>-33.333333333333336</v>
      </c>
      <c r="R112" s="20">
        <f t="shared" si="59"/>
        <v>-399.99999999999994</v>
      </c>
      <c r="V112" s="145"/>
      <c r="W112" s="145"/>
      <c r="X112" s="145"/>
      <c r="Y112" s="145"/>
      <c r="Z112" s="145"/>
      <c r="AA112" s="145"/>
      <c r="AB112" s="145"/>
      <c r="AC112" s="145"/>
      <c r="AD112" s="145"/>
      <c r="AE112" s="145"/>
      <c r="AF112" s="145"/>
      <c r="AG112" s="145"/>
      <c r="AH112" s="20">
        <f t="shared" si="53"/>
        <v>0</v>
      </c>
      <c r="AJ112" s="145"/>
      <c r="AK112" s="145"/>
      <c r="AL112" s="145"/>
      <c r="AM112" s="145"/>
      <c r="AN112" s="145"/>
      <c r="AO112" s="145"/>
      <c r="AP112" s="145"/>
      <c r="AQ112" s="145"/>
      <c r="AR112" s="145"/>
      <c r="AS112" s="145"/>
      <c r="AT112" s="145"/>
      <c r="AU112" s="145"/>
      <c r="AV112" s="20">
        <f t="shared" si="55"/>
        <v>0</v>
      </c>
    </row>
    <row r="113" spans="1:48">
      <c r="A113" s="13" t="s">
        <v>105</v>
      </c>
      <c r="B113" s="13" t="s">
        <v>533</v>
      </c>
      <c r="C113" s="13" t="s">
        <v>147</v>
      </c>
      <c r="D113" s="13" t="s">
        <v>555</v>
      </c>
      <c r="E113" s="13" t="s">
        <v>679</v>
      </c>
      <c r="F113" s="19">
        <v>-120</v>
      </c>
      <c r="G113" s="19">
        <v>-120</v>
      </c>
      <c r="H113" s="19">
        <v>-120</v>
      </c>
      <c r="I113" s="19">
        <v>-120</v>
      </c>
      <c r="J113" s="19"/>
      <c r="K113" s="19"/>
      <c r="L113" s="19"/>
      <c r="M113" s="19"/>
      <c r="N113" s="19"/>
      <c r="O113" s="19"/>
      <c r="P113" s="19"/>
      <c r="Q113" s="19"/>
      <c r="R113" s="20">
        <f t="shared" si="59"/>
        <v>-480</v>
      </c>
      <c r="V113" s="145"/>
      <c r="W113" s="145"/>
      <c r="X113" s="145"/>
      <c r="Y113" s="145"/>
      <c r="Z113" s="145"/>
      <c r="AA113" s="145"/>
      <c r="AB113" s="145"/>
      <c r="AC113" s="145"/>
      <c r="AD113" s="145"/>
      <c r="AE113" s="145"/>
      <c r="AF113" s="145"/>
      <c r="AG113" s="145"/>
      <c r="AH113" s="20">
        <f t="shared" si="53"/>
        <v>0</v>
      </c>
      <c r="AJ113" s="145"/>
      <c r="AK113" s="145"/>
      <c r="AL113" s="145"/>
      <c r="AM113" s="145"/>
      <c r="AN113" s="145"/>
      <c r="AO113" s="145"/>
      <c r="AP113" s="145"/>
      <c r="AQ113" s="145"/>
      <c r="AR113" s="145"/>
      <c r="AS113" s="145"/>
      <c r="AT113" s="145"/>
      <c r="AU113" s="145"/>
      <c r="AV113" s="20">
        <f t="shared" si="55"/>
        <v>0</v>
      </c>
    </row>
    <row r="114" spans="1:48">
      <c r="A114" s="13" t="s">
        <v>105</v>
      </c>
      <c r="B114" s="13" t="s">
        <v>533</v>
      </c>
      <c r="C114" s="13" t="s">
        <v>147</v>
      </c>
      <c r="D114" s="13" t="s">
        <v>555</v>
      </c>
      <c r="E114" s="13" t="s">
        <v>680</v>
      </c>
      <c r="F114" s="19">
        <v>-100</v>
      </c>
      <c r="G114" s="19">
        <v>-100</v>
      </c>
      <c r="H114" s="19">
        <v>-100</v>
      </c>
      <c r="I114" s="19">
        <v>-100</v>
      </c>
      <c r="J114" s="19">
        <v>-100</v>
      </c>
      <c r="K114" s="19">
        <v>-100</v>
      </c>
      <c r="L114" s="19">
        <v>-100</v>
      </c>
      <c r="M114" s="19">
        <v>-100</v>
      </c>
      <c r="N114" s="19">
        <v>-100</v>
      </c>
      <c r="O114" s="19">
        <v>-100</v>
      </c>
      <c r="P114" s="19">
        <v>-100</v>
      </c>
      <c r="Q114" s="19">
        <v>-100</v>
      </c>
      <c r="R114" s="20">
        <f t="shared" si="59"/>
        <v>-1200</v>
      </c>
      <c r="V114" s="19">
        <v>-100</v>
      </c>
      <c r="W114" s="19">
        <v>-100</v>
      </c>
      <c r="X114" s="19">
        <v>-100</v>
      </c>
      <c r="Y114" s="19">
        <v>-100</v>
      </c>
      <c r="Z114" s="19">
        <v>-100</v>
      </c>
      <c r="AA114" s="19">
        <v>-100</v>
      </c>
      <c r="AB114" s="19">
        <v>-100</v>
      </c>
      <c r="AC114" s="19">
        <v>-100</v>
      </c>
      <c r="AD114" s="19">
        <v>-100</v>
      </c>
      <c r="AE114" s="19">
        <v>-100</v>
      </c>
      <c r="AF114" s="19">
        <v>-100</v>
      </c>
      <c r="AG114" s="19">
        <v>-100</v>
      </c>
      <c r="AH114" s="20">
        <f t="shared" si="53"/>
        <v>-1200</v>
      </c>
      <c r="AJ114" s="19">
        <v>-100</v>
      </c>
      <c r="AK114" s="19">
        <v>-100</v>
      </c>
      <c r="AL114" s="19">
        <v>-100</v>
      </c>
      <c r="AM114" s="19">
        <v>-100</v>
      </c>
      <c r="AN114" s="19">
        <v>-100</v>
      </c>
      <c r="AO114" s="19">
        <v>-100</v>
      </c>
      <c r="AP114" s="19">
        <v>-100</v>
      </c>
      <c r="AQ114" s="19">
        <v>-100</v>
      </c>
      <c r="AR114" s="19">
        <v>-100</v>
      </c>
      <c r="AS114" s="19">
        <v>-100</v>
      </c>
      <c r="AT114" s="19">
        <v>-100</v>
      </c>
      <c r="AU114" s="19">
        <v>-100</v>
      </c>
      <c r="AV114" s="20">
        <f t="shared" si="55"/>
        <v>-1200</v>
      </c>
    </row>
    <row r="115" spans="1:48">
      <c r="A115" s="13" t="s">
        <v>105</v>
      </c>
      <c r="B115" s="13" t="s">
        <v>533</v>
      </c>
      <c r="C115" s="13" t="s">
        <v>147</v>
      </c>
      <c r="D115" s="13" t="s">
        <v>555</v>
      </c>
      <c r="E115" s="13" t="s">
        <v>681</v>
      </c>
      <c r="F115" s="19">
        <v>-500</v>
      </c>
      <c r="G115" s="19">
        <v>-500</v>
      </c>
      <c r="H115" s="19">
        <v>-500</v>
      </c>
      <c r="I115" s="19">
        <v>-500</v>
      </c>
      <c r="J115" s="19">
        <v>-500</v>
      </c>
      <c r="K115" s="19">
        <v>-500</v>
      </c>
      <c r="L115" s="19">
        <v>-500</v>
      </c>
      <c r="M115" s="19">
        <v>-500</v>
      </c>
      <c r="N115" s="19">
        <v>-500</v>
      </c>
      <c r="O115" s="19">
        <v>-500</v>
      </c>
      <c r="P115" s="19">
        <v>-500</v>
      </c>
      <c r="Q115" s="19">
        <v>-500</v>
      </c>
      <c r="R115" s="20">
        <f t="shared" si="59"/>
        <v>-6000</v>
      </c>
      <c r="V115" s="19">
        <v>-500</v>
      </c>
      <c r="W115" s="19">
        <v>-500</v>
      </c>
      <c r="X115" s="19">
        <v>-500</v>
      </c>
      <c r="Y115" s="19">
        <v>-500</v>
      </c>
      <c r="Z115" s="19">
        <v>-500</v>
      </c>
      <c r="AA115" s="19">
        <v>-500</v>
      </c>
      <c r="AB115" s="19">
        <v>-500</v>
      </c>
      <c r="AC115" s="19">
        <v>-500</v>
      </c>
      <c r="AD115" s="19">
        <v>-500</v>
      </c>
      <c r="AE115" s="19">
        <v>-500</v>
      </c>
      <c r="AF115" s="19">
        <v>-500</v>
      </c>
      <c r="AG115" s="19">
        <v>-500</v>
      </c>
      <c r="AH115" s="20">
        <f t="shared" si="53"/>
        <v>-6000</v>
      </c>
      <c r="AJ115" s="19">
        <v>-500</v>
      </c>
      <c r="AK115" s="19">
        <v>-500</v>
      </c>
      <c r="AL115" s="19">
        <v>-500</v>
      </c>
      <c r="AM115" s="19">
        <v>-500</v>
      </c>
      <c r="AN115" s="19">
        <v>-500</v>
      </c>
      <c r="AO115" s="19">
        <v>-500</v>
      </c>
      <c r="AP115" s="19">
        <v>-500</v>
      </c>
      <c r="AQ115" s="19">
        <v>-500</v>
      </c>
      <c r="AR115" s="19">
        <v>-500</v>
      </c>
      <c r="AS115" s="19">
        <v>-500</v>
      </c>
      <c r="AT115" s="19">
        <v>-500</v>
      </c>
      <c r="AU115" s="19">
        <v>-500</v>
      </c>
      <c r="AV115" s="20">
        <f t="shared" si="55"/>
        <v>-6000</v>
      </c>
    </row>
    <row r="116" spans="1:48">
      <c r="A116" s="13" t="s">
        <v>105</v>
      </c>
      <c r="B116" s="13" t="s">
        <v>533</v>
      </c>
      <c r="C116" s="13" t="s">
        <v>147</v>
      </c>
      <c r="D116" s="13" t="s">
        <v>555</v>
      </c>
      <c r="E116" s="13" t="s">
        <v>682</v>
      </c>
      <c r="F116" s="19">
        <v>-200</v>
      </c>
      <c r="G116" s="19">
        <v>-200</v>
      </c>
      <c r="H116" s="19">
        <v>-200</v>
      </c>
      <c r="I116" s="19">
        <v>-200</v>
      </c>
      <c r="J116" s="19">
        <v>-200</v>
      </c>
      <c r="K116" s="19">
        <v>-200</v>
      </c>
      <c r="L116" s="19">
        <v>-200</v>
      </c>
      <c r="M116" s="19">
        <v>-200</v>
      </c>
      <c r="N116" s="19">
        <v>-200</v>
      </c>
      <c r="O116" s="19">
        <v>-200</v>
      </c>
      <c r="P116" s="19">
        <v>-200</v>
      </c>
      <c r="Q116" s="19">
        <v>-200</v>
      </c>
      <c r="R116" s="20">
        <f t="shared" si="59"/>
        <v>-2400</v>
      </c>
      <c r="V116" s="19">
        <v>-200</v>
      </c>
      <c r="W116" s="19">
        <v>-200</v>
      </c>
      <c r="X116" s="19">
        <v>-200</v>
      </c>
      <c r="Y116" s="19">
        <v>-200</v>
      </c>
      <c r="Z116" s="19">
        <v>-200</v>
      </c>
      <c r="AA116" s="19">
        <v>-200</v>
      </c>
      <c r="AB116" s="19">
        <v>-200</v>
      </c>
      <c r="AC116" s="19">
        <v>-200</v>
      </c>
      <c r="AD116" s="19">
        <v>-200</v>
      </c>
      <c r="AE116" s="19">
        <v>-200</v>
      </c>
      <c r="AF116" s="19">
        <v>-200</v>
      </c>
      <c r="AG116" s="19">
        <v>-200</v>
      </c>
      <c r="AH116" s="20">
        <f t="shared" si="53"/>
        <v>-2400</v>
      </c>
      <c r="AJ116" s="19">
        <v>-200</v>
      </c>
      <c r="AK116" s="19">
        <v>-200</v>
      </c>
      <c r="AL116" s="19">
        <v>-200</v>
      </c>
      <c r="AM116" s="19">
        <v>-200</v>
      </c>
      <c r="AN116" s="19">
        <v>-200</v>
      </c>
      <c r="AO116" s="19">
        <v>-200</v>
      </c>
      <c r="AP116" s="19">
        <v>-200</v>
      </c>
      <c r="AQ116" s="19">
        <v>-200</v>
      </c>
      <c r="AR116" s="19">
        <v>-200</v>
      </c>
      <c r="AS116" s="19">
        <v>-200</v>
      </c>
      <c r="AT116" s="19">
        <v>-200</v>
      </c>
      <c r="AU116" s="19">
        <v>-200</v>
      </c>
      <c r="AV116" s="20">
        <f t="shared" si="55"/>
        <v>-2400</v>
      </c>
    </row>
    <row r="117" spans="1:48">
      <c r="A117" s="13" t="s">
        <v>105</v>
      </c>
      <c r="B117" s="13" t="s">
        <v>533</v>
      </c>
      <c r="C117" s="13" t="s">
        <v>147</v>
      </c>
      <c r="D117" s="13" t="s">
        <v>555</v>
      </c>
      <c r="E117" s="13" t="s">
        <v>683</v>
      </c>
      <c r="F117" s="19">
        <v>-110</v>
      </c>
      <c r="G117" s="19">
        <v>-110</v>
      </c>
      <c r="H117" s="19">
        <v>-110</v>
      </c>
      <c r="I117" s="19">
        <v>-110</v>
      </c>
      <c r="J117" s="19">
        <v>-110</v>
      </c>
      <c r="K117" s="19">
        <v>-110</v>
      </c>
      <c r="L117" s="19">
        <v>-110</v>
      </c>
      <c r="M117" s="19">
        <v>-110</v>
      </c>
      <c r="N117" s="19">
        <v>-110</v>
      </c>
      <c r="O117" s="19">
        <v>-110</v>
      </c>
      <c r="P117" s="19">
        <v>-110</v>
      </c>
      <c r="Q117" s="19">
        <v>-110</v>
      </c>
      <c r="R117" s="20">
        <f t="shared" si="59"/>
        <v>-1320</v>
      </c>
      <c r="V117" s="19">
        <v>-110</v>
      </c>
      <c r="W117" s="19">
        <v>-110</v>
      </c>
      <c r="X117" s="19">
        <v>-110</v>
      </c>
      <c r="Y117" s="19">
        <v>-110</v>
      </c>
      <c r="Z117" s="19">
        <v>-110</v>
      </c>
      <c r="AA117" s="19">
        <v>-110</v>
      </c>
      <c r="AB117" s="19">
        <v>-110</v>
      </c>
      <c r="AC117" s="19">
        <v>-110</v>
      </c>
      <c r="AD117" s="19">
        <v>-110</v>
      </c>
      <c r="AE117" s="19">
        <v>-110</v>
      </c>
      <c r="AF117" s="19">
        <v>-110</v>
      </c>
      <c r="AG117" s="19">
        <v>-110</v>
      </c>
      <c r="AH117" s="20">
        <f t="shared" si="53"/>
        <v>-1320</v>
      </c>
      <c r="AJ117" s="19">
        <v>-110</v>
      </c>
      <c r="AK117" s="19">
        <v>-110</v>
      </c>
      <c r="AL117" s="19">
        <v>-110</v>
      </c>
      <c r="AM117" s="19">
        <v>-110</v>
      </c>
      <c r="AN117" s="19">
        <v>-110</v>
      </c>
      <c r="AO117" s="19">
        <v>-110</v>
      </c>
      <c r="AP117" s="19">
        <v>-110</v>
      </c>
      <c r="AQ117" s="19">
        <v>-110</v>
      </c>
      <c r="AR117" s="19">
        <v>-110</v>
      </c>
      <c r="AS117" s="19">
        <v>-110</v>
      </c>
      <c r="AT117" s="19">
        <v>-110</v>
      </c>
      <c r="AU117" s="19">
        <v>-110</v>
      </c>
      <c r="AV117" s="20">
        <f t="shared" si="55"/>
        <v>-1320</v>
      </c>
    </row>
    <row r="118" spans="1:48">
      <c r="A118" s="13" t="s">
        <v>105</v>
      </c>
      <c r="B118" s="13" t="s">
        <v>533</v>
      </c>
      <c r="C118" s="13" t="s">
        <v>147</v>
      </c>
      <c r="D118" s="13" t="s">
        <v>555</v>
      </c>
      <c r="E118" s="13" t="s">
        <v>684</v>
      </c>
      <c r="F118" s="19">
        <v>-110</v>
      </c>
      <c r="G118" s="19">
        <v>-110</v>
      </c>
      <c r="H118" s="19">
        <v>-110</v>
      </c>
      <c r="I118" s="19">
        <v>-110</v>
      </c>
      <c r="J118" s="19">
        <v>-110</v>
      </c>
      <c r="K118" s="19">
        <v>-110</v>
      </c>
      <c r="L118" s="19">
        <v>-110</v>
      </c>
      <c r="M118" s="19">
        <v>-110</v>
      </c>
      <c r="N118" s="19">
        <v>-110</v>
      </c>
      <c r="O118" s="19">
        <v>-110</v>
      </c>
      <c r="P118" s="19">
        <v>-110</v>
      </c>
      <c r="Q118" s="19">
        <v>-110</v>
      </c>
      <c r="R118" s="20">
        <f t="shared" si="59"/>
        <v>-1320</v>
      </c>
      <c r="V118" s="19">
        <v>-110</v>
      </c>
      <c r="W118" s="19">
        <v>-110</v>
      </c>
      <c r="X118" s="19">
        <v>-110</v>
      </c>
      <c r="Y118" s="19">
        <v>-110</v>
      </c>
      <c r="Z118" s="19">
        <v>-110</v>
      </c>
      <c r="AA118" s="19">
        <v>-110</v>
      </c>
      <c r="AB118" s="19">
        <v>-110</v>
      </c>
      <c r="AC118" s="19">
        <v>-110</v>
      </c>
      <c r="AD118" s="19">
        <v>-110</v>
      </c>
      <c r="AE118" s="19">
        <v>-110</v>
      </c>
      <c r="AF118" s="19">
        <v>-110</v>
      </c>
      <c r="AG118" s="19">
        <v>-110</v>
      </c>
      <c r="AH118" s="20">
        <f t="shared" si="53"/>
        <v>-1320</v>
      </c>
      <c r="AJ118" s="19">
        <v>-110</v>
      </c>
      <c r="AK118" s="19">
        <v>-110</v>
      </c>
      <c r="AL118" s="19">
        <v>-110</v>
      </c>
      <c r="AM118" s="19">
        <v>-110</v>
      </c>
      <c r="AN118" s="19">
        <v>-110</v>
      </c>
      <c r="AO118" s="19">
        <v>-110</v>
      </c>
      <c r="AP118" s="19">
        <v>-110</v>
      </c>
      <c r="AQ118" s="19">
        <v>-110</v>
      </c>
      <c r="AR118" s="19">
        <v>-110</v>
      </c>
      <c r="AS118" s="19">
        <v>-110</v>
      </c>
      <c r="AT118" s="19">
        <v>-110</v>
      </c>
      <c r="AU118" s="19">
        <v>-110</v>
      </c>
      <c r="AV118" s="20">
        <f t="shared" si="55"/>
        <v>-1320</v>
      </c>
    </row>
    <row r="119" spans="1:48">
      <c r="A119" s="13" t="s">
        <v>105</v>
      </c>
      <c r="B119" s="13" t="s">
        <v>533</v>
      </c>
      <c r="C119" s="13" t="s">
        <v>147</v>
      </c>
      <c r="D119" s="13" t="s">
        <v>555</v>
      </c>
      <c r="E119" s="13" t="s">
        <v>685</v>
      </c>
      <c r="F119" s="19">
        <v>-286</v>
      </c>
      <c r="G119" s="19">
        <v>-286</v>
      </c>
      <c r="H119" s="19">
        <v>-286</v>
      </c>
      <c r="I119" s="19">
        <v>-286</v>
      </c>
      <c r="J119" s="19">
        <v>-286</v>
      </c>
      <c r="K119" s="19">
        <v>-286</v>
      </c>
      <c r="L119" s="19">
        <v>-286</v>
      </c>
      <c r="M119" s="19">
        <v>-286</v>
      </c>
      <c r="N119" s="19">
        <v>-286</v>
      </c>
      <c r="O119" s="19">
        <v>-286</v>
      </c>
      <c r="P119" s="19">
        <v>-286</v>
      </c>
      <c r="Q119" s="19">
        <v>-286</v>
      </c>
      <c r="R119" s="20">
        <f t="shared" si="59"/>
        <v>-3432</v>
      </c>
      <c r="V119" s="19">
        <v>-286</v>
      </c>
      <c r="W119" s="19">
        <v>-286</v>
      </c>
      <c r="X119" s="19">
        <v>-286</v>
      </c>
      <c r="Y119" s="19">
        <v>-286</v>
      </c>
      <c r="Z119" s="19">
        <v>-286</v>
      </c>
      <c r="AA119" s="19">
        <v>-286</v>
      </c>
      <c r="AB119" s="19">
        <v>-286</v>
      </c>
      <c r="AC119" s="19">
        <v>-286</v>
      </c>
      <c r="AD119" s="19">
        <v>-286</v>
      </c>
      <c r="AE119" s="19">
        <v>-286</v>
      </c>
      <c r="AF119" s="19">
        <v>-286</v>
      </c>
      <c r="AG119" s="19">
        <v>-286</v>
      </c>
      <c r="AH119" s="20">
        <f t="shared" si="53"/>
        <v>-3432</v>
      </c>
      <c r="AJ119" s="19">
        <v>-286</v>
      </c>
      <c r="AK119" s="19">
        <v>-286</v>
      </c>
      <c r="AL119" s="19">
        <v>-286</v>
      </c>
      <c r="AM119" s="19">
        <v>-286</v>
      </c>
      <c r="AN119" s="19">
        <v>-286</v>
      </c>
      <c r="AO119" s="19">
        <v>-286</v>
      </c>
      <c r="AP119" s="19">
        <v>-286</v>
      </c>
      <c r="AQ119" s="19">
        <v>-286</v>
      </c>
      <c r="AR119" s="19">
        <v>-286</v>
      </c>
      <c r="AS119" s="19">
        <v>-286</v>
      </c>
      <c r="AT119" s="19">
        <v>-286</v>
      </c>
      <c r="AU119" s="19">
        <v>-286</v>
      </c>
      <c r="AV119" s="20">
        <f t="shared" si="55"/>
        <v>-3432</v>
      </c>
    </row>
    <row r="120" spans="1:48">
      <c r="A120" s="13" t="s">
        <v>105</v>
      </c>
      <c r="B120" s="13" t="s">
        <v>533</v>
      </c>
      <c r="C120" s="13" t="s">
        <v>147</v>
      </c>
      <c r="D120" s="13" t="s">
        <v>555</v>
      </c>
      <c r="E120" s="13" t="s">
        <v>686</v>
      </c>
      <c r="F120" s="19">
        <v>-250</v>
      </c>
      <c r="G120" s="19">
        <v>-250</v>
      </c>
      <c r="H120" s="19">
        <v>-250</v>
      </c>
      <c r="I120" s="19">
        <v>-500</v>
      </c>
      <c r="J120" s="19">
        <v>-500</v>
      </c>
      <c r="K120" s="19">
        <v>-500</v>
      </c>
      <c r="L120" s="19">
        <v>-500</v>
      </c>
      <c r="M120" s="19">
        <v>-500</v>
      </c>
      <c r="N120" s="19">
        <v>-500</v>
      </c>
      <c r="O120" s="19">
        <v>-500</v>
      </c>
      <c r="P120" s="19">
        <v>-500</v>
      </c>
      <c r="Q120" s="19">
        <v>-500</v>
      </c>
      <c r="R120" s="20">
        <f t="shared" si="59"/>
        <v>-5250</v>
      </c>
      <c r="V120" s="19">
        <v>-500</v>
      </c>
      <c r="W120" s="19">
        <v>-500</v>
      </c>
      <c r="X120" s="19">
        <v>-500</v>
      </c>
      <c r="Y120" s="19">
        <v>-500</v>
      </c>
      <c r="Z120" s="19">
        <v>-500</v>
      </c>
      <c r="AA120" s="19">
        <v>-500</v>
      </c>
      <c r="AB120" s="19">
        <v>-500</v>
      </c>
      <c r="AC120" s="19">
        <v>-500</v>
      </c>
      <c r="AD120" s="19">
        <v>-500</v>
      </c>
      <c r="AE120" s="19">
        <v>-500</v>
      </c>
      <c r="AF120" s="19">
        <v>-500</v>
      </c>
      <c r="AG120" s="19">
        <v>-500</v>
      </c>
      <c r="AH120" s="20">
        <f t="shared" si="53"/>
        <v>-6000</v>
      </c>
      <c r="AJ120" s="19">
        <v>-500</v>
      </c>
      <c r="AK120" s="19">
        <v>-500</v>
      </c>
      <c r="AL120" s="19">
        <v>-500</v>
      </c>
      <c r="AM120" s="19">
        <v>-500</v>
      </c>
      <c r="AN120" s="19">
        <v>-500</v>
      </c>
      <c r="AO120" s="19">
        <v>-500</v>
      </c>
      <c r="AP120" s="19">
        <v>-500</v>
      </c>
      <c r="AQ120" s="19">
        <v>-500</v>
      </c>
      <c r="AR120" s="19">
        <v>-500</v>
      </c>
      <c r="AS120" s="19">
        <v>-500</v>
      </c>
      <c r="AT120" s="19">
        <v>-500</v>
      </c>
      <c r="AU120" s="19">
        <v>-500</v>
      </c>
      <c r="AV120" s="20">
        <f t="shared" si="55"/>
        <v>-6000</v>
      </c>
    </row>
    <row r="121" spans="1:48">
      <c r="A121" s="13" t="s">
        <v>105</v>
      </c>
      <c r="B121" s="13" t="s">
        <v>533</v>
      </c>
      <c r="C121" s="13" t="s">
        <v>147</v>
      </c>
      <c r="D121" s="13" t="s">
        <v>555</v>
      </c>
      <c r="E121" s="13" t="s">
        <v>687</v>
      </c>
      <c r="F121" s="19">
        <v>-600</v>
      </c>
      <c r="G121" s="19">
        <v>-600</v>
      </c>
      <c r="H121" s="19">
        <v>-600</v>
      </c>
      <c r="I121" s="19">
        <v>-600</v>
      </c>
      <c r="J121" s="19">
        <v>-600</v>
      </c>
      <c r="K121" s="19">
        <v>-600</v>
      </c>
      <c r="L121" s="19">
        <v>-600</v>
      </c>
      <c r="M121" s="19">
        <v>-600</v>
      </c>
      <c r="N121" s="19">
        <v>-600</v>
      </c>
      <c r="O121" s="19">
        <v>-600</v>
      </c>
      <c r="P121" s="19">
        <v>-600</v>
      </c>
      <c r="Q121" s="19">
        <v>-600</v>
      </c>
      <c r="R121" s="20">
        <f t="shared" si="59"/>
        <v>-7200</v>
      </c>
      <c r="V121" s="19">
        <v>-600</v>
      </c>
      <c r="W121" s="19">
        <v>-600</v>
      </c>
      <c r="X121" s="19">
        <v>-600</v>
      </c>
      <c r="Y121" s="19">
        <v>-600</v>
      </c>
      <c r="Z121" s="19">
        <v>-600</v>
      </c>
      <c r="AA121" s="19">
        <v>-600</v>
      </c>
      <c r="AB121" s="19">
        <v>-600</v>
      </c>
      <c r="AC121" s="19">
        <v>-600</v>
      </c>
      <c r="AD121" s="19">
        <v>-600</v>
      </c>
      <c r="AE121" s="19">
        <v>-600</v>
      </c>
      <c r="AF121" s="19">
        <v>-600</v>
      </c>
      <c r="AG121" s="19">
        <v>-600</v>
      </c>
      <c r="AH121" s="20">
        <f t="shared" si="53"/>
        <v>-7200</v>
      </c>
      <c r="AJ121" s="19">
        <v>-600</v>
      </c>
      <c r="AK121" s="19">
        <v>-600</v>
      </c>
      <c r="AL121" s="19">
        <v>-600</v>
      </c>
      <c r="AM121" s="19">
        <v>-600</v>
      </c>
      <c r="AN121" s="19">
        <v>-600</v>
      </c>
      <c r="AO121" s="19">
        <v>-600</v>
      </c>
      <c r="AP121" s="19">
        <v>-600</v>
      </c>
      <c r="AQ121" s="19">
        <v>-600</v>
      </c>
      <c r="AR121" s="19">
        <v>-600</v>
      </c>
      <c r="AS121" s="19">
        <v>-600</v>
      </c>
      <c r="AT121" s="19">
        <v>-600</v>
      </c>
      <c r="AU121" s="19">
        <v>-600</v>
      </c>
      <c r="AV121" s="20">
        <f t="shared" si="55"/>
        <v>-7200</v>
      </c>
    </row>
    <row r="122" spans="1:48">
      <c r="A122" s="13" t="s">
        <v>105</v>
      </c>
      <c r="B122" s="13" t="s">
        <v>533</v>
      </c>
      <c r="C122" s="13" t="s">
        <v>147</v>
      </c>
      <c r="D122" s="13" t="s">
        <v>555</v>
      </c>
      <c r="E122" s="13" t="s">
        <v>688</v>
      </c>
      <c r="F122" s="19">
        <v>-106</v>
      </c>
      <c r="G122" s="19">
        <v>-106</v>
      </c>
      <c r="H122" s="19">
        <v>-106</v>
      </c>
      <c r="I122" s="19">
        <v>-25</v>
      </c>
      <c r="J122" s="19">
        <v>-25</v>
      </c>
      <c r="K122" s="19">
        <v>-25</v>
      </c>
      <c r="L122" s="19">
        <v>-25</v>
      </c>
      <c r="M122" s="19">
        <v>-25</v>
      </c>
      <c r="N122" s="19">
        <v>-25</v>
      </c>
      <c r="O122" s="19">
        <v>-25</v>
      </c>
      <c r="P122" s="19">
        <v>-25</v>
      </c>
      <c r="Q122" s="19">
        <v>-25</v>
      </c>
      <c r="R122" s="20">
        <f t="shared" si="59"/>
        <v>-543</v>
      </c>
      <c r="V122" s="19">
        <v>-25</v>
      </c>
      <c r="W122" s="19">
        <v>-25</v>
      </c>
      <c r="X122" s="19">
        <v>-25</v>
      </c>
      <c r="Y122" s="19">
        <v>-25</v>
      </c>
      <c r="Z122" s="19">
        <v>-25</v>
      </c>
      <c r="AA122" s="19">
        <v>-25</v>
      </c>
      <c r="AB122" s="19">
        <v>-25</v>
      </c>
      <c r="AC122" s="19">
        <v>-25</v>
      </c>
      <c r="AD122" s="19">
        <v>-25</v>
      </c>
      <c r="AE122" s="19">
        <v>-25</v>
      </c>
      <c r="AF122" s="19">
        <v>-25</v>
      </c>
      <c r="AG122" s="19">
        <v>-25</v>
      </c>
      <c r="AH122" s="20">
        <f t="shared" si="53"/>
        <v>-300</v>
      </c>
      <c r="AJ122" s="19">
        <v>-25</v>
      </c>
      <c r="AK122" s="19">
        <v>-25</v>
      </c>
      <c r="AL122" s="19">
        <v>-25</v>
      </c>
      <c r="AM122" s="19">
        <v>-25</v>
      </c>
      <c r="AN122" s="19">
        <v>-25</v>
      </c>
      <c r="AO122" s="19">
        <v>-25</v>
      </c>
      <c r="AP122" s="19">
        <v>-25</v>
      </c>
      <c r="AQ122" s="19">
        <v>-25</v>
      </c>
      <c r="AR122" s="19">
        <v>-25</v>
      </c>
      <c r="AS122" s="19">
        <v>-25</v>
      </c>
      <c r="AT122" s="19">
        <v>-25</v>
      </c>
      <c r="AU122" s="19">
        <v>-25</v>
      </c>
      <c r="AV122" s="20">
        <f t="shared" si="55"/>
        <v>-300</v>
      </c>
    </row>
    <row r="123" spans="1:48">
      <c r="A123" s="13" t="s">
        <v>105</v>
      </c>
      <c r="B123" s="13" t="s">
        <v>533</v>
      </c>
      <c r="C123" s="13" t="s">
        <v>147</v>
      </c>
      <c r="D123" s="13" t="s">
        <v>555</v>
      </c>
      <c r="E123" s="13" t="s">
        <v>689</v>
      </c>
      <c r="F123" s="19">
        <v>-250</v>
      </c>
      <c r="G123" s="19">
        <v>-250</v>
      </c>
      <c r="H123" s="19">
        <v>-250</v>
      </c>
      <c r="I123" s="19">
        <v>-250</v>
      </c>
      <c r="J123" s="19">
        <v>-250</v>
      </c>
      <c r="K123" s="19">
        <v>-250</v>
      </c>
      <c r="L123" s="19">
        <v>-250</v>
      </c>
      <c r="M123" s="19">
        <v>-250</v>
      </c>
      <c r="N123" s="19">
        <v>-250</v>
      </c>
      <c r="O123" s="19">
        <v>-250</v>
      </c>
      <c r="P123" s="19">
        <v>-250</v>
      </c>
      <c r="Q123" s="19">
        <v>-250</v>
      </c>
      <c r="R123" s="20">
        <f t="shared" si="59"/>
        <v>-3000</v>
      </c>
      <c r="T123" s="13" t="s">
        <v>690</v>
      </c>
      <c r="V123" s="19">
        <v>-250</v>
      </c>
      <c r="W123" s="19">
        <v>-250</v>
      </c>
      <c r="X123" s="19">
        <v>-250</v>
      </c>
      <c r="Y123" s="19">
        <v>-250</v>
      </c>
      <c r="Z123" s="19">
        <v>-250</v>
      </c>
      <c r="AA123" s="19">
        <v>-250</v>
      </c>
      <c r="AB123" s="19">
        <v>-250</v>
      </c>
      <c r="AC123" s="19">
        <v>-250</v>
      </c>
      <c r="AD123" s="19">
        <v>-250</v>
      </c>
      <c r="AE123" s="19">
        <v>-250</v>
      </c>
      <c r="AF123" s="19">
        <v>-250</v>
      </c>
      <c r="AG123" s="19">
        <v>-250</v>
      </c>
      <c r="AH123" s="20">
        <f t="shared" si="53"/>
        <v>-3000</v>
      </c>
      <c r="AJ123" s="19">
        <v>-250</v>
      </c>
      <c r="AK123" s="19">
        <v>-250</v>
      </c>
      <c r="AL123" s="19">
        <v>-250</v>
      </c>
      <c r="AM123" s="19">
        <v>-250</v>
      </c>
      <c r="AN123" s="19">
        <v>-250</v>
      </c>
      <c r="AO123" s="19">
        <v>-250</v>
      </c>
      <c r="AP123" s="19">
        <v>-250</v>
      </c>
      <c r="AQ123" s="19">
        <v>-250</v>
      </c>
      <c r="AR123" s="19">
        <v>-250</v>
      </c>
      <c r="AS123" s="19">
        <v>-250</v>
      </c>
      <c r="AT123" s="19">
        <v>-250</v>
      </c>
      <c r="AU123" s="19">
        <v>-250</v>
      </c>
      <c r="AV123" s="20">
        <f t="shared" si="55"/>
        <v>-3000</v>
      </c>
    </row>
    <row r="124" spans="1:48">
      <c r="A124" s="13" t="s">
        <v>105</v>
      </c>
      <c r="B124" s="13" t="s">
        <v>533</v>
      </c>
      <c r="C124" s="13" t="s">
        <v>147</v>
      </c>
      <c r="D124" s="13" t="s">
        <v>555</v>
      </c>
      <c r="E124" s="13" t="s">
        <v>691</v>
      </c>
      <c r="F124" s="19">
        <v>-250</v>
      </c>
      <c r="G124" s="19">
        <v>-250</v>
      </c>
      <c r="H124" s="19">
        <v>-250</v>
      </c>
      <c r="I124" s="19"/>
      <c r="J124" s="19"/>
      <c r="K124" s="19"/>
      <c r="L124" s="19"/>
      <c r="M124" s="19"/>
      <c r="N124" s="19"/>
      <c r="O124" s="19"/>
      <c r="P124" s="19"/>
      <c r="Q124" s="19"/>
      <c r="R124" s="20">
        <f t="shared" si="59"/>
        <v>-750</v>
      </c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20">
        <f t="shared" si="53"/>
        <v>0</v>
      </c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20">
        <f t="shared" si="55"/>
        <v>0</v>
      </c>
    </row>
    <row r="125" spans="1:48">
      <c r="A125" s="13" t="s">
        <v>105</v>
      </c>
      <c r="B125" s="13" t="s">
        <v>533</v>
      </c>
      <c r="C125" s="13" t="s">
        <v>147</v>
      </c>
      <c r="D125" s="13" t="s">
        <v>555</v>
      </c>
      <c r="E125" s="13" t="s">
        <v>692</v>
      </c>
      <c r="F125" s="19"/>
      <c r="G125" s="19"/>
      <c r="H125" s="19"/>
      <c r="I125" s="19">
        <v>-1200</v>
      </c>
      <c r="J125" s="19">
        <v>-1200</v>
      </c>
      <c r="K125" s="19">
        <v>-1200</v>
      </c>
      <c r="L125" s="19">
        <v>-1200</v>
      </c>
      <c r="M125" s="19">
        <v>-1200</v>
      </c>
      <c r="N125" s="19">
        <v>-1200</v>
      </c>
      <c r="O125" s="19">
        <v>-1200</v>
      </c>
      <c r="P125" s="19">
        <v>-1200</v>
      </c>
      <c r="Q125" s="19">
        <v>-1200</v>
      </c>
      <c r="R125" s="20">
        <f t="shared" si="59"/>
        <v>-10800</v>
      </c>
      <c r="V125" s="19">
        <v>-1200</v>
      </c>
      <c r="W125" s="19">
        <v>-1200</v>
      </c>
      <c r="X125" s="19">
        <v>-1200</v>
      </c>
      <c r="Y125" s="19">
        <v>-1200</v>
      </c>
      <c r="Z125" s="19">
        <v>-1200</v>
      </c>
      <c r="AA125" s="19">
        <v>-1200</v>
      </c>
      <c r="AB125" s="19">
        <v>-1200</v>
      </c>
      <c r="AC125" s="19">
        <v>-1200</v>
      </c>
      <c r="AD125" s="19">
        <v>-1200</v>
      </c>
      <c r="AE125" s="19">
        <v>-1200</v>
      </c>
      <c r="AF125" s="19">
        <v>-1200</v>
      </c>
      <c r="AG125" s="19">
        <v>-1200</v>
      </c>
      <c r="AH125" s="20">
        <f t="shared" si="53"/>
        <v>-14400</v>
      </c>
      <c r="AJ125" s="19">
        <v>-1200</v>
      </c>
      <c r="AK125" s="19">
        <v>-1200</v>
      </c>
      <c r="AL125" s="19">
        <v>-1200</v>
      </c>
      <c r="AM125" s="19">
        <v>-1200</v>
      </c>
      <c r="AN125" s="19">
        <v>-1200</v>
      </c>
      <c r="AO125" s="19">
        <v>-1200</v>
      </c>
      <c r="AP125" s="19">
        <v>-1200</v>
      </c>
      <c r="AQ125" s="19">
        <v>-1200</v>
      </c>
      <c r="AR125" s="19">
        <v>-1200</v>
      </c>
      <c r="AS125" s="19">
        <v>-1200</v>
      </c>
      <c r="AT125" s="19">
        <v>-1200</v>
      </c>
      <c r="AU125" s="19">
        <v>-1200</v>
      </c>
      <c r="AV125" s="20">
        <f t="shared" si="55"/>
        <v>-14400</v>
      </c>
    </row>
    <row r="126" spans="1:48">
      <c r="A126" s="13" t="s">
        <v>105</v>
      </c>
      <c r="B126" s="13" t="s">
        <v>372</v>
      </c>
      <c r="C126" s="13" t="s">
        <v>147</v>
      </c>
      <c r="D126" s="13" t="s">
        <v>555</v>
      </c>
      <c r="E126" s="13" t="s">
        <v>693</v>
      </c>
      <c r="F126" s="19">
        <v>-75</v>
      </c>
      <c r="G126" s="19">
        <v>-75</v>
      </c>
      <c r="H126" s="19">
        <v>-75</v>
      </c>
      <c r="I126" s="19">
        <v>-75</v>
      </c>
      <c r="J126" s="19">
        <v>-75</v>
      </c>
      <c r="K126" s="19">
        <v>-75</v>
      </c>
      <c r="L126" s="19">
        <v>-75</v>
      </c>
      <c r="M126" s="19">
        <v>-75</v>
      </c>
      <c r="N126" s="19">
        <v>-75</v>
      </c>
      <c r="O126" s="145"/>
      <c r="P126" s="145"/>
      <c r="Q126" s="145"/>
      <c r="R126" s="20">
        <f t="shared" si="59"/>
        <v>-675</v>
      </c>
      <c r="V126" s="145"/>
      <c r="W126" s="145"/>
      <c r="X126" s="145"/>
      <c r="Y126" s="145"/>
      <c r="Z126" s="145"/>
      <c r="AA126" s="145"/>
      <c r="AB126" s="145"/>
      <c r="AC126" s="145"/>
      <c r="AD126" s="145"/>
      <c r="AE126" s="145"/>
      <c r="AF126" s="145"/>
      <c r="AG126" s="145"/>
      <c r="AH126" s="20">
        <f t="shared" si="53"/>
        <v>0</v>
      </c>
      <c r="AJ126" s="145"/>
      <c r="AK126" s="145"/>
      <c r="AL126" s="145"/>
      <c r="AM126" s="145"/>
      <c r="AN126" s="145"/>
      <c r="AO126" s="145"/>
      <c r="AP126" s="145"/>
      <c r="AQ126" s="145"/>
      <c r="AR126" s="145"/>
      <c r="AS126" s="145"/>
      <c r="AT126" s="145"/>
      <c r="AU126" s="145"/>
      <c r="AV126" s="20">
        <f t="shared" si="55"/>
        <v>0</v>
      </c>
    </row>
    <row r="127" spans="1:48">
      <c r="A127" s="13" t="s">
        <v>105</v>
      </c>
      <c r="B127" s="13" t="s">
        <v>372</v>
      </c>
      <c r="C127" s="13" t="s">
        <v>147</v>
      </c>
      <c r="D127" s="13" t="s">
        <v>555</v>
      </c>
      <c r="E127" s="13" t="s">
        <v>694</v>
      </c>
      <c r="F127" s="19">
        <v>-160</v>
      </c>
      <c r="G127" s="19">
        <v>-160</v>
      </c>
      <c r="H127" s="19">
        <v>-160</v>
      </c>
      <c r="I127" s="19">
        <v>-160</v>
      </c>
      <c r="J127" s="19">
        <v>-160</v>
      </c>
      <c r="K127" s="19">
        <v>-160</v>
      </c>
      <c r="L127" s="19">
        <v>-160</v>
      </c>
      <c r="M127" s="19">
        <v>-160</v>
      </c>
      <c r="N127" s="19">
        <v>-160</v>
      </c>
      <c r="O127" s="145"/>
      <c r="P127" s="145"/>
      <c r="Q127" s="145"/>
      <c r="R127" s="20">
        <f t="shared" si="59"/>
        <v>-1440</v>
      </c>
      <c r="V127" s="145"/>
      <c r="W127" s="145"/>
      <c r="X127" s="145"/>
      <c r="Y127" s="145"/>
      <c r="Z127" s="145"/>
      <c r="AA127" s="145"/>
      <c r="AB127" s="145"/>
      <c r="AC127" s="145"/>
      <c r="AD127" s="145"/>
      <c r="AE127" s="145"/>
      <c r="AF127" s="145"/>
      <c r="AG127" s="145"/>
      <c r="AH127" s="20">
        <f t="shared" si="53"/>
        <v>0</v>
      </c>
      <c r="AJ127" s="145"/>
      <c r="AK127" s="145"/>
      <c r="AL127" s="145"/>
      <c r="AM127" s="145"/>
      <c r="AN127" s="145"/>
      <c r="AO127" s="145"/>
      <c r="AP127" s="145"/>
      <c r="AQ127" s="145"/>
      <c r="AR127" s="145"/>
      <c r="AS127" s="145"/>
      <c r="AT127" s="145"/>
      <c r="AU127" s="145"/>
      <c r="AV127" s="20">
        <f t="shared" si="55"/>
        <v>0</v>
      </c>
    </row>
    <row r="128" spans="1:48">
      <c r="A128" s="13" t="s">
        <v>105</v>
      </c>
      <c r="B128" s="13" t="s">
        <v>372</v>
      </c>
      <c r="C128" s="13" t="s">
        <v>147</v>
      </c>
      <c r="D128" s="13" t="s">
        <v>555</v>
      </c>
      <c r="E128" s="13" t="s">
        <v>695</v>
      </c>
      <c r="F128" s="19"/>
      <c r="G128" s="19"/>
      <c r="H128" s="19"/>
      <c r="I128" s="19"/>
      <c r="J128" s="19"/>
      <c r="K128" s="19"/>
      <c r="L128" s="19"/>
      <c r="M128" s="19"/>
      <c r="N128" s="19">
        <v>-805.8</v>
      </c>
      <c r="O128" s="19">
        <v>-805.8</v>
      </c>
      <c r="P128" s="19">
        <v>-805.8</v>
      </c>
      <c r="Q128" s="19">
        <v>-805.8</v>
      </c>
      <c r="R128" s="20">
        <f t="shared" si="59"/>
        <v>-3223.2</v>
      </c>
      <c r="V128" s="19">
        <v>-805.8</v>
      </c>
      <c r="W128" s="19">
        <v>-805.8</v>
      </c>
      <c r="X128" s="19">
        <v>-805.8</v>
      </c>
      <c r="Y128" s="19">
        <v>-805.8</v>
      </c>
      <c r="Z128" s="19">
        <v>-805.8</v>
      </c>
      <c r="AA128" s="19">
        <v>-805.8</v>
      </c>
      <c r="AB128" s="19">
        <v>-805.8</v>
      </c>
      <c r="AC128" s="19">
        <v>-805.8</v>
      </c>
      <c r="AD128" s="19">
        <v>-805.8</v>
      </c>
      <c r="AE128" s="19">
        <v>-805.8</v>
      </c>
      <c r="AF128" s="19">
        <v>-805.8</v>
      </c>
      <c r="AG128" s="19">
        <v>-805.8</v>
      </c>
      <c r="AH128" s="20">
        <f t="shared" si="53"/>
        <v>-9669.6</v>
      </c>
      <c r="AJ128" s="19">
        <v>-805.8</v>
      </c>
      <c r="AK128" s="19">
        <v>-805.8</v>
      </c>
      <c r="AL128" s="19">
        <v>-805.8</v>
      </c>
      <c r="AM128" s="19">
        <v>-805.8</v>
      </c>
      <c r="AN128" s="19">
        <v>-805.8</v>
      </c>
      <c r="AO128" s="19">
        <v>-805.8</v>
      </c>
      <c r="AP128" s="19">
        <v>-805.8</v>
      </c>
      <c r="AQ128" s="19">
        <v>-805.8</v>
      </c>
      <c r="AR128" s="19">
        <v>-805.8</v>
      </c>
      <c r="AS128" s="19">
        <v>-805.8</v>
      </c>
      <c r="AT128" s="19">
        <v>-805.8</v>
      </c>
      <c r="AU128" s="19">
        <v>-805.8</v>
      </c>
      <c r="AV128" s="20">
        <f t="shared" si="55"/>
        <v>-9669.6</v>
      </c>
    </row>
    <row r="129" spans="1:48">
      <c r="A129" s="13" t="s">
        <v>105</v>
      </c>
      <c r="B129" s="13" t="s">
        <v>121</v>
      </c>
      <c r="C129" s="13" t="s">
        <v>147</v>
      </c>
      <c r="D129" s="13" t="s">
        <v>555</v>
      </c>
      <c r="E129" s="13" t="s">
        <v>696</v>
      </c>
      <c r="F129" s="19">
        <v>-10</v>
      </c>
      <c r="G129" s="19">
        <v>-10</v>
      </c>
      <c r="H129" s="19">
        <v>-10</v>
      </c>
      <c r="I129" s="19">
        <v>-10</v>
      </c>
      <c r="J129" s="19">
        <v>-10</v>
      </c>
      <c r="K129" s="19">
        <v>-10</v>
      </c>
      <c r="L129" s="19">
        <v>-10</v>
      </c>
      <c r="M129" s="19">
        <v>-10</v>
      </c>
      <c r="N129" s="19">
        <v>-10</v>
      </c>
      <c r="O129" s="19">
        <v>-10</v>
      </c>
      <c r="P129" s="19">
        <v>-10</v>
      </c>
      <c r="Q129" s="19">
        <v>-10</v>
      </c>
      <c r="R129" s="20">
        <f t="shared" si="59"/>
        <v>-120</v>
      </c>
      <c r="V129" s="19">
        <v>-10</v>
      </c>
      <c r="W129" s="19">
        <v>-10</v>
      </c>
      <c r="X129" s="19">
        <v>-10</v>
      </c>
      <c r="Y129" s="19">
        <v>-10</v>
      </c>
      <c r="Z129" s="19">
        <v>-10</v>
      </c>
      <c r="AA129" s="19">
        <v>-10</v>
      </c>
      <c r="AB129" s="19">
        <v>-10</v>
      </c>
      <c r="AC129" s="19">
        <v>-10</v>
      </c>
      <c r="AD129" s="19">
        <v>-10</v>
      </c>
      <c r="AE129" s="19">
        <v>-10</v>
      </c>
      <c r="AF129" s="19">
        <v>-10</v>
      </c>
      <c r="AG129" s="19">
        <v>-10</v>
      </c>
      <c r="AH129" s="20">
        <f t="shared" si="53"/>
        <v>-120</v>
      </c>
      <c r="AJ129" s="19">
        <v>-10</v>
      </c>
      <c r="AK129" s="19">
        <v>-10</v>
      </c>
      <c r="AL129" s="19">
        <v>-10</v>
      </c>
      <c r="AM129" s="19">
        <v>-10</v>
      </c>
      <c r="AN129" s="19">
        <v>-10</v>
      </c>
      <c r="AO129" s="19">
        <v>-10</v>
      </c>
      <c r="AP129" s="19">
        <v>-10</v>
      </c>
      <c r="AQ129" s="19">
        <v>-10</v>
      </c>
      <c r="AR129" s="19">
        <v>-10</v>
      </c>
      <c r="AS129" s="19">
        <v>-10</v>
      </c>
      <c r="AT129" s="19">
        <v>-10</v>
      </c>
      <c r="AU129" s="19">
        <v>-10</v>
      </c>
      <c r="AV129" s="20">
        <f t="shared" si="55"/>
        <v>-120</v>
      </c>
    </row>
    <row r="130" spans="1:48">
      <c r="A130" s="170" t="s">
        <v>105</v>
      </c>
      <c r="B130" s="13" t="s">
        <v>121</v>
      </c>
      <c r="C130" s="13" t="s">
        <v>147</v>
      </c>
      <c r="D130" s="13" t="s">
        <v>555</v>
      </c>
      <c r="E130" s="13" t="s">
        <v>697</v>
      </c>
      <c r="F130" s="19">
        <v>-508</v>
      </c>
      <c r="G130" s="19">
        <v>-508</v>
      </c>
      <c r="H130" s="19">
        <v>-508</v>
      </c>
      <c r="I130" s="19">
        <v>-508</v>
      </c>
      <c r="J130" s="19">
        <v>-508</v>
      </c>
      <c r="K130" s="19">
        <v>-508</v>
      </c>
      <c r="L130" s="19">
        <v>-508</v>
      </c>
      <c r="M130" s="19">
        <v>-508</v>
      </c>
      <c r="N130" s="19">
        <v>-508</v>
      </c>
      <c r="O130" s="19">
        <v>-508</v>
      </c>
      <c r="P130" s="19">
        <v>-508</v>
      </c>
      <c r="Q130" s="19">
        <v>-508</v>
      </c>
      <c r="R130" s="20">
        <f t="shared" si="59"/>
        <v>-6096</v>
      </c>
      <c r="V130" s="19">
        <v>-508</v>
      </c>
      <c r="W130" s="19">
        <v>-508</v>
      </c>
      <c r="X130" s="19">
        <v>-508</v>
      </c>
      <c r="Y130" s="19">
        <v>-508</v>
      </c>
      <c r="Z130" s="19">
        <v>-508</v>
      </c>
      <c r="AA130" s="19">
        <v>-508</v>
      </c>
      <c r="AB130" s="19">
        <v>-508</v>
      </c>
      <c r="AC130" s="19">
        <v>-508</v>
      </c>
      <c r="AD130" s="19">
        <v>-508</v>
      </c>
      <c r="AE130" s="19">
        <v>-508</v>
      </c>
      <c r="AF130" s="19">
        <v>-508</v>
      </c>
      <c r="AG130" s="19">
        <v>-508</v>
      </c>
      <c r="AH130" s="20">
        <f t="shared" ref="AH130:AH139" si="64">SUM(V130:AG130)</f>
        <v>-6096</v>
      </c>
      <c r="AJ130" s="19">
        <v>-508</v>
      </c>
      <c r="AK130" s="19">
        <v>-508</v>
      </c>
      <c r="AL130" s="19">
        <v>-508</v>
      </c>
      <c r="AM130" s="19">
        <v>-508</v>
      </c>
      <c r="AN130" s="19">
        <v>-508</v>
      </c>
      <c r="AO130" s="19">
        <v>-508</v>
      </c>
      <c r="AP130" s="19">
        <v>-508</v>
      </c>
      <c r="AQ130" s="19">
        <v>-508</v>
      </c>
      <c r="AR130" s="19">
        <v>-508</v>
      </c>
      <c r="AS130" s="19">
        <v>-508</v>
      </c>
      <c r="AT130" s="19">
        <v>-508</v>
      </c>
      <c r="AU130" s="19">
        <v>-508</v>
      </c>
      <c r="AV130" s="20">
        <f t="shared" ref="AV130:AV139" si="65">SUM(AJ130:AU130)</f>
        <v>-6096</v>
      </c>
    </row>
    <row r="131" spans="1:48">
      <c r="A131" s="489" t="s">
        <v>105</v>
      </c>
      <c r="B131" s="13" t="s">
        <v>121</v>
      </c>
      <c r="C131" s="13" t="s">
        <v>147</v>
      </c>
      <c r="D131" s="13" t="s">
        <v>555</v>
      </c>
      <c r="E131" s="13" t="s">
        <v>698</v>
      </c>
      <c r="F131" s="19">
        <v>-56</v>
      </c>
      <c r="G131" s="19">
        <v>-56</v>
      </c>
      <c r="H131" s="19">
        <v>-56</v>
      </c>
      <c r="I131" s="19">
        <v>-56</v>
      </c>
      <c r="J131" s="19">
        <v>-56</v>
      </c>
      <c r="K131" s="19">
        <v>-56</v>
      </c>
      <c r="L131" s="19">
        <v>-56</v>
      </c>
      <c r="M131" s="19">
        <v>-56</v>
      </c>
      <c r="N131" s="19">
        <v>-56</v>
      </c>
      <c r="O131" s="19">
        <v>-56</v>
      </c>
      <c r="P131" s="19">
        <v>-56</v>
      </c>
      <c r="Q131" s="19">
        <v>-56</v>
      </c>
      <c r="R131" s="20">
        <f t="shared" si="59"/>
        <v>-672</v>
      </c>
      <c r="V131" s="19">
        <v>-56</v>
      </c>
      <c r="W131" s="19">
        <v>-56</v>
      </c>
      <c r="X131" s="19">
        <v>-56</v>
      </c>
      <c r="Y131" s="19">
        <v>-56</v>
      </c>
      <c r="Z131" s="19">
        <v>-56</v>
      </c>
      <c r="AA131" s="19">
        <v>-56</v>
      </c>
      <c r="AB131" s="19">
        <v>-56</v>
      </c>
      <c r="AC131" s="19">
        <v>-56</v>
      </c>
      <c r="AD131" s="19">
        <v>-56</v>
      </c>
      <c r="AE131" s="19">
        <v>-56</v>
      </c>
      <c r="AF131" s="19">
        <v>-56</v>
      </c>
      <c r="AG131" s="19">
        <v>-56</v>
      </c>
      <c r="AH131" s="20">
        <f t="shared" si="64"/>
        <v>-672</v>
      </c>
      <c r="AJ131" s="19">
        <v>-56</v>
      </c>
      <c r="AK131" s="19">
        <v>-56</v>
      </c>
      <c r="AL131" s="19">
        <v>-56</v>
      </c>
      <c r="AM131" s="19">
        <v>-56</v>
      </c>
      <c r="AN131" s="19">
        <v>-56</v>
      </c>
      <c r="AO131" s="19">
        <v>-56</v>
      </c>
      <c r="AP131" s="19">
        <v>-56</v>
      </c>
      <c r="AQ131" s="19">
        <v>-56</v>
      </c>
      <c r="AR131" s="19">
        <v>-56</v>
      </c>
      <c r="AS131" s="19">
        <v>-56</v>
      </c>
      <c r="AT131" s="19">
        <v>-56</v>
      </c>
      <c r="AU131" s="19">
        <v>-56</v>
      </c>
      <c r="AV131" s="20">
        <f t="shared" si="65"/>
        <v>-672</v>
      </c>
    </row>
    <row r="132" spans="1:48">
      <c r="A132" s="13" t="s">
        <v>105</v>
      </c>
      <c r="B132" s="13" t="s">
        <v>121</v>
      </c>
      <c r="C132" s="13" t="s">
        <v>147</v>
      </c>
      <c r="D132" s="13" t="s">
        <v>555</v>
      </c>
      <c r="E132" s="13" t="s">
        <v>699</v>
      </c>
      <c r="F132" s="19"/>
      <c r="G132" s="19"/>
      <c r="H132" s="19"/>
      <c r="I132" s="19">
        <v>-33</v>
      </c>
      <c r="J132" s="19">
        <v>-33</v>
      </c>
      <c r="K132" s="19">
        <v>-33</v>
      </c>
      <c r="L132" s="19">
        <v>-33</v>
      </c>
      <c r="M132" s="19">
        <v>-33</v>
      </c>
      <c r="N132" s="19">
        <v>-33</v>
      </c>
      <c r="O132" s="19">
        <v>-33</v>
      </c>
      <c r="P132" s="19">
        <v>-33</v>
      </c>
      <c r="Q132" s="19">
        <v>-33</v>
      </c>
      <c r="R132" s="20">
        <f t="shared" si="59"/>
        <v>-297</v>
      </c>
      <c r="V132" s="19">
        <v>-33</v>
      </c>
      <c r="W132" s="19">
        <v>-33</v>
      </c>
      <c r="X132" s="19">
        <v>-33</v>
      </c>
      <c r="Y132" s="19">
        <v>-33</v>
      </c>
      <c r="Z132" s="19">
        <v>-33</v>
      </c>
      <c r="AA132" s="19">
        <v>-33</v>
      </c>
      <c r="AB132" s="19">
        <v>-33</v>
      </c>
      <c r="AC132" s="19">
        <v>-33</v>
      </c>
      <c r="AD132" s="19">
        <v>-33</v>
      </c>
      <c r="AE132" s="19">
        <v>-33</v>
      </c>
      <c r="AF132" s="19">
        <v>-33</v>
      </c>
      <c r="AG132" s="19">
        <v>-33</v>
      </c>
      <c r="AH132" s="20">
        <f t="shared" si="64"/>
        <v>-396</v>
      </c>
      <c r="AJ132" s="19">
        <v>-33</v>
      </c>
      <c r="AK132" s="19">
        <v>-33</v>
      </c>
      <c r="AL132" s="19">
        <v>-33</v>
      </c>
      <c r="AM132" s="19">
        <v>-33</v>
      </c>
      <c r="AN132" s="19">
        <v>-33</v>
      </c>
      <c r="AO132" s="19">
        <v>-33</v>
      </c>
      <c r="AP132" s="19">
        <v>-33</v>
      </c>
      <c r="AQ132" s="19">
        <v>-33</v>
      </c>
      <c r="AR132" s="19">
        <v>-33</v>
      </c>
      <c r="AS132" s="19">
        <v>-33</v>
      </c>
      <c r="AT132" s="19">
        <v>-33</v>
      </c>
      <c r="AU132" s="19">
        <v>-33</v>
      </c>
      <c r="AV132" s="20">
        <f t="shared" si="65"/>
        <v>-396</v>
      </c>
    </row>
    <row r="133" spans="1:48">
      <c r="A133" s="13" t="s">
        <v>105</v>
      </c>
      <c r="B133" s="13" t="s">
        <v>121</v>
      </c>
      <c r="C133" s="13" t="s">
        <v>147</v>
      </c>
      <c r="D133" s="13" t="s">
        <v>555</v>
      </c>
      <c r="E133" s="13" t="s">
        <v>700</v>
      </c>
      <c r="F133" s="19"/>
      <c r="G133" s="19"/>
      <c r="H133" s="19"/>
      <c r="I133" s="19">
        <v>-10</v>
      </c>
      <c r="J133" s="19">
        <v>-10</v>
      </c>
      <c r="K133" s="19">
        <v>-10</v>
      </c>
      <c r="L133" s="19">
        <v>-10</v>
      </c>
      <c r="M133" s="19">
        <v>-10</v>
      </c>
      <c r="N133" s="19">
        <v>-10</v>
      </c>
      <c r="O133" s="19">
        <v>-10</v>
      </c>
      <c r="P133" s="19">
        <v>-10</v>
      </c>
      <c r="Q133" s="19">
        <v>-10</v>
      </c>
      <c r="R133" s="20">
        <f t="shared" si="59"/>
        <v>-90</v>
      </c>
      <c r="V133" s="19">
        <v>-10</v>
      </c>
      <c r="W133" s="19">
        <v>-10</v>
      </c>
      <c r="X133" s="19">
        <v>-10</v>
      </c>
      <c r="Y133" s="19">
        <v>-10</v>
      </c>
      <c r="Z133" s="19">
        <v>-10</v>
      </c>
      <c r="AA133" s="19">
        <v>-10</v>
      </c>
      <c r="AB133" s="19">
        <v>-10</v>
      </c>
      <c r="AC133" s="19">
        <v>-10</v>
      </c>
      <c r="AD133" s="19">
        <v>-10</v>
      </c>
      <c r="AE133" s="19">
        <v>-10</v>
      </c>
      <c r="AF133" s="19">
        <v>-10</v>
      </c>
      <c r="AG133" s="19">
        <v>-10</v>
      </c>
      <c r="AH133" s="20">
        <f t="shared" si="64"/>
        <v>-120</v>
      </c>
      <c r="AJ133" s="19">
        <v>-10</v>
      </c>
      <c r="AK133" s="19">
        <v>-10</v>
      </c>
      <c r="AL133" s="19">
        <v>-10</v>
      </c>
      <c r="AM133" s="19">
        <v>-10</v>
      </c>
      <c r="AN133" s="19">
        <v>-10</v>
      </c>
      <c r="AO133" s="19">
        <v>-10</v>
      </c>
      <c r="AP133" s="19">
        <v>-10</v>
      </c>
      <c r="AQ133" s="19">
        <v>-10</v>
      </c>
      <c r="AR133" s="19">
        <v>-10</v>
      </c>
      <c r="AS133" s="19">
        <v>-10</v>
      </c>
      <c r="AT133" s="19">
        <v>-10</v>
      </c>
      <c r="AU133" s="19">
        <v>-10</v>
      </c>
      <c r="AV133" s="20">
        <f t="shared" si="65"/>
        <v>-120</v>
      </c>
    </row>
    <row r="134" spans="1:48">
      <c r="A134" s="13" t="s">
        <v>105</v>
      </c>
      <c r="B134" s="13" t="s">
        <v>121</v>
      </c>
      <c r="C134" s="13" t="s">
        <v>147</v>
      </c>
      <c r="D134" s="13" t="s">
        <v>555</v>
      </c>
      <c r="E134" s="13" t="s">
        <v>701</v>
      </c>
      <c r="I134" s="19">
        <v>-650</v>
      </c>
      <c r="J134" s="19">
        <v>-650</v>
      </c>
      <c r="K134" s="19">
        <v>-650</v>
      </c>
      <c r="L134" s="19">
        <v>-650</v>
      </c>
      <c r="M134" s="19">
        <v>-650</v>
      </c>
      <c r="N134" s="19">
        <v>-650</v>
      </c>
      <c r="O134" s="19">
        <v>-650</v>
      </c>
      <c r="P134" s="19">
        <v>-650</v>
      </c>
      <c r="Q134" s="19">
        <v>-650</v>
      </c>
      <c r="R134" s="20">
        <f t="shared" si="59"/>
        <v>-5850</v>
      </c>
      <c r="V134" s="19">
        <v>-650</v>
      </c>
      <c r="W134" s="19">
        <v>-650</v>
      </c>
      <c r="X134" s="19">
        <v>-650</v>
      </c>
      <c r="Y134" s="19">
        <v>-650</v>
      </c>
      <c r="Z134" s="19">
        <v>-650</v>
      </c>
      <c r="AA134" s="19">
        <v>-650</v>
      </c>
      <c r="AB134" s="19">
        <v>-650</v>
      </c>
      <c r="AC134" s="19">
        <v>-650</v>
      </c>
      <c r="AD134" s="19">
        <v>-650</v>
      </c>
      <c r="AE134" s="19">
        <v>-650</v>
      </c>
      <c r="AF134" s="19">
        <v>-650</v>
      </c>
      <c r="AG134" s="19">
        <v>-650</v>
      </c>
      <c r="AH134" s="20">
        <f t="shared" si="64"/>
        <v>-7800</v>
      </c>
      <c r="AJ134" s="19">
        <v>-650</v>
      </c>
      <c r="AK134" s="19">
        <v>-650</v>
      </c>
      <c r="AL134" s="19">
        <v>-650</v>
      </c>
      <c r="AM134" s="19">
        <v>-650</v>
      </c>
      <c r="AN134" s="19">
        <v>-650</v>
      </c>
      <c r="AO134" s="19">
        <v>-650</v>
      </c>
      <c r="AP134" s="19">
        <v>-650</v>
      </c>
      <c r="AQ134" s="19">
        <v>-650</v>
      </c>
      <c r="AR134" s="19">
        <v>-650</v>
      </c>
      <c r="AS134" s="19">
        <v>-650</v>
      </c>
      <c r="AT134" s="19">
        <v>-650</v>
      </c>
      <c r="AU134" s="19">
        <v>-650</v>
      </c>
      <c r="AV134" s="20">
        <f t="shared" si="65"/>
        <v>-7800</v>
      </c>
    </row>
    <row r="135" spans="1:48">
      <c r="A135" s="13" t="s">
        <v>105</v>
      </c>
      <c r="B135" s="13" t="s">
        <v>395</v>
      </c>
      <c r="C135" s="13" t="s">
        <v>148</v>
      </c>
      <c r="D135" s="13" t="s">
        <v>702</v>
      </c>
      <c r="E135" s="13" t="s">
        <v>703</v>
      </c>
      <c r="F135" s="19">
        <v>-30</v>
      </c>
      <c r="G135" s="19">
        <v>-30</v>
      </c>
      <c r="H135" s="19">
        <v>-30</v>
      </c>
      <c r="I135" s="19">
        <v>-30</v>
      </c>
      <c r="J135" s="19">
        <v>-30</v>
      </c>
      <c r="K135" s="19">
        <v>-30</v>
      </c>
      <c r="L135" s="19">
        <v>-30</v>
      </c>
      <c r="M135" s="19">
        <v>-30</v>
      </c>
      <c r="N135" s="19">
        <v>-30</v>
      </c>
      <c r="O135" s="19">
        <v>-30</v>
      </c>
      <c r="P135" s="19">
        <v>-30</v>
      </c>
      <c r="Q135" s="19">
        <v>-30</v>
      </c>
      <c r="R135" s="20">
        <f t="shared" si="59"/>
        <v>-360</v>
      </c>
      <c r="V135" s="19">
        <v>-30</v>
      </c>
      <c r="W135" s="19">
        <v>-30</v>
      </c>
      <c r="X135" s="19">
        <v>-30</v>
      </c>
      <c r="Y135" s="19">
        <v>-30</v>
      </c>
      <c r="Z135" s="19">
        <v>-30</v>
      </c>
      <c r="AA135" s="19">
        <v>-30</v>
      </c>
      <c r="AB135" s="19">
        <v>-30</v>
      </c>
      <c r="AC135" s="19">
        <v>-30</v>
      </c>
      <c r="AD135" s="19">
        <v>-30</v>
      </c>
      <c r="AE135" s="19">
        <v>-30</v>
      </c>
      <c r="AF135" s="19">
        <v>-30</v>
      </c>
      <c r="AG135" s="19">
        <v>-30</v>
      </c>
      <c r="AH135" s="20">
        <f t="shared" si="64"/>
        <v>-360</v>
      </c>
      <c r="AJ135" s="19">
        <v>-30</v>
      </c>
      <c r="AK135" s="19">
        <v>-30</v>
      </c>
      <c r="AL135" s="19">
        <v>-30</v>
      </c>
      <c r="AM135" s="19">
        <v>-30</v>
      </c>
      <c r="AN135" s="19">
        <v>-30</v>
      </c>
      <c r="AO135" s="19">
        <v>-30</v>
      </c>
      <c r="AP135" s="19">
        <v>-30</v>
      </c>
      <c r="AQ135" s="19">
        <v>-30</v>
      </c>
      <c r="AR135" s="19">
        <v>-30</v>
      </c>
      <c r="AS135" s="19">
        <v>-30</v>
      </c>
      <c r="AT135" s="19">
        <v>-30</v>
      </c>
      <c r="AU135" s="19">
        <v>-30</v>
      </c>
      <c r="AV135" s="20">
        <f t="shared" si="65"/>
        <v>-360</v>
      </c>
    </row>
    <row r="136" spans="1:48">
      <c r="A136" s="13" t="s">
        <v>105</v>
      </c>
      <c r="B136" s="13" t="s">
        <v>395</v>
      </c>
      <c r="C136" s="13" t="s">
        <v>148</v>
      </c>
      <c r="D136" s="13" t="s">
        <v>702</v>
      </c>
      <c r="E136" s="13" t="s">
        <v>704</v>
      </c>
      <c r="F136" s="19">
        <v>-25</v>
      </c>
      <c r="G136" s="19">
        <v>-25</v>
      </c>
      <c r="H136" s="19">
        <v>-25</v>
      </c>
      <c r="I136" s="19">
        <v>-25</v>
      </c>
      <c r="J136" s="19">
        <v>-25</v>
      </c>
      <c r="K136" s="19">
        <v>-25</v>
      </c>
      <c r="L136" s="19">
        <v>-25</v>
      </c>
      <c r="M136" s="19">
        <v>-25</v>
      </c>
      <c r="N136" s="19">
        <v>-25</v>
      </c>
      <c r="O136" s="19">
        <v>-25</v>
      </c>
      <c r="P136" s="19">
        <v>-25</v>
      </c>
      <c r="Q136" s="19">
        <v>-25</v>
      </c>
      <c r="R136" s="20">
        <f t="shared" si="59"/>
        <v>-300</v>
      </c>
      <c r="V136" s="173">
        <v>-25</v>
      </c>
      <c r="W136" s="173">
        <v>-25</v>
      </c>
      <c r="X136" s="173">
        <v>-25</v>
      </c>
      <c r="Y136" s="173">
        <v>-25</v>
      </c>
      <c r="Z136" s="173">
        <v>-25</v>
      </c>
      <c r="AA136" s="173">
        <v>-25</v>
      </c>
      <c r="AB136" s="173">
        <v>-25</v>
      </c>
      <c r="AC136" s="173">
        <v>-25</v>
      </c>
      <c r="AD136" s="173">
        <v>-25</v>
      </c>
      <c r="AE136" s="173">
        <v>-25</v>
      </c>
      <c r="AF136" s="173">
        <v>-25</v>
      </c>
      <c r="AG136" s="173">
        <v>-25</v>
      </c>
      <c r="AH136" s="20">
        <f t="shared" si="64"/>
        <v>-300</v>
      </c>
      <c r="AJ136" s="173">
        <v>-25</v>
      </c>
      <c r="AK136" s="173">
        <v>-25</v>
      </c>
      <c r="AL136" s="173">
        <v>-25</v>
      </c>
      <c r="AM136" s="173">
        <v>-25</v>
      </c>
      <c r="AN136" s="173">
        <v>-25</v>
      </c>
      <c r="AO136" s="173">
        <v>-25</v>
      </c>
      <c r="AP136" s="173">
        <v>-25</v>
      </c>
      <c r="AQ136" s="173">
        <v>-25</v>
      </c>
      <c r="AR136" s="173">
        <v>-25</v>
      </c>
      <c r="AS136" s="173">
        <v>-25</v>
      </c>
      <c r="AT136" s="173">
        <v>-25</v>
      </c>
      <c r="AU136" s="173">
        <v>-25</v>
      </c>
      <c r="AV136" s="20">
        <f t="shared" si="65"/>
        <v>-300</v>
      </c>
    </row>
    <row r="137" spans="1:48">
      <c r="A137" s="13" t="s">
        <v>105</v>
      </c>
      <c r="B137" s="13" t="s">
        <v>705</v>
      </c>
      <c r="C137" s="13" t="s">
        <v>148</v>
      </c>
      <c r="D137" s="13" t="s">
        <v>706</v>
      </c>
      <c r="F137" s="19"/>
      <c r="G137" s="19"/>
      <c r="H137" s="19"/>
      <c r="I137" s="19">
        <v>-16.739999999999998</v>
      </c>
      <c r="J137" s="19">
        <v>-16.739999999999998</v>
      </c>
      <c r="K137" s="19">
        <v>-16.739999999999998</v>
      </c>
      <c r="L137" s="19">
        <v>-16.739999999999998</v>
      </c>
      <c r="M137" s="19">
        <v>-16.739999999999998</v>
      </c>
      <c r="N137" s="19">
        <v>-16.739999999999998</v>
      </c>
      <c r="O137" s="19">
        <v>-16.739999999999998</v>
      </c>
      <c r="P137" s="19">
        <v>-16.739999999999998</v>
      </c>
      <c r="Q137" s="19">
        <v>-16.739999999999998</v>
      </c>
      <c r="R137" s="20">
        <f t="shared" si="59"/>
        <v>-150.66</v>
      </c>
      <c r="S137" s="20"/>
      <c r="V137" s="19">
        <v>-16.739999999999998</v>
      </c>
      <c r="W137" s="19">
        <v>-16.739999999999998</v>
      </c>
      <c r="X137" s="19">
        <v>-16.739999999999998</v>
      </c>
      <c r="Y137" s="19">
        <v>-16.739999999999998</v>
      </c>
      <c r="Z137" s="19">
        <v>-16.739999999999998</v>
      </c>
      <c r="AA137" s="19">
        <v>-16.739999999999998</v>
      </c>
      <c r="AB137" s="19">
        <v>-16.739999999999998</v>
      </c>
      <c r="AC137" s="19">
        <v>-16.739999999999998</v>
      </c>
      <c r="AD137" s="19">
        <v>-16.739999999999998</v>
      </c>
      <c r="AE137" s="19">
        <v>-16.739999999999998</v>
      </c>
      <c r="AF137" s="19">
        <v>-16.739999999999998</v>
      </c>
      <c r="AG137" s="19">
        <v>-16.739999999999998</v>
      </c>
      <c r="AH137" s="20">
        <f t="shared" si="64"/>
        <v>-200.88000000000002</v>
      </c>
      <c r="AJ137" s="19">
        <v>-16.739999999999998</v>
      </c>
      <c r="AK137" s="19">
        <v>-16.739999999999998</v>
      </c>
      <c r="AL137" s="19">
        <v>-16.739999999999998</v>
      </c>
      <c r="AM137" s="19">
        <v>-16.739999999999998</v>
      </c>
      <c r="AN137" s="19">
        <v>-16.739999999999998</v>
      </c>
      <c r="AO137" s="19">
        <v>-16.739999999999998</v>
      </c>
      <c r="AP137" s="19">
        <v>-16.739999999999998</v>
      </c>
      <c r="AQ137" s="19">
        <v>-16.739999999999998</v>
      </c>
      <c r="AR137" s="19">
        <v>-16.739999999999998</v>
      </c>
      <c r="AS137" s="19">
        <v>-16.739999999999998</v>
      </c>
      <c r="AT137" s="19">
        <v>-16.739999999999998</v>
      </c>
      <c r="AU137" s="19">
        <v>-16.739999999999998</v>
      </c>
      <c r="AV137" s="20">
        <f t="shared" si="65"/>
        <v>-200.88000000000002</v>
      </c>
    </row>
    <row r="138" spans="1:48">
      <c r="A138" s="13" t="s">
        <v>105</v>
      </c>
      <c r="B138" s="13" t="s">
        <v>533</v>
      </c>
      <c r="C138" s="13" t="s">
        <v>148</v>
      </c>
      <c r="D138" s="13" t="s">
        <v>707</v>
      </c>
      <c r="F138" s="19">
        <v>-1000</v>
      </c>
      <c r="G138" s="19">
        <v>-1000</v>
      </c>
      <c r="H138" s="19">
        <v>-1000</v>
      </c>
      <c r="I138" s="19">
        <v>-150</v>
      </c>
      <c r="J138" s="19">
        <v>-150</v>
      </c>
      <c r="K138" s="19">
        <v>-150</v>
      </c>
      <c r="L138" s="19">
        <v>-150</v>
      </c>
      <c r="M138" s="19">
        <v>-150</v>
      </c>
      <c r="N138" s="19">
        <v>-150</v>
      </c>
      <c r="O138" s="19">
        <v>-150</v>
      </c>
      <c r="P138" s="19">
        <v>-150</v>
      </c>
      <c r="Q138" s="19">
        <v>-150</v>
      </c>
      <c r="R138" s="20">
        <f t="shared" si="59"/>
        <v>-4350</v>
      </c>
      <c r="V138" s="19">
        <v>-150</v>
      </c>
      <c r="W138" s="19">
        <v>-150</v>
      </c>
      <c r="X138" s="19">
        <v>-150</v>
      </c>
      <c r="Y138" s="19">
        <v>-150</v>
      </c>
      <c r="Z138" s="19">
        <v>-150</v>
      </c>
      <c r="AA138" s="19">
        <v>-150</v>
      </c>
      <c r="AB138" s="19">
        <v>-150</v>
      </c>
      <c r="AC138" s="19">
        <v>-150</v>
      </c>
      <c r="AD138" s="19">
        <v>-150</v>
      </c>
      <c r="AE138" s="19">
        <v>-150</v>
      </c>
      <c r="AF138" s="19">
        <v>-150</v>
      </c>
      <c r="AG138" s="19">
        <v>-150</v>
      </c>
      <c r="AH138" s="20">
        <f t="shared" si="64"/>
        <v>-1800</v>
      </c>
      <c r="AJ138" s="19">
        <v>-150</v>
      </c>
      <c r="AK138" s="19">
        <v>-150</v>
      </c>
      <c r="AL138" s="19">
        <v>-150</v>
      </c>
      <c r="AM138" s="19">
        <v>-150</v>
      </c>
      <c r="AN138" s="19">
        <v>-150</v>
      </c>
      <c r="AO138" s="19">
        <v>-150</v>
      </c>
      <c r="AP138" s="19">
        <v>-150</v>
      </c>
      <c r="AQ138" s="19">
        <v>-150</v>
      </c>
      <c r="AR138" s="19">
        <v>-150</v>
      </c>
      <c r="AS138" s="19">
        <v>-150</v>
      </c>
      <c r="AT138" s="19">
        <v>-150</v>
      </c>
      <c r="AU138" s="19">
        <v>-150</v>
      </c>
      <c r="AV138" s="20">
        <f t="shared" si="65"/>
        <v>-1800</v>
      </c>
    </row>
    <row r="139" spans="1:48">
      <c r="A139" s="13" t="s">
        <v>105</v>
      </c>
      <c r="B139" s="13" t="s">
        <v>533</v>
      </c>
      <c r="C139" s="13" t="s">
        <v>151</v>
      </c>
      <c r="D139" s="13" t="s">
        <v>708</v>
      </c>
      <c r="E139" s="13" t="s">
        <v>709</v>
      </c>
      <c r="F139" s="19">
        <v>-2500</v>
      </c>
      <c r="G139" s="19">
        <v>-2500</v>
      </c>
      <c r="H139" s="19">
        <v>-2500</v>
      </c>
      <c r="I139" s="19">
        <v>-2500</v>
      </c>
      <c r="J139" s="19">
        <v>-5000</v>
      </c>
      <c r="K139" s="19">
        <v>-5000</v>
      </c>
      <c r="L139" s="19">
        <v>-7000</v>
      </c>
      <c r="M139" s="19">
        <v>-7000</v>
      </c>
      <c r="N139" s="19">
        <v>-5000</v>
      </c>
      <c r="O139" s="19">
        <v>-5000</v>
      </c>
      <c r="P139" s="19">
        <v>-5000</v>
      </c>
      <c r="Q139" s="19">
        <v>-5000</v>
      </c>
      <c r="R139" s="20">
        <f t="shared" si="59"/>
        <v>-54000</v>
      </c>
      <c r="V139" s="19">
        <v>-5000</v>
      </c>
      <c r="W139" s="19">
        <v>-5000</v>
      </c>
      <c r="X139" s="19">
        <v>-5000</v>
      </c>
      <c r="Y139" s="19">
        <v>-5000</v>
      </c>
      <c r="Z139" s="19">
        <v>-5000</v>
      </c>
      <c r="AA139" s="19">
        <v>-5000</v>
      </c>
      <c r="AB139" s="19">
        <v>-5000</v>
      </c>
      <c r="AC139" s="19">
        <v>-5000</v>
      </c>
      <c r="AD139" s="19">
        <v>-5000</v>
      </c>
      <c r="AE139" s="19">
        <v>-5000</v>
      </c>
      <c r="AF139" s="19">
        <v>-5000</v>
      </c>
      <c r="AG139" s="19">
        <v>-5000</v>
      </c>
      <c r="AH139" s="20">
        <f t="shared" si="64"/>
        <v>-60000</v>
      </c>
      <c r="AJ139" s="19">
        <v>-5000</v>
      </c>
      <c r="AK139" s="19">
        <v>-5000</v>
      </c>
      <c r="AL139" s="19">
        <v>-5000</v>
      </c>
      <c r="AM139" s="19">
        <v>-5000</v>
      </c>
      <c r="AN139" s="19">
        <v>-5000</v>
      </c>
      <c r="AO139" s="19">
        <v>-5000</v>
      </c>
      <c r="AP139" s="19">
        <v>-5000</v>
      </c>
      <c r="AQ139" s="19">
        <v>-5000</v>
      </c>
      <c r="AR139" s="19">
        <v>-5000</v>
      </c>
      <c r="AS139" s="19">
        <v>-5000</v>
      </c>
      <c r="AT139" s="19">
        <v>-5000</v>
      </c>
      <c r="AU139" s="19">
        <v>-5000</v>
      </c>
      <c r="AV139" s="20">
        <f t="shared" si="65"/>
        <v>-60000</v>
      </c>
    </row>
    <row r="140" spans="1:48">
      <c r="A140" s="13" t="s">
        <v>105</v>
      </c>
      <c r="B140" s="13" t="s">
        <v>372</v>
      </c>
      <c r="C140" s="13" t="s">
        <v>151</v>
      </c>
      <c r="D140" s="13" t="s">
        <v>710</v>
      </c>
      <c r="F140" s="19"/>
      <c r="G140" s="19"/>
      <c r="H140" s="19"/>
      <c r="I140" s="19"/>
      <c r="J140" s="19"/>
      <c r="K140" s="19"/>
      <c r="L140" s="19"/>
      <c r="M140" s="19">
        <v>-25000</v>
      </c>
      <c r="N140" s="19"/>
      <c r="O140" s="19"/>
      <c r="P140" s="19"/>
      <c r="Q140" s="19"/>
      <c r="R140" s="20">
        <f t="shared" si="59"/>
        <v>-25000</v>
      </c>
      <c r="V140" s="19"/>
      <c r="AC140" s="19">
        <v>-50000</v>
      </c>
      <c r="AH140" s="20">
        <f t="shared" ref="AH140:AH147" si="66">SUM(V140:AG140)</f>
        <v>-50000</v>
      </c>
      <c r="AJ140" s="19"/>
      <c r="AQ140" s="19">
        <v>-50000</v>
      </c>
      <c r="AV140" s="20">
        <f>SUM(AJ140:AU140)</f>
        <v>-50000</v>
      </c>
    </row>
    <row r="141" spans="1:48">
      <c r="C141" s="13" t="s">
        <v>151</v>
      </c>
      <c r="D141" s="13" t="s">
        <v>711</v>
      </c>
      <c r="V141" s="19">
        <v>-1000</v>
      </c>
      <c r="X141" s="19">
        <v>-1000</v>
      </c>
      <c r="Z141" s="19">
        <v>-1000</v>
      </c>
      <c r="AB141" s="19">
        <v>-1000</v>
      </c>
      <c r="AD141" s="19">
        <v>-1000</v>
      </c>
      <c r="AF141" s="19">
        <v>-1000</v>
      </c>
      <c r="AH141" s="20">
        <f t="shared" si="66"/>
        <v>-6000</v>
      </c>
      <c r="AJ141" s="19">
        <v>-1000</v>
      </c>
      <c r="AL141" s="19">
        <v>-1000</v>
      </c>
      <c r="AN141" s="19">
        <v>-1000</v>
      </c>
      <c r="AP141" s="19">
        <v>-1000</v>
      </c>
      <c r="AR141" s="19">
        <v>-1000</v>
      </c>
      <c r="AT141" s="19">
        <v>-1000</v>
      </c>
      <c r="AV141" s="20">
        <f>SUM(AJ141:AU141)</f>
        <v>-6000</v>
      </c>
    </row>
    <row r="142" spans="1:48">
      <c r="C142" s="13" t="s">
        <v>143</v>
      </c>
      <c r="D142" s="13" t="s">
        <v>712</v>
      </c>
      <c r="E142" s="13" t="s">
        <v>573</v>
      </c>
      <c r="V142" s="19">
        <f t="shared" ref="V142:AG142" si="67">-100000/12</f>
        <v>-8333.3333333333339</v>
      </c>
      <c r="W142" s="19">
        <f t="shared" si="67"/>
        <v>-8333.3333333333339</v>
      </c>
      <c r="X142" s="19">
        <f t="shared" si="67"/>
        <v>-8333.3333333333339</v>
      </c>
      <c r="Y142" s="19">
        <f t="shared" si="67"/>
        <v>-8333.3333333333339</v>
      </c>
      <c r="Z142" s="19">
        <f t="shared" si="67"/>
        <v>-8333.3333333333339</v>
      </c>
      <c r="AA142" s="19">
        <f t="shared" si="67"/>
        <v>-8333.3333333333339</v>
      </c>
      <c r="AB142" s="19">
        <f t="shared" si="67"/>
        <v>-8333.3333333333339</v>
      </c>
      <c r="AC142" s="19">
        <f t="shared" si="67"/>
        <v>-8333.3333333333339</v>
      </c>
      <c r="AD142" s="19">
        <f t="shared" si="67"/>
        <v>-8333.3333333333339</v>
      </c>
      <c r="AE142" s="19">
        <f t="shared" si="67"/>
        <v>-8333.3333333333339</v>
      </c>
      <c r="AF142" s="19">
        <f t="shared" si="67"/>
        <v>-8333.3333333333339</v>
      </c>
      <c r="AG142" s="19">
        <f t="shared" si="67"/>
        <v>-8333.3333333333339</v>
      </c>
      <c r="AH142" s="20">
        <f t="shared" si="66"/>
        <v>-99999.999999999985</v>
      </c>
      <c r="AJ142" s="19">
        <f t="shared" ref="AJ142:AU142" si="68">-100000/12</f>
        <v>-8333.3333333333339</v>
      </c>
      <c r="AK142" s="19">
        <f t="shared" si="68"/>
        <v>-8333.3333333333339</v>
      </c>
      <c r="AL142" s="19">
        <f t="shared" si="68"/>
        <v>-8333.3333333333339</v>
      </c>
      <c r="AM142" s="19">
        <f t="shared" si="68"/>
        <v>-8333.3333333333339</v>
      </c>
      <c r="AN142" s="19">
        <f t="shared" si="68"/>
        <v>-8333.3333333333339</v>
      </c>
      <c r="AO142" s="19">
        <f t="shared" si="68"/>
        <v>-8333.3333333333339</v>
      </c>
      <c r="AP142" s="19">
        <f t="shared" si="68"/>
        <v>-8333.3333333333339</v>
      </c>
      <c r="AQ142" s="19">
        <f t="shared" si="68"/>
        <v>-8333.3333333333339</v>
      </c>
      <c r="AR142" s="19">
        <f t="shared" si="68"/>
        <v>-8333.3333333333339</v>
      </c>
      <c r="AS142" s="19">
        <f t="shared" si="68"/>
        <v>-8333.3333333333339</v>
      </c>
      <c r="AT142" s="19">
        <f t="shared" si="68"/>
        <v>-8333.3333333333339</v>
      </c>
      <c r="AU142" s="19">
        <f t="shared" si="68"/>
        <v>-8333.3333333333339</v>
      </c>
      <c r="AV142" s="20">
        <f>SUM(AJ142:AU142)</f>
        <v>-99999.999999999985</v>
      </c>
    </row>
    <row r="143" spans="1:48" ht="13">
      <c r="A143" s="13" t="s">
        <v>105</v>
      </c>
      <c r="B143" s="13" t="s">
        <v>372</v>
      </c>
      <c r="C143" s="13" t="s">
        <v>143</v>
      </c>
      <c r="D143" s="13" t="s">
        <v>713</v>
      </c>
      <c r="E143" s="494" t="s">
        <v>714</v>
      </c>
      <c r="V143" s="181">
        <f>-5220/12</f>
        <v>-435</v>
      </c>
      <c r="W143" s="181">
        <v>-435</v>
      </c>
      <c r="X143" s="181">
        <v>-435</v>
      </c>
      <c r="Y143" s="181">
        <v>-435</v>
      </c>
      <c r="Z143" s="181">
        <v>-435</v>
      </c>
      <c r="AA143" s="181">
        <v>-435</v>
      </c>
      <c r="AB143" s="181">
        <v>-435</v>
      </c>
      <c r="AC143" s="181">
        <v>-435</v>
      </c>
      <c r="AD143" s="181">
        <v>-435</v>
      </c>
      <c r="AE143" s="181">
        <v>-435</v>
      </c>
      <c r="AF143" s="181">
        <v>-435</v>
      </c>
      <c r="AG143" s="181">
        <v>-435</v>
      </c>
      <c r="AH143" s="20">
        <f t="shared" si="66"/>
        <v>-5220</v>
      </c>
    </row>
    <row r="144" spans="1:48">
      <c r="A144" s="13" t="s">
        <v>105</v>
      </c>
      <c r="B144" s="13" t="s">
        <v>372</v>
      </c>
      <c r="C144" s="13" t="s">
        <v>143</v>
      </c>
      <c r="D144" s="13" t="s">
        <v>713</v>
      </c>
      <c r="E144" s="13" t="s">
        <v>715</v>
      </c>
      <c r="V144" s="181">
        <f t="shared" ref="V144:AG144" si="69">-5600/12</f>
        <v>-466.66666666666669</v>
      </c>
      <c r="W144" s="181">
        <f t="shared" si="69"/>
        <v>-466.66666666666669</v>
      </c>
      <c r="X144" s="181">
        <f t="shared" si="69"/>
        <v>-466.66666666666669</v>
      </c>
      <c r="Y144" s="181">
        <f t="shared" si="69"/>
        <v>-466.66666666666669</v>
      </c>
      <c r="Z144" s="181">
        <f t="shared" si="69"/>
        <v>-466.66666666666669</v>
      </c>
      <c r="AA144" s="181">
        <f t="shared" si="69"/>
        <v>-466.66666666666669</v>
      </c>
      <c r="AB144" s="181">
        <f t="shared" si="69"/>
        <v>-466.66666666666669</v>
      </c>
      <c r="AC144" s="181">
        <f t="shared" si="69"/>
        <v>-466.66666666666669</v>
      </c>
      <c r="AD144" s="181">
        <f t="shared" si="69"/>
        <v>-466.66666666666669</v>
      </c>
      <c r="AE144" s="181">
        <f t="shared" si="69"/>
        <v>-466.66666666666669</v>
      </c>
      <c r="AF144" s="181">
        <f t="shared" si="69"/>
        <v>-466.66666666666669</v>
      </c>
      <c r="AG144" s="181">
        <f t="shared" si="69"/>
        <v>-466.66666666666669</v>
      </c>
      <c r="AH144" s="20">
        <f t="shared" si="66"/>
        <v>-5600.0000000000009</v>
      </c>
    </row>
    <row r="145" spans="1:35">
      <c r="A145" s="13" t="s">
        <v>105</v>
      </c>
      <c r="B145" s="13" t="s">
        <v>372</v>
      </c>
      <c r="C145" s="13" t="s">
        <v>143</v>
      </c>
      <c r="D145" s="13" t="s">
        <v>713</v>
      </c>
      <c r="E145" s="13" t="s">
        <v>716</v>
      </c>
      <c r="V145" s="181">
        <f t="shared" ref="V145:AG145" si="70">-35*60</f>
        <v>-2100</v>
      </c>
      <c r="W145" s="181">
        <f t="shared" si="70"/>
        <v>-2100</v>
      </c>
      <c r="X145" s="181">
        <f t="shared" si="70"/>
        <v>-2100</v>
      </c>
      <c r="Y145" s="181">
        <f t="shared" si="70"/>
        <v>-2100</v>
      </c>
      <c r="Z145" s="181">
        <f t="shared" si="70"/>
        <v>-2100</v>
      </c>
      <c r="AA145" s="181">
        <f t="shared" si="70"/>
        <v>-2100</v>
      </c>
      <c r="AB145" s="181">
        <f t="shared" si="70"/>
        <v>-2100</v>
      </c>
      <c r="AC145" s="181">
        <f t="shared" si="70"/>
        <v>-2100</v>
      </c>
      <c r="AD145" s="181">
        <f t="shared" si="70"/>
        <v>-2100</v>
      </c>
      <c r="AE145" s="181">
        <f t="shared" si="70"/>
        <v>-2100</v>
      </c>
      <c r="AF145" s="181">
        <f t="shared" si="70"/>
        <v>-2100</v>
      </c>
      <c r="AG145" s="181">
        <f t="shared" si="70"/>
        <v>-2100</v>
      </c>
      <c r="AH145" s="20">
        <f t="shared" si="66"/>
        <v>-25200</v>
      </c>
    </row>
    <row r="146" spans="1:35">
      <c r="A146" s="13" t="s">
        <v>105</v>
      </c>
      <c r="B146" s="13" t="s">
        <v>372</v>
      </c>
      <c r="C146" s="13" t="s">
        <v>143</v>
      </c>
      <c r="D146" s="13" t="s">
        <v>713</v>
      </c>
      <c r="E146" s="13" t="s">
        <v>717</v>
      </c>
      <c r="V146" s="181">
        <f t="shared" ref="V146:AG146" si="71">-12*500/12</f>
        <v>-500</v>
      </c>
      <c r="W146" s="181">
        <f t="shared" si="71"/>
        <v>-500</v>
      </c>
      <c r="X146" s="181">
        <f t="shared" si="71"/>
        <v>-500</v>
      </c>
      <c r="Y146" s="181">
        <f t="shared" si="71"/>
        <v>-500</v>
      </c>
      <c r="Z146" s="181">
        <f t="shared" si="71"/>
        <v>-500</v>
      </c>
      <c r="AA146" s="181">
        <f t="shared" si="71"/>
        <v>-500</v>
      </c>
      <c r="AB146" s="181">
        <f t="shared" si="71"/>
        <v>-500</v>
      </c>
      <c r="AC146" s="181">
        <f t="shared" si="71"/>
        <v>-500</v>
      </c>
      <c r="AD146" s="181">
        <f t="shared" si="71"/>
        <v>-500</v>
      </c>
      <c r="AE146" s="181">
        <f t="shared" si="71"/>
        <v>-500</v>
      </c>
      <c r="AF146" s="181">
        <f t="shared" si="71"/>
        <v>-500</v>
      </c>
      <c r="AG146" s="181">
        <f t="shared" si="71"/>
        <v>-500</v>
      </c>
      <c r="AH146" s="495">
        <f t="shared" si="66"/>
        <v>-6000</v>
      </c>
    </row>
    <row r="147" spans="1:35">
      <c r="A147" s="13" t="s">
        <v>105</v>
      </c>
      <c r="B147" s="13" t="s">
        <v>372</v>
      </c>
      <c r="C147" s="13" t="s">
        <v>143</v>
      </c>
      <c r="D147" s="13" t="s">
        <v>713</v>
      </c>
      <c r="E147" s="13" t="s">
        <v>718</v>
      </c>
      <c r="V147" s="181">
        <f t="shared" ref="V147:AG147" si="72">-12000/12</f>
        <v>-1000</v>
      </c>
      <c r="W147" s="181">
        <f t="shared" si="72"/>
        <v>-1000</v>
      </c>
      <c r="X147" s="181">
        <f t="shared" si="72"/>
        <v>-1000</v>
      </c>
      <c r="Y147" s="181">
        <f t="shared" si="72"/>
        <v>-1000</v>
      </c>
      <c r="Z147" s="181">
        <f t="shared" si="72"/>
        <v>-1000</v>
      </c>
      <c r="AA147" s="181">
        <f t="shared" si="72"/>
        <v>-1000</v>
      </c>
      <c r="AB147" s="181">
        <f t="shared" si="72"/>
        <v>-1000</v>
      </c>
      <c r="AC147" s="181">
        <f t="shared" si="72"/>
        <v>-1000</v>
      </c>
      <c r="AD147" s="181">
        <f t="shared" si="72"/>
        <v>-1000</v>
      </c>
      <c r="AE147" s="181">
        <f t="shared" si="72"/>
        <v>-1000</v>
      </c>
      <c r="AF147" s="181">
        <f t="shared" si="72"/>
        <v>-1000</v>
      </c>
      <c r="AG147" s="181">
        <f t="shared" si="72"/>
        <v>-1000</v>
      </c>
      <c r="AH147" s="495">
        <f t="shared" si="66"/>
        <v>-12000</v>
      </c>
      <c r="AI147" s="181"/>
    </row>
    <row r="148" spans="1:35">
      <c r="AH148" s="20"/>
    </row>
    <row r="149" spans="1:35">
      <c r="AH149" s="20"/>
    </row>
    <row r="153" spans="1:35">
      <c r="AH153" s="20">
        <f>SUM(AH12:AH149)</f>
        <v>-1170923.0799999998</v>
      </c>
    </row>
  </sheetData>
  <sheetProtection sheet="1" objects="1" scenarios="1"/>
  <autoFilter ref="A2:AV142" xr:uid="{A92AF108-10E7-4547-B456-222BE85C07F9}"/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F25ED-6596-4A1F-AADB-C4F377ABCC24}">
  <sheetPr codeName="Sheet21"/>
  <dimension ref="A1:AF55"/>
  <sheetViews>
    <sheetView workbookViewId="0">
      <selection activeCell="C28" sqref="C28"/>
    </sheetView>
  </sheetViews>
  <sheetFormatPr baseColWidth="10" defaultColWidth="8.83203125" defaultRowHeight="15" outlineLevelRow="1"/>
  <cols>
    <col min="3" max="3" width="16.5" bestFit="1" customWidth="1"/>
    <col min="4" max="4" width="16.83203125" bestFit="1" customWidth="1"/>
    <col min="5" max="5" width="15" style="152" bestFit="1" customWidth="1"/>
    <col min="6" max="6" width="15.5" style="152" bestFit="1" customWidth="1"/>
    <col min="7" max="7" width="12.83203125" style="152" customWidth="1"/>
    <col min="8" max="8" width="12.5" style="152" customWidth="1"/>
    <col min="9" max="9" width="11.1640625" style="152" bestFit="1" customWidth="1"/>
    <col min="10" max="10" width="11.83203125" bestFit="1" customWidth="1"/>
    <col min="11" max="32" width="11.5" customWidth="1"/>
  </cols>
  <sheetData>
    <row r="1" spans="4:15" outlineLevel="1">
      <c r="D1" s="93" t="s">
        <v>719</v>
      </c>
      <c r="E1" s="154"/>
      <c r="F1" s="154"/>
      <c r="G1" s="154"/>
      <c r="H1" s="154"/>
      <c r="I1" s="154"/>
      <c r="J1" s="93"/>
      <c r="K1" s="93" t="s">
        <v>719</v>
      </c>
      <c r="L1" s="93"/>
    </row>
    <row r="2" spans="4:15" outlineLevel="1">
      <c r="D2" s="93"/>
      <c r="E2" s="154"/>
      <c r="F2" s="154"/>
      <c r="G2" s="154"/>
      <c r="H2" s="154"/>
      <c r="I2" s="154"/>
      <c r="J2" s="93"/>
      <c r="K2" s="93"/>
      <c r="L2" s="93"/>
    </row>
    <row r="3" spans="4:15" outlineLevel="1">
      <c r="D3" s="93" t="s">
        <v>720</v>
      </c>
      <c r="E3" s="93" t="s">
        <v>721</v>
      </c>
      <c r="F3" s="154"/>
      <c r="G3" s="154"/>
      <c r="H3" s="154"/>
      <c r="I3" s="154"/>
      <c r="J3" s="93"/>
      <c r="K3" s="93" t="s">
        <v>720</v>
      </c>
      <c r="L3" s="93" t="s">
        <v>722</v>
      </c>
    </row>
    <row r="4" spans="4:15" outlineLevel="1">
      <c r="D4" s="151"/>
    </row>
    <row r="5" spans="4:15" outlineLevel="1">
      <c r="D5" s="151" t="s">
        <v>723</v>
      </c>
      <c r="E5" s="152" t="s">
        <v>724</v>
      </c>
      <c r="F5" s="152" t="s">
        <v>725</v>
      </c>
      <c r="G5" s="152" t="s">
        <v>726</v>
      </c>
      <c r="H5" s="152" t="s">
        <v>727</v>
      </c>
      <c r="K5" t="s">
        <v>723</v>
      </c>
      <c r="L5" t="s">
        <v>724</v>
      </c>
      <c r="M5" t="s">
        <v>725</v>
      </c>
      <c r="N5" t="s">
        <v>726</v>
      </c>
      <c r="O5" t="s">
        <v>727</v>
      </c>
    </row>
    <row r="6" spans="4:15" outlineLevel="1">
      <c r="D6" s="151" t="s">
        <v>105</v>
      </c>
      <c r="E6" s="152">
        <v>160523.70750000002</v>
      </c>
      <c r="F6" s="152">
        <v>157598.70750000002</v>
      </c>
      <c r="G6" s="152">
        <v>175636.20750000002</v>
      </c>
      <c r="H6" s="152">
        <v>197573.70750000002</v>
      </c>
      <c r="K6" t="s">
        <v>105</v>
      </c>
      <c r="L6" s="152">
        <v>31993.848821775817</v>
      </c>
      <c r="M6" s="152">
        <v>31993.848821775817</v>
      </c>
      <c r="N6" s="152">
        <v>31993.848821775817</v>
      </c>
      <c r="O6" s="152">
        <v>31993.848821775817</v>
      </c>
    </row>
    <row r="7" spans="4:15" outlineLevel="1">
      <c r="D7" s="151" t="s">
        <v>398</v>
      </c>
      <c r="E7" s="152">
        <v>1784.7457627118645</v>
      </c>
      <c r="F7" s="152">
        <v>1784.7457627118645</v>
      </c>
      <c r="G7" s="152">
        <v>1784.7457627118645</v>
      </c>
      <c r="H7" s="152">
        <v>4709.7457627118647</v>
      </c>
      <c r="K7" t="s">
        <v>398</v>
      </c>
      <c r="L7" s="152">
        <v>2824.8587570621471</v>
      </c>
      <c r="M7" s="152">
        <v>2824.8587570621471</v>
      </c>
      <c r="N7" s="152">
        <v>2824.8587570621471</v>
      </c>
      <c r="O7" s="152">
        <v>2824.8587570621471</v>
      </c>
    </row>
    <row r="8" spans="4:15" outlineLevel="1">
      <c r="D8" s="151" t="s">
        <v>311</v>
      </c>
      <c r="E8" s="152">
        <v>2730</v>
      </c>
      <c r="F8" s="152">
        <v>2730</v>
      </c>
      <c r="G8" s="152">
        <v>2730</v>
      </c>
      <c r="H8" s="152">
        <v>5655</v>
      </c>
      <c r="K8" t="s">
        <v>311</v>
      </c>
      <c r="L8" s="152">
        <v>2824.8587570621471</v>
      </c>
      <c r="M8" s="152">
        <v>2824.8587570621471</v>
      </c>
      <c r="N8" s="152">
        <v>2824.8587570621471</v>
      </c>
      <c r="O8" s="152">
        <v>2824.8587570621471</v>
      </c>
    </row>
    <row r="9" spans="4:15" outlineLevel="1">
      <c r="D9" s="151" t="s">
        <v>263</v>
      </c>
      <c r="E9" s="152">
        <v>0</v>
      </c>
      <c r="F9" s="152">
        <v>0</v>
      </c>
      <c r="G9" s="152">
        <v>0</v>
      </c>
      <c r="H9" s="152">
        <v>3412.5</v>
      </c>
      <c r="K9" t="s">
        <v>292</v>
      </c>
      <c r="L9" s="152">
        <v>2598.8700564971755</v>
      </c>
      <c r="M9" s="152">
        <v>2598.8700564971755</v>
      </c>
      <c r="N9" s="152">
        <v>2598.8700564971755</v>
      </c>
      <c r="O9" s="152">
        <v>2598.8700564971755</v>
      </c>
    </row>
    <row r="10" spans="4:15" outlineLevel="1">
      <c r="D10" s="151" t="s">
        <v>274</v>
      </c>
      <c r="E10" s="152">
        <v>975</v>
      </c>
      <c r="F10" s="152">
        <v>975</v>
      </c>
      <c r="G10" s="152">
        <v>975</v>
      </c>
      <c r="H10" s="152">
        <v>7800</v>
      </c>
      <c r="K10" t="s">
        <v>274</v>
      </c>
      <c r="L10" s="152">
        <v>8328.5310734463274</v>
      </c>
      <c r="M10" s="152">
        <v>8328.5310734463274</v>
      </c>
      <c r="N10" s="152">
        <v>6209.887005649718</v>
      </c>
      <c r="O10" s="152">
        <v>6209.887005649718</v>
      </c>
    </row>
    <row r="11" spans="4:15" outlineLevel="1">
      <c r="D11" t="s">
        <v>265</v>
      </c>
      <c r="E11" s="152">
        <v>2313.5593220338983</v>
      </c>
      <c r="F11" s="152">
        <v>2313.5593220338983</v>
      </c>
      <c r="G11" s="152">
        <v>2313.5593220338983</v>
      </c>
      <c r="H11" s="152">
        <v>2313.5593220338983</v>
      </c>
      <c r="K11" t="s">
        <v>64</v>
      </c>
      <c r="L11" s="152">
        <v>0</v>
      </c>
      <c r="M11" s="152">
        <v>750</v>
      </c>
      <c r="N11" s="152">
        <v>750</v>
      </c>
      <c r="O11" s="152">
        <v>750</v>
      </c>
    </row>
    <row r="12" spans="4:15" outlineLevel="1">
      <c r="D12" t="s">
        <v>728</v>
      </c>
      <c r="E12" s="152">
        <v>0</v>
      </c>
      <c r="F12" s="152">
        <v>0</v>
      </c>
      <c r="G12" s="152">
        <v>0</v>
      </c>
      <c r="H12" s="152">
        <v>5850</v>
      </c>
      <c r="K12" t="s">
        <v>354</v>
      </c>
      <c r="L12" s="152">
        <v>48570.967465843612</v>
      </c>
      <c r="M12" s="152">
        <v>49320.967465843612</v>
      </c>
      <c r="N12" s="152">
        <v>47202.323398047003</v>
      </c>
      <c r="O12" s="152">
        <v>47202.323398047003</v>
      </c>
    </row>
    <row r="13" spans="4:15" outlineLevel="1">
      <c r="D13" t="s">
        <v>354</v>
      </c>
      <c r="E13" s="152">
        <v>168327.01258474577</v>
      </c>
      <c r="F13" s="152">
        <v>165402.01258474577</v>
      </c>
      <c r="G13" s="152">
        <v>183439.51258474577</v>
      </c>
      <c r="H13" s="152">
        <v>227314.51258474577</v>
      </c>
    </row>
    <row r="14" spans="4:15" outlineLevel="1"/>
    <row r="15" spans="4:15" outlineLevel="1"/>
    <row r="16" spans="4:15" outlineLevel="1"/>
    <row r="17" spans="4:17" outlineLevel="1">
      <c r="D17" s="93" t="s">
        <v>729</v>
      </c>
      <c r="K17" s="93" t="s">
        <v>729</v>
      </c>
    </row>
    <row r="18" spans="4:17" outlineLevel="1"/>
    <row r="19" spans="4:17" outlineLevel="1">
      <c r="D19" s="93" t="s">
        <v>720</v>
      </c>
      <c r="E19" s="154" t="s">
        <v>721</v>
      </c>
      <c r="F19" s="154"/>
      <c r="G19" s="154"/>
      <c r="H19" s="154"/>
      <c r="I19" s="154"/>
      <c r="J19" s="93"/>
      <c r="K19" s="93" t="s">
        <v>720</v>
      </c>
      <c r="L19" s="93" t="s">
        <v>722</v>
      </c>
    </row>
    <row r="20" spans="4:17" outlineLevel="1"/>
    <row r="21" spans="4:17" outlineLevel="1">
      <c r="D21" t="s">
        <v>723</v>
      </c>
      <c r="E21" s="152" t="s">
        <v>730</v>
      </c>
      <c r="F21" s="152" t="s">
        <v>731</v>
      </c>
      <c r="G21" s="152" t="s">
        <v>732</v>
      </c>
      <c r="H21" s="152" t="s">
        <v>733</v>
      </c>
      <c r="K21" t="s">
        <v>723</v>
      </c>
      <c r="L21" t="s">
        <v>730</v>
      </c>
      <c r="M21" t="s">
        <v>731</v>
      </c>
      <c r="N21" t="s">
        <v>732</v>
      </c>
      <c r="O21" t="s">
        <v>733</v>
      </c>
    </row>
    <row r="22" spans="4:17" outlineLevel="1">
      <c r="D22" t="s">
        <v>105</v>
      </c>
      <c r="E22" s="152">
        <v>11804.310375000001</v>
      </c>
      <c r="F22" s="152">
        <v>11658.060375000001</v>
      </c>
      <c r="G22" s="152">
        <v>12559.935375000001</v>
      </c>
      <c r="H22" s="152">
        <v>13656.810375000001</v>
      </c>
      <c r="K22" t="s">
        <v>105</v>
      </c>
      <c r="L22" s="155">
        <v>1375</v>
      </c>
      <c r="M22" s="155">
        <v>1375</v>
      </c>
      <c r="N22" s="155">
        <v>1375</v>
      </c>
      <c r="O22" s="155">
        <v>1375</v>
      </c>
    </row>
    <row r="23" spans="4:17" outlineLevel="1">
      <c r="D23" t="s">
        <v>398</v>
      </c>
      <c r="E23" s="152">
        <v>89.237288135593232</v>
      </c>
      <c r="F23" s="152">
        <v>89.237288135593232</v>
      </c>
      <c r="G23" s="152">
        <v>89.237288135593232</v>
      </c>
      <c r="H23" s="152">
        <v>235.48728813559325</v>
      </c>
      <c r="K23" t="s">
        <v>398</v>
      </c>
      <c r="L23" s="155">
        <v>105.93220338983051</v>
      </c>
      <c r="M23" s="155">
        <v>105.93220338983051</v>
      </c>
      <c r="N23" s="155">
        <v>105.93220338983051</v>
      </c>
      <c r="O23" s="155">
        <v>105.93220338983051</v>
      </c>
    </row>
    <row r="24" spans="4:17" outlineLevel="1">
      <c r="D24" t="s">
        <v>311</v>
      </c>
      <c r="E24" s="152">
        <v>136.5</v>
      </c>
      <c r="F24" s="152">
        <v>136.5</v>
      </c>
      <c r="G24" s="152">
        <v>136.5</v>
      </c>
      <c r="H24" s="152">
        <v>282.75</v>
      </c>
      <c r="K24" t="s">
        <v>400</v>
      </c>
      <c r="L24" s="155">
        <v>123.58757062146893</v>
      </c>
      <c r="M24" s="155">
        <v>123.58757062146893</v>
      </c>
      <c r="N24" s="155">
        <v>123.58757062146893</v>
      </c>
      <c r="O24" s="155">
        <v>123.58757062146893</v>
      </c>
    </row>
    <row r="25" spans="4:17" outlineLevel="1">
      <c r="D25" t="s">
        <v>263</v>
      </c>
      <c r="E25" s="152">
        <v>0</v>
      </c>
      <c r="F25" s="152">
        <v>0</v>
      </c>
      <c r="G25" s="152">
        <v>0</v>
      </c>
      <c r="H25" s="152">
        <v>170.625</v>
      </c>
      <c r="K25" t="s">
        <v>292</v>
      </c>
      <c r="L25" s="155">
        <v>129.94350282485877</v>
      </c>
      <c r="M25" s="155">
        <v>129.94350282485877</v>
      </c>
      <c r="N25" s="155">
        <v>129.94350282485877</v>
      </c>
      <c r="O25" s="155">
        <v>129.94350282485877</v>
      </c>
    </row>
    <row r="26" spans="4:17" outlineLevel="1">
      <c r="D26" t="s">
        <v>274</v>
      </c>
      <c r="E26" s="152">
        <v>48.75</v>
      </c>
      <c r="F26" s="152">
        <v>48.75</v>
      </c>
      <c r="G26" s="152">
        <v>48.75</v>
      </c>
      <c r="H26" s="152">
        <v>390</v>
      </c>
      <c r="K26" t="s">
        <v>274</v>
      </c>
      <c r="L26" s="155">
        <v>681.25706214689274</v>
      </c>
      <c r="M26" s="155">
        <v>681.25706214689274</v>
      </c>
      <c r="N26" s="155">
        <v>575.3248587570622</v>
      </c>
      <c r="O26" s="155">
        <v>575.3248587570622</v>
      </c>
    </row>
    <row r="27" spans="4:17" outlineLevel="1">
      <c r="D27" t="s">
        <v>265</v>
      </c>
      <c r="E27" s="152">
        <v>115.67796610169493</v>
      </c>
      <c r="F27" s="152">
        <v>115.67796610169493</v>
      </c>
      <c r="G27" s="152">
        <v>115.67796610169493</v>
      </c>
      <c r="H27" s="152">
        <v>115.67796610169493</v>
      </c>
      <c r="K27" t="s">
        <v>64</v>
      </c>
      <c r="L27" s="155">
        <v>0</v>
      </c>
      <c r="M27" s="155">
        <v>0</v>
      </c>
      <c r="N27" s="155">
        <v>0</v>
      </c>
      <c r="O27" s="155">
        <v>0</v>
      </c>
    </row>
    <row r="28" spans="4:17" outlineLevel="1">
      <c r="D28" t="s">
        <v>728</v>
      </c>
      <c r="E28" s="152">
        <v>0</v>
      </c>
      <c r="F28" s="152">
        <v>0</v>
      </c>
      <c r="G28" s="152">
        <v>0</v>
      </c>
      <c r="H28" s="152">
        <v>292.5</v>
      </c>
      <c r="K28" t="s">
        <v>354</v>
      </c>
      <c r="L28" s="155">
        <v>2415.7203389830511</v>
      </c>
      <c r="M28" s="155">
        <v>2415.7203389830511</v>
      </c>
      <c r="N28" s="155">
        <v>2309.7881355932204</v>
      </c>
      <c r="O28" s="155">
        <v>2309.7881355932204</v>
      </c>
      <c r="P28" s="153"/>
      <c r="Q28" s="153"/>
    </row>
    <row r="29" spans="4:17" outlineLevel="1">
      <c r="D29" t="s">
        <v>354</v>
      </c>
      <c r="E29" s="152">
        <v>12194.475629237289</v>
      </c>
      <c r="F29" s="152">
        <v>12048.225629237289</v>
      </c>
      <c r="G29" s="152">
        <v>12950.100629237289</v>
      </c>
      <c r="H29" s="152">
        <v>15143.850629237289</v>
      </c>
      <c r="L29" s="155"/>
      <c r="M29" s="155"/>
      <c r="N29" s="155"/>
      <c r="O29" s="155"/>
      <c r="P29" s="152"/>
      <c r="Q29" s="152"/>
    </row>
    <row r="30" spans="4:17">
      <c r="N30" s="152"/>
      <c r="O30" s="152"/>
      <c r="P30" s="152"/>
      <c r="Q30" s="152"/>
    </row>
    <row r="31" spans="4:17">
      <c r="N31" s="152"/>
      <c r="O31" s="152"/>
      <c r="P31" s="152"/>
      <c r="Q31" s="152"/>
    </row>
    <row r="32" spans="4:17">
      <c r="D32" s="93"/>
      <c r="K32" s="93"/>
      <c r="N32" s="152"/>
      <c r="O32" s="152"/>
      <c r="P32" s="152"/>
      <c r="Q32" s="152"/>
    </row>
    <row r="33" spans="1:32">
      <c r="N33" s="152"/>
      <c r="O33" s="152"/>
      <c r="P33" s="152"/>
      <c r="Q33" s="152"/>
    </row>
    <row r="34" spans="1:32">
      <c r="K34" s="93"/>
      <c r="N34" s="152"/>
      <c r="O34" s="152"/>
      <c r="P34" s="152"/>
      <c r="Q34" s="152"/>
    </row>
    <row r="35" spans="1:32">
      <c r="N35" s="152"/>
      <c r="O35" s="152"/>
      <c r="P35" s="152"/>
      <c r="Q35" s="152"/>
    </row>
    <row r="36" spans="1:32">
      <c r="A36" t="s">
        <v>218</v>
      </c>
      <c r="B36" t="s">
        <v>219</v>
      </c>
      <c r="C36" s="93" t="s">
        <v>720</v>
      </c>
      <c r="D36" t="s">
        <v>723</v>
      </c>
      <c r="E36" s="153">
        <v>45931</v>
      </c>
      <c r="F36" s="153">
        <v>45962</v>
      </c>
      <c r="G36" s="153">
        <v>45992</v>
      </c>
      <c r="H36" s="153">
        <v>46023</v>
      </c>
      <c r="I36" s="461">
        <v>46054</v>
      </c>
      <c r="J36" s="461">
        <v>46082</v>
      </c>
      <c r="K36" s="461">
        <v>46113</v>
      </c>
      <c r="L36" s="461">
        <v>46143</v>
      </c>
      <c r="M36" s="461">
        <v>46174</v>
      </c>
      <c r="N36" s="461">
        <v>46204</v>
      </c>
      <c r="O36" s="461">
        <v>46235</v>
      </c>
      <c r="P36" s="461">
        <v>46266</v>
      </c>
      <c r="Q36" s="461">
        <v>46296</v>
      </c>
      <c r="R36" s="461">
        <v>46327</v>
      </c>
      <c r="S36" s="461">
        <v>46357</v>
      </c>
      <c r="T36" s="461">
        <v>46388</v>
      </c>
      <c r="U36" s="153">
        <v>46419</v>
      </c>
      <c r="V36" s="153">
        <v>46447</v>
      </c>
      <c r="W36" s="153">
        <v>46478</v>
      </c>
      <c r="X36" s="153">
        <v>46508</v>
      </c>
      <c r="Y36" s="153">
        <v>46539</v>
      </c>
      <c r="Z36" s="153">
        <v>46569</v>
      </c>
      <c r="AA36" s="153">
        <v>46600</v>
      </c>
      <c r="AB36" s="153">
        <v>46631</v>
      </c>
      <c r="AC36" s="153">
        <v>46661</v>
      </c>
      <c r="AD36" s="153">
        <v>46692</v>
      </c>
      <c r="AE36" s="153">
        <v>46722</v>
      </c>
      <c r="AF36" s="153">
        <v>46753</v>
      </c>
    </row>
    <row r="37" spans="1:32">
      <c r="A37" s="13" t="s">
        <v>211</v>
      </c>
      <c r="B37" s="13" t="s">
        <v>211</v>
      </c>
      <c r="C37" s="154" t="s">
        <v>721</v>
      </c>
      <c r="D37" t="s">
        <v>105</v>
      </c>
      <c r="E37" s="152">
        <f t="shared" ref="E37:H44" si="0">(E6+E22)*-1</f>
        <v>-172328.01787500002</v>
      </c>
      <c r="F37" s="152">
        <f>(F6+F22)*-1</f>
        <v>-169256.76787500002</v>
      </c>
      <c r="G37" s="152">
        <f t="shared" si="0"/>
        <v>-188196.14287500002</v>
      </c>
      <c r="H37" s="152">
        <f t="shared" si="0"/>
        <v>-211230.51787500002</v>
      </c>
      <c r="I37" s="418">
        <v>-242710.57930000001</v>
      </c>
      <c r="J37" s="418">
        <v>-241209.37179999999</v>
      </c>
      <c r="K37" s="418">
        <v>-230484.37179999999</v>
      </c>
      <c r="L37" s="418">
        <v>-230484.37179999999</v>
      </c>
      <c r="M37" s="418">
        <v>-230484.37179999999</v>
      </c>
      <c r="N37" s="418">
        <v>-230484.37179999999</v>
      </c>
      <c r="O37" s="418">
        <v>-230484.37179999999</v>
      </c>
      <c r="P37" s="418">
        <v>-230484.37179999999</v>
      </c>
      <c r="Q37" s="418">
        <v>-230484.37179999999</v>
      </c>
      <c r="R37" s="418">
        <v>-230484.37179999999</v>
      </c>
      <c r="S37" s="418">
        <v>-230484.37179999999</v>
      </c>
      <c r="T37" s="418">
        <v>-230484.37179999999</v>
      </c>
      <c r="U37" s="152">
        <f t="shared" ref="U37:AF37" si="1">T37</f>
        <v>-230484.37179999999</v>
      </c>
      <c r="V37" s="152">
        <f t="shared" si="1"/>
        <v>-230484.37179999999</v>
      </c>
      <c r="W37" s="152">
        <f t="shared" si="1"/>
        <v>-230484.37179999999</v>
      </c>
      <c r="X37" s="152">
        <f t="shared" si="1"/>
        <v>-230484.37179999999</v>
      </c>
      <c r="Y37" s="152">
        <f t="shared" si="1"/>
        <v>-230484.37179999999</v>
      </c>
      <c r="Z37" s="152">
        <f t="shared" si="1"/>
        <v>-230484.37179999999</v>
      </c>
      <c r="AA37" s="152">
        <f t="shared" si="1"/>
        <v>-230484.37179999999</v>
      </c>
      <c r="AB37" s="152">
        <f t="shared" si="1"/>
        <v>-230484.37179999999</v>
      </c>
      <c r="AC37" s="152">
        <f t="shared" si="1"/>
        <v>-230484.37179999999</v>
      </c>
      <c r="AD37" s="152">
        <f t="shared" si="1"/>
        <v>-230484.37179999999</v>
      </c>
      <c r="AE37" s="152">
        <f t="shared" si="1"/>
        <v>-230484.37179999999</v>
      </c>
      <c r="AF37" s="152">
        <f t="shared" si="1"/>
        <v>-230484.37179999999</v>
      </c>
    </row>
    <row r="38" spans="1:32">
      <c r="A38" t="s">
        <v>71</v>
      </c>
      <c r="B38" t="s">
        <v>66</v>
      </c>
      <c r="C38" s="154" t="s">
        <v>721</v>
      </c>
      <c r="D38" t="s">
        <v>398</v>
      </c>
      <c r="E38" s="152">
        <f t="shared" si="0"/>
        <v>-1873.9830508474577</v>
      </c>
      <c r="F38" s="152">
        <f t="shared" si="0"/>
        <v>-1873.9830508474577</v>
      </c>
      <c r="G38" s="152">
        <f t="shared" si="0"/>
        <v>-1873.9830508474577</v>
      </c>
      <c r="H38" s="152">
        <f t="shared" si="0"/>
        <v>-4945.2330508474579</v>
      </c>
      <c r="I38" s="418">
        <v>-2706.4512709999999</v>
      </c>
      <c r="J38" s="418">
        <v>-5631.4512709999999</v>
      </c>
      <c r="K38" s="418">
        <v>-5631.4512709999999</v>
      </c>
      <c r="L38" s="418">
        <v>-5631.4512709999999</v>
      </c>
      <c r="M38" s="418">
        <v>-5631.4512709999999</v>
      </c>
      <c r="N38" s="418">
        <v>-5631.4512709999999</v>
      </c>
      <c r="O38" s="418">
        <v>-5631.4512709999999</v>
      </c>
      <c r="P38" s="418">
        <v>-5631.4512709999999</v>
      </c>
      <c r="Q38" s="418">
        <v>-5631.4512709999999</v>
      </c>
      <c r="R38" s="418">
        <v>-5631.4512709999999</v>
      </c>
      <c r="S38" s="418">
        <v>-5631.4512709999999</v>
      </c>
      <c r="T38" s="418">
        <v>-5631.4512709999999</v>
      </c>
      <c r="U38" s="152">
        <f t="shared" ref="U38:AF38" si="2">T38</f>
        <v>-5631.4512709999999</v>
      </c>
      <c r="V38" s="152">
        <f t="shared" si="2"/>
        <v>-5631.4512709999999</v>
      </c>
      <c r="W38" s="152">
        <f t="shared" si="2"/>
        <v>-5631.4512709999999</v>
      </c>
      <c r="X38" s="152">
        <f t="shared" si="2"/>
        <v>-5631.4512709999999</v>
      </c>
      <c r="Y38" s="152">
        <f t="shared" si="2"/>
        <v>-5631.4512709999999</v>
      </c>
      <c r="Z38" s="152">
        <f t="shared" si="2"/>
        <v>-5631.4512709999999</v>
      </c>
      <c r="AA38" s="152">
        <f t="shared" si="2"/>
        <v>-5631.4512709999999</v>
      </c>
      <c r="AB38" s="152">
        <f t="shared" si="2"/>
        <v>-5631.4512709999999</v>
      </c>
      <c r="AC38" s="152">
        <f t="shared" si="2"/>
        <v>-5631.4512709999999</v>
      </c>
      <c r="AD38" s="152">
        <f t="shared" si="2"/>
        <v>-5631.4512709999999</v>
      </c>
      <c r="AE38" s="152">
        <f t="shared" si="2"/>
        <v>-5631.4512709999999</v>
      </c>
      <c r="AF38" s="152">
        <f t="shared" si="2"/>
        <v>-5631.4512709999999</v>
      </c>
    </row>
    <row r="39" spans="1:32">
      <c r="A39" t="s">
        <v>68</v>
      </c>
      <c r="B39" t="s">
        <v>66</v>
      </c>
      <c r="C39" s="154" t="s">
        <v>721</v>
      </c>
      <c r="D39" t="s">
        <v>311</v>
      </c>
      <c r="E39" s="152">
        <f t="shared" si="0"/>
        <v>-2866.5</v>
      </c>
      <c r="F39" s="152">
        <f t="shared" si="0"/>
        <v>-2866.5</v>
      </c>
      <c r="G39" s="152">
        <f t="shared" si="0"/>
        <v>-2866.5</v>
      </c>
      <c r="H39" s="152">
        <f t="shared" si="0"/>
        <v>-5937.75</v>
      </c>
      <c r="I39" s="418">
        <v>-3363.75</v>
      </c>
      <c r="J39" s="418">
        <v>-6288.75</v>
      </c>
      <c r="K39" s="418">
        <v>-6288.75</v>
      </c>
      <c r="L39" s="418">
        <v>-6288.75</v>
      </c>
      <c r="M39" s="418">
        <v>-6288.75</v>
      </c>
      <c r="N39" s="418">
        <v>-6288.75</v>
      </c>
      <c r="O39" s="418">
        <v>-6288.75</v>
      </c>
      <c r="P39" s="418">
        <v>-6288.75</v>
      </c>
      <c r="Q39" s="418">
        <v>-6288.75</v>
      </c>
      <c r="R39" s="418">
        <v>-6288.75</v>
      </c>
      <c r="S39" s="418">
        <v>-6288.75</v>
      </c>
      <c r="T39" s="418">
        <v>-6288.75</v>
      </c>
      <c r="U39" s="152">
        <f t="shared" ref="U39:AF39" si="3">T39</f>
        <v>-6288.75</v>
      </c>
      <c r="V39" s="152">
        <f t="shared" si="3"/>
        <v>-6288.75</v>
      </c>
      <c r="W39" s="152">
        <f t="shared" si="3"/>
        <v>-6288.75</v>
      </c>
      <c r="X39" s="152">
        <f t="shared" si="3"/>
        <v>-6288.75</v>
      </c>
      <c r="Y39" s="152">
        <f t="shared" si="3"/>
        <v>-6288.75</v>
      </c>
      <c r="Z39" s="152">
        <f t="shared" si="3"/>
        <v>-6288.75</v>
      </c>
      <c r="AA39" s="152">
        <f t="shared" si="3"/>
        <v>-6288.75</v>
      </c>
      <c r="AB39" s="152">
        <f t="shared" si="3"/>
        <v>-6288.75</v>
      </c>
      <c r="AC39" s="152">
        <f t="shared" si="3"/>
        <v>-6288.75</v>
      </c>
      <c r="AD39" s="152">
        <f t="shared" si="3"/>
        <v>-6288.75</v>
      </c>
      <c r="AE39" s="152">
        <f t="shared" si="3"/>
        <v>-6288.75</v>
      </c>
      <c r="AF39" s="152">
        <f t="shared" si="3"/>
        <v>-6288.75</v>
      </c>
    </row>
    <row r="40" spans="1:32">
      <c r="A40" t="s">
        <v>69</v>
      </c>
      <c r="B40" t="s">
        <v>65</v>
      </c>
      <c r="C40" s="154" t="s">
        <v>721</v>
      </c>
      <c r="D40" t="s">
        <v>263</v>
      </c>
      <c r="E40" s="152">
        <v>-3583.125</v>
      </c>
      <c r="F40" s="152">
        <v>-3583.125</v>
      </c>
      <c r="G40" s="152">
        <v>-3583.125</v>
      </c>
      <c r="H40" s="152">
        <f t="shared" si="0"/>
        <v>-3583.125</v>
      </c>
      <c r="I40" s="22">
        <v>-255.9375</v>
      </c>
      <c r="J40" s="22">
        <v>-255.9375</v>
      </c>
      <c r="K40" s="22">
        <v>-255.9375</v>
      </c>
      <c r="L40" s="418">
        <v>-3668.4375</v>
      </c>
      <c r="M40" s="418">
        <v>-3668.4375</v>
      </c>
      <c r="N40" s="418">
        <v>-3668.4375</v>
      </c>
      <c r="O40" s="418">
        <v>-3668.4375</v>
      </c>
      <c r="P40" s="418">
        <v>-3668.4375</v>
      </c>
      <c r="Q40" s="418">
        <v>-3668.4375</v>
      </c>
      <c r="R40" s="418">
        <v>-3668.4375</v>
      </c>
      <c r="S40" s="418">
        <v>-3668.4375</v>
      </c>
      <c r="T40" s="418">
        <v>-3668.4375</v>
      </c>
      <c r="U40" s="152">
        <f t="shared" ref="U40:AF40" si="4">T40</f>
        <v>-3668.4375</v>
      </c>
      <c r="V40" s="152">
        <f t="shared" si="4"/>
        <v>-3668.4375</v>
      </c>
      <c r="W40" s="152">
        <f t="shared" si="4"/>
        <v>-3668.4375</v>
      </c>
      <c r="X40" s="152">
        <f t="shared" si="4"/>
        <v>-3668.4375</v>
      </c>
      <c r="Y40" s="152">
        <f t="shared" si="4"/>
        <v>-3668.4375</v>
      </c>
      <c r="Z40" s="152">
        <f t="shared" si="4"/>
        <v>-3668.4375</v>
      </c>
      <c r="AA40" s="152">
        <f t="shared" si="4"/>
        <v>-3668.4375</v>
      </c>
      <c r="AB40" s="152">
        <f t="shared" si="4"/>
        <v>-3668.4375</v>
      </c>
      <c r="AC40" s="152">
        <f t="shared" si="4"/>
        <v>-3668.4375</v>
      </c>
      <c r="AD40" s="152">
        <f t="shared" si="4"/>
        <v>-3668.4375</v>
      </c>
      <c r="AE40" s="152">
        <f t="shared" si="4"/>
        <v>-3668.4375</v>
      </c>
      <c r="AF40" s="152">
        <f t="shared" si="4"/>
        <v>-3668.4375</v>
      </c>
    </row>
    <row r="41" spans="1:32">
      <c r="A41" t="s">
        <v>70</v>
      </c>
      <c r="B41" t="s">
        <v>66</v>
      </c>
      <c r="C41" s="154" t="s">
        <v>721</v>
      </c>
      <c r="D41" t="s">
        <v>274</v>
      </c>
      <c r="E41" s="152">
        <f t="shared" si="0"/>
        <v>-1023.75</v>
      </c>
      <c r="F41" s="152">
        <f t="shared" si="0"/>
        <v>-1023.75</v>
      </c>
      <c r="G41" s="152">
        <f t="shared" si="0"/>
        <v>-1023.75</v>
      </c>
      <c r="H41" s="152">
        <f t="shared" si="0"/>
        <v>-8190</v>
      </c>
      <c r="I41" s="418">
        <v>-8385</v>
      </c>
      <c r="J41" s="418">
        <v>-8385</v>
      </c>
      <c r="K41" s="418">
        <v>-8385</v>
      </c>
      <c r="L41" s="418">
        <v>-8385</v>
      </c>
      <c r="M41" s="418">
        <v>-8385</v>
      </c>
      <c r="N41" s="418">
        <v>-8385</v>
      </c>
      <c r="O41" s="418">
        <v>-8385</v>
      </c>
      <c r="P41" s="418">
        <v>-8385</v>
      </c>
      <c r="Q41" s="418">
        <v>-8385</v>
      </c>
      <c r="R41" s="418">
        <v>-8385</v>
      </c>
      <c r="S41" s="418">
        <v>-8385</v>
      </c>
      <c r="T41" s="418">
        <v>-8385</v>
      </c>
      <c r="U41" s="152">
        <f t="shared" ref="U41:AF41" si="5">T41</f>
        <v>-8385</v>
      </c>
      <c r="V41" s="152">
        <f t="shared" si="5"/>
        <v>-8385</v>
      </c>
      <c r="W41" s="152">
        <f t="shared" si="5"/>
        <v>-8385</v>
      </c>
      <c r="X41" s="152">
        <f t="shared" si="5"/>
        <v>-8385</v>
      </c>
      <c r="Y41" s="152">
        <f t="shared" si="5"/>
        <v>-8385</v>
      </c>
      <c r="Z41" s="152">
        <f t="shared" si="5"/>
        <v>-8385</v>
      </c>
      <c r="AA41" s="152">
        <f t="shared" si="5"/>
        <v>-8385</v>
      </c>
      <c r="AB41" s="152">
        <f t="shared" si="5"/>
        <v>-8385</v>
      </c>
      <c r="AC41" s="152">
        <f t="shared" si="5"/>
        <v>-8385</v>
      </c>
      <c r="AD41" s="152">
        <f t="shared" si="5"/>
        <v>-8385</v>
      </c>
      <c r="AE41" s="152">
        <f t="shared" si="5"/>
        <v>-8385</v>
      </c>
      <c r="AF41" s="152">
        <f t="shared" si="5"/>
        <v>-8385</v>
      </c>
    </row>
    <row r="42" spans="1:32">
      <c r="A42" t="s">
        <v>73</v>
      </c>
      <c r="B42" t="s">
        <v>65</v>
      </c>
      <c r="C42" s="154" t="s">
        <v>721</v>
      </c>
      <c r="D42" t="s">
        <v>265</v>
      </c>
      <c r="E42" s="152">
        <f t="shared" si="0"/>
        <v>-2429.2372881355932</v>
      </c>
      <c r="F42" s="152">
        <f t="shared" si="0"/>
        <v>-2429.2372881355932</v>
      </c>
      <c r="G42" s="152">
        <f t="shared" si="0"/>
        <v>-2429.2372881355932</v>
      </c>
      <c r="H42" s="152">
        <f t="shared" si="0"/>
        <v>-2429.2372881355932</v>
      </c>
      <c r="I42" s="418">
        <v>-3108.845339</v>
      </c>
      <c r="J42" s="418">
        <v>-3108.845339</v>
      </c>
      <c r="K42" s="418">
        <v>-3108.845339</v>
      </c>
      <c r="L42" s="418">
        <v>-3108.845339</v>
      </c>
      <c r="M42" s="418">
        <v>-3108.845339</v>
      </c>
      <c r="N42" s="418">
        <v>-3108.845339</v>
      </c>
      <c r="O42" s="418">
        <v>-3108.845339</v>
      </c>
      <c r="P42" s="418">
        <v>-3108.845339</v>
      </c>
      <c r="Q42" s="418">
        <v>-3108.845339</v>
      </c>
      <c r="R42" s="418">
        <v>-3108.845339</v>
      </c>
      <c r="S42" s="418">
        <v>-3108.845339</v>
      </c>
      <c r="T42" s="418">
        <v>-3108.845339</v>
      </c>
      <c r="U42" s="152">
        <f t="shared" ref="U42:AF42" si="6">T42</f>
        <v>-3108.845339</v>
      </c>
      <c r="V42" s="152">
        <f t="shared" si="6"/>
        <v>-3108.845339</v>
      </c>
      <c r="W42" s="152">
        <f t="shared" si="6"/>
        <v>-3108.845339</v>
      </c>
      <c r="X42" s="152">
        <f t="shared" si="6"/>
        <v>-3108.845339</v>
      </c>
      <c r="Y42" s="152">
        <f t="shared" si="6"/>
        <v>-3108.845339</v>
      </c>
      <c r="Z42" s="152">
        <f t="shared" si="6"/>
        <v>-3108.845339</v>
      </c>
      <c r="AA42" s="152">
        <f t="shared" si="6"/>
        <v>-3108.845339</v>
      </c>
      <c r="AB42" s="152">
        <f t="shared" si="6"/>
        <v>-3108.845339</v>
      </c>
      <c r="AC42" s="152">
        <f t="shared" si="6"/>
        <v>-3108.845339</v>
      </c>
      <c r="AD42" s="152">
        <f t="shared" si="6"/>
        <v>-3108.845339</v>
      </c>
      <c r="AE42" s="152">
        <f t="shared" si="6"/>
        <v>-3108.845339</v>
      </c>
      <c r="AF42" s="152">
        <f t="shared" si="6"/>
        <v>-3108.845339</v>
      </c>
    </row>
    <row r="43" spans="1:32">
      <c r="B43" t="s">
        <v>65</v>
      </c>
      <c r="C43" s="154" t="s">
        <v>721</v>
      </c>
      <c r="D43" t="s">
        <v>728</v>
      </c>
      <c r="E43" s="152">
        <f t="shared" si="0"/>
        <v>0</v>
      </c>
      <c r="F43" s="152">
        <f t="shared" si="0"/>
        <v>0</v>
      </c>
      <c r="G43" s="152">
        <f t="shared" si="0"/>
        <v>0</v>
      </c>
      <c r="H43" s="152">
        <f t="shared" si="0"/>
        <v>-6142.5</v>
      </c>
      <c r="I43" s="22">
        <v>-438.75</v>
      </c>
      <c r="J43" s="22">
        <v>-438.75</v>
      </c>
      <c r="K43" s="22">
        <v>-438.75</v>
      </c>
      <c r="L43" s="22">
        <v>-438.75</v>
      </c>
      <c r="M43" s="22">
        <v>-438.75</v>
      </c>
      <c r="N43" s="22">
        <v>-438.75</v>
      </c>
      <c r="O43" s="22">
        <v>-438.75</v>
      </c>
      <c r="P43" s="22">
        <v>-438.75</v>
      </c>
      <c r="Q43" s="22">
        <v>-438.75</v>
      </c>
      <c r="R43" s="22">
        <v>-438.75</v>
      </c>
      <c r="S43" s="22">
        <v>-438.75</v>
      </c>
      <c r="T43" s="418">
        <v>-6288.75</v>
      </c>
      <c r="U43" s="152">
        <f t="shared" ref="U43:AF43" si="7">T43</f>
        <v>-6288.75</v>
      </c>
      <c r="V43" s="152">
        <f t="shared" si="7"/>
        <v>-6288.75</v>
      </c>
      <c r="W43" s="152">
        <f t="shared" si="7"/>
        <v>-6288.75</v>
      </c>
      <c r="X43" s="152">
        <f t="shared" si="7"/>
        <v>-6288.75</v>
      </c>
      <c r="Y43" s="152">
        <f t="shared" si="7"/>
        <v>-6288.75</v>
      </c>
      <c r="Z43" s="152">
        <f t="shared" si="7"/>
        <v>-6288.75</v>
      </c>
      <c r="AA43" s="152">
        <f t="shared" si="7"/>
        <v>-6288.75</v>
      </c>
      <c r="AB43" s="152">
        <f t="shared" si="7"/>
        <v>-6288.75</v>
      </c>
      <c r="AC43" s="152">
        <f t="shared" si="7"/>
        <v>-6288.75</v>
      </c>
      <c r="AD43" s="152">
        <f t="shared" si="7"/>
        <v>-6288.75</v>
      </c>
      <c r="AE43" s="152">
        <f t="shared" si="7"/>
        <v>-6288.75</v>
      </c>
      <c r="AF43" s="152">
        <f t="shared" si="7"/>
        <v>-6288.75</v>
      </c>
    </row>
    <row r="44" spans="1:32">
      <c r="C44" s="154" t="s">
        <v>721</v>
      </c>
      <c r="D44" t="s">
        <v>354</v>
      </c>
      <c r="E44" s="152">
        <f t="shared" si="0"/>
        <v>-180521.48821398304</v>
      </c>
      <c r="F44" s="152">
        <f t="shared" si="0"/>
        <v>-177450.23821398304</v>
      </c>
      <c r="G44" s="152">
        <f t="shared" si="0"/>
        <v>-196389.61321398304</v>
      </c>
      <c r="H44" s="152">
        <f t="shared" si="0"/>
        <v>-242458.36321398304</v>
      </c>
      <c r="I44" s="152">
        <v>-260969.31340000001</v>
      </c>
      <c r="J44" s="152">
        <v>-265318.10590000002</v>
      </c>
      <c r="K44" s="152">
        <v>-254593.1059</v>
      </c>
      <c r="L44" s="152">
        <v>-258005.6059</v>
      </c>
      <c r="M44" s="152">
        <v>-258005.6059</v>
      </c>
      <c r="N44" s="152">
        <v>-258005.6059</v>
      </c>
      <c r="O44" s="152">
        <v>-258005.6059</v>
      </c>
      <c r="P44" s="152">
        <v>-258005.6059</v>
      </c>
      <c r="Q44" s="152">
        <v>-258005.6059</v>
      </c>
      <c r="R44" s="152">
        <v>-258005.6059</v>
      </c>
      <c r="S44" s="152">
        <v>-258005.6059</v>
      </c>
      <c r="T44" s="152">
        <v>-263855.60590000002</v>
      </c>
      <c r="U44" s="152">
        <f t="shared" ref="U44:AF44" si="8">T44</f>
        <v>-263855.60590000002</v>
      </c>
      <c r="V44" s="152">
        <f t="shared" si="8"/>
        <v>-263855.60590000002</v>
      </c>
      <c r="W44" s="152">
        <f t="shared" si="8"/>
        <v>-263855.60590000002</v>
      </c>
      <c r="X44" s="152">
        <f t="shared" si="8"/>
        <v>-263855.60590000002</v>
      </c>
      <c r="Y44" s="152">
        <f t="shared" si="8"/>
        <v>-263855.60590000002</v>
      </c>
      <c r="Z44" s="152">
        <f t="shared" si="8"/>
        <v>-263855.60590000002</v>
      </c>
      <c r="AA44" s="152">
        <f t="shared" si="8"/>
        <v>-263855.60590000002</v>
      </c>
      <c r="AB44" s="152">
        <f t="shared" si="8"/>
        <v>-263855.60590000002</v>
      </c>
      <c r="AC44" s="152">
        <f t="shared" si="8"/>
        <v>-263855.60590000002</v>
      </c>
      <c r="AD44" s="152">
        <f t="shared" si="8"/>
        <v>-263855.60590000002</v>
      </c>
      <c r="AE44" s="152">
        <f t="shared" si="8"/>
        <v>-263855.60590000002</v>
      </c>
      <c r="AF44" s="152">
        <f t="shared" si="8"/>
        <v>-263855.60590000002</v>
      </c>
    </row>
    <row r="45" spans="1:32">
      <c r="E45" s="152">
        <v>0</v>
      </c>
      <c r="F45" s="152">
        <v>0</v>
      </c>
      <c r="G45" s="152">
        <v>0</v>
      </c>
      <c r="H45" s="152">
        <v>0</v>
      </c>
      <c r="I45" s="152">
        <v>0</v>
      </c>
      <c r="J45" s="152">
        <v>0</v>
      </c>
      <c r="K45" s="152">
        <v>0</v>
      </c>
      <c r="L45" s="152">
        <v>0</v>
      </c>
      <c r="M45" s="152">
        <v>0</v>
      </c>
      <c r="N45" s="152">
        <v>0</v>
      </c>
      <c r="O45" s="152">
        <v>0</v>
      </c>
      <c r="P45" s="152">
        <v>0</v>
      </c>
      <c r="Q45" s="152">
        <v>0</v>
      </c>
      <c r="R45" s="152">
        <v>0</v>
      </c>
      <c r="S45" s="152">
        <v>0</v>
      </c>
      <c r="T45" s="152">
        <v>0</v>
      </c>
      <c r="U45" s="152">
        <v>0</v>
      </c>
      <c r="V45" s="152">
        <v>0</v>
      </c>
      <c r="W45" s="152">
        <v>0</v>
      </c>
      <c r="X45" s="152">
        <v>0</v>
      </c>
      <c r="Y45" s="152">
        <v>0</v>
      </c>
      <c r="Z45" s="152">
        <v>0</v>
      </c>
      <c r="AA45" s="152">
        <v>0</v>
      </c>
      <c r="AB45" s="152">
        <v>0</v>
      </c>
      <c r="AC45" s="152">
        <v>0</v>
      </c>
      <c r="AD45" s="152">
        <v>0</v>
      </c>
      <c r="AE45" s="152">
        <v>0</v>
      </c>
      <c r="AF45" s="152">
        <v>0</v>
      </c>
    </row>
    <row r="46" spans="1:32">
      <c r="A46" s="13" t="s">
        <v>211</v>
      </c>
      <c r="B46" s="13" t="s">
        <v>211</v>
      </c>
      <c r="C46" s="93" t="s">
        <v>722</v>
      </c>
      <c r="D46" t="s">
        <v>105</v>
      </c>
      <c r="E46" s="152">
        <f t="shared" ref="E46:H52" si="9">(L22+L6)*-1</f>
        <v>-33368.848821775813</v>
      </c>
      <c r="F46" s="152">
        <f t="shared" si="9"/>
        <v>-33368.848821775813</v>
      </c>
      <c r="G46" s="152">
        <f t="shared" si="9"/>
        <v>-33368.848821775813</v>
      </c>
      <c r="H46" s="152">
        <f t="shared" si="9"/>
        <v>-33368.848821775813</v>
      </c>
      <c r="I46" s="152">
        <v>-25556.348819999999</v>
      </c>
      <c r="J46" s="152">
        <v>-14624.14543</v>
      </c>
      <c r="K46" s="152">
        <v>-14624.14543</v>
      </c>
      <c r="L46" s="152">
        <v>-14624.14543</v>
      </c>
      <c r="M46" s="152">
        <v>-14624.14543</v>
      </c>
      <c r="N46" s="152">
        <v>-14624.14543</v>
      </c>
      <c r="O46" s="152">
        <v>-14624.14543</v>
      </c>
      <c r="P46" s="152">
        <v>-14624.14543</v>
      </c>
      <c r="Q46" s="152">
        <v>-14624.14543</v>
      </c>
      <c r="R46" s="152">
        <v>-14624.14543</v>
      </c>
      <c r="S46" s="152">
        <v>-14624.14543</v>
      </c>
      <c r="T46" s="152">
        <v>-14624.14543</v>
      </c>
      <c r="U46" s="152">
        <f t="shared" ref="U46:AF46" si="10">T46</f>
        <v>-14624.14543</v>
      </c>
      <c r="V46" s="152">
        <f t="shared" si="10"/>
        <v>-14624.14543</v>
      </c>
      <c r="W46" s="152">
        <f t="shared" si="10"/>
        <v>-14624.14543</v>
      </c>
      <c r="X46" s="152">
        <f t="shared" si="10"/>
        <v>-14624.14543</v>
      </c>
      <c r="Y46" s="152">
        <f t="shared" si="10"/>
        <v>-14624.14543</v>
      </c>
      <c r="Z46" s="152">
        <f t="shared" si="10"/>
        <v>-14624.14543</v>
      </c>
      <c r="AA46" s="152">
        <f t="shared" si="10"/>
        <v>-14624.14543</v>
      </c>
      <c r="AB46" s="152">
        <f t="shared" si="10"/>
        <v>-14624.14543</v>
      </c>
      <c r="AC46" s="152">
        <f t="shared" si="10"/>
        <v>-14624.14543</v>
      </c>
      <c r="AD46" s="152">
        <f t="shared" si="10"/>
        <v>-14624.14543</v>
      </c>
      <c r="AE46" s="152">
        <f t="shared" si="10"/>
        <v>-14624.14543</v>
      </c>
      <c r="AF46" s="152">
        <f t="shared" si="10"/>
        <v>-14624.14543</v>
      </c>
    </row>
    <row r="47" spans="1:32">
      <c r="A47" t="s">
        <v>71</v>
      </c>
      <c r="B47" t="s">
        <v>66</v>
      </c>
      <c r="C47" s="93" t="s">
        <v>722</v>
      </c>
      <c r="D47" t="s">
        <v>398</v>
      </c>
      <c r="E47" s="152">
        <f t="shared" si="9"/>
        <v>-2930.7909604519778</v>
      </c>
      <c r="F47" s="152">
        <f t="shared" si="9"/>
        <v>-2930.7909604519778</v>
      </c>
      <c r="G47" s="152">
        <f t="shared" si="9"/>
        <v>-2930.7909604519778</v>
      </c>
      <c r="H47" s="152">
        <f t="shared" si="9"/>
        <v>-2930.7909604519778</v>
      </c>
      <c r="I47" s="152">
        <v>-3416.3135590000002</v>
      </c>
      <c r="J47" s="152">
        <v>-3416.3135590000002</v>
      </c>
      <c r="K47" s="152">
        <v>-3416.3135590000002</v>
      </c>
      <c r="L47" s="152">
        <v>-3416.3135590000002</v>
      </c>
      <c r="M47" s="152">
        <v>-3416.3135590000002</v>
      </c>
      <c r="N47" s="152">
        <v>-3416.3135590000002</v>
      </c>
      <c r="O47" s="152">
        <v>-3416.3135590000002</v>
      </c>
      <c r="P47" s="152">
        <v>-3416.3135590000002</v>
      </c>
      <c r="Q47" s="152">
        <v>-3416.3135590000002</v>
      </c>
      <c r="R47" s="152">
        <v>-3416.3135590000002</v>
      </c>
      <c r="S47" s="152">
        <v>-3416.3135590000002</v>
      </c>
      <c r="T47" s="152">
        <v>-3416.3135590000002</v>
      </c>
      <c r="U47" s="152">
        <f t="shared" ref="U47:AF47" si="11">T47</f>
        <v>-3416.3135590000002</v>
      </c>
      <c r="V47" s="152">
        <f t="shared" si="11"/>
        <v>-3416.3135590000002</v>
      </c>
      <c r="W47" s="152">
        <f t="shared" si="11"/>
        <v>-3416.3135590000002</v>
      </c>
      <c r="X47" s="152">
        <f t="shared" si="11"/>
        <v>-3416.3135590000002</v>
      </c>
      <c r="Y47" s="152">
        <f t="shared" si="11"/>
        <v>-3416.3135590000002</v>
      </c>
      <c r="Z47" s="152">
        <f t="shared" si="11"/>
        <v>-3416.3135590000002</v>
      </c>
      <c r="AA47" s="152">
        <f t="shared" si="11"/>
        <v>-3416.3135590000002</v>
      </c>
      <c r="AB47" s="152">
        <f t="shared" si="11"/>
        <v>-3416.3135590000002</v>
      </c>
      <c r="AC47" s="152">
        <f t="shared" si="11"/>
        <v>-3416.3135590000002</v>
      </c>
      <c r="AD47" s="152">
        <f t="shared" si="11"/>
        <v>-3416.3135590000002</v>
      </c>
      <c r="AE47" s="152">
        <f t="shared" si="11"/>
        <v>-3416.3135590000002</v>
      </c>
      <c r="AF47" s="152">
        <f t="shared" si="11"/>
        <v>-3416.3135590000002</v>
      </c>
    </row>
    <row r="48" spans="1:32">
      <c r="A48" t="s">
        <v>68</v>
      </c>
      <c r="B48" t="s">
        <v>66</v>
      </c>
      <c r="C48" s="93" t="s">
        <v>722</v>
      </c>
      <c r="D48" t="s">
        <v>311</v>
      </c>
      <c r="E48" s="152">
        <f t="shared" si="9"/>
        <v>-2948.4463276836159</v>
      </c>
      <c r="F48" s="152">
        <f t="shared" si="9"/>
        <v>-2948.4463276836159</v>
      </c>
      <c r="G48" s="152">
        <f t="shared" si="9"/>
        <v>-2948.4463276836159</v>
      </c>
      <c r="H48" s="152">
        <f t="shared" si="9"/>
        <v>-2948.4463276836159</v>
      </c>
      <c r="I48" s="152">
        <v>-4555.0847460000005</v>
      </c>
      <c r="J48" s="152">
        <v>-4555.0847460000005</v>
      </c>
      <c r="K48" s="152">
        <v>-4555.0847460000005</v>
      </c>
      <c r="L48" s="152">
        <v>-4555.0847460000005</v>
      </c>
      <c r="M48" s="152">
        <v>-4555.0847460000005</v>
      </c>
      <c r="N48" s="152">
        <v>-4555.0847460000005</v>
      </c>
      <c r="O48" s="152">
        <v>-4555.0847460000005</v>
      </c>
      <c r="P48" s="152">
        <v>-4555.0847460000005</v>
      </c>
      <c r="Q48" s="152">
        <v>-4555.0847460000005</v>
      </c>
      <c r="R48" s="152">
        <v>-4555.0847460000005</v>
      </c>
      <c r="S48" s="152">
        <v>-4555.0847460000005</v>
      </c>
      <c r="T48" s="152">
        <v>-4555.0847460000005</v>
      </c>
      <c r="U48" s="152">
        <f t="shared" ref="U48:AF48" si="12">T48</f>
        <v>-4555.0847460000005</v>
      </c>
      <c r="V48" s="152">
        <f t="shared" si="12"/>
        <v>-4555.0847460000005</v>
      </c>
      <c r="W48" s="152">
        <f t="shared" si="12"/>
        <v>-4555.0847460000005</v>
      </c>
      <c r="X48" s="152">
        <f t="shared" si="12"/>
        <v>-4555.0847460000005</v>
      </c>
      <c r="Y48" s="152">
        <f t="shared" si="12"/>
        <v>-4555.0847460000005</v>
      </c>
      <c r="Z48" s="152">
        <f t="shared" si="12"/>
        <v>-4555.0847460000005</v>
      </c>
      <c r="AA48" s="152">
        <f t="shared" si="12"/>
        <v>-4555.0847460000005</v>
      </c>
      <c r="AB48" s="152">
        <f t="shared" si="12"/>
        <v>-4555.0847460000005</v>
      </c>
      <c r="AC48" s="152">
        <f t="shared" si="12"/>
        <v>-4555.0847460000005</v>
      </c>
      <c r="AD48" s="152">
        <f t="shared" si="12"/>
        <v>-4555.0847460000005</v>
      </c>
      <c r="AE48" s="152">
        <f t="shared" si="12"/>
        <v>-4555.0847460000005</v>
      </c>
      <c r="AF48" s="152">
        <f t="shared" si="12"/>
        <v>-4555.0847460000005</v>
      </c>
    </row>
    <row r="49" spans="1:32">
      <c r="A49" t="s">
        <v>72</v>
      </c>
      <c r="B49" t="s">
        <v>66</v>
      </c>
      <c r="C49" s="93" t="s">
        <v>722</v>
      </c>
      <c r="D49" t="s">
        <v>292</v>
      </c>
      <c r="E49" s="152">
        <f t="shared" si="9"/>
        <v>-2728.8135593220341</v>
      </c>
      <c r="F49" s="152">
        <f t="shared" si="9"/>
        <v>-2728.8135593220341</v>
      </c>
      <c r="G49" s="152">
        <f t="shared" si="9"/>
        <v>-2728.8135593220341</v>
      </c>
      <c r="H49" s="152">
        <f t="shared" si="9"/>
        <v>-2728.8135593220341</v>
      </c>
      <c r="I49" s="152">
        <v>-2793.7853110000001</v>
      </c>
      <c r="J49" s="152">
        <v>-2793.7853110000001</v>
      </c>
      <c r="K49" s="152">
        <v>-2793.7853110000001</v>
      </c>
      <c r="L49" s="152">
        <v>-2793.7853110000001</v>
      </c>
      <c r="M49" s="152">
        <v>-2793.7853110000001</v>
      </c>
      <c r="N49" s="152">
        <v>-2793.7853110000001</v>
      </c>
      <c r="O49" s="152">
        <v>-2793.7853110000001</v>
      </c>
      <c r="P49" s="152">
        <v>-2793.7853110000001</v>
      </c>
      <c r="Q49" s="152">
        <v>-2793.7853110000001</v>
      </c>
      <c r="R49" s="152">
        <v>-2793.7853110000001</v>
      </c>
      <c r="S49" s="152">
        <v>-2793.7853110000001</v>
      </c>
      <c r="T49" s="152">
        <v>-2793.7853110000001</v>
      </c>
      <c r="U49" s="152">
        <f t="shared" ref="U49:AF49" si="13">T49</f>
        <v>-2793.7853110000001</v>
      </c>
      <c r="V49" s="152">
        <f t="shared" si="13"/>
        <v>-2793.7853110000001</v>
      </c>
      <c r="W49" s="152">
        <f t="shared" si="13"/>
        <v>-2793.7853110000001</v>
      </c>
      <c r="X49" s="152">
        <f t="shared" si="13"/>
        <v>-2793.7853110000001</v>
      </c>
      <c r="Y49" s="152">
        <f t="shared" si="13"/>
        <v>-2793.7853110000001</v>
      </c>
      <c r="Z49" s="152">
        <f t="shared" si="13"/>
        <v>-2793.7853110000001</v>
      </c>
      <c r="AA49" s="152">
        <f t="shared" si="13"/>
        <v>-2793.7853110000001</v>
      </c>
      <c r="AB49" s="152">
        <f t="shared" si="13"/>
        <v>-2793.7853110000001</v>
      </c>
      <c r="AC49" s="152">
        <f t="shared" si="13"/>
        <v>-2793.7853110000001</v>
      </c>
      <c r="AD49" s="152">
        <f t="shared" si="13"/>
        <v>-2793.7853110000001</v>
      </c>
      <c r="AE49" s="152">
        <f t="shared" si="13"/>
        <v>-2793.7853110000001</v>
      </c>
      <c r="AF49" s="152">
        <f t="shared" si="13"/>
        <v>-2793.7853110000001</v>
      </c>
    </row>
    <row r="50" spans="1:32">
      <c r="A50" t="s">
        <v>70</v>
      </c>
      <c r="B50" t="s">
        <v>66</v>
      </c>
      <c r="C50" s="93" t="s">
        <v>722</v>
      </c>
      <c r="D50" t="s">
        <v>274</v>
      </c>
      <c r="E50" s="152">
        <f t="shared" si="9"/>
        <v>-9009.7881355932204</v>
      </c>
      <c r="F50" s="152">
        <f t="shared" si="9"/>
        <v>-9009.7881355932204</v>
      </c>
      <c r="G50" s="152">
        <f t="shared" si="9"/>
        <v>-6785.2118644067805</v>
      </c>
      <c r="H50" s="152">
        <f t="shared" si="9"/>
        <v>-6785.2118644067805</v>
      </c>
      <c r="I50" s="152">
        <v>-7072.8742940000002</v>
      </c>
      <c r="J50" s="152">
        <v>-7072.8742940000002</v>
      </c>
      <c r="K50" s="152">
        <v>-7072.8742940000002</v>
      </c>
      <c r="L50" s="152">
        <v>-7072.8742940000002</v>
      </c>
      <c r="M50" s="152">
        <v>-7072.8742940000002</v>
      </c>
      <c r="N50" s="152">
        <v>-7072.8742940000002</v>
      </c>
      <c r="O50" s="152">
        <v>-7072.8742940000002</v>
      </c>
      <c r="P50" s="152">
        <v>-7072.8742940000002</v>
      </c>
      <c r="Q50" s="152">
        <v>-7072.8742940000002</v>
      </c>
      <c r="R50" s="152">
        <v>-7072.8742940000002</v>
      </c>
      <c r="S50" s="152">
        <v>-7072.8742940000002</v>
      </c>
      <c r="T50" s="152">
        <v>-7072.8742940000002</v>
      </c>
      <c r="U50" s="152">
        <f t="shared" ref="U50:AF50" si="14">T50</f>
        <v>-7072.8742940000002</v>
      </c>
      <c r="V50" s="152">
        <f t="shared" si="14"/>
        <v>-7072.8742940000002</v>
      </c>
      <c r="W50" s="152">
        <f t="shared" si="14"/>
        <v>-7072.8742940000002</v>
      </c>
      <c r="X50" s="152">
        <f t="shared" si="14"/>
        <v>-7072.8742940000002</v>
      </c>
      <c r="Y50" s="152">
        <f t="shared" si="14"/>
        <v>-7072.8742940000002</v>
      </c>
      <c r="Z50" s="152">
        <f t="shared" si="14"/>
        <v>-7072.8742940000002</v>
      </c>
      <c r="AA50" s="152">
        <f t="shared" si="14"/>
        <v>-7072.8742940000002</v>
      </c>
      <c r="AB50" s="152">
        <f t="shared" si="14"/>
        <v>-7072.8742940000002</v>
      </c>
      <c r="AC50" s="152">
        <f t="shared" si="14"/>
        <v>-7072.8742940000002</v>
      </c>
      <c r="AD50" s="152">
        <f t="shared" si="14"/>
        <v>-7072.8742940000002</v>
      </c>
      <c r="AE50" s="152">
        <f t="shared" si="14"/>
        <v>-7072.8742940000002</v>
      </c>
      <c r="AF50" s="152">
        <f t="shared" si="14"/>
        <v>-7072.8742940000002</v>
      </c>
    </row>
    <row r="51" spans="1:32">
      <c r="A51" t="s">
        <v>64</v>
      </c>
      <c r="B51" t="s">
        <v>64</v>
      </c>
      <c r="C51" s="93" t="s">
        <v>722</v>
      </c>
      <c r="D51" t="s">
        <v>64</v>
      </c>
      <c r="E51" s="152">
        <f t="shared" si="9"/>
        <v>0</v>
      </c>
      <c r="F51" s="152">
        <f t="shared" si="9"/>
        <v>-750</v>
      </c>
      <c r="G51" s="152">
        <f t="shared" si="9"/>
        <v>-750</v>
      </c>
      <c r="H51" s="152">
        <f t="shared" si="9"/>
        <v>-750</v>
      </c>
      <c r="I51" s="152">
        <v>-750</v>
      </c>
      <c r="J51" s="152">
        <v>-750</v>
      </c>
      <c r="K51" s="152">
        <v>-750</v>
      </c>
      <c r="L51" s="152">
        <v>-750</v>
      </c>
      <c r="M51" s="152">
        <v>-750</v>
      </c>
      <c r="N51" s="152">
        <v>-750</v>
      </c>
      <c r="O51" s="152">
        <v>-750</v>
      </c>
      <c r="P51" s="152">
        <v>-750</v>
      </c>
      <c r="Q51" s="152">
        <v>-750</v>
      </c>
      <c r="R51" s="152">
        <v>-750</v>
      </c>
      <c r="S51" s="152">
        <v>-750</v>
      </c>
      <c r="T51" s="152">
        <v>-750</v>
      </c>
      <c r="U51" s="152">
        <f t="shared" ref="U51:AF51" si="15">T51</f>
        <v>-750</v>
      </c>
      <c r="V51" s="152">
        <f t="shared" si="15"/>
        <v>-750</v>
      </c>
      <c r="W51" s="152">
        <f t="shared" si="15"/>
        <v>-750</v>
      </c>
      <c r="X51" s="152">
        <f t="shared" si="15"/>
        <v>-750</v>
      </c>
      <c r="Y51" s="152">
        <f t="shared" si="15"/>
        <v>-750</v>
      </c>
      <c r="Z51" s="152">
        <f t="shared" si="15"/>
        <v>-750</v>
      </c>
      <c r="AA51" s="152">
        <f t="shared" si="15"/>
        <v>-750</v>
      </c>
      <c r="AB51" s="152">
        <f t="shared" si="15"/>
        <v>-750</v>
      </c>
      <c r="AC51" s="152">
        <f t="shared" si="15"/>
        <v>-750</v>
      </c>
      <c r="AD51" s="152">
        <f t="shared" si="15"/>
        <v>-750</v>
      </c>
      <c r="AE51" s="152">
        <f t="shared" si="15"/>
        <v>-750</v>
      </c>
      <c r="AF51" s="152">
        <f t="shared" si="15"/>
        <v>-750</v>
      </c>
    </row>
    <row r="52" spans="1:32">
      <c r="C52" s="93" t="s">
        <v>722</v>
      </c>
      <c r="D52" t="s">
        <v>354</v>
      </c>
      <c r="E52" s="152">
        <f t="shared" si="9"/>
        <v>-50986.687804826666</v>
      </c>
      <c r="F52" s="152">
        <f t="shared" si="9"/>
        <v>-51736.687804826666</v>
      </c>
      <c r="G52" s="152">
        <f t="shared" si="9"/>
        <v>-49512.111533640222</v>
      </c>
      <c r="H52" s="152">
        <f t="shared" si="9"/>
        <v>-49512.111533640222</v>
      </c>
      <c r="I52" s="152">
        <v>-44144.406730000002</v>
      </c>
      <c r="J52" s="152">
        <v>-33212.20334</v>
      </c>
      <c r="K52" s="152">
        <v>-33212.20334</v>
      </c>
      <c r="L52" s="152">
        <v>-33212.20334</v>
      </c>
      <c r="M52" s="152">
        <v>-33212.20334</v>
      </c>
      <c r="N52" s="152">
        <v>-33212.20334</v>
      </c>
      <c r="O52" s="152">
        <v>-33212.20334</v>
      </c>
      <c r="P52" s="152">
        <v>-33212.20334</v>
      </c>
      <c r="Q52" s="152">
        <v>-33212.20334</v>
      </c>
      <c r="R52" s="152">
        <v>-33212.20334</v>
      </c>
      <c r="S52" s="152">
        <v>-33212.20334</v>
      </c>
      <c r="T52" s="152">
        <v>-33212.20334</v>
      </c>
      <c r="U52" s="152">
        <f t="shared" ref="U52:AF52" si="16">T52</f>
        <v>-33212.20334</v>
      </c>
      <c r="V52" s="152">
        <f t="shared" si="16"/>
        <v>-33212.20334</v>
      </c>
      <c r="W52" s="152">
        <f t="shared" si="16"/>
        <v>-33212.20334</v>
      </c>
      <c r="X52" s="152">
        <f t="shared" si="16"/>
        <v>-33212.20334</v>
      </c>
      <c r="Y52" s="152">
        <f t="shared" si="16"/>
        <v>-33212.20334</v>
      </c>
      <c r="Z52" s="152">
        <f t="shared" si="16"/>
        <v>-33212.20334</v>
      </c>
      <c r="AA52" s="152">
        <f t="shared" si="16"/>
        <v>-33212.20334</v>
      </c>
      <c r="AB52" s="152">
        <f t="shared" si="16"/>
        <v>-33212.20334</v>
      </c>
      <c r="AC52" s="152">
        <f t="shared" si="16"/>
        <v>-33212.20334</v>
      </c>
      <c r="AD52" s="152">
        <f t="shared" si="16"/>
        <v>-33212.20334</v>
      </c>
      <c r="AE52" s="152">
        <f t="shared" si="16"/>
        <v>-33212.20334</v>
      </c>
      <c r="AF52" s="152">
        <f t="shared" si="16"/>
        <v>-33212.20334</v>
      </c>
    </row>
    <row r="53" spans="1:32">
      <c r="U53" s="152"/>
    </row>
    <row r="54" spans="1:32">
      <c r="C54" s="154" t="s">
        <v>721</v>
      </c>
      <c r="D54" t="s">
        <v>105</v>
      </c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/>
      <c r="AA54" s="152"/>
      <c r="AB54" s="152"/>
      <c r="AC54" s="152"/>
      <c r="AD54" s="152"/>
      <c r="AE54" s="152"/>
      <c r="AF54" s="152"/>
    </row>
    <row r="55" spans="1:32">
      <c r="I55" s="263" t="s">
        <v>734</v>
      </c>
    </row>
  </sheetData>
  <sheetProtection sheet="1" objects="1" scenarios="1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8A8C4-D9C2-4513-BCE1-E04DA5173DF1}">
  <sheetPr codeName="Sheet23"/>
  <dimension ref="A1:I34"/>
  <sheetViews>
    <sheetView topLeftCell="A7" zoomScale="208" workbookViewId="0">
      <selection activeCell="M28" sqref="M28"/>
    </sheetView>
  </sheetViews>
  <sheetFormatPr baseColWidth="10" defaultColWidth="8.83203125" defaultRowHeight="15"/>
  <cols>
    <col min="2" max="2" width="19.5" bestFit="1" customWidth="1"/>
    <col min="3" max="5" width="11.6640625" customWidth="1"/>
  </cols>
  <sheetData>
    <row r="1" spans="1:6" s="490" customFormat="1" ht="40">
      <c r="A1" s="490" t="s">
        <v>218</v>
      </c>
      <c r="B1" s="491" t="s">
        <v>393</v>
      </c>
      <c r="C1" s="492" t="s">
        <v>735</v>
      </c>
      <c r="D1" s="492" t="s">
        <v>736</v>
      </c>
      <c r="E1" s="492" t="s">
        <v>737</v>
      </c>
      <c r="F1" s="492" t="s">
        <v>500</v>
      </c>
    </row>
    <row r="2" spans="1:6">
      <c r="A2" t="s">
        <v>71</v>
      </c>
      <c r="B2" s="148" t="s">
        <v>394</v>
      </c>
      <c r="C2" s="149">
        <v>-0.17039931684650803</v>
      </c>
      <c r="D2" s="149">
        <v>-0.15415920880321382</v>
      </c>
      <c r="E2" s="149">
        <v>-0.15911378896009457</v>
      </c>
      <c r="F2" t="s">
        <v>738</v>
      </c>
    </row>
    <row r="3" spans="1:6">
      <c r="A3" t="s">
        <v>71</v>
      </c>
      <c r="B3" s="148" t="s">
        <v>395</v>
      </c>
      <c r="C3" s="149">
        <v>-0.1160141303583469</v>
      </c>
      <c r="D3" s="149"/>
      <c r="E3" s="149">
        <v>-9.1563002295781681E-2</v>
      </c>
      <c r="F3" t="s">
        <v>739</v>
      </c>
    </row>
    <row r="4" spans="1:6">
      <c r="A4" t="s">
        <v>64</v>
      </c>
      <c r="B4" s="148" t="s">
        <v>394</v>
      </c>
      <c r="C4" s="149">
        <v>-0.12284709075322058</v>
      </c>
      <c r="D4" s="149">
        <v>-0.12092195398952377</v>
      </c>
      <c r="E4" s="149">
        <v>-0.13662523757183823</v>
      </c>
    </row>
    <row r="5" spans="1:6">
      <c r="A5" t="s">
        <v>64</v>
      </c>
      <c r="B5" s="148" t="s">
        <v>395</v>
      </c>
      <c r="C5" s="149">
        <v>-5.239363192335611E-2</v>
      </c>
      <c r="D5" s="149">
        <v>-3.8584395778803723E-2</v>
      </c>
      <c r="E5" s="149">
        <v>-5.2146324326728707E-2</v>
      </c>
    </row>
    <row r="6" spans="1:6">
      <c r="A6" t="s">
        <v>64</v>
      </c>
      <c r="B6" s="148" t="s">
        <v>740</v>
      </c>
      <c r="C6" s="149">
        <v>-0.42875770195252078</v>
      </c>
      <c r="D6" s="149">
        <v>-0.40858090417604992</v>
      </c>
      <c r="E6" s="149">
        <v>-0.40718778555318147</v>
      </c>
    </row>
    <row r="7" spans="1:6">
      <c r="A7" t="s">
        <v>64</v>
      </c>
      <c r="B7" s="148" t="s">
        <v>741</v>
      </c>
      <c r="C7" s="149">
        <v>-0.31740419597102026</v>
      </c>
      <c r="D7" s="149">
        <v>-0.33564069707393535</v>
      </c>
      <c r="E7" s="149">
        <v>-0.34260596578395958</v>
      </c>
    </row>
    <row r="8" spans="1:6">
      <c r="A8" t="s">
        <v>73</v>
      </c>
      <c r="B8" s="148" t="s">
        <v>394</v>
      </c>
      <c r="C8" s="149">
        <v>-0.20328103087421745</v>
      </c>
      <c r="D8" s="149">
        <v>-0.16528806068575427</v>
      </c>
      <c r="E8" s="149">
        <v>-0.18770889563410345</v>
      </c>
      <c r="F8" t="s">
        <v>742</v>
      </c>
    </row>
    <row r="9" spans="1:6">
      <c r="A9" t="s">
        <v>73</v>
      </c>
      <c r="B9" s="148" t="s">
        <v>395</v>
      </c>
      <c r="C9" s="149">
        <v>2.717384031322841E-2</v>
      </c>
      <c r="D9" s="149">
        <v>-0.12048708862151879</v>
      </c>
      <c r="E9" s="149">
        <v>-3.2510185850781526E-2</v>
      </c>
      <c r="F9" t="s">
        <v>743</v>
      </c>
    </row>
    <row r="10" spans="1:6">
      <c r="A10" t="s">
        <v>73</v>
      </c>
      <c r="B10" s="148" t="s">
        <v>740</v>
      </c>
      <c r="C10" s="149">
        <v>-0.45380854813807753</v>
      </c>
      <c r="D10" s="149">
        <v>-0.4376405138412694</v>
      </c>
      <c r="E10" s="149">
        <v>-0.43657870525431858</v>
      </c>
    </row>
    <row r="11" spans="1:6">
      <c r="A11" t="s">
        <v>483</v>
      </c>
      <c r="B11" s="148" t="s">
        <v>394</v>
      </c>
      <c r="C11" s="149">
        <v>-0.13048879108651512</v>
      </c>
      <c r="D11" s="149">
        <v>-0.14238054297408262</v>
      </c>
      <c r="E11" s="149">
        <v>-0.17425378899204211</v>
      </c>
    </row>
    <row r="12" spans="1:6">
      <c r="A12" t="s">
        <v>483</v>
      </c>
      <c r="B12" s="148" t="s">
        <v>395</v>
      </c>
      <c r="C12" s="149">
        <v>-4.2940106586126847E-2</v>
      </c>
      <c r="D12" s="149"/>
      <c r="E12" s="149">
        <v>-4.2940106586126847E-2</v>
      </c>
    </row>
    <row r="13" spans="1:6">
      <c r="A13" t="s">
        <v>483</v>
      </c>
      <c r="B13" s="148" t="s">
        <v>740</v>
      </c>
      <c r="C13" s="149">
        <v>-0.47713540161257972</v>
      </c>
      <c r="D13" s="149">
        <v>-0.42501612072947131</v>
      </c>
      <c r="E13" s="149">
        <v>-0.4558535989501718</v>
      </c>
    </row>
    <row r="14" spans="1:6">
      <c r="A14" t="s">
        <v>744</v>
      </c>
      <c r="B14" s="148" t="s">
        <v>394</v>
      </c>
      <c r="C14" s="149">
        <v>-0.12552426634726535</v>
      </c>
      <c r="D14" s="149">
        <v>-0.11706938335785493</v>
      </c>
      <c r="E14" s="149">
        <v>-0.12109160536501504</v>
      </c>
    </row>
    <row r="15" spans="1:6">
      <c r="A15" t="s">
        <v>744</v>
      </c>
      <c r="B15" s="148" t="s">
        <v>395</v>
      </c>
      <c r="C15" s="149">
        <v>-1.6891136711336685E-2</v>
      </c>
      <c r="D15" s="149">
        <v>-2.691187990186894E-2</v>
      </c>
      <c r="E15" s="149">
        <v>-3.6255660796031562E-2</v>
      </c>
    </row>
    <row r="16" spans="1:6">
      <c r="A16" t="s">
        <v>744</v>
      </c>
      <c r="B16" s="148" t="s">
        <v>740</v>
      </c>
      <c r="C16" s="149">
        <v>-0.36676906182926056</v>
      </c>
      <c r="D16" s="149">
        <v>-0.35738603658558116</v>
      </c>
      <c r="E16" s="149">
        <v>-0.37088875911834635</v>
      </c>
    </row>
    <row r="17" spans="1:6">
      <c r="A17" t="s">
        <v>68</v>
      </c>
      <c r="B17" s="148" t="s">
        <v>394</v>
      </c>
      <c r="C17" s="149">
        <v>-0.21412785525165046</v>
      </c>
      <c r="D17" s="149">
        <v>-0.17813608695874042</v>
      </c>
      <c r="E17" s="149">
        <v>-0.19288201625359633</v>
      </c>
      <c r="F17" t="s">
        <v>738</v>
      </c>
    </row>
    <row r="18" spans="1:6">
      <c r="A18" t="s">
        <v>68</v>
      </c>
      <c r="B18" s="148" t="s">
        <v>395</v>
      </c>
      <c r="C18" s="149">
        <v>-0.13993110356005464</v>
      </c>
      <c r="D18" s="149">
        <v>-0.13555088997092321</v>
      </c>
      <c r="E18" s="149">
        <v>-0.10232415607337406</v>
      </c>
    </row>
    <row r="19" spans="1:6">
      <c r="A19" t="s">
        <v>69</v>
      </c>
      <c r="B19" s="148" t="s">
        <v>394</v>
      </c>
      <c r="C19" s="149">
        <v>-0.19637797412713931</v>
      </c>
      <c r="D19" s="149">
        <v>-0.17896815468913116</v>
      </c>
      <c r="E19" s="149">
        <v>-0.19331097168536487</v>
      </c>
      <c r="F19" t="s">
        <v>738</v>
      </c>
    </row>
    <row r="20" spans="1:6">
      <c r="A20" t="s">
        <v>69</v>
      </c>
      <c r="B20" s="148" t="s">
        <v>395</v>
      </c>
      <c r="C20" s="149">
        <v>-5.467656115566813E-2</v>
      </c>
      <c r="D20" s="149">
        <v>-6.1653006334875769E-2</v>
      </c>
      <c r="E20" s="149">
        <v>-6.9695862933924754E-2</v>
      </c>
    </row>
    <row r="21" spans="1:6">
      <c r="A21" t="s">
        <v>69</v>
      </c>
      <c r="B21" s="148" t="s">
        <v>740</v>
      </c>
      <c r="C21" s="149">
        <v>-0.44725160913873813</v>
      </c>
      <c r="D21" s="149">
        <v>-0.42635985770972823</v>
      </c>
      <c r="E21" s="149">
        <v>-0.43369654447462291</v>
      </c>
    </row>
    <row r="22" spans="1:6">
      <c r="A22" t="s">
        <v>400</v>
      </c>
      <c r="B22" s="148" t="s">
        <v>394</v>
      </c>
      <c r="C22" s="149">
        <v>-0.28723204019969412</v>
      </c>
      <c r="D22" s="149">
        <v>-0.34979225581454143</v>
      </c>
      <c r="E22" s="149">
        <v>-0.32286438575443793</v>
      </c>
    </row>
    <row r="23" spans="1:6">
      <c r="A23" t="s">
        <v>400</v>
      </c>
      <c r="B23" s="148" t="s">
        <v>395</v>
      </c>
      <c r="C23" s="149">
        <v>-6.9104415088516558E-2</v>
      </c>
      <c r="D23" s="149">
        <v>-6.9047925563750071E-2</v>
      </c>
      <c r="E23" s="149">
        <v>-6.9700169860438185E-2</v>
      </c>
    </row>
    <row r="24" spans="1:6">
      <c r="A24" t="s">
        <v>400</v>
      </c>
      <c r="B24" s="148" t="s">
        <v>740</v>
      </c>
      <c r="C24" s="149">
        <v>-0.38329331941455541</v>
      </c>
      <c r="D24" s="149">
        <v>-0.36846339374429976</v>
      </c>
      <c r="E24" s="149">
        <v>-0.37172698392581882</v>
      </c>
    </row>
    <row r="25" spans="1:6">
      <c r="A25" t="s">
        <v>67</v>
      </c>
      <c r="B25" s="148" t="s">
        <v>394</v>
      </c>
      <c r="C25" s="149"/>
      <c r="D25" s="149"/>
      <c r="E25" s="149"/>
      <c r="F25" s="150" t="s">
        <v>745</v>
      </c>
    </row>
    <row r="26" spans="1:6">
      <c r="A26" t="s">
        <v>67</v>
      </c>
      <c r="B26" s="148" t="s">
        <v>395</v>
      </c>
      <c r="C26" s="149">
        <v>-3.7067056391030098E-2</v>
      </c>
      <c r="D26" s="149">
        <v>-0.11322147480389917</v>
      </c>
      <c r="E26" s="149">
        <v>-0.13837340763093953</v>
      </c>
    </row>
    <row r="27" spans="1:6">
      <c r="A27" t="s">
        <v>72</v>
      </c>
      <c r="B27" s="148" t="s">
        <v>394</v>
      </c>
      <c r="C27" s="149">
        <v>-0.19200548098581752</v>
      </c>
      <c r="D27" s="149">
        <v>-0.18457909734041059</v>
      </c>
      <c r="E27" s="149">
        <v>-0.19234178888491468</v>
      </c>
      <c r="F27" t="s">
        <v>738</v>
      </c>
    </row>
    <row r="28" spans="1:6">
      <c r="A28" t="s">
        <v>72</v>
      </c>
      <c r="B28" s="148" t="s">
        <v>395</v>
      </c>
      <c r="C28" s="149">
        <v>-2.715544688686064E-2</v>
      </c>
      <c r="D28" s="149"/>
      <c r="E28" s="149">
        <v>-5.0780218512315865E-2</v>
      </c>
    </row>
    <row r="29" spans="1:6">
      <c r="A29" t="s">
        <v>70</v>
      </c>
      <c r="B29" s="148" t="s">
        <v>394</v>
      </c>
      <c r="C29" s="149">
        <v>-0.16419661461126253</v>
      </c>
      <c r="D29" s="149">
        <v>-0.15568316348174208</v>
      </c>
      <c r="E29" s="149">
        <v>-0.16039958819369121</v>
      </c>
      <c r="F29" t="s">
        <v>738</v>
      </c>
    </row>
    <row r="30" spans="1:6">
      <c r="A30" t="s">
        <v>70</v>
      </c>
      <c r="B30" s="148" t="s">
        <v>395</v>
      </c>
      <c r="C30" s="149">
        <v>-1.3513312903051669E-2</v>
      </c>
      <c r="D30" s="149"/>
      <c r="E30" s="149">
        <v>-3.1458973241287956E-2</v>
      </c>
    </row>
    <row r="31" spans="1:6">
      <c r="A31" t="s">
        <v>746</v>
      </c>
      <c r="B31" s="148" t="s">
        <v>394</v>
      </c>
      <c r="C31" s="149">
        <v>-0.32920343861736723</v>
      </c>
      <c r="D31" s="149">
        <v>-0.38073787370003709</v>
      </c>
      <c r="E31" s="149">
        <v>-0.29870914073963983</v>
      </c>
    </row>
    <row r="32" spans="1:6">
      <c r="A32" t="s">
        <v>746</v>
      </c>
      <c r="B32" s="148" t="s">
        <v>740</v>
      </c>
      <c r="C32" s="149">
        <v>-0.66636312954663823</v>
      </c>
      <c r="D32" s="149">
        <v>-0.76539546066112296</v>
      </c>
      <c r="E32" s="149">
        <v>-0.6247901736461684</v>
      </c>
    </row>
    <row r="33" spans="1:9">
      <c r="A33" t="s">
        <v>105</v>
      </c>
      <c r="B33" s="148" t="s">
        <v>104</v>
      </c>
      <c r="C33" s="149">
        <v>-1.5714357729725906E-2</v>
      </c>
      <c r="D33" s="149">
        <v>-1.5653870730256661E-2</v>
      </c>
      <c r="E33" s="149">
        <v>-2.0100097636587825E-2</v>
      </c>
      <c r="F33" t="s">
        <v>747</v>
      </c>
      <c r="I33" t="s">
        <v>748</v>
      </c>
    </row>
    <row r="34" spans="1:9">
      <c r="A34" t="s">
        <v>105</v>
      </c>
      <c r="B34" s="148" t="s">
        <v>394</v>
      </c>
      <c r="C34" s="149">
        <v>-9.4038779417933913E-3</v>
      </c>
      <c r="D34" s="149">
        <v>-9.296166239705167E-3</v>
      </c>
      <c r="E34" s="149">
        <v>-9.0393656910459797E-3</v>
      </c>
      <c r="F34" t="s">
        <v>749</v>
      </c>
    </row>
  </sheetData>
  <sheetProtection sheet="1" objects="1" scenarios="1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CA8F5-82B1-46BB-B350-2670F707E335}">
  <sheetPr codeName="Sheet24">
    <tabColor theme="5"/>
  </sheetPr>
  <dimension ref="A1:O13"/>
  <sheetViews>
    <sheetView topLeftCell="A4" workbookViewId="0">
      <selection activeCell="J4" sqref="J4"/>
    </sheetView>
  </sheetViews>
  <sheetFormatPr baseColWidth="10" defaultColWidth="8.83203125" defaultRowHeight="15"/>
  <cols>
    <col min="2" max="13" width="9.5" customWidth="1"/>
  </cols>
  <sheetData>
    <row r="1" spans="1:15">
      <c r="A1" s="4" t="s">
        <v>750</v>
      </c>
    </row>
    <row r="2" spans="1:15">
      <c r="A2" s="4"/>
    </row>
    <row r="3" spans="1:15">
      <c r="A3" s="136" t="s">
        <v>751</v>
      </c>
      <c r="B3" s="138">
        <v>45839</v>
      </c>
      <c r="C3" s="138">
        <v>45870</v>
      </c>
      <c r="D3" s="138">
        <v>45901</v>
      </c>
      <c r="E3" s="138">
        <v>45931</v>
      </c>
      <c r="F3" s="138">
        <v>45962</v>
      </c>
      <c r="G3" s="138">
        <v>45992</v>
      </c>
      <c r="H3" s="138">
        <v>46023</v>
      </c>
      <c r="I3" s="138">
        <v>46054</v>
      </c>
      <c r="J3" s="138">
        <v>46082</v>
      </c>
      <c r="K3" s="138">
        <v>46113</v>
      </c>
      <c r="L3" s="138">
        <v>46143</v>
      </c>
      <c r="M3" s="138">
        <v>46174</v>
      </c>
    </row>
    <row r="4" spans="1:15">
      <c r="A4" t="s">
        <v>64</v>
      </c>
      <c r="B4" s="135">
        <f>UK!J58+UK!J59+UK!J62+UK!J61+(3*UK!J60)+(3*UK!J63)</f>
        <v>842</v>
      </c>
      <c r="C4" s="135">
        <f>UK!K58+UK!K59+UK!K62+UK!K61+(3*UK!K60)+(3*UK!K63)</f>
        <v>1088</v>
      </c>
      <c r="D4" s="135">
        <f>UK!L58+UK!L59+UK!L62+UK!L61+(3*UK!L60)+(3*UK!L63)</f>
        <v>1137.9999999999998</v>
      </c>
      <c r="E4" s="135">
        <f>UK!M58+UK!M59+UK!M62+UK!M61+(3*UK!M60)+(3*UK!M63)</f>
        <v>1588</v>
      </c>
      <c r="F4" s="135">
        <f>UK!N58+UK!N59+UK!N62+UK!N61+(3*UK!N60)+(3*UK!N63)</f>
        <v>1802</v>
      </c>
      <c r="G4" s="135">
        <f>UK!O58+UK!O59+UK!O62+UK!O61+(3*UK!O60)+(3*UK!O63)</f>
        <v>1710</v>
      </c>
      <c r="H4" s="135">
        <f>UK!P58+UK!P59+UK!P62+UK!P61+(3*UK!P60)+(3*UK!P63)</f>
        <v>2382</v>
      </c>
      <c r="I4" s="135">
        <f>UK!Q58+UK!Q59+UK!Q62+UK!Q61+(3*UK!Q60)+(3*UK!Q63)</f>
        <v>3230</v>
      </c>
      <c r="J4" s="135">
        <f>UK!R58+UK!R59+UK!R62+UK!R61+(3*UK!R60)+(3*UK!R63)</f>
        <v>3568</v>
      </c>
      <c r="K4" s="135">
        <f>UK!S58+UK!S59+UK!S62+UK!S61+(3*UK!S60)+(3*UK!S63)</f>
        <v>4443</v>
      </c>
      <c r="L4" s="135">
        <f>UK!T58+UK!T59+UK!T62+UK!T61+(3*UK!T60)+(3*UK!T63)</f>
        <v>5738</v>
      </c>
      <c r="M4" s="135">
        <f>UK!U58+UK!U59+UK!U62+UK!U61+(3*UK!U60)+(3*UK!U63)</f>
        <v>6583</v>
      </c>
      <c r="O4" s="142"/>
    </row>
    <row r="5" spans="1:15">
      <c r="A5" t="s">
        <v>70</v>
      </c>
      <c r="B5" s="135">
        <f>SK!J58+SK!J59+SK!J62+SK!J61+(3*SK!J60)+(3*SK!J63)</f>
        <v>320</v>
      </c>
      <c r="C5" s="135">
        <f>SK!K58+SK!K59+SK!K62+SK!K61+(3*SK!K60)+(3*SK!K63)</f>
        <v>172</v>
      </c>
      <c r="D5" s="135">
        <f>SK!L58+SK!L59+SK!L62+SK!L61+(3*SK!L60)+(3*SK!L63)</f>
        <v>88</v>
      </c>
      <c r="E5" s="135">
        <f>SK!M58+SK!M59+SK!M62+SK!M61+(3*SK!M60)+(3*SK!M63)</f>
        <v>326</v>
      </c>
      <c r="F5" s="135">
        <f>SK!N58+SK!N59+SK!N62+SK!N61+(3*SK!N60)+(3*SK!N63)</f>
        <v>172</v>
      </c>
      <c r="G5" s="135">
        <f>SK!O58+SK!O59+SK!O62+SK!O61+(3*SK!O60)+(3*SK!O63)</f>
        <v>93</v>
      </c>
      <c r="H5" s="135">
        <f>SK!P58+SK!P59+SK!P62+SK!P61+(3*SK!P60)+(3*SK!P63)</f>
        <v>328</v>
      </c>
      <c r="I5" s="135">
        <f>SK!Q58+SK!Q59+SK!Q62+SK!Q61+(3*SK!Q60)+(3*SK!Q63)</f>
        <v>172</v>
      </c>
      <c r="J5" s="135">
        <f>SK!R58+SK!R59+SK!R62+SK!R61+(3*SK!R60)+(3*SK!R63)</f>
        <v>94</v>
      </c>
      <c r="K5" s="135">
        <f>SK!S58+SK!S59+SK!S62+SK!S61+(3*SK!S60)+(3*SK!S63)</f>
        <v>323</v>
      </c>
      <c r="L5" s="135">
        <f>SK!T58+SK!T59+SK!T62+SK!T61+(3*SK!T60)+(3*SK!T63)</f>
        <v>173</v>
      </c>
      <c r="M5" s="135">
        <f>SK!U58+SK!U59+SK!U62+SK!U61+(3*SK!U60)+(3*SK!U63)</f>
        <v>93</v>
      </c>
      <c r="O5" s="142"/>
    </row>
    <row r="6" spans="1:15">
      <c r="A6" t="s">
        <v>71</v>
      </c>
      <c r="B6" s="135">
        <f>CZ!J58+CZ!J59+CZ!J62+CZ!J61+(3*CZ!J60)+(3*CZ!J63)</f>
        <v>281</v>
      </c>
      <c r="C6" s="135">
        <f>CZ!K58+CZ!K59+CZ!K62+CZ!K61+(3*CZ!K60)+(3*CZ!K63)</f>
        <v>136</v>
      </c>
      <c r="D6" s="135">
        <f>CZ!L58+CZ!L59+CZ!L62+CZ!L61+(3*CZ!L60)+(3*CZ!L63)</f>
        <v>52</v>
      </c>
      <c r="E6" s="135">
        <f>CZ!M58+CZ!M59+CZ!M62+CZ!M61+(3*CZ!M60)+(3*CZ!M63)</f>
        <v>286</v>
      </c>
      <c r="F6" s="135">
        <f>CZ!N58+CZ!N59+CZ!N62+CZ!N61+(3*CZ!N60)+(3*CZ!N63)</f>
        <v>128</v>
      </c>
      <c r="G6" s="135">
        <f>CZ!O58+CZ!O59+CZ!O62+CZ!O61+(3*CZ!O60)+(3*CZ!O63)</f>
        <v>44</v>
      </c>
      <c r="H6" s="135">
        <f>CZ!P58+CZ!P59+CZ!P62+CZ!P61+(3*CZ!P60)+(3*CZ!P63)</f>
        <v>275</v>
      </c>
      <c r="I6" s="135">
        <f>CZ!Q58+CZ!Q59+CZ!Q62+CZ!Q61+(3*CZ!Q60)+(3*CZ!Q63)</f>
        <v>115</v>
      </c>
      <c r="J6" s="135">
        <f>CZ!R58+CZ!R59+CZ!R62+CZ!R61+(3*CZ!R60)+(3*CZ!R63)</f>
        <v>36</v>
      </c>
      <c r="K6" s="135">
        <f>CZ!S58+CZ!S59+CZ!S62+CZ!S61+(3*CZ!S60)+(3*CZ!S63)</f>
        <v>263</v>
      </c>
      <c r="L6" s="135">
        <f>CZ!T58+CZ!T59+CZ!T62+CZ!T61+(3*CZ!T60)+(3*CZ!T63)</f>
        <v>112</v>
      </c>
      <c r="M6" s="135">
        <f>CZ!U58+CZ!U59+CZ!U62+CZ!U61+(3*CZ!U60)+(3*CZ!U63)</f>
        <v>33</v>
      </c>
      <c r="O6" s="142"/>
    </row>
    <row r="7" spans="1:15">
      <c r="A7" t="s">
        <v>68</v>
      </c>
      <c r="B7" s="135">
        <f>HU!J58+HU!J59+HU!J62+HU!J61+(3*HU!J60)+(3*HU!J63)</f>
        <v>296</v>
      </c>
      <c r="C7" s="135">
        <f>HU!K58+HU!K59+HU!K62+HU!K61+(3*HU!K60)+(3*HU!K63)</f>
        <v>127</v>
      </c>
      <c r="D7" s="135">
        <f>HU!L58+HU!L59+HU!L62+HU!L61+(3*HU!L60)+(3*HU!L63)</f>
        <v>43</v>
      </c>
      <c r="E7" s="135">
        <f>HU!M58+HU!M59+HU!M62+HU!M61+(3*HU!M60)+(3*HU!M63)</f>
        <v>277</v>
      </c>
      <c r="F7" s="135">
        <f>HU!N58+HU!N59+HU!N62+HU!N61+(3*HU!N60)+(3*HU!N63)</f>
        <v>158</v>
      </c>
      <c r="G7" s="135">
        <f>HU!O58+HU!O59+HU!O62+HU!O61+(3*HU!O60)+(3*HU!O63)</f>
        <v>60</v>
      </c>
      <c r="H7" s="135">
        <f>HU!P58+HU!P59+HU!P62+HU!P61+(3*HU!P60)+(3*HU!P63)</f>
        <v>293</v>
      </c>
      <c r="I7" s="135">
        <f>HU!Q58+HU!Q59+HU!Q62+HU!Q61+(3*HU!Q60)+(3*HU!Q63)</f>
        <v>119</v>
      </c>
      <c r="J7" s="135">
        <f>HU!R58+HU!R59+HU!R62+HU!R61+(3*HU!R60)+(3*HU!R63)</f>
        <v>41</v>
      </c>
      <c r="K7" s="135">
        <f>HU!S58+HU!S59+HU!S62+HU!S61+(3*HU!S60)+(3*HU!S63)</f>
        <v>270</v>
      </c>
      <c r="L7" s="135">
        <f>HU!T58+HU!T59+HU!T62+HU!T61+(3*HU!T60)+(3*HU!T63)</f>
        <v>135</v>
      </c>
      <c r="M7" s="135">
        <f>HU!U58+HU!U59+HU!U62+HU!U61+(3*HU!U60)+(3*HU!U63)</f>
        <v>56</v>
      </c>
      <c r="O7" s="142"/>
    </row>
    <row r="8" spans="1:15">
      <c r="A8" t="s">
        <v>72</v>
      </c>
      <c r="B8" s="135">
        <f>RO!J58+RO!J59+RO!J62+RO!J61+(3*RO!J60)+(3*RO!J63)</f>
        <v>282</v>
      </c>
      <c r="C8" s="135">
        <f>RO!K58+RO!K59+RO!K62+RO!K61+(3*RO!K60)+(3*RO!K63)</f>
        <v>124</v>
      </c>
      <c r="D8" s="135">
        <f>RO!L58+RO!L59+RO!L62+RO!L61+(3*RO!L60)+(3*RO!L63)</f>
        <v>39</v>
      </c>
      <c r="E8" s="135">
        <f>RO!M58+RO!M59+RO!M62+RO!M61+(3*RO!M60)+(3*RO!M63)</f>
        <v>294</v>
      </c>
      <c r="F8" s="135">
        <f>RO!N58+RO!N59+RO!N62+RO!N61+(3*RO!N60)+(3*RO!N63)</f>
        <v>191</v>
      </c>
      <c r="G8" s="135">
        <f>RO!O58+RO!O59+RO!O62+RO!O61+(3*RO!O60)+(3*RO!O63)</f>
        <v>67.000000000000014</v>
      </c>
      <c r="H8" s="135">
        <f>RO!P58+RO!P59+RO!P62+RO!P61+(3*RO!P60)+(3*RO!P63)</f>
        <v>301</v>
      </c>
      <c r="I8" s="135">
        <f>RO!Q58+RO!Q59+RO!Q62+RO!Q61+(3*RO!Q60)+(3*RO!Q63)</f>
        <v>159</v>
      </c>
      <c r="J8" s="135">
        <f>RO!R58+RO!R59+RO!R62+RO!R61+(3*RO!R60)+(3*RO!R63)</f>
        <v>81</v>
      </c>
      <c r="K8" s="135">
        <f>RO!S58+RO!S59+RO!S62+RO!S61+(3*RO!S60)+(3*RO!S63)</f>
        <v>343</v>
      </c>
      <c r="L8" s="135">
        <f>RO!T58+RO!T59+RO!T62+RO!T61+(3*RO!T60)+(3*RO!T63)</f>
        <v>187</v>
      </c>
      <c r="M8" s="135">
        <f>RO!U58+RO!U59+RO!U62+RO!U61+(3*RO!U60)+(3*RO!U63)</f>
        <v>114</v>
      </c>
      <c r="O8" s="142"/>
    </row>
    <row r="9" spans="1:15">
      <c r="A9" t="s">
        <v>69</v>
      </c>
      <c r="B9" s="135">
        <f>IT!J58+IT!J59+IT!J62+IT!J61+(3*IT!J60)+(3*IT!J63)</f>
        <v>292</v>
      </c>
      <c r="C9" s="135">
        <f>IT!K58+IT!K59+IT!K62+IT!K61+(3*IT!K60)+(3*IT!K63)</f>
        <v>128</v>
      </c>
      <c r="D9" s="135">
        <f>IT!L58+IT!L59+IT!L62+IT!L61+(3*IT!L60)+(3*IT!L63)</f>
        <v>52</v>
      </c>
      <c r="E9" s="135">
        <f>IT!M58+IT!M59+IT!M62+IT!M61+(3*IT!M60)+(3*IT!M63)</f>
        <v>297</v>
      </c>
      <c r="F9" s="135">
        <f>IT!N58+IT!N59+IT!N62+IT!N61+(3*IT!N60)+(3*IT!N63)</f>
        <v>144</v>
      </c>
      <c r="G9" s="135">
        <f>IT!O58+IT!O59+IT!O62+IT!O61+(3*IT!O60)+(3*IT!O63)</f>
        <v>54.000000000000007</v>
      </c>
      <c r="H9" s="135">
        <f>IT!P58+IT!P59+IT!P62+IT!P61+(3*IT!P60)+(3*IT!P63)</f>
        <v>304</v>
      </c>
      <c r="I9" s="135">
        <f>IT!Q58+IT!Q59+IT!Q62+IT!Q61+(3*IT!Q60)+(3*IT!Q63)</f>
        <v>174</v>
      </c>
      <c r="J9" s="135">
        <f>IT!R58+IT!R59+IT!R62+IT!R61+(3*IT!R60)+(3*IT!R63)</f>
        <v>114.99999999999999</v>
      </c>
      <c r="K9" s="135">
        <f>IT!S58+IT!S59+IT!S62+IT!S61+(3*IT!S60)+(3*IT!S63)</f>
        <v>344</v>
      </c>
      <c r="L9" s="135">
        <f>IT!T58+IT!T59+IT!T62+IT!T61+(3*IT!T60)+(3*IT!T63)</f>
        <v>305</v>
      </c>
      <c r="M9" s="135">
        <f>IT!U58+IT!U59+IT!U62+IT!U61+(3*IT!U60)+(3*IT!U63)</f>
        <v>245</v>
      </c>
      <c r="O9" s="142"/>
    </row>
    <row r="10" spans="1:15">
      <c r="A10" t="s">
        <v>73</v>
      </c>
      <c r="B10" s="135">
        <f>ES!J58+ES!J59+ES!J62+ES!J61+(3*ES!J60)+(3*ES!J63)</f>
        <v>290</v>
      </c>
      <c r="C10" s="135">
        <f>ES!K58+ES!K59+ES!K62+ES!K61+(3*ES!K60)+(3*ES!K63)</f>
        <v>134</v>
      </c>
      <c r="D10" s="135">
        <f>ES!L58+ES!L59+ES!L62+ES!L61+(3*ES!L60)+(3*ES!L63)</f>
        <v>40</v>
      </c>
      <c r="E10" s="135">
        <f>ES!M58+ES!M59+ES!M62+ES!M61+(3*ES!M60)+(3*ES!M63)</f>
        <v>308</v>
      </c>
      <c r="F10" s="135">
        <f>ES!N58+ES!N59+ES!N62+ES!N61+(3*ES!N60)+(3*ES!N63)</f>
        <v>156</v>
      </c>
      <c r="G10" s="135">
        <f>ES!O58+ES!O59+ES!O62+ES!O61+(3*ES!O60)+(3*ES!O63)</f>
        <v>51</v>
      </c>
      <c r="H10" s="135">
        <f>ES!P58+ES!P59+ES!P62+ES!P61+(3*ES!P60)+(3*ES!P63)</f>
        <v>304</v>
      </c>
      <c r="I10" s="135">
        <f>ES!Q58+ES!Q59+ES!Q62+ES!Q61+(3*ES!Q60)+(3*ES!Q63)</f>
        <v>170</v>
      </c>
      <c r="J10" s="135">
        <f>ES!R58+ES!R59+ES!R62+ES!R61+(3*ES!R60)+(3*ES!R63)</f>
        <v>202</v>
      </c>
      <c r="K10" s="135">
        <f>ES!S58+ES!S59+ES!S62+ES!S61+(3*ES!S60)+(3*ES!S63)</f>
        <v>423</v>
      </c>
      <c r="L10" s="135">
        <f>ES!T58+ES!T59+ES!T62+ES!T61+(3*ES!T60)+(3*ES!T63)</f>
        <v>348</v>
      </c>
      <c r="M10" s="135">
        <f>ES!U58+ES!U59+ES!U62+ES!U61+(3*ES!U60)+(3*ES!U63)</f>
        <v>521</v>
      </c>
      <c r="O10" s="142"/>
    </row>
    <row r="11" spans="1:15">
      <c r="A11" t="s">
        <v>752</v>
      </c>
      <c r="B11" s="135" t="e">
        <f>#REF!+#REF!+#REF!+#REF!+(3*#REF!)+(3*#REF!)</f>
        <v>#REF!</v>
      </c>
      <c r="C11" s="135" t="e">
        <f>#REF!+#REF!+#REF!+#REF!+(3*#REF!)+(3*#REF!)</f>
        <v>#REF!</v>
      </c>
      <c r="D11" s="135" t="e">
        <f>#REF!+#REF!+#REF!+#REF!+(3*#REF!)+(3*#REF!)</f>
        <v>#REF!</v>
      </c>
      <c r="E11" s="135" t="e">
        <f>#REF!+#REF!+#REF!+#REF!+(3*#REF!)+(3*#REF!)</f>
        <v>#REF!</v>
      </c>
      <c r="F11" s="135" t="e">
        <f>#REF!+#REF!+#REF!+#REF!+(3*#REF!)+(3*#REF!)</f>
        <v>#REF!</v>
      </c>
      <c r="G11" s="135" t="e">
        <f>#REF!+#REF!+#REF!+#REF!+(3*#REF!)+(3*#REF!)</f>
        <v>#REF!</v>
      </c>
      <c r="H11" s="135" t="e">
        <f>#REF!+#REF!+#REF!+#REF!+(3*#REF!)+(3*#REF!)</f>
        <v>#REF!</v>
      </c>
      <c r="I11" s="135" t="e">
        <f>#REF!+#REF!+#REF!+#REF!+(3*#REF!)+(3*#REF!)</f>
        <v>#REF!</v>
      </c>
      <c r="J11" s="135" t="e">
        <f>#REF!+#REF!+#REF!+#REF!+(3*#REF!)+(3*#REF!)</f>
        <v>#REF!</v>
      </c>
      <c r="K11" s="135" t="e">
        <f>#REF!+#REF!+#REF!+#REF!+(3*#REF!)+(3*#REF!)</f>
        <v>#REF!</v>
      </c>
      <c r="L11" s="135" t="e">
        <f>#REF!+#REF!+#REF!+#REF!+(3*#REF!)+(3*#REF!)</f>
        <v>#REF!</v>
      </c>
      <c r="M11" s="135" t="e">
        <f>#REF!+#REF!+#REF!+#REF!+(3*#REF!)+(3*#REF!)</f>
        <v>#REF!</v>
      </c>
      <c r="O11" s="142"/>
    </row>
    <row r="12" spans="1:15">
      <c r="A12" t="s">
        <v>207</v>
      </c>
      <c r="B12" s="135" t="e">
        <f>SUM(B4:B11)</f>
        <v>#REF!</v>
      </c>
      <c r="C12" s="135" t="e">
        <f t="shared" ref="C12:M12" si="0">SUM(C4:C11)</f>
        <v>#REF!</v>
      </c>
      <c r="D12" s="135" t="e">
        <f t="shared" si="0"/>
        <v>#REF!</v>
      </c>
      <c r="E12" s="135" t="e">
        <f t="shared" si="0"/>
        <v>#REF!</v>
      </c>
      <c r="F12" s="135" t="e">
        <f t="shared" si="0"/>
        <v>#REF!</v>
      </c>
      <c r="G12" s="135" t="e">
        <f t="shared" si="0"/>
        <v>#REF!</v>
      </c>
      <c r="H12" s="135" t="e">
        <f t="shared" si="0"/>
        <v>#REF!</v>
      </c>
      <c r="I12" s="135" t="e">
        <f t="shared" si="0"/>
        <v>#REF!</v>
      </c>
      <c r="J12" s="135" t="e">
        <f t="shared" si="0"/>
        <v>#REF!</v>
      </c>
      <c r="K12" s="135" t="e">
        <f t="shared" si="0"/>
        <v>#REF!</v>
      </c>
      <c r="L12" s="135" t="e">
        <f t="shared" si="0"/>
        <v>#REF!</v>
      </c>
      <c r="M12" s="135" t="e">
        <f t="shared" si="0"/>
        <v>#REF!</v>
      </c>
      <c r="O12" s="142"/>
    </row>
    <row r="13" spans="1:15">
      <c r="A13" s="134" t="s">
        <v>180</v>
      </c>
      <c r="B13" s="137">
        <v>1825</v>
      </c>
      <c r="C13" s="137">
        <v>1118</v>
      </c>
      <c r="D13" s="134"/>
      <c r="E13" s="134"/>
      <c r="F13" s="134"/>
      <c r="G13" s="134"/>
      <c r="H13" s="134"/>
      <c r="I13" s="134"/>
      <c r="J13" s="134"/>
      <c r="K13" s="134"/>
      <c r="L13" s="134"/>
      <c r="M13" s="134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C6294-D752-4EB9-BE38-EF703B338DD5}">
  <sheetPr codeName="Sheet25"/>
  <dimension ref="A1"/>
  <sheetViews>
    <sheetView showGridLines="0" workbookViewId="0">
      <selection activeCell="N35" sqref="N35"/>
    </sheetView>
  </sheetViews>
  <sheetFormatPr baseColWidth="10" defaultColWidth="8.83203125" defaultRowHeight="15"/>
  <sheetData/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6C903-3E9C-4309-94D0-EBB9F348C16B}">
  <sheetPr codeName="Sheet26"/>
  <dimension ref="B1:XEZ497"/>
  <sheetViews>
    <sheetView showGridLines="0" zoomScale="110" zoomScaleNormal="180" workbookViewId="0">
      <pane xSplit="3" ySplit="3" topLeftCell="D8" activePane="bottomRight" state="frozen"/>
      <selection pane="topRight" activeCell="D1" sqref="D1"/>
      <selection pane="bottomLeft" activeCell="A4" sqref="A4"/>
      <selection pane="bottomRight" activeCell="R36" sqref="R36"/>
    </sheetView>
  </sheetViews>
  <sheetFormatPr baseColWidth="10" defaultColWidth="8.5" defaultRowHeight="11" outlineLevelRow="3" outlineLevelCol="1"/>
  <cols>
    <col min="1" max="1" width="6" style="283" customWidth="1"/>
    <col min="2" max="2" width="4.1640625" style="282" customWidth="1"/>
    <col min="3" max="3" width="30.83203125" style="283" customWidth="1"/>
    <col min="4" max="4" width="10.5" style="283" customWidth="1"/>
    <col min="5" max="6" width="6.5" style="283" customWidth="1" outlineLevel="1"/>
    <col min="7" max="8" width="7.1640625" style="283" customWidth="1" outlineLevel="1"/>
    <col min="9" max="9" width="6.5" style="283" customWidth="1" outlineLevel="1"/>
    <col min="10" max="12" width="7.1640625" style="283" customWidth="1" outlineLevel="1"/>
    <col min="13" max="16" width="7.5" style="283" customWidth="1"/>
    <col min="17" max="28" width="7.5" style="283" bestFit="1" customWidth="1"/>
    <col min="29" max="29" width="7.5" style="283" bestFit="1" customWidth="1" outlineLevel="1"/>
    <col min="30" max="33" width="9" style="283" bestFit="1" customWidth="1" outlineLevel="1"/>
    <col min="34" max="34" width="7.5" style="283" bestFit="1" customWidth="1" outlineLevel="1"/>
    <col min="35" max="35" width="9" style="283" bestFit="1" customWidth="1" outlineLevel="1"/>
    <col min="36" max="36" width="7.5" style="283" bestFit="1" customWidth="1" outlineLevel="1"/>
    <col min="37" max="40" width="9" style="283" bestFit="1" customWidth="1" outlineLevel="1"/>
    <col min="41" max="16384" width="8.5" style="283"/>
  </cols>
  <sheetData>
    <row r="1" spans="2:40" s="7" customFormat="1">
      <c r="B1" s="235"/>
      <c r="E1" s="217" t="s">
        <v>180</v>
      </c>
      <c r="F1" s="217" t="s">
        <v>180</v>
      </c>
      <c r="G1" s="217" t="s">
        <v>180</v>
      </c>
      <c r="H1" s="217" t="s">
        <v>180</v>
      </c>
      <c r="I1" s="217" t="s">
        <v>180</v>
      </c>
      <c r="J1" s="217" t="s">
        <v>180</v>
      </c>
      <c r="K1" s="217" t="s">
        <v>180</v>
      </c>
      <c r="L1" s="217" t="s">
        <v>180</v>
      </c>
      <c r="M1" s="7" t="s">
        <v>42</v>
      </c>
      <c r="N1" s="7" t="s">
        <v>42</v>
      </c>
      <c r="O1" s="7" t="s">
        <v>42</v>
      </c>
      <c r="P1" s="7" t="s">
        <v>42</v>
      </c>
      <c r="Q1" s="7" t="s">
        <v>42</v>
      </c>
      <c r="R1" s="7" t="s">
        <v>42</v>
      </c>
      <c r="S1" s="7" t="s">
        <v>42</v>
      </c>
      <c r="T1" s="7" t="s">
        <v>42</v>
      </c>
      <c r="U1" s="7" t="s">
        <v>42</v>
      </c>
      <c r="V1" s="7" t="s">
        <v>42</v>
      </c>
      <c r="W1" s="7" t="s">
        <v>42</v>
      </c>
      <c r="X1" s="7" t="s">
        <v>42</v>
      </c>
      <c r="Y1" s="7" t="s">
        <v>42</v>
      </c>
      <c r="Z1" s="7" t="s">
        <v>42</v>
      </c>
      <c r="AA1" s="7" t="s">
        <v>42</v>
      </c>
      <c r="AB1" s="7" t="s">
        <v>42</v>
      </c>
      <c r="AC1" s="7" t="s">
        <v>42</v>
      </c>
      <c r="AD1" s="7" t="s">
        <v>42</v>
      </c>
      <c r="AE1" s="7" t="s">
        <v>42</v>
      </c>
      <c r="AF1" s="7" t="s">
        <v>42</v>
      </c>
      <c r="AG1" s="7" t="s">
        <v>42</v>
      </c>
      <c r="AH1" s="7" t="s">
        <v>42</v>
      </c>
      <c r="AI1" s="7" t="s">
        <v>42</v>
      </c>
      <c r="AJ1" s="7" t="s">
        <v>42</v>
      </c>
      <c r="AK1" s="7" t="s">
        <v>42</v>
      </c>
      <c r="AL1" s="7" t="s">
        <v>42</v>
      </c>
      <c r="AM1" s="7" t="s">
        <v>42</v>
      </c>
      <c r="AN1" s="7" t="s">
        <v>42</v>
      </c>
    </row>
    <row r="2" spans="2:40" s="7" customFormat="1">
      <c r="B2" s="235"/>
      <c r="E2" s="218">
        <v>45689</v>
      </c>
      <c r="F2" s="218">
        <v>45717</v>
      </c>
      <c r="G2" s="218">
        <v>45748</v>
      </c>
      <c r="H2" s="218">
        <v>45778</v>
      </c>
      <c r="I2" s="218">
        <v>45809</v>
      </c>
      <c r="J2" s="218">
        <v>45839</v>
      </c>
      <c r="K2" s="218">
        <v>45870</v>
      </c>
      <c r="L2" s="218">
        <v>45901</v>
      </c>
      <c r="M2" s="195">
        <v>45931</v>
      </c>
      <c r="N2" s="195">
        <v>45962</v>
      </c>
      <c r="O2" s="195">
        <v>45992</v>
      </c>
      <c r="P2" s="195">
        <v>46023</v>
      </c>
      <c r="Q2" s="319">
        <v>46054</v>
      </c>
      <c r="R2" s="319">
        <v>46082</v>
      </c>
      <c r="S2" s="319">
        <v>46113</v>
      </c>
      <c r="T2" s="319">
        <v>46143</v>
      </c>
      <c r="U2" s="319">
        <v>46174</v>
      </c>
      <c r="V2" s="319">
        <v>46204</v>
      </c>
      <c r="W2" s="319">
        <v>46235</v>
      </c>
      <c r="X2" s="319">
        <v>46266</v>
      </c>
      <c r="Y2" s="319">
        <v>46296</v>
      </c>
      <c r="Z2" s="319">
        <v>46327</v>
      </c>
      <c r="AA2" s="319">
        <v>46357</v>
      </c>
      <c r="AB2" s="319">
        <v>46388</v>
      </c>
      <c r="AC2" s="195">
        <v>46419</v>
      </c>
      <c r="AD2" s="195">
        <v>46447</v>
      </c>
      <c r="AE2" s="195">
        <v>46478</v>
      </c>
      <c r="AF2" s="195">
        <v>46508</v>
      </c>
      <c r="AG2" s="195">
        <v>46539</v>
      </c>
      <c r="AH2" s="195">
        <v>46569</v>
      </c>
      <c r="AI2" s="195">
        <v>46600</v>
      </c>
      <c r="AJ2" s="195">
        <v>46631</v>
      </c>
      <c r="AK2" s="195">
        <v>46661</v>
      </c>
      <c r="AL2" s="195">
        <v>46692</v>
      </c>
      <c r="AM2" s="195">
        <v>46722</v>
      </c>
      <c r="AN2" s="195">
        <v>46753</v>
      </c>
    </row>
    <row r="3" spans="2:40" s="7" customFormat="1">
      <c r="B3" s="235" t="s">
        <v>686</v>
      </c>
      <c r="E3" s="219" t="s">
        <v>753</v>
      </c>
      <c r="F3" s="219" t="s">
        <v>754</v>
      </c>
      <c r="G3" s="219" t="s">
        <v>755</v>
      </c>
      <c r="H3" s="219" t="s">
        <v>756</v>
      </c>
      <c r="I3" s="219" t="s">
        <v>757</v>
      </c>
      <c r="J3" s="219" t="s">
        <v>758</v>
      </c>
      <c r="K3" s="219" t="s">
        <v>759</v>
      </c>
      <c r="L3" s="219" t="s">
        <v>760</v>
      </c>
      <c r="M3" s="196" t="s">
        <v>761</v>
      </c>
      <c r="N3" s="196" t="s">
        <v>762</v>
      </c>
      <c r="O3" s="196" t="s">
        <v>763</v>
      </c>
      <c r="P3" s="196" t="s">
        <v>764</v>
      </c>
      <c r="Q3" s="320" t="s">
        <v>765</v>
      </c>
      <c r="R3" s="320" t="s">
        <v>766</v>
      </c>
      <c r="S3" s="320" t="s">
        <v>767</v>
      </c>
      <c r="T3" s="320" t="s">
        <v>768</v>
      </c>
      <c r="U3" s="320" t="s">
        <v>769</v>
      </c>
      <c r="V3" s="320" t="s">
        <v>770</v>
      </c>
      <c r="W3" s="320" t="s">
        <v>771</v>
      </c>
      <c r="X3" s="320" t="s">
        <v>772</v>
      </c>
      <c r="Y3" s="320" t="s">
        <v>773</v>
      </c>
      <c r="Z3" s="320" t="s">
        <v>774</v>
      </c>
      <c r="AA3" s="320" t="s">
        <v>775</v>
      </c>
      <c r="AB3" s="320" t="s">
        <v>776</v>
      </c>
      <c r="AC3" s="196" t="s">
        <v>777</v>
      </c>
      <c r="AD3" s="196" t="s">
        <v>778</v>
      </c>
      <c r="AE3" s="196" t="s">
        <v>779</v>
      </c>
      <c r="AF3" s="196" t="s">
        <v>780</v>
      </c>
      <c r="AG3" s="196" t="s">
        <v>781</v>
      </c>
      <c r="AH3" s="196" t="s">
        <v>782</v>
      </c>
      <c r="AI3" s="196" t="s">
        <v>783</v>
      </c>
      <c r="AJ3" s="196" t="s">
        <v>784</v>
      </c>
      <c r="AK3" s="196" t="s">
        <v>785</v>
      </c>
      <c r="AL3" s="196" t="s">
        <v>786</v>
      </c>
      <c r="AM3" s="196" t="s">
        <v>787</v>
      </c>
      <c r="AN3" s="196" t="s">
        <v>788</v>
      </c>
    </row>
    <row r="4" spans="2:40">
      <c r="B4" s="282" t="s">
        <v>789</v>
      </c>
      <c r="C4" s="283" t="s">
        <v>790</v>
      </c>
      <c r="E4" s="285">
        <v>41951</v>
      </c>
      <c r="F4" s="285">
        <v>49593</v>
      </c>
      <c r="G4" s="285">
        <v>85791</v>
      </c>
      <c r="H4" s="285">
        <v>132896</v>
      </c>
      <c r="I4" s="285">
        <v>56512</v>
      </c>
      <c r="J4" s="285">
        <v>108467</v>
      </c>
      <c r="K4" s="285">
        <v>114368</v>
      </c>
      <c r="L4" s="285">
        <v>93343</v>
      </c>
      <c r="M4" s="286">
        <v>100000</v>
      </c>
      <c r="N4" s="286">
        <v>100000</v>
      </c>
      <c r="O4" s="286">
        <v>45000</v>
      </c>
      <c r="P4" s="286">
        <v>45000</v>
      </c>
      <c r="Q4" s="287">
        <f>Q5*E4</f>
        <v>50341.2</v>
      </c>
      <c r="R4" s="287">
        <f>R5*F4</f>
        <v>59511.6</v>
      </c>
      <c r="S4" s="287">
        <f t="shared" ref="S4:Z4" si="0">S5*G4</f>
        <v>68632.800000000003</v>
      </c>
      <c r="T4" s="287">
        <f t="shared" si="0"/>
        <v>86382.400000000009</v>
      </c>
      <c r="U4" s="287">
        <f t="shared" si="0"/>
        <v>56512</v>
      </c>
      <c r="V4" s="287">
        <f t="shared" si="0"/>
        <v>65080.2</v>
      </c>
      <c r="W4" s="287">
        <f t="shared" si="0"/>
        <v>68620.800000000003</v>
      </c>
      <c r="X4" s="287">
        <f t="shared" si="0"/>
        <v>56005.799999999996</v>
      </c>
      <c r="Y4" s="287">
        <f t="shared" si="0"/>
        <v>60000</v>
      </c>
      <c r="Z4" s="287">
        <f t="shared" si="0"/>
        <v>90000</v>
      </c>
      <c r="AA4" s="287">
        <f t="shared" ref="AA4" si="1">AA5*O4</f>
        <v>54000</v>
      </c>
      <c r="AB4" s="287">
        <f t="shared" ref="AB4" si="2">AB5*P4</f>
        <v>67500</v>
      </c>
      <c r="AC4" s="287">
        <f t="shared" ref="AC4" si="3">AC5*Q4</f>
        <v>55375.32</v>
      </c>
      <c r="AD4" s="287">
        <f t="shared" ref="AD4" si="4">AD5*R4</f>
        <v>65462.76</v>
      </c>
      <c r="AE4" s="287">
        <f t="shared" ref="AE4" si="5">AE5*S4</f>
        <v>75496.080000000016</v>
      </c>
      <c r="AF4" s="287">
        <f t="shared" ref="AF4" si="6">AF5*T4</f>
        <v>95020.640000000014</v>
      </c>
      <c r="AG4" s="287">
        <f t="shared" ref="AG4" si="7">AG5*U4</f>
        <v>62163.200000000004</v>
      </c>
      <c r="AH4" s="287">
        <f t="shared" ref="AH4:AI4" si="8">AH5*V4</f>
        <v>71588.22</v>
      </c>
      <c r="AI4" s="287">
        <f t="shared" si="8"/>
        <v>75482.880000000005</v>
      </c>
      <c r="AJ4" s="287">
        <f t="shared" ref="AJ4" si="9">AJ5*X4</f>
        <v>61606.38</v>
      </c>
      <c r="AK4" s="287">
        <f t="shared" ref="AK4" si="10">AK5*Y4</f>
        <v>66000</v>
      </c>
      <c r="AL4" s="287">
        <f t="shared" ref="AL4" si="11">AL5*Z4</f>
        <v>99000.000000000015</v>
      </c>
      <c r="AM4" s="287">
        <f t="shared" ref="AM4" si="12">AM5*AA4</f>
        <v>59400.000000000007</v>
      </c>
      <c r="AN4" s="287">
        <f t="shared" ref="AN4" si="13">AN5*AB4</f>
        <v>74250</v>
      </c>
    </row>
    <row r="5" spans="2:40">
      <c r="B5" s="288"/>
      <c r="C5" s="283" t="s">
        <v>791</v>
      </c>
      <c r="E5" s="285"/>
      <c r="F5" s="285"/>
      <c r="G5" s="285"/>
      <c r="H5" s="285"/>
      <c r="I5" s="285"/>
      <c r="J5" s="285"/>
      <c r="K5" s="285"/>
      <c r="L5" s="285"/>
      <c r="M5" s="289"/>
      <c r="N5" s="289"/>
      <c r="O5" s="289"/>
      <c r="P5" s="289"/>
      <c r="Q5" s="289">
        <v>1.2</v>
      </c>
      <c r="R5" s="289">
        <v>1.2</v>
      </c>
      <c r="S5" s="290">
        <v>0.8</v>
      </c>
      <c r="T5" s="289">
        <v>0.65</v>
      </c>
      <c r="U5" s="289">
        <v>1</v>
      </c>
      <c r="V5" s="289">
        <v>0.6</v>
      </c>
      <c r="W5" s="289">
        <v>0.6</v>
      </c>
      <c r="X5" s="289">
        <v>0.6</v>
      </c>
      <c r="Y5" s="289">
        <v>0.6</v>
      </c>
      <c r="Z5" s="289">
        <v>0.9</v>
      </c>
      <c r="AA5" s="289">
        <v>1.2</v>
      </c>
      <c r="AB5" s="289">
        <v>1.5</v>
      </c>
      <c r="AC5" s="289">
        <v>1.1000000000000001</v>
      </c>
      <c r="AD5" s="289">
        <v>1.1000000000000001</v>
      </c>
      <c r="AE5" s="289">
        <v>1.1000000000000001</v>
      </c>
      <c r="AF5" s="289">
        <v>1.1000000000000001</v>
      </c>
      <c r="AG5" s="289">
        <v>1.1000000000000001</v>
      </c>
      <c r="AH5" s="289">
        <v>1.1000000000000001</v>
      </c>
      <c r="AI5" s="289">
        <v>1.1000000000000001</v>
      </c>
      <c r="AJ5" s="289">
        <v>1.1000000000000001</v>
      </c>
      <c r="AK5" s="289">
        <v>1.1000000000000001</v>
      </c>
      <c r="AL5" s="289">
        <v>1.1000000000000001</v>
      </c>
      <c r="AM5" s="289">
        <v>1.1000000000000001</v>
      </c>
      <c r="AN5" s="289">
        <v>1.1000000000000001</v>
      </c>
    </row>
    <row r="6" spans="2:40">
      <c r="B6" s="282" t="s">
        <v>792</v>
      </c>
      <c r="C6" s="283" t="s">
        <v>793</v>
      </c>
      <c r="E6" s="291">
        <v>2.9499999999999998E-2</v>
      </c>
      <c r="F6" s="291">
        <v>3.1600000000000003E-2</v>
      </c>
      <c r="G6" s="291">
        <v>3.9600000000000003E-2</v>
      </c>
      <c r="H6" s="291">
        <v>4.9000000000000002E-2</v>
      </c>
      <c r="I6" s="291">
        <v>3.56E-2</v>
      </c>
      <c r="J6" s="291">
        <v>4.2200000000000001E-2</v>
      </c>
      <c r="K6" s="291">
        <v>3.2899999999999999E-2</v>
      </c>
      <c r="L6" s="291">
        <v>1.84E-2</v>
      </c>
      <c r="M6" s="292">
        <v>4.4999999999999998E-2</v>
      </c>
      <c r="N6" s="292">
        <v>4.4999999999999998E-2</v>
      </c>
      <c r="O6" s="292">
        <v>0.03</v>
      </c>
      <c r="P6" s="292">
        <v>0.02</v>
      </c>
      <c r="Q6" s="292">
        <v>2.5000000000000001E-2</v>
      </c>
      <c r="R6" s="292">
        <v>2.5000000000000001E-2</v>
      </c>
      <c r="S6" s="292">
        <v>2.5000000000000001E-2</v>
      </c>
      <c r="T6" s="292">
        <v>2.5000000000000001E-2</v>
      </c>
      <c r="U6" s="292">
        <v>2.5000000000000001E-2</v>
      </c>
      <c r="V6" s="292">
        <v>2.5000000000000001E-2</v>
      </c>
      <c r="W6" s="292">
        <v>2.5000000000000001E-2</v>
      </c>
      <c r="X6" s="292">
        <v>2.5000000000000001E-2</v>
      </c>
      <c r="Y6" s="292">
        <v>2.5000000000000001E-2</v>
      </c>
      <c r="Z6" s="292">
        <v>2.5000000000000001E-2</v>
      </c>
      <c r="AA6" s="292">
        <v>2.5000000000000001E-2</v>
      </c>
      <c r="AB6" s="292">
        <v>2.5000000000000001E-2</v>
      </c>
      <c r="AC6" s="292">
        <v>2.4E-2</v>
      </c>
      <c r="AD6" s="292">
        <v>2.5000000000000001E-2</v>
      </c>
      <c r="AE6" s="292">
        <v>2.5000000000000001E-2</v>
      </c>
      <c r="AF6" s="292">
        <v>2.5000000000000001E-2</v>
      </c>
      <c r="AG6" s="292">
        <v>2.5000000000000001E-2</v>
      </c>
      <c r="AH6" s="292">
        <v>2.5000000000000001E-2</v>
      </c>
      <c r="AI6" s="292">
        <v>2.5000000000000001E-2</v>
      </c>
      <c r="AJ6" s="292">
        <v>2.5000000000000001E-2</v>
      </c>
      <c r="AK6" s="292">
        <v>2.5000000000000001E-2</v>
      </c>
      <c r="AL6" s="292">
        <v>2.5000000000000001E-2</v>
      </c>
      <c r="AM6" s="292">
        <v>2.5000000000000001E-2</v>
      </c>
      <c r="AN6" s="292">
        <v>2.5000000000000001E-2</v>
      </c>
    </row>
    <row r="7" spans="2:40" s="7" customFormat="1">
      <c r="B7" s="235"/>
      <c r="C7" s="7" t="s">
        <v>794</v>
      </c>
      <c r="E7" s="321">
        <f t="shared" ref="E7:I7" si="14">E4*E6</f>
        <v>1237.5545</v>
      </c>
      <c r="F7" s="321">
        <f t="shared" si="14"/>
        <v>1567.1388000000002</v>
      </c>
      <c r="G7" s="321">
        <f t="shared" si="14"/>
        <v>3397.3236000000002</v>
      </c>
      <c r="H7" s="321">
        <f t="shared" si="14"/>
        <v>6511.9040000000005</v>
      </c>
      <c r="I7" s="321">
        <f t="shared" si="14"/>
        <v>2011.8271999999999</v>
      </c>
      <c r="J7" s="321">
        <f>J4*J6</f>
        <v>4577.3074000000006</v>
      </c>
      <c r="K7" s="321">
        <f t="shared" ref="K7:AN7" si="15">K4*K6</f>
        <v>3762.7071999999998</v>
      </c>
      <c r="L7" s="321">
        <f t="shared" si="15"/>
        <v>1717.5111999999999</v>
      </c>
      <c r="M7" s="322">
        <f t="shared" si="15"/>
        <v>4500</v>
      </c>
      <c r="N7" s="322">
        <f t="shared" si="15"/>
        <v>4500</v>
      </c>
      <c r="O7" s="322">
        <f t="shared" si="15"/>
        <v>1350</v>
      </c>
      <c r="P7" s="322">
        <f t="shared" si="15"/>
        <v>900</v>
      </c>
      <c r="Q7" s="322">
        <f>Q4*Q6</f>
        <v>1258.53</v>
      </c>
      <c r="R7" s="322">
        <f t="shared" si="15"/>
        <v>1487.79</v>
      </c>
      <c r="S7" s="322">
        <f t="shared" si="15"/>
        <v>1715.8200000000002</v>
      </c>
      <c r="T7" s="322">
        <f>T4*T6</f>
        <v>2159.5600000000004</v>
      </c>
      <c r="U7" s="322">
        <f t="shared" si="15"/>
        <v>1412.8000000000002</v>
      </c>
      <c r="V7" s="322">
        <f>V4*V6</f>
        <v>1627.0050000000001</v>
      </c>
      <c r="W7" s="322">
        <f t="shared" si="15"/>
        <v>1715.5200000000002</v>
      </c>
      <c r="X7" s="322">
        <f t="shared" si="15"/>
        <v>1400.145</v>
      </c>
      <c r="Y7" s="322">
        <f>Y4*Y6</f>
        <v>1500</v>
      </c>
      <c r="Z7" s="322">
        <v>1744</v>
      </c>
      <c r="AA7" s="322">
        <f t="shared" si="15"/>
        <v>1350</v>
      </c>
      <c r="AB7" s="322">
        <f t="shared" si="15"/>
        <v>1687.5</v>
      </c>
      <c r="AC7" s="322">
        <f t="shared" si="15"/>
        <v>1329.0076799999999</v>
      </c>
      <c r="AD7" s="322">
        <f t="shared" si="15"/>
        <v>1636.5690000000002</v>
      </c>
      <c r="AE7" s="322">
        <f t="shared" ref="AE7" si="16">AE4*AE6</f>
        <v>1887.4020000000005</v>
      </c>
      <c r="AF7" s="322">
        <f t="shared" si="15"/>
        <v>2375.5160000000005</v>
      </c>
      <c r="AG7" s="322">
        <f t="shared" si="15"/>
        <v>1554.0800000000002</v>
      </c>
      <c r="AH7" s="322">
        <f>AH4*AH6</f>
        <v>1789.7055</v>
      </c>
      <c r="AI7" s="322">
        <f t="shared" si="15"/>
        <v>1887.0720000000001</v>
      </c>
      <c r="AJ7" s="322">
        <f t="shared" si="15"/>
        <v>1540.1595</v>
      </c>
      <c r="AK7" s="322">
        <f>AK4*AK6</f>
        <v>1650</v>
      </c>
      <c r="AL7" s="322">
        <v>1744</v>
      </c>
      <c r="AM7" s="322">
        <f t="shared" si="15"/>
        <v>1485.0000000000002</v>
      </c>
      <c r="AN7" s="322">
        <f t="shared" si="15"/>
        <v>1856.25</v>
      </c>
    </row>
    <row r="8" spans="2:40">
      <c r="C8" s="283" t="s">
        <v>795</v>
      </c>
      <c r="E8" s="291">
        <f>E12/E13</f>
        <v>0.42744323790720634</v>
      </c>
      <c r="F8" s="291">
        <f t="shared" ref="F8:I8" si="17">F12/F13</f>
        <v>0.31431590068674065</v>
      </c>
      <c r="G8" s="291">
        <f t="shared" si="17"/>
        <v>0.42516094420600858</v>
      </c>
      <c r="H8" s="291">
        <f t="shared" si="17"/>
        <v>0.48116363636363635</v>
      </c>
      <c r="I8" s="291">
        <f t="shared" si="17"/>
        <v>0.29521410579345087</v>
      </c>
      <c r="J8" s="291">
        <v>0.29520000000000002</v>
      </c>
      <c r="K8" s="291">
        <v>0.45</v>
      </c>
      <c r="L8" s="291">
        <v>0.29520000000000002</v>
      </c>
      <c r="M8" s="292">
        <v>0.5</v>
      </c>
      <c r="N8" s="292">
        <v>0.5</v>
      </c>
      <c r="O8" s="292">
        <v>0.35</v>
      </c>
      <c r="P8" s="292">
        <v>0.35</v>
      </c>
      <c r="Q8" s="292">
        <v>0.35</v>
      </c>
      <c r="R8" s="292">
        <f>Q8*98%</f>
        <v>0.34299999999999997</v>
      </c>
      <c r="S8" s="292">
        <f t="shared" ref="S8:AB8" si="18">R8*98%</f>
        <v>0.33613999999999994</v>
      </c>
      <c r="T8" s="292">
        <f t="shared" si="18"/>
        <v>0.32941719999999991</v>
      </c>
      <c r="U8" s="292">
        <f t="shared" si="18"/>
        <v>0.32282885599999989</v>
      </c>
      <c r="V8" s="292">
        <f t="shared" si="18"/>
        <v>0.31637227887999986</v>
      </c>
      <c r="W8" s="292">
        <f t="shared" si="18"/>
        <v>0.31004483330239985</v>
      </c>
      <c r="X8" s="292">
        <f t="shared" si="18"/>
        <v>0.30384393663635184</v>
      </c>
      <c r="Y8" s="292">
        <f t="shared" si="18"/>
        <v>0.29776705790362479</v>
      </c>
      <c r="Z8" s="292">
        <f t="shared" si="18"/>
        <v>0.29181171674555229</v>
      </c>
      <c r="AA8" s="292">
        <f t="shared" si="18"/>
        <v>0.28597548241064125</v>
      </c>
      <c r="AB8" s="292">
        <f t="shared" si="18"/>
        <v>0.28025597276242842</v>
      </c>
      <c r="AC8" s="292">
        <f>AB8</f>
        <v>0.28025597276242842</v>
      </c>
      <c r="AD8" s="292">
        <f t="shared" ref="AD8:AN8" si="19">AC8</f>
        <v>0.28025597276242842</v>
      </c>
      <c r="AE8" s="292">
        <f t="shared" si="19"/>
        <v>0.28025597276242842</v>
      </c>
      <c r="AF8" s="292">
        <f t="shared" si="19"/>
        <v>0.28025597276242842</v>
      </c>
      <c r="AG8" s="292">
        <f t="shared" si="19"/>
        <v>0.28025597276242842</v>
      </c>
      <c r="AH8" s="292">
        <f t="shared" si="19"/>
        <v>0.28025597276242842</v>
      </c>
      <c r="AI8" s="292">
        <f t="shared" si="19"/>
        <v>0.28025597276242842</v>
      </c>
      <c r="AJ8" s="292">
        <f t="shared" si="19"/>
        <v>0.28025597276242842</v>
      </c>
      <c r="AK8" s="292">
        <f t="shared" si="19"/>
        <v>0.28025597276242842</v>
      </c>
      <c r="AL8" s="292">
        <f t="shared" si="19"/>
        <v>0.28025597276242842</v>
      </c>
      <c r="AM8" s="292">
        <f t="shared" si="19"/>
        <v>0.28025597276242842</v>
      </c>
      <c r="AN8" s="292">
        <f t="shared" si="19"/>
        <v>0.28025597276242842</v>
      </c>
    </row>
    <row r="9" spans="2:40" s="7" customFormat="1" ht="14.5" customHeight="1">
      <c r="B9" s="237"/>
      <c r="C9" s="7" t="s">
        <v>796</v>
      </c>
      <c r="E9" s="321">
        <v>347</v>
      </c>
      <c r="F9" s="321">
        <v>602</v>
      </c>
      <c r="G9" s="321">
        <v>1161</v>
      </c>
      <c r="H9" s="321">
        <v>2792</v>
      </c>
      <c r="I9" s="321">
        <v>851</v>
      </c>
      <c r="J9" s="321">
        <v>1581</v>
      </c>
      <c r="K9" s="321">
        <v>1292</v>
      </c>
      <c r="L9" s="321">
        <v>396</v>
      </c>
      <c r="M9" s="322">
        <f t="shared" ref="M9:P9" si="20">M58+M213+M362</f>
        <v>2178.0000000000005</v>
      </c>
      <c r="N9" s="322">
        <f t="shared" si="20"/>
        <v>2178.0000000000005</v>
      </c>
      <c r="O9" s="322">
        <f t="shared" si="20"/>
        <v>475.2</v>
      </c>
      <c r="P9" s="322">
        <f t="shared" si="20"/>
        <v>475.2</v>
      </c>
      <c r="Q9" s="322">
        <f>Q58+Q213+Q362</f>
        <v>752.4</v>
      </c>
      <c r="R9" s="322">
        <f t="shared" ref="R9:AN9" si="21">R58+R213+R362</f>
        <v>902.88000000000011</v>
      </c>
      <c r="S9" s="322">
        <f t="shared" si="21"/>
        <v>993.16800000000023</v>
      </c>
      <c r="T9" s="322">
        <f t="shared" si="21"/>
        <v>546.2424000000002</v>
      </c>
      <c r="U9" s="322">
        <f t="shared" si="21"/>
        <v>600.8666400000003</v>
      </c>
      <c r="V9" s="322">
        <f t="shared" si="21"/>
        <v>660.95330400000034</v>
      </c>
      <c r="W9" s="322">
        <f t="shared" si="21"/>
        <v>694.00096920000055</v>
      </c>
      <c r="X9" s="322">
        <f t="shared" si="21"/>
        <v>728.7010176600005</v>
      </c>
      <c r="Y9" s="322">
        <f t="shared" si="21"/>
        <v>765.13606854300042</v>
      </c>
      <c r="Z9" s="322">
        <f t="shared" si="21"/>
        <v>803.39287197015074</v>
      </c>
      <c r="AA9" s="322">
        <f t="shared" si="21"/>
        <v>843.56251556865823</v>
      </c>
      <c r="AB9" s="322">
        <f t="shared" si="21"/>
        <v>885.74064134709113</v>
      </c>
      <c r="AC9" s="322">
        <f t="shared" si="21"/>
        <v>903.45545417403309</v>
      </c>
      <c r="AD9" s="322">
        <f t="shared" si="21"/>
        <v>948.62822688273479</v>
      </c>
      <c r="AE9" s="322">
        <f t="shared" si="21"/>
        <v>996.0596382268717</v>
      </c>
      <c r="AF9" s="322">
        <f t="shared" si="21"/>
        <v>1045.8626201382153</v>
      </c>
      <c r="AG9" s="322">
        <f t="shared" si="21"/>
        <v>1098.155751145126</v>
      </c>
      <c r="AH9" s="322">
        <f t="shared" si="21"/>
        <v>1153.0635387023824</v>
      </c>
      <c r="AI9" s="322">
        <f t="shared" si="21"/>
        <v>1210.7167156375017</v>
      </c>
      <c r="AJ9" s="322">
        <f t="shared" si="21"/>
        <v>1271.2525514193769</v>
      </c>
      <c r="AK9" s="322">
        <f t="shared" si="21"/>
        <v>1334.8151789903459</v>
      </c>
      <c r="AL9" s="322">
        <f t="shared" si="21"/>
        <v>1401.555937939863</v>
      </c>
      <c r="AM9" s="322">
        <f t="shared" si="21"/>
        <v>1471.6337348368565</v>
      </c>
      <c r="AN9" s="322">
        <f t="shared" si="21"/>
        <v>1545.2154215786991</v>
      </c>
    </row>
    <row r="10" spans="2:40" s="7" customFormat="1">
      <c r="B10" s="237"/>
      <c r="C10" s="7" t="s">
        <v>797</v>
      </c>
      <c r="E10" s="321">
        <v>224</v>
      </c>
      <c r="F10" s="321">
        <v>269</v>
      </c>
      <c r="G10" s="321">
        <v>422</v>
      </c>
      <c r="H10" s="321">
        <v>325</v>
      </c>
      <c r="I10" s="321">
        <v>163</v>
      </c>
      <c r="J10" s="321">
        <v>424</v>
      </c>
      <c r="K10" s="321">
        <v>560</v>
      </c>
      <c r="L10" s="321">
        <v>583</v>
      </c>
      <c r="M10" s="322">
        <f t="shared" ref="M10:AN10" si="22">M59+M60+M214+M215+M365+M364</f>
        <v>442.42857142857099</v>
      </c>
      <c r="N10" s="322">
        <f t="shared" si="22"/>
        <v>467.15384615384573</v>
      </c>
      <c r="O10" s="322">
        <f t="shared" si="22"/>
        <v>370.05714285714282</v>
      </c>
      <c r="P10" s="322">
        <f t="shared" si="22"/>
        <v>427.2</v>
      </c>
      <c r="Q10" s="322">
        <f t="shared" si="22"/>
        <v>733.30909090909074</v>
      </c>
      <c r="R10" s="322">
        <f t="shared" si="22"/>
        <v>879.37090909090898</v>
      </c>
      <c r="S10" s="322">
        <f t="shared" si="22"/>
        <v>1059.2079999999999</v>
      </c>
      <c r="T10" s="322">
        <f t="shared" si="22"/>
        <v>1272.5644</v>
      </c>
      <c r="U10" s="322">
        <f t="shared" si="22"/>
        <v>1470.9948400000003</v>
      </c>
      <c r="V10" s="322">
        <f t="shared" si="22"/>
        <v>1617.9943240000007</v>
      </c>
      <c r="W10" s="322">
        <f t="shared" si="22"/>
        <v>1699.8440402000003</v>
      </c>
      <c r="X10" s="322">
        <f t="shared" si="22"/>
        <v>1784.0862422100001</v>
      </c>
      <c r="Y10" s="322">
        <f t="shared" si="22"/>
        <v>1873.8405543205008</v>
      </c>
      <c r="Z10" s="322">
        <f t="shared" si="22"/>
        <v>1967.2325820365259</v>
      </c>
      <c r="AA10" s="322">
        <f t="shared" si="22"/>
        <v>2065.3942111383517</v>
      </c>
      <c r="AB10" s="322">
        <f t="shared" si="22"/>
        <v>2168.4639216952696</v>
      </c>
      <c r="AC10" s="322">
        <f t="shared" si="22"/>
        <v>2332.1896826084462</v>
      </c>
      <c r="AD10" s="322">
        <f t="shared" si="22"/>
        <v>2448.5991667388685</v>
      </c>
      <c r="AE10" s="322">
        <f t="shared" ref="AE10" si="23">AE59+AE60+AE214+AE215+AE365+AE364</f>
        <v>2571.579125075812</v>
      </c>
      <c r="AF10" s="322">
        <f t="shared" si="22"/>
        <v>2699.3080813296024</v>
      </c>
      <c r="AG10" s="322">
        <f t="shared" si="22"/>
        <v>2834.9734853960822</v>
      </c>
      <c r="AH10" s="322">
        <f t="shared" ref="AH10" si="24">AH59+AH60+AH214+AH215+AH365+AH364</f>
        <v>2976.7721596658871</v>
      </c>
      <c r="AI10" s="322">
        <f t="shared" si="22"/>
        <v>3124.9107676491817</v>
      </c>
      <c r="AJ10" s="322">
        <f t="shared" si="22"/>
        <v>3281.6063060316405</v>
      </c>
      <c r="AK10" s="322">
        <f t="shared" ref="AK10:AL10" si="25">AK59+AK60+AK214+AK215+AK365+AK364</f>
        <v>3445.0866213332229</v>
      </c>
      <c r="AL10" s="322">
        <f t="shared" si="25"/>
        <v>3617.5909523998839</v>
      </c>
      <c r="AM10" s="322">
        <f t="shared" si="22"/>
        <v>3798.3705000198784</v>
      </c>
      <c r="AN10" s="322">
        <f t="shared" si="22"/>
        <v>3988.6890250208726</v>
      </c>
    </row>
    <row r="11" spans="2:40" s="7" customFormat="1">
      <c r="B11" s="237"/>
      <c r="C11" s="7" t="s">
        <v>798</v>
      </c>
      <c r="E11" s="321">
        <v>9</v>
      </c>
      <c r="F11" s="321">
        <v>427</v>
      </c>
      <c r="G11" s="321">
        <v>560</v>
      </c>
      <c r="H11" s="321">
        <v>450</v>
      </c>
      <c r="I11" s="321">
        <v>385</v>
      </c>
      <c r="J11" s="321">
        <v>391</v>
      </c>
      <c r="K11" s="321">
        <v>463</v>
      </c>
      <c r="L11" s="321">
        <v>454</v>
      </c>
      <c r="M11" s="322">
        <f>M63+M62+M217+M218+M366+M367</f>
        <v>1398.5714285714284</v>
      </c>
      <c r="N11" s="322">
        <f t="shared" ref="N11:AN11" si="26">N63+N62+N217+N218+N366+N367</f>
        <v>1371.8461538461538</v>
      </c>
      <c r="O11" s="322">
        <f t="shared" si="26"/>
        <v>1320.3428571428572</v>
      </c>
      <c r="P11" s="322">
        <f t="shared" si="26"/>
        <v>1567.1999999999998</v>
      </c>
      <c r="Q11" s="322">
        <f t="shared" si="26"/>
        <v>1547.4909090909093</v>
      </c>
      <c r="R11" s="322">
        <f t="shared" si="26"/>
        <v>1479.5890909090908</v>
      </c>
      <c r="S11" s="322">
        <f t="shared" si="26"/>
        <v>1852.4479999999999</v>
      </c>
      <c r="T11" s="322">
        <f t="shared" si="26"/>
        <v>2118.8463999999999</v>
      </c>
      <c r="U11" s="322">
        <f t="shared" si="26"/>
        <v>2159.7570399999995</v>
      </c>
      <c r="V11" s="322">
        <f t="shared" si="26"/>
        <v>2751.3327439999994</v>
      </c>
      <c r="W11" s="322">
        <f t="shared" si="26"/>
        <v>3152.5993811999997</v>
      </c>
      <c r="X11" s="322">
        <f t="shared" si="26"/>
        <v>3286.7293502599996</v>
      </c>
      <c r="Y11" s="322">
        <f t="shared" si="26"/>
        <v>3918.5158177729982</v>
      </c>
      <c r="Z11" s="322">
        <f t="shared" si="26"/>
        <v>4242.7416086616486</v>
      </c>
      <c r="AA11" s="322">
        <f t="shared" si="26"/>
        <v>4342.1786890947315</v>
      </c>
      <c r="AB11" s="322">
        <f t="shared" si="26"/>
        <v>4965.587623549467</v>
      </c>
      <c r="AC11" s="322">
        <f t="shared" si="26"/>
        <v>5236.1628935411854</v>
      </c>
      <c r="AD11" s="322">
        <f t="shared" si="26"/>
        <v>5370.071038218246</v>
      </c>
      <c r="AE11" s="322">
        <f t="shared" ref="AE11" si="27">AE63+AE62+AE217+AE218+AE366+AE367</f>
        <v>6031.0245901291573</v>
      </c>
      <c r="AF11" s="322">
        <f t="shared" si="26"/>
        <v>6381.7258196356161</v>
      </c>
      <c r="AG11" s="322">
        <f t="shared" si="26"/>
        <v>6525.862110617396</v>
      </c>
      <c r="AH11" s="322">
        <f t="shared" ref="AH11" si="28">AH63+AH62+AH217+AH218+AH366+AH367</f>
        <v>7209.1052161482658</v>
      </c>
      <c r="AI11" s="322">
        <f t="shared" si="26"/>
        <v>7537.1104769556769</v>
      </c>
      <c r="AJ11" s="322">
        <f t="shared" si="26"/>
        <v>7713.5160008034627</v>
      </c>
      <c r="AK11" s="322">
        <f t="shared" ref="AK11:AL11" si="29">AK63+AK62+AK217+AK218+AK366+AK367</f>
        <v>8436.9418008436332</v>
      </c>
      <c r="AL11" s="322">
        <f t="shared" si="29"/>
        <v>8814.9888908858156</v>
      </c>
      <c r="AM11" s="322">
        <f t="shared" si="26"/>
        <v>9052.2383354301055</v>
      </c>
      <c r="AN11" s="322">
        <f t="shared" si="26"/>
        <v>9638.2502522016111</v>
      </c>
    </row>
    <row r="12" spans="2:40" s="7" customFormat="1">
      <c r="B12" s="237"/>
      <c r="C12" s="7" t="s">
        <v>799</v>
      </c>
      <c r="E12" s="321">
        <v>433</v>
      </c>
      <c r="F12" s="321">
        <v>595</v>
      </c>
      <c r="G12" s="321">
        <v>1585</v>
      </c>
      <c r="H12" s="321">
        <v>3308</v>
      </c>
      <c r="I12" s="321">
        <v>586</v>
      </c>
      <c r="J12" s="321">
        <v>2130</v>
      </c>
      <c r="K12" s="321">
        <v>1410</v>
      </c>
      <c r="L12" s="321">
        <v>266</v>
      </c>
      <c r="M12" s="322">
        <f t="shared" ref="M12:AN12" si="30">(M7*M8)</f>
        <v>2250</v>
      </c>
      <c r="N12" s="322">
        <f t="shared" si="30"/>
        <v>2250</v>
      </c>
      <c r="O12" s="322">
        <f t="shared" si="30"/>
        <v>472.49999999999994</v>
      </c>
      <c r="P12" s="322">
        <f t="shared" si="30"/>
        <v>315</v>
      </c>
      <c r="Q12" s="322">
        <f>(Q7*Q8)</f>
        <v>440.48549999999994</v>
      </c>
      <c r="R12" s="322">
        <f t="shared" si="30"/>
        <v>510.31196999999992</v>
      </c>
      <c r="S12" s="322">
        <f t="shared" si="30"/>
        <v>576.75573479999991</v>
      </c>
      <c r="T12" s="322">
        <f t="shared" si="30"/>
        <v>711.39620843199998</v>
      </c>
      <c r="U12" s="322">
        <f t="shared" si="30"/>
        <v>456.09260775679991</v>
      </c>
      <c r="V12" s="322">
        <f t="shared" si="30"/>
        <v>514.7392795991542</v>
      </c>
      <c r="W12" s="322">
        <f t="shared" si="30"/>
        <v>531.88811242693305</v>
      </c>
      <c r="X12" s="322">
        <f t="shared" si="30"/>
        <v>425.42556866170486</v>
      </c>
      <c r="Y12" s="322">
        <f t="shared" si="30"/>
        <v>446.65058685543715</v>
      </c>
      <c r="Z12" s="322">
        <f t="shared" si="30"/>
        <v>508.91963400424316</v>
      </c>
      <c r="AA12" s="322">
        <f t="shared" si="30"/>
        <v>386.06690125436569</v>
      </c>
      <c r="AB12" s="322">
        <f t="shared" si="30"/>
        <v>472.93195403659797</v>
      </c>
      <c r="AC12" s="322">
        <f t="shared" si="30"/>
        <v>372.46234016713817</v>
      </c>
      <c r="AD12" s="322">
        <f t="shared" si="30"/>
        <v>458.65823708783478</v>
      </c>
      <c r="AE12" s="322">
        <f t="shared" ref="AE12" si="31">(AE7*AE8)</f>
        <v>528.95568350375311</v>
      </c>
      <c r="AF12" s="322">
        <f t="shared" si="30"/>
        <v>665.75254739271304</v>
      </c>
      <c r="AG12" s="322">
        <f t="shared" si="30"/>
        <v>435.5402021506348</v>
      </c>
      <c r="AH12" s="322">
        <f t="shared" ref="AH12" si="32">(AH7*AH8)</f>
        <v>501.57565586076834</v>
      </c>
      <c r="AI12" s="322">
        <f t="shared" si="30"/>
        <v>528.86319903274136</v>
      </c>
      <c r="AJ12" s="322">
        <f t="shared" si="30"/>
        <v>431.63889888179534</v>
      </c>
      <c r="AK12" s="322">
        <f t="shared" ref="AK12:AL12" si="33">(AK7*AK8)</f>
        <v>462.42235505800687</v>
      </c>
      <c r="AL12" s="322">
        <f t="shared" si="33"/>
        <v>488.76641649767515</v>
      </c>
      <c r="AM12" s="322">
        <f t="shared" si="30"/>
        <v>416.18011955220629</v>
      </c>
      <c r="AN12" s="322">
        <f t="shared" si="30"/>
        <v>520.22514944025772</v>
      </c>
    </row>
    <row r="13" spans="2:40" s="7" customFormat="1">
      <c r="B13" s="237" t="s">
        <v>800</v>
      </c>
      <c r="C13" s="7" t="s">
        <v>801</v>
      </c>
      <c r="E13" s="323">
        <f>SUM(E9:E12)</f>
        <v>1013</v>
      </c>
      <c r="F13" s="323">
        <f t="shared" ref="F13:I13" si="34">SUM(F9:F12)</f>
        <v>1893</v>
      </c>
      <c r="G13" s="323">
        <f t="shared" si="34"/>
        <v>3728</v>
      </c>
      <c r="H13" s="323">
        <f t="shared" si="34"/>
        <v>6875</v>
      </c>
      <c r="I13" s="323">
        <f t="shared" si="34"/>
        <v>1985</v>
      </c>
      <c r="J13" s="323">
        <f t="shared" ref="J13:K13" si="35">SUM(J9:J12)</f>
        <v>4526</v>
      </c>
      <c r="K13" s="323">
        <f t="shared" si="35"/>
        <v>3725</v>
      </c>
      <c r="L13" s="323">
        <f>SUM(L9:L12)</f>
        <v>1699</v>
      </c>
      <c r="M13" s="324">
        <f t="shared" ref="M13" si="36">SUM(M9:M12)</f>
        <v>6269</v>
      </c>
      <c r="N13" s="324">
        <f t="shared" ref="N13" si="37">SUM(N9:N12)</f>
        <v>6267</v>
      </c>
      <c r="O13" s="324">
        <f t="shared" ref="O13" si="38">SUM(O9:O12)</f>
        <v>2638.1</v>
      </c>
      <c r="P13" s="324">
        <f t="shared" ref="P13" si="39">SUM(P9:P12)</f>
        <v>2784.6</v>
      </c>
      <c r="Q13" s="324">
        <f>SUM(Q9:Q12)</f>
        <v>3473.6854999999996</v>
      </c>
      <c r="R13" s="324">
        <f t="shared" ref="R13" si="40">SUM(R9:R12)</f>
        <v>3772.1519699999999</v>
      </c>
      <c r="S13" s="325">
        <f>SUM(S9:S12)</f>
        <v>4481.5797347999996</v>
      </c>
      <c r="T13" s="324">
        <f t="shared" ref="T13" si="41">SUM(T9:T12)</f>
        <v>4649.0494084319998</v>
      </c>
      <c r="U13" s="324">
        <f t="shared" ref="U13" si="42">SUM(U9:U12)</f>
        <v>4687.7111277568001</v>
      </c>
      <c r="V13" s="324">
        <f>SUM(V9:V12)</f>
        <v>5545.0196515991547</v>
      </c>
      <c r="W13" s="324">
        <f t="shared" ref="W13" si="43">SUM(W9:W12)</f>
        <v>6078.3325030269334</v>
      </c>
      <c r="X13" s="324">
        <f t="shared" ref="X13" si="44">SUM(X9:X12)</f>
        <v>6224.9421787917054</v>
      </c>
      <c r="Y13" s="324">
        <f>SUM(Y9:Y12)</f>
        <v>7004.1430274919358</v>
      </c>
      <c r="Z13" s="324">
        <v>1409.9704575187347</v>
      </c>
      <c r="AA13" s="324">
        <f t="shared" ref="AA13" si="45">SUM(AA9:AA12)</f>
        <v>7637.2023170561069</v>
      </c>
      <c r="AB13" s="324">
        <f t="shared" ref="AB13" si="46">SUM(AB9:AB12)</f>
        <v>8492.7241406284265</v>
      </c>
      <c r="AC13" s="324">
        <f t="shared" ref="AC13" si="47">SUM(AC9:AC12)</f>
        <v>8844.2703704908017</v>
      </c>
      <c r="AD13" s="324">
        <f t="shared" ref="AD13" si="48">SUM(AD9:AD12)</f>
        <v>9225.9566689276835</v>
      </c>
      <c r="AE13" s="325">
        <f>SUM(AE9:AE12)</f>
        <v>10127.619036935594</v>
      </c>
      <c r="AF13" s="324">
        <f t="shared" ref="AF13" si="49">SUM(AF9:AF12)</f>
        <v>10792.649068496146</v>
      </c>
      <c r="AG13" s="324">
        <f t="shared" ref="AG13" si="50">SUM(AG9:AG12)</f>
        <v>10894.531549309238</v>
      </c>
      <c r="AH13" s="324">
        <f>SUM(AH9:AH12)</f>
        <v>11840.516570377304</v>
      </c>
      <c r="AI13" s="324">
        <f t="shared" ref="AI13" si="51">SUM(AI9:AI12)</f>
        <v>12401.601159275102</v>
      </c>
      <c r="AJ13" s="324">
        <f t="shared" ref="AJ13" si="52">SUM(AJ9:AJ12)</f>
        <v>12698.013757136276</v>
      </c>
      <c r="AK13" s="324">
        <f>SUM(AK9:AK12)</f>
        <v>13679.265956225208</v>
      </c>
      <c r="AL13" s="324">
        <v>1409.9704575187347</v>
      </c>
      <c r="AM13" s="324">
        <f t="shared" ref="AM13" si="53">SUM(AM9:AM12)</f>
        <v>14738.422689839046</v>
      </c>
      <c r="AN13" s="324">
        <f t="shared" ref="AN13" si="54">SUM(AN9:AN12)</f>
        <v>15692.37984824144</v>
      </c>
    </row>
    <row r="14" spans="2:40" s="7" customFormat="1">
      <c r="B14" s="235"/>
      <c r="E14" s="217"/>
      <c r="F14" s="217"/>
      <c r="G14" s="217"/>
      <c r="H14" s="217"/>
      <c r="I14" s="217"/>
      <c r="J14" s="217"/>
      <c r="K14" s="217"/>
      <c r="L14" s="217"/>
    </row>
    <row r="15" spans="2:40">
      <c r="B15" s="288" t="s">
        <v>802</v>
      </c>
      <c r="C15" s="283" t="s">
        <v>803</v>
      </c>
      <c r="E15" s="296">
        <v>49.53</v>
      </c>
      <c r="F15" s="296">
        <v>46.48</v>
      </c>
      <c r="G15" s="296">
        <v>47.13</v>
      </c>
      <c r="H15" s="296">
        <v>46.86</v>
      </c>
      <c r="I15" s="296">
        <v>46.51</v>
      </c>
      <c r="J15" s="296">
        <v>43.86</v>
      </c>
      <c r="K15" s="296">
        <v>45.62</v>
      </c>
      <c r="L15" s="296">
        <v>51.84</v>
      </c>
      <c r="M15" s="297">
        <v>46</v>
      </c>
      <c r="N15" s="297">
        <f t="shared" ref="N15" si="55">M15</f>
        <v>46</v>
      </c>
      <c r="O15" s="297">
        <f t="shared" ref="O15" si="56">N15</f>
        <v>46</v>
      </c>
      <c r="P15" s="297">
        <f t="shared" ref="P15" si="57">O15</f>
        <v>46</v>
      </c>
      <c r="Q15" s="297">
        <f>P15</f>
        <v>46</v>
      </c>
      <c r="R15" s="297">
        <f t="shared" ref="R15:AN15" si="58">Q15</f>
        <v>46</v>
      </c>
      <c r="S15" s="297">
        <f t="shared" si="58"/>
        <v>46</v>
      </c>
      <c r="T15" s="297">
        <f t="shared" si="58"/>
        <v>46</v>
      </c>
      <c r="U15" s="297">
        <f t="shared" si="58"/>
        <v>46</v>
      </c>
      <c r="V15" s="297">
        <f t="shared" si="58"/>
        <v>46</v>
      </c>
      <c r="W15" s="297">
        <f t="shared" si="58"/>
        <v>46</v>
      </c>
      <c r="X15" s="297">
        <f t="shared" si="58"/>
        <v>46</v>
      </c>
      <c r="Y15" s="297">
        <f t="shared" si="58"/>
        <v>46</v>
      </c>
      <c r="Z15" s="297">
        <f t="shared" si="58"/>
        <v>46</v>
      </c>
      <c r="AA15" s="297">
        <f t="shared" si="58"/>
        <v>46</v>
      </c>
      <c r="AB15" s="297">
        <f t="shared" si="58"/>
        <v>46</v>
      </c>
      <c r="AC15" s="297">
        <f t="shared" si="58"/>
        <v>46</v>
      </c>
      <c r="AD15" s="297">
        <f t="shared" si="58"/>
        <v>46</v>
      </c>
      <c r="AE15" s="297">
        <f t="shared" si="58"/>
        <v>46</v>
      </c>
      <c r="AF15" s="297">
        <f t="shared" si="58"/>
        <v>46</v>
      </c>
      <c r="AG15" s="297">
        <f t="shared" si="58"/>
        <v>46</v>
      </c>
      <c r="AH15" s="297">
        <f t="shared" si="58"/>
        <v>46</v>
      </c>
      <c r="AI15" s="297">
        <f t="shared" si="58"/>
        <v>46</v>
      </c>
      <c r="AJ15" s="297">
        <f t="shared" si="58"/>
        <v>46</v>
      </c>
      <c r="AK15" s="297">
        <f t="shared" si="58"/>
        <v>46</v>
      </c>
      <c r="AL15" s="297">
        <f t="shared" si="58"/>
        <v>46</v>
      </c>
      <c r="AM15" s="297">
        <f t="shared" si="58"/>
        <v>46</v>
      </c>
      <c r="AN15" s="297">
        <f t="shared" si="58"/>
        <v>46</v>
      </c>
    </row>
    <row r="16" spans="2:40" s="7" customFormat="1">
      <c r="B16" s="235"/>
      <c r="C16" s="7" t="s">
        <v>804</v>
      </c>
      <c r="E16" s="321">
        <f t="shared" ref="E16:AN16" si="59">E15*E12</f>
        <v>21446.49</v>
      </c>
      <c r="F16" s="321">
        <f t="shared" si="59"/>
        <v>27655.599999999999</v>
      </c>
      <c r="G16" s="321">
        <f t="shared" si="59"/>
        <v>74701.05</v>
      </c>
      <c r="H16" s="321">
        <f t="shared" si="59"/>
        <v>155012.88</v>
      </c>
      <c r="I16" s="321">
        <f t="shared" si="59"/>
        <v>27254.86</v>
      </c>
      <c r="J16" s="321">
        <f>J15*J12</f>
        <v>93421.8</v>
      </c>
      <c r="K16" s="321">
        <f t="shared" si="59"/>
        <v>64324.2</v>
      </c>
      <c r="L16" s="321">
        <f t="shared" si="59"/>
        <v>13789.44</v>
      </c>
      <c r="M16" s="322">
        <f t="shared" si="59"/>
        <v>103500</v>
      </c>
      <c r="N16" s="322">
        <f t="shared" si="59"/>
        <v>103500</v>
      </c>
      <c r="O16" s="322">
        <f t="shared" si="59"/>
        <v>21734.999999999996</v>
      </c>
      <c r="P16" s="322">
        <f t="shared" si="59"/>
        <v>14490</v>
      </c>
      <c r="Q16" s="322">
        <f t="shared" si="59"/>
        <v>20262.332999999999</v>
      </c>
      <c r="R16" s="322">
        <f t="shared" si="59"/>
        <v>23474.350619999997</v>
      </c>
      <c r="S16" s="322">
        <f t="shared" si="59"/>
        <v>26530.763800799996</v>
      </c>
      <c r="T16" s="322">
        <f t="shared" si="59"/>
        <v>32724.225587871999</v>
      </c>
      <c r="U16" s="322">
        <f t="shared" si="59"/>
        <v>20980.259956812795</v>
      </c>
      <c r="V16" s="322">
        <f>V15*V12</f>
        <v>23678.006861561094</v>
      </c>
      <c r="W16" s="322">
        <f t="shared" si="59"/>
        <v>24466.853171638919</v>
      </c>
      <c r="X16" s="322">
        <f t="shared" si="59"/>
        <v>19569.576158438424</v>
      </c>
      <c r="Y16" s="322">
        <f>Y15*Y12</f>
        <v>20545.92699535011</v>
      </c>
      <c r="Z16" s="322">
        <v>27936.818300749397</v>
      </c>
      <c r="AA16" s="322">
        <f t="shared" si="59"/>
        <v>17759.077457700823</v>
      </c>
      <c r="AB16" s="322">
        <f t="shared" si="59"/>
        <v>21754.869885683507</v>
      </c>
      <c r="AC16" s="322">
        <f t="shared" si="59"/>
        <v>17133.267647688357</v>
      </c>
      <c r="AD16" s="322">
        <f t="shared" si="59"/>
        <v>21098.278906040399</v>
      </c>
      <c r="AE16" s="322">
        <f t="shared" ref="AE16" si="60">AE15*AE12</f>
        <v>24331.961441172643</v>
      </c>
      <c r="AF16" s="322">
        <f t="shared" si="59"/>
        <v>30624.617180064801</v>
      </c>
      <c r="AG16" s="322">
        <f t="shared" si="59"/>
        <v>20034.849298929199</v>
      </c>
      <c r="AH16" s="322">
        <f>AH15*AH12</f>
        <v>23072.480169595343</v>
      </c>
      <c r="AI16" s="322">
        <f t="shared" si="59"/>
        <v>24327.707155506101</v>
      </c>
      <c r="AJ16" s="322">
        <f t="shared" si="59"/>
        <v>19855.389348562585</v>
      </c>
      <c r="AK16" s="322">
        <f>AK15*AK12</f>
        <v>21271.428332668314</v>
      </c>
      <c r="AL16" s="322">
        <v>27936.818300749397</v>
      </c>
      <c r="AM16" s="322">
        <f t="shared" si="59"/>
        <v>19144.285499401489</v>
      </c>
      <c r="AN16" s="322">
        <f t="shared" si="59"/>
        <v>23930.356874251855</v>
      </c>
    </row>
    <row r="17" spans="2:40">
      <c r="B17" s="298"/>
      <c r="C17" s="283" t="s">
        <v>805</v>
      </c>
      <c r="E17" s="296">
        <v>42.11</v>
      </c>
      <c r="F17" s="296">
        <v>49.81</v>
      </c>
      <c r="G17" s="296">
        <v>52.1</v>
      </c>
      <c r="H17" s="296">
        <v>48.02</v>
      </c>
      <c r="I17" s="296">
        <v>47.26</v>
      </c>
      <c r="J17" s="296">
        <v>49.53</v>
      </c>
      <c r="K17" s="296">
        <v>47.94</v>
      </c>
      <c r="L17" s="296">
        <v>51.82</v>
      </c>
      <c r="M17" s="297">
        <v>52</v>
      </c>
      <c r="N17" s="297">
        <v>53</v>
      </c>
      <c r="O17" s="297">
        <v>54</v>
      </c>
      <c r="P17" s="297">
        <v>55</v>
      </c>
      <c r="Q17" s="297">
        <v>65</v>
      </c>
      <c r="R17" s="297">
        <f t="shared" ref="R17" si="61">Q17</f>
        <v>65</v>
      </c>
      <c r="S17" s="297">
        <f>R17+1</f>
        <v>66</v>
      </c>
      <c r="T17" s="297">
        <f t="shared" ref="T17:AF17" si="62">S17+1</f>
        <v>67</v>
      </c>
      <c r="U17" s="297">
        <f t="shared" si="62"/>
        <v>68</v>
      </c>
      <c r="V17" s="297">
        <f t="shared" si="62"/>
        <v>69</v>
      </c>
      <c r="W17" s="297">
        <f t="shared" si="62"/>
        <v>70</v>
      </c>
      <c r="X17" s="297">
        <f t="shared" si="62"/>
        <v>71</v>
      </c>
      <c r="Y17" s="297">
        <f t="shared" si="62"/>
        <v>72</v>
      </c>
      <c r="Z17" s="297">
        <f t="shared" si="62"/>
        <v>73</v>
      </c>
      <c r="AA17" s="297">
        <f t="shared" si="62"/>
        <v>74</v>
      </c>
      <c r="AB17" s="297">
        <f t="shared" si="62"/>
        <v>75</v>
      </c>
      <c r="AC17" s="297">
        <f t="shared" si="62"/>
        <v>76</v>
      </c>
      <c r="AD17" s="297">
        <f t="shared" si="62"/>
        <v>77</v>
      </c>
      <c r="AE17" s="297">
        <f t="shared" si="62"/>
        <v>78</v>
      </c>
      <c r="AF17" s="297">
        <f t="shared" si="62"/>
        <v>79</v>
      </c>
      <c r="AG17" s="297">
        <f>AF17</f>
        <v>79</v>
      </c>
      <c r="AH17" s="297">
        <f t="shared" ref="AH17:AN17" si="63">AG17</f>
        <v>79</v>
      </c>
      <c r="AI17" s="297">
        <f t="shared" si="63"/>
        <v>79</v>
      </c>
      <c r="AJ17" s="297">
        <f t="shared" si="63"/>
        <v>79</v>
      </c>
      <c r="AK17" s="297">
        <f t="shared" si="63"/>
        <v>79</v>
      </c>
      <c r="AL17" s="297">
        <f t="shared" si="63"/>
        <v>79</v>
      </c>
      <c r="AM17" s="297">
        <f t="shared" si="63"/>
        <v>79</v>
      </c>
      <c r="AN17" s="297">
        <f t="shared" si="63"/>
        <v>79</v>
      </c>
    </row>
    <row r="18" spans="2:40" s="7" customFormat="1">
      <c r="B18" s="235"/>
      <c r="C18" s="7" t="s">
        <v>806</v>
      </c>
      <c r="E18" s="321">
        <f t="shared" ref="E18:AN18" si="64">E11*E17</f>
        <v>378.99</v>
      </c>
      <c r="F18" s="321">
        <f t="shared" si="64"/>
        <v>21268.870000000003</v>
      </c>
      <c r="G18" s="321">
        <f t="shared" si="64"/>
        <v>29176</v>
      </c>
      <c r="H18" s="321">
        <f t="shared" si="64"/>
        <v>21609</v>
      </c>
      <c r="I18" s="321">
        <f t="shared" si="64"/>
        <v>18195.099999999999</v>
      </c>
      <c r="J18" s="321">
        <f>J11*J17</f>
        <v>19366.23</v>
      </c>
      <c r="K18" s="321">
        <f t="shared" si="64"/>
        <v>22196.219999999998</v>
      </c>
      <c r="L18" s="321">
        <f t="shared" si="64"/>
        <v>23526.28</v>
      </c>
      <c r="M18" s="322">
        <f>M11*M17</f>
        <v>72725.714285714275</v>
      </c>
      <c r="N18" s="322">
        <f t="shared" si="64"/>
        <v>72707.846153846156</v>
      </c>
      <c r="O18" s="322">
        <f t="shared" si="64"/>
        <v>71298.514285714293</v>
      </c>
      <c r="P18" s="322">
        <f t="shared" si="64"/>
        <v>86195.999999999985</v>
      </c>
      <c r="Q18" s="322">
        <f t="shared" si="64"/>
        <v>100586.9090909091</v>
      </c>
      <c r="R18" s="322">
        <f t="shared" si="64"/>
        <v>96173.290909090909</v>
      </c>
      <c r="S18" s="322">
        <f t="shared" ref="S18" si="65">S11*S15</f>
        <v>85212.607999999993</v>
      </c>
      <c r="T18" s="322">
        <f t="shared" si="64"/>
        <v>141962.70879999999</v>
      </c>
      <c r="U18" s="322">
        <f t="shared" si="64"/>
        <v>146863.47871999996</v>
      </c>
      <c r="V18" s="322">
        <f t="shared" si="64"/>
        <v>189841.95933599997</v>
      </c>
      <c r="W18" s="322">
        <f t="shared" si="64"/>
        <v>220681.95668399998</v>
      </c>
      <c r="X18" s="322">
        <f t="shared" si="64"/>
        <v>233357.78386845998</v>
      </c>
      <c r="Y18" s="322">
        <f t="shared" si="64"/>
        <v>282133.13887965586</v>
      </c>
      <c r="Z18" s="322">
        <f t="shared" si="64"/>
        <v>309720.13743230037</v>
      </c>
      <c r="AA18" s="322">
        <f t="shared" si="64"/>
        <v>321321.22299301013</v>
      </c>
      <c r="AB18" s="322">
        <f t="shared" si="64"/>
        <v>372419.07176621002</v>
      </c>
      <c r="AC18" s="322">
        <f t="shared" si="64"/>
        <v>397948.3799091301</v>
      </c>
      <c r="AD18" s="322">
        <f t="shared" si="64"/>
        <v>413495.46994280495</v>
      </c>
      <c r="AE18" s="322">
        <f t="shared" si="64"/>
        <v>470419.91803007427</v>
      </c>
      <c r="AF18" s="322">
        <f t="shared" si="64"/>
        <v>504156.33975121367</v>
      </c>
      <c r="AG18" s="322">
        <f t="shared" si="64"/>
        <v>515543.10673877428</v>
      </c>
      <c r="AH18" s="322">
        <f t="shared" si="64"/>
        <v>569519.31207571295</v>
      </c>
      <c r="AI18" s="322">
        <f t="shared" si="64"/>
        <v>595431.72767949849</v>
      </c>
      <c r="AJ18" s="322">
        <f t="shared" si="64"/>
        <v>609367.76406347356</v>
      </c>
      <c r="AK18" s="322">
        <f t="shared" si="64"/>
        <v>666518.40226664697</v>
      </c>
      <c r="AL18" s="322">
        <f t="shared" si="64"/>
        <v>696384.12237997947</v>
      </c>
      <c r="AM18" s="322">
        <f t="shared" si="64"/>
        <v>715126.82849897828</v>
      </c>
      <c r="AN18" s="322">
        <f t="shared" si="64"/>
        <v>761421.76992392726</v>
      </c>
    </row>
    <row r="19" spans="2:40" s="7" customFormat="1">
      <c r="B19" s="235"/>
      <c r="E19" s="217"/>
      <c r="F19" s="217"/>
      <c r="G19" s="217"/>
      <c r="H19" s="217"/>
      <c r="I19" s="217"/>
      <c r="J19" s="217"/>
      <c r="K19" s="217"/>
      <c r="L19" s="217"/>
    </row>
    <row r="20" spans="2:40">
      <c r="C20" s="283" t="s">
        <v>807</v>
      </c>
      <c r="E20" s="296">
        <v>46.05</v>
      </c>
      <c r="F20" s="296">
        <v>46.5</v>
      </c>
      <c r="G20" s="296">
        <v>45.53</v>
      </c>
      <c r="H20" s="296">
        <v>47.61</v>
      </c>
      <c r="I20" s="296">
        <v>43.77</v>
      </c>
      <c r="J20" s="296">
        <v>99.14</v>
      </c>
      <c r="K20" s="296">
        <v>49.22</v>
      </c>
      <c r="L20" s="296">
        <v>50.79</v>
      </c>
      <c r="M20" s="297">
        <v>48</v>
      </c>
      <c r="N20" s="297">
        <f t="shared" ref="N20:P20" si="66">M20</f>
        <v>48</v>
      </c>
      <c r="O20" s="297">
        <f t="shared" si="66"/>
        <v>48</v>
      </c>
      <c r="P20" s="297">
        <f t="shared" si="66"/>
        <v>48</v>
      </c>
      <c r="Q20" s="297">
        <v>48</v>
      </c>
      <c r="R20" s="297">
        <v>48</v>
      </c>
      <c r="S20" s="297">
        <v>48</v>
      </c>
      <c r="T20" s="297">
        <v>48</v>
      </c>
      <c r="U20" s="297">
        <v>48</v>
      </c>
      <c r="V20" s="297">
        <v>48</v>
      </c>
      <c r="W20" s="297">
        <v>48</v>
      </c>
      <c r="X20" s="297">
        <v>48</v>
      </c>
      <c r="Y20" s="297">
        <v>48</v>
      </c>
      <c r="Z20" s="297">
        <v>48</v>
      </c>
      <c r="AA20" s="297">
        <v>48</v>
      </c>
      <c r="AB20" s="297">
        <v>48</v>
      </c>
      <c r="AC20" s="297">
        <v>48</v>
      </c>
      <c r="AD20" s="297">
        <v>48</v>
      </c>
      <c r="AE20" s="297">
        <v>48</v>
      </c>
      <c r="AF20" s="297">
        <v>48</v>
      </c>
      <c r="AG20" s="297">
        <v>48</v>
      </c>
      <c r="AH20" s="297">
        <v>48</v>
      </c>
      <c r="AI20" s="297">
        <v>48</v>
      </c>
      <c r="AJ20" s="297">
        <v>48</v>
      </c>
      <c r="AK20" s="297">
        <v>48</v>
      </c>
      <c r="AL20" s="297">
        <v>48</v>
      </c>
      <c r="AM20" s="297">
        <v>48</v>
      </c>
      <c r="AN20" s="297">
        <v>48</v>
      </c>
    </row>
    <row r="21" spans="2:40" s="7" customFormat="1">
      <c r="B21" s="235"/>
      <c r="C21" s="7" t="s">
        <v>808</v>
      </c>
      <c r="E21" s="321">
        <f t="shared" ref="E21:AN21" si="67">E20*E9</f>
        <v>15979.349999999999</v>
      </c>
      <c r="F21" s="321">
        <f t="shared" si="67"/>
        <v>27993</v>
      </c>
      <c r="G21" s="321">
        <f t="shared" si="67"/>
        <v>52860.33</v>
      </c>
      <c r="H21" s="321">
        <f t="shared" si="67"/>
        <v>132927.12</v>
      </c>
      <c r="I21" s="321">
        <f t="shared" si="67"/>
        <v>37248.270000000004</v>
      </c>
      <c r="J21" s="321">
        <f t="shared" si="67"/>
        <v>156740.34</v>
      </c>
      <c r="K21" s="321">
        <f t="shared" si="67"/>
        <v>63592.24</v>
      </c>
      <c r="L21" s="321">
        <f t="shared" si="67"/>
        <v>20112.84</v>
      </c>
      <c r="M21" s="322">
        <f t="shared" si="67"/>
        <v>104544.00000000003</v>
      </c>
      <c r="N21" s="322">
        <f t="shared" si="67"/>
        <v>104544.00000000003</v>
      </c>
      <c r="O21" s="322">
        <f t="shared" si="67"/>
        <v>22809.599999999999</v>
      </c>
      <c r="P21" s="322">
        <f t="shared" si="67"/>
        <v>22809.599999999999</v>
      </c>
      <c r="Q21" s="322">
        <f t="shared" si="67"/>
        <v>36115.199999999997</v>
      </c>
      <c r="R21" s="322">
        <f t="shared" si="67"/>
        <v>43338.240000000005</v>
      </c>
      <c r="S21" s="322">
        <f t="shared" ref="S21" si="68">S9*S20</f>
        <v>47672.064000000013</v>
      </c>
      <c r="T21" s="322">
        <f t="shared" si="67"/>
        <v>26219.635200000012</v>
      </c>
      <c r="U21" s="322">
        <f t="shared" si="67"/>
        <v>28841.598720000016</v>
      </c>
      <c r="V21" s="322">
        <f>V9*V20</f>
        <v>31725.758592000017</v>
      </c>
      <c r="W21" s="322">
        <f t="shared" si="67"/>
        <v>33312.04652160003</v>
      </c>
      <c r="X21" s="322">
        <f t="shared" si="67"/>
        <v>34977.648847680022</v>
      </c>
      <c r="Y21" s="322">
        <f>Y9*Y20</f>
        <v>36726.53129006402</v>
      </c>
      <c r="Z21" s="322">
        <f>Z9*Z20</f>
        <v>38562.857854567235</v>
      </c>
      <c r="AA21" s="322">
        <f t="shared" si="67"/>
        <v>40491.000747295591</v>
      </c>
      <c r="AB21" s="322">
        <f t="shared" si="67"/>
        <v>42515.550784660372</v>
      </c>
      <c r="AC21" s="322">
        <f t="shared" si="67"/>
        <v>43365.861800353588</v>
      </c>
      <c r="AD21" s="322">
        <f t="shared" si="67"/>
        <v>45534.154890371268</v>
      </c>
      <c r="AE21" s="322">
        <f t="shared" ref="AE21" si="69">AE9*AE20</f>
        <v>47810.86263488984</v>
      </c>
      <c r="AF21" s="322">
        <f t="shared" si="67"/>
        <v>50201.405766634336</v>
      </c>
      <c r="AG21" s="322">
        <f t="shared" si="67"/>
        <v>52711.47605496605</v>
      </c>
      <c r="AH21" s="322">
        <f>AH9*AH20</f>
        <v>55347.049857714359</v>
      </c>
      <c r="AI21" s="322">
        <f t="shared" si="67"/>
        <v>58114.402350600081</v>
      </c>
      <c r="AJ21" s="322">
        <f t="shared" si="67"/>
        <v>61020.122468130096</v>
      </c>
      <c r="AK21" s="322">
        <f>AK9*AK20</f>
        <v>64071.128591536602</v>
      </c>
      <c r="AL21" s="322">
        <f>AL9*AL20</f>
        <v>67274.68502111343</v>
      </c>
      <c r="AM21" s="322">
        <f t="shared" si="67"/>
        <v>70638.419272169122</v>
      </c>
      <c r="AN21" s="322">
        <f t="shared" si="67"/>
        <v>74170.340235777549</v>
      </c>
    </row>
    <row r="22" spans="2:40">
      <c r="C22" s="283" t="s">
        <v>809</v>
      </c>
      <c r="E22" s="296">
        <v>59.48</v>
      </c>
      <c r="F22" s="296">
        <v>55.69</v>
      </c>
      <c r="G22" s="296">
        <v>49.33</v>
      </c>
      <c r="H22" s="296">
        <v>57.08</v>
      </c>
      <c r="I22" s="296">
        <v>66.099999999999994</v>
      </c>
      <c r="J22" s="296">
        <v>47.45</v>
      </c>
      <c r="K22" s="296">
        <v>94.85</v>
      </c>
      <c r="L22" s="296">
        <v>86.68</v>
      </c>
      <c r="M22" s="297">
        <v>87</v>
      </c>
      <c r="N22" s="297">
        <f t="shared" ref="N22" si="70">M22</f>
        <v>87</v>
      </c>
      <c r="O22" s="297">
        <f t="shared" ref="O22" si="71">N22</f>
        <v>87</v>
      </c>
      <c r="P22" s="297">
        <f t="shared" ref="P22" si="72">O22</f>
        <v>87</v>
      </c>
      <c r="Q22" s="297">
        <f t="shared" ref="Q22" si="73">P22</f>
        <v>87</v>
      </c>
      <c r="R22" s="297">
        <f t="shared" ref="R22:S22" si="74">Q22</f>
        <v>87</v>
      </c>
      <c r="S22" s="297">
        <f t="shared" si="74"/>
        <v>87</v>
      </c>
      <c r="T22" s="297">
        <f t="shared" ref="T22" si="75">S22</f>
        <v>87</v>
      </c>
      <c r="U22" s="297">
        <f t="shared" ref="U22:V22" si="76">T22</f>
        <v>87</v>
      </c>
      <c r="V22" s="297">
        <f t="shared" si="76"/>
        <v>87</v>
      </c>
      <c r="W22" s="297">
        <f t="shared" ref="W22" si="77">V22</f>
        <v>87</v>
      </c>
      <c r="X22" s="297">
        <f t="shared" ref="X22:Z22" si="78">W22</f>
        <v>87</v>
      </c>
      <c r="Y22" s="297">
        <f t="shared" si="78"/>
        <v>87</v>
      </c>
      <c r="Z22" s="297">
        <f t="shared" si="78"/>
        <v>87</v>
      </c>
      <c r="AA22" s="297">
        <f t="shared" ref="AA22" si="79">Z22</f>
        <v>87</v>
      </c>
      <c r="AB22" s="297">
        <f t="shared" ref="AB22" si="80">AA22</f>
        <v>87</v>
      </c>
      <c r="AC22" s="297">
        <f t="shared" ref="AC22" si="81">AB22</f>
        <v>87</v>
      </c>
      <c r="AD22" s="297">
        <f t="shared" ref="AD22:AE22" si="82">AC22</f>
        <v>87</v>
      </c>
      <c r="AE22" s="297">
        <f t="shared" si="82"/>
        <v>87</v>
      </c>
      <c r="AF22" s="297">
        <f t="shared" ref="AF22" si="83">AE22</f>
        <v>87</v>
      </c>
      <c r="AG22" s="297">
        <f t="shared" ref="AG22:AH22" si="84">AF22</f>
        <v>87</v>
      </c>
      <c r="AH22" s="297">
        <f t="shared" si="84"/>
        <v>87</v>
      </c>
      <c r="AI22" s="297">
        <f t="shared" ref="AI22" si="85">AH22</f>
        <v>87</v>
      </c>
      <c r="AJ22" s="297">
        <f t="shared" ref="AJ22" si="86">AI22</f>
        <v>87</v>
      </c>
      <c r="AK22" s="297">
        <f t="shared" ref="AK22" si="87">AJ22</f>
        <v>87</v>
      </c>
      <c r="AL22" s="297">
        <f t="shared" ref="AL22" si="88">AK22</f>
        <v>87</v>
      </c>
      <c r="AM22" s="297">
        <f t="shared" ref="AM22" si="89">AL22</f>
        <v>87</v>
      </c>
      <c r="AN22" s="297">
        <f t="shared" ref="AN22" si="90">AM22</f>
        <v>87</v>
      </c>
    </row>
    <row r="23" spans="2:40" s="7" customFormat="1">
      <c r="B23" s="235"/>
      <c r="C23" s="7" t="s">
        <v>810</v>
      </c>
      <c r="E23" s="321">
        <f t="shared" ref="E23:AN23" si="91">E22*E10</f>
        <v>13323.519999999999</v>
      </c>
      <c r="F23" s="321">
        <f t="shared" si="91"/>
        <v>14980.609999999999</v>
      </c>
      <c r="G23" s="321">
        <f t="shared" si="91"/>
        <v>20817.259999999998</v>
      </c>
      <c r="H23" s="321">
        <f t="shared" si="91"/>
        <v>18551</v>
      </c>
      <c r="I23" s="321">
        <f t="shared" si="91"/>
        <v>10774.3</v>
      </c>
      <c r="J23" s="321">
        <f t="shared" si="91"/>
        <v>20118.800000000003</v>
      </c>
      <c r="K23" s="321">
        <f t="shared" si="91"/>
        <v>53116</v>
      </c>
      <c r="L23" s="321">
        <f t="shared" si="91"/>
        <v>50534.44</v>
      </c>
      <c r="M23" s="322">
        <f t="shared" si="91"/>
        <v>38491.285714285674</v>
      </c>
      <c r="N23" s="322">
        <f t="shared" si="91"/>
        <v>40642.384615384581</v>
      </c>
      <c r="O23" s="322">
        <f t="shared" si="91"/>
        <v>32194.971428571425</v>
      </c>
      <c r="P23" s="322">
        <f t="shared" si="91"/>
        <v>37166.400000000001</v>
      </c>
      <c r="Q23" s="322">
        <f t="shared" si="91"/>
        <v>63797.890909090893</v>
      </c>
      <c r="R23" s="322">
        <f t="shared" si="91"/>
        <v>76505.269090909074</v>
      </c>
      <c r="S23" s="322">
        <f t="shared" si="91"/>
        <v>92151.09599999999</v>
      </c>
      <c r="T23" s="322">
        <f t="shared" si="91"/>
        <v>110713.10279999999</v>
      </c>
      <c r="U23" s="322">
        <f t="shared" si="91"/>
        <v>127976.55108000002</v>
      </c>
      <c r="V23" s="322">
        <f t="shared" si="91"/>
        <v>140765.50618800006</v>
      </c>
      <c r="W23" s="322">
        <f t="shared" si="91"/>
        <v>147886.43149740002</v>
      </c>
      <c r="X23" s="322">
        <f t="shared" si="91"/>
        <v>155215.50307227002</v>
      </c>
      <c r="Y23" s="322">
        <f t="shared" si="91"/>
        <v>163024.12822588359</v>
      </c>
      <c r="Z23" s="322">
        <f t="shared" si="91"/>
        <v>171149.23463717775</v>
      </c>
      <c r="AA23" s="322">
        <f t="shared" si="91"/>
        <v>179689.2963690366</v>
      </c>
      <c r="AB23" s="322">
        <f t="shared" si="91"/>
        <v>188656.36118748845</v>
      </c>
      <c r="AC23" s="322">
        <f t="shared" si="91"/>
        <v>202900.50238693482</v>
      </c>
      <c r="AD23" s="322">
        <f t="shared" si="91"/>
        <v>213028.12750628157</v>
      </c>
      <c r="AE23" s="322">
        <f t="shared" si="91"/>
        <v>223727.38388159566</v>
      </c>
      <c r="AF23" s="322">
        <f t="shared" si="91"/>
        <v>234839.80307567542</v>
      </c>
      <c r="AG23" s="322">
        <f t="shared" si="91"/>
        <v>246642.69322945914</v>
      </c>
      <c r="AH23" s="322">
        <f t="shared" si="91"/>
        <v>258979.17789093219</v>
      </c>
      <c r="AI23" s="322">
        <f t="shared" si="91"/>
        <v>271867.23678547883</v>
      </c>
      <c r="AJ23" s="322">
        <f t="shared" si="91"/>
        <v>285499.74862475274</v>
      </c>
      <c r="AK23" s="322">
        <f t="shared" si="91"/>
        <v>299722.53605599038</v>
      </c>
      <c r="AL23" s="322">
        <f t="shared" si="91"/>
        <v>314730.4128587899</v>
      </c>
      <c r="AM23" s="322">
        <f t="shared" si="91"/>
        <v>330458.23350172944</v>
      </c>
      <c r="AN23" s="322">
        <f t="shared" si="91"/>
        <v>347015.94517681591</v>
      </c>
    </row>
    <row r="24" spans="2:40" s="7" customFormat="1">
      <c r="B24" s="235"/>
      <c r="E24" s="217"/>
      <c r="F24" s="217"/>
      <c r="G24" s="217"/>
      <c r="H24" s="217"/>
      <c r="I24" s="217"/>
      <c r="J24" s="217"/>
      <c r="K24" s="217"/>
      <c r="L24" s="217"/>
    </row>
    <row r="25" spans="2:40" s="7" customFormat="1">
      <c r="B25" s="237"/>
      <c r="C25" s="7" t="s">
        <v>87</v>
      </c>
      <c r="E25" s="227">
        <f>(E21+E16+E18+E23)</f>
        <v>51128.349999999991</v>
      </c>
      <c r="F25" s="227">
        <f t="shared" ref="F25:AN25" si="92">(F21+F16+F18+F23)</f>
        <v>91898.08</v>
      </c>
      <c r="G25" s="227">
        <f t="shared" si="92"/>
        <v>177554.64</v>
      </c>
      <c r="H25" s="227">
        <f t="shared" si="92"/>
        <v>328100</v>
      </c>
      <c r="I25" s="227">
        <f t="shared" si="92"/>
        <v>93472.530000000013</v>
      </c>
      <c r="J25" s="227">
        <f t="shared" si="92"/>
        <v>289647.17</v>
      </c>
      <c r="K25" s="227">
        <f t="shared" si="92"/>
        <v>203228.66</v>
      </c>
      <c r="L25" s="227">
        <f>(L21+L16+L18+L23)</f>
        <v>107963</v>
      </c>
      <c r="M25" s="201">
        <f t="shared" si="92"/>
        <v>319261</v>
      </c>
      <c r="N25" s="201">
        <f t="shared" si="92"/>
        <v>321394.23076923075</v>
      </c>
      <c r="O25" s="201">
        <f t="shared" si="92"/>
        <v>148038.0857142857</v>
      </c>
      <c r="P25" s="201">
        <f t="shared" si="92"/>
        <v>160661.99999999997</v>
      </c>
      <c r="Q25" s="201">
        <f t="shared" si="92"/>
        <v>220762.33300000001</v>
      </c>
      <c r="R25" s="201">
        <f t="shared" si="92"/>
        <v>239491.15062</v>
      </c>
      <c r="S25" s="201">
        <f t="shared" si="92"/>
        <v>251566.53180079997</v>
      </c>
      <c r="T25" s="201">
        <f t="shared" si="92"/>
        <v>311619.67238787201</v>
      </c>
      <c r="U25" s="201">
        <f t="shared" si="92"/>
        <v>324661.8884768128</v>
      </c>
      <c r="V25" s="201">
        <f>(V21+V16+V18+V23)</f>
        <v>386011.23097756109</v>
      </c>
      <c r="W25" s="201">
        <f t="shared" si="92"/>
        <v>426347.28787463892</v>
      </c>
      <c r="X25" s="201">
        <f t="shared" si="92"/>
        <v>443120.51194684842</v>
      </c>
      <c r="Y25" s="201">
        <f t="shared" si="92"/>
        <v>502429.72539095359</v>
      </c>
      <c r="Z25" s="201">
        <f t="shared" si="92"/>
        <v>547369.04822479479</v>
      </c>
      <c r="AA25" s="201">
        <f t="shared" si="92"/>
        <v>559260.59756704315</v>
      </c>
      <c r="AB25" s="201">
        <f t="shared" si="92"/>
        <v>625345.85362404236</v>
      </c>
      <c r="AC25" s="201">
        <f t="shared" si="92"/>
        <v>661348.01174410689</v>
      </c>
      <c r="AD25" s="201">
        <f t="shared" si="92"/>
        <v>693156.03124549822</v>
      </c>
      <c r="AE25" s="201">
        <f t="shared" ref="AE25" si="93">(AE21+AE16+AE18+AE23)</f>
        <v>766290.12598773243</v>
      </c>
      <c r="AF25" s="201">
        <f t="shared" si="92"/>
        <v>819822.16577358823</v>
      </c>
      <c r="AG25" s="201">
        <f t="shared" si="92"/>
        <v>834932.12532212865</v>
      </c>
      <c r="AH25" s="201">
        <f t="shared" ref="AH25" si="94">(AH21+AH16+AH18+AH23)</f>
        <v>906918.0199939548</v>
      </c>
      <c r="AI25" s="201">
        <f t="shared" si="92"/>
        <v>949741.07397108362</v>
      </c>
      <c r="AJ25" s="201">
        <f t="shared" si="92"/>
        <v>975743.02450491895</v>
      </c>
      <c r="AK25" s="201">
        <f t="shared" ref="AK25:AL25" si="95">(AK21+AK16+AK18+AK23)</f>
        <v>1051583.4952468423</v>
      </c>
      <c r="AL25" s="201">
        <f t="shared" si="95"/>
        <v>1106326.0385606322</v>
      </c>
      <c r="AM25" s="201">
        <f t="shared" si="92"/>
        <v>1135367.7667722784</v>
      </c>
      <c r="AN25" s="201">
        <f t="shared" si="92"/>
        <v>1206538.4122107725</v>
      </c>
    </row>
    <row r="26" spans="2:40" s="7" customFormat="1">
      <c r="B26" s="235" t="s">
        <v>811</v>
      </c>
      <c r="C26" s="238" t="s">
        <v>812</v>
      </c>
      <c r="E26" s="228">
        <v>56607.73</v>
      </c>
      <c r="F26" s="228">
        <v>76717.53</v>
      </c>
      <c r="G26" s="228">
        <v>148824.65</v>
      </c>
      <c r="H26" s="228">
        <v>273884.56</v>
      </c>
      <c r="I26" s="228">
        <v>78438.350000000006</v>
      </c>
      <c r="J26" s="228">
        <v>192942</v>
      </c>
      <c r="K26" s="228">
        <v>170626</v>
      </c>
      <c r="L26" s="228">
        <v>90564</v>
      </c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2"/>
      <c r="AC26" s="202"/>
      <c r="AD26" s="202"/>
      <c r="AE26" s="202"/>
      <c r="AF26" s="202"/>
      <c r="AG26" s="202"/>
      <c r="AH26" s="202"/>
      <c r="AI26" s="202"/>
      <c r="AJ26" s="202"/>
      <c r="AK26" s="202"/>
      <c r="AL26" s="202"/>
      <c r="AM26" s="202"/>
      <c r="AN26" s="202"/>
    </row>
    <row r="27" spans="2:40" s="7" customFormat="1">
      <c r="B27" s="237"/>
      <c r="C27" s="7" t="s">
        <v>813</v>
      </c>
      <c r="E27" s="229">
        <f t="shared" ref="E27:H27" si="96">E26-E25</f>
        <v>5479.3800000000119</v>
      </c>
      <c r="F27" s="229">
        <f t="shared" si="96"/>
        <v>-15180.550000000003</v>
      </c>
      <c r="G27" s="229">
        <f t="shared" si="96"/>
        <v>-28729.99000000002</v>
      </c>
      <c r="H27" s="229">
        <f t="shared" si="96"/>
        <v>-54215.44</v>
      </c>
      <c r="I27" s="229">
        <f>I26-I25</f>
        <v>-15034.180000000008</v>
      </c>
      <c r="J27" s="229">
        <f t="shared" ref="J27:L27" si="97">J26-J25</f>
        <v>-96705.169999999984</v>
      </c>
      <c r="K27" s="229">
        <f t="shared" si="97"/>
        <v>-32602.660000000003</v>
      </c>
      <c r="L27" s="229">
        <f t="shared" si="97"/>
        <v>-17399</v>
      </c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</row>
    <row r="28" spans="2:40" s="7" customFormat="1">
      <c r="B28" s="235"/>
      <c r="E28" s="326">
        <f>E27/E26</f>
        <v>9.6795614309212033E-2</v>
      </c>
      <c r="F28" s="326">
        <f t="shared" ref="F28:H28" si="98">F27/F26</f>
        <v>-0.19787589616089052</v>
      </c>
      <c r="G28" s="326">
        <f t="shared" si="98"/>
        <v>-0.19304591006933342</v>
      </c>
      <c r="H28" s="326">
        <f t="shared" si="98"/>
        <v>-0.19794996841004839</v>
      </c>
      <c r="I28" s="326">
        <f>I27/I26</f>
        <v>-0.19166874366939141</v>
      </c>
      <c r="J28" s="326">
        <f t="shared" ref="J28:L28" si="99">J27/J26</f>
        <v>-0.50121368079526485</v>
      </c>
      <c r="K28" s="326">
        <f t="shared" si="99"/>
        <v>-0.19107674094217764</v>
      </c>
      <c r="L28" s="326">
        <f t="shared" si="99"/>
        <v>-0.19211828099465572</v>
      </c>
    </row>
    <row r="29" spans="2:40" s="7" customFormat="1">
      <c r="B29" s="235"/>
      <c r="C29" s="7" t="s">
        <v>814</v>
      </c>
      <c r="E29" s="321">
        <v>3299</v>
      </c>
      <c r="F29" s="321">
        <v>12599</v>
      </c>
      <c r="G29" s="321">
        <v>0</v>
      </c>
      <c r="H29" s="321">
        <v>0</v>
      </c>
      <c r="I29" s="321">
        <v>1794</v>
      </c>
      <c r="J29" s="321">
        <v>4772</v>
      </c>
      <c r="K29" s="321">
        <v>1826</v>
      </c>
      <c r="L29" s="321">
        <v>2188.7800000000002</v>
      </c>
      <c r="M29" s="327">
        <f>M25*5%</f>
        <v>15963.050000000001</v>
      </c>
      <c r="N29" s="327">
        <f t="shared" ref="N29" si="100">N25*5%</f>
        <v>16069.711538461539</v>
      </c>
      <c r="O29" s="327">
        <v>22000</v>
      </c>
      <c r="P29" s="327">
        <v>20000</v>
      </c>
      <c r="Q29" s="327">
        <v>25000</v>
      </c>
      <c r="R29" s="327">
        <v>25000</v>
      </c>
      <c r="S29" s="327">
        <v>25000</v>
      </c>
      <c r="T29" s="327">
        <v>25000</v>
      </c>
      <c r="U29" s="327">
        <v>25000</v>
      </c>
      <c r="V29" s="327">
        <v>25000</v>
      </c>
      <c r="W29" s="327">
        <v>25000</v>
      </c>
      <c r="X29" s="327">
        <v>25000</v>
      </c>
      <c r="Y29" s="327">
        <v>25000</v>
      </c>
      <c r="Z29" s="327">
        <v>25000</v>
      </c>
      <c r="AA29" s="327">
        <v>25000</v>
      </c>
      <c r="AB29" s="327">
        <v>25000</v>
      </c>
      <c r="AC29" s="327">
        <v>25000</v>
      </c>
      <c r="AD29" s="327">
        <v>25000</v>
      </c>
      <c r="AE29" s="327">
        <v>25000</v>
      </c>
      <c r="AF29" s="327">
        <v>25000</v>
      </c>
      <c r="AG29" s="327">
        <v>25000</v>
      </c>
      <c r="AH29" s="327">
        <v>25000</v>
      </c>
      <c r="AI29" s="327">
        <v>25000</v>
      </c>
      <c r="AJ29" s="327">
        <v>25000</v>
      </c>
      <c r="AK29" s="327">
        <v>25000</v>
      </c>
      <c r="AL29" s="327">
        <v>25000</v>
      </c>
      <c r="AM29" s="327">
        <v>25000</v>
      </c>
      <c r="AN29" s="327">
        <v>25000</v>
      </c>
    </row>
    <row r="30" spans="2:40" s="7" customFormat="1">
      <c r="B30" s="235"/>
      <c r="E30" s="328"/>
      <c r="F30" s="328"/>
      <c r="G30" s="328"/>
      <c r="H30" s="328"/>
      <c r="I30" s="328"/>
      <c r="J30" s="321"/>
      <c r="K30" s="217"/>
      <c r="L30" s="217"/>
    </row>
    <row r="31" spans="2:40" s="7" customFormat="1">
      <c r="B31" s="235"/>
      <c r="E31" s="328"/>
      <c r="F31" s="328"/>
      <c r="G31" s="328"/>
      <c r="H31" s="328"/>
      <c r="I31" s="328"/>
      <c r="J31" s="321"/>
      <c r="K31" s="217"/>
      <c r="L31" s="217"/>
    </row>
    <row r="32" spans="2:40" s="330" customFormat="1">
      <c r="B32" s="329"/>
      <c r="C32" s="80" t="s">
        <v>815</v>
      </c>
      <c r="E32" s="331"/>
      <c r="F32" s="331"/>
      <c r="G32" s="331"/>
      <c r="H32" s="331"/>
      <c r="I32" s="331"/>
      <c r="J32" s="332"/>
      <c r="K32" s="333"/>
      <c r="L32" s="333"/>
      <c r="M32" s="80" t="s">
        <v>816</v>
      </c>
      <c r="N32" s="334" t="s">
        <v>817</v>
      </c>
      <c r="O32" s="80" t="s">
        <v>816</v>
      </c>
      <c r="P32" s="80" t="s">
        <v>816</v>
      </c>
      <c r="Q32" s="80" t="s">
        <v>816</v>
      </c>
      <c r="R32" s="80" t="s">
        <v>816</v>
      </c>
      <c r="S32" s="335" t="s">
        <v>818</v>
      </c>
      <c r="T32" s="334" t="s">
        <v>816</v>
      </c>
      <c r="U32" s="334" t="s">
        <v>816</v>
      </c>
      <c r="V32" s="335" t="s">
        <v>818</v>
      </c>
      <c r="W32" s="80" t="s">
        <v>816</v>
      </c>
      <c r="X32" s="80" t="s">
        <v>816</v>
      </c>
      <c r="Y32" s="335" t="s">
        <v>818</v>
      </c>
      <c r="Z32" s="335" t="s">
        <v>818</v>
      </c>
      <c r="AA32" s="80" t="s">
        <v>816</v>
      </c>
      <c r="AB32" s="80" t="s">
        <v>816</v>
      </c>
      <c r="AC32" s="80" t="s">
        <v>816</v>
      </c>
      <c r="AD32" s="80" t="s">
        <v>816</v>
      </c>
      <c r="AE32" s="335" t="s">
        <v>818</v>
      </c>
      <c r="AF32" s="80" t="s">
        <v>816</v>
      </c>
      <c r="AG32" s="80" t="s">
        <v>816</v>
      </c>
      <c r="AH32" s="335" t="s">
        <v>818</v>
      </c>
      <c r="AI32" s="80" t="s">
        <v>816</v>
      </c>
      <c r="AJ32" s="80" t="s">
        <v>816</v>
      </c>
      <c r="AK32" s="335" t="s">
        <v>818</v>
      </c>
      <c r="AL32" s="335" t="s">
        <v>818</v>
      </c>
      <c r="AM32" s="80" t="s">
        <v>816</v>
      </c>
      <c r="AN32" s="80" t="s">
        <v>816</v>
      </c>
    </row>
    <row r="33" spans="2:40" s="7" customFormat="1">
      <c r="B33" s="235"/>
      <c r="E33" s="328"/>
      <c r="F33" s="328"/>
      <c r="G33" s="328"/>
      <c r="H33" s="328"/>
      <c r="I33" s="328"/>
      <c r="J33" s="217"/>
      <c r="K33" s="217"/>
      <c r="L33" s="217"/>
    </row>
    <row r="34" spans="2:40" s="7" customFormat="1" ht="12" customHeight="1">
      <c r="B34" s="237" t="s">
        <v>819</v>
      </c>
      <c r="C34" s="208" t="s">
        <v>208</v>
      </c>
      <c r="D34" s="208"/>
      <c r="E34" s="218">
        <v>45689</v>
      </c>
      <c r="F34" s="218">
        <v>45717</v>
      </c>
      <c r="G34" s="218">
        <v>45748</v>
      </c>
      <c r="H34" s="218">
        <v>45778</v>
      </c>
      <c r="I34" s="218">
        <v>45809</v>
      </c>
      <c r="J34" s="218">
        <v>45839</v>
      </c>
      <c r="K34" s="218">
        <v>45870</v>
      </c>
      <c r="L34" s="218">
        <v>45901</v>
      </c>
      <c r="M34" s="195">
        <v>45931</v>
      </c>
      <c r="N34" s="195">
        <v>45962</v>
      </c>
      <c r="O34" s="195">
        <v>45992</v>
      </c>
      <c r="P34" s="195">
        <v>46023</v>
      </c>
      <c r="Q34" s="195">
        <v>46054</v>
      </c>
      <c r="R34" s="195">
        <v>46082</v>
      </c>
      <c r="S34" s="195">
        <v>46113</v>
      </c>
      <c r="T34" s="195">
        <v>46143</v>
      </c>
      <c r="U34" s="195">
        <v>46174</v>
      </c>
      <c r="V34" s="195">
        <v>46204</v>
      </c>
      <c r="W34" s="195">
        <v>46235</v>
      </c>
      <c r="X34" s="195">
        <v>46266</v>
      </c>
      <c r="Y34" s="195">
        <v>46296</v>
      </c>
      <c r="Z34" s="195">
        <v>46327</v>
      </c>
      <c r="AA34" s="195">
        <v>46357</v>
      </c>
      <c r="AB34" s="195">
        <v>46388</v>
      </c>
      <c r="AC34" s="195">
        <v>46419</v>
      </c>
      <c r="AD34" s="195">
        <v>46447</v>
      </c>
      <c r="AE34" s="195">
        <v>46478</v>
      </c>
      <c r="AF34" s="195">
        <v>46508</v>
      </c>
      <c r="AG34" s="195">
        <v>46539</v>
      </c>
      <c r="AH34" s="195">
        <v>46569</v>
      </c>
      <c r="AI34" s="195">
        <v>46600</v>
      </c>
      <c r="AJ34" s="195">
        <v>46631</v>
      </c>
      <c r="AK34" s="195">
        <v>46661</v>
      </c>
      <c r="AL34" s="195">
        <v>46692</v>
      </c>
      <c r="AM34" s="195">
        <v>46722</v>
      </c>
      <c r="AN34" s="195">
        <v>46753</v>
      </c>
    </row>
    <row r="35" spans="2:40" s="7" customFormat="1" ht="12" customHeight="1">
      <c r="B35" s="237"/>
      <c r="C35" s="208"/>
      <c r="D35" s="208"/>
      <c r="E35" s="219" t="s">
        <v>753</v>
      </c>
      <c r="F35" s="219" t="s">
        <v>754</v>
      </c>
      <c r="G35" s="219" t="s">
        <v>755</v>
      </c>
      <c r="H35" s="219" t="s">
        <v>756</v>
      </c>
      <c r="I35" s="219" t="s">
        <v>757</v>
      </c>
      <c r="J35" s="219" t="s">
        <v>758</v>
      </c>
      <c r="K35" s="219" t="s">
        <v>759</v>
      </c>
      <c r="L35" s="219" t="s">
        <v>760</v>
      </c>
      <c r="M35" s="196" t="s">
        <v>761</v>
      </c>
      <c r="N35" s="196" t="s">
        <v>762</v>
      </c>
      <c r="O35" s="196" t="s">
        <v>763</v>
      </c>
      <c r="P35" s="196" t="s">
        <v>764</v>
      </c>
      <c r="Q35" s="196" t="s">
        <v>765</v>
      </c>
      <c r="R35" s="196" t="s">
        <v>766</v>
      </c>
      <c r="S35" s="196" t="s">
        <v>767</v>
      </c>
      <c r="T35" s="196" t="s">
        <v>768</v>
      </c>
      <c r="U35" s="196" t="s">
        <v>769</v>
      </c>
      <c r="V35" s="196" t="s">
        <v>770</v>
      </c>
      <c r="W35" s="196" t="s">
        <v>771</v>
      </c>
      <c r="X35" s="196" t="s">
        <v>772</v>
      </c>
      <c r="Y35" s="196" t="s">
        <v>773</v>
      </c>
      <c r="Z35" s="196" t="s">
        <v>774</v>
      </c>
      <c r="AA35" s="196" t="s">
        <v>775</v>
      </c>
      <c r="AB35" s="196" t="s">
        <v>776</v>
      </c>
      <c r="AC35" s="196" t="s">
        <v>777</v>
      </c>
      <c r="AD35" s="196" t="s">
        <v>778</v>
      </c>
      <c r="AE35" s="196" t="s">
        <v>779</v>
      </c>
      <c r="AF35" s="196" t="s">
        <v>780</v>
      </c>
      <c r="AG35" s="196" t="s">
        <v>781</v>
      </c>
      <c r="AH35" s="196" t="s">
        <v>782</v>
      </c>
      <c r="AI35" s="196" t="s">
        <v>783</v>
      </c>
      <c r="AJ35" s="196" t="s">
        <v>784</v>
      </c>
      <c r="AK35" s="196" t="s">
        <v>785</v>
      </c>
      <c r="AL35" s="196" t="s">
        <v>786</v>
      </c>
      <c r="AM35" s="196" t="s">
        <v>787</v>
      </c>
      <c r="AN35" s="196" t="s">
        <v>788</v>
      </c>
    </row>
    <row r="36" spans="2:40" ht="12" customHeight="1">
      <c r="B36" s="301" t="s">
        <v>820</v>
      </c>
      <c r="C36" s="302" t="s">
        <v>821</v>
      </c>
      <c r="D36" s="303"/>
      <c r="E36" s="304">
        <f t="shared" ref="E36:K36" si="101">101223.37-E29</f>
        <v>97924.37</v>
      </c>
      <c r="F36" s="304">
        <f t="shared" si="101"/>
        <v>88624.37</v>
      </c>
      <c r="G36" s="304">
        <f t="shared" si="101"/>
        <v>101223.37</v>
      </c>
      <c r="H36" s="304">
        <f t="shared" si="101"/>
        <v>101223.37</v>
      </c>
      <c r="I36" s="304">
        <f t="shared" si="101"/>
        <v>99429.37</v>
      </c>
      <c r="J36" s="304">
        <f t="shared" si="101"/>
        <v>96451.37</v>
      </c>
      <c r="K36" s="304">
        <f t="shared" si="101"/>
        <v>99397.37</v>
      </c>
      <c r="L36" s="304">
        <f>101223.37-L29</f>
        <v>99034.59</v>
      </c>
      <c r="M36" s="305">
        <v>100000</v>
      </c>
      <c r="N36" s="305">
        <v>100000</v>
      </c>
      <c r="O36" s="305">
        <v>60000</v>
      </c>
      <c r="P36" s="305">
        <v>60000</v>
      </c>
      <c r="Q36" s="305">
        <v>95000</v>
      </c>
      <c r="R36" s="305">
        <f>Q36*120%</f>
        <v>114000</v>
      </c>
      <c r="S36" s="305">
        <f>R36*110%</f>
        <v>125400.00000000001</v>
      </c>
      <c r="T36" s="305">
        <f>S36*110%</f>
        <v>137940.00000000003</v>
      </c>
      <c r="U36" s="305">
        <f>T36*110%</f>
        <v>151734.00000000006</v>
      </c>
      <c r="V36" s="305">
        <f>U36*110%</f>
        <v>166907.40000000008</v>
      </c>
      <c r="W36" s="305">
        <f>V36*105%</f>
        <v>175252.77000000011</v>
      </c>
      <c r="X36" s="305">
        <f t="shared" ref="X36:AB36" si="102">W36*105%</f>
        <v>184015.40850000011</v>
      </c>
      <c r="Y36" s="305">
        <f t="shared" si="102"/>
        <v>193216.17892500013</v>
      </c>
      <c r="Z36" s="305">
        <f t="shared" si="102"/>
        <v>202876.98787125014</v>
      </c>
      <c r="AA36" s="305">
        <f t="shared" si="102"/>
        <v>213020.83726481267</v>
      </c>
      <c r="AB36" s="305">
        <f t="shared" si="102"/>
        <v>223671.87912805332</v>
      </c>
      <c r="AC36" s="305">
        <f>AB36*102%</f>
        <v>228145.3167106144</v>
      </c>
      <c r="AD36" s="305">
        <f>AC36*105%</f>
        <v>239552.58254614513</v>
      </c>
      <c r="AE36" s="305">
        <f t="shared" ref="AE36:AN36" si="103">AD36*105%</f>
        <v>251530.2116734524</v>
      </c>
      <c r="AF36" s="305">
        <f t="shared" si="103"/>
        <v>264106.72225712502</v>
      </c>
      <c r="AG36" s="305">
        <f t="shared" si="103"/>
        <v>277312.0583699813</v>
      </c>
      <c r="AH36" s="305">
        <f t="shared" si="103"/>
        <v>291177.66128848039</v>
      </c>
      <c r="AI36" s="305">
        <f t="shared" si="103"/>
        <v>305736.54435290443</v>
      </c>
      <c r="AJ36" s="305">
        <f t="shared" si="103"/>
        <v>321023.37157054967</v>
      </c>
      <c r="AK36" s="305">
        <f t="shared" si="103"/>
        <v>337074.54014907719</v>
      </c>
      <c r="AL36" s="305">
        <f t="shared" si="103"/>
        <v>353928.26715653104</v>
      </c>
      <c r="AM36" s="305">
        <f t="shared" si="103"/>
        <v>371624.68051435763</v>
      </c>
      <c r="AN36" s="305">
        <f t="shared" si="103"/>
        <v>390205.91454007552</v>
      </c>
    </row>
    <row r="37" spans="2:40" s="7" customFormat="1" ht="12" customHeight="1">
      <c r="B37" s="239"/>
      <c r="C37" s="212"/>
      <c r="D37" s="214"/>
      <c r="E37" s="205"/>
      <c r="F37" s="205"/>
      <c r="G37" s="205"/>
      <c r="H37" s="205"/>
      <c r="I37" s="205"/>
      <c r="J37" s="205"/>
      <c r="K37" s="205"/>
      <c r="L37" s="205"/>
      <c r="M37" s="205"/>
      <c r="N37" s="205"/>
      <c r="O37" s="205"/>
      <c r="P37" s="205"/>
      <c r="Q37" s="336"/>
      <c r="R37" s="336"/>
      <c r="S37" s="336"/>
      <c r="T37" s="336"/>
      <c r="U37" s="336"/>
      <c r="V37" s="336"/>
      <c r="W37" s="336"/>
      <c r="X37" s="336"/>
      <c r="Y37" s="336"/>
      <c r="Z37" s="336"/>
      <c r="AA37" s="336"/>
      <c r="AB37" s="336"/>
      <c r="AC37" s="205"/>
      <c r="AD37" s="205"/>
      <c r="AE37" s="205"/>
      <c r="AF37" s="205"/>
      <c r="AG37" s="205"/>
      <c r="AH37" s="205"/>
      <c r="AI37" s="205"/>
      <c r="AJ37" s="205"/>
      <c r="AK37" s="205"/>
      <c r="AL37" s="205"/>
      <c r="AM37" s="205"/>
      <c r="AN37" s="205"/>
    </row>
    <row r="38" spans="2:40" s="7" customFormat="1">
      <c r="B38" s="235"/>
      <c r="C38" s="249" t="s">
        <v>822</v>
      </c>
      <c r="D38" s="214"/>
    </row>
    <row r="39" spans="2:40">
      <c r="C39" s="308" t="s">
        <v>751</v>
      </c>
      <c r="E39" s="309"/>
      <c r="F39" s="309"/>
      <c r="G39" s="309"/>
      <c r="H39" s="309"/>
      <c r="I39" s="309"/>
      <c r="J39" s="309"/>
      <c r="K39" s="309"/>
      <c r="L39" s="309"/>
      <c r="M39" s="310">
        <v>0.45</v>
      </c>
      <c r="N39" s="310">
        <f t="shared" ref="N39" si="104">M39</f>
        <v>0.45</v>
      </c>
      <c r="O39" s="310">
        <v>0.8</v>
      </c>
      <c r="P39" s="310">
        <v>0.8</v>
      </c>
      <c r="Q39" s="310">
        <v>0.8</v>
      </c>
      <c r="R39" s="310">
        <v>0.8</v>
      </c>
      <c r="S39" s="310">
        <v>0.8</v>
      </c>
      <c r="T39" s="310">
        <v>0.9</v>
      </c>
      <c r="U39" s="310">
        <v>0.9</v>
      </c>
      <c r="V39" s="310">
        <v>0.9</v>
      </c>
      <c r="W39" s="310">
        <v>0.9</v>
      </c>
      <c r="X39" s="310">
        <v>0.9</v>
      </c>
      <c r="Y39" s="310">
        <v>0.9</v>
      </c>
      <c r="Z39" s="310">
        <v>0.9</v>
      </c>
      <c r="AA39" s="310">
        <v>0.9</v>
      </c>
      <c r="AB39" s="310">
        <v>0.9</v>
      </c>
      <c r="AC39" s="310">
        <v>0.9</v>
      </c>
      <c r="AD39" s="310">
        <v>0.9</v>
      </c>
      <c r="AE39" s="310">
        <v>0.9</v>
      </c>
      <c r="AF39" s="310">
        <v>0.9</v>
      </c>
      <c r="AG39" s="310">
        <v>0.9</v>
      </c>
      <c r="AH39" s="310">
        <v>0.9</v>
      </c>
      <c r="AI39" s="310">
        <v>0.9</v>
      </c>
      <c r="AJ39" s="310">
        <v>0.9</v>
      </c>
      <c r="AK39" s="310">
        <v>0.9</v>
      </c>
      <c r="AL39" s="310">
        <v>0.9</v>
      </c>
      <c r="AM39" s="310">
        <v>0.9</v>
      </c>
      <c r="AN39" s="310">
        <v>0.9</v>
      </c>
    </row>
    <row r="40" spans="2:40">
      <c r="C40" s="308" t="s">
        <v>823</v>
      </c>
      <c r="E40" s="309"/>
      <c r="F40" s="309"/>
      <c r="G40" s="309"/>
      <c r="H40" s="309"/>
      <c r="I40" s="309"/>
      <c r="J40" s="309"/>
      <c r="K40" s="309"/>
      <c r="L40" s="309"/>
      <c r="M40" s="310">
        <f t="shared" ref="M40:Z41" si="105">L40</f>
        <v>0</v>
      </c>
      <c r="N40" s="310">
        <f t="shared" si="105"/>
        <v>0</v>
      </c>
      <c r="O40" s="310">
        <f t="shared" si="105"/>
        <v>0</v>
      </c>
      <c r="P40" s="310">
        <f t="shared" si="105"/>
        <v>0</v>
      </c>
      <c r="Q40" s="310">
        <f t="shared" si="105"/>
        <v>0</v>
      </c>
      <c r="R40" s="310">
        <f t="shared" si="105"/>
        <v>0</v>
      </c>
      <c r="S40" s="310">
        <f t="shared" si="105"/>
        <v>0</v>
      </c>
      <c r="T40" s="310">
        <f t="shared" si="105"/>
        <v>0</v>
      </c>
      <c r="U40" s="310">
        <f t="shared" si="105"/>
        <v>0</v>
      </c>
      <c r="V40" s="310">
        <f t="shared" si="105"/>
        <v>0</v>
      </c>
      <c r="W40" s="310">
        <f t="shared" si="105"/>
        <v>0</v>
      </c>
      <c r="X40" s="310">
        <f t="shared" si="105"/>
        <v>0</v>
      </c>
      <c r="Y40" s="310">
        <f t="shared" si="105"/>
        <v>0</v>
      </c>
      <c r="Z40" s="310">
        <f t="shared" si="105"/>
        <v>0</v>
      </c>
      <c r="AA40" s="310">
        <f t="shared" ref="AA40:AN40" si="106">Z40</f>
        <v>0</v>
      </c>
      <c r="AB40" s="310">
        <f t="shared" si="106"/>
        <v>0</v>
      </c>
      <c r="AC40" s="310">
        <f t="shared" si="106"/>
        <v>0</v>
      </c>
      <c r="AD40" s="310">
        <f t="shared" si="106"/>
        <v>0</v>
      </c>
      <c r="AE40" s="310">
        <f t="shared" ref="AE40:AJ40" si="107">AD40</f>
        <v>0</v>
      </c>
      <c r="AF40" s="310">
        <f t="shared" si="107"/>
        <v>0</v>
      </c>
      <c r="AG40" s="310">
        <f t="shared" si="107"/>
        <v>0</v>
      </c>
      <c r="AH40" s="310">
        <f t="shared" si="107"/>
        <v>0</v>
      </c>
      <c r="AI40" s="310">
        <f t="shared" si="107"/>
        <v>0</v>
      </c>
      <c r="AJ40" s="310">
        <f t="shared" si="107"/>
        <v>0</v>
      </c>
      <c r="AK40" s="310">
        <f t="shared" si="106"/>
        <v>0</v>
      </c>
      <c r="AL40" s="310">
        <f t="shared" si="106"/>
        <v>0</v>
      </c>
      <c r="AM40" s="310">
        <f t="shared" si="106"/>
        <v>0</v>
      </c>
      <c r="AN40" s="310">
        <f t="shared" si="106"/>
        <v>0</v>
      </c>
    </row>
    <row r="41" spans="2:40">
      <c r="C41" s="308" t="s">
        <v>824</v>
      </c>
      <c r="E41" s="309"/>
      <c r="F41" s="309"/>
      <c r="G41" s="309"/>
      <c r="H41" s="309"/>
      <c r="I41" s="309"/>
      <c r="J41" s="309"/>
      <c r="K41" s="309"/>
      <c r="L41" s="309"/>
      <c r="M41" s="310">
        <v>0.55000000000000004</v>
      </c>
      <c r="N41" s="310">
        <f t="shared" si="105"/>
        <v>0.55000000000000004</v>
      </c>
      <c r="O41" s="310">
        <v>0.2</v>
      </c>
      <c r="P41" s="310">
        <v>0.2</v>
      </c>
      <c r="Q41" s="310">
        <v>0.2</v>
      </c>
      <c r="R41" s="310">
        <v>0.2</v>
      </c>
      <c r="S41" s="310">
        <v>0.2</v>
      </c>
      <c r="T41" s="310">
        <v>0.1</v>
      </c>
      <c r="U41" s="310">
        <v>0.1</v>
      </c>
      <c r="V41" s="310">
        <v>0.1</v>
      </c>
      <c r="W41" s="310">
        <v>0.1</v>
      </c>
      <c r="X41" s="310">
        <v>0.1</v>
      </c>
      <c r="Y41" s="310">
        <v>0.1</v>
      </c>
      <c r="Z41" s="310">
        <v>0.1</v>
      </c>
      <c r="AA41" s="310">
        <v>0.1</v>
      </c>
      <c r="AB41" s="310">
        <v>0.1</v>
      </c>
      <c r="AC41" s="310">
        <v>0.1</v>
      </c>
      <c r="AD41" s="310">
        <v>0.1</v>
      </c>
      <c r="AE41" s="310">
        <v>0.1</v>
      </c>
      <c r="AF41" s="310">
        <v>0.1</v>
      </c>
      <c r="AG41" s="310">
        <v>0.1</v>
      </c>
      <c r="AH41" s="310">
        <v>0.1</v>
      </c>
      <c r="AI41" s="310">
        <v>0.1</v>
      </c>
      <c r="AJ41" s="310">
        <v>0.1</v>
      </c>
      <c r="AK41" s="310">
        <v>0.1</v>
      </c>
      <c r="AL41" s="310">
        <v>0.1</v>
      </c>
      <c r="AM41" s="310">
        <v>0.1</v>
      </c>
      <c r="AN41" s="310">
        <v>0.1</v>
      </c>
    </row>
    <row r="42" spans="2:40">
      <c r="J42" s="311"/>
      <c r="K42" s="311"/>
      <c r="L42" s="311"/>
      <c r="M42" s="311">
        <f t="shared" ref="M42:U42" si="108">1-M39-M40-M41</f>
        <v>0</v>
      </c>
      <c r="N42" s="311">
        <f t="shared" si="108"/>
        <v>0</v>
      </c>
      <c r="O42" s="311">
        <f t="shared" si="108"/>
        <v>0</v>
      </c>
      <c r="P42" s="311">
        <f t="shared" si="108"/>
        <v>0</v>
      </c>
      <c r="Q42" s="311">
        <f t="shared" si="108"/>
        <v>0</v>
      </c>
      <c r="R42" s="311">
        <f t="shared" si="108"/>
        <v>0</v>
      </c>
      <c r="S42" s="311">
        <f t="shared" si="108"/>
        <v>0</v>
      </c>
      <c r="T42" s="311">
        <f t="shared" si="108"/>
        <v>0</v>
      </c>
      <c r="U42" s="311">
        <f t="shared" si="108"/>
        <v>0</v>
      </c>
      <c r="V42" s="311">
        <f t="shared" ref="V42" si="109">1-V39-V40-V41</f>
        <v>0</v>
      </c>
      <c r="W42" s="311">
        <f t="shared" ref="W42" si="110">1-W39-W40-W41</f>
        <v>0</v>
      </c>
      <c r="X42" s="311">
        <f t="shared" ref="X42" si="111">1-X39-X40-X41</f>
        <v>0</v>
      </c>
      <c r="Y42" s="311">
        <f t="shared" ref="Y42" si="112">1-Y39-Y40-Y41</f>
        <v>0</v>
      </c>
      <c r="Z42" s="311">
        <f t="shared" ref="Z42" si="113">1-Z39-Z40-Z41</f>
        <v>0</v>
      </c>
      <c r="AA42" s="311">
        <f t="shared" ref="AA42" si="114">1-AA39-AA40-AA41</f>
        <v>0</v>
      </c>
      <c r="AB42" s="311">
        <f t="shared" ref="AB42" si="115">1-AB39-AB40-AB41</f>
        <v>0</v>
      </c>
      <c r="AC42" s="311">
        <f t="shared" ref="AC42" si="116">1-AC39-AC40-AC41</f>
        <v>0</v>
      </c>
      <c r="AD42" s="311">
        <f t="shared" ref="AD42" si="117">1-AD39-AD40-AD41</f>
        <v>0</v>
      </c>
      <c r="AE42" s="311">
        <f t="shared" ref="AE42:AF42" si="118">1-AE39-AE40-AE41</f>
        <v>0</v>
      </c>
      <c r="AF42" s="311">
        <f t="shared" si="118"/>
        <v>0</v>
      </c>
      <c r="AG42" s="311">
        <f t="shared" ref="AG42" si="119">1-AG39-AG40-AG41</f>
        <v>0</v>
      </c>
      <c r="AH42" s="311">
        <f t="shared" ref="AH42" si="120">1-AH39-AH40-AH41</f>
        <v>0</v>
      </c>
      <c r="AI42" s="311">
        <f t="shared" ref="AI42" si="121">1-AI39-AI40-AI41</f>
        <v>0</v>
      </c>
      <c r="AJ42" s="311">
        <f t="shared" ref="AJ42" si="122">1-AJ39-AJ40-AJ41</f>
        <v>0</v>
      </c>
      <c r="AK42" s="311">
        <f t="shared" ref="AK42" si="123">1-AK39-AK40-AK41</f>
        <v>0</v>
      </c>
      <c r="AL42" s="311">
        <f t="shared" ref="AL42" si="124">1-AL39-AL40-AL41</f>
        <v>0</v>
      </c>
      <c r="AM42" s="311">
        <f t="shared" ref="AM42:AN42" si="125">1-AM39-AM40-AM41</f>
        <v>0</v>
      </c>
      <c r="AN42" s="311">
        <f t="shared" si="125"/>
        <v>0</v>
      </c>
    </row>
    <row r="43" spans="2:40" s="207" customFormat="1">
      <c r="C43" s="242" t="s">
        <v>825</v>
      </c>
    </row>
    <row r="44" spans="2:40" s="7" customFormat="1" ht="12" customHeight="1" outlineLevel="1">
      <c r="B44" s="235"/>
      <c r="C44" s="208"/>
      <c r="D44" s="208"/>
      <c r="E44" s="196" t="s">
        <v>753</v>
      </c>
      <c r="F44" s="196" t="s">
        <v>754</v>
      </c>
      <c r="G44" s="196" t="s">
        <v>755</v>
      </c>
      <c r="H44" s="196" t="s">
        <v>756</v>
      </c>
      <c r="I44" s="196" t="s">
        <v>757</v>
      </c>
      <c r="J44" s="196" t="s">
        <v>758</v>
      </c>
      <c r="K44" s="196" t="s">
        <v>759</v>
      </c>
      <c r="L44" s="196" t="s">
        <v>760</v>
      </c>
      <c r="M44" s="196" t="s">
        <v>761</v>
      </c>
      <c r="N44" s="196" t="s">
        <v>762</v>
      </c>
      <c r="O44" s="196" t="s">
        <v>763</v>
      </c>
      <c r="P44" s="196" t="s">
        <v>764</v>
      </c>
      <c r="Q44" s="196" t="s">
        <v>765</v>
      </c>
      <c r="R44" s="196" t="s">
        <v>766</v>
      </c>
      <c r="S44" s="196" t="s">
        <v>767</v>
      </c>
      <c r="T44" s="196" t="s">
        <v>768</v>
      </c>
      <c r="U44" s="196" t="s">
        <v>769</v>
      </c>
      <c r="V44" s="196" t="s">
        <v>770</v>
      </c>
      <c r="W44" s="196" t="s">
        <v>771</v>
      </c>
      <c r="X44" s="196" t="s">
        <v>772</v>
      </c>
      <c r="Y44" s="196" t="s">
        <v>773</v>
      </c>
      <c r="Z44" s="196" t="s">
        <v>774</v>
      </c>
      <c r="AA44" s="196" t="s">
        <v>775</v>
      </c>
      <c r="AB44" s="196" t="s">
        <v>776</v>
      </c>
      <c r="AC44" s="196" t="s">
        <v>777</v>
      </c>
      <c r="AD44" s="196" t="s">
        <v>778</v>
      </c>
      <c r="AE44" s="196" t="s">
        <v>779</v>
      </c>
      <c r="AF44" s="196" t="s">
        <v>780</v>
      </c>
      <c r="AG44" s="196" t="s">
        <v>781</v>
      </c>
      <c r="AH44" s="196" t="s">
        <v>782</v>
      </c>
      <c r="AI44" s="196" t="s">
        <v>783</v>
      </c>
      <c r="AJ44" s="196" t="s">
        <v>784</v>
      </c>
      <c r="AK44" s="196" t="s">
        <v>785</v>
      </c>
      <c r="AL44" s="196" t="s">
        <v>786</v>
      </c>
      <c r="AM44" s="196" t="s">
        <v>787</v>
      </c>
      <c r="AN44" s="196" t="s">
        <v>788</v>
      </c>
    </row>
    <row r="45" spans="2:40" s="7" customFormat="1" ht="12" customHeight="1" outlineLevel="1">
      <c r="B45" s="239"/>
      <c r="C45" s="214" t="s">
        <v>821</v>
      </c>
      <c r="D45" s="212"/>
      <c r="E45" s="337"/>
      <c r="F45" s="337"/>
      <c r="G45" s="337"/>
      <c r="H45" s="337"/>
      <c r="I45" s="337"/>
      <c r="J45" s="338"/>
      <c r="K45" s="338"/>
      <c r="L45" s="337"/>
      <c r="M45" s="337">
        <f t="shared" ref="M45:AN45" si="126">M36*M39</f>
        <v>45000</v>
      </c>
      <c r="N45" s="337">
        <f t="shared" si="126"/>
        <v>45000</v>
      </c>
      <c r="O45" s="337">
        <f t="shared" si="126"/>
        <v>48000</v>
      </c>
      <c r="P45" s="337">
        <f t="shared" si="126"/>
        <v>48000</v>
      </c>
      <c r="Q45" s="337">
        <f t="shared" si="126"/>
        <v>76000</v>
      </c>
      <c r="R45" s="337">
        <f t="shared" si="126"/>
        <v>91200</v>
      </c>
      <c r="S45" s="337">
        <f t="shared" si="126"/>
        <v>100320.00000000001</v>
      </c>
      <c r="T45" s="337">
        <f t="shared" si="126"/>
        <v>124146.00000000003</v>
      </c>
      <c r="U45" s="337">
        <f t="shared" si="126"/>
        <v>136560.60000000006</v>
      </c>
      <c r="V45" s="337">
        <f t="shared" si="126"/>
        <v>150216.66000000009</v>
      </c>
      <c r="W45" s="337">
        <f t="shared" si="126"/>
        <v>157727.4930000001</v>
      </c>
      <c r="X45" s="337">
        <f t="shared" si="126"/>
        <v>165613.86765000009</v>
      </c>
      <c r="Y45" s="337">
        <f t="shared" si="126"/>
        <v>173894.56103250012</v>
      </c>
      <c r="Z45" s="337">
        <f t="shared" si="126"/>
        <v>182589.28908412514</v>
      </c>
      <c r="AA45" s="337">
        <f t="shared" si="126"/>
        <v>191718.7535383314</v>
      </c>
      <c r="AB45" s="337">
        <f t="shared" si="126"/>
        <v>201304.69121524799</v>
      </c>
      <c r="AC45" s="337">
        <f t="shared" si="126"/>
        <v>205330.78503955295</v>
      </c>
      <c r="AD45" s="337">
        <f t="shared" si="126"/>
        <v>215597.32429153062</v>
      </c>
      <c r="AE45" s="337">
        <f t="shared" si="126"/>
        <v>226377.19050610717</v>
      </c>
      <c r="AF45" s="337">
        <f t="shared" si="126"/>
        <v>237696.05003141251</v>
      </c>
      <c r="AG45" s="337">
        <f t="shared" si="126"/>
        <v>249580.85253298318</v>
      </c>
      <c r="AH45" s="337">
        <f t="shared" si="126"/>
        <v>262059.89515963235</v>
      </c>
      <c r="AI45" s="337">
        <f t="shared" si="126"/>
        <v>275162.889917614</v>
      </c>
      <c r="AJ45" s="337">
        <f t="shared" si="126"/>
        <v>288921.03441349469</v>
      </c>
      <c r="AK45" s="337">
        <f t="shared" si="126"/>
        <v>303367.08613416948</v>
      </c>
      <c r="AL45" s="337">
        <f t="shared" si="126"/>
        <v>318535.44044087792</v>
      </c>
      <c r="AM45" s="337">
        <f t="shared" si="126"/>
        <v>334462.21246292186</v>
      </c>
      <c r="AN45" s="337">
        <f t="shared" si="126"/>
        <v>351185.32308606798</v>
      </c>
    </row>
    <row r="46" spans="2:40" ht="12" customHeight="1" outlineLevel="1">
      <c r="B46" s="301" t="s">
        <v>826</v>
      </c>
      <c r="C46" s="303" t="s">
        <v>827</v>
      </c>
      <c r="D46" s="302"/>
      <c r="E46" s="312"/>
      <c r="F46" s="312"/>
      <c r="G46" s="312"/>
      <c r="H46" s="312"/>
      <c r="I46" s="312"/>
      <c r="J46" s="312"/>
      <c r="K46" s="312"/>
      <c r="L46" s="312"/>
      <c r="M46" s="313">
        <v>140</v>
      </c>
      <c r="N46" s="313">
        <v>130</v>
      </c>
      <c r="O46" s="313">
        <v>140</v>
      </c>
      <c r="P46" s="313">
        <v>120</v>
      </c>
      <c r="Q46" s="313">
        <v>110</v>
      </c>
      <c r="R46" s="313">
        <v>110</v>
      </c>
      <c r="S46" s="313">
        <v>100</v>
      </c>
      <c r="T46" s="313">
        <v>100</v>
      </c>
      <c r="U46" s="313">
        <v>95</v>
      </c>
      <c r="V46" s="313">
        <v>95</v>
      </c>
      <c r="W46" s="313">
        <v>95</v>
      </c>
      <c r="X46" s="313">
        <v>95</v>
      </c>
      <c r="Y46" s="313">
        <v>95</v>
      </c>
      <c r="Z46" s="313">
        <v>95</v>
      </c>
      <c r="AA46" s="313">
        <v>95</v>
      </c>
      <c r="AB46" s="313">
        <v>95</v>
      </c>
      <c r="AC46" s="313">
        <v>90</v>
      </c>
      <c r="AD46" s="313">
        <v>90</v>
      </c>
      <c r="AE46" s="313">
        <v>90</v>
      </c>
      <c r="AF46" s="313">
        <v>90</v>
      </c>
      <c r="AG46" s="313">
        <v>90</v>
      </c>
      <c r="AH46" s="313">
        <v>90</v>
      </c>
      <c r="AI46" s="313">
        <v>90</v>
      </c>
      <c r="AJ46" s="313">
        <v>90</v>
      </c>
      <c r="AK46" s="313">
        <v>90</v>
      </c>
      <c r="AL46" s="313">
        <v>90</v>
      </c>
      <c r="AM46" s="313">
        <v>90</v>
      </c>
      <c r="AN46" s="313">
        <v>90</v>
      </c>
    </row>
    <row r="47" spans="2:40" s="7" customFormat="1" ht="12" customHeight="1" outlineLevel="1">
      <c r="B47" s="239" t="s">
        <v>828</v>
      </c>
      <c r="C47" s="214" t="s">
        <v>829</v>
      </c>
      <c r="D47" s="212"/>
      <c r="E47" s="232"/>
      <c r="F47" s="232"/>
      <c r="G47" s="232"/>
      <c r="H47" s="232"/>
      <c r="I47" s="232"/>
      <c r="J47" s="232"/>
      <c r="K47" s="232"/>
      <c r="L47" s="232"/>
      <c r="M47" s="205">
        <f t="shared" ref="M47:AN47" si="127">M45/M46</f>
        <v>321.42857142857144</v>
      </c>
      <c r="N47" s="205">
        <f t="shared" si="127"/>
        <v>346.15384615384613</v>
      </c>
      <c r="O47" s="205">
        <f t="shared" si="127"/>
        <v>342.85714285714283</v>
      </c>
      <c r="P47" s="205">
        <f t="shared" si="127"/>
        <v>400</v>
      </c>
      <c r="Q47" s="205">
        <f t="shared" si="127"/>
        <v>690.90909090909088</v>
      </c>
      <c r="R47" s="205">
        <f t="shared" si="127"/>
        <v>829.09090909090912</v>
      </c>
      <c r="S47" s="205">
        <f t="shared" si="127"/>
        <v>1003.2000000000002</v>
      </c>
      <c r="T47" s="205">
        <f t="shared" si="127"/>
        <v>1241.4600000000003</v>
      </c>
      <c r="U47" s="205">
        <f t="shared" si="127"/>
        <v>1437.4800000000007</v>
      </c>
      <c r="V47" s="205">
        <f t="shared" si="127"/>
        <v>1581.228000000001</v>
      </c>
      <c r="W47" s="205">
        <f t="shared" si="127"/>
        <v>1660.289400000001</v>
      </c>
      <c r="X47" s="205">
        <f t="shared" si="127"/>
        <v>1743.3038700000009</v>
      </c>
      <c r="Y47" s="205">
        <f t="shared" si="127"/>
        <v>1830.4690635000013</v>
      </c>
      <c r="Z47" s="205">
        <f t="shared" si="127"/>
        <v>1921.9925166750015</v>
      </c>
      <c r="AA47" s="205">
        <f t="shared" si="127"/>
        <v>2018.0921425087515</v>
      </c>
      <c r="AB47" s="205">
        <f t="shared" si="127"/>
        <v>2118.9967496341892</v>
      </c>
      <c r="AC47" s="205">
        <f t="shared" si="127"/>
        <v>2281.4531671061441</v>
      </c>
      <c r="AD47" s="205">
        <f t="shared" si="127"/>
        <v>2395.5258254614514</v>
      </c>
      <c r="AE47" s="205">
        <f t="shared" si="127"/>
        <v>2515.3021167345241</v>
      </c>
      <c r="AF47" s="205">
        <f t="shared" si="127"/>
        <v>2641.0672225712501</v>
      </c>
      <c r="AG47" s="205">
        <f t="shared" si="127"/>
        <v>2773.1205836998129</v>
      </c>
      <c r="AH47" s="205">
        <f t="shared" si="127"/>
        <v>2911.7766128848039</v>
      </c>
      <c r="AI47" s="205">
        <f t="shared" si="127"/>
        <v>3057.3654435290446</v>
      </c>
      <c r="AJ47" s="205">
        <f t="shared" si="127"/>
        <v>3210.2337157054967</v>
      </c>
      <c r="AK47" s="205">
        <f t="shared" si="127"/>
        <v>3370.7454014907721</v>
      </c>
      <c r="AL47" s="205">
        <f t="shared" si="127"/>
        <v>3539.2826715653105</v>
      </c>
      <c r="AM47" s="205">
        <f t="shared" si="127"/>
        <v>3716.2468051435762</v>
      </c>
      <c r="AN47" s="205">
        <f t="shared" si="127"/>
        <v>3902.0591454007554</v>
      </c>
    </row>
    <row r="48" spans="2:40" ht="12" customHeight="1" outlineLevel="1">
      <c r="B48" s="301"/>
      <c r="C48" s="303" t="s">
        <v>830</v>
      </c>
      <c r="D48" s="302"/>
      <c r="E48" s="314">
        <v>0</v>
      </c>
      <c r="F48" s="314">
        <v>0</v>
      </c>
      <c r="G48" s="314">
        <v>0</v>
      </c>
      <c r="H48" s="314">
        <v>0</v>
      </c>
      <c r="I48" s="314">
        <v>0</v>
      </c>
      <c r="J48" s="314">
        <v>0</v>
      </c>
      <c r="K48" s="314">
        <v>0</v>
      </c>
      <c r="L48" s="314">
        <v>0</v>
      </c>
      <c r="M48" s="315">
        <v>0</v>
      </c>
      <c r="N48" s="315">
        <v>0</v>
      </c>
      <c r="O48" s="315">
        <v>0</v>
      </c>
      <c r="P48" s="315">
        <v>0</v>
      </c>
      <c r="Q48" s="315">
        <v>0</v>
      </c>
      <c r="R48" s="315">
        <f>Q48</f>
        <v>0</v>
      </c>
      <c r="S48" s="315">
        <f t="shared" ref="S48:AN48" si="128">R48</f>
        <v>0</v>
      </c>
      <c r="T48" s="315">
        <f t="shared" si="128"/>
        <v>0</v>
      </c>
      <c r="U48" s="315">
        <v>0</v>
      </c>
      <c r="V48" s="315">
        <v>0</v>
      </c>
      <c r="W48" s="315">
        <v>0</v>
      </c>
      <c r="X48" s="315">
        <v>0</v>
      </c>
      <c r="Y48" s="315">
        <v>0</v>
      </c>
      <c r="Z48" s="315">
        <f t="shared" si="128"/>
        <v>0</v>
      </c>
      <c r="AA48" s="315">
        <f t="shared" si="128"/>
        <v>0</v>
      </c>
      <c r="AB48" s="315">
        <f t="shared" si="128"/>
        <v>0</v>
      </c>
      <c r="AC48" s="315">
        <f t="shared" si="128"/>
        <v>0</v>
      </c>
      <c r="AD48" s="315">
        <f t="shared" si="128"/>
        <v>0</v>
      </c>
      <c r="AE48" s="315">
        <f t="shared" si="128"/>
        <v>0</v>
      </c>
      <c r="AF48" s="315">
        <f t="shared" si="128"/>
        <v>0</v>
      </c>
      <c r="AG48" s="315">
        <f t="shared" si="128"/>
        <v>0</v>
      </c>
      <c r="AH48" s="315">
        <f t="shared" si="128"/>
        <v>0</v>
      </c>
      <c r="AI48" s="315">
        <f t="shared" si="128"/>
        <v>0</v>
      </c>
      <c r="AJ48" s="315">
        <f t="shared" si="128"/>
        <v>0</v>
      </c>
      <c r="AK48" s="315">
        <f t="shared" si="128"/>
        <v>0</v>
      </c>
      <c r="AL48" s="315">
        <f t="shared" si="128"/>
        <v>0</v>
      </c>
      <c r="AM48" s="315">
        <f t="shared" si="128"/>
        <v>0</v>
      </c>
      <c r="AN48" s="315">
        <f t="shared" si="128"/>
        <v>0</v>
      </c>
    </row>
    <row r="49" spans="2:40" s="7" customFormat="1" ht="12" customHeight="1" outlineLevel="1">
      <c r="B49" s="239"/>
      <c r="C49" s="214" t="s">
        <v>831</v>
      </c>
      <c r="D49" s="212"/>
      <c r="E49" s="232">
        <f t="shared" ref="E49:P49" si="129">E47*E48</f>
        <v>0</v>
      </c>
      <c r="F49" s="232">
        <f t="shared" si="129"/>
        <v>0</v>
      </c>
      <c r="G49" s="232">
        <f t="shared" si="129"/>
        <v>0</v>
      </c>
      <c r="H49" s="232">
        <f t="shared" si="129"/>
        <v>0</v>
      </c>
      <c r="I49" s="232">
        <f t="shared" si="129"/>
        <v>0</v>
      </c>
      <c r="J49" s="232">
        <f t="shared" si="129"/>
        <v>0</v>
      </c>
      <c r="K49" s="232">
        <f t="shared" si="129"/>
        <v>0</v>
      </c>
      <c r="L49" s="232">
        <f t="shared" si="129"/>
        <v>0</v>
      </c>
      <c r="M49" s="205">
        <f t="shared" si="129"/>
        <v>0</v>
      </c>
      <c r="N49" s="205">
        <f t="shared" si="129"/>
        <v>0</v>
      </c>
      <c r="O49" s="205">
        <f t="shared" si="129"/>
        <v>0</v>
      </c>
      <c r="P49" s="205">
        <f t="shared" si="129"/>
        <v>0</v>
      </c>
      <c r="Q49" s="205">
        <f t="shared" ref="Q49:AB49" si="130">Q47*Q48</f>
        <v>0</v>
      </c>
      <c r="R49" s="205">
        <f t="shared" si="130"/>
        <v>0</v>
      </c>
      <c r="S49" s="205">
        <f t="shared" si="130"/>
        <v>0</v>
      </c>
      <c r="T49" s="205">
        <f t="shared" si="130"/>
        <v>0</v>
      </c>
      <c r="U49" s="205">
        <f t="shared" si="130"/>
        <v>0</v>
      </c>
      <c r="V49" s="205">
        <f t="shared" si="130"/>
        <v>0</v>
      </c>
      <c r="W49" s="205">
        <f t="shared" si="130"/>
        <v>0</v>
      </c>
      <c r="X49" s="205">
        <f t="shared" si="130"/>
        <v>0</v>
      </c>
      <c r="Y49" s="205">
        <f t="shared" si="130"/>
        <v>0</v>
      </c>
      <c r="Z49" s="205">
        <f t="shared" si="130"/>
        <v>0</v>
      </c>
      <c r="AA49" s="205">
        <f t="shared" si="130"/>
        <v>0</v>
      </c>
      <c r="AB49" s="205">
        <f t="shared" si="130"/>
        <v>0</v>
      </c>
      <c r="AC49" s="205">
        <f t="shared" ref="AC49:AN49" si="131">AC47*AC48</f>
        <v>0</v>
      </c>
      <c r="AD49" s="205">
        <f t="shared" si="131"/>
        <v>0</v>
      </c>
      <c r="AE49" s="205">
        <f t="shared" si="131"/>
        <v>0</v>
      </c>
      <c r="AF49" s="205">
        <f t="shared" si="131"/>
        <v>0</v>
      </c>
      <c r="AG49" s="205">
        <f t="shared" si="131"/>
        <v>0</v>
      </c>
      <c r="AH49" s="205">
        <f t="shared" si="131"/>
        <v>0</v>
      </c>
      <c r="AI49" s="205">
        <f t="shared" si="131"/>
        <v>0</v>
      </c>
      <c r="AJ49" s="205">
        <f t="shared" si="131"/>
        <v>0</v>
      </c>
      <c r="AK49" s="205">
        <f t="shared" si="131"/>
        <v>0</v>
      </c>
      <c r="AL49" s="205">
        <f t="shared" si="131"/>
        <v>0</v>
      </c>
      <c r="AM49" s="205">
        <f t="shared" si="131"/>
        <v>0</v>
      </c>
      <c r="AN49" s="205">
        <f t="shared" si="131"/>
        <v>0</v>
      </c>
    </row>
    <row r="50" spans="2:40" s="7" customFormat="1" ht="12" customHeight="1" outlineLevel="1">
      <c r="B50" s="239" t="s">
        <v>832</v>
      </c>
      <c r="C50" s="214" t="s">
        <v>833</v>
      </c>
      <c r="D50" s="212"/>
      <c r="E50" s="232">
        <f>28+13</f>
        <v>41</v>
      </c>
      <c r="F50" s="232">
        <f>10+14</f>
        <v>24</v>
      </c>
      <c r="G50" s="232">
        <f>19+11</f>
        <v>30</v>
      </c>
      <c r="H50" s="232">
        <f>87+26</f>
        <v>113</v>
      </c>
      <c r="I50" s="232">
        <f>45+37</f>
        <v>82</v>
      </c>
      <c r="J50" s="232">
        <f>248+233</f>
        <v>481</v>
      </c>
      <c r="K50" s="232">
        <f>402+136</f>
        <v>538</v>
      </c>
      <c r="L50" s="232">
        <f>25+402</f>
        <v>427</v>
      </c>
      <c r="M50" s="205">
        <f t="shared" ref="M50:Q50" si="132">M47+M49</f>
        <v>321.42857142857144</v>
      </c>
      <c r="N50" s="205">
        <f t="shared" si="132"/>
        <v>346.15384615384613</v>
      </c>
      <c r="O50" s="205">
        <f t="shared" si="132"/>
        <v>342.85714285714283</v>
      </c>
      <c r="P50" s="205">
        <f t="shared" si="132"/>
        <v>400</v>
      </c>
      <c r="Q50" s="205">
        <f t="shared" si="132"/>
        <v>690.90909090909088</v>
      </c>
      <c r="R50" s="205">
        <f t="shared" ref="R50:AB50" si="133">R47+R49</f>
        <v>829.09090909090912</v>
      </c>
      <c r="S50" s="205">
        <f>S47+S49</f>
        <v>1003.2000000000002</v>
      </c>
      <c r="T50" s="205">
        <f t="shared" si="133"/>
        <v>1241.4600000000003</v>
      </c>
      <c r="U50" s="205">
        <f t="shared" si="133"/>
        <v>1437.4800000000007</v>
      </c>
      <c r="V50" s="205">
        <f t="shared" si="133"/>
        <v>1581.228000000001</v>
      </c>
      <c r="W50" s="205">
        <f t="shared" si="133"/>
        <v>1660.289400000001</v>
      </c>
      <c r="X50" s="205">
        <f t="shared" si="133"/>
        <v>1743.3038700000009</v>
      </c>
      <c r="Y50" s="205">
        <f t="shared" si="133"/>
        <v>1830.4690635000013</v>
      </c>
      <c r="Z50" s="205">
        <f t="shared" si="133"/>
        <v>1921.9925166750015</v>
      </c>
      <c r="AA50" s="205">
        <f t="shared" si="133"/>
        <v>2018.0921425087515</v>
      </c>
      <c r="AB50" s="205">
        <f t="shared" si="133"/>
        <v>2118.9967496341892</v>
      </c>
      <c r="AC50" s="205">
        <f t="shared" ref="AC50:AN50" si="134">AC47+AC49</f>
        <v>2281.4531671061441</v>
      </c>
      <c r="AD50" s="205">
        <f t="shared" si="134"/>
        <v>2395.5258254614514</v>
      </c>
      <c r="AE50" s="205">
        <f t="shared" si="134"/>
        <v>2515.3021167345241</v>
      </c>
      <c r="AF50" s="205">
        <f t="shared" si="134"/>
        <v>2641.0672225712501</v>
      </c>
      <c r="AG50" s="205">
        <f t="shared" si="134"/>
        <v>2773.1205836998129</v>
      </c>
      <c r="AH50" s="205">
        <f t="shared" si="134"/>
        <v>2911.7766128848039</v>
      </c>
      <c r="AI50" s="205">
        <f t="shared" si="134"/>
        <v>3057.3654435290446</v>
      </c>
      <c r="AJ50" s="205">
        <f t="shared" si="134"/>
        <v>3210.2337157054967</v>
      </c>
      <c r="AK50" s="205">
        <f t="shared" si="134"/>
        <v>3370.7454014907721</v>
      </c>
      <c r="AL50" s="205">
        <f t="shared" si="134"/>
        <v>3539.2826715653105</v>
      </c>
      <c r="AM50" s="205">
        <f t="shared" si="134"/>
        <v>3716.2468051435762</v>
      </c>
      <c r="AN50" s="205">
        <f t="shared" si="134"/>
        <v>3902.0591454007554</v>
      </c>
    </row>
    <row r="51" spans="2:40" s="7" customFormat="1" ht="12" customHeight="1" outlineLevel="1">
      <c r="B51" s="239"/>
      <c r="C51" s="214" t="s">
        <v>834</v>
      </c>
      <c r="D51" s="212"/>
      <c r="E51" s="232">
        <f>E59+E60</f>
        <v>27.999999999999996</v>
      </c>
      <c r="F51" s="232">
        <v>14</v>
      </c>
      <c r="G51" s="232">
        <v>11</v>
      </c>
      <c r="H51" s="232">
        <v>26</v>
      </c>
      <c r="I51" s="232">
        <v>37</v>
      </c>
      <c r="J51" s="232">
        <v>248</v>
      </c>
      <c r="K51" s="232">
        <v>402</v>
      </c>
      <c r="L51" s="232">
        <v>402</v>
      </c>
      <c r="M51" s="205">
        <f t="shared" ref="M51:Q51" si="135">M59+M60</f>
        <v>321.42857142857144</v>
      </c>
      <c r="N51" s="205">
        <f t="shared" si="135"/>
        <v>346.15384615384613</v>
      </c>
      <c r="O51" s="205">
        <f t="shared" si="135"/>
        <v>342.85714285714283</v>
      </c>
      <c r="P51" s="205">
        <f t="shared" si="135"/>
        <v>400</v>
      </c>
      <c r="Q51" s="205">
        <f t="shared" si="135"/>
        <v>690.90909090909076</v>
      </c>
      <c r="R51" s="205">
        <f t="shared" ref="R51:AB51" si="136">R59+R60</f>
        <v>829.09090909090912</v>
      </c>
      <c r="S51" s="205">
        <f t="shared" si="136"/>
        <v>1003.2000000000002</v>
      </c>
      <c r="T51" s="205">
        <f t="shared" si="136"/>
        <v>1241.4600000000003</v>
      </c>
      <c r="U51" s="205">
        <f t="shared" si="136"/>
        <v>1437.4800000000007</v>
      </c>
      <c r="V51" s="205">
        <f t="shared" si="136"/>
        <v>1581.228000000001</v>
      </c>
      <c r="W51" s="205">
        <f t="shared" si="136"/>
        <v>1660.2894000000008</v>
      </c>
      <c r="X51" s="205">
        <f t="shared" si="136"/>
        <v>1743.3038700000006</v>
      </c>
      <c r="Y51" s="205">
        <f t="shared" si="136"/>
        <v>1830.4690635000013</v>
      </c>
      <c r="Z51" s="205">
        <f t="shared" si="136"/>
        <v>1921.9925166750015</v>
      </c>
      <c r="AA51" s="205">
        <f t="shared" si="136"/>
        <v>2018.0921425087513</v>
      </c>
      <c r="AB51" s="205">
        <f t="shared" si="136"/>
        <v>2118.9967496341892</v>
      </c>
      <c r="AC51" s="205">
        <f t="shared" ref="AC51:AN51" si="137">AC59+AC60</f>
        <v>2281.4531671061441</v>
      </c>
      <c r="AD51" s="205">
        <f t="shared" si="137"/>
        <v>2395.5258254614514</v>
      </c>
      <c r="AE51" s="205">
        <f t="shared" si="137"/>
        <v>2515.3021167345241</v>
      </c>
      <c r="AF51" s="205">
        <f t="shared" si="137"/>
        <v>2641.0672225712501</v>
      </c>
      <c r="AG51" s="205">
        <f t="shared" si="137"/>
        <v>2773.1205836998124</v>
      </c>
      <c r="AH51" s="205">
        <f t="shared" si="137"/>
        <v>2911.7766128848034</v>
      </c>
      <c r="AI51" s="205">
        <f t="shared" si="137"/>
        <v>3057.3654435290446</v>
      </c>
      <c r="AJ51" s="205">
        <f t="shared" si="137"/>
        <v>3210.2337157054963</v>
      </c>
      <c r="AK51" s="205">
        <f t="shared" si="137"/>
        <v>3370.7454014907717</v>
      </c>
      <c r="AL51" s="205">
        <f t="shared" si="137"/>
        <v>3539.28267156531</v>
      </c>
      <c r="AM51" s="205">
        <f t="shared" si="137"/>
        <v>3716.2468051435762</v>
      </c>
      <c r="AN51" s="205">
        <f t="shared" si="137"/>
        <v>3902.0591454007549</v>
      </c>
    </row>
    <row r="52" spans="2:40" s="7" customFormat="1" ht="12" customHeight="1" outlineLevel="1">
      <c r="B52" s="239"/>
      <c r="C52" s="214" t="s">
        <v>835</v>
      </c>
      <c r="D52" s="212"/>
      <c r="E52" s="232">
        <f>E45/E50</f>
        <v>0</v>
      </c>
      <c r="F52" s="232">
        <f t="shared" ref="F52:AN52" si="138">F45/F50</f>
        <v>0</v>
      </c>
      <c r="G52" s="232">
        <f t="shared" si="138"/>
        <v>0</v>
      </c>
      <c r="H52" s="232">
        <f t="shared" si="138"/>
        <v>0</v>
      </c>
      <c r="I52" s="232">
        <f t="shared" si="138"/>
        <v>0</v>
      </c>
      <c r="J52" s="232">
        <f>J45/J50</f>
        <v>0</v>
      </c>
      <c r="K52" s="232">
        <f t="shared" si="138"/>
        <v>0</v>
      </c>
      <c r="L52" s="232">
        <f t="shared" si="138"/>
        <v>0</v>
      </c>
      <c r="M52" s="205">
        <f t="shared" si="138"/>
        <v>140</v>
      </c>
      <c r="N52" s="205">
        <f t="shared" si="138"/>
        <v>130</v>
      </c>
      <c r="O52" s="205">
        <f t="shared" si="138"/>
        <v>140</v>
      </c>
      <c r="P52" s="205">
        <f t="shared" si="138"/>
        <v>120</v>
      </c>
      <c r="Q52" s="205">
        <f t="shared" si="138"/>
        <v>110</v>
      </c>
      <c r="R52" s="205">
        <f t="shared" si="138"/>
        <v>110</v>
      </c>
      <c r="S52" s="205">
        <f t="shared" si="138"/>
        <v>100</v>
      </c>
      <c r="T52" s="205">
        <f t="shared" si="138"/>
        <v>100</v>
      </c>
      <c r="U52" s="205">
        <f t="shared" si="138"/>
        <v>95</v>
      </c>
      <c r="V52" s="205">
        <f t="shared" si="138"/>
        <v>95</v>
      </c>
      <c r="W52" s="205">
        <f t="shared" si="138"/>
        <v>95</v>
      </c>
      <c r="X52" s="205">
        <f t="shared" si="138"/>
        <v>95</v>
      </c>
      <c r="Y52" s="205">
        <f t="shared" si="138"/>
        <v>95</v>
      </c>
      <c r="Z52" s="205">
        <f t="shared" si="138"/>
        <v>95</v>
      </c>
      <c r="AA52" s="205">
        <f t="shared" si="138"/>
        <v>95</v>
      </c>
      <c r="AB52" s="205">
        <f t="shared" si="138"/>
        <v>95.000000000000014</v>
      </c>
      <c r="AC52" s="205">
        <f t="shared" si="138"/>
        <v>90</v>
      </c>
      <c r="AD52" s="205">
        <f t="shared" si="138"/>
        <v>90</v>
      </c>
      <c r="AE52" s="205">
        <f t="shared" si="138"/>
        <v>90</v>
      </c>
      <c r="AF52" s="205">
        <f t="shared" si="138"/>
        <v>90</v>
      </c>
      <c r="AG52" s="205">
        <f t="shared" si="138"/>
        <v>90</v>
      </c>
      <c r="AH52" s="205">
        <f t="shared" si="138"/>
        <v>90</v>
      </c>
      <c r="AI52" s="205">
        <f t="shared" si="138"/>
        <v>90</v>
      </c>
      <c r="AJ52" s="205">
        <f t="shared" si="138"/>
        <v>90</v>
      </c>
      <c r="AK52" s="205">
        <f t="shared" si="138"/>
        <v>90</v>
      </c>
      <c r="AL52" s="205">
        <f t="shared" si="138"/>
        <v>90</v>
      </c>
      <c r="AM52" s="205">
        <f t="shared" si="138"/>
        <v>90</v>
      </c>
      <c r="AN52" s="205">
        <f t="shared" si="138"/>
        <v>90</v>
      </c>
    </row>
    <row r="53" spans="2:40" s="7" customFormat="1" ht="12" customHeight="1" outlineLevel="1">
      <c r="B53" s="239"/>
      <c r="C53" s="243" t="s">
        <v>836</v>
      </c>
      <c r="D53" s="212"/>
      <c r="E53" s="205"/>
      <c r="F53" s="205"/>
      <c r="G53" s="205"/>
      <c r="H53" s="205"/>
      <c r="I53" s="205"/>
      <c r="J53" s="205"/>
      <c r="K53" s="205"/>
      <c r="L53" s="205"/>
      <c r="M53" s="205"/>
      <c r="N53" s="205"/>
      <c r="O53" s="205"/>
      <c r="P53" s="205"/>
      <c r="Q53" s="205"/>
      <c r="R53" s="205"/>
      <c r="S53" s="205"/>
      <c r="T53" s="205"/>
      <c r="U53" s="205"/>
      <c r="V53" s="205"/>
      <c r="W53" s="205"/>
      <c r="X53" s="205"/>
      <c r="Y53" s="205"/>
      <c r="Z53" s="205"/>
      <c r="AA53" s="205"/>
      <c r="AB53" s="205"/>
      <c r="AC53" s="205"/>
      <c r="AD53" s="205"/>
      <c r="AE53" s="205"/>
      <c r="AF53" s="205"/>
      <c r="AG53" s="205"/>
      <c r="AH53" s="205"/>
      <c r="AI53" s="205"/>
      <c r="AJ53" s="205"/>
      <c r="AK53" s="205"/>
      <c r="AL53" s="205"/>
      <c r="AM53" s="205"/>
      <c r="AN53" s="205"/>
    </row>
    <row r="54" spans="2:40" ht="12" customHeight="1" outlineLevel="1">
      <c r="B54" s="316" t="s">
        <v>832</v>
      </c>
      <c r="C54" s="303" t="s">
        <v>837</v>
      </c>
      <c r="D54" s="302"/>
      <c r="E54" s="317">
        <f>13/(28+13)</f>
        <v>0.31707317073170732</v>
      </c>
      <c r="F54" s="317">
        <f>10/(10+14)</f>
        <v>0.41666666666666669</v>
      </c>
      <c r="G54" s="317">
        <f>19/(19+11)</f>
        <v>0.6333333333333333</v>
      </c>
      <c r="H54" s="317">
        <f>87/(87+26)</f>
        <v>0.76991150442477874</v>
      </c>
      <c r="I54" s="317">
        <f>45/(45+37)</f>
        <v>0.54878048780487809</v>
      </c>
      <c r="J54" s="317">
        <f>233/(248+233)</f>
        <v>0.48440748440748443</v>
      </c>
      <c r="K54" s="317">
        <f>136/(402+136)</f>
        <v>0.25278810408921931</v>
      </c>
      <c r="L54" s="317">
        <f>25/(402+25)</f>
        <v>5.8548009367681501E-2</v>
      </c>
      <c r="M54" s="318">
        <v>0</v>
      </c>
      <c r="N54" s="318">
        <f t="shared" ref="N54:AN54" si="139">M54</f>
        <v>0</v>
      </c>
      <c r="O54" s="318">
        <f t="shared" si="139"/>
        <v>0</v>
      </c>
      <c r="P54" s="318">
        <f t="shared" si="139"/>
        <v>0</v>
      </c>
      <c r="Q54" s="318">
        <v>0</v>
      </c>
      <c r="R54" s="318">
        <f t="shared" si="139"/>
        <v>0</v>
      </c>
      <c r="S54" s="318">
        <f t="shared" si="139"/>
        <v>0</v>
      </c>
      <c r="T54" s="318">
        <f t="shared" si="139"/>
        <v>0</v>
      </c>
      <c r="U54" s="318">
        <f t="shared" si="139"/>
        <v>0</v>
      </c>
      <c r="V54" s="318">
        <f t="shared" si="139"/>
        <v>0</v>
      </c>
      <c r="W54" s="318">
        <f t="shared" si="139"/>
        <v>0</v>
      </c>
      <c r="X54" s="318">
        <f t="shared" si="139"/>
        <v>0</v>
      </c>
      <c r="Y54" s="318">
        <f t="shared" si="139"/>
        <v>0</v>
      </c>
      <c r="Z54" s="318">
        <f t="shared" si="139"/>
        <v>0</v>
      </c>
      <c r="AA54" s="318">
        <f t="shared" si="139"/>
        <v>0</v>
      </c>
      <c r="AB54" s="318">
        <f t="shared" si="139"/>
        <v>0</v>
      </c>
      <c r="AC54" s="318">
        <f t="shared" si="139"/>
        <v>0</v>
      </c>
      <c r="AD54" s="318">
        <f t="shared" si="139"/>
        <v>0</v>
      </c>
      <c r="AE54" s="318">
        <f t="shared" si="139"/>
        <v>0</v>
      </c>
      <c r="AF54" s="318">
        <f t="shared" si="139"/>
        <v>0</v>
      </c>
      <c r="AG54" s="318">
        <f t="shared" si="139"/>
        <v>0</v>
      </c>
      <c r="AH54" s="318">
        <f t="shared" si="139"/>
        <v>0</v>
      </c>
      <c r="AI54" s="318">
        <f t="shared" si="139"/>
        <v>0</v>
      </c>
      <c r="AJ54" s="318">
        <f t="shared" si="139"/>
        <v>0</v>
      </c>
      <c r="AK54" s="318">
        <f t="shared" si="139"/>
        <v>0</v>
      </c>
      <c r="AL54" s="318">
        <f t="shared" si="139"/>
        <v>0</v>
      </c>
      <c r="AM54" s="318">
        <f t="shared" si="139"/>
        <v>0</v>
      </c>
      <c r="AN54" s="318">
        <f t="shared" si="139"/>
        <v>0</v>
      </c>
    </row>
    <row r="55" spans="2:40" ht="12" customHeight="1" outlineLevel="1">
      <c r="B55" s="301" t="s">
        <v>838</v>
      </c>
      <c r="C55" s="303" t="s">
        <v>839</v>
      </c>
      <c r="D55" s="302"/>
      <c r="E55" s="317">
        <f>112/(112+429)</f>
        <v>0.20702402957486138</v>
      </c>
      <c r="F55" s="317">
        <f t="shared" ref="F55:I55" si="140">112/(112+429)</f>
        <v>0.20702402957486138</v>
      </c>
      <c r="G55" s="317">
        <f t="shared" si="140"/>
        <v>0.20702402957486138</v>
      </c>
      <c r="H55" s="317">
        <f t="shared" si="140"/>
        <v>0.20702402957486138</v>
      </c>
      <c r="I55" s="317">
        <f t="shared" si="140"/>
        <v>0.20702402957486138</v>
      </c>
      <c r="J55" s="317">
        <f>231/(248+233)</f>
        <v>0.48024948024948028</v>
      </c>
      <c r="K55" s="317">
        <f>300/(402+136)</f>
        <v>0.55762081784386619</v>
      </c>
      <c r="L55" s="317">
        <f>280/(402+25)</f>
        <v>0.65573770491803274</v>
      </c>
      <c r="M55" s="318">
        <v>0.3</v>
      </c>
      <c r="N55" s="318">
        <v>0.2</v>
      </c>
      <c r="O55" s="318">
        <v>0.3</v>
      </c>
      <c r="P55" s="318">
        <v>0.3</v>
      </c>
      <c r="Q55" s="318">
        <v>0.3</v>
      </c>
      <c r="R55" s="318">
        <v>0.3</v>
      </c>
      <c r="S55" s="318">
        <v>0.3</v>
      </c>
      <c r="T55" s="318">
        <v>0.3</v>
      </c>
      <c r="U55" s="318">
        <v>0.3</v>
      </c>
      <c r="V55" s="318">
        <v>0.3</v>
      </c>
      <c r="W55" s="318">
        <v>0.3</v>
      </c>
      <c r="X55" s="318">
        <v>0.3</v>
      </c>
      <c r="Y55" s="318">
        <v>0.3</v>
      </c>
      <c r="Z55" s="318">
        <v>0.3</v>
      </c>
      <c r="AA55" s="318">
        <v>0.3</v>
      </c>
      <c r="AB55" s="318">
        <v>0.3</v>
      </c>
      <c r="AC55" s="318">
        <v>0.3</v>
      </c>
      <c r="AD55" s="318">
        <v>0.3</v>
      </c>
      <c r="AE55" s="318">
        <v>0.3</v>
      </c>
      <c r="AF55" s="318">
        <v>0.3</v>
      </c>
      <c r="AG55" s="318">
        <v>0.3</v>
      </c>
      <c r="AH55" s="318">
        <v>0.3</v>
      </c>
      <c r="AI55" s="318">
        <v>0.3</v>
      </c>
      <c r="AJ55" s="318">
        <v>0.3</v>
      </c>
      <c r="AK55" s="318">
        <v>0.3</v>
      </c>
      <c r="AL55" s="318">
        <v>0.3</v>
      </c>
      <c r="AM55" s="318">
        <v>0.3</v>
      </c>
      <c r="AN55" s="318">
        <v>0.3</v>
      </c>
    </row>
    <row r="56" spans="2:40" ht="12" customHeight="1" outlineLevel="1">
      <c r="B56" s="301"/>
      <c r="C56" s="303" t="s">
        <v>840</v>
      </c>
      <c r="D56" s="302"/>
      <c r="E56" s="317">
        <f>1-E54-E55</f>
        <v>0.47590279969343124</v>
      </c>
      <c r="F56" s="317">
        <f t="shared" ref="F56:H56" si="141">1-F54-F55</f>
        <v>0.37630930375847188</v>
      </c>
      <c r="G56" s="317">
        <f t="shared" si="141"/>
        <v>0.15964263709180532</v>
      </c>
      <c r="H56" s="317">
        <f t="shared" si="141"/>
        <v>2.3064466000359884E-2</v>
      </c>
      <c r="I56" s="317">
        <f>1-I54-I55</f>
        <v>0.24419548262026053</v>
      </c>
      <c r="J56" s="317">
        <f>1-J54-J55</f>
        <v>3.5343035343035345E-2</v>
      </c>
      <c r="K56" s="317">
        <f>1-K54-K55</f>
        <v>0.18959107806691455</v>
      </c>
      <c r="L56" s="317">
        <f>1-L54-L55</f>
        <v>0.28571428571428581</v>
      </c>
      <c r="M56" s="318">
        <v>0.7</v>
      </c>
      <c r="N56" s="318">
        <v>0.8</v>
      </c>
      <c r="O56" s="318">
        <v>0.7</v>
      </c>
      <c r="P56" s="318">
        <v>0.7</v>
      </c>
      <c r="Q56" s="318">
        <v>0.7</v>
      </c>
      <c r="R56" s="318">
        <v>0.7</v>
      </c>
      <c r="S56" s="318">
        <v>0.7</v>
      </c>
      <c r="T56" s="318">
        <v>0.7</v>
      </c>
      <c r="U56" s="318">
        <v>0.7</v>
      </c>
      <c r="V56" s="318">
        <v>0.7</v>
      </c>
      <c r="W56" s="318">
        <v>0.7</v>
      </c>
      <c r="X56" s="318">
        <v>0.7</v>
      </c>
      <c r="Y56" s="318">
        <v>0.7</v>
      </c>
      <c r="Z56" s="318">
        <v>0.7</v>
      </c>
      <c r="AA56" s="318">
        <v>0.7</v>
      </c>
      <c r="AB56" s="318">
        <v>0.7</v>
      </c>
      <c r="AC56" s="318">
        <v>0.7</v>
      </c>
      <c r="AD56" s="318">
        <v>0.7</v>
      </c>
      <c r="AE56" s="318">
        <v>0.7</v>
      </c>
      <c r="AF56" s="318">
        <v>0.7</v>
      </c>
      <c r="AG56" s="318">
        <v>0.7</v>
      </c>
      <c r="AH56" s="318">
        <v>0.7</v>
      </c>
      <c r="AI56" s="318">
        <v>0.7</v>
      </c>
      <c r="AJ56" s="318">
        <v>0.7</v>
      </c>
      <c r="AK56" s="318">
        <v>0.7</v>
      </c>
      <c r="AL56" s="318">
        <v>0.7</v>
      </c>
      <c r="AM56" s="318">
        <v>0.7</v>
      </c>
      <c r="AN56" s="318">
        <v>0.7</v>
      </c>
    </row>
    <row r="57" spans="2:40" s="7" customFormat="1" ht="12" customHeight="1" outlineLevel="1">
      <c r="B57" s="237"/>
      <c r="C57" s="208"/>
      <c r="D57" s="208"/>
      <c r="E57" s="208"/>
      <c r="F57" s="208"/>
      <c r="G57" s="208"/>
      <c r="H57" s="208"/>
      <c r="I57" s="208"/>
      <c r="J57" s="208"/>
      <c r="K57" s="208"/>
      <c r="L57" s="208"/>
      <c r="M57" s="208"/>
      <c r="N57" s="208"/>
      <c r="O57" s="208"/>
      <c r="P57" s="208"/>
      <c r="Q57" s="208"/>
      <c r="R57" s="208"/>
      <c r="S57" s="208"/>
      <c r="T57" s="208"/>
      <c r="U57" s="208"/>
      <c r="V57" s="208"/>
      <c r="W57" s="208"/>
      <c r="X57" s="208"/>
      <c r="Y57" s="208"/>
      <c r="Z57" s="208"/>
      <c r="AA57" s="208"/>
      <c r="AB57" s="208"/>
      <c r="AC57" s="208"/>
      <c r="AD57" s="208"/>
      <c r="AE57" s="208"/>
      <c r="AF57" s="208"/>
      <c r="AG57" s="208"/>
      <c r="AH57" s="208"/>
      <c r="AI57" s="208"/>
      <c r="AJ57" s="208"/>
      <c r="AK57" s="208"/>
      <c r="AL57" s="208"/>
      <c r="AM57" s="208"/>
      <c r="AN57" s="208"/>
    </row>
    <row r="58" spans="2:40" s="7" customFormat="1" ht="12" customHeight="1" outlineLevel="1">
      <c r="B58" s="239"/>
      <c r="C58" s="214" t="s">
        <v>841</v>
      </c>
      <c r="D58" s="214"/>
      <c r="E58" s="209">
        <f>E$50*E54</f>
        <v>13</v>
      </c>
      <c r="F58" s="209">
        <f>F$50*F54</f>
        <v>10</v>
      </c>
      <c r="G58" s="209">
        <f t="shared" ref="E58:P60" si="142">G$50*G54</f>
        <v>19</v>
      </c>
      <c r="H58" s="209">
        <f t="shared" si="142"/>
        <v>87</v>
      </c>
      <c r="I58" s="209">
        <f t="shared" si="142"/>
        <v>45</v>
      </c>
      <c r="J58" s="209">
        <f>J$50*J54</f>
        <v>233</v>
      </c>
      <c r="K58" s="209">
        <f t="shared" si="142"/>
        <v>136</v>
      </c>
      <c r="L58" s="209">
        <f t="shared" si="142"/>
        <v>25</v>
      </c>
      <c r="M58" s="209">
        <f t="shared" si="142"/>
        <v>0</v>
      </c>
      <c r="N58" s="209">
        <f t="shared" si="142"/>
        <v>0</v>
      </c>
      <c r="O58" s="209">
        <f t="shared" si="142"/>
        <v>0</v>
      </c>
      <c r="P58" s="209">
        <f t="shared" si="142"/>
        <v>0</v>
      </c>
      <c r="Q58" s="209">
        <f>Q$50*Q54</f>
        <v>0</v>
      </c>
      <c r="R58" s="209">
        <f t="shared" ref="R58:AN60" si="143">R$50*R54</f>
        <v>0</v>
      </c>
      <c r="S58" s="209">
        <f t="shared" si="143"/>
        <v>0</v>
      </c>
      <c r="T58" s="209">
        <f t="shared" si="143"/>
        <v>0</v>
      </c>
      <c r="U58" s="209">
        <f t="shared" si="143"/>
        <v>0</v>
      </c>
      <c r="V58" s="209">
        <f t="shared" si="143"/>
        <v>0</v>
      </c>
      <c r="W58" s="209">
        <f t="shared" si="143"/>
        <v>0</v>
      </c>
      <c r="X58" s="209">
        <f t="shared" si="143"/>
        <v>0</v>
      </c>
      <c r="Y58" s="209">
        <f t="shared" si="143"/>
        <v>0</v>
      </c>
      <c r="Z58" s="209">
        <f t="shared" si="143"/>
        <v>0</v>
      </c>
      <c r="AA58" s="209">
        <f t="shared" si="143"/>
        <v>0</v>
      </c>
      <c r="AB58" s="209">
        <f t="shared" si="143"/>
        <v>0</v>
      </c>
      <c r="AC58" s="209">
        <f t="shared" si="143"/>
        <v>0</v>
      </c>
      <c r="AD58" s="209">
        <f t="shared" si="143"/>
        <v>0</v>
      </c>
      <c r="AE58" s="209">
        <f t="shared" si="143"/>
        <v>0</v>
      </c>
      <c r="AF58" s="209">
        <f t="shared" si="143"/>
        <v>0</v>
      </c>
      <c r="AG58" s="209">
        <f t="shared" si="143"/>
        <v>0</v>
      </c>
      <c r="AH58" s="209">
        <f t="shared" si="143"/>
        <v>0</v>
      </c>
      <c r="AI58" s="209">
        <f t="shared" si="143"/>
        <v>0</v>
      </c>
      <c r="AJ58" s="209">
        <f t="shared" si="143"/>
        <v>0</v>
      </c>
      <c r="AK58" s="209">
        <f t="shared" si="143"/>
        <v>0</v>
      </c>
      <c r="AL58" s="209">
        <f t="shared" si="143"/>
        <v>0</v>
      </c>
      <c r="AM58" s="209">
        <f t="shared" si="143"/>
        <v>0</v>
      </c>
      <c r="AN58" s="209">
        <f t="shared" si="143"/>
        <v>0</v>
      </c>
    </row>
    <row r="59" spans="2:40" s="7" customFormat="1" ht="12" customHeight="1" outlineLevel="1">
      <c r="B59" s="239"/>
      <c r="C59" s="214" t="s">
        <v>842</v>
      </c>
      <c r="D59" s="214"/>
      <c r="E59" s="209">
        <f>E$50*E55</f>
        <v>8.4879852125693169</v>
      </c>
      <c r="F59" s="209">
        <f t="shared" si="142"/>
        <v>4.9685767097966735</v>
      </c>
      <c r="G59" s="209">
        <f t="shared" si="142"/>
        <v>6.2107208872458415</v>
      </c>
      <c r="H59" s="209">
        <f t="shared" si="142"/>
        <v>23.393715341959336</v>
      </c>
      <c r="I59" s="209">
        <f t="shared" si="142"/>
        <v>16.975970425138634</v>
      </c>
      <c r="J59" s="209">
        <f t="shared" si="142"/>
        <v>231</v>
      </c>
      <c r="K59" s="209">
        <f t="shared" si="142"/>
        <v>300</v>
      </c>
      <c r="L59" s="209">
        <f t="shared" si="142"/>
        <v>280</v>
      </c>
      <c r="M59" s="209">
        <f t="shared" si="142"/>
        <v>96.428571428571431</v>
      </c>
      <c r="N59" s="209">
        <f t="shared" si="142"/>
        <v>69.230769230769226</v>
      </c>
      <c r="O59" s="209">
        <f t="shared" si="142"/>
        <v>102.85714285714285</v>
      </c>
      <c r="P59" s="209">
        <f t="shared" si="142"/>
        <v>120</v>
      </c>
      <c r="Q59" s="209">
        <f>Q$50*Q55</f>
        <v>207.27272727272725</v>
      </c>
      <c r="R59" s="209">
        <f t="shared" si="143"/>
        <v>248.72727272727272</v>
      </c>
      <c r="S59" s="209">
        <f t="shared" si="143"/>
        <v>300.96000000000004</v>
      </c>
      <c r="T59" s="209">
        <f t="shared" si="143"/>
        <v>372.43800000000005</v>
      </c>
      <c r="U59" s="209">
        <f t="shared" si="143"/>
        <v>431.2440000000002</v>
      </c>
      <c r="V59" s="209">
        <f t="shared" si="143"/>
        <v>474.36840000000029</v>
      </c>
      <c r="W59" s="209">
        <f t="shared" si="143"/>
        <v>498.08682000000027</v>
      </c>
      <c r="X59" s="209">
        <f t="shared" si="143"/>
        <v>522.99116100000026</v>
      </c>
      <c r="Y59" s="209">
        <f t="shared" si="143"/>
        <v>549.14071905000037</v>
      </c>
      <c r="Z59" s="209">
        <f t="shared" si="143"/>
        <v>576.59775500250043</v>
      </c>
      <c r="AA59" s="209">
        <f t="shared" si="143"/>
        <v>605.42764275262539</v>
      </c>
      <c r="AB59" s="209">
        <f t="shared" si="143"/>
        <v>635.69902489025674</v>
      </c>
      <c r="AC59" s="209">
        <f t="shared" si="143"/>
        <v>684.43595013184324</v>
      </c>
      <c r="AD59" s="209">
        <f t="shared" si="143"/>
        <v>718.65774763843535</v>
      </c>
      <c r="AE59" s="209">
        <f t="shared" si="143"/>
        <v>754.59063502035724</v>
      </c>
      <c r="AF59" s="209">
        <f t="shared" si="143"/>
        <v>792.32016677137506</v>
      </c>
      <c r="AG59" s="209">
        <f t="shared" si="143"/>
        <v>831.93617510994386</v>
      </c>
      <c r="AH59" s="209">
        <f t="shared" si="143"/>
        <v>873.53298386544111</v>
      </c>
      <c r="AI59" s="209">
        <f t="shared" si="143"/>
        <v>917.20963305871339</v>
      </c>
      <c r="AJ59" s="209">
        <f t="shared" si="143"/>
        <v>963.07011471164901</v>
      </c>
      <c r="AK59" s="209">
        <f t="shared" si="143"/>
        <v>1011.2236204472316</v>
      </c>
      <c r="AL59" s="209">
        <f t="shared" si="143"/>
        <v>1061.784801469593</v>
      </c>
      <c r="AM59" s="209">
        <f t="shared" si="143"/>
        <v>1114.8740415430727</v>
      </c>
      <c r="AN59" s="209">
        <f t="shared" si="143"/>
        <v>1170.6177436202265</v>
      </c>
    </row>
    <row r="60" spans="2:40" s="7" customFormat="1" ht="12" customHeight="1" outlineLevel="1">
      <c r="B60" s="239"/>
      <c r="C60" s="214" t="s">
        <v>843</v>
      </c>
      <c r="D60" s="214"/>
      <c r="E60" s="209">
        <f t="shared" si="142"/>
        <v>19.51201478743068</v>
      </c>
      <c r="F60" s="209">
        <f t="shared" si="142"/>
        <v>9.0314232902033247</v>
      </c>
      <c r="G60" s="209">
        <f t="shared" si="142"/>
        <v>4.7892791127541594</v>
      </c>
      <c r="H60" s="209">
        <f t="shared" si="142"/>
        <v>2.6062846580406669</v>
      </c>
      <c r="I60" s="209">
        <f t="shared" si="142"/>
        <v>20.024029574861363</v>
      </c>
      <c r="J60" s="209">
        <f t="shared" si="142"/>
        <v>17</v>
      </c>
      <c r="K60" s="209">
        <f t="shared" si="142"/>
        <v>102.00000000000003</v>
      </c>
      <c r="L60" s="209">
        <f t="shared" si="142"/>
        <v>122.00000000000004</v>
      </c>
      <c r="M60" s="209">
        <f t="shared" si="142"/>
        <v>225</v>
      </c>
      <c r="N60" s="209">
        <f t="shared" si="142"/>
        <v>276.92307692307691</v>
      </c>
      <c r="O60" s="209">
        <f t="shared" si="142"/>
        <v>239.99999999999997</v>
      </c>
      <c r="P60" s="209">
        <f t="shared" si="142"/>
        <v>280</v>
      </c>
      <c r="Q60" s="209">
        <f>Q$50*Q56</f>
        <v>483.63636363636357</v>
      </c>
      <c r="R60" s="209">
        <f t="shared" si="143"/>
        <v>580.36363636363637</v>
      </c>
      <c r="S60" s="209">
        <f t="shared" si="143"/>
        <v>702.24000000000012</v>
      </c>
      <c r="T60" s="209">
        <f t="shared" si="143"/>
        <v>869.02200000000016</v>
      </c>
      <c r="U60" s="209">
        <f t="shared" si="143"/>
        <v>1006.2360000000004</v>
      </c>
      <c r="V60" s="209">
        <f t="shared" si="143"/>
        <v>1106.8596000000007</v>
      </c>
      <c r="W60" s="209">
        <f t="shared" si="143"/>
        <v>1162.2025800000006</v>
      </c>
      <c r="X60" s="209">
        <f t="shared" si="143"/>
        <v>1220.3127090000005</v>
      </c>
      <c r="Y60" s="209">
        <f t="shared" si="143"/>
        <v>1281.3283444500009</v>
      </c>
      <c r="Z60" s="209">
        <f t="shared" si="143"/>
        <v>1345.3947616725011</v>
      </c>
      <c r="AA60" s="209">
        <f t="shared" si="143"/>
        <v>1412.6644997561259</v>
      </c>
      <c r="AB60" s="209">
        <f t="shared" si="143"/>
        <v>1483.2977247439323</v>
      </c>
      <c r="AC60" s="209">
        <f t="shared" si="143"/>
        <v>1597.0172169743007</v>
      </c>
      <c r="AD60" s="209">
        <f t="shared" si="143"/>
        <v>1676.8680778230159</v>
      </c>
      <c r="AE60" s="209">
        <f t="shared" si="143"/>
        <v>1760.7114817141669</v>
      </c>
      <c r="AF60" s="209">
        <f t="shared" si="143"/>
        <v>1848.7470557998749</v>
      </c>
      <c r="AG60" s="209">
        <f t="shared" si="143"/>
        <v>1941.1844085898688</v>
      </c>
      <c r="AH60" s="209">
        <f t="shared" si="143"/>
        <v>2038.2436290193625</v>
      </c>
      <c r="AI60" s="209">
        <f t="shared" si="143"/>
        <v>2140.1558104703313</v>
      </c>
      <c r="AJ60" s="209">
        <f t="shared" si="143"/>
        <v>2247.1636009938475</v>
      </c>
      <c r="AK60" s="209">
        <f t="shared" si="143"/>
        <v>2359.5217810435402</v>
      </c>
      <c r="AL60" s="209">
        <f t="shared" si="143"/>
        <v>2477.4978700957172</v>
      </c>
      <c r="AM60" s="209">
        <f t="shared" si="143"/>
        <v>2601.3727636005033</v>
      </c>
      <c r="AN60" s="209">
        <f t="shared" si="143"/>
        <v>2731.4414017805284</v>
      </c>
    </row>
    <row r="61" spans="2:40" s="7" customFormat="1" ht="12" customHeight="1" outlineLevel="1">
      <c r="B61" s="239"/>
      <c r="C61" s="214" t="s">
        <v>844</v>
      </c>
      <c r="D61" s="214"/>
      <c r="E61" s="209">
        <f>ROUNDDOWN(SUM(E71:E107),0)-E58</f>
        <v>26</v>
      </c>
      <c r="F61" s="209">
        <f t="shared" ref="F61:AN61" si="144">ROUNDDOWN(SUM(F71:F107),0)-F58</f>
        <v>25</v>
      </c>
      <c r="G61" s="209">
        <f>ROUNDDOWN(SUM(G71:G107),0)-G58</f>
        <v>38</v>
      </c>
      <c r="H61" s="209">
        <f t="shared" si="144"/>
        <v>37</v>
      </c>
      <c r="I61" s="209">
        <f>ROUNDDOWN(SUM(I71:I107),0)-I58</f>
        <v>14</v>
      </c>
      <c r="J61" s="209">
        <f>ROUNDDOWN(SUM(J71:J107),0)-J58</f>
        <v>13</v>
      </c>
      <c r="K61" s="209">
        <f>ROUNDDOWN(SUM(K71:K107),0)-K58</f>
        <v>13</v>
      </c>
      <c r="L61" s="209">
        <f t="shared" si="144"/>
        <v>13</v>
      </c>
      <c r="M61" s="209">
        <f t="shared" si="144"/>
        <v>12</v>
      </c>
      <c r="N61" s="209">
        <f t="shared" si="144"/>
        <v>12</v>
      </c>
      <c r="O61" s="209">
        <f t="shared" si="144"/>
        <v>12</v>
      </c>
      <c r="P61" s="209">
        <f t="shared" si="144"/>
        <v>12</v>
      </c>
      <c r="Q61" s="209">
        <f t="shared" si="144"/>
        <v>11</v>
      </c>
      <c r="R61" s="209">
        <f t="shared" si="144"/>
        <v>11</v>
      </c>
      <c r="S61" s="209">
        <f t="shared" si="144"/>
        <v>11</v>
      </c>
      <c r="T61" s="209">
        <f t="shared" si="144"/>
        <v>11</v>
      </c>
      <c r="U61" s="209">
        <f t="shared" si="144"/>
        <v>10</v>
      </c>
      <c r="V61" s="209">
        <f t="shared" si="144"/>
        <v>10</v>
      </c>
      <c r="W61" s="209">
        <f t="shared" si="144"/>
        <v>10</v>
      </c>
      <c r="X61" s="209">
        <f t="shared" si="144"/>
        <v>10</v>
      </c>
      <c r="Y61" s="209">
        <f t="shared" si="144"/>
        <v>10</v>
      </c>
      <c r="Z61" s="209">
        <f t="shared" si="144"/>
        <v>9</v>
      </c>
      <c r="AA61" s="209">
        <f t="shared" si="144"/>
        <v>9</v>
      </c>
      <c r="AB61" s="209">
        <f t="shared" si="144"/>
        <v>9</v>
      </c>
      <c r="AC61" s="209">
        <f t="shared" si="144"/>
        <v>9</v>
      </c>
      <c r="AD61" s="209">
        <f t="shared" si="144"/>
        <v>9</v>
      </c>
      <c r="AE61" s="209">
        <f t="shared" si="144"/>
        <v>8</v>
      </c>
      <c r="AF61" s="209">
        <f t="shared" si="144"/>
        <v>8</v>
      </c>
      <c r="AG61" s="209">
        <f t="shared" si="144"/>
        <v>8</v>
      </c>
      <c r="AH61" s="209">
        <f t="shared" si="144"/>
        <v>8</v>
      </c>
      <c r="AI61" s="209">
        <f t="shared" si="144"/>
        <v>8</v>
      </c>
      <c r="AJ61" s="209">
        <f t="shared" si="144"/>
        <v>8</v>
      </c>
      <c r="AK61" s="209">
        <f t="shared" si="144"/>
        <v>7</v>
      </c>
      <c r="AL61" s="209">
        <f t="shared" si="144"/>
        <v>7</v>
      </c>
      <c r="AM61" s="209">
        <f t="shared" si="144"/>
        <v>7</v>
      </c>
      <c r="AN61" s="209">
        <f t="shared" si="144"/>
        <v>7</v>
      </c>
    </row>
    <row r="62" spans="2:40" s="7" customFormat="1" ht="12" customHeight="1" outlineLevel="1">
      <c r="B62" s="239"/>
      <c r="C62" s="214" t="s">
        <v>845</v>
      </c>
      <c r="D62" s="214"/>
      <c r="E62" s="209">
        <f>ROUNDDOWN(SUM(E112:E148),0)-E59</f>
        <v>27.512014787430683</v>
      </c>
      <c r="F62" s="209">
        <f>ROUNDDOWN(SUM(F112:F148),0)-F59</f>
        <v>33.031423290203328</v>
      </c>
      <c r="G62" s="209">
        <f t="shared" ref="G62:AN62" si="145">ROUNDDOWN(SUM(G112:G148),0)-G59</f>
        <v>34.789279112754159</v>
      </c>
      <c r="H62" s="209">
        <f t="shared" si="145"/>
        <v>37.606284658040664</v>
      </c>
      <c r="I62" s="209">
        <f t="shared" si="145"/>
        <v>51.024029574861366</v>
      </c>
      <c r="J62" s="209">
        <f t="shared" si="145"/>
        <v>59</v>
      </c>
      <c r="K62" s="209">
        <f t="shared" si="145"/>
        <v>213</v>
      </c>
      <c r="L62" s="209">
        <f t="shared" si="145"/>
        <v>385</v>
      </c>
      <c r="M62" s="209">
        <f t="shared" si="145"/>
        <v>510.57142857142856</v>
      </c>
      <c r="N62" s="209">
        <f t="shared" si="145"/>
        <v>490.76923076923077</v>
      </c>
      <c r="O62" s="209">
        <f t="shared" si="145"/>
        <v>488.14285714285717</v>
      </c>
      <c r="P62" s="209">
        <f t="shared" si="145"/>
        <v>504</v>
      </c>
      <c r="Q62" s="209">
        <f t="shared" si="145"/>
        <v>515.72727272727275</v>
      </c>
      <c r="R62" s="209">
        <f t="shared" si="145"/>
        <v>563.27272727272725</v>
      </c>
      <c r="S62" s="209">
        <f t="shared" si="145"/>
        <v>636.04</v>
      </c>
      <c r="T62" s="209">
        <f t="shared" si="145"/>
        <v>740.5619999999999</v>
      </c>
      <c r="U62" s="209">
        <f>ROUNDDOWN(SUM(U112:U148),0)-U59</f>
        <v>882.75599999999986</v>
      </c>
      <c r="V62" s="209">
        <f t="shared" si="145"/>
        <v>1055.6315999999997</v>
      </c>
      <c r="W62" s="209">
        <f t="shared" si="145"/>
        <v>1227.9131799999998</v>
      </c>
      <c r="X62" s="209">
        <f t="shared" si="145"/>
        <v>1389.0088389999996</v>
      </c>
      <c r="Y62" s="209">
        <f t="shared" si="145"/>
        <v>1541.8592809499996</v>
      </c>
      <c r="Z62" s="209">
        <f t="shared" si="145"/>
        <v>1688.4022449974996</v>
      </c>
      <c r="AA62" s="209">
        <f t="shared" si="145"/>
        <v>1826.5723572473746</v>
      </c>
      <c r="AB62" s="209">
        <f t="shared" si="145"/>
        <v>1962.3009751097434</v>
      </c>
      <c r="AC62" s="209">
        <f t="shared" si="145"/>
        <v>2099.5640498681569</v>
      </c>
      <c r="AD62" s="209">
        <f t="shared" si="145"/>
        <v>2254.3422523615645</v>
      </c>
      <c r="AE62" s="209">
        <f t="shared" si="145"/>
        <v>2412.4093649796428</v>
      </c>
      <c r="AF62" s="209">
        <f t="shared" si="145"/>
        <v>2571.6798332286248</v>
      </c>
      <c r="AG62" s="209">
        <f t="shared" si="145"/>
        <v>2736.0638248900559</v>
      </c>
      <c r="AH62" s="209">
        <f t="shared" si="145"/>
        <v>2905.4670161345589</v>
      </c>
      <c r="AI62" s="209">
        <f t="shared" si="145"/>
        <v>3076.7903669412867</v>
      </c>
      <c r="AJ62" s="209">
        <f t="shared" si="145"/>
        <v>3254.9298852883512</v>
      </c>
      <c r="AK62" s="209">
        <f t="shared" si="145"/>
        <v>3438.7763795527685</v>
      </c>
      <c r="AL62" s="209">
        <f t="shared" si="145"/>
        <v>3629.2151985304072</v>
      </c>
      <c r="AM62" s="209">
        <f t="shared" si="145"/>
        <v>3829.125958456927</v>
      </c>
      <c r="AN62" s="209">
        <f t="shared" si="145"/>
        <v>3828.3822563797735</v>
      </c>
    </row>
    <row r="63" spans="2:40" s="7" customFormat="1" ht="12" customHeight="1" outlineLevel="1">
      <c r="B63" s="239"/>
      <c r="C63" s="214" t="s">
        <v>846</v>
      </c>
      <c r="D63" s="214"/>
      <c r="E63" s="209">
        <f>ROUNDDOWN(SUM(E154:E190),0)-E60</f>
        <v>56.48798521256932</v>
      </c>
      <c r="F63" s="209">
        <f>ROUNDDOWN(SUM(F154:F190),0)-F60</f>
        <v>40.968576709796679</v>
      </c>
      <c r="G63" s="209">
        <f t="shared" ref="G63:AN63" si="146">ROUNDDOWN(SUM(G154:G190),0)-G60</f>
        <v>82.210720887245841</v>
      </c>
      <c r="H63" s="209">
        <f t="shared" si="146"/>
        <v>46.393715341959336</v>
      </c>
      <c r="I63" s="209">
        <f t="shared" si="146"/>
        <v>7.9759704251386374</v>
      </c>
      <c r="J63" s="209">
        <f t="shared" si="146"/>
        <v>85</v>
      </c>
      <c r="K63" s="209">
        <f t="shared" si="146"/>
        <v>39.999999999999972</v>
      </c>
      <c r="L63" s="209">
        <f>ROUNDDOWN(SUM(L154:L190),0)-L60</f>
        <v>22.999999999999957</v>
      </c>
      <c r="M63" s="209">
        <f>ROUNDDOWN(SUM(M154:M190),0)-M60</f>
        <v>98</v>
      </c>
      <c r="N63" s="209">
        <f t="shared" si="146"/>
        <v>133.07692307692309</v>
      </c>
      <c r="O63" s="209">
        <f t="shared" si="146"/>
        <v>129.00000000000003</v>
      </c>
      <c r="P63" s="209">
        <f t="shared" si="146"/>
        <v>302</v>
      </c>
      <c r="Q63" s="209">
        <f t="shared" si="146"/>
        <v>348.36363636363643</v>
      </c>
      <c r="R63" s="209">
        <f t="shared" si="146"/>
        <v>334.63636363636363</v>
      </c>
      <c r="S63" s="209">
        <f t="shared" si="146"/>
        <v>462.75999999999988</v>
      </c>
      <c r="T63" s="209">
        <f t="shared" si="146"/>
        <v>668.97799999999984</v>
      </c>
      <c r="U63" s="209">
        <f t="shared" si="146"/>
        <v>746.76399999999956</v>
      </c>
      <c r="V63" s="209">
        <f t="shared" si="146"/>
        <v>978.14039999999932</v>
      </c>
      <c r="W63" s="209">
        <f t="shared" si="146"/>
        <v>1242.7974199999994</v>
      </c>
      <c r="X63" s="209">
        <f t="shared" si="146"/>
        <v>1403.6872909999995</v>
      </c>
      <c r="Y63" s="209">
        <f t="shared" si="146"/>
        <v>1669.6716555499991</v>
      </c>
      <c r="Z63" s="209">
        <f t="shared" si="146"/>
        <v>1874.6052383274989</v>
      </c>
      <c r="AA63" s="209">
        <f t="shared" si="146"/>
        <v>2016.3355002438741</v>
      </c>
      <c r="AB63" s="209">
        <f t="shared" si="146"/>
        <v>2262.7022752560679</v>
      </c>
      <c r="AC63" s="209">
        <f t="shared" si="146"/>
        <v>2465.9827830256991</v>
      </c>
      <c r="AD63" s="209">
        <f t="shared" si="146"/>
        <v>2627.1319221769841</v>
      </c>
      <c r="AE63" s="209">
        <f t="shared" si="146"/>
        <v>2893.2885182858331</v>
      </c>
      <c r="AF63" s="209">
        <f t="shared" si="146"/>
        <v>3123.2529442001251</v>
      </c>
      <c r="AG63" s="209">
        <f t="shared" si="146"/>
        <v>3299.8155914101312</v>
      </c>
      <c r="AH63" s="209">
        <f t="shared" si="146"/>
        <v>3578.7563709806373</v>
      </c>
      <c r="AI63" s="209">
        <f t="shared" si="146"/>
        <v>3797.8441895296687</v>
      </c>
      <c r="AJ63" s="209">
        <f t="shared" si="146"/>
        <v>3990.8363990061525</v>
      </c>
      <c r="AK63" s="209">
        <f t="shared" si="146"/>
        <v>4290.4782189564594</v>
      </c>
      <c r="AL63" s="209">
        <f t="shared" si="146"/>
        <v>4536.5021299042828</v>
      </c>
      <c r="AM63" s="209">
        <f t="shared" si="146"/>
        <v>4763.6272363994967</v>
      </c>
      <c r="AN63" s="209">
        <f t="shared" si="146"/>
        <v>5097.5585982194716</v>
      </c>
    </row>
    <row r="64" spans="2:40" s="7" customFormat="1" ht="12" customHeight="1" outlineLevel="1">
      <c r="B64" s="237"/>
      <c r="C64" s="214" t="s">
        <v>833</v>
      </c>
      <c r="D64" s="214"/>
      <c r="E64" s="210">
        <f>SUM(E58:E60)</f>
        <v>41</v>
      </c>
      <c r="F64" s="210">
        <f t="shared" ref="F64:P64" si="147">SUM(F58:F60)</f>
        <v>24</v>
      </c>
      <c r="G64" s="210">
        <f t="shared" si="147"/>
        <v>30</v>
      </c>
      <c r="H64" s="210">
        <f t="shared" si="147"/>
        <v>113</v>
      </c>
      <c r="I64" s="210">
        <f t="shared" si="147"/>
        <v>82</v>
      </c>
      <c r="J64" s="210">
        <f>SUM(J58:J60)</f>
        <v>481</v>
      </c>
      <c r="K64" s="210">
        <f t="shared" si="147"/>
        <v>538</v>
      </c>
      <c r="L64" s="210">
        <f t="shared" si="147"/>
        <v>427.00000000000006</v>
      </c>
      <c r="M64" s="210">
        <f t="shared" si="147"/>
        <v>321.42857142857144</v>
      </c>
      <c r="N64" s="210">
        <f t="shared" si="147"/>
        <v>346.15384615384613</v>
      </c>
      <c r="O64" s="210">
        <f t="shared" si="147"/>
        <v>342.85714285714283</v>
      </c>
      <c r="P64" s="210">
        <f t="shared" si="147"/>
        <v>400</v>
      </c>
      <c r="Q64" s="210">
        <f>SUM(Q58:Q60)</f>
        <v>690.90909090909076</v>
      </c>
      <c r="R64" s="210">
        <f t="shared" ref="R64:AN64" si="148">SUM(R58:R60)</f>
        <v>829.09090909090912</v>
      </c>
      <c r="S64" s="210">
        <f t="shared" si="148"/>
        <v>1003.2000000000002</v>
      </c>
      <c r="T64" s="210">
        <f t="shared" si="148"/>
        <v>1241.4600000000003</v>
      </c>
      <c r="U64" s="210">
        <f t="shared" si="148"/>
        <v>1437.4800000000007</v>
      </c>
      <c r="V64" s="210">
        <f t="shared" si="148"/>
        <v>1581.228000000001</v>
      </c>
      <c r="W64" s="210">
        <f t="shared" si="148"/>
        <v>1660.2894000000008</v>
      </c>
      <c r="X64" s="210">
        <f t="shared" si="148"/>
        <v>1743.3038700000006</v>
      </c>
      <c r="Y64" s="210">
        <f t="shared" si="148"/>
        <v>1830.4690635000013</v>
      </c>
      <c r="Z64" s="210">
        <f t="shared" si="148"/>
        <v>1921.9925166750015</v>
      </c>
      <c r="AA64" s="210">
        <f t="shared" si="148"/>
        <v>2018.0921425087513</v>
      </c>
      <c r="AB64" s="210">
        <f t="shared" si="148"/>
        <v>2118.9967496341892</v>
      </c>
      <c r="AC64" s="210">
        <f t="shared" si="148"/>
        <v>2281.4531671061441</v>
      </c>
      <c r="AD64" s="210">
        <f t="shared" si="148"/>
        <v>2395.5258254614514</v>
      </c>
      <c r="AE64" s="210">
        <f t="shared" si="148"/>
        <v>2515.3021167345241</v>
      </c>
      <c r="AF64" s="210">
        <f t="shared" si="148"/>
        <v>2641.0672225712501</v>
      </c>
      <c r="AG64" s="210">
        <f t="shared" si="148"/>
        <v>2773.1205836998124</v>
      </c>
      <c r="AH64" s="210">
        <f t="shared" si="148"/>
        <v>2911.7766128848034</v>
      </c>
      <c r="AI64" s="210">
        <f t="shared" si="148"/>
        <v>3057.3654435290446</v>
      </c>
      <c r="AJ64" s="210">
        <f t="shared" si="148"/>
        <v>3210.2337157054963</v>
      </c>
      <c r="AK64" s="210">
        <f t="shared" si="148"/>
        <v>3370.7454014907717</v>
      </c>
      <c r="AL64" s="210">
        <f t="shared" si="148"/>
        <v>3539.28267156531</v>
      </c>
      <c r="AM64" s="210">
        <f t="shared" si="148"/>
        <v>3716.2468051435762</v>
      </c>
      <c r="AN64" s="210">
        <f t="shared" si="148"/>
        <v>3902.0591454007549</v>
      </c>
    </row>
    <row r="65" spans="2:40" s="7" customFormat="1" ht="12" customHeight="1" outlineLevel="1">
      <c r="B65" s="237"/>
      <c r="C65" s="214" t="s">
        <v>847</v>
      </c>
      <c r="D65" s="214"/>
      <c r="E65" s="210">
        <f t="shared" ref="E65:AN65" si="149">SUM(E61:E63)</f>
        <v>110</v>
      </c>
      <c r="F65" s="210">
        <f t="shared" si="149"/>
        <v>99</v>
      </c>
      <c r="G65" s="210">
        <f t="shared" si="149"/>
        <v>155</v>
      </c>
      <c r="H65" s="210">
        <f t="shared" si="149"/>
        <v>121</v>
      </c>
      <c r="I65" s="210">
        <f t="shared" si="149"/>
        <v>73.000000000000014</v>
      </c>
      <c r="J65" s="210">
        <f t="shared" si="149"/>
        <v>157</v>
      </c>
      <c r="K65" s="210">
        <f t="shared" si="149"/>
        <v>266</v>
      </c>
      <c r="L65" s="210">
        <f t="shared" si="149"/>
        <v>420.99999999999994</v>
      </c>
      <c r="M65" s="210">
        <f>SUM(M61:M63)</f>
        <v>620.57142857142856</v>
      </c>
      <c r="N65" s="210">
        <f t="shared" si="149"/>
        <v>635.84615384615381</v>
      </c>
      <c r="O65" s="210">
        <f t="shared" si="149"/>
        <v>629.14285714285722</v>
      </c>
      <c r="P65" s="210">
        <f t="shared" si="149"/>
        <v>818</v>
      </c>
      <c r="Q65" s="210">
        <f t="shared" si="149"/>
        <v>875.09090909090924</v>
      </c>
      <c r="R65" s="210">
        <f t="shared" si="149"/>
        <v>908.90909090909088</v>
      </c>
      <c r="S65" s="210">
        <f t="shared" si="149"/>
        <v>1109.7999999999997</v>
      </c>
      <c r="T65" s="210">
        <f t="shared" si="149"/>
        <v>1420.5399999999997</v>
      </c>
      <c r="U65" s="210">
        <f t="shared" si="149"/>
        <v>1639.5199999999995</v>
      </c>
      <c r="V65" s="210">
        <f t="shared" si="149"/>
        <v>2043.771999999999</v>
      </c>
      <c r="W65" s="210">
        <f t="shared" si="149"/>
        <v>2480.7105999999994</v>
      </c>
      <c r="X65" s="210">
        <f t="shared" si="149"/>
        <v>2802.6961299999994</v>
      </c>
      <c r="Y65" s="210">
        <f t="shared" si="149"/>
        <v>3221.5309364999985</v>
      </c>
      <c r="Z65" s="210">
        <f t="shared" si="149"/>
        <v>3572.0074833249982</v>
      </c>
      <c r="AA65" s="210">
        <f t="shared" si="149"/>
        <v>3851.9078574912487</v>
      </c>
      <c r="AB65" s="210">
        <f t="shared" si="149"/>
        <v>4234.0032503658113</v>
      </c>
      <c r="AC65" s="210">
        <f t="shared" si="149"/>
        <v>4574.5468328938559</v>
      </c>
      <c r="AD65" s="210">
        <f t="shared" si="149"/>
        <v>4890.4741745385491</v>
      </c>
      <c r="AE65" s="210">
        <f t="shared" si="149"/>
        <v>5313.6978832654759</v>
      </c>
      <c r="AF65" s="210">
        <f t="shared" si="149"/>
        <v>5702.9327774287503</v>
      </c>
      <c r="AG65" s="210">
        <f t="shared" si="149"/>
        <v>6043.8794163001876</v>
      </c>
      <c r="AH65" s="210">
        <f t="shared" si="149"/>
        <v>6492.2233871151966</v>
      </c>
      <c r="AI65" s="210">
        <f t="shared" si="149"/>
        <v>6882.6345564709554</v>
      </c>
      <c r="AJ65" s="210">
        <f t="shared" si="149"/>
        <v>7253.7662842945037</v>
      </c>
      <c r="AK65" s="210">
        <f t="shared" si="149"/>
        <v>7736.2545985092274</v>
      </c>
      <c r="AL65" s="210">
        <f t="shared" si="149"/>
        <v>8172.71732843469</v>
      </c>
      <c r="AM65" s="210">
        <f t="shared" si="149"/>
        <v>8599.7531948564247</v>
      </c>
      <c r="AN65" s="210">
        <f t="shared" si="149"/>
        <v>8932.9408545992446</v>
      </c>
    </row>
    <row r="66" spans="2:40" s="7" customFormat="1" ht="12" customHeight="1" outlineLevel="1">
      <c r="B66" s="237"/>
      <c r="C66" s="214" t="s">
        <v>848</v>
      </c>
      <c r="D66" s="214"/>
      <c r="E66" s="205">
        <f t="shared" ref="E66:AN66" si="150">SUM(E64:E65)</f>
        <v>151</v>
      </c>
      <c r="F66" s="205">
        <f t="shared" si="150"/>
        <v>123</v>
      </c>
      <c r="G66" s="205">
        <f t="shared" si="150"/>
        <v>185</v>
      </c>
      <c r="H66" s="205">
        <f t="shared" si="150"/>
        <v>234</v>
      </c>
      <c r="I66" s="205">
        <f t="shared" si="150"/>
        <v>155</v>
      </c>
      <c r="J66" s="205">
        <f>SUM(J64:J65)</f>
        <v>638</v>
      </c>
      <c r="K66" s="205">
        <f t="shared" si="150"/>
        <v>804</v>
      </c>
      <c r="L66" s="205">
        <f t="shared" si="150"/>
        <v>848</v>
      </c>
      <c r="M66" s="205">
        <f t="shared" si="150"/>
        <v>942</v>
      </c>
      <c r="N66" s="205">
        <f t="shared" si="150"/>
        <v>982</v>
      </c>
      <c r="O66" s="205">
        <f t="shared" si="150"/>
        <v>972</v>
      </c>
      <c r="P66" s="205">
        <f t="shared" si="150"/>
        <v>1218</v>
      </c>
      <c r="Q66" s="205">
        <f t="shared" si="150"/>
        <v>1566</v>
      </c>
      <c r="R66" s="205">
        <f t="shared" si="150"/>
        <v>1738</v>
      </c>
      <c r="S66" s="205">
        <f t="shared" si="150"/>
        <v>2113</v>
      </c>
      <c r="T66" s="205">
        <f t="shared" si="150"/>
        <v>2662</v>
      </c>
      <c r="U66" s="205">
        <f t="shared" si="150"/>
        <v>3077</v>
      </c>
      <c r="V66" s="205">
        <f t="shared" si="150"/>
        <v>3625</v>
      </c>
      <c r="W66" s="205">
        <f t="shared" si="150"/>
        <v>4141</v>
      </c>
      <c r="X66" s="205">
        <f t="shared" si="150"/>
        <v>4546</v>
      </c>
      <c r="Y66" s="205">
        <f t="shared" si="150"/>
        <v>5052</v>
      </c>
      <c r="Z66" s="205">
        <f t="shared" si="150"/>
        <v>5494</v>
      </c>
      <c r="AA66" s="205">
        <f t="shared" si="150"/>
        <v>5870</v>
      </c>
      <c r="AB66" s="205">
        <f t="shared" si="150"/>
        <v>6353</v>
      </c>
      <c r="AC66" s="205">
        <f t="shared" si="150"/>
        <v>6856</v>
      </c>
      <c r="AD66" s="205">
        <f t="shared" si="150"/>
        <v>7286</v>
      </c>
      <c r="AE66" s="205">
        <f t="shared" si="150"/>
        <v>7829</v>
      </c>
      <c r="AF66" s="205">
        <f t="shared" si="150"/>
        <v>8344</v>
      </c>
      <c r="AG66" s="205">
        <f t="shared" si="150"/>
        <v>8817</v>
      </c>
      <c r="AH66" s="205">
        <f t="shared" si="150"/>
        <v>9404</v>
      </c>
      <c r="AI66" s="205">
        <f t="shared" si="150"/>
        <v>9940</v>
      </c>
      <c r="AJ66" s="205">
        <f t="shared" si="150"/>
        <v>10464</v>
      </c>
      <c r="AK66" s="205">
        <f t="shared" si="150"/>
        <v>11107</v>
      </c>
      <c r="AL66" s="205">
        <f t="shared" si="150"/>
        <v>11712</v>
      </c>
      <c r="AM66" s="205">
        <f t="shared" si="150"/>
        <v>12316</v>
      </c>
      <c r="AN66" s="205">
        <f t="shared" si="150"/>
        <v>12835</v>
      </c>
    </row>
    <row r="67" spans="2:40" s="7" customFormat="1" ht="12" customHeight="1" outlineLevel="1">
      <c r="B67" s="239"/>
      <c r="C67" s="214"/>
      <c r="D67" s="214"/>
      <c r="E67" s="211"/>
      <c r="F67" s="211"/>
      <c r="G67" s="211"/>
      <c r="H67" s="211"/>
      <c r="I67" s="211"/>
      <c r="J67" s="211"/>
      <c r="K67" s="211"/>
      <c r="L67" s="211"/>
      <c r="M67" s="211"/>
      <c r="N67" s="211"/>
      <c r="O67" s="211"/>
      <c r="P67" s="211"/>
      <c r="Q67" s="211"/>
      <c r="R67" s="211"/>
      <c r="S67" s="211"/>
      <c r="T67" s="211"/>
      <c r="U67" s="211"/>
      <c r="V67" s="211"/>
      <c r="W67" s="211"/>
      <c r="X67" s="211"/>
      <c r="Y67" s="211"/>
      <c r="Z67" s="211"/>
      <c r="AA67" s="211"/>
      <c r="AB67" s="211"/>
      <c r="AC67" s="211"/>
      <c r="AD67" s="211"/>
      <c r="AE67" s="211"/>
      <c r="AF67" s="211"/>
      <c r="AG67" s="211"/>
      <c r="AH67" s="211"/>
      <c r="AI67" s="211"/>
      <c r="AJ67" s="211"/>
      <c r="AK67" s="211"/>
      <c r="AL67" s="211"/>
      <c r="AM67" s="211"/>
      <c r="AN67" s="211"/>
    </row>
    <row r="68" spans="2:40" s="7" customFormat="1" ht="12" customHeight="1" outlineLevel="2">
      <c r="B68" s="239"/>
      <c r="C68" s="243" t="s">
        <v>849</v>
      </c>
      <c r="D68" s="214"/>
      <c r="O68" s="212"/>
      <c r="P68" s="212"/>
      <c r="Q68" s="212"/>
      <c r="R68" s="212"/>
      <c r="S68" s="212"/>
      <c r="T68" s="212"/>
      <c r="U68" s="212"/>
      <c r="V68" s="212"/>
      <c r="W68" s="212"/>
      <c r="X68" s="212"/>
      <c r="Y68" s="212"/>
      <c r="Z68" s="212"/>
      <c r="AA68" s="212"/>
      <c r="AB68" s="212"/>
      <c r="AC68" s="212"/>
      <c r="AD68" s="212"/>
      <c r="AE68" s="212"/>
      <c r="AF68" s="212"/>
      <c r="AG68" s="212"/>
      <c r="AH68" s="212"/>
      <c r="AI68" s="212"/>
      <c r="AJ68" s="212"/>
      <c r="AK68" s="212"/>
      <c r="AL68" s="212"/>
      <c r="AM68" s="212"/>
      <c r="AN68" s="212"/>
    </row>
    <row r="69" spans="2:40" s="7" customFormat="1" ht="12" customHeight="1" outlineLevel="2">
      <c r="B69" s="239"/>
      <c r="C69" s="214" t="s">
        <v>850</v>
      </c>
      <c r="D69" s="214"/>
      <c r="E69" s="196" t="s">
        <v>753</v>
      </c>
      <c r="F69" s="196" t="s">
        <v>754</v>
      </c>
      <c r="G69" s="196" t="s">
        <v>755</v>
      </c>
      <c r="H69" s="196" t="s">
        <v>756</v>
      </c>
      <c r="I69" s="196" t="s">
        <v>757</v>
      </c>
      <c r="J69" s="196" t="s">
        <v>758</v>
      </c>
      <c r="K69" s="196" t="s">
        <v>759</v>
      </c>
      <c r="L69" s="196" t="s">
        <v>760</v>
      </c>
      <c r="M69" s="196" t="s">
        <v>761</v>
      </c>
      <c r="N69" s="196" t="s">
        <v>762</v>
      </c>
      <c r="O69" s="196" t="s">
        <v>763</v>
      </c>
      <c r="P69" s="196" t="s">
        <v>764</v>
      </c>
      <c r="Q69" s="196" t="s">
        <v>765</v>
      </c>
      <c r="R69" s="196" t="s">
        <v>766</v>
      </c>
      <c r="S69" s="196" t="s">
        <v>767</v>
      </c>
      <c r="T69" s="196" t="s">
        <v>768</v>
      </c>
      <c r="U69" s="196" t="s">
        <v>769</v>
      </c>
      <c r="V69" s="196" t="s">
        <v>770</v>
      </c>
      <c r="W69" s="196" t="s">
        <v>771</v>
      </c>
      <c r="X69" s="196" t="s">
        <v>772</v>
      </c>
      <c r="Y69" s="196" t="s">
        <v>773</v>
      </c>
      <c r="Z69" s="196" t="s">
        <v>774</v>
      </c>
      <c r="AA69" s="196" t="s">
        <v>775</v>
      </c>
      <c r="AB69" s="196" t="s">
        <v>776</v>
      </c>
      <c r="AC69" s="196" t="s">
        <v>777</v>
      </c>
      <c r="AD69" s="196" t="s">
        <v>778</v>
      </c>
      <c r="AE69" s="196" t="s">
        <v>779</v>
      </c>
      <c r="AF69" s="196" t="s">
        <v>780</v>
      </c>
      <c r="AG69" s="196" t="s">
        <v>781</v>
      </c>
      <c r="AH69" s="196" t="s">
        <v>782</v>
      </c>
      <c r="AI69" s="196" t="s">
        <v>783</v>
      </c>
      <c r="AJ69" s="196" t="s">
        <v>784</v>
      </c>
      <c r="AK69" s="196" t="s">
        <v>785</v>
      </c>
      <c r="AL69" s="196" t="s">
        <v>786</v>
      </c>
      <c r="AM69" s="196" t="s">
        <v>787</v>
      </c>
      <c r="AN69" s="196" t="s">
        <v>788</v>
      </c>
    </row>
    <row r="70" spans="2:40" s="7" customFormat="1" ht="12" customHeight="1" outlineLevel="2">
      <c r="B70" s="239"/>
      <c r="C70" s="212" t="s">
        <v>851</v>
      </c>
      <c r="D70" s="212"/>
      <c r="E70" s="339">
        <v>0</v>
      </c>
      <c r="F70" s="339">
        <v>0</v>
      </c>
      <c r="G70" s="339">
        <v>0</v>
      </c>
      <c r="H70" s="339">
        <v>0</v>
      </c>
      <c r="I70" s="339">
        <v>0</v>
      </c>
      <c r="J70" s="339">
        <v>0</v>
      </c>
      <c r="K70" s="339">
        <v>0</v>
      </c>
      <c r="L70" s="339">
        <v>0</v>
      </c>
      <c r="M70" s="339">
        <v>0</v>
      </c>
      <c r="N70" s="339">
        <v>0</v>
      </c>
      <c r="O70" s="339">
        <v>0</v>
      </c>
      <c r="P70" s="339">
        <v>0</v>
      </c>
      <c r="Q70" s="339">
        <v>0</v>
      </c>
      <c r="R70" s="339">
        <v>0</v>
      </c>
      <c r="S70" s="339">
        <v>0</v>
      </c>
      <c r="T70" s="339">
        <v>0</v>
      </c>
      <c r="U70" s="339">
        <v>0</v>
      </c>
      <c r="V70" s="339">
        <v>0</v>
      </c>
      <c r="W70" s="339">
        <v>0</v>
      </c>
      <c r="X70" s="339">
        <v>0</v>
      </c>
      <c r="Y70" s="339">
        <v>0</v>
      </c>
      <c r="Z70" s="339">
        <v>0</v>
      </c>
      <c r="AA70" s="339">
        <v>0</v>
      </c>
      <c r="AB70" s="339">
        <v>0</v>
      </c>
      <c r="AC70" s="339">
        <v>0</v>
      </c>
      <c r="AD70" s="339">
        <v>0</v>
      </c>
      <c r="AE70" s="339">
        <v>0</v>
      </c>
      <c r="AF70" s="339">
        <v>0</v>
      </c>
      <c r="AG70" s="339">
        <v>0</v>
      </c>
      <c r="AH70" s="339">
        <v>0</v>
      </c>
      <c r="AI70" s="339">
        <v>0</v>
      </c>
      <c r="AJ70" s="339">
        <v>0</v>
      </c>
      <c r="AK70" s="339">
        <v>0</v>
      </c>
      <c r="AL70" s="339">
        <v>0</v>
      </c>
      <c r="AM70" s="339">
        <v>0</v>
      </c>
      <c r="AN70" s="339">
        <v>0</v>
      </c>
    </row>
    <row r="71" spans="2:40" s="7" customFormat="1" ht="12" customHeight="1" outlineLevel="2">
      <c r="B71" s="239"/>
      <c r="C71" s="214" t="s">
        <v>852</v>
      </c>
      <c r="D71" s="212"/>
      <c r="E71" s="211">
        <v>26</v>
      </c>
      <c r="F71" s="211">
        <f>E71*98%</f>
        <v>25.48</v>
      </c>
      <c r="G71" s="211">
        <v>38</v>
      </c>
      <c r="H71" s="211">
        <f t="shared" ref="H71:AN71" si="151">G71*98%</f>
        <v>37.24</v>
      </c>
      <c r="I71" s="211">
        <v>14</v>
      </c>
      <c r="J71" s="211">
        <f t="shared" si="151"/>
        <v>13.719999999999999</v>
      </c>
      <c r="K71" s="211">
        <f t="shared" si="151"/>
        <v>13.445599999999999</v>
      </c>
      <c r="L71" s="211">
        <f t="shared" si="151"/>
        <v>13.176687999999999</v>
      </c>
      <c r="M71" s="211">
        <f t="shared" si="151"/>
        <v>12.913154239999999</v>
      </c>
      <c r="N71" s="211">
        <f t="shared" si="151"/>
        <v>12.6548911552</v>
      </c>
      <c r="O71" s="211">
        <f t="shared" si="151"/>
        <v>12.401793332096</v>
      </c>
      <c r="P71" s="211">
        <f t="shared" si="151"/>
        <v>12.153757465454079</v>
      </c>
      <c r="Q71" s="211">
        <f t="shared" si="151"/>
        <v>11.910682316144998</v>
      </c>
      <c r="R71" s="211">
        <f t="shared" si="151"/>
        <v>11.672468669822097</v>
      </c>
      <c r="S71" s="211">
        <f t="shared" si="151"/>
        <v>11.439019296425654</v>
      </c>
      <c r="T71" s="211">
        <f t="shared" si="151"/>
        <v>11.210238910497141</v>
      </c>
      <c r="U71" s="211">
        <f t="shared" si="151"/>
        <v>10.986034132287198</v>
      </c>
      <c r="V71" s="211">
        <f t="shared" si="151"/>
        <v>10.766313449641453</v>
      </c>
      <c r="W71" s="211">
        <f t="shared" si="151"/>
        <v>10.550987180648624</v>
      </c>
      <c r="X71" s="211">
        <f t="shared" si="151"/>
        <v>10.339967437035652</v>
      </c>
      <c r="Y71" s="211">
        <f t="shared" si="151"/>
        <v>10.133168088294939</v>
      </c>
      <c r="Z71" s="211">
        <f t="shared" si="151"/>
        <v>9.9305047265290405</v>
      </c>
      <c r="AA71" s="211">
        <f t="shared" si="151"/>
        <v>9.7318946319984594</v>
      </c>
      <c r="AB71" s="211">
        <f t="shared" si="151"/>
        <v>9.5372567393584902</v>
      </c>
      <c r="AC71" s="211">
        <f t="shared" si="151"/>
        <v>9.3465116045713206</v>
      </c>
      <c r="AD71" s="211">
        <f t="shared" si="151"/>
        <v>9.1595813724798933</v>
      </c>
      <c r="AE71" s="211">
        <f t="shared" si="151"/>
        <v>8.9763897450302945</v>
      </c>
      <c r="AF71" s="211">
        <f t="shared" si="151"/>
        <v>8.7968619501296885</v>
      </c>
      <c r="AG71" s="211">
        <f t="shared" si="151"/>
        <v>8.6209247111270955</v>
      </c>
      <c r="AH71" s="211">
        <f t="shared" si="151"/>
        <v>8.4485062169045531</v>
      </c>
      <c r="AI71" s="211">
        <f t="shared" si="151"/>
        <v>8.2795360925664614</v>
      </c>
      <c r="AJ71" s="211">
        <f t="shared" si="151"/>
        <v>8.1139453707151326</v>
      </c>
      <c r="AK71" s="211">
        <f t="shared" si="151"/>
        <v>7.95166646330083</v>
      </c>
      <c r="AL71" s="211">
        <f t="shared" si="151"/>
        <v>7.7926331340348129</v>
      </c>
      <c r="AM71" s="211">
        <f t="shared" si="151"/>
        <v>7.6367804713541165</v>
      </c>
      <c r="AN71" s="211">
        <f t="shared" si="151"/>
        <v>7.4840448619270337</v>
      </c>
    </row>
    <row r="72" spans="2:40" s="7" customFormat="1" ht="12" customHeight="1" outlineLevel="2">
      <c r="B72" s="245"/>
      <c r="C72" s="213" t="s">
        <v>753</v>
      </c>
      <c r="D72" s="213"/>
      <c r="E72" s="211">
        <f>INDEX($C$44:$AN$64,MATCH("New Customers One-Time",$C$44:$C$64,0),MATCH($C72,$C$44:$AN$44,0))</f>
        <v>13</v>
      </c>
      <c r="F72" s="211">
        <f t="shared" ref="F72:AN72" si="152">$E$72*(E70)</f>
        <v>0</v>
      </c>
      <c r="G72" s="211">
        <f t="shared" si="152"/>
        <v>0</v>
      </c>
      <c r="H72" s="211">
        <f t="shared" si="152"/>
        <v>0</v>
      </c>
      <c r="I72" s="211">
        <f t="shared" si="152"/>
        <v>0</v>
      </c>
      <c r="J72" s="211">
        <f t="shared" si="152"/>
        <v>0</v>
      </c>
      <c r="K72" s="211">
        <f t="shared" si="152"/>
        <v>0</v>
      </c>
      <c r="L72" s="211">
        <f t="shared" si="152"/>
        <v>0</v>
      </c>
      <c r="M72" s="211">
        <f t="shared" si="152"/>
        <v>0</v>
      </c>
      <c r="N72" s="211">
        <f t="shared" si="152"/>
        <v>0</v>
      </c>
      <c r="O72" s="211">
        <f t="shared" si="152"/>
        <v>0</v>
      </c>
      <c r="P72" s="211">
        <f t="shared" si="152"/>
        <v>0</v>
      </c>
      <c r="Q72" s="211">
        <f t="shared" si="152"/>
        <v>0</v>
      </c>
      <c r="R72" s="211">
        <f t="shared" si="152"/>
        <v>0</v>
      </c>
      <c r="S72" s="211">
        <f t="shared" si="152"/>
        <v>0</v>
      </c>
      <c r="T72" s="211">
        <f t="shared" si="152"/>
        <v>0</v>
      </c>
      <c r="U72" s="211">
        <f t="shared" si="152"/>
        <v>0</v>
      </c>
      <c r="V72" s="211">
        <f t="shared" si="152"/>
        <v>0</v>
      </c>
      <c r="W72" s="211">
        <f t="shared" si="152"/>
        <v>0</v>
      </c>
      <c r="X72" s="211">
        <f t="shared" si="152"/>
        <v>0</v>
      </c>
      <c r="Y72" s="211">
        <f t="shared" si="152"/>
        <v>0</v>
      </c>
      <c r="Z72" s="211">
        <f t="shared" si="152"/>
        <v>0</v>
      </c>
      <c r="AA72" s="211">
        <f t="shared" si="152"/>
        <v>0</v>
      </c>
      <c r="AB72" s="211">
        <f t="shared" si="152"/>
        <v>0</v>
      </c>
      <c r="AC72" s="211">
        <f t="shared" si="152"/>
        <v>0</v>
      </c>
      <c r="AD72" s="211">
        <f t="shared" si="152"/>
        <v>0</v>
      </c>
      <c r="AE72" s="211">
        <f t="shared" si="152"/>
        <v>0</v>
      </c>
      <c r="AF72" s="211">
        <f t="shared" si="152"/>
        <v>0</v>
      </c>
      <c r="AG72" s="211">
        <f t="shared" si="152"/>
        <v>0</v>
      </c>
      <c r="AH72" s="211">
        <f t="shared" si="152"/>
        <v>0</v>
      </c>
      <c r="AI72" s="211">
        <f t="shared" si="152"/>
        <v>0</v>
      </c>
      <c r="AJ72" s="211">
        <f t="shared" si="152"/>
        <v>0</v>
      </c>
      <c r="AK72" s="211">
        <f t="shared" si="152"/>
        <v>0</v>
      </c>
      <c r="AL72" s="211">
        <f t="shared" si="152"/>
        <v>0</v>
      </c>
      <c r="AM72" s="211">
        <f t="shared" si="152"/>
        <v>0</v>
      </c>
      <c r="AN72" s="211">
        <f t="shared" si="152"/>
        <v>0</v>
      </c>
    </row>
    <row r="73" spans="2:40" s="7" customFormat="1" ht="12" customHeight="1" outlineLevel="2">
      <c r="B73" s="245"/>
      <c r="C73" s="213" t="s">
        <v>754</v>
      </c>
      <c r="D73" s="213"/>
      <c r="E73" s="213"/>
      <c r="F73" s="211">
        <f>INDEX($C$44:$AN$64,MATCH("New Customers One-Time",$C$44:$C$64,0),MATCH($C73,$C$44:$AN$44,0))</f>
        <v>10</v>
      </c>
      <c r="G73" s="211">
        <f t="shared" ref="G73:AN73" si="153">$F$73*(E70)</f>
        <v>0</v>
      </c>
      <c r="H73" s="211">
        <f t="shared" si="153"/>
        <v>0</v>
      </c>
      <c r="I73" s="211">
        <f t="shared" si="153"/>
        <v>0</v>
      </c>
      <c r="J73" s="211">
        <f t="shared" si="153"/>
        <v>0</v>
      </c>
      <c r="K73" s="211">
        <f t="shared" si="153"/>
        <v>0</v>
      </c>
      <c r="L73" s="211">
        <f t="shared" si="153"/>
        <v>0</v>
      </c>
      <c r="M73" s="211">
        <f t="shared" si="153"/>
        <v>0</v>
      </c>
      <c r="N73" s="211">
        <f t="shared" si="153"/>
        <v>0</v>
      </c>
      <c r="O73" s="211">
        <f t="shared" si="153"/>
        <v>0</v>
      </c>
      <c r="P73" s="211">
        <f t="shared" si="153"/>
        <v>0</v>
      </c>
      <c r="Q73" s="211">
        <f t="shared" si="153"/>
        <v>0</v>
      </c>
      <c r="R73" s="211">
        <f t="shared" si="153"/>
        <v>0</v>
      </c>
      <c r="S73" s="211">
        <f t="shared" si="153"/>
        <v>0</v>
      </c>
      <c r="T73" s="211">
        <f t="shared" si="153"/>
        <v>0</v>
      </c>
      <c r="U73" s="211">
        <f t="shared" si="153"/>
        <v>0</v>
      </c>
      <c r="V73" s="211">
        <f t="shared" si="153"/>
        <v>0</v>
      </c>
      <c r="W73" s="211">
        <f t="shared" si="153"/>
        <v>0</v>
      </c>
      <c r="X73" s="211">
        <f t="shared" si="153"/>
        <v>0</v>
      </c>
      <c r="Y73" s="211">
        <f t="shared" si="153"/>
        <v>0</v>
      </c>
      <c r="Z73" s="211">
        <f t="shared" si="153"/>
        <v>0</v>
      </c>
      <c r="AA73" s="211">
        <f t="shared" si="153"/>
        <v>0</v>
      </c>
      <c r="AB73" s="211">
        <f t="shared" si="153"/>
        <v>0</v>
      </c>
      <c r="AC73" s="211">
        <f t="shared" si="153"/>
        <v>0</v>
      </c>
      <c r="AD73" s="211">
        <f t="shared" si="153"/>
        <v>0</v>
      </c>
      <c r="AE73" s="211">
        <f t="shared" si="153"/>
        <v>0</v>
      </c>
      <c r="AF73" s="211">
        <f t="shared" si="153"/>
        <v>0</v>
      </c>
      <c r="AG73" s="211">
        <f t="shared" si="153"/>
        <v>0</v>
      </c>
      <c r="AH73" s="211">
        <f t="shared" si="153"/>
        <v>0</v>
      </c>
      <c r="AI73" s="211">
        <f t="shared" si="153"/>
        <v>0</v>
      </c>
      <c r="AJ73" s="211">
        <f t="shared" si="153"/>
        <v>0</v>
      </c>
      <c r="AK73" s="211">
        <f t="shared" si="153"/>
        <v>0</v>
      </c>
      <c r="AL73" s="211">
        <f t="shared" si="153"/>
        <v>0</v>
      </c>
      <c r="AM73" s="211">
        <f t="shared" si="153"/>
        <v>0</v>
      </c>
      <c r="AN73" s="211">
        <f t="shared" si="153"/>
        <v>0</v>
      </c>
    </row>
    <row r="74" spans="2:40" s="7" customFormat="1" ht="12" customHeight="1" outlineLevel="2">
      <c r="B74" s="245"/>
      <c r="C74" s="213" t="s">
        <v>755</v>
      </c>
      <c r="D74" s="213"/>
      <c r="E74" s="213"/>
      <c r="G74" s="211">
        <f>INDEX($C$44:$AN$66,MATCH("New Customers One-Time",$C$44:$C$66,0),MATCH($C74,$C$44:$AN$44,0))</f>
        <v>19</v>
      </c>
      <c r="H74" s="211">
        <f t="shared" ref="H74:AN74" si="154">$G$74*(E70)</f>
        <v>0</v>
      </c>
      <c r="I74" s="211">
        <f t="shared" si="154"/>
        <v>0</v>
      </c>
      <c r="J74" s="211">
        <f t="shared" si="154"/>
        <v>0</v>
      </c>
      <c r="K74" s="211">
        <f t="shared" si="154"/>
        <v>0</v>
      </c>
      <c r="L74" s="211">
        <f t="shared" si="154"/>
        <v>0</v>
      </c>
      <c r="M74" s="211">
        <f t="shared" si="154"/>
        <v>0</v>
      </c>
      <c r="N74" s="211">
        <f t="shared" si="154"/>
        <v>0</v>
      </c>
      <c r="O74" s="211">
        <f t="shared" si="154"/>
        <v>0</v>
      </c>
      <c r="P74" s="211">
        <f t="shared" si="154"/>
        <v>0</v>
      </c>
      <c r="Q74" s="211">
        <f t="shared" si="154"/>
        <v>0</v>
      </c>
      <c r="R74" s="211">
        <f t="shared" si="154"/>
        <v>0</v>
      </c>
      <c r="S74" s="211">
        <f t="shared" si="154"/>
        <v>0</v>
      </c>
      <c r="T74" s="211">
        <f t="shared" si="154"/>
        <v>0</v>
      </c>
      <c r="U74" s="211">
        <f t="shared" si="154"/>
        <v>0</v>
      </c>
      <c r="V74" s="211">
        <f t="shared" si="154"/>
        <v>0</v>
      </c>
      <c r="W74" s="211">
        <f t="shared" si="154"/>
        <v>0</v>
      </c>
      <c r="X74" s="211">
        <f t="shared" si="154"/>
        <v>0</v>
      </c>
      <c r="Y74" s="211">
        <f t="shared" si="154"/>
        <v>0</v>
      </c>
      <c r="Z74" s="211">
        <f t="shared" si="154"/>
        <v>0</v>
      </c>
      <c r="AA74" s="211">
        <f t="shared" si="154"/>
        <v>0</v>
      </c>
      <c r="AB74" s="211">
        <f t="shared" si="154"/>
        <v>0</v>
      </c>
      <c r="AC74" s="211">
        <f t="shared" si="154"/>
        <v>0</v>
      </c>
      <c r="AD74" s="211">
        <f t="shared" si="154"/>
        <v>0</v>
      </c>
      <c r="AE74" s="211">
        <f t="shared" si="154"/>
        <v>0</v>
      </c>
      <c r="AF74" s="211">
        <f t="shared" si="154"/>
        <v>0</v>
      </c>
      <c r="AG74" s="211">
        <f t="shared" si="154"/>
        <v>0</v>
      </c>
      <c r="AH74" s="211">
        <f t="shared" si="154"/>
        <v>0</v>
      </c>
      <c r="AI74" s="211">
        <f t="shared" si="154"/>
        <v>0</v>
      </c>
      <c r="AJ74" s="211">
        <f t="shared" si="154"/>
        <v>0</v>
      </c>
      <c r="AK74" s="211">
        <f t="shared" si="154"/>
        <v>0</v>
      </c>
      <c r="AL74" s="211">
        <f t="shared" si="154"/>
        <v>0</v>
      </c>
      <c r="AM74" s="211">
        <f t="shared" si="154"/>
        <v>0</v>
      </c>
      <c r="AN74" s="211">
        <f t="shared" si="154"/>
        <v>0</v>
      </c>
    </row>
    <row r="75" spans="2:40" s="7" customFormat="1" ht="12" customHeight="1" outlineLevel="2">
      <c r="B75" s="245"/>
      <c r="C75" s="213" t="s">
        <v>756</v>
      </c>
      <c r="D75" s="213"/>
      <c r="E75" s="213"/>
      <c r="F75" s="213"/>
      <c r="G75" s="213"/>
      <c r="H75" s="211">
        <f>INDEX($C$44:$AN$66,MATCH("New Customers One-Time",$C$44:$C$66,0),MATCH($C75,$C$44:$AN$44,0))</f>
        <v>87</v>
      </c>
      <c r="I75" s="211">
        <f t="shared" ref="I75:AN75" si="155">$H$75*(E70)</f>
        <v>0</v>
      </c>
      <c r="J75" s="211">
        <f t="shared" si="155"/>
        <v>0</v>
      </c>
      <c r="K75" s="211">
        <f t="shared" si="155"/>
        <v>0</v>
      </c>
      <c r="L75" s="211">
        <f t="shared" si="155"/>
        <v>0</v>
      </c>
      <c r="M75" s="211">
        <f t="shared" si="155"/>
        <v>0</v>
      </c>
      <c r="N75" s="211">
        <f t="shared" si="155"/>
        <v>0</v>
      </c>
      <c r="O75" s="211">
        <f t="shared" si="155"/>
        <v>0</v>
      </c>
      <c r="P75" s="211">
        <f t="shared" si="155"/>
        <v>0</v>
      </c>
      <c r="Q75" s="211">
        <f t="shared" si="155"/>
        <v>0</v>
      </c>
      <c r="R75" s="211">
        <f t="shared" si="155"/>
        <v>0</v>
      </c>
      <c r="S75" s="211">
        <f t="shared" si="155"/>
        <v>0</v>
      </c>
      <c r="T75" s="211">
        <f t="shared" si="155"/>
        <v>0</v>
      </c>
      <c r="U75" s="211">
        <f t="shared" si="155"/>
        <v>0</v>
      </c>
      <c r="V75" s="211">
        <f t="shared" si="155"/>
        <v>0</v>
      </c>
      <c r="W75" s="211">
        <f t="shared" si="155"/>
        <v>0</v>
      </c>
      <c r="X75" s="211">
        <f t="shared" si="155"/>
        <v>0</v>
      </c>
      <c r="Y75" s="211">
        <f t="shared" si="155"/>
        <v>0</v>
      </c>
      <c r="Z75" s="211">
        <f t="shared" si="155"/>
        <v>0</v>
      </c>
      <c r="AA75" s="211">
        <f t="shared" si="155"/>
        <v>0</v>
      </c>
      <c r="AB75" s="211">
        <f t="shared" si="155"/>
        <v>0</v>
      </c>
      <c r="AC75" s="211">
        <f t="shared" si="155"/>
        <v>0</v>
      </c>
      <c r="AD75" s="211">
        <f t="shared" si="155"/>
        <v>0</v>
      </c>
      <c r="AE75" s="211">
        <f t="shared" si="155"/>
        <v>0</v>
      </c>
      <c r="AF75" s="211">
        <f t="shared" si="155"/>
        <v>0</v>
      </c>
      <c r="AG75" s="211">
        <f t="shared" si="155"/>
        <v>0</v>
      </c>
      <c r="AH75" s="211">
        <f t="shared" si="155"/>
        <v>0</v>
      </c>
      <c r="AI75" s="211">
        <f t="shared" si="155"/>
        <v>0</v>
      </c>
      <c r="AJ75" s="211">
        <f t="shared" si="155"/>
        <v>0</v>
      </c>
      <c r="AK75" s="211">
        <f t="shared" si="155"/>
        <v>0</v>
      </c>
      <c r="AL75" s="211">
        <f t="shared" si="155"/>
        <v>0</v>
      </c>
      <c r="AM75" s="211">
        <f t="shared" si="155"/>
        <v>0</v>
      </c>
      <c r="AN75" s="211">
        <f t="shared" si="155"/>
        <v>0</v>
      </c>
    </row>
    <row r="76" spans="2:40" s="7" customFormat="1" ht="12" customHeight="1" outlineLevel="2">
      <c r="B76" s="245"/>
      <c r="C76" s="213" t="s">
        <v>757</v>
      </c>
      <c r="D76" s="213"/>
      <c r="E76" s="213"/>
      <c r="F76" s="213"/>
      <c r="G76" s="213"/>
      <c r="H76" s="213"/>
      <c r="I76" s="211">
        <f>INDEX($C$44:$AN$66,MATCH("New Customers One-Time",$C$44:$C$66,0),MATCH($C76,$C$44:$AN$44,0))</f>
        <v>45</v>
      </c>
      <c r="J76" s="211">
        <f t="shared" ref="J76:AN76" si="156">$I$76*(E70)</f>
        <v>0</v>
      </c>
      <c r="K76" s="211">
        <f t="shared" si="156"/>
        <v>0</v>
      </c>
      <c r="L76" s="211">
        <f t="shared" si="156"/>
        <v>0</v>
      </c>
      <c r="M76" s="211">
        <f t="shared" si="156"/>
        <v>0</v>
      </c>
      <c r="N76" s="211">
        <f t="shared" si="156"/>
        <v>0</v>
      </c>
      <c r="O76" s="211">
        <f t="shared" si="156"/>
        <v>0</v>
      </c>
      <c r="P76" s="211">
        <f t="shared" si="156"/>
        <v>0</v>
      </c>
      <c r="Q76" s="211">
        <f t="shared" si="156"/>
        <v>0</v>
      </c>
      <c r="R76" s="211">
        <f t="shared" si="156"/>
        <v>0</v>
      </c>
      <c r="S76" s="211">
        <f t="shared" si="156"/>
        <v>0</v>
      </c>
      <c r="T76" s="211">
        <f t="shared" si="156"/>
        <v>0</v>
      </c>
      <c r="U76" s="211">
        <f t="shared" si="156"/>
        <v>0</v>
      </c>
      <c r="V76" s="211">
        <f t="shared" si="156"/>
        <v>0</v>
      </c>
      <c r="W76" s="211">
        <f t="shared" si="156"/>
        <v>0</v>
      </c>
      <c r="X76" s="211">
        <f t="shared" si="156"/>
        <v>0</v>
      </c>
      <c r="Y76" s="211">
        <f t="shared" si="156"/>
        <v>0</v>
      </c>
      <c r="Z76" s="211">
        <f t="shared" si="156"/>
        <v>0</v>
      </c>
      <c r="AA76" s="211">
        <f t="shared" si="156"/>
        <v>0</v>
      </c>
      <c r="AB76" s="211">
        <f t="shared" si="156"/>
        <v>0</v>
      </c>
      <c r="AC76" s="211">
        <f t="shared" si="156"/>
        <v>0</v>
      </c>
      <c r="AD76" s="211">
        <f t="shared" si="156"/>
        <v>0</v>
      </c>
      <c r="AE76" s="211">
        <f t="shared" si="156"/>
        <v>0</v>
      </c>
      <c r="AF76" s="211">
        <f t="shared" si="156"/>
        <v>0</v>
      </c>
      <c r="AG76" s="211">
        <f t="shared" si="156"/>
        <v>0</v>
      </c>
      <c r="AH76" s="211">
        <f t="shared" si="156"/>
        <v>0</v>
      </c>
      <c r="AI76" s="211">
        <f t="shared" si="156"/>
        <v>0</v>
      </c>
      <c r="AJ76" s="211">
        <f t="shared" si="156"/>
        <v>0</v>
      </c>
      <c r="AK76" s="211">
        <f t="shared" si="156"/>
        <v>0</v>
      </c>
      <c r="AL76" s="211">
        <f t="shared" si="156"/>
        <v>0</v>
      </c>
      <c r="AM76" s="211">
        <f t="shared" si="156"/>
        <v>0</v>
      </c>
      <c r="AN76" s="211">
        <f t="shared" si="156"/>
        <v>0</v>
      </c>
    </row>
    <row r="77" spans="2:40" s="7" customFormat="1" ht="12" customHeight="1" outlineLevel="2">
      <c r="B77" s="245"/>
      <c r="C77" s="213" t="s">
        <v>758</v>
      </c>
      <c r="D77" s="213"/>
      <c r="E77" s="213"/>
      <c r="F77" s="213"/>
      <c r="G77" s="213"/>
      <c r="H77" s="213"/>
      <c r="I77" s="213"/>
      <c r="J77" s="211">
        <f>INDEX($C$44:$AN$66,MATCH("New Customers One-Time",$C$44:$C$66,0),MATCH($C77,$C$44:$AN$44,0))</f>
        <v>233</v>
      </c>
      <c r="K77" s="211">
        <f t="shared" ref="K77:AN77" si="157">$J$77*(E70)</f>
        <v>0</v>
      </c>
      <c r="L77" s="211">
        <f t="shared" si="157"/>
        <v>0</v>
      </c>
      <c r="M77" s="211">
        <f t="shared" si="157"/>
        <v>0</v>
      </c>
      <c r="N77" s="211">
        <f t="shared" si="157"/>
        <v>0</v>
      </c>
      <c r="O77" s="211">
        <f t="shared" si="157"/>
        <v>0</v>
      </c>
      <c r="P77" s="211">
        <f t="shared" si="157"/>
        <v>0</v>
      </c>
      <c r="Q77" s="211">
        <f t="shared" si="157"/>
        <v>0</v>
      </c>
      <c r="R77" s="211">
        <f t="shared" si="157"/>
        <v>0</v>
      </c>
      <c r="S77" s="211">
        <f t="shared" si="157"/>
        <v>0</v>
      </c>
      <c r="T77" s="211">
        <f t="shared" si="157"/>
        <v>0</v>
      </c>
      <c r="U77" s="211">
        <f t="shared" si="157"/>
        <v>0</v>
      </c>
      <c r="V77" s="211">
        <f t="shared" si="157"/>
        <v>0</v>
      </c>
      <c r="W77" s="211">
        <f t="shared" si="157"/>
        <v>0</v>
      </c>
      <c r="X77" s="211">
        <f t="shared" si="157"/>
        <v>0</v>
      </c>
      <c r="Y77" s="211">
        <f t="shared" si="157"/>
        <v>0</v>
      </c>
      <c r="Z77" s="211">
        <f t="shared" si="157"/>
        <v>0</v>
      </c>
      <c r="AA77" s="211">
        <f t="shared" si="157"/>
        <v>0</v>
      </c>
      <c r="AB77" s="211">
        <f t="shared" si="157"/>
        <v>0</v>
      </c>
      <c r="AC77" s="211">
        <f t="shared" si="157"/>
        <v>0</v>
      </c>
      <c r="AD77" s="211">
        <f t="shared" si="157"/>
        <v>0</v>
      </c>
      <c r="AE77" s="211">
        <f t="shared" si="157"/>
        <v>0</v>
      </c>
      <c r="AF77" s="211">
        <f t="shared" si="157"/>
        <v>0</v>
      </c>
      <c r="AG77" s="211">
        <f t="shared" si="157"/>
        <v>0</v>
      </c>
      <c r="AH77" s="211">
        <f t="shared" si="157"/>
        <v>0</v>
      </c>
      <c r="AI77" s="211">
        <f t="shared" si="157"/>
        <v>0</v>
      </c>
      <c r="AJ77" s="211">
        <f t="shared" si="157"/>
        <v>0</v>
      </c>
      <c r="AK77" s="211">
        <f t="shared" si="157"/>
        <v>0</v>
      </c>
      <c r="AL77" s="211">
        <f t="shared" si="157"/>
        <v>0</v>
      </c>
      <c r="AM77" s="211">
        <f t="shared" si="157"/>
        <v>0</v>
      </c>
      <c r="AN77" s="211">
        <f t="shared" si="157"/>
        <v>0</v>
      </c>
    </row>
    <row r="78" spans="2:40" s="7" customFormat="1" ht="12" customHeight="1" outlineLevel="2">
      <c r="B78" s="245"/>
      <c r="C78" s="213" t="s">
        <v>759</v>
      </c>
      <c r="D78" s="213"/>
      <c r="E78" s="213"/>
      <c r="F78" s="213"/>
      <c r="G78" s="213"/>
      <c r="H78" s="213"/>
      <c r="I78" s="213"/>
      <c r="J78" s="213"/>
      <c r="K78" s="211">
        <f>INDEX($C$44:$AN$66,MATCH("New Customers One-Time",$C$44:$C$66,0),MATCH($C78,$C$44:$AN$44,0))</f>
        <v>136</v>
      </c>
      <c r="L78" s="211">
        <f t="shared" ref="L78:AN78" si="158">$K$78*(E70)</f>
        <v>0</v>
      </c>
      <c r="M78" s="211">
        <f t="shared" si="158"/>
        <v>0</v>
      </c>
      <c r="N78" s="211">
        <f t="shared" si="158"/>
        <v>0</v>
      </c>
      <c r="O78" s="211">
        <f t="shared" si="158"/>
        <v>0</v>
      </c>
      <c r="P78" s="211">
        <f t="shared" si="158"/>
        <v>0</v>
      </c>
      <c r="Q78" s="211">
        <f t="shared" si="158"/>
        <v>0</v>
      </c>
      <c r="R78" s="211">
        <f t="shared" si="158"/>
        <v>0</v>
      </c>
      <c r="S78" s="211">
        <f t="shared" si="158"/>
        <v>0</v>
      </c>
      <c r="T78" s="211">
        <f t="shared" si="158"/>
        <v>0</v>
      </c>
      <c r="U78" s="211">
        <f t="shared" si="158"/>
        <v>0</v>
      </c>
      <c r="V78" s="211">
        <f t="shared" si="158"/>
        <v>0</v>
      </c>
      <c r="W78" s="211">
        <f t="shared" si="158"/>
        <v>0</v>
      </c>
      <c r="X78" s="211">
        <f t="shared" si="158"/>
        <v>0</v>
      </c>
      <c r="Y78" s="211">
        <f t="shared" si="158"/>
        <v>0</v>
      </c>
      <c r="Z78" s="211">
        <f t="shared" si="158"/>
        <v>0</v>
      </c>
      <c r="AA78" s="211">
        <f t="shared" si="158"/>
        <v>0</v>
      </c>
      <c r="AB78" s="211">
        <f t="shared" si="158"/>
        <v>0</v>
      </c>
      <c r="AC78" s="211">
        <f t="shared" si="158"/>
        <v>0</v>
      </c>
      <c r="AD78" s="211">
        <f t="shared" si="158"/>
        <v>0</v>
      </c>
      <c r="AE78" s="211">
        <f t="shared" si="158"/>
        <v>0</v>
      </c>
      <c r="AF78" s="211">
        <f t="shared" si="158"/>
        <v>0</v>
      </c>
      <c r="AG78" s="211">
        <f t="shared" si="158"/>
        <v>0</v>
      </c>
      <c r="AH78" s="211">
        <f t="shared" si="158"/>
        <v>0</v>
      </c>
      <c r="AI78" s="211">
        <f t="shared" si="158"/>
        <v>0</v>
      </c>
      <c r="AJ78" s="211">
        <f t="shared" si="158"/>
        <v>0</v>
      </c>
      <c r="AK78" s="211">
        <f t="shared" si="158"/>
        <v>0</v>
      </c>
      <c r="AL78" s="211">
        <f t="shared" si="158"/>
        <v>0</v>
      </c>
      <c r="AM78" s="211">
        <f t="shared" si="158"/>
        <v>0</v>
      </c>
      <c r="AN78" s="211">
        <f t="shared" si="158"/>
        <v>0</v>
      </c>
    </row>
    <row r="79" spans="2:40" s="7" customFormat="1" ht="12" customHeight="1" outlineLevel="2">
      <c r="B79" s="245"/>
      <c r="C79" s="213" t="s">
        <v>760</v>
      </c>
      <c r="D79" s="213"/>
      <c r="E79" s="213"/>
      <c r="F79" s="213"/>
      <c r="G79" s="213"/>
      <c r="H79" s="213"/>
      <c r="I79" s="213"/>
      <c r="J79" s="213"/>
      <c r="K79" s="213"/>
      <c r="L79" s="211">
        <f>INDEX($C$44:$AN$66,MATCH("New Customers One-Time",$C$44:$C$66,0),MATCH($C79,$C$44:$AN$44,0))</f>
        <v>25</v>
      </c>
      <c r="M79" s="211">
        <f t="shared" ref="M79:AN79" si="159">$L$79*(E70)</f>
        <v>0</v>
      </c>
      <c r="N79" s="211">
        <f t="shared" si="159"/>
        <v>0</v>
      </c>
      <c r="O79" s="211">
        <f t="shared" si="159"/>
        <v>0</v>
      </c>
      <c r="P79" s="211">
        <f t="shared" si="159"/>
        <v>0</v>
      </c>
      <c r="Q79" s="211">
        <f t="shared" si="159"/>
        <v>0</v>
      </c>
      <c r="R79" s="211">
        <f t="shared" si="159"/>
        <v>0</v>
      </c>
      <c r="S79" s="211">
        <f t="shared" si="159"/>
        <v>0</v>
      </c>
      <c r="T79" s="211">
        <f t="shared" si="159"/>
        <v>0</v>
      </c>
      <c r="U79" s="211">
        <f t="shared" si="159"/>
        <v>0</v>
      </c>
      <c r="V79" s="211">
        <f t="shared" si="159"/>
        <v>0</v>
      </c>
      <c r="W79" s="211">
        <f t="shared" si="159"/>
        <v>0</v>
      </c>
      <c r="X79" s="211">
        <f t="shared" si="159"/>
        <v>0</v>
      </c>
      <c r="Y79" s="211">
        <f t="shared" si="159"/>
        <v>0</v>
      </c>
      <c r="Z79" s="211">
        <f t="shared" si="159"/>
        <v>0</v>
      </c>
      <c r="AA79" s="211">
        <f t="shared" si="159"/>
        <v>0</v>
      </c>
      <c r="AB79" s="211">
        <f t="shared" si="159"/>
        <v>0</v>
      </c>
      <c r="AC79" s="211">
        <f t="shared" si="159"/>
        <v>0</v>
      </c>
      <c r="AD79" s="211">
        <f t="shared" si="159"/>
        <v>0</v>
      </c>
      <c r="AE79" s="211">
        <f t="shared" si="159"/>
        <v>0</v>
      </c>
      <c r="AF79" s="211">
        <f t="shared" si="159"/>
        <v>0</v>
      </c>
      <c r="AG79" s="211">
        <f t="shared" si="159"/>
        <v>0</v>
      </c>
      <c r="AH79" s="211">
        <f t="shared" si="159"/>
        <v>0</v>
      </c>
      <c r="AI79" s="211">
        <f t="shared" si="159"/>
        <v>0</v>
      </c>
      <c r="AJ79" s="211">
        <f t="shared" si="159"/>
        <v>0</v>
      </c>
      <c r="AK79" s="211">
        <f t="shared" si="159"/>
        <v>0</v>
      </c>
      <c r="AL79" s="211">
        <f t="shared" si="159"/>
        <v>0</v>
      </c>
      <c r="AM79" s="211">
        <f t="shared" si="159"/>
        <v>0</v>
      </c>
      <c r="AN79" s="211">
        <f t="shared" si="159"/>
        <v>0</v>
      </c>
    </row>
    <row r="80" spans="2:40" s="7" customFormat="1" ht="12" customHeight="1" outlineLevel="2">
      <c r="B80" s="245"/>
      <c r="C80" s="213" t="s">
        <v>761</v>
      </c>
      <c r="D80" s="213"/>
      <c r="E80" s="213"/>
      <c r="F80" s="213"/>
      <c r="G80" s="213"/>
      <c r="H80" s="213"/>
      <c r="I80" s="213"/>
      <c r="J80" s="213"/>
      <c r="K80" s="213"/>
      <c r="L80" s="213"/>
      <c r="M80" s="211">
        <f>INDEX($C$44:$AN$66,MATCH("New Customers One-Time",$C$44:$C$66,0),MATCH($C80,$C$44:$AN$44,0))</f>
        <v>0</v>
      </c>
      <c r="N80" s="211">
        <f t="shared" ref="N80:AN80" si="160">$M$80*(E70)</f>
        <v>0</v>
      </c>
      <c r="O80" s="211">
        <f t="shared" si="160"/>
        <v>0</v>
      </c>
      <c r="P80" s="211">
        <f t="shared" si="160"/>
        <v>0</v>
      </c>
      <c r="Q80" s="211">
        <f t="shared" si="160"/>
        <v>0</v>
      </c>
      <c r="R80" s="211">
        <f t="shared" si="160"/>
        <v>0</v>
      </c>
      <c r="S80" s="211">
        <f t="shared" si="160"/>
        <v>0</v>
      </c>
      <c r="T80" s="211">
        <f t="shared" si="160"/>
        <v>0</v>
      </c>
      <c r="U80" s="211">
        <f t="shared" si="160"/>
        <v>0</v>
      </c>
      <c r="V80" s="211">
        <f t="shared" si="160"/>
        <v>0</v>
      </c>
      <c r="W80" s="211">
        <f t="shared" si="160"/>
        <v>0</v>
      </c>
      <c r="X80" s="211">
        <f t="shared" si="160"/>
        <v>0</v>
      </c>
      <c r="Y80" s="211">
        <f t="shared" si="160"/>
        <v>0</v>
      </c>
      <c r="Z80" s="211">
        <f t="shared" si="160"/>
        <v>0</v>
      </c>
      <c r="AA80" s="211">
        <f t="shared" si="160"/>
        <v>0</v>
      </c>
      <c r="AB80" s="211">
        <f t="shared" si="160"/>
        <v>0</v>
      </c>
      <c r="AC80" s="211">
        <f t="shared" si="160"/>
        <v>0</v>
      </c>
      <c r="AD80" s="211">
        <f t="shared" si="160"/>
        <v>0</v>
      </c>
      <c r="AE80" s="211">
        <f t="shared" si="160"/>
        <v>0</v>
      </c>
      <c r="AF80" s="211">
        <f t="shared" si="160"/>
        <v>0</v>
      </c>
      <c r="AG80" s="211">
        <f t="shared" si="160"/>
        <v>0</v>
      </c>
      <c r="AH80" s="211">
        <f t="shared" si="160"/>
        <v>0</v>
      </c>
      <c r="AI80" s="211">
        <f t="shared" si="160"/>
        <v>0</v>
      </c>
      <c r="AJ80" s="211">
        <f t="shared" si="160"/>
        <v>0</v>
      </c>
      <c r="AK80" s="211">
        <f t="shared" si="160"/>
        <v>0</v>
      </c>
      <c r="AL80" s="211">
        <f t="shared" si="160"/>
        <v>0</v>
      </c>
      <c r="AM80" s="211">
        <f t="shared" si="160"/>
        <v>0</v>
      </c>
      <c r="AN80" s="211">
        <f t="shared" si="160"/>
        <v>0</v>
      </c>
    </row>
    <row r="81" spans="2:40" s="7" customFormat="1" ht="12" customHeight="1" outlineLevel="2">
      <c r="B81" s="245"/>
      <c r="C81" s="213" t="s">
        <v>762</v>
      </c>
      <c r="D81" s="213"/>
      <c r="E81" s="213"/>
      <c r="F81" s="213"/>
      <c r="G81" s="213"/>
      <c r="H81" s="213"/>
      <c r="I81" s="213"/>
      <c r="J81" s="213"/>
      <c r="K81" s="213"/>
      <c r="L81" s="213"/>
      <c r="M81" s="213"/>
      <c r="N81" s="211">
        <f>INDEX($C$44:$AN$66,MATCH("New Customers One-Time",$C$44:$C$66,0),MATCH($C81,$C$44:$AN$44,0))</f>
        <v>0</v>
      </c>
      <c r="O81" s="211">
        <f t="shared" ref="O81:AN81" si="161">$N$81*(E70)</f>
        <v>0</v>
      </c>
      <c r="P81" s="211">
        <f t="shared" si="161"/>
        <v>0</v>
      </c>
      <c r="Q81" s="211">
        <f t="shared" si="161"/>
        <v>0</v>
      </c>
      <c r="R81" s="211">
        <f t="shared" si="161"/>
        <v>0</v>
      </c>
      <c r="S81" s="211">
        <f t="shared" si="161"/>
        <v>0</v>
      </c>
      <c r="T81" s="211">
        <f t="shared" si="161"/>
        <v>0</v>
      </c>
      <c r="U81" s="211">
        <f t="shared" si="161"/>
        <v>0</v>
      </c>
      <c r="V81" s="211">
        <f t="shared" si="161"/>
        <v>0</v>
      </c>
      <c r="W81" s="211">
        <f t="shared" si="161"/>
        <v>0</v>
      </c>
      <c r="X81" s="211">
        <f t="shared" si="161"/>
        <v>0</v>
      </c>
      <c r="Y81" s="211">
        <f t="shared" si="161"/>
        <v>0</v>
      </c>
      <c r="Z81" s="211">
        <f t="shared" si="161"/>
        <v>0</v>
      </c>
      <c r="AA81" s="211">
        <f t="shared" si="161"/>
        <v>0</v>
      </c>
      <c r="AB81" s="211">
        <f t="shared" si="161"/>
        <v>0</v>
      </c>
      <c r="AC81" s="211">
        <f t="shared" si="161"/>
        <v>0</v>
      </c>
      <c r="AD81" s="211">
        <f t="shared" si="161"/>
        <v>0</v>
      </c>
      <c r="AE81" s="211">
        <f t="shared" si="161"/>
        <v>0</v>
      </c>
      <c r="AF81" s="211">
        <f t="shared" si="161"/>
        <v>0</v>
      </c>
      <c r="AG81" s="211">
        <f t="shared" si="161"/>
        <v>0</v>
      </c>
      <c r="AH81" s="211">
        <f t="shared" si="161"/>
        <v>0</v>
      </c>
      <c r="AI81" s="211">
        <f t="shared" si="161"/>
        <v>0</v>
      </c>
      <c r="AJ81" s="211">
        <f t="shared" si="161"/>
        <v>0</v>
      </c>
      <c r="AK81" s="211">
        <f t="shared" si="161"/>
        <v>0</v>
      </c>
      <c r="AL81" s="211">
        <f t="shared" si="161"/>
        <v>0</v>
      </c>
      <c r="AM81" s="211">
        <f t="shared" si="161"/>
        <v>0</v>
      </c>
      <c r="AN81" s="211">
        <f t="shared" si="161"/>
        <v>0</v>
      </c>
    </row>
    <row r="82" spans="2:40" s="7" customFormat="1" ht="12" customHeight="1" outlineLevel="2">
      <c r="B82" s="245"/>
      <c r="C82" s="213" t="s">
        <v>763</v>
      </c>
      <c r="D82" s="213"/>
      <c r="E82" s="213"/>
      <c r="F82" s="213"/>
      <c r="G82" s="213"/>
      <c r="H82" s="213"/>
      <c r="I82" s="213"/>
      <c r="J82" s="213"/>
      <c r="K82" s="213"/>
      <c r="L82" s="213"/>
      <c r="M82" s="213"/>
      <c r="N82" s="213"/>
      <c r="O82" s="211">
        <f>INDEX($C$44:$AN$66,MATCH("New Customers One-Time",$C$44:$C$66,0),MATCH($C82,$C$44:$AN$44,0))</f>
        <v>0</v>
      </c>
      <c r="P82" s="211">
        <f t="shared" ref="P82:AN82" si="162">$O$82*(E70)</f>
        <v>0</v>
      </c>
      <c r="Q82" s="211">
        <f t="shared" si="162"/>
        <v>0</v>
      </c>
      <c r="R82" s="211">
        <f t="shared" si="162"/>
        <v>0</v>
      </c>
      <c r="S82" s="211">
        <f t="shared" si="162"/>
        <v>0</v>
      </c>
      <c r="T82" s="211">
        <f t="shared" si="162"/>
        <v>0</v>
      </c>
      <c r="U82" s="211">
        <f t="shared" si="162"/>
        <v>0</v>
      </c>
      <c r="V82" s="211">
        <f t="shared" si="162"/>
        <v>0</v>
      </c>
      <c r="W82" s="211">
        <f t="shared" si="162"/>
        <v>0</v>
      </c>
      <c r="X82" s="211">
        <f t="shared" si="162"/>
        <v>0</v>
      </c>
      <c r="Y82" s="211">
        <f t="shared" si="162"/>
        <v>0</v>
      </c>
      <c r="Z82" s="211">
        <f t="shared" si="162"/>
        <v>0</v>
      </c>
      <c r="AA82" s="211">
        <f t="shared" si="162"/>
        <v>0</v>
      </c>
      <c r="AB82" s="211">
        <f t="shared" si="162"/>
        <v>0</v>
      </c>
      <c r="AC82" s="211">
        <f t="shared" si="162"/>
        <v>0</v>
      </c>
      <c r="AD82" s="211">
        <f t="shared" si="162"/>
        <v>0</v>
      </c>
      <c r="AE82" s="211">
        <f t="shared" si="162"/>
        <v>0</v>
      </c>
      <c r="AF82" s="211">
        <f t="shared" si="162"/>
        <v>0</v>
      </c>
      <c r="AG82" s="211">
        <f t="shared" si="162"/>
        <v>0</v>
      </c>
      <c r="AH82" s="211">
        <f t="shared" si="162"/>
        <v>0</v>
      </c>
      <c r="AI82" s="211">
        <f t="shared" si="162"/>
        <v>0</v>
      </c>
      <c r="AJ82" s="211">
        <f t="shared" si="162"/>
        <v>0</v>
      </c>
      <c r="AK82" s="211">
        <f t="shared" si="162"/>
        <v>0</v>
      </c>
      <c r="AL82" s="211">
        <f t="shared" si="162"/>
        <v>0</v>
      </c>
      <c r="AM82" s="211">
        <f t="shared" si="162"/>
        <v>0</v>
      </c>
      <c r="AN82" s="211">
        <f t="shared" si="162"/>
        <v>0</v>
      </c>
    </row>
    <row r="83" spans="2:40" s="7" customFormat="1" ht="12" customHeight="1" outlineLevel="2">
      <c r="B83" s="245"/>
      <c r="C83" s="213" t="s">
        <v>764</v>
      </c>
      <c r="D83" s="213"/>
      <c r="E83" s="213"/>
      <c r="F83" s="213"/>
      <c r="G83" s="213"/>
      <c r="H83" s="213"/>
      <c r="I83" s="213"/>
      <c r="J83" s="213"/>
      <c r="K83" s="213"/>
      <c r="L83" s="213"/>
      <c r="M83" s="213"/>
      <c r="N83" s="213"/>
      <c r="O83" s="213"/>
      <c r="P83" s="211">
        <f>INDEX($C$44:$AN$66,MATCH("New Customers One-Time",$C$44:$C$66,0),MATCH($C83,$C$44:$AN$44,0))</f>
        <v>0</v>
      </c>
      <c r="Q83" s="211">
        <f t="shared" ref="Q83:AN83" si="163">$P$83*(E70)</f>
        <v>0</v>
      </c>
      <c r="R83" s="211">
        <f t="shared" si="163"/>
        <v>0</v>
      </c>
      <c r="S83" s="211">
        <f t="shared" si="163"/>
        <v>0</v>
      </c>
      <c r="T83" s="211">
        <f t="shared" si="163"/>
        <v>0</v>
      </c>
      <c r="U83" s="211">
        <f t="shared" si="163"/>
        <v>0</v>
      </c>
      <c r="V83" s="211">
        <f t="shared" si="163"/>
        <v>0</v>
      </c>
      <c r="W83" s="211">
        <f t="shared" si="163"/>
        <v>0</v>
      </c>
      <c r="X83" s="211">
        <f t="shared" si="163"/>
        <v>0</v>
      </c>
      <c r="Y83" s="211">
        <f t="shared" si="163"/>
        <v>0</v>
      </c>
      <c r="Z83" s="211">
        <f t="shared" si="163"/>
        <v>0</v>
      </c>
      <c r="AA83" s="211">
        <f t="shared" si="163"/>
        <v>0</v>
      </c>
      <c r="AB83" s="211">
        <f t="shared" si="163"/>
        <v>0</v>
      </c>
      <c r="AC83" s="211">
        <f t="shared" si="163"/>
        <v>0</v>
      </c>
      <c r="AD83" s="211">
        <f t="shared" si="163"/>
        <v>0</v>
      </c>
      <c r="AE83" s="211">
        <f t="shared" si="163"/>
        <v>0</v>
      </c>
      <c r="AF83" s="211">
        <f t="shared" si="163"/>
        <v>0</v>
      </c>
      <c r="AG83" s="211">
        <f t="shared" si="163"/>
        <v>0</v>
      </c>
      <c r="AH83" s="211">
        <f t="shared" si="163"/>
        <v>0</v>
      </c>
      <c r="AI83" s="211">
        <f t="shared" si="163"/>
        <v>0</v>
      </c>
      <c r="AJ83" s="211">
        <f t="shared" si="163"/>
        <v>0</v>
      </c>
      <c r="AK83" s="211">
        <f t="shared" si="163"/>
        <v>0</v>
      </c>
      <c r="AL83" s="211">
        <f t="shared" si="163"/>
        <v>0</v>
      </c>
      <c r="AM83" s="211">
        <f t="shared" si="163"/>
        <v>0</v>
      </c>
      <c r="AN83" s="211">
        <f t="shared" si="163"/>
        <v>0</v>
      </c>
    </row>
    <row r="84" spans="2:40" s="7" customFormat="1" ht="12" customHeight="1" outlineLevel="2">
      <c r="B84" s="245"/>
      <c r="C84" s="213" t="s">
        <v>765</v>
      </c>
      <c r="D84" s="213"/>
      <c r="E84" s="213"/>
      <c r="F84" s="213"/>
      <c r="G84" s="213"/>
      <c r="H84" s="213"/>
      <c r="I84" s="213"/>
      <c r="J84" s="213"/>
      <c r="K84" s="213"/>
      <c r="L84" s="213"/>
      <c r="M84" s="213"/>
      <c r="N84" s="213"/>
      <c r="O84" s="213"/>
      <c r="P84" s="213"/>
      <c r="Q84" s="211">
        <f>INDEX($C$44:$AN$66,MATCH("New Customers One-Time",$C$44:$C$66,0),MATCH($C84,$C$44:$AN$44,0))</f>
        <v>0</v>
      </c>
      <c r="R84" s="211">
        <f t="shared" ref="R84:AN84" si="164">$Q$84*(E70)</f>
        <v>0</v>
      </c>
      <c r="S84" s="211">
        <f t="shared" si="164"/>
        <v>0</v>
      </c>
      <c r="T84" s="211">
        <f t="shared" si="164"/>
        <v>0</v>
      </c>
      <c r="U84" s="211">
        <f t="shared" si="164"/>
        <v>0</v>
      </c>
      <c r="V84" s="211">
        <f t="shared" si="164"/>
        <v>0</v>
      </c>
      <c r="W84" s="211">
        <f t="shared" si="164"/>
        <v>0</v>
      </c>
      <c r="X84" s="211">
        <f t="shared" si="164"/>
        <v>0</v>
      </c>
      <c r="Y84" s="211">
        <f t="shared" si="164"/>
        <v>0</v>
      </c>
      <c r="Z84" s="211">
        <f t="shared" si="164"/>
        <v>0</v>
      </c>
      <c r="AA84" s="211">
        <f t="shared" si="164"/>
        <v>0</v>
      </c>
      <c r="AB84" s="211">
        <f t="shared" si="164"/>
        <v>0</v>
      </c>
      <c r="AC84" s="211">
        <f t="shared" si="164"/>
        <v>0</v>
      </c>
      <c r="AD84" s="211">
        <f t="shared" si="164"/>
        <v>0</v>
      </c>
      <c r="AE84" s="211">
        <f t="shared" si="164"/>
        <v>0</v>
      </c>
      <c r="AF84" s="211">
        <f t="shared" si="164"/>
        <v>0</v>
      </c>
      <c r="AG84" s="211">
        <f t="shared" si="164"/>
        <v>0</v>
      </c>
      <c r="AH84" s="211">
        <f t="shared" si="164"/>
        <v>0</v>
      </c>
      <c r="AI84" s="211">
        <f t="shared" si="164"/>
        <v>0</v>
      </c>
      <c r="AJ84" s="211">
        <f t="shared" si="164"/>
        <v>0</v>
      </c>
      <c r="AK84" s="211">
        <f t="shared" si="164"/>
        <v>0</v>
      </c>
      <c r="AL84" s="211">
        <f t="shared" si="164"/>
        <v>0</v>
      </c>
      <c r="AM84" s="211">
        <f t="shared" si="164"/>
        <v>0</v>
      </c>
      <c r="AN84" s="211">
        <f t="shared" si="164"/>
        <v>0</v>
      </c>
    </row>
    <row r="85" spans="2:40" s="7" customFormat="1" ht="12" customHeight="1" outlineLevel="2">
      <c r="B85" s="245"/>
      <c r="C85" s="213" t="s">
        <v>766</v>
      </c>
      <c r="D85" s="213"/>
      <c r="E85" s="213"/>
      <c r="F85" s="213"/>
      <c r="G85" s="213"/>
      <c r="H85" s="213"/>
      <c r="I85" s="213"/>
      <c r="J85" s="213"/>
      <c r="K85" s="213"/>
      <c r="L85" s="213"/>
      <c r="M85" s="213"/>
      <c r="N85" s="213"/>
      <c r="O85" s="213"/>
      <c r="P85" s="213"/>
      <c r="Q85" s="213"/>
      <c r="R85" s="211">
        <f>INDEX($C$44:$AN$66,MATCH("New Customers One-Time",$C$44:$C$66,0),MATCH($C85,$C$44:$AN$44,0))</f>
        <v>0</v>
      </c>
      <c r="S85" s="211">
        <f t="shared" ref="S85:AN85" si="165">$R$85*(E70)</f>
        <v>0</v>
      </c>
      <c r="T85" s="211">
        <f t="shared" si="165"/>
        <v>0</v>
      </c>
      <c r="U85" s="211">
        <f t="shared" si="165"/>
        <v>0</v>
      </c>
      <c r="V85" s="211">
        <f t="shared" si="165"/>
        <v>0</v>
      </c>
      <c r="W85" s="211">
        <f t="shared" si="165"/>
        <v>0</v>
      </c>
      <c r="X85" s="211">
        <f t="shared" si="165"/>
        <v>0</v>
      </c>
      <c r="Y85" s="211">
        <f t="shared" si="165"/>
        <v>0</v>
      </c>
      <c r="Z85" s="211">
        <f t="shared" si="165"/>
        <v>0</v>
      </c>
      <c r="AA85" s="211">
        <f t="shared" si="165"/>
        <v>0</v>
      </c>
      <c r="AB85" s="211">
        <f t="shared" si="165"/>
        <v>0</v>
      </c>
      <c r="AC85" s="211">
        <f t="shared" si="165"/>
        <v>0</v>
      </c>
      <c r="AD85" s="211">
        <f t="shared" si="165"/>
        <v>0</v>
      </c>
      <c r="AE85" s="211">
        <f t="shared" si="165"/>
        <v>0</v>
      </c>
      <c r="AF85" s="211">
        <f t="shared" si="165"/>
        <v>0</v>
      </c>
      <c r="AG85" s="211">
        <f t="shared" si="165"/>
        <v>0</v>
      </c>
      <c r="AH85" s="211">
        <f t="shared" si="165"/>
        <v>0</v>
      </c>
      <c r="AI85" s="211">
        <f t="shared" si="165"/>
        <v>0</v>
      </c>
      <c r="AJ85" s="211">
        <f t="shared" si="165"/>
        <v>0</v>
      </c>
      <c r="AK85" s="211">
        <f t="shared" si="165"/>
        <v>0</v>
      </c>
      <c r="AL85" s="211">
        <f t="shared" si="165"/>
        <v>0</v>
      </c>
      <c r="AM85" s="211">
        <f t="shared" si="165"/>
        <v>0</v>
      </c>
      <c r="AN85" s="211">
        <f t="shared" si="165"/>
        <v>0</v>
      </c>
    </row>
    <row r="86" spans="2:40" s="7" customFormat="1" ht="12" customHeight="1" outlineLevel="2">
      <c r="B86" s="245"/>
      <c r="C86" s="213" t="s">
        <v>767</v>
      </c>
      <c r="D86" s="213"/>
      <c r="E86" s="213"/>
      <c r="F86" s="213"/>
      <c r="G86" s="213"/>
      <c r="H86" s="213"/>
      <c r="I86" s="213"/>
      <c r="J86" s="213"/>
      <c r="K86" s="213"/>
      <c r="L86" s="213"/>
      <c r="M86" s="213"/>
      <c r="N86" s="213"/>
      <c r="O86" s="213"/>
      <c r="P86" s="213"/>
      <c r="Q86" s="213"/>
      <c r="R86" s="213"/>
      <c r="S86" s="211">
        <f>INDEX($C$44:$AN$66,MATCH("New Customers One-Time",$C$44:$C$66,0),MATCH($C86,$C$44:$AN$44,0))</f>
        <v>0</v>
      </c>
      <c r="T86" s="211">
        <f t="shared" ref="T86:AN86" si="166">$S$86*(E70)</f>
        <v>0</v>
      </c>
      <c r="U86" s="211">
        <f t="shared" si="166"/>
        <v>0</v>
      </c>
      <c r="V86" s="211">
        <f t="shared" si="166"/>
        <v>0</v>
      </c>
      <c r="W86" s="211">
        <f t="shared" si="166"/>
        <v>0</v>
      </c>
      <c r="X86" s="211">
        <f t="shared" si="166"/>
        <v>0</v>
      </c>
      <c r="Y86" s="211">
        <f t="shared" si="166"/>
        <v>0</v>
      </c>
      <c r="Z86" s="211">
        <f t="shared" si="166"/>
        <v>0</v>
      </c>
      <c r="AA86" s="211">
        <f t="shared" si="166"/>
        <v>0</v>
      </c>
      <c r="AB86" s="211">
        <f t="shared" si="166"/>
        <v>0</v>
      </c>
      <c r="AC86" s="211">
        <f t="shared" si="166"/>
        <v>0</v>
      </c>
      <c r="AD86" s="211">
        <f t="shared" si="166"/>
        <v>0</v>
      </c>
      <c r="AE86" s="211">
        <f t="shared" si="166"/>
        <v>0</v>
      </c>
      <c r="AF86" s="211">
        <f t="shared" si="166"/>
        <v>0</v>
      </c>
      <c r="AG86" s="211">
        <f t="shared" si="166"/>
        <v>0</v>
      </c>
      <c r="AH86" s="211">
        <f t="shared" si="166"/>
        <v>0</v>
      </c>
      <c r="AI86" s="211">
        <f t="shared" si="166"/>
        <v>0</v>
      </c>
      <c r="AJ86" s="211">
        <f t="shared" si="166"/>
        <v>0</v>
      </c>
      <c r="AK86" s="211">
        <f t="shared" si="166"/>
        <v>0</v>
      </c>
      <c r="AL86" s="211">
        <f t="shared" si="166"/>
        <v>0</v>
      </c>
      <c r="AM86" s="211">
        <f t="shared" si="166"/>
        <v>0</v>
      </c>
      <c r="AN86" s="211">
        <f t="shared" si="166"/>
        <v>0</v>
      </c>
    </row>
    <row r="87" spans="2:40" s="7" customFormat="1" ht="12" customHeight="1" outlineLevel="2">
      <c r="B87" s="245"/>
      <c r="C87" s="213" t="s">
        <v>768</v>
      </c>
      <c r="D87" s="213"/>
      <c r="E87" s="213"/>
      <c r="F87" s="213"/>
      <c r="G87" s="213"/>
      <c r="H87" s="213"/>
      <c r="I87" s="213"/>
      <c r="J87" s="213"/>
      <c r="K87" s="213"/>
      <c r="L87" s="213"/>
      <c r="M87" s="213"/>
      <c r="N87" s="213"/>
      <c r="O87" s="213"/>
      <c r="P87" s="213"/>
      <c r="Q87" s="213"/>
      <c r="R87" s="213"/>
      <c r="S87" s="213"/>
      <c r="T87" s="211">
        <f>INDEX($C$44:$AN$66,MATCH("New Customers One-Time",$C$44:$C$66,0),MATCH($C87,$C$44:$AN$44,0))</f>
        <v>0</v>
      </c>
      <c r="U87" s="211">
        <f t="shared" ref="U87:AN87" si="167">$T$87*(E70)</f>
        <v>0</v>
      </c>
      <c r="V87" s="211">
        <f t="shared" si="167"/>
        <v>0</v>
      </c>
      <c r="W87" s="211">
        <f t="shared" si="167"/>
        <v>0</v>
      </c>
      <c r="X87" s="211">
        <f t="shared" si="167"/>
        <v>0</v>
      </c>
      <c r="Y87" s="211">
        <f t="shared" si="167"/>
        <v>0</v>
      </c>
      <c r="Z87" s="211">
        <f t="shared" si="167"/>
        <v>0</v>
      </c>
      <c r="AA87" s="211">
        <f t="shared" si="167"/>
        <v>0</v>
      </c>
      <c r="AB87" s="211">
        <f t="shared" si="167"/>
        <v>0</v>
      </c>
      <c r="AC87" s="211">
        <f t="shared" si="167"/>
        <v>0</v>
      </c>
      <c r="AD87" s="211">
        <f t="shared" si="167"/>
        <v>0</v>
      </c>
      <c r="AE87" s="211">
        <f t="shared" si="167"/>
        <v>0</v>
      </c>
      <c r="AF87" s="211">
        <f t="shared" si="167"/>
        <v>0</v>
      </c>
      <c r="AG87" s="211">
        <f t="shared" si="167"/>
        <v>0</v>
      </c>
      <c r="AH87" s="211">
        <f t="shared" si="167"/>
        <v>0</v>
      </c>
      <c r="AI87" s="211">
        <f t="shared" si="167"/>
        <v>0</v>
      </c>
      <c r="AJ87" s="211">
        <f t="shared" si="167"/>
        <v>0</v>
      </c>
      <c r="AK87" s="211">
        <f t="shared" si="167"/>
        <v>0</v>
      </c>
      <c r="AL87" s="211">
        <f t="shared" si="167"/>
        <v>0</v>
      </c>
      <c r="AM87" s="211">
        <f t="shared" si="167"/>
        <v>0</v>
      </c>
      <c r="AN87" s="211">
        <f t="shared" si="167"/>
        <v>0</v>
      </c>
    </row>
    <row r="88" spans="2:40" s="7" customFormat="1" ht="12" customHeight="1" outlineLevel="2">
      <c r="B88" s="245"/>
      <c r="C88" s="213" t="s">
        <v>769</v>
      </c>
      <c r="D88" s="213"/>
      <c r="E88" s="213"/>
      <c r="F88" s="213"/>
      <c r="G88" s="213"/>
      <c r="H88" s="213"/>
      <c r="I88" s="213"/>
      <c r="J88" s="213"/>
      <c r="K88" s="213"/>
      <c r="L88" s="213"/>
      <c r="M88" s="213"/>
      <c r="N88" s="213"/>
      <c r="O88" s="213"/>
      <c r="P88" s="213"/>
      <c r="Q88" s="213"/>
      <c r="R88" s="213"/>
      <c r="S88" s="213"/>
      <c r="T88" s="213"/>
      <c r="U88" s="211">
        <f>INDEX($C$44:$AN$66,MATCH("New Customers One-Time",$C$44:$C$66,0),MATCH($C88,$C$44:$AN$44,0))</f>
        <v>0</v>
      </c>
      <c r="V88" s="211">
        <f t="shared" ref="V88:AN88" si="168">$U$88*(E70)</f>
        <v>0</v>
      </c>
      <c r="W88" s="211">
        <f t="shared" si="168"/>
        <v>0</v>
      </c>
      <c r="X88" s="211">
        <f t="shared" si="168"/>
        <v>0</v>
      </c>
      <c r="Y88" s="211">
        <f t="shared" si="168"/>
        <v>0</v>
      </c>
      <c r="Z88" s="211">
        <f t="shared" si="168"/>
        <v>0</v>
      </c>
      <c r="AA88" s="211">
        <f t="shared" si="168"/>
        <v>0</v>
      </c>
      <c r="AB88" s="211">
        <f t="shared" si="168"/>
        <v>0</v>
      </c>
      <c r="AC88" s="211">
        <f t="shared" si="168"/>
        <v>0</v>
      </c>
      <c r="AD88" s="211">
        <f t="shared" si="168"/>
        <v>0</v>
      </c>
      <c r="AE88" s="211">
        <f t="shared" si="168"/>
        <v>0</v>
      </c>
      <c r="AF88" s="211">
        <f t="shared" si="168"/>
        <v>0</v>
      </c>
      <c r="AG88" s="211">
        <f t="shared" si="168"/>
        <v>0</v>
      </c>
      <c r="AH88" s="211">
        <f t="shared" si="168"/>
        <v>0</v>
      </c>
      <c r="AI88" s="211">
        <f t="shared" si="168"/>
        <v>0</v>
      </c>
      <c r="AJ88" s="211">
        <f t="shared" si="168"/>
        <v>0</v>
      </c>
      <c r="AK88" s="211">
        <f t="shared" si="168"/>
        <v>0</v>
      </c>
      <c r="AL88" s="211">
        <f t="shared" si="168"/>
        <v>0</v>
      </c>
      <c r="AM88" s="211">
        <f t="shared" si="168"/>
        <v>0</v>
      </c>
      <c r="AN88" s="211">
        <f t="shared" si="168"/>
        <v>0</v>
      </c>
    </row>
    <row r="89" spans="2:40" s="7" customFormat="1" ht="12" customHeight="1" outlineLevel="2">
      <c r="B89" s="245"/>
      <c r="C89" s="213" t="s">
        <v>770</v>
      </c>
      <c r="D89" s="213"/>
      <c r="E89" s="213"/>
      <c r="F89" s="213"/>
      <c r="G89" s="213"/>
      <c r="H89" s="213"/>
      <c r="I89" s="213"/>
      <c r="J89" s="213"/>
      <c r="K89" s="213"/>
      <c r="L89" s="213"/>
      <c r="M89" s="213"/>
      <c r="N89" s="213"/>
      <c r="O89" s="213"/>
      <c r="P89" s="213"/>
      <c r="Q89" s="213"/>
      <c r="R89" s="213"/>
      <c r="S89" s="213"/>
      <c r="T89" s="213"/>
      <c r="U89" s="213"/>
      <c r="V89" s="211">
        <f>INDEX($C$44:$AN$66,MATCH("New Customers One-Time",$C$44:$C$66,0),MATCH($C89,$C$44:$AN$44,0))</f>
        <v>0</v>
      </c>
      <c r="W89" s="211">
        <f t="shared" ref="W89:AN89" si="169">$V$89*(E70)</f>
        <v>0</v>
      </c>
      <c r="X89" s="211">
        <f t="shared" si="169"/>
        <v>0</v>
      </c>
      <c r="Y89" s="211">
        <f t="shared" si="169"/>
        <v>0</v>
      </c>
      <c r="Z89" s="211">
        <f t="shared" si="169"/>
        <v>0</v>
      </c>
      <c r="AA89" s="211">
        <f t="shared" si="169"/>
        <v>0</v>
      </c>
      <c r="AB89" s="211">
        <f t="shared" si="169"/>
        <v>0</v>
      </c>
      <c r="AC89" s="211">
        <f t="shared" si="169"/>
        <v>0</v>
      </c>
      <c r="AD89" s="211">
        <f t="shared" si="169"/>
        <v>0</v>
      </c>
      <c r="AE89" s="211">
        <f t="shared" si="169"/>
        <v>0</v>
      </c>
      <c r="AF89" s="211">
        <f t="shared" si="169"/>
        <v>0</v>
      </c>
      <c r="AG89" s="211">
        <f t="shared" si="169"/>
        <v>0</v>
      </c>
      <c r="AH89" s="211">
        <f t="shared" si="169"/>
        <v>0</v>
      </c>
      <c r="AI89" s="211">
        <f t="shared" si="169"/>
        <v>0</v>
      </c>
      <c r="AJ89" s="211">
        <f t="shared" si="169"/>
        <v>0</v>
      </c>
      <c r="AK89" s="211">
        <f t="shared" si="169"/>
        <v>0</v>
      </c>
      <c r="AL89" s="211">
        <f t="shared" si="169"/>
        <v>0</v>
      </c>
      <c r="AM89" s="211">
        <f t="shared" si="169"/>
        <v>0</v>
      </c>
      <c r="AN89" s="211">
        <f t="shared" si="169"/>
        <v>0</v>
      </c>
    </row>
    <row r="90" spans="2:40" s="7" customFormat="1" ht="12" customHeight="1" outlineLevel="2">
      <c r="B90" s="245"/>
      <c r="C90" s="213" t="s">
        <v>771</v>
      </c>
      <c r="D90" s="213"/>
      <c r="E90" s="213"/>
      <c r="F90" s="213"/>
      <c r="G90" s="213"/>
      <c r="H90" s="213"/>
      <c r="I90" s="213"/>
      <c r="J90" s="213"/>
      <c r="K90" s="213"/>
      <c r="L90" s="213"/>
      <c r="M90" s="213"/>
      <c r="N90" s="213"/>
      <c r="O90" s="213"/>
      <c r="P90" s="213"/>
      <c r="Q90" s="213"/>
      <c r="R90" s="213"/>
      <c r="S90" s="213"/>
      <c r="T90" s="213"/>
      <c r="U90" s="213"/>
      <c r="V90" s="213"/>
      <c r="W90" s="211">
        <f>INDEX($C$44:$AN$66,MATCH("New Customers One-Time",$C$44:$C$66,0),MATCH($C90,$C$44:$AN$44,0))</f>
        <v>0</v>
      </c>
      <c r="X90" s="211">
        <f t="shared" ref="X90:AN90" si="170">$W$90*(E70)</f>
        <v>0</v>
      </c>
      <c r="Y90" s="211">
        <f t="shared" si="170"/>
        <v>0</v>
      </c>
      <c r="Z90" s="211">
        <f t="shared" si="170"/>
        <v>0</v>
      </c>
      <c r="AA90" s="211">
        <f t="shared" si="170"/>
        <v>0</v>
      </c>
      <c r="AB90" s="211">
        <f t="shared" si="170"/>
        <v>0</v>
      </c>
      <c r="AC90" s="211">
        <f t="shared" si="170"/>
        <v>0</v>
      </c>
      <c r="AD90" s="211">
        <f t="shared" si="170"/>
        <v>0</v>
      </c>
      <c r="AE90" s="211">
        <f t="shared" si="170"/>
        <v>0</v>
      </c>
      <c r="AF90" s="211">
        <f t="shared" si="170"/>
        <v>0</v>
      </c>
      <c r="AG90" s="211">
        <f t="shared" si="170"/>
        <v>0</v>
      </c>
      <c r="AH90" s="211">
        <f t="shared" si="170"/>
        <v>0</v>
      </c>
      <c r="AI90" s="211">
        <f t="shared" si="170"/>
        <v>0</v>
      </c>
      <c r="AJ90" s="211">
        <f t="shared" si="170"/>
        <v>0</v>
      </c>
      <c r="AK90" s="211">
        <f t="shared" si="170"/>
        <v>0</v>
      </c>
      <c r="AL90" s="211">
        <f t="shared" si="170"/>
        <v>0</v>
      </c>
      <c r="AM90" s="211">
        <f t="shared" si="170"/>
        <v>0</v>
      </c>
      <c r="AN90" s="211">
        <f t="shared" si="170"/>
        <v>0</v>
      </c>
    </row>
    <row r="91" spans="2:40" s="7" customFormat="1" ht="12" customHeight="1" outlineLevel="2">
      <c r="B91" s="245"/>
      <c r="C91" s="213" t="s">
        <v>772</v>
      </c>
      <c r="D91" s="213"/>
      <c r="E91" s="213"/>
      <c r="F91" s="213"/>
      <c r="G91" s="213"/>
      <c r="H91" s="213"/>
      <c r="I91" s="213"/>
      <c r="J91" s="213"/>
      <c r="K91" s="213"/>
      <c r="L91" s="213"/>
      <c r="M91" s="213"/>
      <c r="N91" s="213"/>
      <c r="O91" s="213"/>
      <c r="P91" s="213"/>
      <c r="Q91" s="213"/>
      <c r="R91" s="213"/>
      <c r="S91" s="213"/>
      <c r="T91" s="213"/>
      <c r="U91" s="213"/>
      <c r="V91" s="213"/>
      <c r="W91" s="213"/>
      <c r="X91" s="211">
        <f>INDEX($C$44:$AN$66,MATCH("New Customers One-Time",$C$44:$C$66,0),MATCH($C91,$C$44:$AN$44,0))</f>
        <v>0</v>
      </c>
      <c r="Y91" s="211">
        <f t="shared" ref="Y91:AN91" si="171">$X$91*(E70)</f>
        <v>0</v>
      </c>
      <c r="Z91" s="211">
        <f t="shared" si="171"/>
        <v>0</v>
      </c>
      <c r="AA91" s="211">
        <f t="shared" si="171"/>
        <v>0</v>
      </c>
      <c r="AB91" s="211">
        <f t="shared" si="171"/>
        <v>0</v>
      </c>
      <c r="AC91" s="211">
        <f t="shared" si="171"/>
        <v>0</v>
      </c>
      <c r="AD91" s="211">
        <f t="shared" si="171"/>
        <v>0</v>
      </c>
      <c r="AE91" s="211">
        <f t="shared" si="171"/>
        <v>0</v>
      </c>
      <c r="AF91" s="211">
        <f t="shared" si="171"/>
        <v>0</v>
      </c>
      <c r="AG91" s="211">
        <f t="shared" si="171"/>
        <v>0</v>
      </c>
      <c r="AH91" s="211">
        <f t="shared" si="171"/>
        <v>0</v>
      </c>
      <c r="AI91" s="211">
        <f t="shared" si="171"/>
        <v>0</v>
      </c>
      <c r="AJ91" s="211">
        <f t="shared" si="171"/>
        <v>0</v>
      </c>
      <c r="AK91" s="211">
        <f t="shared" si="171"/>
        <v>0</v>
      </c>
      <c r="AL91" s="211">
        <f t="shared" si="171"/>
        <v>0</v>
      </c>
      <c r="AM91" s="211">
        <f t="shared" si="171"/>
        <v>0</v>
      </c>
      <c r="AN91" s="211">
        <f t="shared" si="171"/>
        <v>0</v>
      </c>
    </row>
    <row r="92" spans="2:40" s="7" customFormat="1" ht="12" customHeight="1" outlineLevel="2">
      <c r="B92" s="245"/>
      <c r="C92" s="213" t="s">
        <v>773</v>
      </c>
      <c r="D92" s="213"/>
      <c r="E92" s="213"/>
      <c r="F92" s="213"/>
      <c r="G92" s="213"/>
      <c r="H92" s="213"/>
      <c r="I92" s="213"/>
      <c r="J92" s="213"/>
      <c r="K92" s="213"/>
      <c r="L92" s="213"/>
      <c r="M92" s="213"/>
      <c r="N92" s="213"/>
      <c r="O92" s="213"/>
      <c r="P92" s="213"/>
      <c r="Q92" s="213"/>
      <c r="R92" s="213"/>
      <c r="S92" s="213"/>
      <c r="T92" s="213"/>
      <c r="U92" s="213"/>
      <c r="V92" s="213"/>
      <c r="W92" s="213"/>
      <c r="X92" s="213"/>
      <c r="Y92" s="211">
        <f>INDEX($C$44:$AN$66,MATCH("New Customers One-Time",$C$44:$C$66,0),MATCH($C92,$C$44:$AN$44,0))</f>
        <v>0</v>
      </c>
      <c r="Z92" s="211">
        <f t="shared" ref="Z92:AN92" si="172">$Y$92*(E70)</f>
        <v>0</v>
      </c>
      <c r="AA92" s="211">
        <f t="shared" si="172"/>
        <v>0</v>
      </c>
      <c r="AB92" s="211">
        <f t="shared" si="172"/>
        <v>0</v>
      </c>
      <c r="AC92" s="211">
        <f t="shared" si="172"/>
        <v>0</v>
      </c>
      <c r="AD92" s="211">
        <f t="shared" si="172"/>
        <v>0</v>
      </c>
      <c r="AE92" s="211">
        <f t="shared" si="172"/>
        <v>0</v>
      </c>
      <c r="AF92" s="211">
        <f t="shared" si="172"/>
        <v>0</v>
      </c>
      <c r="AG92" s="211">
        <f t="shared" si="172"/>
        <v>0</v>
      </c>
      <c r="AH92" s="211">
        <f t="shared" si="172"/>
        <v>0</v>
      </c>
      <c r="AI92" s="211">
        <f t="shared" si="172"/>
        <v>0</v>
      </c>
      <c r="AJ92" s="211">
        <f t="shared" si="172"/>
        <v>0</v>
      </c>
      <c r="AK92" s="211">
        <f t="shared" si="172"/>
        <v>0</v>
      </c>
      <c r="AL92" s="211">
        <f t="shared" si="172"/>
        <v>0</v>
      </c>
      <c r="AM92" s="211">
        <f t="shared" si="172"/>
        <v>0</v>
      </c>
      <c r="AN92" s="211">
        <f t="shared" si="172"/>
        <v>0</v>
      </c>
    </row>
    <row r="93" spans="2:40" s="7" customFormat="1" ht="12" customHeight="1" outlineLevel="2">
      <c r="B93" s="245"/>
      <c r="C93" s="213" t="s">
        <v>774</v>
      </c>
      <c r="D93" s="213"/>
      <c r="E93" s="213"/>
      <c r="F93" s="213"/>
      <c r="G93" s="213"/>
      <c r="H93" s="213"/>
      <c r="I93" s="213"/>
      <c r="J93" s="213"/>
      <c r="K93" s="213"/>
      <c r="L93" s="213"/>
      <c r="M93" s="213"/>
      <c r="N93" s="213"/>
      <c r="O93" s="213"/>
      <c r="P93" s="213"/>
      <c r="Q93" s="213"/>
      <c r="R93" s="213"/>
      <c r="S93" s="213"/>
      <c r="T93" s="213"/>
      <c r="U93" s="213"/>
      <c r="V93" s="213"/>
      <c r="W93" s="213"/>
      <c r="X93" s="213"/>
      <c r="Y93" s="213"/>
      <c r="Z93" s="211">
        <f>INDEX($C$44:$AN$66,MATCH("New Customers One-Time",$C$44:$C$66,0),MATCH($C93,$C$44:$AN$44,0))</f>
        <v>0</v>
      </c>
      <c r="AA93" s="211">
        <f t="shared" ref="AA93:AN93" si="173">$Z$93*(E70)</f>
        <v>0</v>
      </c>
      <c r="AB93" s="211">
        <f t="shared" si="173"/>
        <v>0</v>
      </c>
      <c r="AC93" s="211">
        <f t="shared" si="173"/>
        <v>0</v>
      </c>
      <c r="AD93" s="211">
        <f t="shared" si="173"/>
        <v>0</v>
      </c>
      <c r="AE93" s="211">
        <f t="shared" si="173"/>
        <v>0</v>
      </c>
      <c r="AF93" s="211">
        <f t="shared" si="173"/>
        <v>0</v>
      </c>
      <c r="AG93" s="211">
        <f t="shared" si="173"/>
        <v>0</v>
      </c>
      <c r="AH93" s="211">
        <f t="shared" si="173"/>
        <v>0</v>
      </c>
      <c r="AI93" s="211">
        <f t="shared" si="173"/>
        <v>0</v>
      </c>
      <c r="AJ93" s="211">
        <f t="shared" si="173"/>
        <v>0</v>
      </c>
      <c r="AK93" s="211">
        <f t="shared" si="173"/>
        <v>0</v>
      </c>
      <c r="AL93" s="211">
        <f t="shared" si="173"/>
        <v>0</v>
      </c>
      <c r="AM93" s="211">
        <f t="shared" si="173"/>
        <v>0</v>
      </c>
      <c r="AN93" s="211">
        <f t="shared" si="173"/>
        <v>0</v>
      </c>
    </row>
    <row r="94" spans="2:40" s="7" customFormat="1" ht="12" customHeight="1" outlineLevel="2">
      <c r="B94" s="245"/>
      <c r="C94" s="213" t="s">
        <v>775</v>
      </c>
      <c r="D94" s="213"/>
      <c r="E94" s="213"/>
      <c r="F94" s="213"/>
      <c r="G94" s="213"/>
      <c r="H94" s="213"/>
      <c r="I94" s="213"/>
      <c r="J94" s="213"/>
      <c r="K94" s="213"/>
      <c r="L94" s="213"/>
      <c r="M94" s="213"/>
      <c r="N94" s="213"/>
      <c r="O94" s="213"/>
      <c r="P94" s="213"/>
      <c r="Q94" s="213"/>
      <c r="R94" s="213"/>
      <c r="S94" s="213"/>
      <c r="T94" s="213"/>
      <c r="U94" s="213"/>
      <c r="V94" s="213"/>
      <c r="W94" s="213"/>
      <c r="X94" s="213"/>
      <c r="Y94" s="213"/>
      <c r="Z94" s="213"/>
      <c r="AA94" s="211">
        <f>INDEX($C$44:$AN$66,MATCH("New Customers One-Time",$C$44:$C$66,0),MATCH($C94,$C$44:$AN$44,0))</f>
        <v>0</v>
      </c>
      <c r="AB94" s="211">
        <f t="shared" ref="AB94:AN94" si="174">$AA$94*(E70)</f>
        <v>0</v>
      </c>
      <c r="AC94" s="211">
        <f t="shared" si="174"/>
        <v>0</v>
      </c>
      <c r="AD94" s="211">
        <f t="shared" si="174"/>
        <v>0</v>
      </c>
      <c r="AE94" s="211">
        <f t="shared" si="174"/>
        <v>0</v>
      </c>
      <c r="AF94" s="211">
        <f t="shared" si="174"/>
        <v>0</v>
      </c>
      <c r="AG94" s="211">
        <f t="shared" si="174"/>
        <v>0</v>
      </c>
      <c r="AH94" s="211">
        <f t="shared" si="174"/>
        <v>0</v>
      </c>
      <c r="AI94" s="211">
        <f t="shared" si="174"/>
        <v>0</v>
      </c>
      <c r="AJ94" s="211">
        <f t="shared" si="174"/>
        <v>0</v>
      </c>
      <c r="AK94" s="211">
        <f t="shared" si="174"/>
        <v>0</v>
      </c>
      <c r="AL94" s="211">
        <f t="shared" si="174"/>
        <v>0</v>
      </c>
      <c r="AM94" s="211">
        <f t="shared" si="174"/>
        <v>0</v>
      </c>
      <c r="AN94" s="211">
        <f t="shared" si="174"/>
        <v>0</v>
      </c>
    </row>
    <row r="95" spans="2:40" s="7" customFormat="1" ht="12" customHeight="1" outlineLevel="2">
      <c r="B95" s="245"/>
      <c r="C95" s="213" t="s">
        <v>776</v>
      </c>
      <c r="D95" s="213"/>
      <c r="E95" s="213"/>
      <c r="F95" s="213"/>
      <c r="G95" s="213"/>
      <c r="H95" s="213"/>
      <c r="I95" s="213"/>
      <c r="J95" s="213"/>
      <c r="K95" s="213"/>
      <c r="L95" s="213"/>
      <c r="M95" s="213"/>
      <c r="N95" s="213"/>
      <c r="O95" s="213"/>
      <c r="P95" s="213"/>
      <c r="Q95" s="213"/>
      <c r="R95" s="213"/>
      <c r="S95" s="213"/>
      <c r="T95" s="213"/>
      <c r="U95" s="213"/>
      <c r="V95" s="213"/>
      <c r="W95" s="213"/>
      <c r="X95" s="213"/>
      <c r="Y95" s="213"/>
      <c r="Z95" s="213"/>
      <c r="AA95" s="213"/>
      <c r="AB95" s="211">
        <f>INDEX($C$44:$AN$66,MATCH("New Customers One-Time",$C$44:$C$66,0),MATCH($C95,$C$44:$AN$44,0))</f>
        <v>0</v>
      </c>
      <c r="AC95" s="211">
        <f t="shared" ref="AC95:AN95" si="175">$AB$95*(E70)</f>
        <v>0</v>
      </c>
      <c r="AD95" s="211">
        <f t="shared" si="175"/>
        <v>0</v>
      </c>
      <c r="AE95" s="211">
        <f t="shared" si="175"/>
        <v>0</v>
      </c>
      <c r="AF95" s="211">
        <f t="shared" si="175"/>
        <v>0</v>
      </c>
      <c r="AG95" s="211">
        <f t="shared" si="175"/>
        <v>0</v>
      </c>
      <c r="AH95" s="211">
        <f t="shared" si="175"/>
        <v>0</v>
      </c>
      <c r="AI95" s="211">
        <f t="shared" si="175"/>
        <v>0</v>
      </c>
      <c r="AJ95" s="211">
        <f t="shared" si="175"/>
        <v>0</v>
      </c>
      <c r="AK95" s="211">
        <f t="shared" si="175"/>
        <v>0</v>
      </c>
      <c r="AL95" s="211">
        <f t="shared" si="175"/>
        <v>0</v>
      </c>
      <c r="AM95" s="211">
        <f t="shared" si="175"/>
        <v>0</v>
      </c>
      <c r="AN95" s="211">
        <f t="shared" si="175"/>
        <v>0</v>
      </c>
    </row>
    <row r="96" spans="2:40" s="7" customFormat="1" ht="12" customHeight="1" outlineLevel="2">
      <c r="B96" s="245"/>
      <c r="C96" s="213" t="s">
        <v>777</v>
      </c>
      <c r="D96" s="213"/>
      <c r="E96" s="213"/>
      <c r="F96" s="213"/>
      <c r="G96" s="213"/>
      <c r="H96" s="213"/>
      <c r="I96" s="213"/>
      <c r="J96" s="213"/>
      <c r="K96" s="213"/>
      <c r="L96" s="213"/>
      <c r="M96" s="213"/>
      <c r="N96" s="213"/>
      <c r="O96" s="213"/>
      <c r="P96" s="213"/>
      <c r="Q96" s="213"/>
      <c r="R96" s="213"/>
      <c r="S96" s="213"/>
      <c r="T96" s="213"/>
      <c r="U96" s="213"/>
      <c r="V96" s="213"/>
      <c r="W96" s="213"/>
      <c r="X96" s="213"/>
      <c r="Y96" s="213"/>
      <c r="Z96" s="213"/>
      <c r="AA96" s="213"/>
      <c r="AB96" s="211"/>
      <c r="AC96" s="211">
        <f>INDEX($C$44:$AN$66,MATCH("New Customers One-Time",$C$44:$C$66,0),MATCH($C96,$C$44:$AN$44,0))</f>
        <v>0</v>
      </c>
      <c r="AD96" s="211">
        <f t="shared" ref="AD96:AN96" si="176">$AC$96*(E70)</f>
        <v>0</v>
      </c>
      <c r="AE96" s="211">
        <f t="shared" si="176"/>
        <v>0</v>
      </c>
      <c r="AF96" s="211">
        <f t="shared" si="176"/>
        <v>0</v>
      </c>
      <c r="AG96" s="211">
        <f t="shared" si="176"/>
        <v>0</v>
      </c>
      <c r="AH96" s="211">
        <f t="shared" si="176"/>
        <v>0</v>
      </c>
      <c r="AI96" s="211">
        <f t="shared" si="176"/>
        <v>0</v>
      </c>
      <c r="AJ96" s="211">
        <f t="shared" si="176"/>
        <v>0</v>
      </c>
      <c r="AK96" s="211">
        <f t="shared" si="176"/>
        <v>0</v>
      </c>
      <c r="AL96" s="211">
        <f t="shared" si="176"/>
        <v>0</v>
      </c>
      <c r="AM96" s="211">
        <f t="shared" si="176"/>
        <v>0</v>
      </c>
      <c r="AN96" s="211">
        <f t="shared" si="176"/>
        <v>0</v>
      </c>
    </row>
    <row r="97" spans="2:40" s="7" customFormat="1" ht="12" customHeight="1" outlineLevel="2">
      <c r="B97" s="245"/>
      <c r="C97" s="213" t="s">
        <v>778</v>
      </c>
      <c r="D97" s="213"/>
      <c r="E97" s="213"/>
      <c r="F97" s="213"/>
      <c r="G97" s="213"/>
      <c r="H97" s="213"/>
      <c r="I97" s="213"/>
      <c r="J97" s="213"/>
      <c r="K97" s="213"/>
      <c r="L97" s="213"/>
      <c r="M97" s="213"/>
      <c r="N97" s="213"/>
      <c r="O97" s="213"/>
      <c r="P97" s="213"/>
      <c r="Q97" s="213"/>
      <c r="R97" s="213"/>
      <c r="S97" s="213"/>
      <c r="T97" s="213"/>
      <c r="U97" s="213"/>
      <c r="V97" s="213"/>
      <c r="W97" s="213"/>
      <c r="X97" s="213"/>
      <c r="Y97" s="213"/>
      <c r="Z97" s="213"/>
      <c r="AA97" s="213"/>
      <c r="AB97" s="211"/>
      <c r="AC97" s="211"/>
      <c r="AD97" s="211">
        <f>INDEX($C$44:$AN$66,MATCH("New Customers One-Time",$C$44:$C$66,0),MATCH($C97,$C$44:$AN$44,0))</f>
        <v>0</v>
      </c>
      <c r="AE97" s="211">
        <f t="shared" ref="AE97:AN97" si="177">$AD$97*(E70)</f>
        <v>0</v>
      </c>
      <c r="AF97" s="211">
        <f t="shared" si="177"/>
        <v>0</v>
      </c>
      <c r="AG97" s="211">
        <f t="shared" si="177"/>
        <v>0</v>
      </c>
      <c r="AH97" s="211">
        <f t="shared" si="177"/>
        <v>0</v>
      </c>
      <c r="AI97" s="211">
        <f t="shared" si="177"/>
        <v>0</v>
      </c>
      <c r="AJ97" s="211">
        <f t="shared" si="177"/>
        <v>0</v>
      </c>
      <c r="AK97" s="211">
        <f t="shared" si="177"/>
        <v>0</v>
      </c>
      <c r="AL97" s="211">
        <f t="shared" si="177"/>
        <v>0</v>
      </c>
      <c r="AM97" s="211">
        <f t="shared" si="177"/>
        <v>0</v>
      </c>
      <c r="AN97" s="211">
        <f t="shared" si="177"/>
        <v>0</v>
      </c>
    </row>
    <row r="98" spans="2:40" s="7" customFormat="1" ht="12" customHeight="1" outlineLevel="2">
      <c r="B98" s="245"/>
      <c r="C98" s="213" t="s">
        <v>779</v>
      </c>
      <c r="D98" s="213"/>
      <c r="E98" s="213"/>
      <c r="F98" s="213"/>
      <c r="G98" s="213"/>
      <c r="H98" s="213"/>
      <c r="I98" s="213"/>
      <c r="J98" s="213"/>
      <c r="K98" s="213"/>
      <c r="L98" s="213"/>
      <c r="M98" s="213"/>
      <c r="N98" s="213"/>
      <c r="O98" s="213"/>
      <c r="P98" s="213"/>
      <c r="Q98" s="213"/>
      <c r="R98" s="213"/>
      <c r="S98" s="213"/>
      <c r="T98" s="213"/>
      <c r="U98" s="213"/>
      <c r="V98" s="213"/>
      <c r="W98" s="213"/>
      <c r="X98" s="213"/>
      <c r="Y98" s="213"/>
      <c r="Z98" s="213"/>
      <c r="AA98" s="213"/>
      <c r="AB98" s="211"/>
      <c r="AC98" s="211"/>
      <c r="AD98" s="211"/>
      <c r="AE98" s="211">
        <f>INDEX($C$44:$AN$66,MATCH("New Customers One-Time",$C$44:$C$66,0),MATCH($C98,$C$44:$AN$44,0))</f>
        <v>0</v>
      </c>
      <c r="AF98" s="211">
        <f t="shared" ref="AF98:AN98" si="178">$AE$98*(E70)</f>
        <v>0</v>
      </c>
      <c r="AG98" s="211">
        <f t="shared" si="178"/>
        <v>0</v>
      </c>
      <c r="AH98" s="211">
        <f t="shared" si="178"/>
        <v>0</v>
      </c>
      <c r="AI98" s="211">
        <f t="shared" si="178"/>
        <v>0</v>
      </c>
      <c r="AJ98" s="211">
        <f t="shared" si="178"/>
        <v>0</v>
      </c>
      <c r="AK98" s="211">
        <f t="shared" si="178"/>
        <v>0</v>
      </c>
      <c r="AL98" s="211">
        <f t="shared" si="178"/>
        <v>0</v>
      </c>
      <c r="AM98" s="211">
        <f t="shared" si="178"/>
        <v>0</v>
      </c>
      <c r="AN98" s="211">
        <f t="shared" si="178"/>
        <v>0</v>
      </c>
    </row>
    <row r="99" spans="2:40" s="7" customFormat="1" ht="12" customHeight="1" outlineLevel="2">
      <c r="B99" s="245"/>
      <c r="C99" s="213" t="s">
        <v>780</v>
      </c>
      <c r="D99" s="213"/>
      <c r="E99" s="213"/>
      <c r="F99" s="213"/>
      <c r="G99" s="213"/>
      <c r="H99" s="213"/>
      <c r="I99" s="213"/>
      <c r="J99" s="213"/>
      <c r="K99" s="213"/>
      <c r="L99" s="213"/>
      <c r="M99" s="213"/>
      <c r="N99" s="213"/>
      <c r="O99" s="213"/>
      <c r="P99" s="213"/>
      <c r="Q99" s="213"/>
      <c r="R99" s="213"/>
      <c r="S99" s="213"/>
      <c r="T99" s="213"/>
      <c r="U99" s="213"/>
      <c r="V99" s="213"/>
      <c r="W99" s="213"/>
      <c r="X99" s="213"/>
      <c r="Y99" s="213"/>
      <c r="Z99" s="213"/>
      <c r="AA99" s="213"/>
      <c r="AB99" s="211"/>
      <c r="AC99" s="211"/>
      <c r="AD99" s="211"/>
      <c r="AE99" s="211"/>
      <c r="AF99" s="211">
        <f>INDEX($C$44:$AN$66,MATCH("New Customers One-Time",$C$44:$C$66,0),MATCH($C99,$C$44:$AN$44,0))</f>
        <v>0</v>
      </c>
      <c r="AG99" s="211">
        <f t="shared" ref="AG99:AN99" si="179">$AF$99*(E70)</f>
        <v>0</v>
      </c>
      <c r="AH99" s="211">
        <f t="shared" si="179"/>
        <v>0</v>
      </c>
      <c r="AI99" s="211">
        <f t="shared" si="179"/>
        <v>0</v>
      </c>
      <c r="AJ99" s="211">
        <f t="shared" si="179"/>
        <v>0</v>
      </c>
      <c r="AK99" s="211">
        <f t="shared" si="179"/>
        <v>0</v>
      </c>
      <c r="AL99" s="211">
        <f t="shared" si="179"/>
        <v>0</v>
      </c>
      <c r="AM99" s="211">
        <f t="shared" si="179"/>
        <v>0</v>
      </c>
      <c r="AN99" s="211">
        <f t="shared" si="179"/>
        <v>0</v>
      </c>
    </row>
    <row r="100" spans="2:40" s="7" customFormat="1" ht="12" customHeight="1" outlineLevel="2">
      <c r="B100" s="245"/>
      <c r="C100" s="213" t="s">
        <v>781</v>
      </c>
      <c r="D100" s="213"/>
      <c r="E100" s="213"/>
      <c r="F100" s="213"/>
      <c r="G100" s="213"/>
      <c r="H100" s="213"/>
      <c r="I100" s="213"/>
      <c r="J100" s="213"/>
      <c r="K100" s="213"/>
      <c r="L100" s="213"/>
      <c r="M100" s="213"/>
      <c r="N100" s="213"/>
      <c r="O100" s="213"/>
      <c r="P100" s="213"/>
      <c r="Q100" s="213"/>
      <c r="R100" s="213"/>
      <c r="S100" s="213"/>
      <c r="T100" s="213"/>
      <c r="U100" s="213"/>
      <c r="V100" s="213"/>
      <c r="W100" s="213"/>
      <c r="X100" s="213"/>
      <c r="Y100" s="213"/>
      <c r="Z100" s="213"/>
      <c r="AA100" s="213"/>
      <c r="AB100" s="211"/>
      <c r="AC100" s="211"/>
      <c r="AD100" s="211"/>
      <c r="AE100" s="211"/>
      <c r="AF100" s="211"/>
      <c r="AG100" s="211">
        <f>INDEX($C$44:$AN$66,MATCH("New Customers One-Time",$C$44:$C$66,0),MATCH($C100,$C$44:$AN$44,0))</f>
        <v>0</v>
      </c>
      <c r="AH100" s="211">
        <f t="shared" ref="AH100:AN100" si="180">$AG$100*(E70)</f>
        <v>0</v>
      </c>
      <c r="AI100" s="211">
        <f t="shared" si="180"/>
        <v>0</v>
      </c>
      <c r="AJ100" s="211">
        <f t="shared" si="180"/>
        <v>0</v>
      </c>
      <c r="AK100" s="211">
        <f t="shared" si="180"/>
        <v>0</v>
      </c>
      <c r="AL100" s="211">
        <f t="shared" si="180"/>
        <v>0</v>
      </c>
      <c r="AM100" s="211">
        <f t="shared" si="180"/>
        <v>0</v>
      </c>
      <c r="AN100" s="211">
        <f t="shared" si="180"/>
        <v>0</v>
      </c>
    </row>
    <row r="101" spans="2:40" s="7" customFormat="1" ht="12" customHeight="1" outlineLevel="2">
      <c r="B101" s="245"/>
      <c r="C101" s="213" t="s">
        <v>782</v>
      </c>
      <c r="D101" s="213"/>
      <c r="E101" s="213"/>
      <c r="F101" s="213"/>
      <c r="G101" s="213"/>
      <c r="H101" s="213"/>
      <c r="I101" s="213"/>
      <c r="J101" s="213"/>
      <c r="K101" s="213"/>
      <c r="L101" s="213"/>
      <c r="M101" s="213"/>
      <c r="N101" s="213"/>
      <c r="O101" s="213"/>
      <c r="P101" s="213"/>
      <c r="Q101" s="213"/>
      <c r="R101" s="213"/>
      <c r="S101" s="213"/>
      <c r="T101" s="213"/>
      <c r="U101" s="213"/>
      <c r="V101" s="213"/>
      <c r="W101" s="213"/>
      <c r="X101" s="213"/>
      <c r="Y101" s="213"/>
      <c r="Z101" s="213"/>
      <c r="AA101" s="213"/>
      <c r="AB101" s="211"/>
      <c r="AC101" s="211"/>
      <c r="AD101" s="211"/>
      <c r="AE101" s="211"/>
      <c r="AF101" s="211"/>
      <c r="AG101" s="211"/>
      <c r="AH101" s="211">
        <f>INDEX($C$44:$AN$66,MATCH("New Customers One-Time",$C$44:$C$66,0),MATCH($C101,$C$44:$AN$44,0))</f>
        <v>0</v>
      </c>
      <c r="AI101" s="211">
        <f t="shared" ref="AI101:AN101" si="181">$AH$101*(E70)</f>
        <v>0</v>
      </c>
      <c r="AJ101" s="211">
        <f t="shared" si="181"/>
        <v>0</v>
      </c>
      <c r="AK101" s="211">
        <f t="shared" si="181"/>
        <v>0</v>
      </c>
      <c r="AL101" s="211">
        <f t="shared" si="181"/>
        <v>0</v>
      </c>
      <c r="AM101" s="211">
        <f t="shared" si="181"/>
        <v>0</v>
      </c>
      <c r="AN101" s="211">
        <f t="shared" si="181"/>
        <v>0</v>
      </c>
    </row>
    <row r="102" spans="2:40" s="7" customFormat="1" ht="12" customHeight="1" outlineLevel="2">
      <c r="B102" s="245"/>
      <c r="C102" s="213" t="s">
        <v>783</v>
      </c>
      <c r="D102" s="213"/>
      <c r="E102" s="213"/>
      <c r="F102" s="213"/>
      <c r="G102" s="213"/>
      <c r="H102" s="213"/>
      <c r="I102" s="213"/>
      <c r="J102" s="213"/>
      <c r="K102" s="213"/>
      <c r="L102" s="213"/>
      <c r="M102" s="213"/>
      <c r="N102" s="213"/>
      <c r="O102" s="213"/>
      <c r="P102" s="213"/>
      <c r="Q102" s="213"/>
      <c r="R102" s="213"/>
      <c r="S102" s="213"/>
      <c r="T102" s="213"/>
      <c r="U102" s="213"/>
      <c r="V102" s="213"/>
      <c r="W102" s="213"/>
      <c r="X102" s="213"/>
      <c r="Y102" s="213"/>
      <c r="Z102" s="213"/>
      <c r="AA102" s="213"/>
      <c r="AB102" s="211"/>
      <c r="AC102" s="211"/>
      <c r="AD102" s="211"/>
      <c r="AE102" s="211"/>
      <c r="AF102" s="211"/>
      <c r="AG102" s="211"/>
      <c r="AH102" s="211"/>
      <c r="AI102" s="211">
        <f>INDEX($C$44:$AN$66,MATCH("New Customers One-Time",$C$44:$C$66,0),MATCH($C102,$C$44:$AN$44,0))</f>
        <v>0</v>
      </c>
      <c r="AJ102" s="211">
        <f>$AI$102*(E70)</f>
        <v>0</v>
      </c>
      <c r="AK102" s="211">
        <f>$AI$102*(F70)</f>
        <v>0</v>
      </c>
      <c r="AL102" s="211">
        <f>$AI$102*(G70)</f>
        <v>0</v>
      </c>
      <c r="AM102" s="211">
        <f>$AI$102*(H70)</f>
        <v>0</v>
      </c>
      <c r="AN102" s="211">
        <f>$AI$102*(I70)</f>
        <v>0</v>
      </c>
    </row>
    <row r="103" spans="2:40" s="7" customFormat="1" ht="12" customHeight="1" outlineLevel="2">
      <c r="B103" s="245"/>
      <c r="C103" s="213" t="s">
        <v>784</v>
      </c>
      <c r="D103" s="213"/>
      <c r="E103" s="213"/>
      <c r="F103" s="213"/>
      <c r="G103" s="213"/>
      <c r="H103" s="213"/>
      <c r="I103" s="213"/>
      <c r="J103" s="213"/>
      <c r="K103" s="213"/>
      <c r="L103" s="213"/>
      <c r="M103" s="213"/>
      <c r="N103" s="213"/>
      <c r="O103" s="213"/>
      <c r="P103" s="213"/>
      <c r="Q103" s="213"/>
      <c r="R103" s="213"/>
      <c r="S103" s="213"/>
      <c r="T103" s="213"/>
      <c r="U103" s="213"/>
      <c r="V103" s="213"/>
      <c r="W103" s="213"/>
      <c r="X103" s="213"/>
      <c r="Y103" s="213"/>
      <c r="Z103" s="213"/>
      <c r="AA103" s="213"/>
      <c r="AB103" s="211"/>
      <c r="AC103" s="211"/>
      <c r="AD103" s="211"/>
      <c r="AE103" s="211"/>
      <c r="AF103" s="211"/>
      <c r="AG103" s="211"/>
      <c r="AH103" s="211"/>
      <c r="AI103" s="211"/>
      <c r="AJ103" s="211">
        <f>INDEX($C$44:$AN$66,MATCH("New Customers One-Time",$C$44:$C$66,0),MATCH($C103,$C$44:$AN$44,0))</f>
        <v>0</v>
      </c>
      <c r="AK103" s="211">
        <f>$AJ$103*(E70)</f>
        <v>0</v>
      </c>
      <c r="AL103" s="211">
        <f>$AJ$103*(F70)</f>
        <v>0</v>
      </c>
      <c r="AM103" s="211">
        <f>$AJ$103*(G70)</f>
        <v>0</v>
      </c>
      <c r="AN103" s="211">
        <f>$AJ$103*(H70)</f>
        <v>0</v>
      </c>
    </row>
    <row r="104" spans="2:40" s="7" customFormat="1" ht="12" customHeight="1" outlineLevel="2">
      <c r="B104" s="245"/>
      <c r="C104" s="213" t="s">
        <v>785</v>
      </c>
      <c r="D104" s="213"/>
      <c r="E104" s="213"/>
      <c r="F104" s="213"/>
      <c r="G104" s="213"/>
      <c r="H104" s="213"/>
      <c r="I104" s="213"/>
      <c r="J104" s="213"/>
      <c r="K104" s="213"/>
      <c r="L104" s="213"/>
      <c r="M104" s="213"/>
      <c r="N104" s="213"/>
      <c r="O104" s="213"/>
      <c r="P104" s="213"/>
      <c r="Q104" s="213"/>
      <c r="R104" s="213"/>
      <c r="S104" s="213"/>
      <c r="T104" s="213"/>
      <c r="U104" s="213"/>
      <c r="V104" s="213"/>
      <c r="W104" s="213"/>
      <c r="X104" s="213"/>
      <c r="Y104" s="213"/>
      <c r="Z104" s="213"/>
      <c r="AA104" s="213"/>
      <c r="AB104" s="211"/>
      <c r="AC104" s="211"/>
      <c r="AD104" s="211"/>
      <c r="AE104" s="211"/>
      <c r="AF104" s="211"/>
      <c r="AG104" s="211"/>
      <c r="AH104" s="211"/>
      <c r="AI104" s="211"/>
      <c r="AJ104" s="211"/>
      <c r="AK104" s="211">
        <f>INDEX($C$44:$AN$66,MATCH("New Customers One-Time",$C$44:$C$66,0),MATCH($C104,$C$44:$AN$44,0))</f>
        <v>0</v>
      </c>
      <c r="AL104" s="211">
        <f>$AK$104*(E70)</f>
        <v>0</v>
      </c>
      <c r="AM104" s="211">
        <f>$AK$104*(F70)</f>
        <v>0</v>
      </c>
      <c r="AN104" s="211">
        <f>$AK$104*(G70)</f>
        <v>0</v>
      </c>
    </row>
    <row r="105" spans="2:40" s="7" customFormat="1" ht="12" customHeight="1" outlineLevel="2">
      <c r="B105" s="245"/>
      <c r="C105" s="213" t="s">
        <v>786</v>
      </c>
      <c r="D105" s="213"/>
      <c r="E105" s="213"/>
      <c r="F105" s="213"/>
      <c r="G105" s="213"/>
      <c r="H105" s="213"/>
      <c r="I105" s="213"/>
      <c r="J105" s="213"/>
      <c r="K105" s="213"/>
      <c r="L105" s="213"/>
      <c r="M105" s="213"/>
      <c r="N105" s="213"/>
      <c r="O105" s="213"/>
      <c r="P105" s="213"/>
      <c r="Q105" s="213"/>
      <c r="R105" s="213"/>
      <c r="S105" s="213"/>
      <c r="T105" s="213"/>
      <c r="U105" s="213"/>
      <c r="V105" s="213"/>
      <c r="W105" s="213"/>
      <c r="X105" s="213"/>
      <c r="Y105" s="213"/>
      <c r="Z105" s="213"/>
      <c r="AA105" s="213"/>
      <c r="AB105" s="211"/>
      <c r="AC105" s="211"/>
      <c r="AD105" s="211"/>
      <c r="AE105" s="211"/>
      <c r="AF105" s="211"/>
      <c r="AG105" s="211"/>
      <c r="AH105" s="211"/>
      <c r="AI105" s="211"/>
      <c r="AJ105" s="211"/>
      <c r="AK105" s="211"/>
      <c r="AL105" s="211">
        <f>INDEX($C$44:$AN$66,MATCH("New Customers One-Time",$C$44:$C$66,0),MATCH($C105,$C$44:$AN$44,0))</f>
        <v>0</v>
      </c>
      <c r="AM105" s="211">
        <f>$AL$105*(E70)</f>
        <v>0</v>
      </c>
      <c r="AN105" s="211">
        <f>$AL$105*(F70)</f>
        <v>0</v>
      </c>
    </row>
    <row r="106" spans="2:40" s="7" customFormat="1" ht="12" customHeight="1" outlineLevel="2">
      <c r="B106" s="245"/>
      <c r="C106" s="213" t="s">
        <v>787</v>
      </c>
      <c r="D106" s="213"/>
      <c r="E106" s="213"/>
      <c r="F106" s="213"/>
      <c r="G106" s="213"/>
      <c r="H106" s="213"/>
      <c r="I106" s="213"/>
      <c r="J106" s="213"/>
      <c r="K106" s="213"/>
      <c r="L106" s="213"/>
      <c r="M106" s="213"/>
      <c r="N106" s="213"/>
      <c r="O106" s="213"/>
      <c r="P106" s="213"/>
      <c r="Q106" s="213"/>
      <c r="R106" s="213"/>
      <c r="S106" s="213"/>
      <c r="T106" s="213"/>
      <c r="U106" s="213"/>
      <c r="V106" s="213"/>
      <c r="W106" s="213"/>
      <c r="X106" s="213"/>
      <c r="Y106" s="213"/>
      <c r="Z106" s="213"/>
      <c r="AA106" s="213"/>
      <c r="AB106" s="211"/>
      <c r="AC106" s="211"/>
      <c r="AD106" s="211"/>
      <c r="AE106" s="211"/>
      <c r="AF106" s="211"/>
      <c r="AG106" s="211"/>
      <c r="AH106" s="211"/>
      <c r="AI106" s="211"/>
      <c r="AJ106" s="211"/>
      <c r="AK106" s="211"/>
      <c r="AL106" s="211"/>
      <c r="AM106" s="211">
        <f>INDEX($C$44:$AN$66,MATCH("New Customers One-Time",$C$44:$C$66,0),MATCH($C106,$C$44:$AN$44,0))</f>
        <v>0</v>
      </c>
      <c r="AN106" s="211">
        <f>$AM$106*(E70)</f>
        <v>0</v>
      </c>
    </row>
    <row r="107" spans="2:40" s="7" customFormat="1" ht="12" customHeight="1" outlineLevel="2">
      <c r="B107" s="245"/>
      <c r="C107" s="213" t="s">
        <v>788</v>
      </c>
      <c r="D107" s="213"/>
      <c r="E107" s="213"/>
      <c r="F107" s="213"/>
      <c r="G107" s="213"/>
      <c r="H107" s="213"/>
      <c r="I107" s="213"/>
      <c r="J107" s="213"/>
      <c r="K107" s="213"/>
      <c r="L107" s="213"/>
      <c r="M107" s="213"/>
      <c r="N107" s="213"/>
      <c r="O107" s="213"/>
      <c r="P107" s="213"/>
      <c r="Q107" s="213"/>
      <c r="R107" s="213"/>
      <c r="S107" s="213"/>
      <c r="T107" s="213"/>
      <c r="U107" s="213"/>
      <c r="V107" s="213"/>
      <c r="W107" s="213"/>
      <c r="X107" s="213"/>
      <c r="Y107" s="213"/>
      <c r="Z107" s="213"/>
      <c r="AA107" s="213"/>
      <c r="AB107" s="211"/>
      <c r="AC107" s="211"/>
      <c r="AD107" s="211"/>
      <c r="AE107" s="211"/>
      <c r="AF107" s="211"/>
      <c r="AG107" s="211"/>
      <c r="AH107" s="211"/>
      <c r="AI107" s="211"/>
      <c r="AJ107" s="211"/>
      <c r="AK107" s="211"/>
      <c r="AL107" s="211"/>
      <c r="AM107" s="211"/>
      <c r="AN107" s="211">
        <f>INDEX($C$44:$AN$66,MATCH("New Customers One-Time",$C$44:$C$66,0),MATCH($C107,$C$44:$AN$44,0))</f>
        <v>0</v>
      </c>
    </row>
    <row r="108" spans="2:40" s="7" customFormat="1" ht="12" customHeight="1" outlineLevel="2">
      <c r="B108" s="245"/>
      <c r="C108" s="213"/>
      <c r="D108" s="213"/>
      <c r="E108" s="213"/>
      <c r="F108" s="213"/>
      <c r="G108" s="213"/>
      <c r="H108" s="213"/>
      <c r="I108" s="213"/>
      <c r="J108" s="213"/>
      <c r="K108" s="213"/>
      <c r="L108" s="213"/>
      <c r="M108" s="213"/>
      <c r="N108" s="213"/>
      <c r="O108" s="213"/>
      <c r="P108" s="213"/>
      <c r="Q108" s="213"/>
      <c r="R108" s="213"/>
      <c r="S108" s="213"/>
      <c r="T108" s="213"/>
      <c r="U108" s="213"/>
      <c r="V108" s="213"/>
      <c r="W108" s="213"/>
      <c r="X108" s="213"/>
      <c r="Y108" s="213"/>
      <c r="Z108" s="213"/>
      <c r="AA108" s="213"/>
      <c r="AB108" s="211"/>
      <c r="AC108" s="211"/>
      <c r="AD108" s="211"/>
      <c r="AE108" s="211"/>
      <c r="AF108" s="211"/>
      <c r="AG108" s="211"/>
      <c r="AH108" s="211"/>
      <c r="AI108" s="211"/>
      <c r="AJ108" s="211"/>
      <c r="AK108" s="211"/>
      <c r="AL108" s="211"/>
      <c r="AM108" s="211"/>
      <c r="AN108" s="211"/>
    </row>
    <row r="109" spans="2:40" s="7" customFormat="1" ht="12" customHeight="1" outlineLevel="2">
      <c r="B109" s="245"/>
      <c r="C109" s="243" t="s">
        <v>853</v>
      </c>
      <c r="D109" s="213"/>
      <c r="E109" s="213"/>
      <c r="F109" s="213"/>
      <c r="G109" s="213"/>
      <c r="H109" s="213"/>
      <c r="I109" s="213"/>
      <c r="J109" s="213"/>
      <c r="K109" s="213"/>
      <c r="L109" s="213"/>
      <c r="M109" s="213"/>
      <c r="N109" s="213"/>
      <c r="O109" s="213"/>
      <c r="P109" s="213"/>
      <c r="Q109" s="213"/>
      <c r="R109" s="213"/>
      <c r="S109" s="213"/>
      <c r="T109" s="213"/>
      <c r="U109" s="213"/>
      <c r="V109" s="213"/>
      <c r="W109" s="213"/>
      <c r="X109" s="213"/>
      <c r="Y109" s="213"/>
      <c r="Z109" s="213"/>
      <c r="AA109" s="213"/>
      <c r="AB109" s="213"/>
      <c r="AC109" s="211"/>
    </row>
    <row r="110" spans="2:40" s="7" customFormat="1" ht="12" customHeight="1" outlineLevel="2">
      <c r="B110" s="239"/>
      <c r="C110" s="214" t="s">
        <v>850</v>
      </c>
      <c r="D110" s="214"/>
      <c r="E110" s="196" t="s">
        <v>753</v>
      </c>
      <c r="F110" s="196" t="s">
        <v>754</v>
      </c>
      <c r="G110" s="196" t="s">
        <v>755</v>
      </c>
      <c r="H110" s="196" t="s">
        <v>756</v>
      </c>
      <c r="I110" s="196" t="s">
        <v>757</v>
      </c>
      <c r="J110" s="196" t="s">
        <v>758</v>
      </c>
      <c r="K110" s="196" t="s">
        <v>759</v>
      </c>
      <c r="L110" s="196" t="s">
        <v>760</v>
      </c>
      <c r="M110" s="196" t="s">
        <v>761</v>
      </c>
      <c r="N110" s="196" t="s">
        <v>762</v>
      </c>
      <c r="O110" s="196" t="s">
        <v>763</v>
      </c>
      <c r="P110" s="196" t="s">
        <v>764</v>
      </c>
      <c r="Q110" s="196" t="s">
        <v>765</v>
      </c>
      <c r="R110" s="196" t="s">
        <v>766</v>
      </c>
      <c r="S110" s="196" t="s">
        <v>767</v>
      </c>
      <c r="T110" s="196" t="s">
        <v>768</v>
      </c>
      <c r="U110" s="196" t="s">
        <v>769</v>
      </c>
      <c r="V110" s="196" t="s">
        <v>770</v>
      </c>
      <c r="W110" s="196" t="s">
        <v>771</v>
      </c>
      <c r="X110" s="196" t="s">
        <v>772</v>
      </c>
      <c r="Y110" s="196" t="s">
        <v>773</v>
      </c>
      <c r="Z110" s="196" t="s">
        <v>774</v>
      </c>
      <c r="AA110" s="196" t="s">
        <v>775</v>
      </c>
      <c r="AB110" s="196" t="s">
        <v>776</v>
      </c>
      <c r="AC110" s="196" t="s">
        <v>777</v>
      </c>
      <c r="AD110" s="196" t="s">
        <v>778</v>
      </c>
      <c r="AE110" s="196" t="s">
        <v>779</v>
      </c>
      <c r="AF110" s="196" t="s">
        <v>780</v>
      </c>
      <c r="AG110" s="196" t="s">
        <v>781</v>
      </c>
      <c r="AH110" s="196" t="s">
        <v>782</v>
      </c>
      <c r="AI110" s="196" t="s">
        <v>783</v>
      </c>
      <c r="AJ110" s="196" t="s">
        <v>784</v>
      </c>
      <c r="AK110" s="196" t="s">
        <v>785</v>
      </c>
      <c r="AL110" s="196" t="s">
        <v>786</v>
      </c>
      <c r="AM110" s="196" t="s">
        <v>787</v>
      </c>
      <c r="AN110" s="196" t="s">
        <v>788</v>
      </c>
    </row>
    <row r="111" spans="2:40" s="7" customFormat="1" ht="12" customHeight="1" outlineLevel="2">
      <c r="B111" s="239"/>
      <c r="C111" s="247" t="s">
        <v>851</v>
      </c>
      <c r="D111" s="340"/>
      <c r="E111" s="339">
        <v>0.7</v>
      </c>
      <c r="F111" s="339">
        <v>0.55000000000000004</v>
      </c>
      <c r="G111" s="339">
        <v>0.45</v>
      </c>
      <c r="H111" s="339">
        <v>0.4</v>
      </c>
      <c r="I111" s="339">
        <v>0.45</v>
      </c>
      <c r="J111" s="339">
        <v>0.3</v>
      </c>
      <c r="K111" s="339">
        <v>0.25</v>
      </c>
      <c r="L111" s="339">
        <v>0.2</v>
      </c>
      <c r="M111" s="339">
        <v>0.15</v>
      </c>
      <c r="N111" s="339">
        <v>0.14000000000000001</v>
      </c>
      <c r="O111" s="339">
        <v>0.13</v>
      </c>
      <c r="P111" s="339">
        <v>0.12</v>
      </c>
      <c r="Q111" s="339">
        <v>0.11</v>
      </c>
      <c r="R111" s="339">
        <v>0.1</v>
      </c>
      <c r="S111" s="339">
        <v>0.08</v>
      </c>
      <c r="T111" s="339">
        <v>0.08</v>
      </c>
      <c r="U111" s="339">
        <v>0.05</v>
      </c>
      <c r="V111" s="339">
        <v>0.05</v>
      </c>
      <c r="W111" s="339">
        <v>0.05</v>
      </c>
      <c r="X111" s="339">
        <v>0.05</v>
      </c>
      <c r="Y111" s="339">
        <v>0.05</v>
      </c>
      <c r="Z111" s="339">
        <v>0.05</v>
      </c>
      <c r="AA111" s="339">
        <v>0.05</v>
      </c>
      <c r="AB111" s="339">
        <v>0.05</v>
      </c>
      <c r="AC111" s="339">
        <v>0.05</v>
      </c>
      <c r="AD111" s="339">
        <v>0.05</v>
      </c>
      <c r="AE111" s="339">
        <v>0.05</v>
      </c>
      <c r="AF111" s="339">
        <v>0.05</v>
      </c>
      <c r="AG111" s="339">
        <v>0.05</v>
      </c>
      <c r="AH111" s="339">
        <v>0.05</v>
      </c>
      <c r="AI111" s="339">
        <v>0.05</v>
      </c>
      <c r="AJ111" s="339">
        <v>0.05</v>
      </c>
      <c r="AK111" s="339">
        <v>0.05</v>
      </c>
      <c r="AL111" s="339">
        <v>0.05</v>
      </c>
      <c r="AM111" s="339">
        <v>0.05</v>
      </c>
      <c r="AN111" s="339">
        <v>0.05</v>
      </c>
    </row>
    <row r="112" spans="2:40" s="7" customFormat="1" ht="12" customHeight="1" outlineLevel="2">
      <c r="B112" s="239"/>
      <c r="C112" s="214" t="s">
        <v>852</v>
      </c>
      <c r="D112" s="212"/>
      <c r="E112" s="211">
        <f>86*33%</f>
        <v>28.380000000000003</v>
      </c>
      <c r="F112" s="211">
        <f>E112*98%</f>
        <v>27.8124</v>
      </c>
      <c r="G112" s="211">
        <f>F112*98%</f>
        <v>27.256152</v>
      </c>
      <c r="H112" s="211">
        <f t="shared" ref="H112:AN112" si="182">G112*98%</f>
        <v>26.71102896</v>
      </c>
      <c r="I112" s="211">
        <f t="shared" si="182"/>
        <v>26.176808380800001</v>
      </c>
      <c r="J112" s="211">
        <f t="shared" si="182"/>
        <v>25.653272213184</v>
      </c>
      <c r="K112" s="211">
        <f t="shared" si="182"/>
        <v>25.140206768920319</v>
      </c>
      <c r="L112" s="211">
        <f t="shared" si="182"/>
        <v>24.63740263354191</v>
      </c>
      <c r="M112" s="211">
        <f t="shared" si="182"/>
        <v>24.144654580871073</v>
      </c>
      <c r="N112" s="211">
        <f t="shared" si="182"/>
        <v>23.661761489253649</v>
      </c>
      <c r="O112" s="211">
        <f t="shared" si="182"/>
        <v>23.188526259468578</v>
      </c>
      <c r="P112" s="211">
        <f t="shared" si="182"/>
        <v>22.724755734279206</v>
      </c>
      <c r="Q112" s="211">
        <f t="shared" si="182"/>
        <v>22.270260619593621</v>
      </c>
      <c r="R112" s="211">
        <f t="shared" si="182"/>
        <v>21.824855407201749</v>
      </c>
      <c r="S112" s="211">
        <f t="shared" si="182"/>
        <v>21.388358299057714</v>
      </c>
      <c r="T112" s="211">
        <f t="shared" si="182"/>
        <v>20.960591133076559</v>
      </c>
      <c r="U112" s="211">
        <f t="shared" si="182"/>
        <v>20.541379310415028</v>
      </c>
      <c r="V112" s="211">
        <f t="shared" si="182"/>
        <v>20.130551724206725</v>
      </c>
      <c r="W112" s="211">
        <f t="shared" si="182"/>
        <v>19.72794068972259</v>
      </c>
      <c r="X112" s="211">
        <f t="shared" si="182"/>
        <v>19.33338187592814</v>
      </c>
      <c r="Y112" s="211">
        <f t="shared" si="182"/>
        <v>18.946714238409577</v>
      </c>
      <c r="Z112" s="211">
        <f t="shared" si="182"/>
        <v>18.567779953641384</v>
      </c>
      <c r="AA112" s="211">
        <f t="shared" si="182"/>
        <v>18.196424354568556</v>
      </c>
      <c r="AB112" s="211">
        <f t="shared" si="182"/>
        <v>17.832495867477185</v>
      </c>
      <c r="AC112" s="211">
        <f t="shared" si="182"/>
        <v>17.475845950127642</v>
      </c>
      <c r="AD112" s="211">
        <f t="shared" si="182"/>
        <v>17.126329031125088</v>
      </c>
      <c r="AE112" s="211">
        <f t="shared" si="182"/>
        <v>16.783802450502588</v>
      </c>
      <c r="AF112" s="211">
        <f t="shared" si="182"/>
        <v>16.448126401492537</v>
      </c>
      <c r="AG112" s="211">
        <f t="shared" si="182"/>
        <v>16.119163873462686</v>
      </c>
      <c r="AH112" s="211">
        <f t="shared" si="182"/>
        <v>15.796780595993432</v>
      </c>
      <c r="AI112" s="211">
        <f t="shared" si="182"/>
        <v>15.480844984073563</v>
      </c>
      <c r="AJ112" s="211">
        <f t="shared" si="182"/>
        <v>15.171228084392093</v>
      </c>
      <c r="AK112" s="211">
        <f t="shared" si="182"/>
        <v>14.86780352270425</v>
      </c>
      <c r="AL112" s="211">
        <f t="shared" si="182"/>
        <v>14.570447452250164</v>
      </c>
      <c r="AM112" s="211">
        <f t="shared" si="182"/>
        <v>14.279038503205161</v>
      </c>
      <c r="AN112" s="211">
        <f t="shared" si="182"/>
        <v>13.993457733141058</v>
      </c>
    </row>
    <row r="113" spans="2:40" s="7" customFormat="1" ht="12" customHeight="1" outlineLevel="2">
      <c r="B113" s="245"/>
      <c r="C113" s="213" t="s">
        <v>753</v>
      </c>
      <c r="D113" s="213"/>
      <c r="E113" s="211">
        <f>INDEX($C$44:$AN$66,MATCH("New Customers 1MS",$C$44:$C$66,0),MATCH($C113,$C$44:$AN$44,0))</f>
        <v>8.4879852125693169</v>
      </c>
      <c r="F113" s="211">
        <f t="shared" ref="F113:AN113" si="183">$E$113*(E111)</f>
        <v>5.9415896487985211</v>
      </c>
      <c r="G113" s="211">
        <f t="shared" si="183"/>
        <v>4.668391866913125</v>
      </c>
      <c r="H113" s="211">
        <f t="shared" si="183"/>
        <v>3.8195933456561928</v>
      </c>
      <c r="I113" s="211">
        <f t="shared" si="183"/>
        <v>3.3951940850277271</v>
      </c>
      <c r="J113" s="211">
        <f t="shared" si="183"/>
        <v>3.8195933456561928</v>
      </c>
      <c r="K113" s="211">
        <f t="shared" si="183"/>
        <v>2.5463955637707949</v>
      </c>
      <c r="L113" s="211">
        <f t="shared" si="183"/>
        <v>2.1219963031423292</v>
      </c>
      <c r="M113" s="211">
        <f t="shared" si="183"/>
        <v>1.6975970425138636</v>
      </c>
      <c r="N113" s="211">
        <f t="shared" si="183"/>
        <v>1.2731977818853975</v>
      </c>
      <c r="O113" s="211">
        <f t="shared" si="183"/>
        <v>1.1883179297597044</v>
      </c>
      <c r="P113" s="211">
        <f t="shared" si="183"/>
        <v>1.1034380776340111</v>
      </c>
      <c r="Q113" s="211">
        <f t="shared" si="183"/>
        <v>1.0185582255083181</v>
      </c>
      <c r="R113" s="211">
        <f t="shared" si="183"/>
        <v>0.93367837338262483</v>
      </c>
      <c r="S113" s="211">
        <f t="shared" si="183"/>
        <v>0.84879852125693178</v>
      </c>
      <c r="T113" s="211">
        <f t="shared" si="183"/>
        <v>0.67903881700554536</v>
      </c>
      <c r="U113" s="211">
        <f t="shared" si="183"/>
        <v>0.67903881700554536</v>
      </c>
      <c r="V113" s="211">
        <f t="shared" si="183"/>
        <v>0.42439926062846589</v>
      </c>
      <c r="W113" s="211">
        <f t="shared" si="183"/>
        <v>0.42439926062846589</v>
      </c>
      <c r="X113" s="211">
        <f t="shared" si="183"/>
        <v>0.42439926062846589</v>
      </c>
      <c r="Y113" s="211">
        <f t="shared" si="183"/>
        <v>0.42439926062846589</v>
      </c>
      <c r="Z113" s="211">
        <f t="shared" si="183"/>
        <v>0.42439926062846589</v>
      </c>
      <c r="AA113" s="211">
        <f t="shared" si="183"/>
        <v>0.42439926062846589</v>
      </c>
      <c r="AB113" s="211">
        <f t="shared" si="183"/>
        <v>0.42439926062846589</v>
      </c>
      <c r="AC113" s="211">
        <f t="shared" si="183"/>
        <v>0.42439926062846589</v>
      </c>
      <c r="AD113" s="211">
        <f t="shared" si="183"/>
        <v>0.42439926062846589</v>
      </c>
      <c r="AE113" s="211">
        <f t="shared" si="183"/>
        <v>0.42439926062846589</v>
      </c>
      <c r="AF113" s="211">
        <f t="shared" si="183"/>
        <v>0.42439926062846589</v>
      </c>
      <c r="AG113" s="211">
        <f t="shared" si="183"/>
        <v>0.42439926062846589</v>
      </c>
      <c r="AH113" s="211">
        <f t="shared" si="183"/>
        <v>0.42439926062846589</v>
      </c>
      <c r="AI113" s="211">
        <f t="shared" si="183"/>
        <v>0.42439926062846589</v>
      </c>
      <c r="AJ113" s="211">
        <f t="shared" si="183"/>
        <v>0.42439926062846589</v>
      </c>
      <c r="AK113" s="211">
        <f t="shared" si="183"/>
        <v>0.42439926062846589</v>
      </c>
      <c r="AL113" s="211">
        <f t="shared" si="183"/>
        <v>0.42439926062846589</v>
      </c>
      <c r="AM113" s="211">
        <f t="shared" si="183"/>
        <v>0.42439926062846589</v>
      </c>
      <c r="AN113" s="211">
        <f t="shared" si="183"/>
        <v>0.42439926062846589</v>
      </c>
    </row>
    <row r="114" spans="2:40" s="7" customFormat="1" ht="12" customHeight="1" outlineLevel="2">
      <c r="B114" s="245"/>
      <c r="C114" s="213" t="s">
        <v>754</v>
      </c>
      <c r="D114" s="213"/>
      <c r="E114" s="213"/>
      <c r="F114" s="211">
        <f>INDEX($C$44:$AN$66,MATCH("New Customers 1MS",$C$44:$C$66,0),MATCH($C114,$C$44:$AN$44,0))</f>
        <v>4.9685767097966735</v>
      </c>
      <c r="G114" s="211">
        <f t="shared" ref="G114:AN114" si="184">$F$114*(E111)</f>
        <v>3.4780036968576713</v>
      </c>
      <c r="H114" s="211">
        <f t="shared" si="184"/>
        <v>2.7327171903881706</v>
      </c>
      <c r="I114" s="211">
        <f t="shared" si="184"/>
        <v>2.2358595194085034</v>
      </c>
      <c r="J114" s="211">
        <f t="shared" si="184"/>
        <v>1.9874306839186695</v>
      </c>
      <c r="K114" s="211">
        <f t="shared" si="184"/>
        <v>2.2358595194085034</v>
      </c>
      <c r="L114" s="211">
        <f t="shared" si="184"/>
        <v>1.490573012939002</v>
      </c>
      <c r="M114" s="211">
        <f t="shared" si="184"/>
        <v>1.2421441774491684</v>
      </c>
      <c r="N114" s="211">
        <f t="shared" si="184"/>
        <v>0.99371534195933475</v>
      </c>
      <c r="O114" s="211">
        <f t="shared" si="184"/>
        <v>0.74528650646950101</v>
      </c>
      <c r="P114" s="211">
        <f t="shared" si="184"/>
        <v>0.69560073937153433</v>
      </c>
      <c r="Q114" s="211">
        <f t="shared" si="184"/>
        <v>0.64591497227356753</v>
      </c>
      <c r="R114" s="211">
        <f t="shared" si="184"/>
        <v>0.59622920517560085</v>
      </c>
      <c r="S114" s="211">
        <f t="shared" si="184"/>
        <v>0.54654343807763406</v>
      </c>
      <c r="T114" s="211">
        <f t="shared" si="184"/>
        <v>0.49685767097966738</v>
      </c>
      <c r="U114" s="211">
        <f t="shared" si="184"/>
        <v>0.3974861367837339</v>
      </c>
      <c r="V114" s="211">
        <f t="shared" si="184"/>
        <v>0.3974861367837339</v>
      </c>
      <c r="W114" s="211">
        <f t="shared" si="184"/>
        <v>0.24842883548983369</v>
      </c>
      <c r="X114" s="211">
        <f t="shared" si="184"/>
        <v>0.24842883548983369</v>
      </c>
      <c r="Y114" s="211">
        <f t="shared" si="184"/>
        <v>0.24842883548983369</v>
      </c>
      <c r="Z114" s="211">
        <f t="shared" si="184"/>
        <v>0.24842883548983369</v>
      </c>
      <c r="AA114" s="211">
        <f t="shared" si="184"/>
        <v>0.24842883548983369</v>
      </c>
      <c r="AB114" s="211">
        <f t="shared" si="184"/>
        <v>0.24842883548983369</v>
      </c>
      <c r="AC114" s="211">
        <f t="shared" si="184"/>
        <v>0.24842883548983369</v>
      </c>
      <c r="AD114" s="211">
        <f t="shared" si="184"/>
        <v>0.24842883548983369</v>
      </c>
      <c r="AE114" s="211">
        <f t="shared" si="184"/>
        <v>0.24842883548983369</v>
      </c>
      <c r="AF114" s="211">
        <f t="shared" si="184"/>
        <v>0.24842883548983369</v>
      </c>
      <c r="AG114" s="211">
        <f t="shared" si="184"/>
        <v>0.24842883548983369</v>
      </c>
      <c r="AH114" s="211">
        <f t="shared" si="184"/>
        <v>0.24842883548983369</v>
      </c>
      <c r="AI114" s="211">
        <f t="shared" si="184"/>
        <v>0.24842883548983369</v>
      </c>
      <c r="AJ114" s="211">
        <f t="shared" si="184"/>
        <v>0.24842883548983369</v>
      </c>
      <c r="AK114" s="211">
        <f t="shared" si="184"/>
        <v>0.24842883548983369</v>
      </c>
      <c r="AL114" s="211">
        <f t="shared" si="184"/>
        <v>0.24842883548983369</v>
      </c>
      <c r="AM114" s="211">
        <f t="shared" si="184"/>
        <v>0.24842883548983369</v>
      </c>
      <c r="AN114" s="211">
        <f t="shared" si="184"/>
        <v>0.24842883548983369</v>
      </c>
    </row>
    <row r="115" spans="2:40" s="7" customFormat="1" ht="12" customHeight="1" outlineLevel="2">
      <c r="B115" s="245"/>
      <c r="C115" s="213" t="s">
        <v>755</v>
      </c>
      <c r="D115" s="213"/>
      <c r="E115" s="213"/>
      <c r="F115" s="213"/>
      <c r="G115" s="211">
        <f>INDEX($C$44:$AN$66,MATCH("New Customers 1MS",$C$44:$C$66,0),MATCH($C115,$C$44:$AN$44,0))</f>
        <v>6.2107208872458415</v>
      </c>
      <c r="H115" s="211">
        <f t="shared" ref="H115:AN115" si="185">$G$115*(E111)</f>
        <v>4.3475046210720887</v>
      </c>
      <c r="I115" s="211">
        <f t="shared" si="185"/>
        <v>3.4158964879852132</v>
      </c>
      <c r="J115" s="211">
        <f t="shared" si="185"/>
        <v>2.7948243992606288</v>
      </c>
      <c r="K115" s="211">
        <f t="shared" si="185"/>
        <v>2.4842883548983368</v>
      </c>
      <c r="L115" s="211">
        <f t="shared" si="185"/>
        <v>2.7948243992606288</v>
      </c>
      <c r="M115" s="211">
        <f t="shared" si="185"/>
        <v>1.8632162661737524</v>
      </c>
      <c r="N115" s="211">
        <f t="shared" si="185"/>
        <v>1.5526802218114604</v>
      </c>
      <c r="O115" s="211">
        <f t="shared" si="185"/>
        <v>1.2421441774491684</v>
      </c>
      <c r="P115" s="211">
        <f t="shared" si="185"/>
        <v>0.93160813308687618</v>
      </c>
      <c r="Q115" s="211">
        <f t="shared" si="185"/>
        <v>0.86950092421441794</v>
      </c>
      <c r="R115" s="211">
        <f t="shared" si="185"/>
        <v>0.80739371534195947</v>
      </c>
      <c r="S115" s="211">
        <f t="shared" si="185"/>
        <v>0.7452865064695009</v>
      </c>
      <c r="T115" s="211">
        <f t="shared" si="185"/>
        <v>0.68317929759704255</v>
      </c>
      <c r="U115" s="211">
        <f t="shared" si="185"/>
        <v>0.62107208872458419</v>
      </c>
      <c r="V115" s="211">
        <f t="shared" si="185"/>
        <v>0.49685767097966732</v>
      </c>
      <c r="W115" s="211">
        <f t="shared" si="185"/>
        <v>0.49685767097966732</v>
      </c>
      <c r="X115" s="211">
        <f t="shared" si="185"/>
        <v>0.3105360443622921</v>
      </c>
      <c r="Y115" s="211">
        <f t="shared" si="185"/>
        <v>0.3105360443622921</v>
      </c>
      <c r="Z115" s="211">
        <f t="shared" si="185"/>
        <v>0.3105360443622921</v>
      </c>
      <c r="AA115" s="211">
        <f t="shared" si="185"/>
        <v>0.3105360443622921</v>
      </c>
      <c r="AB115" s="211">
        <f t="shared" si="185"/>
        <v>0.3105360443622921</v>
      </c>
      <c r="AC115" s="211">
        <f t="shared" si="185"/>
        <v>0.3105360443622921</v>
      </c>
      <c r="AD115" s="211">
        <f t="shared" si="185"/>
        <v>0.3105360443622921</v>
      </c>
      <c r="AE115" s="211">
        <f t="shared" si="185"/>
        <v>0.3105360443622921</v>
      </c>
      <c r="AF115" s="211">
        <f t="shared" si="185"/>
        <v>0.3105360443622921</v>
      </c>
      <c r="AG115" s="211">
        <f t="shared" si="185"/>
        <v>0.3105360443622921</v>
      </c>
      <c r="AH115" s="211">
        <f t="shared" si="185"/>
        <v>0.3105360443622921</v>
      </c>
      <c r="AI115" s="211">
        <f t="shared" si="185"/>
        <v>0.3105360443622921</v>
      </c>
      <c r="AJ115" s="211">
        <f t="shared" si="185"/>
        <v>0.3105360443622921</v>
      </c>
      <c r="AK115" s="211">
        <f t="shared" si="185"/>
        <v>0.3105360443622921</v>
      </c>
      <c r="AL115" s="211">
        <f t="shared" si="185"/>
        <v>0.3105360443622921</v>
      </c>
      <c r="AM115" s="211">
        <f t="shared" si="185"/>
        <v>0.3105360443622921</v>
      </c>
      <c r="AN115" s="211">
        <f t="shared" si="185"/>
        <v>0.3105360443622921</v>
      </c>
    </row>
    <row r="116" spans="2:40" s="7" customFormat="1" ht="12" customHeight="1" outlineLevel="2">
      <c r="B116" s="245"/>
      <c r="C116" s="213" t="s">
        <v>756</v>
      </c>
      <c r="D116" s="213"/>
      <c r="E116" s="213"/>
      <c r="F116" s="213"/>
      <c r="G116" s="213"/>
      <c r="H116" s="211">
        <f>INDEX($C$44:$AN$66,MATCH("New Customers 1MS",$C$44:$C$66,0),MATCH($C116,$C$44:$AN$44,0))</f>
        <v>23.393715341959336</v>
      </c>
      <c r="I116" s="211">
        <f t="shared" ref="I116:AN116" si="186">$H$116*(E111)</f>
        <v>16.375600739371535</v>
      </c>
      <c r="J116" s="211">
        <f t="shared" si="186"/>
        <v>12.866543438077636</v>
      </c>
      <c r="K116" s="211">
        <f t="shared" si="186"/>
        <v>10.527171903881701</v>
      </c>
      <c r="L116" s="211">
        <f t="shared" si="186"/>
        <v>9.3574861367837343</v>
      </c>
      <c r="M116" s="211">
        <f t="shared" si="186"/>
        <v>10.527171903881701</v>
      </c>
      <c r="N116" s="211">
        <f t="shared" si="186"/>
        <v>7.0181146025878007</v>
      </c>
      <c r="O116" s="211">
        <f t="shared" si="186"/>
        <v>5.8484288354898339</v>
      </c>
      <c r="P116" s="211">
        <f t="shared" si="186"/>
        <v>4.6787430683918672</v>
      </c>
      <c r="Q116" s="211">
        <f t="shared" si="186"/>
        <v>3.5090573012939004</v>
      </c>
      <c r="R116" s="211">
        <f t="shared" si="186"/>
        <v>3.2751201478743073</v>
      </c>
      <c r="S116" s="211">
        <f t="shared" si="186"/>
        <v>3.0411829944547137</v>
      </c>
      <c r="T116" s="211">
        <f t="shared" si="186"/>
        <v>2.8072458410351202</v>
      </c>
      <c r="U116" s="211">
        <f t="shared" si="186"/>
        <v>2.5733086876155271</v>
      </c>
      <c r="V116" s="211">
        <f t="shared" si="186"/>
        <v>2.3393715341959336</v>
      </c>
      <c r="W116" s="211">
        <f t="shared" si="186"/>
        <v>1.871497227356747</v>
      </c>
      <c r="X116" s="211">
        <f t="shared" si="186"/>
        <v>1.871497227356747</v>
      </c>
      <c r="Y116" s="211">
        <f t="shared" si="186"/>
        <v>1.1696857670979668</v>
      </c>
      <c r="Z116" s="211">
        <f t="shared" si="186"/>
        <v>1.1696857670979668</v>
      </c>
      <c r="AA116" s="211">
        <f t="shared" si="186"/>
        <v>1.1696857670979668</v>
      </c>
      <c r="AB116" s="211">
        <f t="shared" si="186"/>
        <v>1.1696857670979668</v>
      </c>
      <c r="AC116" s="211">
        <f t="shared" si="186"/>
        <v>1.1696857670979668</v>
      </c>
      <c r="AD116" s="211">
        <f t="shared" si="186"/>
        <v>1.1696857670979668</v>
      </c>
      <c r="AE116" s="211">
        <f t="shared" si="186"/>
        <v>1.1696857670979668</v>
      </c>
      <c r="AF116" s="211">
        <f t="shared" si="186"/>
        <v>1.1696857670979668</v>
      </c>
      <c r="AG116" s="211">
        <f t="shared" si="186"/>
        <v>1.1696857670979668</v>
      </c>
      <c r="AH116" s="211">
        <f t="shared" si="186"/>
        <v>1.1696857670979668</v>
      </c>
      <c r="AI116" s="211">
        <f t="shared" si="186"/>
        <v>1.1696857670979668</v>
      </c>
      <c r="AJ116" s="211">
        <f t="shared" si="186"/>
        <v>1.1696857670979668</v>
      </c>
      <c r="AK116" s="211">
        <f t="shared" si="186"/>
        <v>1.1696857670979668</v>
      </c>
      <c r="AL116" s="211">
        <f t="shared" si="186"/>
        <v>1.1696857670979668</v>
      </c>
      <c r="AM116" s="211">
        <f t="shared" si="186"/>
        <v>1.1696857670979668</v>
      </c>
      <c r="AN116" s="211">
        <f t="shared" si="186"/>
        <v>1.1696857670979668</v>
      </c>
    </row>
    <row r="117" spans="2:40" s="7" customFormat="1" ht="12" customHeight="1" outlineLevel="2">
      <c r="B117" s="245"/>
      <c r="C117" s="213" t="s">
        <v>757</v>
      </c>
      <c r="D117" s="213"/>
      <c r="E117" s="213"/>
      <c r="F117" s="213"/>
      <c r="G117" s="213"/>
      <c r="H117" s="213"/>
      <c r="I117" s="211">
        <f>INDEX($C$44:$AN$66,MATCH("New Customers 1MS",$C$44:$C$66,0),MATCH($C117,$C$44:$AN$44,0))</f>
        <v>16.975970425138634</v>
      </c>
      <c r="J117" s="211">
        <f t="shared" ref="J117:AN117" si="187">$I$117*(E111)</f>
        <v>11.883179297597042</v>
      </c>
      <c r="K117" s="211">
        <f t="shared" si="187"/>
        <v>9.33678373382625</v>
      </c>
      <c r="L117" s="211">
        <f t="shared" si="187"/>
        <v>7.6391866913123856</v>
      </c>
      <c r="M117" s="211">
        <f t="shared" si="187"/>
        <v>6.7903881700554543</v>
      </c>
      <c r="N117" s="211">
        <f t="shared" si="187"/>
        <v>7.6391866913123856</v>
      </c>
      <c r="O117" s="211">
        <f t="shared" si="187"/>
        <v>5.0927911275415898</v>
      </c>
      <c r="P117" s="211">
        <f t="shared" si="187"/>
        <v>4.2439926062846585</v>
      </c>
      <c r="Q117" s="211">
        <f t="shared" si="187"/>
        <v>3.3951940850277271</v>
      </c>
      <c r="R117" s="211">
        <f t="shared" si="187"/>
        <v>2.5463955637707949</v>
      </c>
      <c r="S117" s="211">
        <f t="shared" si="187"/>
        <v>2.3766358595194088</v>
      </c>
      <c r="T117" s="211">
        <f t="shared" si="187"/>
        <v>2.2068761552680223</v>
      </c>
      <c r="U117" s="211">
        <f t="shared" si="187"/>
        <v>2.0371164510166362</v>
      </c>
      <c r="V117" s="211">
        <f t="shared" si="187"/>
        <v>1.8673567467652497</v>
      </c>
      <c r="W117" s="211">
        <f t="shared" si="187"/>
        <v>1.6975970425138636</v>
      </c>
      <c r="X117" s="211">
        <f t="shared" si="187"/>
        <v>1.3580776340110907</v>
      </c>
      <c r="Y117" s="211">
        <f t="shared" si="187"/>
        <v>1.3580776340110907</v>
      </c>
      <c r="Z117" s="211">
        <f t="shared" si="187"/>
        <v>0.84879852125693178</v>
      </c>
      <c r="AA117" s="211">
        <f t="shared" si="187"/>
        <v>0.84879852125693178</v>
      </c>
      <c r="AB117" s="211">
        <f t="shared" si="187"/>
        <v>0.84879852125693178</v>
      </c>
      <c r="AC117" s="211">
        <f t="shared" si="187"/>
        <v>0.84879852125693178</v>
      </c>
      <c r="AD117" s="211">
        <f t="shared" si="187"/>
        <v>0.84879852125693178</v>
      </c>
      <c r="AE117" s="211">
        <f t="shared" si="187"/>
        <v>0.84879852125693178</v>
      </c>
      <c r="AF117" s="211">
        <f t="shared" si="187"/>
        <v>0.84879852125693178</v>
      </c>
      <c r="AG117" s="211">
        <f t="shared" si="187"/>
        <v>0.84879852125693178</v>
      </c>
      <c r="AH117" s="211">
        <f t="shared" si="187"/>
        <v>0.84879852125693178</v>
      </c>
      <c r="AI117" s="211">
        <f t="shared" si="187"/>
        <v>0.84879852125693178</v>
      </c>
      <c r="AJ117" s="211">
        <f t="shared" si="187"/>
        <v>0.84879852125693178</v>
      </c>
      <c r="AK117" s="211">
        <f t="shared" si="187"/>
        <v>0.84879852125693178</v>
      </c>
      <c r="AL117" s="211">
        <f t="shared" si="187"/>
        <v>0.84879852125693178</v>
      </c>
      <c r="AM117" s="211">
        <f t="shared" si="187"/>
        <v>0.84879852125693178</v>
      </c>
      <c r="AN117" s="211">
        <f t="shared" si="187"/>
        <v>0.84879852125693178</v>
      </c>
    </row>
    <row r="118" spans="2:40" s="7" customFormat="1" ht="12" customHeight="1" outlineLevel="2">
      <c r="B118" s="245"/>
      <c r="C118" s="213" t="s">
        <v>758</v>
      </c>
      <c r="D118" s="213"/>
      <c r="E118" s="213"/>
      <c r="F118" s="213"/>
      <c r="G118" s="213"/>
      <c r="H118" s="213"/>
      <c r="I118" s="213"/>
      <c r="J118" s="211">
        <f>INDEX($C$44:$AN$66,MATCH("New Customers 1MS",$C$44:$C$66,0),MATCH($C118,$C$44:$AN$44,0))</f>
        <v>231</v>
      </c>
      <c r="K118" s="211">
        <f t="shared" ref="K118:AN118" si="188">$J$118*(E111)</f>
        <v>161.69999999999999</v>
      </c>
      <c r="L118" s="211">
        <f t="shared" si="188"/>
        <v>127.05000000000001</v>
      </c>
      <c r="M118" s="211">
        <f t="shared" si="188"/>
        <v>103.95</v>
      </c>
      <c r="N118" s="211">
        <f t="shared" si="188"/>
        <v>92.4</v>
      </c>
      <c r="O118" s="211">
        <f t="shared" si="188"/>
        <v>103.95</v>
      </c>
      <c r="P118" s="211">
        <f t="shared" si="188"/>
        <v>69.3</v>
      </c>
      <c r="Q118" s="211">
        <f t="shared" si="188"/>
        <v>57.75</v>
      </c>
      <c r="R118" s="211">
        <f t="shared" si="188"/>
        <v>46.2</v>
      </c>
      <c r="S118" s="211">
        <f t="shared" si="188"/>
        <v>34.65</v>
      </c>
      <c r="T118" s="211">
        <f t="shared" si="188"/>
        <v>32.340000000000003</v>
      </c>
      <c r="U118" s="211">
        <f t="shared" si="188"/>
        <v>30.03</v>
      </c>
      <c r="V118" s="211">
        <f t="shared" si="188"/>
        <v>27.72</v>
      </c>
      <c r="W118" s="211">
        <f t="shared" si="188"/>
        <v>25.41</v>
      </c>
      <c r="X118" s="211">
        <f t="shared" si="188"/>
        <v>23.1</v>
      </c>
      <c r="Y118" s="211">
        <f t="shared" si="188"/>
        <v>18.48</v>
      </c>
      <c r="Z118" s="211">
        <f t="shared" si="188"/>
        <v>18.48</v>
      </c>
      <c r="AA118" s="211">
        <f t="shared" si="188"/>
        <v>11.55</v>
      </c>
      <c r="AB118" s="211">
        <f t="shared" si="188"/>
        <v>11.55</v>
      </c>
      <c r="AC118" s="211">
        <f t="shared" si="188"/>
        <v>11.55</v>
      </c>
      <c r="AD118" s="211">
        <f t="shared" si="188"/>
        <v>11.55</v>
      </c>
      <c r="AE118" s="211">
        <f t="shared" si="188"/>
        <v>11.55</v>
      </c>
      <c r="AF118" s="211">
        <f t="shared" si="188"/>
        <v>11.55</v>
      </c>
      <c r="AG118" s="211">
        <f t="shared" si="188"/>
        <v>11.55</v>
      </c>
      <c r="AH118" s="211">
        <f t="shared" si="188"/>
        <v>11.55</v>
      </c>
      <c r="AI118" s="211">
        <f t="shared" si="188"/>
        <v>11.55</v>
      </c>
      <c r="AJ118" s="211">
        <f t="shared" si="188"/>
        <v>11.55</v>
      </c>
      <c r="AK118" s="211">
        <f t="shared" si="188"/>
        <v>11.55</v>
      </c>
      <c r="AL118" s="211">
        <f t="shared" si="188"/>
        <v>11.55</v>
      </c>
      <c r="AM118" s="211">
        <f t="shared" si="188"/>
        <v>11.55</v>
      </c>
      <c r="AN118" s="211">
        <f t="shared" si="188"/>
        <v>11.55</v>
      </c>
    </row>
    <row r="119" spans="2:40" s="7" customFormat="1" ht="12" customHeight="1" outlineLevel="2">
      <c r="B119" s="245"/>
      <c r="C119" s="213" t="s">
        <v>759</v>
      </c>
      <c r="D119" s="213"/>
      <c r="E119" s="213"/>
      <c r="F119" s="213"/>
      <c r="G119" s="213"/>
      <c r="H119" s="213"/>
      <c r="I119" s="213"/>
      <c r="J119" s="213"/>
      <c r="K119" s="211">
        <f>INDEX($C$44:$AN$66,MATCH("New Customers 1MS",$C$44:$C$66,0),MATCH($C119,$C$44:$AN$44,0))</f>
        <v>300</v>
      </c>
      <c r="L119" s="211">
        <f t="shared" ref="L119:AN119" si="189">$K$119*(E111)</f>
        <v>210</v>
      </c>
      <c r="M119" s="211">
        <f t="shared" si="189"/>
        <v>165</v>
      </c>
      <c r="N119" s="211">
        <f t="shared" si="189"/>
        <v>135</v>
      </c>
      <c r="O119" s="211">
        <f t="shared" si="189"/>
        <v>120</v>
      </c>
      <c r="P119" s="211">
        <f t="shared" si="189"/>
        <v>135</v>
      </c>
      <c r="Q119" s="211">
        <f t="shared" si="189"/>
        <v>90</v>
      </c>
      <c r="R119" s="211">
        <f t="shared" si="189"/>
        <v>75</v>
      </c>
      <c r="S119" s="211">
        <f t="shared" si="189"/>
        <v>60</v>
      </c>
      <c r="T119" s="211">
        <f t="shared" si="189"/>
        <v>45</v>
      </c>
      <c r="U119" s="211">
        <f t="shared" si="189"/>
        <v>42.000000000000007</v>
      </c>
      <c r="V119" s="211">
        <f t="shared" si="189"/>
        <v>39</v>
      </c>
      <c r="W119" s="211">
        <f t="shared" si="189"/>
        <v>36</v>
      </c>
      <c r="X119" s="211">
        <f t="shared" si="189"/>
        <v>33</v>
      </c>
      <c r="Y119" s="211">
        <f t="shared" si="189"/>
        <v>30</v>
      </c>
      <c r="Z119" s="211">
        <f t="shared" si="189"/>
        <v>24</v>
      </c>
      <c r="AA119" s="211">
        <f t="shared" si="189"/>
        <v>24</v>
      </c>
      <c r="AB119" s="211">
        <f t="shared" si="189"/>
        <v>15</v>
      </c>
      <c r="AC119" s="211">
        <f t="shared" si="189"/>
        <v>15</v>
      </c>
      <c r="AD119" s="211">
        <f t="shared" si="189"/>
        <v>15</v>
      </c>
      <c r="AE119" s="211">
        <f t="shared" si="189"/>
        <v>15</v>
      </c>
      <c r="AF119" s="211">
        <f t="shared" si="189"/>
        <v>15</v>
      </c>
      <c r="AG119" s="211">
        <f t="shared" si="189"/>
        <v>15</v>
      </c>
      <c r="AH119" s="211">
        <f t="shared" si="189"/>
        <v>15</v>
      </c>
      <c r="AI119" s="211">
        <f t="shared" si="189"/>
        <v>15</v>
      </c>
      <c r="AJ119" s="211">
        <f t="shared" si="189"/>
        <v>15</v>
      </c>
      <c r="AK119" s="211">
        <f t="shared" si="189"/>
        <v>15</v>
      </c>
      <c r="AL119" s="211">
        <f t="shared" si="189"/>
        <v>15</v>
      </c>
      <c r="AM119" s="211">
        <f t="shared" si="189"/>
        <v>15</v>
      </c>
      <c r="AN119" s="211">
        <f t="shared" si="189"/>
        <v>15</v>
      </c>
    </row>
    <row r="120" spans="2:40" s="7" customFormat="1" ht="12" customHeight="1" outlineLevel="2">
      <c r="B120" s="245"/>
      <c r="C120" s="213" t="s">
        <v>760</v>
      </c>
      <c r="D120" s="213"/>
      <c r="E120" s="213"/>
      <c r="F120" s="213"/>
      <c r="G120" s="213"/>
      <c r="H120" s="213"/>
      <c r="I120" s="213"/>
      <c r="J120" s="213"/>
      <c r="K120" s="213"/>
      <c r="L120" s="211">
        <f>INDEX($C$44:$AN$66,MATCH("New Customers 1MS",$C$44:$C$66,0),MATCH($C120,$C$44:$AN$44,0))</f>
        <v>280</v>
      </c>
      <c r="M120" s="211">
        <f t="shared" ref="M120:AN120" si="190">$L$120*(E111)</f>
        <v>196</v>
      </c>
      <c r="N120" s="211">
        <f t="shared" si="190"/>
        <v>154</v>
      </c>
      <c r="O120" s="211">
        <f t="shared" si="190"/>
        <v>126</v>
      </c>
      <c r="P120" s="211">
        <f t="shared" si="190"/>
        <v>112</v>
      </c>
      <c r="Q120" s="211">
        <f t="shared" si="190"/>
        <v>126</v>
      </c>
      <c r="R120" s="211">
        <f t="shared" si="190"/>
        <v>84</v>
      </c>
      <c r="S120" s="211">
        <f t="shared" si="190"/>
        <v>70</v>
      </c>
      <c r="T120" s="211">
        <f t="shared" si="190"/>
        <v>56</v>
      </c>
      <c r="U120" s="211">
        <f t="shared" si="190"/>
        <v>42</v>
      </c>
      <c r="V120" s="211">
        <f t="shared" si="190"/>
        <v>39.200000000000003</v>
      </c>
      <c r="W120" s="211">
        <f t="shared" si="190"/>
        <v>36.4</v>
      </c>
      <c r="X120" s="211">
        <f t="shared" si="190"/>
        <v>33.6</v>
      </c>
      <c r="Y120" s="211">
        <f t="shared" si="190"/>
        <v>30.8</v>
      </c>
      <c r="Z120" s="211">
        <f t="shared" si="190"/>
        <v>28</v>
      </c>
      <c r="AA120" s="211">
        <f t="shared" si="190"/>
        <v>22.400000000000002</v>
      </c>
      <c r="AB120" s="211">
        <f t="shared" si="190"/>
        <v>22.400000000000002</v>
      </c>
      <c r="AC120" s="211">
        <f t="shared" si="190"/>
        <v>14</v>
      </c>
      <c r="AD120" s="211">
        <f t="shared" si="190"/>
        <v>14</v>
      </c>
      <c r="AE120" s="211">
        <f t="shared" si="190"/>
        <v>14</v>
      </c>
      <c r="AF120" s="211">
        <f t="shared" si="190"/>
        <v>14</v>
      </c>
      <c r="AG120" s="211">
        <f t="shared" si="190"/>
        <v>14</v>
      </c>
      <c r="AH120" s="211">
        <f t="shared" si="190"/>
        <v>14</v>
      </c>
      <c r="AI120" s="211">
        <f t="shared" si="190"/>
        <v>14</v>
      </c>
      <c r="AJ120" s="211">
        <f t="shared" si="190"/>
        <v>14</v>
      </c>
      <c r="AK120" s="211">
        <f t="shared" si="190"/>
        <v>14</v>
      </c>
      <c r="AL120" s="211">
        <f t="shared" si="190"/>
        <v>14</v>
      </c>
      <c r="AM120" s="211">
        <f t="shared" si="190"/>
        <v>14</v>
      </c>
      <c r="AN120" s="211">
        <f t="shared" si="190"/>
        <v>14</v>
      </c>
    </row>
    <row r="121" spans="2:40" s="7" customFormat="1" ht="12" customHeight="1" outlineLevel="2">
      <c r="B121" s="245"/>
      <c r="C121" s="213" t="s">
        <v>761</v>
      </c>
      <c r="D121" s="213"/>
      <c r="E121" s="213"/>
      <c r="F121" s="213"/>
      <c r="G121" s="213"/>
      <c r="H121" s="213"/>
      <c r="I121" s="213"/>
      <c r="J121" s="213"/>
      <c r="K121" s="213"/>
      <c r="L121" s="213"/>
      <c r="M121" s="211">
        <f>INDEX($C$44:$AN$66,MATCH("New Customers 1MS",$C$44:$C$66,0),MATCH($C121,$C$44:$AN$44,0))</f>
        <v>96.428571428571431</v>
      </c>
      <c r="N121" s="211">
        <f t="shared" ref="N121:AN121" si="191">$M$121*(E111)</f>
        <v>67.5</v>
      </c>
      <c r="O121" s="211">
        <f t="shared" si="191"/>
        <v>53.035714285714292</v>
      </c>
      <c r="P121" s="211">
        <f t="shared" si="191"/>
        <v>43.392857142857146</v>
      </c>
      <c r="Q121" s="211">
        <f t="shared" si="191"/>
        <v>38.571428571428577</v>
      </c>
      <c r="R121" s="211">
        <f t="shared" si="191"/>
        <v>43.392857142857146</v>
      </c>
      <c r="S121" s="211">
        <f t="shared" si="191"/>
        <v>28.928571428571427</v>
      </c>
      <c r="T121" s="211">
        <f t="shared" si="191"/>
        <v>24.107142857142858</v>
      </c>
      <c r="U121" s="211">
        <f t="shared" si="191"/>
        <v>19.285714285714288</v>
      </c>
      <c r="V121" s="211">
        <f t="shared" si="191"/>
        <v>14.464285714285714</v>
      </c>
      <c r="W121" s="211">
        <f t="shared" si="191"/>
        <v>13.500000000000002</v>
      </c>
      <c r="X121" s="211">
        <f t="shared" si="191"/>
        <v>12.535714285714286</v>
      </c>
      <c r="Y121" s="211">
        <f t="shared" si="191"/>
        <v>11.571428571428571</v>
      </c>
      <c r="Z121" s="211">
        <f t="shared" si="191"/>
        <v>10.607142857142858</v>
      </c>
      <c r="AA121" s="211">
        <f t="shared" si="191"/>
        <v>9.6428571428571441</v>
      </c>
      <c r="AB121" s="211">
        <f t="shared" si="191"/>
        <v>7.7142857142857144</v>
      </c>
      <c r="AC121" s="211">
        <f t="shared" si="191"/>
        <v>7.7142857142857144</v>
      </c>
      <c r="AD121" s="211">
        <f t="shared" si="191"/>
        <v>4.8214285714285721</v>
      </c>
      <c r="AE121" s="211">
        <f t="shared" si="191"/>
        <v>4.8214285714285721</v>
      </c>
      <c r="AF121" s="211">
        <f t="shared" si="191"/>
        <v>4.8214285714285721</v>
      </c>
      <c r="AG121" s="211">
        <f t="shared" si="191"/>
        <v>4.8214285714285721</v>
      </c>
      <c r="AH121" s="211">
        <f t="shared" si="191"/>
        <v>4.8214285714285721</v>
      </c>
      <c r="AI121" s="211">
        <f t="shared" si="191"/>
        <v>4.8214285714285721</v>
      </c>
      <c r="AJ121" s="211">
        <f t="shared" si="191"/>
        <v>4.8214285714285721</v>
      </c>
      <c r="AK121" s="211">
        <f t="shared" si="191"/>
        <v>4.8214285714285721</v>
      </c>
      <c r="AL121" s="211">
        <f t="shared" si="191"/>
        <v>4.8214285714285721</v>
      </c>
      <c r="AM121" s="211">
        <f t="shared" si="191"/>
        <v>4.8214285714285721</v>
      </c>
      <c r="AN121" s="211">
        <f t="shared" si="191"/>
        <v>4.8214285714285721</v>
      </c>
    </row>
    <row r="122" spans="2:40" s="7" customFormat="1" ht="12" customHeight="1" outlineLevel="2">
      <c r="B122" s="245"/>
      <c r="C122" s="213" t="s">
        <v>762</v>
      </c>
      <c r="D122" s="213"/>
      <c r="E122" s="213"/>
      <c r="F122" s="213"/>
      <c r="G122" s="213"/>
      <c r="H122" s="213"/>
      <c r="I122" s="213"/>
      <c r="J122" s="213"/>
      <c r="K122" s="213"/>
      <c r="L122" s="213"/>
      <c r="M122" s="213"/>
      <c r="N122" s="211">
        <f>INDEX($C$44:$AN$66,MATCH("New Customers 1MS",$C$44:$C$66,0),MATCH($C122,$C$44:$AN$44,0))</f>
        <v>69.230769230769226</v>
      </c>
      <c r="O122" s="211">
        <f t="shared" ref="O122:AN122" si="192">$N$122*(E111)</f>
        <v>48.461538461538453</v>
      </c>
      <c r="P122" s="211">
        <f t="shared" si="192"/>
        <v>38.07692307692308</v>
      </c>
      <c r="Q122" s="211">
        <f t="shared" si="192"/>
        <v>31.153846153846153</v>
      </c>
      <c r="R122" s="211">
        <f t="shared" si="192"/>
        <v>27.692307692307693</v>
      </c>
      <c r="S122" s="211">
        <f t="shared" si="192"/>
        <v>31.153846153846153</v>
      </c>
      <c r="T122" s="211">
        <f t="shared" si="192"/>
        <v>20.769230769230766</v>
      </c>
      <c r="U122" s="211">
        <f t="shared" si="192"/>
        <v>17.307692307692307</v>
      </c>
      <c r="V122" s="211">
        <f t="shared" si="192"/>
        <v>13.846153846153847</v>
      </c>
      <c r="W122" s="211">
        <f t="shared" si="192"/>
        <v>10.384615384615383</v>
      </c>
      <c r="X122" s="211">
        <f t="shared" si="192"/>
        <v>9.6923076923076934</v>
      </c>
      <c r="Y122" s="211">
        <f t="shared" si="192"/>
        <v>9</v>
      </c>
      <c r="Z122" s="211">
        <f t="shared" si="192"/>
        <v>8.3076923076923066</v>
      </c>
      <c r="AA122" s="211">
        <f t="shared" si="192"/>
        <v>7.615384615384615</v>
      </c>
      <c r="AB122" s="211">
        <f t="shared" si="192"/>
        <v>6.9230769230769234</v>
      </c>
      <c r="AC122" s="211">
        <f t="shared" si="192"/>
        <v>5.5384615384615383</v>
      </c>
      <c r="AD122" s="211">
        <f t="shared" si="192"/>
        <v>5.5384615384615383</v>
      </c>
      <c r="AE122" s="211">
        <f t="shared" si="192"/>
        <v>3.4615384615384617</v>
      </c>
      <c r="AF122" s="211">
        <f t="shared" si="192"/>
        <v>3.4615384615384617</v>
      </c>
      <c r="AG122" s="211">
        <f t="shared" si="192"/>
        <v>3.4615384615384617</v>
      </c>
      <c r="AH122" s="211">
        <f t="shared" si="192"/>
        <v>3.4615384615384617</v>
      </c>
      <c r="AI122" s="211">
        <f t="shared" si="192"/>
        <v>3.4615384615384617</v>
      </c>
      <c r="AJ122" s="211">
        <f t="shared" si="192"/>
        <v>3.4615384615384617</v>
      </c>
      <c r="AK122" s="211">
        <f t="shared" si="192"/>
        <v>3.4615384615384617</v>
      </c>
      <c r="AL122" s="211">
        <f t="shared" si="192"/>
        <v>3.4615384615384617</v>
      </c>
      <c r="AM122" s="211">
        <f t="shared" si="192"/>
        <v>3.4615384615384617</v>
      </c>
      <c r="AN122" s="211">
        <f t="shared" si="192"/>
        <v>3.4615384615384617</v>
      </c>
    </row>
    <row r="123" spans="2:40" s="7" customFormat="1" ht="12" customHeight="1" outlineLevel="2">
      <c r="B123" s="245"/>
      <c r="C123" s="213" t="s">
        <v>763</v>
      </c>
      <c r="D123" s="213"/>
      <c r="E123" s="213"/>
      <c r="F123" s="213"/>
      <c r="G123" s="213"/>
      <c r="H123" s="213"/>
      <c r="I123" s="213"/>
      <c r="J123" s="213"/>
      <c r="K123" s="213"/>
      <c r="L123" s="213"/>
      <c r="M123" s="213"/>
      <c r="N123" s="213"/>
      <c r="O123" s="211">
        <f>INDEX($C$44:$AN$66,MATCH("New Customers 1MS",$C$44:$C$66,0),MATCH($C123,$C$44:$AN$44,0))</f>
        <v>102.85714285714285</v>
      </c>
      <c r="P123" s="211">
        <f t="shared" ref="P123:AN123" si="193">$O$123*(E111)</f>
        <v>71.999999999999986</v>
      </c>
      <c r="Q123" s="211">
        <f t="shared" si="193"/>
        <v>56.571428571428569</v>
      </c>
      <c r="R123" s="211">
        <f t="shared" si="193"/>
        <v>46.285714285714285</v>
      </c>
      <c r="S123" s="211">
        <f t="shared" si="193"/>
        <v>41.142857142857139</v>
      </c>
      <c r="T123" s="211">
        <f t="shared" si="193"/>
        <v>46.285714285714285</v>
      </c>
      <c r="U123" s="211">
        <f t="shared" si="193"/>
        <v>30.857142857142854</v>
      </c>
      <c r="V123" s="211">
        <f t="shared" si="193"/>
        <v>25.714285714285712</v>
      </c>
      <c r="W123" s="211">
        <f t="shared" si="193"/>
        <v>20.571428571428569</v>
      </c>
      <c r="X123" s="211">
        <f t="shared" si="193"/>
        <v>15.428571428571427</v>
      </c>
      <c r="Y123" s="211">
        <f t="shared" si="193"/>
        <v>14.4</v>
      </c>
      <c r="Z123" s="211">
        <f t="shared" si="193"/>
        <v>13.37142857142857</v>
      </c>
      <c r="AA123" s="211">
        <f t="shared" si="193"/>
        <v>12.342857142857142</v>
      </c>
      <c r="AB123" s="211">
        <f t="shared" si="193"/>
        <v>11.314285714285713</v>
      </c>
      <c r="AC123" s="211">
        <f t="shared" si="193"/>
        <v>10.285714285714285</v>
      </c>
      <c r="AD123" s="211">
        <f t="shared" si="193"/>
        <v>8.2285714285714278</v>
      </c>
      <c r="AE123" s="211">
        <f t="shared" si="193"/>
        <v>8.2285714285714278</v>
      </c>
      <c r="AF123" s="211">
        <f t="shared" si="193"/>
        <v>5.1428571428571423</v>
      </c>
      <c r="AG123" s="211">
        <f t="shared" si="193"/>
        <v>5.1428571428571423</v>
      </c>
      <c r="AH123" s="211">
        <f t="shared" si="193"/>
        <v>5.1428571428571423</v>
      </c>
      <c r="AI123" s="211">
        <f t="shared" si="193"/>
        <v>5.1428571428571423</v>
      </c>
      <c r="AJ123" s="211">
        <f t="shared" si="193"/>
        <v>5.1428571428571423</v>
      </c>
      <c r="AK123" s="211">
        <f t="shared" si="193"/>
        <v>5.1428571428571423</v>
      </c>
      <c r="AL123" s="211">
        <f t="shared" si="193"/>
        <v>5.1428571428571423</v>
      </c>
      <c r="AM123" s="211">
        <f t="shared" si="193"/>
        <v>5.1428571428571423</v>
      </c>
      <c r="AN123" s="211">
        <f t="shared" si="193"/>
        <v>5.1428571428571423</v>
      </c>
    </row>
    <row r="124" spans="2:40" s="7" customFormat="1" ht="12" customHeight="1" outlineLevel="2">
      <c r="B124" s="245"/>
      <c r="C124" s="213" t="s">
        <v>764</v>
      </c>
      <c r="D124" s="213"/>
      <c r="E124" s="213"/>
      <c r="F124" s="213"/>
      <c r="G124" s="213"/>
      <c r="H124" s="213"/>
      <c r="I124" s="213"/>
      <c r="J124" s="213"/>
      <c r="K124" s="213"/>
      <c r="L124" s="213"/>
      <c r="M124" s="213"/>
      <c r="N124" s="213"/>
      <c r="O124" s="213"/>
      <c r="P124" s="211">
        <f>INDEX($C$44:$AN$66,MATCH("New Customers 1MS",$C$44:$C$66,0),MATCH($C124,$C$44:$AN$44,0))</f>
        <v>120</v>
      </c>
      <c r="Q124" s="211">
        <f t="shared" ref="Q124:AN124" si="194">$P$124*(E111)</f>
        <v>84</v>
      </c>
      <c r="R124" s="211">
        <f t="shared" si="194"/>
        <v>66</v>
      </c>
      <c r="S124" s="211">
        <f t="shared" si="194"/>
        <v>54</v>
      </c>
      <c r="T124" s="211">
        <f t="shared" si="194"/>
        <v>48</v>
      </c>
      <c r="U124" s="211">
        <f t="shared" si="194"/>
        <v>54</v>
      </c>
      <c r="V124" s="211">
        <f t="shared" si="194"/>
        <v>36</v>
      </c>
      <c r="W124" s="211">
        <f t="shared" si="194"/>
        <v>30</v>
      </c>
      <c r="X124" s="211">
        <f t="shared" si="194"/>
        <v>24</v>
      </c>
      <c r="Y124" s="211">
        <f t="shared" si="194"/>
        <v>18</v>
      </c>
      <c r="Z124" s="211">
        <f t="shared" si="194"/>
        <v>16.8</v>
      </c>
      <c r="AA124" s="211">
        <f t="shared" si="194"/>
        <v>15.600000000000001</v>
      </c>
      <c r="AB124" s="211">
        <f t="shared" si="194"/>
        <v>14.399999999999999</v>
      </c>
      <c r="AC124" s="211">
        <f t="shared" si="194"/>
        <v>13.2</v>
      </c>
      <c r="AD124" s="211">
        <f t="shared" si="194"/>
        <v>12</v>
      </c>
      <c r="AE124" s="211">
        <f t="shared" si="194"/>
        <v>9.6</v>
      </c>
      <c r="AF124" s="211">
        <f t="shared" si="194"/>
        <v>9.6</v>
      </c>
      <c r="AG124" s="211">
        <f t="shared" si="194"/>
        <v>6</v>
      </c>
      <c r="AH124" s="211">
        <f t="shared" si="194"/>
        <v>6</v>
      </c>
      <c r="AI124" s="211">
        <f t="shared" si="194"/>
        <v>6</v>
      </c>
      <c r="AJ124" s="211">
        <f t="shared" si="194"/>
        <v>6</v>
      </c>
      <c r="AK124" s="211">
        <f t="shared" si="194"/>
        <v>6</v>
      </c>
      <c r="AL124" s="211">
        <f t="shared" si="194"/>
        <v>6</v>
      </c>
      <c r="AM124" s="211">
        <f t="shared" si="194"/>
        <v>6</v>
      </c>
      <c r="AN124" s="211">
        <f t="shared" si="194"/>
        <v>6</v>
      </c>
    </row>
    <row r="125" spans="2:40" s="7" customFormat="1" ht="12" customHeight="1" outlineLevel="2">
      <c r="B125" s="245"/>
      <c r="C125" s="213" t="s">
        <v>765</v>
      </c>
      <c r="D125" s="213"/>
      <c r="E125" s="213"/>
      <c r="F125" s="213"/>
      <c r="G125" s="213"/>
      <c r="H125" s="213"/>
      <c r="I125" s="213"/>
      <c r="J125" s="213"/>
      <c r="K125" s="213"/>
      <c r="L125" s="213"/>
      <c r="M125" s="213"/>
      <c r="N125" s="213"/>
      <c r="O125" s="213"/>
      <c r="P125" s="213"/>
      <c r="Q125" s="211">
        <f>INDEX($C$44:$AN$66,MATCH("New Customers 1MS",$C$44:$C$66,0),MATCH($C125,$C$44:$AN$44,0))</f>
        <v>207.27272727272725</v>
      </c>
      <c r="R125" s="211">
        <f t="shared" ref="R125:AN125" si="195">$Q$125*(E111)</f>
        <v>145.09090909090907</v>
      </c>
      <c r="S125" s="211">
        <f t="shared" si="195"/>
        <v>114</v>
      </c>
      <c r="T125" s="211">
        <f t="shared" si="195"/>
        <v>93.272727272727266</v>
      </c>
      <c r="U125" s="211">
        <f t="shared" si="195"/>
        <v>82.909090909090907</v>
      </c>
      <c r="V125" s="211">
        <f t="shared" si="195"/>
        <v>93.272727272727266</v>
      </c>
      <c r="W125" s="211">
        <f t="shared" si="195"/>
        <v>62.181818181818173</v>
      </c>
      <c r="X125" s="211">
        <f t="shared" si="195"/>
        <v>51.818181818181813</v>
      </c>
      <c r="Y125" s="211">
        <f t="shared" si="195"/>
        <v>41.454545454545453</v>
      </c>
      <c r="Z125" s="211">
        <f t="shared" si="195"/>
        <v>31.090909090909086</v>
      </c>
      <c r="AA125" s="211">
        <f t="shared" si="195"/>
        <v>29.018181818181819</v>
      </c>
      <c r="AB125" s="211">
        <f t="shared" si="195"/>
        <v>26.945454545454545</v>
      </c>
      <c r="AC125" s="211">
        <f t="shared" si="195"/>
        <v>24.872727272727268</v>
      </c>
      <c r="AD125" s="211">
        <f t="shared" si="195"/>
        <v>22.799999999999997</v>
      </c>
      <c r="AE125" s="211">
        <f t="shared" si="195"/>
        <v>20.727272727272727</v>
      </c>
      <c r="AF125" s="211">
        <f t="shared" si="195"/>
        <v>16.581818181818182</v>
      </c>
      <c r="AG125" s="211">
        <f t="shared" si="195"/>
        <v>16.581818181818182</v>
      </c>
      <c r="AH125" s="211">
        <f t="shared" si="195"/>
        <v>10.363636363636363</v>
      </c>
      <c r="AI125" s="211">
        <f t="shared" si="195"/>
        <v>10.363636363636363</v>
      </c>
      <c r="AJ125" s="211">
        <f t="shared" si="195"/>
        <v>10.363636363636363</v>
      </c>
      <c r="AK125" s="211">
        <f t="shared" si="195"/>
        <v>10.363636363636363</v>
      </c>
      <c r="AL125" s="211">
        <f t="shared" si="195"/>
        <v>10.363636363636363</v>
      </c>
      <c r="AM125" s="211">
        <f t="shared" si="195"/>
        <v>10.363636363636363</v>
      </c>
      <c r="AN125" s="211">
        <f t="shared" si="195"/>
        <v>10.363636363636363</v>
      </c>
    </row>
    <row r="126" spans="2:40" s="7" customFormat="1" ht="12" customHeight="1" outlineLevel="2">
      <c r="B126" s="245"/>
      <c r="C126" s="213" t="s">
        <v>766</v>
      </c>
      <c r="D126" s="213"/>
      <c r="E126" s="213"/>
      <c r="F126" s="213"/>
      <c r="G126" s="213"/>
      <c r="H126" s="213"/>
      <c r="I126" s="213"/>
      <c r="J126" s="213"/>
      <c r="K126" s="213"/>
      <c r="L126" s="213"/>
      <c r="M126" s="213"/>
      <c r="N126" s="213"/>
      <c r="O126" s="213"/>
      <c r="P126" s="213"/>
      <c r="Q126" s="213"/>
      <c r="R126" s="211">
        <f>INDEX($C$44:$AN$66,MATCH("New Customers 1MS",$C$44:$C$66,0),MATCH($C126,$C$44:$AN$44,0))</f>
        <v>248.72727272727272</v>
      </c>
      <c r="S126" s="211">
        <f t="shared" ref="S126:AN126" si="196">$R$126*(E111)</f>
        <v>174.1090909090909</v>
      </c>
      <c r="T126" s="211">
        <f t="shared" si="196"/>
        <v>136.80000000000001</v>
      </c>
      <c r="U126" s="211">
        <f t="shared" si="196"/>
        <v>111.92727272727272</v>
      </c>
      <c r="V126" s="211">
        <f t="shared" si="196"/>
        <v>99.490909090909099</v>
      </c>
      <c r="W126" s="211">
        <f t="shared" si="196"/>
        <v>111.92727272727272</v>
      </c>
      <c r="X126" s="211">
        <f t="shared" si="196"/>
        <v>74.61818181818181</v>
      </c>
      <c r="Y126" s="211">
        <f t="shared" si="196"/>
        <v>62.18181818181818</v>
      </c>
      <c r="Z126" s="211">
        <f t="shared" si="196"/>
        <v>49.74545454545455</v>
      </c>
      <c r="AA126" s="211">
        <f t="shared" si="196"/>
        <v>37.309090909090905</v>
      </c>
      <c r="AB126" s="211">
        <f t="shared" si="196"/>
        <v>34.821818181818188</v>
      </c>
      <c r="AC126" s="211">
        <f t="shared" si="196"/>
        <v>32.334545454545456</v>
      </c>
      <c r="AD126" s="211">
        <f t="shared" si="196"/>
        <v>29.847272727272724</v>
      </c>
      <c r="AE126" s="211">
        <f t="shared" si="196"/>
        <v>27.36</v>
      </c>
      <c r="AF126" s="211">
        <f t="shared" si="196"/>
        <v>24.872727272727275</v>
      </c>
      <c r="AG126" s="211">
        <f t="shared" si="196"/>
        <v>19.898181818181818</v>
      </c>
      <c r="AH126" s="211">
        <f t="shared" si="196"/>
        <v>19.898181818181818</v>
      </c>
      <c r="AI126" s="211">
        <f t="shared" si="196"/>
        <v>12.436363636363637</v>
      </c>
      <c r="AJ126" s="211">
        <f t="shared" si="196"/>
        <v>12.436363636363637</v>
      </c>
      <c r="AK126" s="211">
        <f t="shared" si="196"/>
        <v>12.436363636363637</v>
      </c>
      <c r="AL126" s="211">
        <f t="shared" si="196"/>
        <v>12.436363636363637</v>
      </c>
      <c r="AM126" s="211">
        <f t="shared" si="196"/>
        <v>12.436363636363637</v>
      </c>
      <c r="AN126" s="211">
        <f t="shared" si="196"/>
        <v>12.436363636363637</v>
      </c>
    </row>
    <row r="127" spans="2:40" s="7" customFormat="1" ht="12" customHeight="1" outlineLevel="2">
      <c r="B127" s="245"/>
      <c r="C127" s="213" t="s">
        <v>767</v>
      </c>
      <c r="D127" s="213"/>
      <c r="E127" s="213"/>
      <c r="F127" s="213"/>
      <c r="G127" s="213"/>
      <c r="H127" s="213"/>
      <c r="I127" s="213"/>
      <c r="J127" s="213"/>
      <c r="K127" s="213"/>
      <c r="L127" s="213"/>
      <c r="M127" s="213"/>
      <c r="N127" s="213"/>
      <c r="O127" s="213"/>
      <c r="P127" s="213"/>
      <c r="Q127" s="213"/>
      <c r="R127" s="213"/>
      <c r="S127" s="211">
        <f>INDEX($C$44:$AN$66,MATCH("New Customers 1MS",$C$44:$C$66,0),MATCH($C127,$C$44:$AN$44,0))</f>
        <v>300.96000000000004</v>
      </c>
      <c r="T127" s="211">
        <f t="shared" ref="T127:AN127" si="197">$S$127*(E111)</f>
        <v>210.67200000000003</v>
      </c>
      <c r="U127" s="211">
        <f t="shared" si="197"/>
        <v>165.52800000000002</v>
      </c>
      <c r="V127" s="211">
        <f t="shared" si="197"/>
        <v>135.43200000000002</v>
      </c>
      <c r="W127" s="211">
        <f t="shared" si="197"/>
        <v>120.38400000000001</v>
      </c>
      <c r="X127" s="211">
        <f t="shared" si="197"/>
        <v>135.43200000000002</v>
      </c>
      <c r="Y127" s="211">
        <f t="shared" si="197"/>
        <v>90.288000000000011</v>
      </c>
      <c r="Z127" s="211">
        <f t="shared" si="197"/>
        <v>75.240000000000009</v>
      </c>
      <c r="AA127" s="211">
        <f t="shared" si="197"/>
        <v>60.192000000000007</v>
      </c>
      <c r="AB127" s="211">
        <f t="shared" si="197"/>
        <v>45.144000000000005</v>
      </c>
      <c r="AC127" s="211">
        <f t="shared" si="197"/>
        <v>42.134400000000007</v>
      </c>
      <c r="AD127" s="211">
        <f t="shared" si="197"/>
        <v>39.124800000000008</v>
      </c>
      <c r="AE127" s="211">
        <f t="shared" si="197"/>
        <v>36.115200000000002</v>
      </c>
      <c r="AF127" s="211">
        <f t="shared" si="197"/>
        <v>33.105600000000003</v>
      </c>
      <c r="AG127" s="211">
        <f t="shared" si="197"/>
        <v>30.096000000000004</v>
      </c>
      <c r="AH127" s="211">
        <f t="shared" si="197"/>
        <v>24.076800000000002</v>
      </c>
      <c r="AI127" s="211">
        <f t="shared" si="197"/>
        <v>24.076800000000002</v>
      </c>
      <c r="AJ127" s="211">
        <f t="shared" si="197"/>
        <v>15.048000000000002</v>
      </c>
      <c r="AK127" s="211">
        <f t="shared" si="197"/>
        <v>15.048000000000002</v>
      </c>
      <c r="AL127" s="211">
        <f t="shared" si="197"/>
        <v>15.048000000000002</v>
      </c>
      <c r="AM127" s="211">
        <f t="shared" si="197"/>
        <v>15.048000000000002</v>
      </c>
      <c r="AN127" s="211">
        <f t="shared" si="197"/>
        <v>15.048000000000002</v>
      </c>
    </row>
    <row r="128" spans="2:40" s="7" customFormat="1" ht="12" customHeight="1" outlineLevel="2">
      <c r="B128" s="245"/>
      <c r="C128" s="213" t="s">
        <v>768</v>
      </c>
      <c r="D128" s="213"/>
      <c r="E128" s="213"/>
      <c r="F128" s="213"/>
      <c r="G128" s="213"/>
      <c r="H128" s="213"/>
      <c r="I128" s="213"/>
      <c r="J128" s="213"/>
      <c r="K128" s="213"/>
      <c r="L128" s="213"/>
      <c r="M128" s="213"/>
      <c r="N128" s="213"/>
      <c r="O128" s="213"/>
      <c r="P128" s="213"/>
      <c r="Q128" s="213"/>
      <c r="R128" s="213"/>
      <c r="S128" s="213"/>
      <c r="T128" s="211">
        <f>INDEX($C$44:$AN$66,MATCH("New Customers 1MS",$C$44:$C$66,0),MATCH($C128,$C$44:$AN$44,0))</f>
        <v>372.43800000000005</v>
      </c>
      <c r="U128" s="211">
        <f t="shared" ref="U128:AN128" si="198">$T$128*(E111)</f>
        <v>260.70660000000004</v>
      </c>
      <c r="V128" s="211">
        <f t="shared" si="198"/>
        <v>204.84090000000003</v>
      </c>
      <c r="W128" s="211">
        <f t="shared" si="198"/>
        <v>167.59710000000001</v>
      </c>
      <c r="X128" s="211">
        <f t="shared" si="198"/>
        <v>148.97520000000003</v>
      </c>
      <c r="Y128" s="211">
        <f t="shared" si="198"/>
        <v>167.59710000000001</v>
      </c>
      <c r="Z128" s="211">
        <f t="shared" si="198"/>
        <v>111.73140000000001</v>
      </c>
      <c r="AA128" s="211">
        <f t="shared" si="198"/>
        <v>93.109500000000011</v>
      </c>
      <c r="AB128" s="211">
        <f t="shared" si="198"/>
        <v>74.487600000000015</v>
      </c>
      <c r="AC128" s="211">
        <f t="shared" si="198"/>
        <v>55.865700000000004</v>
      </c>
      <c r="AD128" s="211">
        <f t="shared" si="198"/>
        <v>52.141320000000015</v>
      </c>
      <c r="AE128" s="211">
        <f t="shared" si="198"/>
        <v>48.416940000000011</v>
      </c>
      <c r="AF128" s="211">
        <f t="shared" si="198"/>
        <v>44.69256</v>
      </c>
      <c r="AG128" s="211">
        <f t="shared" si="198"/>
        <v>40.968180000000004</v>
      </c>
      <c r="AH128" s="211">
        <f t="shared" si="198"/>
        <v>37.243800000000007</v>
      </c>
      <c r="AI128" s="211">
        <f t="shared" si="198"/>
        <v>29.795040000000004</v>
      </c>
      <c r="AJ128" s="211">
        <f t="shared" si="198"/>
        <v>29.795040000000004</v>
      </c>
      <c r="AK128" s="211">
        <f t="shared" si="198"/>
        <v>18.621900000000004</v>
      </c>
      <c r="AL128" s="211">
        <f t="shared" si="198"/>
        <v>18.621900000000004</v>
      </c>
      <c r="AM128" s="211">
        <f t="shared" si="198"/>
        <v>18.621900000000004</v>
      </c>
      <c r="AN128" s="211">
        <f t="shared" si="198"/>
        <v>18.621900000000004</v>
      </c>
    </row>
    <row r="129" spans="2:40" s="7" customFormat="1" ht="12" customHeight="1" outlineLevel="2">
      <c r="B129" s="245"/>
      <c r="C129" s="213" t="s">
        <v>769</v>
      </c>
      <c r="D129" s="213"/>
      <c r="E129" s="213"/>
      <c r="F129" s="213"/>
      <c r="G129" s="213"/>
      <c r="H129" s="213"/>
      <c r="I129" s="213"/>
      <c r="J129" s="213"/>
      <c r="K129" s="213"/>
      <c r="L129" s="213"/>
      <c r="M129" s="213"/>
      <c r="N129" s="213"/>
      <c r="O129" s="213"/>
      <c r="P129" s="213"/>
      <c r="Q129" s="213"/>
      <c r="R129" s="213"/>
      <c r="S129" s="213"/>
      <c r="T129" s="213"/>
      <c r="U129" s="211">
        <f>INDEX($C$44:$AN$66,MATCH("New Customers 1MS",$C$44:$C$66,0),MATCH($C129,$C$44:$AN$44,0))</f>
        <v>431.2440000000002</v>
      </c>
      <c r="V129" s="211">
        <f t="shared" ref="V129:AN129" si="199">$U$129*(E111)</f>
        <v>301.87080000000014</v>
      </c>
      <c r="W129" s="211">
        <f t="shared" si="199"/>
        <v>237.18420000000012</v>
      </c>
      <c r="X129" s="211">
        <f t="shared" si="199"/>
        <v>194.05980000000008</v>
      </c>
      <c r="Y129" s="211">
        <f t="shared" si="199"/>
        <v>172.49760000000009</v>
      </c>
      <c r="Z129" s="211">
        <f t="shared" si="199"/>
        <v>194.05980000000008</v>
      </c>
      <c r="AA129" s="211">
        <f t="shared" si="199"/>
        <v>129.37320000000005</v>
      </c>
      <c r="AB129" s="211">
        <f t="shared" si="199"/>
        <v>107.81100000000005</v>
      </c>
      <c r="AC129" s="211">
        <f t="shared" si="199"/>
        <v>86.248800000000045</v>
      </c>
      <c r="AD129" s="211">
        <f t="shared" si="199"/>
        <v>64.686600000000027</v>
      </c>
      <c r="AE129" s="211">
        <f t="shared" si="199"/>
        <v>60.374160000000032</v>
      </c>
      <c r="AF129" s="211">
        <f t="shared" si="199"/>
        <v>56.06172000000003</v>
      </c>
      <c r="AG129" s="211">
        <f t="shared" si="199"/>
        <v>51.74928000000002</v>
      </c>
      <c r="AH129" s="211">
        <f t="shared" si="199"/>
        <v>47.436840000000025</v>
      </c>
      <c r="AI129" s="211">
        <f t="shared" si="199"/>
        <v>43.124400000000023</v>
      </c>
      <c r="AJ129" s="211">
        <f t="shared" si="199"/>
        <v>34.499520000000018</v>
      </c>
      <c r="AK129" s="211">
        <f t="shared" si="199"/>
        <v>34.499520000000018</v>
      </c>
      <c r="AL129" s="211">
        <f t="shared" si="199"/>
        <v>21.562200000000011</v>
      </c>
      <c r="AM129" s="211">
        <f t="shared" si="199"/>
        <v>21.562200000000011</v>
      </c>
      <c r="AN129" s="211">
        <f t="shared" si="199"/>
        <v>21.562200000000011</v>
      </c>
    </row>
    <row r="130" spans="2:40" s="7" customFormat="1" ht="12" customHeight="1" outlineLevel="2">
      <c r="B130" s="245"/>
      <c r="C130" s="213" t="s">
        <v>770</v>
      </c>
      <c r="D130" s="213"/>
      <c r="E130" s="213"/>
      <c r="F130" s="213"/>
      <c r="G130" s="213"/>
      <c r="H130" s="213"/>
      <c r="I130" s="213"/>
      <c r="J130" s="213"/>
      <c r="K130" s="213"/>
      <c r="L130" s="213"/>
      <c r="M130" s="213"/>
      <c r="N130" s="213"/>
      <c r="O130" s="213"/>
      <c r="P130" s="213"/>
      <c r="Q130" s="213"/>
      <c r="R130" s="213"/>
      <c r="S130" s="213"/>
      <c r="T130" s="213"/>
      <c r="U130" s="213"/>
      <c r="V130" s="211">
        <f>INDEX($C$44:$AN$66,MATCH("New Customers 1MS",$C$44:$C$66,0),MATCH($C130,$C$44:$AN$44,0))</f>
        <v>474.36840000000029</v>
      </c>
      <c r="W130" s="211">
        <f t="shared" ref="W130:AN130" si="200">$V$130*(E111)</f>
        <v>332.05788000000018</v>
      </c>
      <c r="X130" s="211">
        <f t="shared" si="200"/>
        <v>260.90262000000018</v>
      </c>
      <c r="Y130" s="211">
        <f t="shared" si="200"/>
        <v>213.46578000000014</v>
      </c>
      <c r="Z130" s="211">
        <f t="shared" si="200"/>
        <v>189.74736000000013</v>
      </c>
      <c r="AA130" s="211">
        <f t="shared" si="200"/>
        <v>213.46578000000014</v>
      </c>
      <c r="AB130" s="211">
        <f t="shared" si="200"/>
        <v>142.31052000000008</v>
      </c>
      <c r="AC130" s="211">
        <f t="shared" si="200"/>
        <v>118.59210000000007</v>
      </c>
      <c r="AD130" s="211">
        <f t="shared" si="200"/>
        <v>94.873680000000064</v>
      </c>
      <c r="AE130" s="211">
        <f t="shared" si="200"/>
        <v>71.155260000000041</v>
      </c>
      <c r="AF130" s="211">
        <f t="shared" si="200"/>
        <v>66.411576000000053</v>
      </c>
      <c r="AG130" s="211">
        <f t="shared" si="200"/>
        <v>61.667892000000037</v>
      </c>
      <c r="AH130" s="211">
        <f t="shared" si="200"/>
        <v>56.924208000000036</v>
      </c>
      <c r="AI130" s="211">
        <f t="shared" si="200"/>
        <v>52.180524000000034</v>
      </c>
      <c r="AJ130" s="211">
        <f t="shared" si="200"/>
        <v>47.436840000000032</v>
      </c>
      <c r="AK130" s="211">
        <f t="shared" si="200"/>
        <v>37.949472000000021</v>
      </c>
      <c r="AL130" s="211">
        <f t="shared" si="200"/>
        <v>37.949472000000021</v>
      </c>
      <c r="AM130" s="211">
        <f t="shared" si="200"/>
        <v>23.718420000000016</v>
      </c>
      <c r="AN130" s="211">
        <f t="shared" si="200"/>
        <v>23.718420000000016</v>
      </c>
    </row>
    <row r="131" spans="2:40" s="7" customFormat="1" ht="12" customHeight="1" outlineLevel="2">
      <c r="B131" s="245"/>
      <c r="C131" s="213" t="s">
        <v>771</v>
      </c>
      <c r="D131" s="213"/>
      <c r="E131" s="213"/>
      <c r="F131" s="213"/>
      <c r="G131" s="213"/>
      <c r="H131" s="213"/>
      <c r="I131" s="213"/>
      <c r="J131" s="213"/>
      <c r="K131" s="213"/>
      <c r="L131" s="213"/>
      <c r="M131" s="213"/>
      <c r="N131" s="213"/>
      <c r="O131" s="213"/>
      <c r="P131" s="213"/>
      <c r="Q131" s="213"/>
      <c r="R131" s="213"/>
      <c r="S131" s="213"/>
      <c r="T131" s="213"/>
      <c r="U131" s="213"/>
      <c r="V131" s="213"/>
      <c r="W131" s="211">
        <f>INDEX($C$44:$AN$66,MATCH("New Customers 1MS",$C$44:$C$66,0),MATCH($C131,$C$44:$AN$44,0))</f>
        <v>498.08682000000027</v>
      </c>
      <c r="X131" s="211">
        <f t="shared" ref="X131:AN131" si="201">$W$131*(E111)</f>
        <v>348.66077400000017</v>
      </c>
      <c r="Y131" s="211">
        <f t="shared" si="201"/>
        <v>273.94775100000015</v>
      </c>
      <c r="Z131" s="211">
        <f t="shared" si="201"/>
        <v>224.13906900000012</v>
      </c>
      <c r="AA131" s="211">
        <f t="shared" si="201"/>
        <v>199.23472800000013</v>
      </c>
      <c r="AB131" s="211">
        <f t="shared" si="201"/>
        <v>224.13906900000012</v>
      </c>
      <c r="AC131" s="211">
        <f t="shared" si="201"/>
        <v>149.42604600000007</v>
      </c>
      <c r="AD131" s="211">
        <f t="shared" si="201"/>
        <v>124.52170500000007</v>
      </c>
      <c r="AE131" s="211">
        <f t="shared" si="201"/>
        <v>99.617364000000066</v>
      </c>
      <c r="AF131" s="211">
        <f t="shared" si="201"/>
        <v>74.713023000000035</v>
      </c>
      <c r="AG131" s="211">
        <f t="shared" si="201"/>
        <v>69.732154800000046</v>
      </c>
      <c r="AH131" s="211">
        <f t="shared" si="201"/>
        <v>64.751286600000043</v>
      </c>
      <c r="AI131" s="211">
        <f t="shared" si="201"/>
        <v>59.770418400000032</v>
      </c>
      <c r="AJ131" s="211">
        <f t="shared" si="201"/>
        <v>54.789550200000029</v>
      </c>
      <c r="AK131" s="211">
        <f t="shared" si="201"/>
        <v>49.808682000000033</v>
      </c>
      <c r="AL131" s="211">
        <f t="shared" si="201"/>
        <v>39.846945600000019</v>
      </c>
      <c r="AM131" s="211">
        <f t="shared" si="201"/>
        <v>39.846945600000019</v>
      </c>
      <c r="AN131" s="211">
        <f t="shared" si="201"/>
        <v>24.904341000000016</v>
      </c>
    </row>
    <row r="132" spans="2:40" s="7" customFormat="1" ht="12" customHeight="1" outlineLevel="2">
      <c r="B132" s="245"/>
      <c r="C132" s="213" t="s">
        <v>772</v>
      </c>
      <c r="D132" s="213"/>
      <c r="E132" s="213"/>
      <c r="F132" s="213"/>
      <c r="G132" s="213"/>
      <c r="H132" s="213"/>
      <c r="I132" s="213"/>
      <c r="J132" s="213"/>
      <c r="K132" s="213"/>
      <c r="L132" s="213"/>
      <c r="M132" s="213"/>
      <c r="N132" s="213"/>
      <c r="O132" s="213"/>
      <c r="P132" s="213"/>
      <c r="Q132" s="213"/>
      <c r="R132" s="213"/>
      <c r="S132" s="213"/>
      <c r="T132" s="213"/>
      <c r="U132" s="213"/>
      <c r="V132" s="213"/>
      <c r="W132" s="213"/>
      <c r="X132" s="211">
        <f>INDEX($C$44:$AN$66,MATCH("New Customers 1MS",$C$44:$C$66,0),MATCH($C132,$C$44:$AN$44,0))</f>
        <v>522.99116100000026</v>
      </c>
      <c r="Y132" s="211">
        <f t="shared" ref="Y132:AN132" si="202">$X$132*(E111)</f>
        <v>366.09381270000017</v>
      </c>
      <c r="Z132" s="211">
        <f t="shared" si="202"/>
        <v>287.64513855000018</v>
      </c>
      <c r="AA132" s="211">
        <f t="shared" si="202"/>
        <v>235.34602245000013</v>
      </c>
      <c r="AB132" s="211">
        <f t="shared" si="202"/>
        <v>209.19646440000011</v>
      </c>
      <c r="AC132" s="211">
        <f t="shared" si="202"/>
        <v>235.34602245000013</v>
      </c>
      <c r="AD132" s="211">
        <f t="shared" si="202"/>
        <v>156.89734830000006</v>
      </c>
      <c r="AE132" s="211">
        <f t="shared" si="202"/>
        <v>130.74779025000007</v>
      </c>
      <c r="AF132" s="211">
        <f t="shared" si="202"/>
        <v>104.59823220000006</v>
      </c>
      <c r="AG132" s="211">
        <f t="shared" si="202"/>
        <v>78.448674150000031</v>
      </c>
      <c r="AH132" s="211">
        <f t="shared" si="202"/>
        <v>73.218762540000043</v>
      </c>
      <c r="AI132" s="211">
        <f t="shared" si="202"/>
        <v>67.988850930000041</v>
      </c>
      <c r="AJ132" s="211">
        <f t="shared" si="202"/>
        <v>62.758939320000032</v>
      </c>
      <c r="AK132" s="211">
        <f t="shared" si="202"/>
        <v>57.52902771000003</v>
      </c>
      <c r="AL132" s="211">
        <f t="shared" si="202"/>
        <v>52.299116100000028</v>
      </c>
      <c r="AM132" s="211">
        <f t="shared" si="202"/>
        <v>41.839292880000023</v>
      </c>
      <c r="AN132" s="211">
        <f t="shared" si="202"/>
        <v>41.839292880000023</v>
      </c>
    </row>
    <row r="133" spans="2:40" s="7" customFormat="1" ht="12" customHeight="1" outlineLevel="2">
      <c r="B133" s="245"/>
      <c r="C133" s="213" t="s">
        <v>773</v>
      </c>
      <c r="D133" s="213"/>
      <c r="E133" s="213"/>
      <c r="F133" s="213"/>
      <c r="G133" s="213"/>
      <c r="H133" s="213"/>
      <c r="I133" s="213"/>
      <c r="J133" s="213"/>
      <c r="K133" s="213"/>
      <c r="L133" s="213"/>
      <c r="M133" s="213"/>
      <c r="N133" s="213"/>
      <c r="O133" s="213"/>
      <c r="P133" s="213"/>
      <c r="Q133" s="213"/>
      <c r="R133" s="213"/>
      <c r="S133" s="213"/>
      <c r="T133" s="213"/>
      <c r="U133" s="213"/>
      <c r="V133" s="213"/>
      <c r="W133" s="213"/>
      <c r="X133" s="213"/>
      <c r="Y133" s="211">
        <f>INDEX($C$44:$AN$66,MATCH("New Customers 1MS",$C$44:$C$66,0),MATCH($C133,$C$44:$AN$44,0))</f>
        <v>549.14071905000037</v>
      </c>
      <c r="Z133" s="211">
        <f t="shared" ref="Z133:AN133" si="203">$Y$133*(E111)</f>
        <v>384.39850333500021</v>
      </c>
      <c r="AA133" s="211">
        <f t="shared" si="203"/>
        <v>302.02739547750025</v>
      </c>
      <c r="AB133" s="211">
        <f t="shared" si="203"/>
        <v>247.11332357250018</v>
      </c>
      <c r="AC133" s="211">
        <f t="shared" si="203"/>
        <v>219.65628762000017</v>
      </c>
      <c r="AD133" s="211">
        <f t="shared" si="203"/>
        <v>247.11332357250018</v>
      </c>
      <c r="AE133" s="211">
        <f t="shared" si="203"/>
        <v>164.7422157150001</v>
      </c>
      <c r="AF133" s="211">
        <f t="shared" si="203"/>
        <v>137.28517976250009</v>
      </c>
      <c r="AG133" s="211">
        <f t="shared" si="203"/>
        <v>109.82814381000009</v>
      </c>
      <c r="AH133" s="211">
        <f t="shared" si="203"/>
        <v>82.37110785750005</v>
      </c>
      <c r="AI133" s="211">
        <f t="shared" si="203"/>
        <v>76.879700667000066</v>
      </c>
      <c r="AJ133" s="211">
        <f t="shared" si="203"/>
        <v>71.388293476500053</v>
      </c>
      <c r="AK133" s="211">
        <f t="shared" si="203"/>
        <v>65.89688628600004</v>
      </c>
      <c r="AL133" s="211">
        <f t="shared" si="203"/>
        <v>60.405479095500041</v>
      </c>
      <c r="AM133" s="211">
        <f t="shared" si="203"/>
        <v>54.914071905000043</v>
      </c>
      <c r="AN133" s="211">
        <f t="shared" si="203"/>
        <v>43.931257524000031</v>
      </c>
    </row>
    <row r="134" spans="2:40" s="7" customFormat="1" ht="12" customHeight="1" outlineLevel="2">
      <c r="B134" s="245"/>
      <c r="C134" s="213" t="s">
        <v>774</v>
      </c>
      <c r="D134" s="213"/>
      <c r="E134" s="213"/>
      <c r="F134" s="213"/>
      <c r="G134" s="213"/>
      <c r="H134" s="213"/>
      <c r="I134" s="213"/>
      <c r="J134" s="213"/>
      <c r="K134" s="213"/>
      <c r="L134" s="213"/>
      <c r="M134" s="213"/>
      <c r="N134" s="213"/>
      <c r="O134" s="213"/>
      <c r="P134" s="213"/>
      <c r="Q134" s="213"/>
      <c r="R134" s="213"/>
      <c r="S134" s="213"/>
      <c r="T134" s="213"/>
      <c r="U134" s="213"/>
      <c r="V134" s="213"/>
      <c r="W134" s="213"/>
      <c r="X134" s="213"/>
      <c r="Y134" s="213"/>
      <c r="Z134" s="211">
        <f>INDEX($C$44:$AN$66,MATCH("New Customers 1MS",$C$44:$C$66,0),MATCH($C134,$C$44:$AN$44,0))</f>
        <v>576.59775500250043</v>
      </c>
      <c r="AA134" s="211">
        <f t="shared" ref="AA134:AN134" si="204">$Z$134*(E111)</f>
        <v>403.61842850175026</v>
      </c>
      <c r="AB134" s="211">
        <f t="shared" si="204"/>
        <v>317.12876525137528</v>
      </c>
      <c r="AC134" s="211">
        <f t="shared" si="204"/>
        <v>259.46898975112521</v>
      </c>
      <c r="AD134" s="211">
        <f t="shared" si="204"/>
        <v>230.6391020010002</v>
      </c>
      <c r="AE134" s="211">
        <f t="shared" si="204"/>
        <v>259.46898975112521</v>
      </c>
      <c r="AF134" s="211">
        <f t="shared" si="204"/>
        <v>172.97932650075012</v>
      </c>
      <c r="AG134" s="211">
        <f t="shared" si="204"/>
        <v>144.14943875062511</v>
      </c>
      <c r="AH134" s="211">
        <f t="shared" si="204"/>
        <v>115.3195510005001</v>
      </c>
      <c r="AI134" s="211">
        <f t="shared" si="204"/>
        <v>86.48966325037506</v>
      </c>
      <c r="AJ134" s="211">
        <f t="shared" si="204"/>
        <v>80.723685700350075</v>
      </c>
      <c r="AK134" s="211">
        <f t="shared" si="204"/>
        <v>74.957708150325061</v>
      </c>
      <c r="AL134" s="211">
        <f t="shared" si="204"/>
        <v>69.191730600300048</v>
      </c>
      <c r="AM134" s="211">
        <f t="shared" si="204"/>
        <v>63.425753050275048</v>
      </c>
      <c r="AN134" s="211">
        <f t="shared" si="204"/>
        <v>57.659775500250049</v>
      </c>
    </row>
    <row r="135" spans="2:40" s="7" customFormat="1" ht="12" customHeight="1" outlineLevel="2">
      <c r="B135" s="245"/>
      <c r="C135" s="213" t="s">
        <v>775</v>
      </c>
      <c r="D135" s="213"/>
      <c r="E135" s="213"/>
      <c r="F135" s="213"/>
      <c r="G135" s="213"/>
      <c r="H135" s="213"/>
      <c r="I135" s="213"/>
      <c r="J135" s="213"/>
      <c r="K135" s="213"/>
      <c r="L135" s="213"/>
      <c r="M135" s="213"/>
      <c r="N135" s="213"/>
      <c r="O135" s="213"/>
      <c r="P135" s="213"/>
      <c r="Q135" s="213"/>
      <c r="R135" s="213"/>
      <c r="S135" s="213"/>
      <c r="T135" s="213"/>
      <c r="U135" s="213"/>
      <c r="V135" s="213"/>
      <c r="W135" s="213"/>
      <c r="X135" s="213"/>
      <c r="Y135" s="213"/>
      <c r="Z135" s="213"/>
      <c r="AA135" s="211">
        <f>INDEX($C$44:$AN$66,MATCH("New Customers 1MS",$C$44:$C$66,0),MATCH($C135,$C$44:$AN$44,0))</f>
        <v>605.42764275262539</v>
      </c>
      <c r="AB135" s="211">
        <f t="shared" ref="AB135:AN135" si="205">$AA$135*(E111)</f>
        <v>423.79934992683775</v>
      </c>
      <c r="AC135" s="211">
        <f t="shared" si="205"/>
        <v>332.98520351394399</v>
      </c>
      <c r="AD135" s="211">
        <f t="shared" si="205"/>
        <v>272.44243923868146</v>
      </c>
      <c r="AE135" s="211">
        <f t="shared" si="205"/>
        <v>242.17105710105017</v>
      </c>
      <c r="AF135" s="211">
        <f t="shared" si="205"/>
        <v>272.44243923868146</v>
      </c>
      <c r="AG135" s="211">
        <f t="shared" si="205"/>
        <v>181.62829282578761</v>
      </c>
      <c r="AH135" s="211">
        <f t="shared" si="205"/>
        <v>151.35691068815635</v>
      </c>
      <c r="AI135" s="211">
        <f t="shared" si="205"/>
        <v>121.08552855052508</v>
      </c>
      <c r="AJ135" s="211">
        <f t="shared" si="205"/>
        <v>90.814146412893805</v>
      </c>
      <c r="AK135" s="211">
        <f t="shared" si="205"/>
        <v>84.759869985367558</v>
      </c>
      <c r="AL135" s="211">
        <f t="shared" si="205"/>
        <v>78.705593557841297</v>
      </c>
      <c r="AM135" s="211">
        <f t="shared" si="205"/>
        <v>72.65131713031505</v>
      </c>
      <c r="AN135" s="211">
        <f t="shared" si="205"/>
        <v>66.597040702788789</v>
      </c>
    </row>
    <row r="136" spans="2:40" s="7" customFormat="1" ht="12" customHeight="1" outlineLevel="2">
      <c r="B136" s="245"/>
      <c r="C136" s="213" t="s">
        <v>776</v>
      </c>
      <c r="D136" s="213"/>
      <c r="E136" s="213"/>
      <c r="F136" s="213"/>
      <c r="G136" s="213"/>
      <c r="H136" s="213"/>
      <c r="I136" s="213"/>
      <c r="J136" s="213"/>
      <c r="K136" s="213"/>
      <c r="L136" s="213"/>
      <c r="M136" s="213"/>
      <c r="N136" s="213"/>
      <c r="O136" s="213"/>
      <c r="P136" s="213"/>
      <c r="Q136" s="213"/>
      <c r="R136" s="213"/>
      <c r="S136" s="213"/>
      <c r="T136" s="213"/>
      <c r="U136" s="213"/>
      <c r="V136" s="213"/>
      <c r="W136" s="213"/>
      <c r="X136" s="213"/>
      <c r="Y136" s="213"/>
      <c r="Z136" s="213"/>
      <c r="AA136" s="213"/>
      <c r="AB136" s="211">
        <f>INDEX($C$44:$AN$66,MATCH("New Customers 1MS",$C$44:$C$66,0),MATCH($C136,$C$44:$AN$44,0))</f>
        <v>635.69902489025674</v>
      </c>
      <c r="AC136" s="211">
        <f t="shared" ref="AC136:AN136" si="206">$AB$136*(E111)</f>
        <v>444.98931742317967</v>
      </c>
      <c r="AD136" s="211">
        <f t="shared" si="206"/>
        <v>349.63446368964122</v>
      </c>
      <c r="AE136" s="211">
        <f t="shared" si="206"/>
        <v>286.06456120061551</v>
      </c>
      <c r="AF136" s="211">
        <f t="shared" si="206"/>
        <v>254.27960995610272</v>
      </c>
      <c r="AG136" s="211">
        <f t="shared" si="206"/>
        <v>286.06456120061551</v>
      </c>
      <c r="AH136" s="211">
        <f t="shared" si="206"/>
        <v>190.70970746707701</v>
      </c>
      <c r="AI136" s="211">
        <f t="shared" si="206"/>
        <v>158.92475622256418</v>
      </c>
      <c r="AJ136" s="211">
        <f t="shared" si="206"/>
        <v>127.13980497805136</v>
      </c>
      <c r="AK136" s="211">
        <f t="shared" si="206"/>
        <v>95.354853733538505</v>
      </c>
      <c r="AL136" s="211">
        <f t="shared" si="206"/>
        <v>88.997863484635957</v>
      </c>
      <c r="AM136" s="211">
        <f t="shared" si="206"/>
        <v>82.64087323573338</v>
      </c>
      <c r="AN136" s="211">
        <f t="shared" si="206"/>
        <v>76.283882986830804</v>
      </c>
    </row>
    <row r="137" spans="2:40" s="7" customFormat="1" ht="12" customHeight="1" outlineLevel="2">
      <c r="B137" s="245"/>
      <c r="C137" s="213" t="s">
        <v>777</v>
      </c>
      <c r="D137" s="213"/>
      <c r="E137" s="213"/>
      <c r="F137" s="213"/>
      <c r="G137" s="213"/>
      <c r="H137" s="213"/>
      <c r="I137" s="213"/>
      <c r="J137" s="213"/>
      <c r="K137" s="213"/>
      <c r="L137" s="213"/>
      <c r="M137" s="213"/>
      <c r="N137" s="213"/>
      <c r="O137" s="213"/>
      <c r="P137" s="213"/>
      <c r="Q137" s="213"/>
      <c r="R137" s="213"/>
      <c r="S137" s="213"/>
      <c r="T137" s="213"/>
      <c r="U137" s="213"/>
      <c r="V137" s="213"/>
      <c r="W137" s="213"/>
      <c r="X137" s="213"/>
      <c r="Y137" s="213"/>
      <c r="Z137" s="213"/>
      <c r="AA137" s="213"/>
      <c r="AB137" s="211"/>
      <c r="AC137" s="211">
        <f>INDEX($C$44:$AN$66,MATCH("New Customers 1MS",$C$44:$C$66,0),MATCH($C137,$C$44:$AN$44,0))</f>
        <v>684.43595013184324</v>
      </c>
      <c r="AD137" s="211">
        <f t="shared" ref="AD137:AN137" si="207">$AC$137*(E111)</f>
        <v>479.10516509229024</v>
      </c>
      <c r="AE137" s="211">
        <f t="shared" si="207"/>
        <v>376.43977257251379</v>
      </c>
      <c r="AF137" s="211">
        <f t="shared" si="207"/>
        <v>307.99617755932945</v>
      </c>
      <c r="AG137" s="211">
        <f t="shared" si="207"/>
        <v>273.77438005273729</v>
      </c>
      <c r="AH137" s="211">
        <f t="shared" si="207"/>
        <v>307.99617755932945</v>
      </c>
      <c r="AI137" s="211">
        <f t="shared" si="207"/>
        <v>205.33078503955298</v>
      </c>
      <c r="AJ137" s="211">
        <f t="shared" si="207"/>
        <v>171.10898753296081</v>
      </c>
      <c r="AK137" s="211">
        <f t="shared" si="207"/>
        <v>136.88719002636864</v>
      </c>
      <c r="AL137" s="211">
        <f t="shared" si="207"/>
        <v>102.66539251977649</v>
      </c>
      <c r="AM137" s="211">
        <f t="shared" si="207"/>
        <v>95.821033018458067</v>
      </c>
      <c r="AN137" s="211">
        <f t="shared" si="207"/>
        <v>88.976673517139631</v>
      </c>
    </row>
    <row r="138" spans="2:40" s="7" customFormat="1" ht="12" customHeight="1" outlineLevel="2">
      <c r="B138" s="245"/>
      <c r="C138" s="213" t="s">
        <v>778</v>
      </c>
      <c r="D138" s="213"/>
      <c r="E138" s="213"/>
      <c r="F138" s="213"/>
      <c r="G138" s="213"/>
      <c r="H138" s="213"/>
      <c r="I138" s="213"/>
      <c r="J138" s="213"/>
      <c r="K138" s="213"/>
      <c r="L138" s="213"/>
      <c r="M138" s="213"/>
      <c r="N138" s="213"/>
      <c r="O138" s="213"/>
      <c r="P138" s="213"/>
      <c r="Q138" s="213"/>
      <c r="R138" s="213"/>
      <c r="S138" s="213"/>
      <c r="T138" s="213"/>
      <c r="U138" s="213"/>
      <c r="V138" s="213"/>
      <c r="W138" s="213"/>
      <c r="X138" s="213"/>
      <c r="Y138" s="213"/>
      <c r="Z138" s="213"/>
      <c r="AA138" s="213"/>
      <c r="AB138" s="211"/>
      <c r="AC138" s="211"/>
      <c r="AD138" s="211">
        <f>INDEX($C$44:$AN$66,MATCH("New Customers 1MS",$C$44:$C$66,0),MATCH($C138,$C$44:$AN$44,0))</f>
        <v>718.65774763843535</v>
      </c>
      <c r="AE138" s="211">
        <f t="shared" ref="AE138:AN138" si="208">$AD$138*(E111)</f>
        <v>503.06042334690471</v>
      </c>
      <c r="AF138" s="211">
        <f t="shared" si="208"/>
        <v>395.26176120113945</v>
      </c>
      <c r="AG138" s="211">
        <f t="shared" si="208"/>
        <v>323.3959864372959</v>
      </c>
      <c r="AH138" s="211">
        <f t="shared" si="208"/>
        <v>287.46309905537413</v>
      </c>
      <c r="AI138" s="211">
        <f t="shared" si="208"/>
        <v>323.3959864372959</v>
      </c>
      <c r="AJ138" s="211">
        <f t="shared" si="208"/>
        <v>215.59732429153061</v>
      </c>
      <c r="AK138" s="211">
        <f t="shared" si="208"/>
        <v>179.66443690960884</v>
      </c>
      <c r="AL138" s="211">
        <f t="shared" si="208"/>
        <v>143.73154952768706</v>
      </c>
      <c r="AM138" s="211">
        <f t="shared" si="208"/>
        <v>107.79866214576531</v>
      </c>
      <c r="AN138" s="211">
        <f t="shared" si="208"/>
        <v>100.61208466938096</v>
      </c>
    </row>
    <row r="139" spans="2:40" s="7" customFormat="1" ht="12" customHeight="1" outlineLevel="2">
      <c r="B139" s="245"/>
      <c r="C139" s="213" t="s">
        <v>779</v>
      </c>
      <c r="D139" s="213"/>
      <c r="E139" s="213"/>
      <c r="F139" s="213"/>
      <c r="G139" s="213"/>
      <c r="H139" s="213"/>
      <c r="I139" s="213"/>
      <c r="J139" s="213"/>
      <c r="K139" s="213"/>
      <c r="L139" s="213"/>
      <c r="M139" s="213"/>
      <c r="N139" s="213"/>
      <c r="O139" s="213"/>
      <c r="P139" s="213"/>
      <c r="Q139" s="213"/>
      <c r="R139" s="213"/>
      <c r="S139" s="213"/>
      <c r="T139" s="213"/>
      <c r="U139" s="213"/>
      <c r="V139" s="213"/>
      <c r="W139" s="213"/>
      <c r="X139" s="213"/>
      <c r="Y139" s="213"/>
      <c r="Z139" s="213"/>
      <c r="AA139" s="213"/>
      <c r="AB139" s="211"/>
      <c r="AC139" s="211"/>
      <c r="AD139" s="211"/>
      <c r="AE139" s="211">
        <f>INDEX($C$44:$AN$66,MATCH("New Customers 1MS",$C$44:$C$66,0),MATCH($C139,$C$44:$AN$44,0))</f>
        <v>754.59063502035724</v>
      </c>
      <c r="AF139" s="211">
        <f t="shared" ref="AF139:AM139" si="209">$AE$139*(E111)</f>
        <v>528.21344451425</v>
      </c>
      <c r="AG139" s="211">
        <f t="shared" si="209"/>
        <v>415.02484926119649</v>
      </c>
      <c r="AH139" s="211">
        <f t="shared" si="209"/>
        <v>339.56578575916075</v>
      </c>
      <c r="AI139" s="211">
        <f t="shared" si="209"/>
        <v>301.83625400814293</v>
      </c>
      <c r="AJ139" s="211">
        <f t="shared" si="209"/>
        <v>339.56578575916075</v>
      </c>
      <c r="AK139" s="211">
        <f t="shared" si="209"/>
        <v>226.37719050610715</v>
      </c>
      <c r="AL139" s="211">
        <f t="shared" si="209"/>
        <v>188.64765875508931</v>
      </c>
      <c r="AM139" s="211">
        <f t="shared" si="209"/>
        <v>150.91812700407147</v>
      </c>
      <c r="AN139" s="211">
        <f>AM139*(M111)</f>
        <v>22.63771905061072</v>
      </c>
    </row>
    <row r="140" spans="2:40" s="7" customFormat="1" ht="12" customHeight="1" outlineLevel="2">
      <c r="B140" s="245"/>
      <c r="C140" s="213" t="s">
        <v>780</v>
      </c>
      <c r="D140" s="213"/>
      <c r="E140" s="213"/>
      <c r="F140" s="213"/>
      <c r="G140" s="213"/>
      <c r="H140" s="213"/>
      <c r="I140" s="213"/>
      <c r="J140" s="213"/>
      <c r="K140" s="213"/>
      <c r="L140" s="213"/>
      <c r="M140" s="213"/>
      <c r="N140" s="213"/>
      <c r="O140" s="213"/>
      <c r="P140" s="213"/>
      <c r="Q140" s="213"/>
      <c r="R140" s="213"/>
      <c r="S140" s="213"/>
      <c r="T140" s="213"/>
      <c r="U140" s="213"/>
      <c r="V140" s="213"/>
      <c r="W140" s="213"/>
      <c r="X140" s="213"/>
      <c r="Y140" s="213"/>
      <c r="Z140" s="213"/>
      <c r="AA140" s="213"/>
      <c r="AB140" s="211"/>
      <c r="AC140" s="211"/>
      <c r="AD140" s="211"/>
      <c r="AE140" s="211"/>
      <c r="AF140" s="211">
        <f>INDEX($C$44:$AN$66,MATCH("New Customers 1MS",$C$44:$C$66,0),MATCH($C140,$C$44:$AN$44,0))</f>
        <v>792.32016677137506</v>
      </c>
      <c r="AG140" s="211">
        <f t="shared" ref="AG140:AM140" si="210">$AF$140*(E111)</f>
        <v>554.62411673996246</v>
      </c>
      <c r="AH140" s="211">
        <f t="shared" si="210"/>
        <v>435.77609172425633</v>
      </c>
      <c r="AI140" s="211">
        <f t="shared" si="210"/>
        <v>356.54407504711878</v>
      </c>
      <c r="AJ140" s="211">
        <f t="shared" si="210"/>
        <v>316.92806670855003</v>
      </c>
      <c r="AK140" s="211">
        <f t="shared" si="210"/>
        <v>356.54407504711878</v>
      </c>
      <c r="AL140" s="211">
        <f t="shared" si="210"/>
        <v>237.69605003141251</v>
      </c>
      <c r="AM140" s="211">
        <f t="shared" si="210"/>
        <v>198.08004169284376</v>
      </c>
      <c r="AN140" s="211">
        <f>AM140*(L111)</f>
        <v>39.616008338568754</v>
      </c>
    </row>
    <row r="141" spans="2:40" s="7" customFormat="1" ht="12" customHeight="1" outlineLevel="2">
      <c r="B141" s="245"/>
      <c r="C141" s="213" t="s">
        <v>781</v>
      </c>
      <c r="D141" s="213"/>
      <c r="E141" s="213"/>
      <c r="F141" s="213"/>
      <c r="G141" s="213"/>
      <c r="H141" s="213"/>
      <c r="I141" s="213"/>
      <c r="J141" s="213"/>
      <c r="K141" s="213"/>
      <c r="L141" s="213"/>
      <c r="M141" s="213"/>
      <c r="N141" s="213"/>
      <c r="O141" s="213"/>
      <c r="P141" s="213"/>
      <c r="Q141" s="213"/>
      <c r="R141" s="213"/>
      <c r="S141" s="213"/>
      <c r="T141" s="213"/>
      <c r="U141" s="213"/>
      <c r="V141" s="213"/>
      <c r="W141" s="213"/>
      <c r="X141" s="213"/>
      <c r="Y141" s="213"/>
      <c r="Z141" s="213"/>
      <c r="AA141" s="213"/>
      <c r="AB141" s="211"/>
      <c r="AC141" s="211"/>
      <c r="AD141" s="211"/>
      <c r="AE141" s="211"/>
      <c r="AF141" s="211"/>
      <c r="AG141" s="211">
        <f>INDEX($C$44:$AN$66,MATCH("New Customers 1MS",$C$44:$C$66,0),MATCH($C141,$C$44:$AN$44,0))</f>
        <v>831.93617510994386</v>
      </c>
      <c r="AH141" s="211">
        <f t="shared" ref="AH141:AN141" si="211">$AG$141*(E111)</f>
        <v>582.3553225769607</v>
      </c>
      <c r="AI141" s="211">
        <f t="shared" si="211"/>
        <v>457.56489631046918</v>
      </c>
      <c r="AJ141" s="211">
        <f t="shared" si="211"/>
        <v>374.37127879947474</v>
      </c>
      <c r="AK141" s="211">
        <f t="shared" si="211"/>
        <v>332.77447004397754</v>
      </c>
      <c r="AL141" s="211">
        <f t="shared" si="211"/>
        <v>374.37127879947474</v>
      </c>
      <c r="AM141" s="211">
        <f t="shared" si="211"/>
        <v>249.58085253298316</v>
      </c>
      <c r="AN141" s="211">
        <f t="shared" si="211"/>
        <v>207.98404377748597</v>
      </c>
    </row>
    <row r="142" spans="2:40" s="7" customFormat="1" ht="12" customHeight="1" outlineLevel="2">
      <c r="B142" s="245"/>
      <c r="C142" s="213" t="s">
        <v>782</v>
      </c>
      <c r="D142" s="213"/>
      <c r="E142" s="213"/>
      <c r="F142" s="213"/>
      <c r="G142" s="213"/>
      <c r="H142" s="213"/>
      <c r="I142" s="213"/>
      <c r="J142" s="213"/>
      <c r="K142" s="213"/>
      <c r="L142" s="213"/>
      <c r="M142" s="213"/>
      <c r="N142" s="213"/>
      <c r="O142" s="213"/>
      <c r="P142" s="213"/>
      <c r="Q142" s="213"/>
      <c r="R142" s="213"/>
      <c r="S142" s="213"/>
      <c r="T142" s="213"/>
      <c r="U142" s="213"/>
      <c r="V142" s="213"/>
      <c r="W142" s="213"/>
      <c r="X142" s="213"/>
      <c r="Y142" s="213"/>
      <c r="Z142" s="213"/>
      <c r="AA142" s="213"/>
      <c r="AB142" s="211"/>
      <c r="AC142" s="211"/>
      <c r="AD142" s="211"/>
      <c r="AE142" s="211"/>
      <c r="AF142" s="211"/>
      <c r="AG142" s="211"/>
      <c r="AH142" s="211">
        <f>INDEX($C$44:$AN$66,MATCH("New Customers 1MS",$C$44:$C$66,0),MATCH($C142,$C$44:$AN$44,0))</f>
        <v>873.53298386544111</v>
      </c>
      <c r="AI142" s="211">
        <f t="shared" ref="AI142:AN142" si="212">$AH$142*(E111)</f>
        <v>611.47308870580878</v>
      </c>
      <c r="AJ142" s="211">
        <f t="shared" si="212"/>
        <v>480.44314112599267</v>
      </c>
      <c r="AK142" s="211">
        <f t="shared" si="212"/>
        <v>393.0898427394485</v>
      </c>
      <c r="AL142" s="211">
        <f t="shared" si="212"/>
        <v>349.41319354617644</v>
      </c>
      <c r="AM142" s="211">
        <f t="shared" si="212"/>
        <v>393.0898427394485</v>
      </c>
      <c r="AN142" s="211">
        <f t="shared" si="212"/>
        <v>262.05989515963233</v>
      </c>
    </row>
    <row r="143" spans="2:40" s="7" customFormat="1" ht="12" customHeight="1" outlineLevel="2">
      <c r="B143" s="245"/>
      <c r="C143" s="213" t="s">
        <v>783</v>
      </c>
      <c r="D143" s="213"/>
      <c r="E143" s="213"/>
      <c r="F143" s="213"/>
      <c r="G143" s="213"/>
      <c r="H143" s="213"/>
      <c r="I143" s="213"/>
      <c r="J143" s="213"/>
      <c r="K143" s="213"/>
      <c r="L143" s="213"/>
      <c r="M143" s="213"/>
      <c r="N143" s="213"/>
      <c r="O143" s="213"/>
      <c r="P143" s="213"/>
      <c r="Q143" s="213"/>
      <c r="R143" s="213"/>
      <c r="S143" s="213"/>
      <c r="T143" s="213"/>
      <c r="U143" s="213"/>
      <c r="V143" s="213"/>
      <c r="W143" s="213"/>
      <c r="X143" s="213"/>
      <c r="Y143" s="213"/>
      <c r="Z143" s="213"/>
      <c r="AA143" s="213"/>
      <c r="AB143" s="211"/>
      <c r="AC143" s="211"/>
      <c r="AD143" s="211"/>
      <c r="AE143" s="211"/>
      <c r="AF143" s="211"/>
      <c r="AG143" s="211"/>
      <c r="AH143" s="211"/>
      <c r="AI143" s="211">
        <f>INDEX($C$44:$AN$66,MATCH("New Customers 1MS",$C$44:$C$66,0),MATCH($C143,$C$44:$AN$44,0))</f>
        <v>917.20963305871339</v>
      </c>
      <c r="AJ143" s="211">
        <f>$AI$143*(E111)</f>
        <v>642.04674314109934</v>
      </c>
      <c r="AK143" s="211">
        <f>$AI$143*(F111)</f>
        <v>504.46529818229243</v>
      </c>
      <c r="AL143" s="211">
        <f>$AI$143*(G111)</f>
        <v>412.74433487642102</v>
      </c>
      <c r="AM143" s="211">
        <f>$AI$143*(H111)</f>
        <v>366.8838532234854</v>
      </c>
      <c r="AN143" s="211">
        <f>$AI$143*(I111)</f>
        <v>412.74433487642102</v>
      </c>
    </row>
    <row r="144" spans="2:40" s="7" customFormat="1" ht="12" customHeight="1" outlineLevel="2">
      <c r="B144" s="245"/>
      <c r="C144" s="213" t="s">
        <v>784</v>
      </c>
      <c r="D144" s="213"/>
      <c r="E144" s="213"/>
      <c r="F144" s="213"/>
      <c r="G144" s="213"/>
      <c r="H144" s="213"/>
      <c r="I144" s="213"/>
      <c r="J144" s="213"/>
      <c r="K144" s="213"/>
      <c r="L144" s="213"/>
      <c r="M144" s="213"/>
      <c r="N144" s="213"/>
      <c r="O144" s="213"/>
      <c r="P144" s="213"/>
      <c r="Q144" s="213"/>
      <c r="R144" s="213"/>
      <c r="S144" s="213"/>
      <c r="T144" s="213"/>
      <c r="U144" s="213"/>
      <c r="V144" s="213"/>
      <c r="W144" s="213"/>
      <c r="X144" s="213"/>
      <c r="Y144" s="213"/>
      <c r="Z144" s="213"/>
      <c r="AA144" s="213"/>
      <c r="AB144" s="211"/>
      <c r="AC144" s="211"/>
      <c r="AD144" s="211"/>
      <c r="AE144" s="211"/>
      <c r="AF144" s="211"/>
      <c r="AG144" s="211"/>
      <c r="AH144" s="211"/>
      <c r="AI144" s="211"/>
      <c r="AJ144" s="211">
        <f>INDEX($C$44:$AN$66,MATCH("New Customers 1MS",$C$44:$C$66,0),MATCH($C144,$C$44:$AN$44,0))</f>
        <v>963.07011471164901</v>
      </c>
      <c r="AK144" s="211">
        <f>$AJ$144*(E111)</f>
        <v>674.14908029815422</v>
      </c>
      <c r="AL144" s="211">
        <f>$AJ$144*(F111)</f>
        <v>529.68856309140699</v>
      </c>
      <c r="AM144" s="211">
        <f>$AJ$144*(G111)</f>
        <v>433.38155162024208</v>
      </c>
      <c r="AN144" s="211">
        <f>$AJ$144*(H111)</f>
        <v>385.22804588465965</v>
      </c>
    </row>
    <row r="145" spans="2:41" s="7" customFormat="1" ht="12" customHeight="1" outlineLevel="2">
      <c r="B145" s="245"/>
      <c r="C145" s="213" t="s">
        <v>785</v>
      </c>
      <c r="D145" s="213"/>
      <c r="E145" s="213"/>
      <c r="F145" s="213"/>
      <c r="G145" s="213"/>
      <c r="H145" s="213"/>
      <c r="I145" s="213"/>
      <c r="J145" s="213"/>
      <c r="K145" s="213"/>
      <c r="L145" s="213"/>
      <c r="M145" s="213"/>
      <c r="N145" s="213"/>
      <c r="O145" s="213"/>
      <c r="P145" s="213"/>
      <c r="Q145" s="213"/>
      <c r="R145" s="213"/>
      <c r="S145" s="213"/>
      <c r="T145" s="213"/>
      <c r="U145" s="213"/>
      <c r="V145" s="213"/>
      <c r="W145" s="213"/>
      <c r="X145" s="213"/>
      <c r="Y145" s="213"/>
      <c r="Z145" s="213"/>
      <c r="AA145" s="213"/>
      <c r="AB145" s="211"/>
      <c r="AC145" s="211"/>
      <c r="AD145" s="211"/>
      <c r="AE145" s="211"/>
      <c r="AF145" s="211"/>
      <c r="AG145" s="211"/>
      <c r="AH145" s="211"/>
      <c r="AI145" s="211"/>
      <c r="AJ145" s="211"/>
      <c r="AK145" s="211">
        <f>INDEX($C$44:$AN$66,MATCH("New Customers 1MS",$C$44:$C$66,0),MATCH($C145,$C$44:$AN$44,0))</f>
        <v>1011.2236204472316</v>
      </c>
      <c r="AL145" s="211">
        <f>$AK$145*(E111)</f>
        <v>707.85653431306207</v>
      </c>
      <c r="AM145" s="211">
        <f>$AK$145*(F111)</f>
        <v>556.17299124597741</v>
      </c>
      <c r="AN145" s="211">
        <f>$AK$145*(G111)</f>
        <v>455.05062920125425</v>
      </c>
    </row>
    <row r="146" spans="2:41" s="7" customFormat="1" ht="12" customHeight="1" outlineLevel="2">
      <c r="B146" s="245"/>
      <c r="C146" s="213" t="s">
        <v>786</v>
      </c>
      <c r="D146" s="213"/>
      <c r="E146" s="213"/>
      <c r="F146" s="213"/>
      <c r="G146" s="213"/>
      <c r="H146" s="213"/>
      <c r="I146" s="213"/>
      <c r="J146" s="213"/>
      <c r="K146" s="213"/>
      <c r="L146" s="213"/>
      <c r="M146" s="213"/>
      <c r="N146" s="213"/>
      <c r="O146" s="213"/>
      <c r="P146" s="213"/>
      <c r="Q146" s="213"/>
      <c r="R146" s="213"/>
      <c r="S146" s="213"/>
      <c r="T146" s="213"/>
      <c r="U146" s="213"/>
      <c r="V146" s="213"/>
      <c r="W146" s="213"/>
      <c r="X146" s="213"/>
      <c r="Y146" s="213"/>
      <c r="Z146" s="213"/>
      <c r="AA146" s="213"/>
      <c r="AB146" s="211"/>
      <c r="AC146" s="211"/>
      <c r="AD146" s="211"/>
      <c r="AE146" s="211"/>
      <c r="AF146" s="211"/>
      <c r="AG146" s="211"/>
      <c r="AH146" s="211"/>
      <c r="AI146" s="211"/>
      <c r="AJ146" s="211"/>
      <c r="AK146" s="211"/>
      <c r="AL146" s="211">
        <f>INDEX($C$44:$AN$66,MATCH("New Customers 1MS",$C$44:$C$66,0),MATCH($C146,$C$44:$AN$44,0))</f>
        <v>1061.784801469593</v>
      </c>
      <c r="AM146" s="211">
        <f>$AL$146*(E111)</f>
        <v>743.24936102871504</v>
      </c>
      <c r="AN146" s="211">
        <f>$AL$146*(F111)</f>
        <v>583.98164080827621</v>
      </c>
    </row>
    <row r="147" spans="2:41" s="7" customFormat="1" ht="12" customHeight="1" outlineLevel="2">
      <c r="B147" s="245"/>
      <c r="C147" s="213" t="s">
        <v>787</v>
      </c>
      <c r="D147" s="213"/>
      <c r="E147" s="213"/>
      <c r="F147" s="213"/>
      <c r="G147" s="213"/>
      <c r="H147" s="213"/>
      <c r="I147" s="213"/>
      <c r="J147" s="213"/>
      <c r="K147" s="213"/>
      <c r="L147" s="213"/>
      <c r="M147" s="213"/>
      <c r="N147" s="213"/>
      <c r="O147" s="213"/>
      <c r="P147" s="213"/>
      <c r="Q147" s="213"/>
      <c r="R147" s="213"/>
      <c r="S147" s="213"/>
      <c r="T147" s="213"/>
      <c r="U147" s="213"/>
      <c r="V147" s="213"/>
      <c r="W147" s="213"/>
      <c r="X147" s="213"/>
      <c r="Y147" s="213"/>
      <c r="Z147" s="213"/>
      <c r="AA147" s="213"/>
      <c r="AB147" s="211"/>
      <c r="AC147" s="211"/>
      <c r="AD147" s="211"/>
      <c r="AE147" s="211"/>
      <c r="AF147" s="211"/>
      <c r="AG147" s="211"/>
      <c r="AH147" s="211"/>
      <c r="AI147" s="211"/>
      <c r="AJ147" s="211"/>
      <c r="AK147" s="211"/>
      <c r="AL147" s="211"/>
      <c r="AM147" s="211">
        <f>INDEX($C$44:$AN$66,MATCH("New Customers 1MS",$C$44:$C$66,0),MATCH($C147,$C$44:$AN$44,0))</f>
        <v>1114.8740415430727</v>
      </c>
      <c r="AN147" s="211">
        <f>$AM$147*(E111)</f>
        <v>780.41182908015082</v>
      </c>
    </row>
    <row r="148" spans="2:41" s="7" customFormat="1" ht="12" customHeight="1" outlineLevel="2">
      <c r="B148" s="245"/>
      <c r="C148" s="213" t="s">
        <v>788</v>
      </c>
      <c r="D148" s="213"/>
      <c r="E148" s="213"/>
      <c r="F148" s="213"/>
      <c r="G148" s="213"/>
      <c r="H148" s="213"/>
      <c r="I148" s="213"/>
      <c r="J148" s="213"/>
      <c r="K148" s="213"/>
      <c r="L148" s="213"/>
      <c r="M148" s="213"/>
      <c r="N148" s="213"/>
      <c r="O148" s="213"/>
      <c r="P148" s="213"/>
      <c r="Q148" s="213"/>
      <c r="R148" s="213"/>
      <c r="S148" s="213"/>
      <c r="T148" s="213"/>
      <c r="U148" s="213"/>
      <c r="V148" s="213"/>
      <c r="W148" s="213"/>
      <c r="X148" s="213"/>
      <c r="Y148" s="213"/>
      <c r="Z148" s="213"/>
      <c r="AA148" s="213"/>
      <c r="AB148" s="211"/>
      <c r="AC148" s="211"/>
      <c r="AD148" s="211"/>
      <c r="AE148" s="211"/>
      <c r="AF148" s="211"/>
      <c r="AG148" s="211"/>
      <c r="AH148" s="211"/>
      <c r="AI148" s="211"/>
      <c r="AJ148" s="211"/>
      <c r="AK148" s="211"/>
      <c r="AL148" s="211"/>
      <c r="AM148" s="211"/>
      <c r="AN148" s="211">
        <f>INDEX($C$44:$AN$66,MATCH("New Customers 1MS",$C$44:$C$66,0),MATCH($C148,$C$44:$AN$44,0))</f>
        <v>1170.6177436202265</v>
      </c>
    </row>
    <row r="149" spans="2:41" s="7" customFormat="1" ht="12" customHeight="1" outlineLevel="2">
      <c r="B149" s="245"/>
      <c r="C149" s="213"/>
      <c r="D149" s="213"/>
      <c r="E149" s="213"/>
      <c r="F149" s="213"/>
      <c r="G149" s="213"/>
      <c r="H149" s="213"/>
      <c r="I149" s="213"/>
      <c r="J149" s="213"/>
      <c r="K149" s="213"/>
      <c r="L149" s="213"/>
      <c r="M149" s="213"/>
      <c r="N149" s="213"/>
      <c r="O149" s="213"/>
      <c r="P149" s="213"/>
      <c r="Q149" s="213"/>
      <c r="R149" s="213"/>
      <c r="S149" s="213"/>
      <c r="T149" s="213"/>
      <c r="U149" s="213"/>
      <c r="V149" s="213"/>
      <c r="W149" s="213"/>
      <c r="X149" s="213"/>
      <c r="Y149" s="213"/>
      <c r="Z149" s="213"/>
      <c r="AA149" s="213"/>
      <c r="AB149" s="211"/>
      <c r="AC149" s="211"/>
      <c r="AD149" s="211"/>
      <c r="AE149" s="211"/>
      <c r="AF149" s="211"/>
      <c r="AG149" s="211"/>
      <c r="AH149" s="211"/>
      <c r="AI149" s="211"/>
      <c r="AJ149" s="211"/>
      <c r="AK149" s="211"/>
      <c r="AL149" s="211"/>
      <c r="AM149" s="211"/>
      <c r="AN149" s="211"/>
    </row>
    <row r="150" spans="2:41" s="7" customFormat="1" ht="12" customHeight="1" outlineLevel="2">
      <c r="B150" s="245"/>
      <c r="C150" s="213"/>
      <c r="D150" s="213"/>
      <c r="E150" s="213"/>
      <c r="F150" s="213"/>
      <c r="G150" s="213"/>
      <c r="H150" s="213"/>
      <c r="I150" s="213"/>
      <c r="J150" s="213"/>
      <c r="K150" s="213"/>
      <c r="L150" s="213"/>
      <c r="M150" s="213"/>
      <c r="N150" s="213"/>
      <c r="O150" s="213"/>
      <c r="P150" s="213"/>
      <c r="Q150" s="213"/>
      <c r="R150" s="213"/>
      <c r="S150" s="213"/>
      <c r="T150" s="213"/>
      <c r="U150" s="213"/>
      <c r="V150" s="213"/>
      <c r="W150" s="213"/>
      <c r="X150" s="213"/>
      <c r="Y150" s="213"/>
      <c r="Z150" s="213"/>
      <c r="AA150" s="213"/>
      <c r="AB150" s="211"/>
      <c r="AC150" s="211"/>
      <c r="AD150" s="211"/>
      <c r="AE150" s="211"/>
      <c r="AF150" s="211"/>
      <c r="AG150" s="211"/>
      <c r="AH150" s="211"/>
      <c r="AI150" s="211"/>
      <c r="AJ150" s="211"/>
      <c r="AK150" s="211"/>
      <c r="AL150" s="211"/>
      <c r="AM150" s="211"/>
      <c r="AN150" s="211"/>
    </row>
    <row r="151" spans="2:41" s="7" customFormat="1" ht="12" customHeight="1" outlineLevel="2">
      <c r="B151" s="245"/>
      <c r="C151" s="243" t="s">
        <v>854</v>
      </c>
      <c r="D151" s="213"/>
      <c r="E151" s="213"/>
      <c r="F151" s="213"/>
      <c r="G151" s="213"/>
      <c r="H151" s="213"/>
      <c r="I151" s="213"/>
      <c r="J151" s="213"/>
      <c r="K151" s="213"/>
      <c r="L151" s="213"/>
      <c r="M151" s="213"/>
      <c r="N151" s="213"/>
      <c r="O151" s="213"/>
      <c r="P151" s="213"/>
      <c r="Q151" s="213"/>
      <c r="R151" s="213"/>
      <c r="S151" s="213"/>
      <c r="T151" s="213"/>
      <c r="U151" s="213"/>
      <c r="V151" s="213"/>
      <c r="W151" s="213"/>
      <c r="X151" s="213"/>
      <c r="Y151" s="213"/>
      <c r="Z151" s="213"/>
      <c r="AA151" s="213"/>
      <c r="AB151" s="213"/>
      <c r="AC151" s="211"/>
    </row>
    <row r="152" spans="2:41" s="7" customFormat="1" ht="12" customHeight="1" outlineLevel="2">
      <c r="B152" s="239"/>
      <c r="C152" s="214" t="s">
        <v>850</v>
      </c>
      <c r="D152" s="214"/>
      <c r="E152" s="196" t="s">
        <v>753</v>
      </c>
      <c r="F152" s="196" t="s">
        <v>754</v>
      </c>
      <c r="G152" s="196" t="s">
        <v>755</v>
      </c>
      <c r="H152" s="196" t="s">
        <v>756</v>
      </c>
      <c r="I152" s="196" t="s">
        <v>757</v>
      </c>
      <c r="J152" s="196" t="s">
        <v>758</v>
      </c>
      <c r="K152" s="196" t="s">
        <v>759</v>
      </c>
      <c r="L152" s="196" t="s">
        <v>760</v>
      </c>
      <c r="M152" s="196" t="s">
        <v>761</v>
      </c>
      <c r="N152" s="196" t="s">
        <v>762</v>
      </c>
      <c r="O152" s="196" t="s">
        <v>763</v>
      </c>
      <c r="P152" s="196" t="s">
        <v>764</v>
      </c>
      <c r="Q152" s="196" t="s">
        <v>765</v>
      </c>
      <c r="R152" s="196" t="s">
        <v>766</v>
      </c>
      <c r="S152" s="196" t="s">
        <v>767</v>
      </c>
      <c r="T152" s="196" t="s">
        <v>768</v>
      </c>
      <c r="U152" s="196" t="s">
        <v>769</v>
      </c>
      <c r="V152" s="196" t="s">
        <v>770</v>
      </c>
      <c r="W152" s="196" t="s">
        <v>771</v>
      </c>
      <c r="X152" s="196" t="s">
        <v>772</v>
      </c>
      <c r="Y152" s="196" t="s">
        <v>773</v>
      </c>
      <c r="Z152" s="196" t="s">
        <v>774</v>
      </c>
      <c r="AA152" s="196" t="s">
        <v>775</v>
      </c>
      <c r="AB152" s="196" t="s">
        <v>776</v>
      </c>
      <c r="AC152" s="196" t="s">
        <v>777</v>
      </c>
      <c r="AD152" s="196" t="s">
        <v>778</v>
      </c>
      <c r="AE152" s="196" t="s">
        <v>779</v>
      </c>
      <c r="AF152" s="196" t="s">
        <v>780</v>
      </c>
      <c r="AG152" s="196" t="s">
        <v>781</v>
      </c>
      <c r="AH152" s="196" t="s">
        <v>782</v>
      </c>
      <c r="AI152" s="196" t="s">
        <v>783</v>
      </c>
      <c r="AJ152" s="196" t="s">
        <v>784</v>
      </c>
      <c r="AK152" s="196" t="s">
        <v>785</v>
      </c>
      <c r="AL152" s="196" t="s">
        <v>786</v>
      </c>
      <c r="AM152" s="196" t="s">
        <v>787</v>
      </c>
      <c r="AN152" s="196" t="s">
        <v>788</v>
      </c>
    </row>
    <row r="153" spans="2:41" s="7" customFormat="1" ht="12" customHeight="1" outlineLevel="2">
      <c r="B153" s="239"/>
      <c r="C153" s="247" t="s">
        <v>851</v>
      </c>
      <c r="D153" s="212"/>
      <c r="E153" s="341">
        <v>0.95</v>
      </c>
      <c r="F153" s="342"/>
      <c r="G153" s="342"/>
      <c r="H153" s="341">
        <v>0.5</v>
      </c>
      <c r="I153" s="342"/>
      <c r="J153" s="342"/>
      <c r="K153" s="341">
        <v>0.4</v>
      </c>
      <c r="L153" s="342"/>
      <c r="M153" s="342"/>
      <c r="N153" s="341">
        <v>0.35</v>
      </c>
      <c r="O153" s="342"/>
      <c r="P153" s="342"/>
      <c r="Q153" s="341">
        <v>0.17</v>
      </c>
      <c r="R153" s="342"/>
      <c r="S153" s="342"/>
      <c r="T153" s="341">
        <v>0.15</v>
      </c>
      <c r="U153" s="342"/>
      <c r="V153" s="342"/>
      <c r="W153" s="341">
        <v>0.14000000000000001</v>
      </c>
      <c r="X153" s="342"/>
      <c r="Y153" s="342"/>
      <c r="Z153" s="341">
        <v>0.13</v>
      </c>
      <c r="AA153" s="342"/>
      <c r="AB153" s="342"/>
      <c r="AC153" s="341">
        <v>0.12</v>
      </c>
      <c r="AD153" s="342"/>
      <c r="AE153" s="342"/>
      <c r="AF153" s="341">
        <v>0.11</v>
      </c>
      <c r="AG153" s="342"/>
      <c r="AH153" s="342"/>
      <c r="AI153" s="341">
        <v>0.1</v>
      </c>
      <c r="AJ153" s="342"/>
      <c r="AK153" s="342"/>
      <c r="AL153" s="341">
        <v>7.0000000000000007E-2</v>
      </c>
      <c r="AM153" s="342"/>
      <c r="AN153" s="342"/>
    </row>
    <row r="154" spans="2:41" s="7" customFormat="1" ht="12" customHeight="1" outlineLevel="2">
      <c r="B154" s="239"/>
      <c r="C154" s="214" t="s">
        <v>852</v>
      </c>
      <c r="D154" s="212"/>
      <c r="E154" s="211">
        <f>86*66%</f>
        <v>56.760000000000005</v>
      </c>
      <c r="F154" s="211">
        <f>69-28</f>
        <v>41</v>
      </c>
      <c r="G154" s="211">
        <f>111-28</f>
        <v>83</v>
      </c>
      <c r="H154" s="211">
        <f>E154*0.98-27</f>
        <v>28.6248</v>
      </c>
      <c r="I154" s="211">
        <f>F154*0.98-40</f>
        <v>0.17999999999999972</v>
      </c>
      <c r="J154" s="211">
        <f t="shared" ref="J154:AN154" si="213">G154*0.98</f>
        <v>81.34</v>
      </c>
      <c r="K154" s="211">
        <f t="shared" si="213"/>
        <v>28.052303999999999</v>
      </c>
      <c r="L154" s="211">
        <f t="shared" si="213"/>
        <v>0.17639999999999972</v>
      </c>
      <c r="M154" s="211">
        <f t="shared" si="213"/>
        <v>79.713200000000001</v>
      </c>
      <c r="N154" s="211">
        <f t="shared" si="213"/>
        <v>27.491257919999999</v>
      </c>
      <c r="O154" s="211">
        <f t="shared" si="213"/>
        <v>0.17287199999999972</v>
      </c>
      <c r="P154" s="211">
        <f t="shared" si="213"/>
        <v>78.118936000000005</v>
      </c>
      <c r="Q154" s="211">
        <f t="shared" si="213"/>
        <v>26.941432761599998</v>
      </c>
      <c r="R154" s="211">
        <f t="shared" si="213"/>
        <v>0.16941455999999971</v>
      </c>
      <c r="S154" s="211">
        <f t="shared" si="213"/>
        <v>76.556557280000007</v>
      </c>
      <c r="T154" s="211">
        <f t="shared" si="213"/>
        <v>26.402604106367999</v>
      </c>
      <c r="U154" s="211">
        <f t="shared" si="213"/>
        <v>0.16602626879999971</v>
      </c>
      <c r="V154" s="211">
        <f t="shared" si="213"/>
        <v>75.025426134400007</v>
      </c>
      <c r="W154" s="211">
        <f t="shared" si="213"/>
        <v>25.874552024240639</v>
      </c>
      <c r="X154" s="211">
        <f t="shared" si="213"/>
        <v>0.16270574342399971</v>
      </c>
      <c r="Y154" s="211">
        <f t="shared" si="213"/>
        <v>73.524917611711999</v>
      </c>
      <c r="Z154" s="211">
        <f t="shared" si="213"/>
        <v>25.357060983755826</v>
      </c>
      <c r="AA154" s="211">
        <f t="shared" si="213"/>
        <v>0.15945162855551973</v>
      </c>
      <c r="AB154" s="211">
        <f t="shared" si="213"/>
        <v>72.054419259477754</v>
      </c>
      <c r="AC154" s="211">
        <f t="shared" si="213"/>
        <v>24.84991976408071</v>
      </c>
      <c r="AD154" s="211">
        <f t="shared" si="213"/>
        <v>0.15626259598440934</v>
      </c>
      <c r="AE154" s="211">
        <f t="shared" si="213"/>
        <v>70.613330874288195</v>
      </c>
      <c r="AF154" s="211">
        <f t="shared" si="213"/>
        <v>24.352921368799095</v>
      </c>
      <c r="AG154" s="211">
        <f t="shared" si="213"/>
        <v>0.15313734406472115</v>
      </c>
      <c r="AH154" s="211">
        <f t="shared" si="213"/>
        <v>69.201064256802425</v>
      </c>
      <c r="AI154" s="211">
        <f t="shared" si="213"/>
        <v>23.865862941423114</v>
      </c>
      <c r="AJ154" s="211">
        <f t="shared" si="213"/>
        <v>0.15007459718342672</v>
      </c>
      <c r="AK154" s="211">
        <f t="shared" si="213"/>
        <v>67.817042971666382</v>
      </c>
      <c r="AL154" s="211">
        <f t="shared" si="213"/>
        <v>23.38854568259465</v>
      </c>
      <c r="AM154" s="211">
        <f t="shared" si="213"/>
        <v>0.1470731052397582</v>
      </c>
      <c r="AN154" s="211">
        <f t="shared" si="213"/>
        <v>66.460702112233051</v>
      </c>
      <c r="AO154" s="211"/>
    </row>
    <row r="155" spans="2:41" s="7" customFormat="1" ht="12" customHeight="1" outlineLevel="2">
      <c r="B155" s="245"/>
      <c r="C155" s="213" t="s">
        <v>753</v>
      </c>
      <c r="D155" s="213"/>
      <c r="E155" s="211">
        <f>INDEX($C$44:$AN$66,MATCH("New Customers 3MS",$C$44:$C$66,0),MATCH($C155,$C$44:$AN$44,0))</f>
        <v>19.51201478743068</v>
      </c>
      <c r="F155" s="211"/>
      <c r="G155" s="211"/>
      <c r="H155" s="211">
        <f>E155*(E153)</f>
        <v>18.536414048059143</v>
      </c>
      <c r="I155" s="211"/>
      <c r="J155" s="211"/>
      <c r="K155" s="211">
        <f>$E$155*(H153)</f>
        <v>9.7560073937153398</v>
      </c>
      <c r="L155" s="211"/>
      <c r="M155" s="211"/>
      <c r="N155" s="211">
        <f>$E$155*(K153)</f>
        <v>7.8048059149722722</v>
      </c>
      <c r="O155" s="211"/>
      <c r="P155" s="211"/>
      <c r="Q155" s="211">
        <f>$E$155*(N153)</f>
        <v>6.8292051756007375</v>
      </c>
      <c r="R155" s="211"/>
      <c r="S155" s="211"/>
      <c r="T155" s="211">
        <f>$E$155*(Q153)</f>
        <v>3.3170425138632158</v>
      </c>
      <c r="U155" s="211"/>
      <c r="V155" s="211"/>
      <c r="W155" s="211">
        <f>$E$155*(T153)</f>
        <v>2.9268022181146018</v>
      </c>
      <c r="X155" s="211"/>
      <c r="Y155" s="211"/>
      <c r="Z155" s="211">
        <f>$E$155*(W153)</f>
        <v>2.7316820702402955</v>
      </c>
      <c r="AA155" s="211"/>
      <c r="AB155" s="211"/>
      <c r="AC155" s="211">
        <f>$E$155*(Z153)</f>
        <v>2.5365619223659883</v>
      </c>
      <c r="AD155" s="211"/>
      <c r="AE155" s="211"/>
      <c r="AF155" s="211">
        <f>$E$155*(AC153)</f>
        <v>2.3414417744916816</v>
      </c>
      <c r="AG155" s="211"/>
      <c r="AH155" s="211"/>
      <c r="AI155" s="211">
        <f>$E$155*(AF153)</f>
        <v>2.1463216266173748</v>
      </c>
      <c r="AJ155" s="211"/>
      <c r="AK155" s="211"/>
      <c r="AL155" s="211">
        <f>$E$155*(AI153)</f>
        <v>1.951201478743068</v>
      </c>
      <c r="AM155" s="211"/>
      <c r="AN155" s="211"/>
    </row>
    <row r="156" spans="2:41" s="7" customFormat="1" ht="12" customHeight="1" outlineLevel="2">
      <c r="B156" s="245"/>
      <c r="C156" s="213" t="s">
        <v>754</v>
      </c>
      <c r="D156" s="213"/>
      <c r="E156" s="213"/>
      <c r="F156" s="211">
        <f>INDEX($C$44:$AN$66,MATCH("New Customers 3MS",$C$44:$C$66,0),MATCH($C156,$C$44:$AN$44,0))</f>
        <v>9.0314232902033247</v>
      </c>
      <c r="G156" s="211"/>
      <c r="H156" s="211"/>
      <c r="I156" s="211">
        <f>$F$156*(E153)</f>
        <v>8.5798521256931579</v>
      </c>
      <c r="J156" s="211"/>
      <c r="K156" s="211"/>
      <c r="L156" s="211">
        <f>$F$156*(H153)</f>
        <v>4.5157116451016623</v>
      </c>
      <c r="M156" s="211"/>
      <c r="N156" s="211"/>
      <c r="O156" s="211">
        <f>$F$156*(K153)</f>
        <v>3.6125693160813301</v>
      </c>
      <c r="P156" s="211"/>
      <c r="Q156" s="211"/>
      <c r="R156" s="211">
        <f>$F$156*(N153)</f>
        <v>3.1609981515711634</v>
      </c>
      <c r="S156" s="211"/>
      <c r="T156" s="211"/>
      <c r="U156" s="211">
        <f>$F$156*(Q153)</f>
        <v>1.5353419593345654</v>
      </c>
      <c r="V156" s="211"/>
      <c r="W156" s="211"/>
      <c r="X156" s="211">
        <f>$F$156*(T153)</f>
        <v>1.3547134935304987</v>
      </c>
      <c r="Y156" s="211"/>
      <c r="Z156" s="211"/>
      <c r="AA156" s="211">
        <f>$F$156*(W153)</f>
        <v>1.2643992606284655</v>
      </c>
      <c r="AB156" s="211"/>
      <c r="AC156" s="211"/>
      <c r="AD156" s="211">
        <f>$F$156*(Z153)</f>
        <v>1.1740850277264323</v>
      </c>
      <c r="AE156" s="211"/>
      <c r="AF156" s="211"/>
      <c r="AG156" s="211">
        <f>$F$156*(AC153)</f>
        <v>1.0837707948243989</v>
      </c>
      <c r="AH156" s="211"/>
      <c r="AI156" s="211"/>
      <c r="AJ156" s="211">
        <f>$F$156*(AF153)</f>
        <v>0.99345656192236576</v>
      </c>
      <c r="AK156" s="211"/>
      <c r="AL156" s="211"/>
      <c r="AM156" s="211">
        <f>$F$156*(AI153)</f>
        <v>0.90314232902033253</v>
      </c>
      <c r="AN156" s="211"/>
    </row>
    <row r="157" spans="2:41" s="7" customFormat="1" ht="12" customHeight="1" outlineLevel="2">
      <c r="B157" s="245"/>
      <c r="C157" s="213" t="s">
        <v>755</v>
      </c>
      <c r="D157" s="213"/>
      <c r="E157" s="213"/>
      <c r="F157" s="213"/>
      <c r="G157" s="211">
        <f>INDEX($C$44:$AN$66,MATCH("New Customers 3MS",$C$44:$C$66,0),MATCH($C157,$C$44:$AN$44,0))</f>
        <v>4.7892791127541594</v>
      </c>
      <c r="H157" s="211"/>
      <c r="I157" s="211"/>
      <c r="J157" s="211">
        <f>$G$157*(E153)</f>
        <v>4.5498151571164511</v>
      </c>
      <c r="K157" s="211"/>
      <c r="L157" s="211"/>
      <c r="M157" s="211">
        <f>$G$157*(H153)</f>
        <v>2.3946395563770797</v>
      </c>
      <c r="N157" s="211"/>
      <c r="O157" s="211"/>
      <c r="P157" s="211">
        <f>$G$157*(K153)</f>
        <v>1.9157116451016638</v>
      </c>
      <c r="Q157" s="211"/>
      <c r="R157" s="211"/>
      <c r="S157" s="211">
        <f>$G$157*(N153)</f>
        <v>1.6762476894639557</v>
      </c>
      <c r="T157" s="211"/>
      <c r="U157" s="211"/>
      <c r="V157" s="211">
        <f>$G$157*(Q153)</f>
        <v>0.81417744916820711</v>
      </c>
      <c r="W157" s="211"/>
      <c r="X157" s="211"/>
      <c r="Y157" s="211">
        <f>$G$157*(T153)</f>
        <v>0.71839186691312384</v>
      </c>
      <c r="Z157" s="211"/>
      <c r="AA157" s="211"/>
      <c r="AB157" s="211">
        <f>$G$157*(W153)</f>
        <v>0.67049907578558243</v>
      </c>
      <c r="AC157" s="211"/>
      <c r="AD157" s="211"/>
      <c r="AE157" s="211">
        <f>$G$157*(Z153)</f>
        <v>0.6226062846580408</v>
      </c>
      <c r="AF157" s="211"/>
      <c r="AG157" s="211"/>
      <c r="AH157" s="211">
        <f>$G$157*(AC153)</f>
        <v>0.57471349353049905</v>
      </c>
      <c r="AI157" s="211"/>
      <c r="AJ157" s="211"/>
      <c r="AK157" s="211">
        <f>$G$157*(AF153)</f>
        <v>0.52682070240295753</v>
      </c>
      <c r="AL157" s="211"/>
      <c r="AM157" s="211"/>
      <c r="AN157" s="211">
        <f>$G$157*(AI153)</f>
        <v>0.47892791127541595</v>
      </c>
    </row>
    <row r="158" spans="2:41" s="7" customFormat="1" ht="12" customHeight="1" outlineLevel="2">
      <c r="B158" s="245"/>
      <c r="C158" s="213" t="s">
        <v>756</v>
      </c>
      <c r="D158" s="213"/>
      <c r="E158" s="213"/>
      <c r="F158" s="213"/>
      <c r="G158" s="213"/>
      <c r="H158" s="211">
        <f>INDEX($C$44:$AN$66,MATCH("New Customers 3MS",$C$44:$C$66,0),MATCH($C158,$C$44:$AN$44,0))</f>
        <v>2.6062846580406669</v>
      </c>
      <c r="I158" s="211"/>
      <c r="J158" s="211"/>
      <c r="K158" s="211">
        <f>$H$158*(E153)</f>
        <v>2.4759704251386334</v>
      </c>
      <c r="L158" s="211"/>
      <c r="M158" s="211"/>
      <c r="N158" s="211">
        <f>$H$158*(H153)</f>
        <v>1.3031423290203334</v>
      </c>
      <c r="O158" s="211"/>
      <c r="P158" s="211"/>
      <c r="Q158" s="211">
        <f>$H$158*(K153)</f>
        <v>1.0425138632162667</v>
      </c>
      <c r="R158" s="211"/>
      <c r="S158" s="211"/>
      <c r="T158" s="211">
        <f>$H$158*(N153)</f>
        <v>0.91219963031423335</v>
      </c>
      <c r="U158" s="211"/>
      <c r="V158" s="211"/>
      <c r="W158" s="211">
        <f>$H$158*(Q153)</f>
        <v>0.44306839186691338</v>
      </c>
      <c r="X158" s="211"/>
      <c r="Y158" s="211"/>
      <c r="Z158" s="211">
        <f>$H$158*(T153)</f>
        <v>0.39094269870610004</v>
      </c>
      <c r="AA158" s="211"/>
      <c r="AB158" s="211"/>
      <c r="AC158" s="211">
        <f>$H$158*(W153)</f>
        <v>0.3648798521256934</v>
      </c>
      <c r="AD158" s="211"/>
      <c r="AE158" s="211"/>
      <c r="AF158" s="211">
        <f>$H$158*(Z153)</f>
        <v>0.33881700554528671</v>
      </c>
      <c r="AG158" s="211"/>
      <c r="AH158" s="211"/>
      <c r="AI158" s="211">
        <f>$H$158*(AC153)</f>
        <v>0.31275415896488001</v>
      </c>
      <c r="AJ158" s="211"/>
      <c r="AK158" s="211"/>
      <c r="AL158" s="211">
        <f>$H$158*(AF153)</f>
        <v>0.28669131238447337</v>
      </c>
      <c r="AM158" s="211"/>
      <c r="AN158" s="211"/>
    </row>
    <row r="159" spans="2:41" s="7" customFormat="1" ht="12" customHeight="1" outlineLevel="2">
      <c r="B159" s="245"/>
      <c r="C159" s="213" t="s">
        <v>757</v>
      </c>
      <c r="D159" s="213"/>
      <c r="E159" s="213"/>
      <c r="F159" s="213"/>
      <c r="G159" s="213"/>
      <c r="H159" s="213"/>
      <c r="I159" s="211">
        <f>INDEX($C$44:$AN$66,MATCH("New Customers 3MS",$C$44:$C$66,0),MATCH($C159,$C$44:$AN$44,0))</f>
        <v>20.024029574861363</v>
      </c>
      <c r="J159" s="211"/>
      <c r="K159" s="211"/>
      <c r="L159" s="211">
        <f>$I$159*(E153)</f>
        <v>19.022828096118293</v>
      </c>
      <c r="M159" s="211"/>
      <c r="N159" s="211"/>
      <c r="O159" s="211">
        <f>$I$159*(H153)</f>
        <v>10.012014787430681</v>
      </c>
      <c r="P159" s="211"/>
      <c r="Q159" s="211"/>
      <c r="R159" s="211">
        <f>$I$159*(K153)</f>
        <v>8.0096118299445447</v>
      </c>
      <c r="S159" s="211"/>
      <c r="T159" s="211"/>
      <c r="U159" s="211">
        <f>$I$159*(N153)</f>
        <v>7.0084103512014764</v>
      </c>
      <c r="V159" s="211"/>
      <c r="W159" s="211"/>
      <c r="X159" s="211">
        <f>$I$159*(Q153)</f>
        <v>3.4040850277264321</v>
      </c>
      <c r="Y159" s="211"/>
      <c r="Z159" s="211"/>
      <c r="AA159" s="211">
        <f>$I$159*(T153)</f>
        <v>3.0036044362292045</v>
      </c>
      <c r="AB159" s="211"/>
      <c r="AC159" s="211"/>
      <c r="AD159" s="211">
        <f>$I$159*(W153)</f>
        <v>2.8033641404805909</v>
      </c>
      <c r="AE159" s="211"/>
      <c r="AF159" s="211"/>
      <c r="AG159" s="211">
        <f>$I$159*(Z153)</f>
        <v>2.6031238447319773</v>
      </c>
      <c r="AH159" s="211"/>
      <c r="AI159" s="211"/>
      <c r="AJ159" s="211">
        <f>$I$159*(AC153)</f>
        <v>2.4028835489833633</v>
      </c>
      <c r="AK159" s="211"/>
      <c r="AL159" s="211"/>
      <c r="AM159" s="211">
        <f>$I$159*(AF153)</f>
        <v>2.2026432532347497</v>
      </c>
      <c r="AN159" s="211"/>
    </row>
    <row r="160" spans="2:41" s="7" customFormat="1" ht="12" customHeight="1" outlineLevel="2">
      <c r="B160" s="245"/>
      <c r="C160" s="213" t="s">
        <v>758</v>
      </c>
      <c r="D160" s="213"/>
      <c r="E160" s="213"/>
      <c r="F160" s="213"/>
      <c r="G160" s="213"/>
      <c r="H160" s="213"/>
      <c r="I160" s="213"/>
      <c r="J160" s="211">
        <f>INDEX($C$44:$AN$66,MATCH("New Customers 3MS",$C$44:$C$66,0),MATCH($C160,$C$44:$AN$44,0))</f>
        <v>17</v>
      </c>
      <c r="K160" s="211"/>
      <c r="L160" s="211"/>
      <c r="M160" s="211">
        <f>$J$160*(E153)</f>
        <v>16.149999999999999</v>
      </c>
      <c r="N160" s="211"/>
      <c r="O160" s="211"/>
      <c r="P160" s="211">
        <f>$J$160*(H153)</f>
        <v>8.5</v>
      </c>
      <c r="Q160" s="211"/>
      <c r="R160" s="211"/>
      <c r="S160" s="211">
        <f>$J$160*(K153)</f>
        <v>6.8000000000000007</v>
      </c>
      <c r="T160" s="211"/>
      <c r="U160" s="211"/>
      <c r="V160" s="211">
        <f>$J$160*(N153)</f>
        <v>5.9499999999999993</v>
      </c>
      <c r="W160" s="211"/>
      <c r="X160" s="211"/>
      <c r="Y160" s="211">
        <f>$J$160*(Q153)</f>
        <v>2.89</v>
      </c>
      <c r="Z160" s="211"/>
      <c r="AA160" s="211"/>
      <c r="AB160" s="211">
        <f>$J$160*(T153)</f>
        <v>2.5499999999999998</v>
      </c>
      <c r="AC160" s="211"/>
      <c r="AD160" s="211"/>
      <c r="AE160" s="211">
        <f>$J$160*(W153)</f>
        <v>2.3800000000000003</v>
      </c>
      <c r="AF160" s="211"/>
      <c r="AG160" s="211"/>
      <c r="AH160" s="211">
        <f>$J$160*(Z153)</f>
        <v>2.21</v>
      </c>
      <c r="AI160" s="211"/>
      <c r="AJ160" s="211"/>
      <c r="AK160" s="211">
        <f>$J$160*(AC153)</f>
        <v>2.04</v>
      </c>
      <c r="AL160" s="211"/>
      <c r="AM160" s="211"/>
      <c r="AN160" s="211">
        <f>$J$160*(AF153)</f>
        <v>1.87</v>
      </c>
    </row>
    <row r="161" spans="2:42" s="7" customFormat="1" ht="12" customHeight="1" outlineLevel="2">
      <c r="B161" s="245"/>
      <c r="C161" s="213" t="s">
        <v>759</v>
      </c>
      <c r="D161" s="213"/>
      <c r="E161" s="213"/>
      <c r="F161" s="213"/>
      <c r="G161" s="213"/>
      <c r="H161" s="213"/>
      <c r="I161" s="213"/>
      <c r="J161" s="213"/>
      <c r="K161" s="211">
        <f>INDEX($C$44:$AN$66,MATCH("New Customers 3MS",$C$44:$C$66,0),MATCH($C161,$C$44:$AN$44,0))</f>
        <v>102.00000000000003</v>
      </c>
      <c r="L161" s="211"/>
      <c r="M161" s="211"/>
      <c r="N161" s="211">
        <f>$K$161*(E153)</f>
        <v>96.90000000000002</v>
      </c>
      <c r="O161" s="211"/>
      <c r="P161" s="211"/>
      <c r="Q161" s="211">
        <f>$K$161*(H153)</f>
        <v>51.000000000000014</v>
      </c>
      <c r="R161" s="211"/>
      <c r="S161" s="211"/>
      <c r="T161" s="211">
        <f>$K$161*(K153)</f>
        <v>40.800000000000011</v>
      </c>
      <c r="U161" s="211"/>
      <c r="V161" s="211"/>
      <c r="W161" s="211">
        <f>$K$161*(N153)</f>
        <v>35.70000000000001</v>
      </c>
      <c r="X161" s="211"/>
      <c r="Y161" s="211"/>
      <c r="Z161" s="211">
        <f>$K$161*(Q153)</f>
        <v>17.340000000000007</v>
      </c>
      <c r="AA161" s="211"/>
      <c r="AB161" s="211"/>
      <c r="AC161" s="211">
        <f>$K$161*(T153)</f>
        <v>15.300000000000004</v>
      </c>
      <c r="AD161" s="211"/>
      <c r="AE161" s="211"/>
      <c r="AF161" s="211">
        <f>$K$161*(W153)</f>
        <v>14.280000000000005</v>
      </c>
      <c r="AG161" s="211"/>
      <c r="AH161" s="211"/>
      <c r="AI161" s="211">
        <f>$K$161*(Z153)</f>
        <v>13.260000000000003</v>
      </c>
      <c r="AJ161" s="211"/>
      <c r="AK161" s="211"/>
      <c r="AL161" s="211">
        <f>$K$161*(AC153)</f>
        <v>12.240000000000004</v>
      </c>
      <c r="AM161" s="211"/>
      <c r="AN161" s="211"/>
    </row>
    <row r="162" spans="2:42" s="7" customFormat="1" ht="12" customHeight="1" outlineLevel="2">
      <c r="B162" s="245"/>
      <c r="C162" s="213" t="s">
        <v>760</v>
      </c>
      <c r="D162" s="213"/>
      <c r="E162" s="213"/>
      <c r="F162" s="213"/>
      <c r="G162" s="213"/>
      <c r="H162" s="213"/>
      <c r="I162" s="213"/>
      <c r="J162" s="213"/>
      <c r="K162" s="213"/>
      <c r="L162" s="211">
        <f>INDEX($C$44:$AN$66,MATCH("New Customers 3MS",$C$44:$C$66,0),MATCH($C162,$C$44:$AN$44,0))</f>
        <v>122.00000000000004</v>
      </c>
      <c r="M162" s="211"/>
      <c r="N162" s="211"/>
      <c r="O162" s="211">
        <f>$L$162*(E153)</f>
        <v>115.90000000000003</v>
      </c>
      <c r="P162" s="211"/>
      <c r="Q162" s="211"/>
      <c r="R162" s="211">
        <f>$L$162*(H153)</f>
        <v>61.000000000000021</v>
      </c>
      <c r="S162" s="211"/>
      <c r="T162" s="211"/>
      <c r="U162" s="211">
        <f>$L$162*(K153)</f>
        <v>48.800000000000018</v>
      </c>
      <c r="V162" s="211"/>
      <c r="W162" s="211"/>
      <c r="X162" s="211">
        <f>$L$162*(N153)</f>
        <v>42.70000000000001</v>
      </c>
      <c r="Y162" s="211"/>
      <c r="Z162" s="211"/>
      <c r="AA162" s="211">
        <f>$L$162*(Q153)</f>
        <v>20.740000000000009</v>
      </c>
      <c r="AB162" s="211"/>
      <c r="AC162" s="211"/>
      <c r="AD162" s="211">
        <f>$L$162*(T153)</f>
        <v>18.300000000000004</v>
      </c>
      <c r="AE162" s="211"/>
      <c r="AF162" s="211"/>
      <c r="AG162" s="211">
        <f>$L$162*(W153)</f>
        <v>17.080000000000009</v>
      </c>
      <c r="AH162" s="211"/>
      <c r="AI162" s="211"/>
      <c r="AJ162" s="211">
        <f>$L$162*(Z153)</f>
        <v>15.860000000000007</v>
      </c>
      <c r="AK162" s="211"/>
      <c r="AL162" s="211"/>
      <c r="AM162" s="211">
        <f>$L$162*(AC153)</f>
        <v>14.640000000000004</v>
      </c>
      <c r="AN162" s="211"/>
    </row>
    <row r="163" spans="2:42" s="7" customFormat="1" ht="12" customHeight="1" outlineLevel="2">
      <c r="B163" s="245"/>
      <c r="C163" s="213" t="s">
        <v>761</v>
      </c>
      <c r="D163" s="213"/>
      <c r="E163" s="213"/>
      <c r="F163" s="213"/>
      <c r="G163" s="213"/>
      <c r="H163" s="213"/>
      <c r="I163" s="213"/>
      <c r="J163" s="213"/>
      <c r="K163" s="213"/>
      <c r="L163" s="213"/>
      <c r="M163" s="211">
        <f>INDEX($C$44:$AN$64,MATCH("New Customers 3MS",$C$44:$C$64,0),MATCH($C163,$C$44:$AN$44,0))</f>
        <v>225</v>
      </c>
      <c r="N163" s="211"/>
      <c r="O163" s="211"/>
      <c r="P163" s="211">
        <f>$M$163*(E153)</f>
        <v>213.75</v>
      </c>
      <c r="Q163" s="211"/>
      <c r="R163" s="211"/>
      <c r="S163" s="211">
        <f>$M$163*(H153)</f>
        <v>112.5</v>
      </c>
      <c r="T163" s="211"/>
      <c r="U163" s="211"/>
      <c r="V163" s="211">
        <f>$M$163*(K153)</f>
        <v>90</v>
      </c>
      <c r="W163" s="211"/>
      <c r="X163" s="211"/>
      <c r="Y163" s="211">
        <f>$M$163*(N153)</f>
        <v>78.75</v>
      </c>
      <c r="Z163" s="211"/>
      <c r="AA163" s="211"/>
      <c r="AB163" s="211">
        <f>$M$163*(Q153)</f>
        <v>38.25</v>
      </c>
      <c r="AC163" s="211"/>
      <c r="AD163" s="211"/>
      <c r="AE163" s="211">
        <f>$M$163*(T153)</f>
        <v>33.75</v>
      </c>
      <c r="AF163" s="211"/>
      <c r="AG163" s="211"/>
      <c r="AH163" s="211">
        <f>$M$163*(W153)</f>
        <v>31.500000000000004</v>
      </c>
      <c r="AI163" s="211"/>
      <c r="AJ163" s="211"/>
      <c r="AK163" s="211">
        <f>$M$163*(Z153)</f>
        <v>29.25</v>
      </c>
      <c r="AL163" s="211"/>
      <c r="AM163" s="211"/>
      <c r="AN163" s="211">
        <f>$M$163*(AC153)</f>
        <v>27</v>
      </c>
    </row>
    <row r="164" spans="2:42" s="7" customFormat="1" ht="12" customHeight="1" outlineLevel="2">
      <c r="B164" s="245"/>
      <c r="C164" s="213" t="s">
        <v>762</v>
      </c>
      <c r="D164" s="213"/>
      <c r="E164" s="213"/>
      <c r="F164" s="213"/>
      <c r="G164" s="213"/>
      <c r="H164" s="213"/>
      <c r="I164" s="213"/>
      <c r="J164" s="213"/>
      <c r="K164" s="213"/>
      <c r="L164" s="213"/>
      <c r="M164" s="213"/>
      <c r="N164" s="211">
        <f>INDEX($C$44:$AN$66,MATCH("New Customers 3MS",$C$44:$C$66,0),MATCH($C164,$C$44:$AN$44,0))</f>
        <v>276.92307692307691</v>
      </c>
      <c r="O164" s="211"/>
      <c r="P164" s="211"/>
      <c r="Q164" s="211">
        <f>$N$164*(E153)</f>
        <v>263.07692307692304</v>
      </c>
      <c r="R164" s="211"/>
      <c r="S164" s="211"/>
      <c r="T164" s="211">
        <f>$N$164*(H153)</f>
        <v>138.46153846153845</v>
      </c>
      <c r="U164" s="211"/>
      <c r="V164" s="211"/>
      <c r="W164" s="211">
        <f>$N$164*(K153)</f>
        <v>110.76923076923077</v>
      </c>
      <c r="X164" s="211"/>
      <c r="Y164" s="211"/>
      <c r="Z164" s="211">
        <f>$N$164*(N153)</f>
        <v>96.923076923076906</v>
      </c>
      <c r="AA164" s="211"/>
      <c r="AB164" s="211"/>
      <c r="AC164" s="211">
        <f>$N$164*(Q153)</f>
        <v>47.07692307692308</v>
      </c>
      <c r="AD164" s="211"/>
      <c r="AE164" s="211"/>
      <c r="AF164" s="211">
        <f>$N$164*(T153)</f>
        <v>41.538461538461533</v>
      </c>
      <c r="AG164" s="211"/>
      <c r="AH164" s="211"/>
      <c r="AI164" s="211">
        <f>$N$164*(W153)</f>
        <v>38.769230769230774</v>
      </c>
      <c r="AJ164" s="211"/>
      <c r="AK164" s="211"/>
      <c r="AL164" s="211">
        <f>$N$164*(Z153)</f>
        <v>36</v>
      </c>
      <c r="AM164" s="211"/>
      <c r="AN164" s="211"/>
      <c r="AO164" s="211"/>
    </row>
    <row r="165" spans="2:42" s="7" customFormat="1" ht="12" customHeight="1" outlineLevel="2">
      <c r="B165" s="245"/>
      <c r="C165" s="213" t="s">
        <v>763</v>
      </c>
      <c r="D165" s="213"/>
      <c r="E165" s="213"/>
      <c r="F165" s="213"/>
      <c r="G165" s="213"/>
      <c r="H165" s="213"/>
      <c r="I165" s="213"/>
      <c r="J165" s="213"/>
      <c r="K165" s="213"/>
      <c r="L165" s="213"/>
      <c r="M165" s="213"/>
      <c r="N165" s="213"/>
      <c r="O165" s="211">
        <f>INDEX($C$44:$AN$66,MATCH("New Customers 3MS",$C$44:$C$66,0),MATCH($C165,$C$44:$AN$44,0))</f>
        <v>239.99999999999997</v>
      </c>
      <c r="P165" s="211"/>
      <c r="Q165" s="211"/>
      <c r="R165" s="211">
        <f>$N$164*(E153)</f>
        <v>263.07692307692304</v>
      </c>
      <c r="S165" s="211"/>
      <c r="T165" s="211"/>
      <c r="U165" s="211">
        <f>$N$164*(H153)</f>
        <v>138.46153846153845</v>
      </c>
      <c r="V165" s="211"/>
      <c r="W165" s="211"/>
      <c r="X165" s="211">
        <f>$N$164*(K153)</f>
        <v>110.76923076923077</v>
      </c>
      <c r="Y165" s="211"/>
      <c r="Z165" s="211"/>
      <c r="AA165" s="211">
        <f>$N$164*(N153)</f>
        <v>96.923076923076906</v>
      </c>
      <c r="AB165" s="211"/>
      <c r="AC165" s="211"/>
      <c r="AD165" s="211">
        <f>$N$164*(Q153)</f>
        <v>47.07692307692308</v>
      </c>
      <c r="AE165" s="211"/>
      <c r="AF165" s="211"/>
      <c r="AG165" s="211">
        <f>$N$164*(T153)</f>
        <v>41.538461538461533</v>
      </c>
      <c r="AH165" s="211"/>
      <c r="AI165" s="211"/>
      <c r="AJ165" s="211">
        <f>$N$164*(W153)</f>
        <v>38.769230769230774</v>
      </c>
      <c r="AK165" s="211"/>
      <c r="AL165" s="211"/>
      <c r="AM165" s="211">
        <f>$N$164*(Z153)</f>
        <v>36</v>
      </c>
      <c r="AN165" s="211"/>
    </row>
    <row r="166" spans="2:42" s="7" customFormat="1" ht="12" customHeight="1" outlineLevel="2">
      <c r="B166" s="245"/>
      <c r="C166" s="213" t="s">
        <v>764</v>
      </c>
      <c r="D166" s="213"/>
      <c r="E166" s="213"/>
      <c r="F166" s="213"/>
      <c r="G166" s="213"/>
      <c r="H166" s="213"/>
      <c r="I166" s="213"/>
      <c r="J166" s="213"/>
      <c r="K166" s="213"/>
      <c r="L166" s="213"/>
      <c r="M166" s="213"/>
      <c r="N166" s="213"/>
      <c r="O166" s="213"/>
      <c r="P166" s="211">
        <f>INDEX($C$44:$AN$66,MATCH("New Customers 3MS",$C$44:$C$66,0),MATCH($C166,$C$44:$AN$44,0))</f>
        <v>280</v>
      </c>
      <c r="Q166" s="211"/>
      <c r="R166" s="211"/>
      <c r="S166" s="211">
        <f>$P$166*(E153)</f>
        <v>266</v>
      </c>
      <c r="T166" s="211"/>
      <c r="U166" s="211"/>
      <c r="V166" s="211">
        <f>$P$166*(H153)</f>
        <v>140</v>
      </c>
      <c r="W166" s="211"/>
      <c r="X166" s="211"/>
      <c r="Y166" s="211">
        <f>$P$166*(K153)</f>
        <v>112</v>
      </c>
      <c r="Z166" s="211"/>
      <c r="AA166" s="211"/>
      <c r="AB166" s="211">
        <f>$P$166*(N153)</f>
        <v>98</v>
      </c>
      <c r="AC166" s="211"/>
      <c r="AD166" s="211"/>
      <c r="AE166" s="211">
        <f>$P$166*(Q153)</f>
        <v>47.6</v>
      </c>
      <c r="AF166" s="211"/>
      <c r="AG166" s="211"/>
      <c r="AH166" s="211">
        <f>$P$166*(T153)</f>
        <v>42</v>
      </c>
      <c r="AI166" s="211"/>
      <c r="AJ166" s="211"/>
      <c r="AK166" s="211">
        <f>$P$166*(W153)</f>
        <v>39.200000000000003</v>
      </c>
      <c r="AL166" s="211"/>
      <c r="AM166" s="211"/>
      <c r="AN166" s="211">
        <f>$P$166*(Z153)</f>
        <v>36.4</v>
      </c>
    </row>
    <row r="167" spans="2:42" s="7" customFormat="1" ht="12" customHeight="1" outlineLevel="2">
      <c r="B167" s="245"/>
      <c r="C167" s="213" t="s">
        <v>765</v>
      </c>
      <c r="D167" s="213"/>
      <c r="E167" s="213"/>
      <c r="F167" s="213"/>
      <c r="G167" s="213"/>
      <c r="H167" s="213"/>
      <c r="I167" s="213"/>
      <c r="J167" s="213"/>
      <c r="K167" s="213"/>
      <c r="L167" s="213"/>
      <c r="M167" s="213"/>
      <c r="N167" s="213"/>
      <c r="O167" s="213"/>
      <c r="P167" s="213"/>
      <c r="Q167" s="211">
        <f>INDEX($C$44:$AN$66,MATCH("New Customers 3MS",$C$44:$C$66,0),MATCH($C167,$C$44:$AN$44,0))</f>
        <v>483.63636363636357</v>
      </c>
      <c r="R167" s="211"/>
      <c r="S167" s="211"/>
      <c r="T167" s="211">
        <f>$Q$167*(E153)</f>
        <v>459.45454545454538</v>
      </c>
      <c r="U167" s="211"/>
      <c r="V167" s="211"/>
      <c r="W167" s="211">
        <f>$Q$167*(H153)</f>
        <v>241.81818181818178</v>
      </c>
      <c r="X167" s="211"/>
      <c r="Y167" s="211"/>
      <c r="Z167" s="211">
        <f>$Q$167*(K153)</f>
        <v>193.45454545454544</v>
      </c>
      <c r="AA167" s="211"/>
      <c r="AB167" s="211"/>
      <c r="AC167" s="211">
        <f>$Q$167*(N153)</f>
        <v>169.27272727272725</v>
      </c>
      <c r="AD167" s="211"/>
      <c r="AE167" s="211"/>
      <c r="AF167" s="211">
        <f>$Q$167*(Q153)</f>
        <v>82.218181818181819</v>
      </c>
      <c r="AG167" s="211"/>
      <c r="AH167" s="211"/>
      <c r="AI167" s="211">
        <f>$Q$167*(T153)</f>
        <v>72.545454545454533</v>
      </c>
      <c r="AJ167" s="211"/>
      <c r="AK167" s="211"/>
      <c r="AL167" s="211">
        <f>$Q$167*(W153)</f>
        <v>67.709090909090904</v>
      </c>
      <c r="AM167" s="211"/>
      <c r="AN167" s="211"/>
      <c r="AO167" s="211"/>
    </row>
    <row r="168" spans="2:42" s="7" customFormat="1" ht="12" customHeight="1" outlineLevel="2">
      <c r="B168" s="245"/>
      <c r="C168" s="213" t="s">
        <v>766</v>
      </c>
      <c r="D168" s="213"/>
      <c r="E168" s="213"/>
      <c r="F168" s="213"/>
      <c r="G168" s="213"/>
      <c r="H168" s="213"/>
      <c r="I168" s="213"/>
      <c r="J168" s="213"/>
      <c r="K168" s="213"/>
      <c r="L168" s="213"/>
      <c r="M168" s="213"/>
      <c r="N168" s="213"/>
      <c r="O168" s="213"/>
      <c r="P168" s="213"/>
      <c r="Q168" s="213"/>
      <c r="R168" s="211">
        <f>INDEX($C$44:$AN$66,MATCH("New Customers 3MS",$C$44:$C$66,0),MATCH($C168,$C$44:$AN$44,0))</f>
        <v>580.36363636363637</v>
      </c>
      <c r="S168" s="211"/>
      <c r="T168" s="211"/>
      <c r="U168" s="211">
        <f>$R$168*(E153)</f>
        <v>551.34545454545457</v>
      </c>
      <c r="V168" s="211"/>
      <c r="W168" s="211"/>
      <c r="X168" s="211">
        <f>$R$168*(H153)</f>
        <v>290.18181818181819</v>
      </c>
      <c r="Y168" s="211"/>
      <c r="Z168" s="211"/>
      <c r="AA168" s="211">
        <f>$R$168*(K153)</f>
        <v>232.14545454545456</v>
      </c>
      <c r="AB168" s="211"/>
      <c r="AC168" s="211"/>
      <c r="AD168" s="211">
        <f>$R$168*(N153)</f>
        <v>203.12727272727273</v>
      </c>
      <c r="AE168" s="211"/>
      <c r="AF168" s="211"/>
      <c r="AG168" s="211">
        <f>$R$168*(Q153)</f>
        <v>98.661818181818191</v>
      </c>
      <c r="AH168" s="211"/>
      <c r="AI168" s="211"/>
      <c r="AJ168" s="211">
        <f>$R$168*(T153)</f>
        <v>87.054545454545448</v>
      </c>
      <c r="AK168" s="211"/>
      <c r="AL168" s="211"/>
      <c r="AM168" s="211">
        <f>$R$168*(W153)</f>
        <v>81.250909090909104</v>
      </c>
      <c r="AN168" s="211"/>
    </row>
    <row r="169" spans="2:42" s="7" customFormat="1" ht="12" customHeight="1" outlineLevel="2">
      <c r="B169" s="245"/>
      <c r="C169" s="213" t="s">
        <v>767</v>
      </c>
      <c r="D169" s="213"/>
      <c r="E169" s="213"/>
      <c r="F169" s="213"/>
      <c r="G169" s="213"/>
      <c r="H169" s="213"/>
      <c r="I169" s="213"/>
      <c r="J169" s="213"/>
      <c r="K169" s="213"/>
      <c r="L169" s="213"/>
      <c r="M169" s="213"/>
      <c r="N169" s="213"/>
      <c r="O169" s="213"/>
      <c r="P169" s="213"/>
      <c r="Q169" s="213"/>
      <c r="R169" s="213"/>
      <c r="S169" s="211">
        <f>INDEX($C$44:$AN$66,MATCH("New Customers 3MS",$C$44:$C$66,0),MATCH($C169,$C$44:$AN$44,0))</f>
        <v>702.24000000000012</v>
      </c>
      <c r="T169" s="211"/>
      <c r="U169" s="211"/>
      <c r="V169" s="211">
        <f>$S$169*(E153)</f>
        <v>667.12800000000004</v>
      </c>
      <c r="W169" s="211"/>
      <c r="X169" s="211"/>
      <c r="Y169" s="211">
        <f>$S$169*(H153)</f>
        <v>351.12000000000006</v>
      </c>
      <c r="Z169" s="211"/>
      <c r="AA169" s="211"/>
      <c r="AB169" s="211">
        <f>$S$169*(K153)</f>
        <v>280.89600000000007</v>
      </c>
      <c r="AC169" s="211"/>
      <c r="AD169" s="211"/>
      <c r="AE169" s="211">
        <f>$S$169*(N153)</f>
        <v>245.78400000000002</v>
      </c>
      <c r="AF169" s="211"/>
      <c r="AG169" s="211"/>
      <c r="AH169" s="211">
        <f>$S$169*(Q153)</f>
        <v>119.38080000000004</v>
      </c>
      <c r="AI169" s="211"/>
      <c r="AJ169" s="211"/>
      <c r="AK169" s="211">
        <f>$S$169*(T153)</f>
        <v>105.33600000000001</v>
      </c>
      <c r="AL169" s="211"/>
      <c r="AM169" s="211"/>
      <c r="AN169" s="211">
        <f>$S$169*(W153)</f>
        <v>98.313600000000022</v>
      </c>
    </row>
    <row r="170" spans="2:42" s="7" customFormat="1" ht="12" customHeight="1" outlineLevel="2">
      <c r="B170" s="245"/>
      <c r="C170" s="213" t="s">
        <v>768</v>
      </c>
      <c r="D170" s="213"/>
      <c r="E170" s="213"/>
      <c r="F170" s="213"/>
      <c r="G170" s="213"/>
      <c r="H170" s="213"/>
      <c r="I170" s="213"/>
      <c r="J170" s="213"/>
      <c r="K170" s="213"/>
      <c r="L170" s="213"/>
      <c r="M170" s="213"/>
      <c r="N170" s="213"/>
      <c r="O170" s="213"/>
      <c r="P170" s="213"/>
      <c r="Q170" s="213"/>
      <c r="R170" s="213"/>
      <c r="S170" s="213"/>
      <c r="T170" s="211">
        <f>INDEX($C$44:$AN$66,MATCH("New Customers 3MS",$C$44:$C$66,0),MATCH($C170,$C$44:$AN$44,0))</f>
        <v>869.02200000000016</v>
      </c>
      <c r="U170" s="211"/>
      <c r="V170" s="211"/>
      <c r="W170" s="211">
        <f>$T$170*(E153)</f>
        <v>825.57090000000017</v>
      </c>
      <c r="X170" s="211"/>
      <c r="Y170" s="211"/>
      <c r="Z170" s="211">
        <f>$T$170*(H153)</f>
        <v>434.51100000000008</v>
      </c>
      <c r="AA170" s="211"/>
      <c r="AB170" s="211"/>
      <c r="AC170" s="211">
        <f>$T$170*(K153)</f>
        <v>347.60880000000009</v>
      </c>
      <c r="AD170" s="211"/>
      <c r="AE170" s="211"/>
      <c r="AF170" s="211">
        <f>$T$170*(N153)</f>
        <v>304.15770000000003</v>
      </c>
      <c r="AG170" s="211"/>
      <c r="AH170" s="211"/>
      <c r="AI170" s="211">
        <f>$T$170*(Q153)</f>
        <v>147.73374000000004</v>
      </c>
      <c r="AJ170" s="211"/>
      <c r="AK170" s="211"/>
      <c r="AL170" s="211">
        <f>$T$170*(T153)</f>
        <v>130.35330000000002</v>
      </c>
      <c r="AM170" s="211"/>
      <c r="AN170" s="211"/>
      <c r="AO170" s="211"/>
    </row>
    <row r="171" spans="2:42" s="7" customFormat="1" ht="12" customHeight="1" outlineLevel="2">
      <c r="B171" s="245"/>
      <c r="C171" s="213" t="s">
        <v>769</v>
      </c>
      <c r="D171" s="213"/>
      <c r="E171" s="213"/>
      <c r="F171" s="213"/>
      <c r="G171" s="213"/>
      <c r="H171" s="213"/>
      <c r="I171" s="213"/>
      <c r="J171" s="213"/>
      <c r="K171" s="213"/>
      <c r="L171" s="213"/>
      <c r="M171" s="213"/>
      <c r="N171" s="213"/>
      <c r="O171" s="213"/>
      <c r="P171" s="213"/>
      <c r="Q171" s="213"/>
      <c r="R171" s="213"/>
      <c r="S171" s="213"/>
      <c r="T171" s="213"/>
      <c r="U171" s="211">
        <f>INDEX($C$44:$AN$66,MATCH("New Customers 3MS",$C$44:$C$66,0),MATCH($C171,$C$44:$AN$44,0))</f>
        <v>1006.2360000000004</v>
      </c>
      <c r="V171" s="211"/>
      <c r="W171" s="211"/>
      <c r="X171" s="211">
        <f>$U$171*(E153)</f>
        <v>955.92420000000038</v>
      </c>
      <c r="Y171" s="211"/>
      <c r="Z171" s="211"/>
      <c r="AA171" s="211">
        <f>$U$171*(H153)</f>
        <v>503.11800000000022</v>
      </c>
      <c r="AB171" s="211"/>
      <c r="AC171" s="211"/>
      <c r="AD171" s="211">
        <f>$U$171*(K153)</f>
        <v>402.49440000000021</v>
      </c>
      <c r="AE171" s="211"/>
      <c r="AF171" s="211"/>
      <c r="AG171" s="211">
        <f>$U$171*(N153)</f>
        <v>352.18260000000015</v>
      </c>
      <c r="AH171" s="211"/>
      <c r="AI171" s="211"/>
      <c r="AJ171" s="211">
        <f>$U$171*(Q153)</f>
        <v>171.0601200000001</v>
      </c>
      <c r="AK171" s="211"/>
      <c r="AL171" s="211"/>
      <c r="AM171" s="211">
        <f>$U$171*(T153)</f>
        <v>150.93540000000007</v>
      </c>
      <c r="AN171" s="211"/>
      <c r="AP171" s="211"/>
    </row>
    <row r="172" spans="2:42" s="7" customFormat="1" ht="12" customHeight="1" outlineLevel="2">
      <c r="B172" s="245"/>
      <c r="C172" s="213" t="s">
        <v>770</v>
      </c>
      <c r="D172" s="213"/>
      <c r="E172" s="213"/>
      <c r="F172" s="213"/>
      <c r="G172" s="213"/>
      <c r="H172" s="213"/>
      <c r="I172" s="213"/>
      <c r="J172" s="213"/>
      <c r="K172" s="213"/>
      <c r="L172" s="213"/>
      <c r="M172" s="213"/>
      <c r="N172" s="213"/>
      <c r="O172" s="213"/>
      <c r="P172" s="213"/>
      <c r="Q172" s="213"/>
      <c r="R172" s="213"/>
      <c r="S172" s="213"/>
      <c r="T172" s="213"/>
      <c r="U172" s="213"/>
      <c r="V172" s="211">
        <f>INDEX($C$44:$AN$66,MATCH("New Customers 3MS",$C$44:$C$66,0),MATCH($C172,$C$44:$AN$44,0))</f>
        <v>1106.8596000000007</v>
      </c>
      <c r="W172" s="211"/>
      <c r="X172" s="211"/>
      <c r="Y172" s="211">
        <f>$V$172*(E153)</f>
        <v>1051.5166200000006</v>
      </c>
      <c r="Z172" s="211"/>
      <c r="AA172" s="211"/>
      <c r="AB172" s="211">
        <f>$V$172*(H153)</f>
        <v>553.42980000000034</v>
      </c>
      <c r="AC172" s="211"/>
      <c r="AD172" s="211"/>
      <c r="AE172" s="211">
        <f>$V$172*(K153)</f>
        <v>442.74384000000032</v>
      </c>
      <c r="AF172" s="211"/>
      <c r="AG172" s="211"/>
      <c r="AH172" s="211">
        <f>$V$172*(N153)</f>
        <v>387.40086000000019</v>
      </c>
      <c r="AI172" s="211"/>
      <c r="AJ172" s="211"/>
      <c r="AK172" s="211">
        <f>$V$172*(Q153)</f>
        <v>188.16613200000012</v>
      </c>
      <c r="AL172" s="211"/>
      <c r="AM172" s="211"/>
      <c r="AN172" s="211">
        <f>$V$172*(T153)</f>
        <v>166.02894000000009</v>
      </c>
    </row>
    <row r="173" spans="2:42" s="7" customFormat="1" ht="12" customHeight="1" outlineLevel="2">
      <c r="B173" s="245"/>
      <c r="C173" s="213" t="s">
        <v>771</v>
      </c>
      <c r="D173" s="213"/>
      <c r="E173" s="213"/>
      <c r="F173" s="213"/>
      <c r="G173" s="213"/>
      <c r="H173" s="213"/>
      <c r="I173" s="213"/>
      <c r="J173" s="213"/>
      <c r="K173" s="213"/>
      <c r="L173" s="213"/>
      <c r="M173" s="213"/>
      <c r="N173" s="213"/>
      <c r="O173" s="213"/>
      <c r="P173" s="213"/>
      <c r="Q173" s="213"/>
      <c r="R173" s="213"/>
      <c r="S173" s="213"/>
      <c r="T173" s="213"/>
      <c r="U173" s="213"/>
      <c r="V173" s="213"/>
      <c r="W173" s="211">
        <f>INDEX($C$44:$AN$66,MATCH("New Customers 3MS",$C$44:$C$66,0),MATCH($C173,$C$44:$AN$44,0))</f>
        <v>1162.2025800000006</v>
      </c>
      <c r="X173" s="211"/>
      <c r="Y173" s="211"/>
      <c r="Z173" s="211">
        <f>$W$173*(E153)</f>
        <v>1104.0924510000004</v>
      </c>
      <c r="AA173" s="211"/>
      <c r="AB173" s="211"/>
      <c r="AC173" s="211">
        <f>$W$173*(H153)</f>
        <v>581.10129000000029</v>
      </c>
      <c r="AD173" s="211"/>
      <c r="AE173" s="211"/>
      <c r="AF173" s="211">
        <f>$W$173*(K153)</f>
        <v>464.88103200000023</v>
      </c>
      <c r="AG173" s="211"/>
      <c r="AH173" s="211"/>
      <c r="AI173" s="211">
        <f>$W$173*(N153)</f>
        <v>406.7709030000002</v>
      </c>
      <c r="AJ173" s="211"/>
      <c r="AK173" s="211"/>
      <c r="AL173" s="211">
        <f>$W$173*(Q153)</f>
        <v>197.57443860000012</v>
      </c>
      <c r="AM173" s="211"/>
      <c r="AN173" s="211"/>
    </row>
    <row r="174" spans="2:42" s="7" customFormat="1" ht="12" customHeight="1" outlineLevel="2">
      <c r="B174" s="245"/>
      <c r="C174" s="213" t="s">
        <v>772</v>
      </c>
      <c r="D174" s="213"/>
      <c r="E174" s="213"/>
      <c r="F174" s="213"/>
      <c r="G174" s="213"/>
      <c r="H174" s="213"/>
      <c r="I174" s="213"/>
      <c r="J174" s="213"/>
      <c r="K174" s="213"/>
      <c r="L174" s="213"/>
      <c r="M174" s="213"/>
      <c r="N174" s="213"/>
      <c r="O174" s="213"/>
      <c r="P174" s="213"/>
      <c r="Q174" s="213"/>
      <c r="R174" s="213"/>
      <c r="S174" s="213"/>
      <c r="T174" s="213"/>
      <c r="U174" s="213"/>
      <c r="V174" s="213"/>
      <c r="W174" s="213"/>
      <c r="X174" s="211">
        <f>INDEX($C$44:$AN$66,MATCH("New Customers 3MS",$C$44:$C$66,0),MATCH($C174,$C$44:$AN$44,0))</f>
        <v>1220.3127090000005</v>
      </c>
      <c r="Y174" s="211"/>
      <c r="Z174" s="211"/>
      <c r="AA174" s="211">
        <f>$X$174*(E153)</f>
        <v>1159.2970735500005</v>
      </c>
      <c r="AB174" s="211"/>
      <c r="AC174" s="211"/>
      <c r="AD174" s="211">
        <f>$X$174*(H153)</f>
        <v>610.15635450000025</v>
      </c>
      <c r="AE174" s="211"/>
      <c r="AF174" s="211"/>
      <c r="AG174" s="211">
        <f>$X$174*(K153)</f>
        <v>488.12508360000021</v>
      </c>
      <c r="AH174" s="211"/>
      <c r="AI174" s="211"/>
      <c r="AJ174" s="211">
        <f>$X$174*(N153)</f>
        <v>427.10944815000016</v>
      </c>
      <c r="AK174" s="211"/>
      <c r="AL174" s="211"/>
      <c r="AM174" s="211">
        <f>$X$174*(Q153)</f>
        <v>207.4531605300001</v>
      </c>
      <c r="AN174" s="211"/>
    </row>
    <row r="175" spans="2:42" s="7" customFormat="1" ht="12" customHeight="1" outlineLevel="2">
      <c r="B175" s="245"/>
      <c r="C175" s="213" t="s">
        <v>773</v>
      </c>
      <c r="D175" s="213"/>
      <c r="E175" s="213"/>
      <c r="F175" s="213"/>
      <c r="G175" s="213"/>
      <c r="H175" s="213"/>
      <c r="I175" s="213"/>
      <c r="J175" s="213"/>
      <c r="K175" s="213"/>
      <c r="L175" s="213"/>
      <c r="M175" s="213"/>
      <c r="N175" s="213"/>
      <c r="O175" s="213"/>
      <c r="P175" s="213"/>
      <c r="Q175" s="213"/>
      <c r="R175" s="213"/>
      <c r="S175" s="213"/>
      <c r="T175" s="213"/>
      <c r="U175" s="213"/>
      <c r="V175" s="213"/>
      <c r="W175" s="213"/>
      <c r="X175" s="213"/>
      <c r="Y175" s="211">
        <f>INDEX($C$44:$AN$66,MATCH("New Customers 3MS",$C$44:$C$66,0),MATCH($C175,$C$44:$AN$44,0))</f>
        <v>1281.3283444500009</v>
      </c>
      <c r="Z175" s="211"/>
      <c r="AA175" s="211"/>
      <c r="AB175" s="211">
        <f>$Y$175*(E153)</f>
        <v>1217.2619272275008</v>
      </c>
      <c r="AC175" s="211"/>
      <c r="AD175" s="211"/>
      <c r="AE175" s="211">
        <f>$Y$175*(H153)</f>
        <v>640.66417222500047</v>
      </c>
      <c r="AF175" s="211"/>
      <c r="AG175" s="211"/>
      <c r="AH175" s="211">
        <f>$Y$175*(K153)</f>
        <v>512.5313377800004</v>
      </c>
      <c r="AI175" s="211"/>
      <c r="AJ175" s="211"/>
      <c r="AK175" s="211">
        <f>$Y$175*(N153)</f>
        <v>448.46492055750031</v>
      </c>
      <c r="AL175" s="211"/>
      <c r="AM175" s="211"/>
      <c r="AN175" s="211">
        <f>$Y$175*(Q153)</f>
        <v>217.82581855650017</v>
      </c>
    </row>
    <row r="176" spans="2:42" s="7" customFormat="1" ht="12" customHeight="1" outlineLevel="2">
      <c r="B176" s="245"/>
      <c r="C176" s="213" t="s">
        <v>774</v>
      </c>
      <c r="D176" s="213"/>
      <c r="E176" s="213"/>
      <c r="F176" s="213"/>
      <c r="G176" s="213"/>
      <c r="H176" s="213"/>
      <c r="I176" s="213"/>
      <c r="J176" s="213"/>
      <c r="K176" s="213"/>
      <c r="L176" s="213"/>
      <c r="M176" s="213"/>
      <c r="N176" s="213"/>
      <c r="O176" s="213"/>
      <c r="P176" s="213"/>
      <c r="Q176" s="213"/>
      <c r="R176" s="213"/>
      <c r="S176" s="213"/>
      <c r="T176" s="213"/>
      <c r="U176" s="213"/>
      <c r="V176" s="213"/>
      <c r="W176" s="213"/>
      <c r="X176" s="213"/>
      <c r="Y176" s="213"/>
      <c r="Z176" s="211">
        <f>INDEX($C$44:$AN$66,MATCH("New Customers 3MS",$C$44:$C$66,0),MATCH($C176,$C$44:$AN$44,0))</f>
        <v>1345.3947616725011</v>
      </c>
      <c r="AA176" s="211"/>
      <c r="AB176" s="211"/>
      <c r="AC176" s="211">
        <f>$Z$176*(E153)</f>
        <v>1278.125023588876</v>
      </c>
      <c r="AD176" s="211"/>
      <c r="AE176" s="211"/>
      <c r="AF176" s="211">
        <f>$Z$176*(H153)</f>
        <v>672.69738083625055</v>
      </c>
      <c r="AG176" s="211"/>
      <c r="AH176" s="211"/>
      <c r="AI176" s="211">
        <f>$Z$176*(K153)</f>
        <v>538.15790466900046</v>
      </c>
      <c r="AJ176" s="211"/>
      <c r="AK176" s="211"/>
      <c r="AL176" s="211">
        <f>$Z$176*(N153)</f>
        <v>470.88816658537536</v>
      </c>
      <c r="AM176" s="211"/>
      <c r="AN176" s="211"/>
    </row>
    <row r="177" spans="2:41" s="7" customFormat="1" ht="12" customHeight="1" outlineLevel="2">
      <c r="B177" s="245"/>
      <c r="C177" s="213" t="s">
        <v>775</v>
      </c>
      <c r="D177" s="213"/>
      <c r="E177" s="213"/>
      <c r="F177" s="213"/>
      <c r="G177" s="213"/>
      <c r="H177" s="213"/>
      <c r="I177" s="213"/>
      <c r="J177" s="213"/>
      <c r="K177" s="213"/>
      <c r="L177" s="213"/>
      <c r="M177" s="213"/>
      <c r="N177" s="213"/>
      <c r="O177" s="213"/>
      <c r="P177" s="213"/>
      <c r="Q177" s="213"/>
      <c r="R177" s="213"/>
      <c r="S177" s="213"/>
      <c r="T177" s="213"/>
      <c r="U177" s="213"/>
      <c r="V177" s="213"/>
      <c r="W177" s="213"/>
      <c r="X177" s="213"/>
      <c r="Y177" s="213"/>
      <c r="Z177" s="213"/>
      <c r="AA177" s="211">
        <f>INDEX($C$44:$AN$66,MATCH("New Customers 3MS",$C$44:$C$66,0),MATCH($C177,$C$44:$AN$44,0))</f>
        <v>1412.6644997561259</v>
      </c>
      <c r="AB177" s="211"/>
      <c r="AC177" s="211"/>
      <c r="AD177" s="211">
        <f>$AA$177*(E153)</f>
        <v>1342.0312747683195</v>
      </c>
      <c r="AE177" s="211"/>
      <c r="AF177" s="211"/>
      <c r="AG177" s="211">
        <f>$AA$177*(H153)</f>
        <v>706.33224987806295</v>
      </c>
      <c r="AH177" s="211"/>
      <c r="AI177" s="211"/>
      <c r="AJ177" s="211">
        <f>$AA$177*(K153)</f>
        <v>565.06579990245041</v>
      </c>
      <c r="AK177" s="211"/>
      <c r="AL177" s="211"/>
      <c r="AM177" s="211">
        <f>$AA$177*(N153)</f>
        <v>494.43257491464402</v>
      </c>
      <c r="AN177" s="211"/>
    </row>
    <row r="178" spans="2:41" s="7" customFormat="1" ht="12" customHeight="1" outlineLevel="2">
      <c r="B178" s="245"/>
      <c r="C178" s="213" t="s">
        <v>776</v>
      </c>
      <c r="D178" s="213"/>
      <c r="E178" s="213"/>
      <c r="F178" s="213"/>
      <c r="G178" s="213"/>
      <c r="H178" s="213"/>
      <c r="I178" s="213"/>
      <c r="J178" s="213"/>
      <c r="K178" s="213"/>
      <c r="L178" s="213"/>
      <c r="M178" s="213"/>
      <c r="N178" s="213"/>
      <c r="O178" s="213"/>
      <c r="P178" s="213"/>
      <c r="Q178" s="213"/>
      <c r="R178" s="213"/>
      <c r="S178" s="213"/>
      <c r="T178" s="213"/>
      <c r="U178" s="213"/>
      <c r="V178" s="213"/>
      <c r="W178" s="213"/>
      <c r="X178" s="213"/>
      <c r="Y178" s="213"/>
      <c r="Z178" s="213"/>
      <c r="AA178" s="213"/>
      <c r="AB178" s="211">
        <f>INDEX($C$44:$AN$66,MATCH("New Customers 3MS",$C$44:$C$66,0),MATCH($C178,$C$44:$AN$44,0))</f>
        <v>1483.2977247439323</v>
      </c>
      <c r="AC178" s="211"/>
      <c r="AD178" s="211"/>
      <c r="AE178" s="211">
        <f>$AB$178*(E153)</f>
        <v>1409.1328385067357</v>
      </c>
      <c r="AF178" s="211"/>
      <c r="AG178" s="211"/>
      <c r="AH178" s="211">
        <f>$AB$178*(H153)</f>
        <v>741.64886237196617</v>
      </c>
      <c r="AI178" s="211"/>
      <c r="AJ178" s="211"/>
      <c r="AK178" s="211">
        <f>$AB$178*(K153)</f>
        <v>593.31908989757301</v>
      </c>
      <c r="AL178" s="211"/>
      <c r="AM178" s="211"/>
      <c r="AN178" s="211">
        <f>$AB$178*(N153)</f>
        <v>519.15420366037631</v>
      </c>
    </row>
    <row r="179" spans="2:41" s="7" customFormat="1" ht="12" customHeight="1" outlineLevel="2">
      <c r="B179" s="245"/>
      <c r="C179" s="213" t="s">
        <v>777</v>
      </c>
      <c r="D179" s="213"/>
      <c r="E179" s="213"/>
      <c r="F179" s="213"/>
      <c r="G179" s="213"/>
      <c r="H179" s="213"/>
      <c r="I179" s="213"/>
      <c r="J179" s="213"/>
      <c r="K179" s="213"/>
      <c r="L179" s="213"/>
      <c r="M179" s="213"/>
      <c r="N179" s="213"/>
      <c r="O179" s="213"/>
      <c r="P179" s="213"/>
      <c r="Q179" s="213"/>
      <c r="R179" s="213"/>
      <c r="S179" s="213"/>
      <c r="T179" s="213"/>
      <c r="U179" s="213"/>
      <c r="V179" s="213"/>
      <c r="W179" s="213"/>
      <c r="X179" s="213"/>
      <c r="Y179" s="213"/>
      <c r="Z179" s="213"/>
      <c r="AA179" s="213"/>
      <c r="AB179" s="211"/>
      <c r="AC179" s="211">
        <f>INDEX($C$44:$AN$66,MATCH("New Customers 3MS",$C$44:$C$66,0),MATCH($C179,$C$44:$AN$44,0))</f>
        <v>1597.0172169743007</v>
      </c>
      <c r="AD179" s="211"/>
      <c r="AE179" s="211"/>
      <c r="AF179" s="211">
        <f>$AC$179*(E153)</f>
        <v>1517.1663561255857</v>
      </c>
      <c r="AG179" s="211"/>
      <c r="AH179" s="211"/>
      <c r="AI179" s="211">
        <f>$AC$179*(H153)</f>
        <v>798.50860848715035</v>
      </c>
      <c r="AJ179" s="211"/>
      <c r="AK179" s="211"/>
      <c r="AL179" s="211">
        <f>$AC$179*(K153)</f>
        <v>638.80688678972035</v>
      </c>
      <c r="AM179" s="211"/>
      <c r="AN179" s="211"/>
      <c r="AO179" s="211"/>
    </row>
    <row r="180" spans="2:41" s="7" customFormat="1" ht="12" customHeight="1" outlineLevel="2">
      <c r="B180" s="245"/>
      <c r="C180" s="213" t="s">
        <v>778</v>
      </c>
      <c r="D180" s="213"/>
      <c r="E180" s="213"/>
      <c r="F180" s="213"/>
      <c r="G180" s="213"/>
      <c r="H180" s="213"/>
      <c r="I180" s="213"/>
      <c r="J180" s="213"/>
      <c r="K180" s="213"/>
      <c r="L180" s="213"/>
      <c r="M180" s="213"/>
      <c r="N180" s="213"/>
      <c r="O180" s="213"/>
      <c r="P180" s="213"/>
      <c r="Q180" s="213"/>
      <c r="R180" s="213"/>
      <c r="S180" s="213"/>
      <c r="T180" s="213"/>
      <c r="U180" s="213"/>
      <c r="V180" s="213"/>
      <c r="W180" s="213"/>
      <c r="X180" s="213"/>
      <c r="Y180" s="213"/>
      <c r="Z180" s="213"/>
      <c r="AA180" s="213"/>
      <c r="AB180" s="211"/>
      <c r="AC180" s="211"/>
      <c r="AD180" s="211">
        <f>INDEX($C$44:$AN$66,MATCH("New Customers 3MS",$C$44:$C$66,0),MATCH($C180,$C$44:$AN$44,0))</f>
        <v>1676.8680778230159</v>
      </c>
      <c r="AE180" s="211"/>
      <c r="AF180" s="211"/>
      <c r="AG180" s="211">
        <f>$AD$180*(E153)</f>
        <v>1593.024673931865</v>
      </c>
      <c r="AH180" s="211"/>
      <c r="AI180" s="211"/>
      <c r="AJ180" s="211">
        <f>$AD$180*(H153)</f>
        <v>838.43403891150797</v>
      </c>
      <c r="AK180" s="211"/>
      <c r="AL180" s="211"/>
      <c r="AM180" s="211">
        <f>$AD$180*(K153)</f>
        <v>670.7472311292064</v>
      </c>
      <c r="AN180" s="211"/>
    </row>
    <row r="181" spans="2:41" s="7" customFormat="1" ht="12" customHeight="1" outlineLevel="2">
      <c r="B181" s="245"/>
      <c r="C181" s="213" t="s">
        <v>779</v>
      </c>
      <c r="D181" s="213"/>
      <c r="E181" s="213"/>
      <c r="F181" s="213"/>
      <c r="G181" s="213"/>
      <c r="H181" s="213"/>
      <c r="I181" s="213"/>
      <c r="J181" s="213"/>
      <c r="K181" s="213"/>
      <c r="L181" s="213"/>
      <c r="M181" s="213"/>
      <c r="N181" s="213"/>
      <c r="O181" s="213"/>
      <c r="P181" s="213"/>
      <c r="Q181" s="213"/>
      <c r="R181" s="213"/>
      <c r="S181" s="213"/>
      <c r="T181" s="213"/>
      <c r="U181" s="213"/>
      <c r="V181" s="213"/>
      <c r="W181" s="213"/>
      <c r="X181" s="213"/>
      <c r="Y181" s="213"/>
      <c r="Z181" s="213"/>
      <c r="AA181" s="213"/>
      <c r="AB181" s="211"/>
      <c r="AC181" s="211"/>
      <c r="AD181" s="211"/>
      <c r="AE181" s="211">
        <f>INDEX($C$44:$AN$66,MATCH("New Customers 3MS",$C$44:$C$66,0),MATCH($C181,$C$44:$AN$44,0))</f>
        <v>1760.7114817141669</v>
      </c>
      <c r="AF181" s="211"/>
      <c r="AG181" s="211"/>
      <c r="AH181" s="211">
        <f>$AE$181*(E153)</f>
        <v>1672.6759076284584</v>
      </c>
      <c r="AI181" s="211"/>
      <c r="AJ181" s="211"/>
      <c r="AK181" s="211">
        <f>$AE$181*(H153)</f>
        <v>880.35574085708345</v>
      </c>
      <c r="AL181" s="211"/>
      <c r="AM181" s="211"/>
      <c r="AN181" s="211">
        <f>$AE$181*(K153)</f>
        <v>704.28459268566678</v>
      </c>
    </row>
    <row r="182" spans="2:41" s="7" customFormat="1" ht="12" customHeight="1" outlineLevel="2">
      <c r="B182" s="245"/>
      <c r="C182" s="213" t="s">
        <v>780</v>
      </c>
      <c r="D182" s="213"/>
      <c r="E182" s="213"/>
      <c r="F182" s="213"/>
      <c r="G182" s="213"/>
      <c r="H182" s="213"/>
      <c r="I182" s="213"/>
      <c r="J182" s="213"/>
      <c r="K182" s="213"/>
      <c r="L182" s="213"/>
      <c r="M182" s="213"/>
      <c r="N182" s="213"/>
      <c r="O182" s="213"/>
      <c r="P182" s="213"/>
      <c r="Q182" s="213"/>
      <c r="R182" s="213"/>
      <c r="S182" s="213"/>
      <c r="T182" s="213"/>
      <c r="U182" s="213"/>
      <c r="V182" s="213"/>
      <c r="W182" s="213"/>
      <c r="X182" s="213"/>
      <c r="Y182" s="213"/>
      <c r="Z182" s="213"/>
      <c r="AA182" s="213"/>
      <c r="AB182" s="211"/>
      <c r="AC182" s="211"/>
      <c r="AD182" s="211"/>
      <c r="AE182" s="211"/>
      <c r="AF182" s="211">
        <f>INDEX($C$44:$AN$66,MATCH("New Customers 3MS",$C$44:$C$66,0),MATCH($C182,$C$44:$AN$44,0))</f>
        <v>1848.7470557998749</v>
      </c>
      <c r="AG182" s="211"/>
      <c r="AH182" s="211"/>
      <c r="AI182" s="211">
        <f>$AF$182*(E153)</f>
        <v>1756.3097030098811</v>
      </c>
      <c r="AJ182" s="211"/>
      <c r="AK182" s="211"/>
      <c r="AL182" s="211">
        <f>$AF$182*(H153)</f>
        <v>924.37352789993747</v>
      </c>
      <c r="AM182" s="211"/>
      <c r="AN182" s="211"/>
    </row>
    <row r="183" spans="2:41" s="7" customFormat="1" ht="12" customHeight="1" outlineLevel="2">
      <c r="B183" s="245"/>
      <c r="C183" s="213" t="s">
        <v>781</v>
      </c>
      <c r="D183" s="213"/>
      <c r="E183" s="213"/>
      <c r="F183" s="213"/>
      <c r="G183" s="213"/>
      <c r="H183" s="213"/>
      <c r="I183" s="213"/>
      <c r="J183" s="213"/>
      <c r="K183" s="213"/>
      <c r="L183" s="213"/>
      <c r="M183" s="213"/>
      <c r="N183" s="213"/>
      <c r="O183" s="213"/>
      <c r="P183" s="213"/>
      <c r="Q183" s="213"/>
      <c r="R183" s="213"/>
      <c r="S183" s="213"/>
      <c r="T183" s="213"/>
      <c r="U183" s="213"/>
      <c r="V183" s="213"/>
      <c r="W183" s="213"/>
      <c r="X183" s="213"/>
      <c r="Y183" s="213"/>
      <c r="Z183" s="213"/>
      <c r="AA183" s="213"/>
      <c r="AB183" s="211"/>
      <c r="AC183" s="211"/>
      <c r="AD183" s="211"/>
      <c r="AE183" s="211"/>
      <c r="AF183" s="211"/>
      <c r="AG183" s="211">
        <f>INDEX($C$44:$AN$66,MATCH("New Customers 3MS",$C$44:$C$66,0),MATCH($C183,$C$44:$AN$44,0))</f>
        <v>1941.1844085898688</v>
      </c>
      <c r="AH183" s="211"/>
      <c r="AI183" s="211"/>
      <c r="AJ183" s="211">
        <f>$AG$183*(E153)</f>
        <v>1844.1251881603753</v>
      </c>
      <c r="AK183" s="211"/>
      <c r="AL183" s="211"/>
      <c r="AM183" s="211">
        <f>$AG$183*(H153)</f>
        <v>970.59220429493439</v>
      </c>
      <c r="AN183" s="211"/>
    </row>
    <row r="184" spans="2:41" s="7" customFormat="1" ht="12" customHeight="1" outlineLevel="2">
      <c r="B184" s="245"/>
      <c r="C184" s="213" t="s">
        <v>782</v>
      </c>
      <c r="D184" s="213"/>
      <c r="E184" s="213"/>
      <c r="F184" s="213"/>
      <c r="G184" s="213"/>
      <c r="H184" s="213"/>
      <c r="I184" s="213"/>
      <c r="J184" s="213"/>
      <c r="K184" s="213"/>
      <c r="L184" s="213"/>
      <c r="M184" s="213"/>
      <c r="N184" s="213"/>
      <c r="O184" s="213"/>
      <c r="P184" s="213"/>
      <c r="Q184" s="213"/>
      <c r="R184" s="213"/>
      <c r="S184" s="213"/>
      <c r="T184" s="213"/>
      <c r="U184" s="213"/>
      <c r="V184" s="213"/>
      <c r="W184" s="213"/>
      <c r="X184" s="213"/>
      <c r="Y184" s="213"/>
      <c r="Z184" s="213"/>
      <c r="AA184" s="213"/>
      <c r="AB184" s="211"/>
      <c r="AC184" s="211"/>
      <c r="AD184" s="211"/>
      <c r="AE184" s="211"/>
      <c r="AF184" s="211"/>
      <c r="AG184" s="211"/>
      <c r="AH184" s="211">
        <f>INDEX($C$44:$AN$66,MATCH("New Customers 3MS",$C$44:$C$66,0),MATCH($C184,$C$44:$AN$44,0))</f>
        <v>2038.2436290193625</v>
      </c>
      <c r="AI184" s="211"/>
      <c r="AJ184" s="211"/>
      <c r="AK184" s="211">
        <f>$AH$184*(E153)</f>
        <v>1936.3314475683942</v>
      </c>
      <c r="AL184" s="211"/>
      <c r="AM184" s="211"/>
      <c r="AN184" s="211">
        <f>$AH$184*(H153)</f>
        <v>1019.1218145096813</v>
      </c>
    </row>
    <row r="185" spans="2:41" s="7" customFormat="1" ht="12" customHeight="1" outlineLevel="2">
      <c r="B185" s="245"/>
      <c r="C185" s="213" t="s">
        <v>783</v>
      </c>
      <c r="D185" s="213"/>
      <c r="E185" s="213"/>
      <c r="F185" s="213"/>
      <c r="G185" s="213"/>
      <c r="H185" s="213"/>
      <c r="I185" s="213"/>
      <c r="J185" s="213"/>
      <c r="K185" s="213"/>
      <c r="L185" s="213"/>
      <c r="M185" s="213"/>
      <c r="N185" s="213"/>
      <c r="O185" s="213"/>
      <c r="P185" s="213"/>
      <c r="Q185" s="213"/>
      <c r="R185" s="213"/>
      <c r="S185" s="213"/>
      <c r="T185" s="213"/>
      <c r="U185" s="213"/>
      <c r="V185" s="213"/>
      <c r="W185" s="213"/>
      <c r="X185" s="213"/>
      <c r="Y185" s="213"/>
      <c r="Z185" s="213"/>
      <c r="AA185" s="213"/>
      <c r="AB185" s="211"/>
      <c r="AC185" s="211"/>
      <c r="AD185" s="211"/>
      <c r="AE185" s="211"/>
      <c r="AF185" s="211"/>
      <c r="AG185" s="211"/>
      <c r="AH185" s="211"/>
      <c r="AI185" s="211">
        <f>INDEX($C$44:$AN$66,MATCH("New Customers 3MS",$C$44:$C$66,0),MATCH($C185,$C$44:$AN$44,0))</f>
        <v>2140.1558104703313</v>
      </c>
      <c r="AJ185" s="211"/>
      <c r="AK185" s="211"/>
      <c r="AL185" s="211">
        <f>$AI$185*(E153)</f>
        <v>2033.1480199468147</v>
      </c>
      <c r="AM185" s="211"/>
      <c r="AN185" s="211"/>
    </row>
    <row r="186" spans="2:41" s="7" customFormat="1" ht="12" customHeight="1" outlineLevel="2">
      <c r="B186" s="245"/>
      <c r="C186" s="213" t="s">
        <v>784</v>
      </c>
      <c r="D186" s="213"/>
      <c r="E186" s="213"/>
      <c r="F186" s="213"/>
      <c r="G186" s="213"/>
      <c r="H186" s="213"/>
      <c r="I186" s="213"/>
      <c r="J186" s="213"/>
      <c r="K186" s="213"/>
      <c r="L186" s="213"/>
      <c r="M186" s="213"/>
      <c r="N186" s="213"/>
      <c r="O186" s="213"/>
      <c r="P186" s="213"/>
      <c r="Q186" s="213"/>
      <c r="R186" s="213"/>
      <c r="S186" s="213"/>
      <c r="T186" s="213"/>
      <c r="U186" s="213"/>
      <c r="V186" s="213"/>
      <c r="W186" s="213"/>
      <c r="X186" s="213"/>
      <c r="Y186" s="213"/>
      <c r="Z186" s="213"/>
      <c r="AA186" s="213"/>
      <c r="AB186" s="211"/>
      <c r="AC186" s="211"/>
      <c r="AD186" s="211"/>
      <c r="AE186" s="211"/>
      <c r="AF186" s="211"/>
      <c r="AG186" s="211"/>
      <c r="AH186" s="211"/>
      <c r="AI186" s="211"/>
      <c r="AJ186" s="211">
        <f>INDEX($C$44:$AN$66,MATCH("New Customers 3MS",$C$44:$C$66,0),MATCH($C186,$C$44:$AN$44,0))</f>
        <v>2247.1636009938475</v>
      </c>
      <c r="AK186" s="211"/>
      <c r="AL186" s="211"/>
      <c r="AM186" s="211">
        <f>$AJ$186*(E153)</f>
        <v>2134.8054209441548</v>
      </c>
      <c r="AN186" s="211"/>
    </row>
    <row r="187" spans="2:41" s="7" customFormat="1" ht="12" customHeight="1" outlineLevel="2">
      <c r="B187" s="245"/>
      <c r="C187" s="213" t="s">
        <v>785</v>
      </c>
      <c r="D187" s="213"/>
      <c r="E187" s="213"/>
      <c r="F187" s="213"/>
      <c r="G187" s="213"/>
      <c r="H187" s="213"/>
      <c r="I187" s="213"/>
      <c r="J187" s="213"/>
      <c r="K187" s="213"/>
      <c r="L187" s="213"/>
      <c r="M187" s="213"/>
      <c r="N187" s="213"/>
      <c r="O187" s="213"/>
      <c r="P187" s="213"/>
      <c r="Q187" s="213"/>
      <c r="R187" s="213"/>
      <c r="S187" s="213"/>
      <c r="T187" s="213"/>
      <c r="U187" s="213"/>
      <c r="V187" s="213"/>
      <c r="W187" s="213"/>
      <c r="X187" s="213"/>
      <c r="Y187" s="213"/>
      <c r="Z187" s="213"/>
      <c r="AA187" s="213"/>
      <c r="AB187" s="211"/>
      <c r="AC187" s="211"/>
      <c r="AD187" s="211"/>
      <c r="AE187" s="211"/>
      <c r="AF187" s="211"/>
      <c r="AG187" s="211"/>
      <c r="AH187" s="211"/>
      <c r="AI187" s="211"/>
      <c r="AJ187" s="211"/>
      <c r="AK187" s="211">
        <f>INDEX($C$44:$AN$66,MATCH("New Customers 3MS",$C$44:$C$66,0),MATCH($C187,$C$44:$AN$44,0))</f>
        <v>2359.5217810435402</v>
      </c>
      <c r="AL187" s="211"/>
      <c r="AM187" s="211"/>
      <c r="AN187" s="211">
        <f>$AK$187*(E153)</f>
        <v>2241.5456919913631</v>
      </c>
    </row>
    <row r="188" spans="2:41" s="7" customFormat="1" ht="12" customHeight="1" outlineLevel="2">
      <c r="B188" s="245"/>
      <c r="C188" s="213" t="s">
        <v>786</v>
      </c>
      <c r="D188" s="213"/>
      <c r="E188" s="213"/>
      <c r="F188" s="213"/>
      <c r="G188" s="213"/>
      <c r="H188" s="213"/>
      <c r="I188" s="213"/>
      <c r="J188" s="213"/>
      <c r="K188" s="213"/>
      <c r="L188" s="213"/>
      <c r="M188" s="213"/>
      <c r="N188" s="213"/>
      <c r="O188" s="213"/>
      <c r="P188" s="213"/>
      <c r="Q188" s="213"/>
      <c r="R188" s="213"/>
      <c r="S188" s="213"/>
      <c r="T188" s="213"/>
      <c r="U188" s="213"/>
      <c r="V188" s="213"/>
      <c r="W188" s="213"/>
      <c r="X188" s="213"/>
      <c r="Y188" s="213"/>
      <c r="Z188" s="213"/>
      <c r="AA188" s="213"/>
      <c r="AB188" s="211"/>
      <c r="AC188" s="211"/>
      <c r="AD188" s="211"/>
      <c r="AE188" s="211"/>
      <c r="AF188" s="211"/>
      <c r="AG188" s="211"/>
      <c r="AH188" s="211"/>
      <c r="AI188" s="211"/>
      <c r="AJ188" s="211"/>
      <c r="AK188" s="211"/>
      <c r="AL188" s="211">
        <f>INDEX($C$44:$AN$66,MATCH("New Customers 3MS",$C$44:$C$66,0),MATCH($C188,$C$44:$AN$44,0))</f>
        <v>2477.4978700957172</v>
      </c>
      <c r="AM188" s="211"/>
      <c r="AN188" s="211"/>
    </row>
    <row r="189" spans="2:41" s="7" customFormat="1" ht="12" customHeight="1" outlineLevel="2">
      <c r="B189" s="245"/>
      <c r="C189" s="213" t="s">
        <v>787</v>
      </c>
      <c r="D189" s="213"/>
      <c r="E189" s="213"/>
      <c r="F189" s="213"/>
      <c r="G189" s="213"/>
      <c r="H189" s="213"/>
      <c r="I189" s="213"/>
      <c r="J189" s="213"/>
      <c r="K189" s="213"/>
      <c r="L189" s="213"/>
      <c r="M189" s="213"/>
      <c r="N189" s="213"/>
      <c r="O189" s="213"/>
      <c r="P189" s="213"/>
      <c r="Q189" s="213"/>
      <c r="R189" s="213"/>
      <c r="S189" s="213"/>
      <c r="T189" s="213"/>
      <c r="U189" s="213"/>
      <c r="V189" s="213"/>
      <c r="W189" s="213"/>
      <c r="X189" s="213"/>
      <c r="Y189" s="213"/>
      <c r="Z189" s="213"/>
      <c r="AA189" s="213"/>
      <c r="AB189" s="211"/>
      <c r="AC189" s="211"/>
      <c r="AD189" s="211"/>
      <c r="AE189" s="211"/>
      <c r="AF189" s="211"/>
      <c r="AG189" s="211"/>
      <c r="AH189" s="211"/>
      <c r="AI189" s="211"/>
      <c r="AJ189" s="211"/>
      <c r="AK189" s="211"/>
      <c r="AL189" s="211"/>
      <c r="AM189" s="211">
        <f>INDEX($C$44:$AN$66,MATCH("New Customers 3MS",$C$44:$C$66,0),MATCH($C189,$C$44:$AN$44,0))</f>
        <v>2601.3727636005033</v>
      </c>
      <c r="AN189" s="211"/>
    </row>
    <row r="190" spans="2:41" s="7" customFormat="1" ht="12" customHeight="1" outlineLevel="2">
      <c r="B190" s="245"/>
      <c r="C190" s="213" t="s">
        <v>788</v>
      </c>
      <c r="D190" s="213"/>
      <c r="E190" s="213"/>
      <c r="F190" s="213"/>
      <c r="G190" s="213"/>
      <c r="H190" s="213"/>
      <c r="I190" s="213"/>
      <c r="J190" s="213"/>
      <c r="K190" s="213"/>
      <c r="L190" s="213"/>
      <c r="M190" s="213"/>
      <c r="N190" s="213"/>
      <c r="O190" s="213"/>
      <c r="P190" s="213"/>
      <c r="Q190" s="213"/>
      <c r="R190" s="213"/>
      <c r="S190" s="213"/>
      <c r="T190" s="213"/>
      <c r="U190" s="213"/>
      <c r="V190" s="213"/>
      <c r="W190" s="213"/>
      <c r="X190" s="213"/>
      <c r="Y190" s="213"/>
      <c r="Z190" s="213"/>
      <c r="AA190" s="213"/>
      <c r="AB190" s="211"/>
      <c r="AC190" s="211"/>
      <c r="AD190" s="211"/>
      <c r="AE190" s="211"/>
      <c r="AF190" s="211"/>
      <c r="AG190" s="211"/>
      <c r="AH190" s="211"/>
      <c r="AI190" s="211"/>
      <c r="AJ190" s="211"/>
      <c r="AK190" s="211"/>
      <c r="AL190" s="211"/>
      <c r="AM190" s="211"/>
      <c r="AN190" s="211">
        <f>INDEX($C$44:$AN$66,MATCH("New Customers 3MS",$C$44:$C$66,0),MATCH($C190,$C$44:$AN$44,0))</f>
        <v>2731.4414017805284</v>
      </c>
    </row>
    <row r="191" spans="2:41" s="7" customFormat="1" ht="12" customHeight="1" outlineLevel="2">
      <c r="B191" s="245"/>
      <c r="C191" s="213"/>
      <c r="D191" s="213"/>
      <c r="E191" s="213"/>
      <c r="F191" s="213"/>
      <c r="G191" s="213"/>
      <c r="H191" s="213"/>
      <c r="I191" s="213"/>
      <c r="J191" s="213"/>
      <c r="K191" s="213"/>
      <c r="L191" s="213"/>
      <c r="M191" s="213"/>
      <c r="N191" s="213"/>
      <c r="O191" s="213"/>
      <c r="P191" s="213"/>
      <c r="Q191" s="213"/>
      <c r="R191" s="213"/>
      <c r="S191" s="213"/>
      <c r="T191" s="213"/>
      <c r="U191" s="213"/>
      <c r="V191" s="213"/>
      <c r="W191" s="213"/>
      <c r="X191" s="213"/>
      <c r="Y191" s="213"/>
      <c r="Z191" s="213"/>
      <c r="AA191" s="213"/>
      <c r="AB191" s="211"/>
      <c r="AC191" s="211"/>
      <c r="AD191" s="211"/>
      <c r="AE191" s="211"/>
      <c r="AF191" s="211"/>
      <c r="AG191" s="211"/>
      <c r="AH191" s="211"/>
      <c r="AI191" s="211"/>
      <c r="AJ191" s="211"/>
      <c r="AK191" s="211"/>
      <c r="AL191" s="211"/>
      <c r="AM191" s="211"/>
      <c r="AN191" s="211"/>
    </row>
    <row r="192" spans="2:41" s="7" customFormat="1" ht="12" customHeight="1" outlineLevel="2">
      <c r="B192" s="245"/>
      <c r="C192" s="213"/>
      <c r="D192" s="213"/>
      <c r="E192" s="213"/>
      <c r="F192" s="213"/>
      <c r="G192" s="213"/>
      <c r="H192" s="213"/>
      <c r="I192" s="213"/>
      <c r="J192" s="213"/>
      <c r="K192" s="213"/>
      <c r="L192" s="213"/>
      <c r="M192" s="213"/>
      <c r="N192" s="213"/>
      <c r="O192" s="213"/>
      <c r="P192" s="213"/>
      <c r="Q192" s="213"/>
      <c r="R192" s="213"/>
      <c r="S192" s="213"/>
      <c r="T192" s="213"/>
      <c r="U192" s="213"/>
      <c r="V192" s="213"/>
      <c r="W192" s="213"/>
      <c r="X192" s="213"/>
      <c r="Y192" s="213"/>
      <c r="Z192" s="213"/>
      <c r="AA192" s="213"/>
      <c r="AB192" s="211"/>
      <c r="AC192" s="211"/>
      <c r="AD192" s="211"/>
      <c r="AE192" s="211"/>
      <c r="AF192" s="211"/>
      <c r="AG192" s="211"/>
      <c r="AH192" s="211"/>
      <c r="AI192" s="211"/>
      <c r="AJ192" s="211"/>
      <c r="AK192" s="211"/>
      <c r="AL192" s="211"/>
      <c r="AM192" s="211"/>
      <c r="AN192" s="211"/>
    </row>
    <row r="193" spans="2:40" s="7" customFormat="1" ht="12" customHeight="1" outlineLevel="2">
      <c r="B193" s="245"/>
      <c r="C193" s="213"/>
      <c r="D193" s="213"/>
      <c r="E193" s="213"/>
      <c r="F193" s="213"/>
      <c r="G193" s="213"/>
      <c r="H193" s="213"/>
      <c r="I193" s="213"/>
      <c r="J193" s="213"/>
      <c r="K193" s="213"/>
      <c r="L193" s="213"/>
      <c r="M193" s="213"/>
      <c r="N193" s="213"/>
      <c r="O193" s="213"/>
      <c r="P193" s="213"/>
      <c r="Q193" s="213"/>
      <c r="R193" s="213"/>
      <c r="S193" s="213"/>
      <c r="T193" s="213"/>
      <c r="U193" s="213"/>
      <c r="V193" s="213"/>
      <c r="W193" s="213"/>
      <c r="X193" s="213"/>
      <c r="Y193" s="213"/>
      <c r="Z193" s="213"/>
      <c r="AA193" s="213"/>
      <c r="AB193" s="211"/>
      <c r="AC193" s="211"/>
      <c r="AD193" s="211"/>
      <c r="AE193" s="211"/>
      <c r="AF193" s="211"/>
      <c r="AG193" s="211"/>
      <c r="AH193" s="211"/>
      <c r="AI193" s="211"/>
      <c r="AJ193" s="211"/>
      <c r="AK193" s="211"/>
      <c r="AL193" s="211"/>
      <c r="AM193" s="211"/>
      <c r="AN193" s="211"/>
    </row>
    <row r="194" spans="2:40" s="7" customFormat="1" ht="12" customHeight="1" outlineLevel="2">
      <c r="B194" s="245"/>
      <c r="C194" s="213"/>
      <c r="D194" s="213"/>
      <c r="E194" s="213"/>
      <c r="F194" s="213"/>
      <c r="G194" s="213"/>
      <c r="H194" s="213"/>
      <c r="I194" s="213"/>
      <c r="J194" s="213"/>
      <c r="K194" s="213"/>
      <c r="L194" s="213"/>
      <c r="M194" s="213"/>
      <c r="N194" s="213"/>
      <c r="O194" s="213"/>
      <c r="P194" s="213"/>
      <c r="Q194" s="213"/>
      <c r="R194" s="213"/>
      <c r="S194" s="213"/>
      <c r="T194" s="213"/>
      <c r="U194" s="213"/>
      <c r="V194" s="213"/>
      <c r="W194" s="213"/>
      <c r="X194" s="213"/>
      <c r="Y194" s="213"/>
      <c r="Z194" s="213"/>
      <c r="AA194" s="213"/>
      <c r="AB194" s="211"/>
      <c r="AC194" s="211"/>
      <c r="AD194" s="211"/>
      <c r="AE194" s="211"/>
      <c r="AF194" s="211"/>
      <c r="AG194" s="211"/>
      <c r="AH194" s="211"/>
      <c r="AI194" s="211"/>
      <c r="AJ194" s="211"/>
      <c r="AK194" s="211"/>
      <c r="AL194" s="211"/>
      <c r="AM194" s="211"/>
      <c r="AN194" s="211"/>
    </row>
    <row r="195" spans="2:40" s="7" customFormat="1" ht="12" customHeight="1" outlineLevel="1">
      <c r="B195" s="245"/>
      <c r="C195" s="243" t="s">
        <v>855</v>
      </c>
      <c r="D195" s="214"/>
      <c r="E195" s="214"/>
      <c r="F195" s="214"/>
      <c r="G195" s="214"/>
      <c r="H195" s="214"/>
      <c r="I195" s="214"/>
      <c r="J195" s="214"/>
      <c r="K195" s="214"/>
      <c r="L195" s="214"/>
      <c r="M195" s="214"/>
      <c r="N195" s="214"/>
      <c r="O195" s="214"/>
      <c r="P195" s="214"/>
      <c r="Q195" s="214"/>
      <c r="R195" s="214"/>
      <c r="S195" s="214"/>
      <c r="T195" s="214"/>
      <c r="U195" s="214"/>
      <c r="V195" s="214"/>
      <c r="W195" s="214"/>
      <c r="X195" s="214"/>
      <c r="Y195" s="214"/>
      <c r="Z195" s="214"/>
      <c r="AA195" s="214"/>
      <c r="AB195" s="214"/>
      <c r="AC195" s="211"/>
    </row>
    <row r="196" spans="2:40" s="7" customFormat="1" ht="12" customHeight="1" outlineLevel="1">
      <c r="B196" s="239"/>
      <c r="C196" s="214"/>
      <c r="D196" s="214"/>
      <c r="E196" s="214"/>
      <c r="F196" s="214"/>
      <c r="G196" s="214"/>
      <c r="H196" s="214"/>
      <c r="I196" s="214"/>
      <c r="J196" s="214"/>
      <c r="K196" s="214"/>
      <c r="L196" s="214"/>
      <c r="M196" s="214"/>
      <c r="N196" s="214"/>
      <c r="O196" s="214"/>
      <c r="P196" s="214"/>
      <c r="Q196" s="214"/>
      <c r="R196" s="214"/>
      <c r="S196" s="214"/>
      <c r="T196" s="214"/>
      <c r="U196" s="214"/>
      <c r="V196" s="214"/>
      <c r="W196" s="214"/>
      <c r="X196" s="214"/>
      <c r="Y196" s="214"/>
      <c r="Z196" s="214"/>
      <c r="AA196" s="214"/>
      <c r="AB196" s="214"/>
      <c r="AC196" s="215"/>
    </row>
    <row r="197" spans="2:40" s="7" customFormat="1" outlineLevel="1">
      <c r="B197" s="235"/>
    </row>
    <row r="198" spans="2:40" s="207" customFormat="1">
      <c r="C198" s="248" t="s">
        <v>823</v>
      </c>
    </row>
    <row r="199" spans="2:40" s="7" customFormat="1" ht="12" customHeight="1" outlineLevel="1">
      <c r="B199" s="237"/>
      <c r="C199" s="208"/>
      <c r="D199" s="208"/>
      <c r="E199" s="196" t="s">
        <v>753</v>
      </c>
      <c r="F199" s="196" t="s">
        <v>754</v>
      </c>
      <c r="G199" s="196" t="s">
        <v>755</v>
      </c>
      <c r="H199" s="196" t="s">
        <v>756</v>
      </c>
      <c r="I199" s="196" t="s">
        <v>757</v>
      </c>
      <c r="J199" s="196" t="s">
        <v>758</v>
      </c>
      <c r="K199" s="196" t="s">
        <v>759</v>
      </c>
      <c r="L199" s="196" t="s">
        <v>760</v>
      </c>
      <c r="M199" s="196" t="s">
        <v>761</v>
      </c>
      <c r="N199" s="196" t="s">
        <v>762</v>
      </c>
      <c r="O199" s="196" t="s">
        <v>763</v>
      </c>
      <c r="P199" s="196" t="s">
        <v>764</v>
      </c>
      <c r="Q199" s="196" t="s">
        <v>765</v>
      </c>
      <c r="R199" s="196" t="s">
        <v>766</v>
      </c>
      <c r="S199" s="196" t="s">
        <v>767</v>
      </c>
      <c r="T199" s="196" t="s">
        <v>768</v>
      </c>
      <c r="U199" s="196" t="s">
        <v>769</v>
      </c>
      <c r="V199" s="196" t="s">
        <v>770</v>
      </c>
      <c r="W199" s="196" t="s">
        <v>771</v>
      </c>
      <c r="X199" s="196" t="s">
        <v>772</v>
      </c>
      <c r="Y199" s="196" t="s">
        <v>773</v>
      </c>
      <c r="Z199" s="196" t="s">
        <v>774</v>
      </c>
      <c r="AA199" s="196" t="s">
        <v>775</v>
      </c>
      <c r="AB199" s="196" t="s">
        <v>776</v>
      </c>
      <c r="AC199" s="196" t="s">
        <v>777</v>
      </c>
      <c r="AD199" s="196" t="s">
        <v>778</v>
      </c>
      <c r="AE199" s="196" t="s">
        <v>779</v>
      </c>
      <c r="AF199" s="196" t="s">
        <v>780</v>
      </c>
      <c r="AG199" s="196" t="s">
        <v>781</v>
      </c>
      <c r="AH199" s="196" t="s">
        <v>782</v>
      </c>
      <c r="AI199" s="196" t="s">
        <v>783</v>
      </c>
      <c r="AJ199" s="196" t="s">
        <v>784</v>
      </c>
      <c r="AK199" s="196" t="s">
        <v>785</v>
      </c>
      <c r="AL199" s="196" t="s">
        <v>786</v>
      </c>
      <c r="AM199" s="196" t="s">
        <v>787</v>
      </c>
      <c r="AN199" s="196" t="s">
        <v>788</v>
      </c>
    </row>
    <row r="200" spans="2:40" s="7" customFormat="1" ht="12" customHeight="1" outlineLevel="1">
      <c r="B200" s="239"/>
      <c r="C200" s="214" t="s">
        <v>821</v>
      </c>
      <c r="D200" s="212"/>
      <c r="E200" s="337"/>
      <c r="F200" s="337"/>
      <c r="G200" s="337"/>
      <c r="H200" s="337"/>
      <c r="I200" s="337"/>
      <c r="J200" s="338"/>
      <c r="K200" s="338">
        <f t="shared" ref="K200:AN200" si="214">K36*K40</f>
        <v>0</v>
      </c>
      <c r="L200" s="337">
        <f t="shared" si="214"/>
        <v>0</v>
      </c>
      <c r="M200" s="337">
        <f t="shared" si="214"/>
        <v>0</v>
      </c>
      <c r="N200" s="337">
        <f t="shared" si="214"/>
        <v>0</v>
      </c>
      <c r="O200" s="337">
        <f t="shared" si="214"/>
        <v>0</v>
      </c>
      <c r="P200" s="337">
        <f t="shared" si="214"/>
        <v>0</v>
      </c>
      <c r="Q200" s="337">
        <f t="shared" si="214"/>
        <v>0</v>
      </c>
      <c r="R200" s="337">
        <f t="shared" si="214"/>
        <v>0</v>
      </c>
      <c r="S200" s="337">
        <f t="shared" si="214"/>
        <v>0</v>
      </c>
      <c r="T200" s="337">
        <f t="shared" si="214"/>
        <v>0</v>
      </c>
      <c r="U200" s="337">
        <f t="shared" si="214"/>
        <v>0</v>
      </c>
      <c r="V200" s="337">
        <f t="shared" si="214"/>
        <v>0</v>
      </c>
      <c r="W200" s="337">
        <f t="shared" si="214"/>
        <v>0</v>
      </c>
      <c r="X200" s="337">
        <f t="shared" si="214"/>
        <v>0</v>
      </c>
      <c r="Y200" s="337">
        <f t="shared" si="214"/>
        <v>0</v>
      </c>
      <c r="Z200" s="337">
        <f t="shared" si="214"/>
        <v>0</v>
      </c>
      <c r="AA200" s="337">
        <f t="shared" si="214"/>
        <v>0</v>
      </c>
      <c r="AB200" s="337">
        <f t="shared" si="214"/>
        <v>0</v>
      </c>
      <c r="AC200" s="337">
        <f t="shared" si="214"/>
        <v>0</v>
      </c>
      <c r="AD200" s="337">
        <f t="shared" si="214"/>
        <v>0</v>
      </c>
      <c r="AE200" s="337">
        <f t="shared" si="214"/>
        <v>0</v>
      </c>
      <c r="AF200" s="337">
        <f t="shared" si="214"/>
        <v>0</v>
      </c>
      <c r="AG200" s="337">
        <f t="shared" si="214"/>
        <v>0</v>
      </c>
      <c r="AH200" s="337">
        <f t="shared" si="214"/>
        <v>0</v>
      </c>
      <c r="AI200" s="337">
        <f t="shared" si="214"/>
        <v>0</v>
      </c>
      <c r="AJ200" s="337">
        <f t="shared" si="214"/>
        <v>0</v>
      </c>
      <c r="AK200" s="337">
        <f t="shared" si="214"/>
        <v>0</v>
      </c>
      <c r="AL200" s="337">
        <f t="shared" si="214"/>
        <v>0</v>
      </c>
      <c r="AM200" s="337">
        <f t="shared" si="214"/>
        <v>0</v>
      </c>
      <c r="AN200" s="337">
        <f t="shared" si="214"/>
        <v>0</v>
      </c>
    </row>
    <row r="201" spans="2:40" ht="12" customHeight="1" outlineLevel="1">
      <c r="B201" s="301" t="s">
        <v>856</v>
      </c>
      <c r="C201" s="303" t="s">
        <v>827</v>
      </c>
      <c r="D201" s="302"/>
      <c r="E201" s="312"/>
      <c r="F201" s="312"/>
      <c r="G201" s="312"/>
      <c r="H201" s="312"/>
      <c r="I201" s="312"/>
      <c r="J201" s="312"/>
      <c r="K201" s="312"/>
      <c r="L201" s="312"/>
      <c r="M201" s="313">
        <v>50</v>
      </c>
      <c r="N201" s="313">
        <v>50</v>
      </c>
      <c r="O201" s="313">
        <v>50</v>
      </c>
      <c r="P201" s="313">
        <v>50</v>
      </c>
      <c r="Q201" s="313">
        <v>50</v>
      </c>
      <c r="R201" s="313">
        <v>50</v>
      </c>
      <c r="S201" s="313">
        <v>50</v>
      </c>
      <c r="T201" s="313">
        <v>50</v>
      </c>
      <c r="U201" s="313">
        <v>50</v>
      </c>
      <c r="V201" s="313">
        <v>50</v>
      </c>
      <c r="W201" s="313">
        <v>50</v>
      </c>
      <c r="X201" s="313">
        <v>50</v>
      </c>
      <c r="Y201" s="313">
        <v>50</v>
      </c>
      <c r="Z201" s="313">
        <v>50</v>
      </c>
      <c r="AA201" s="313">
        <v>50</v>
      </c>
      <c r="AB201" s="313">
        <v>50</v>
      </c>
      <c r="AC201" s="313">
        <v>50</v>
      </c>
      <c r="AD201" s="313">
        <v>50</v>
      </c>
      <c r="AE201" s="313">
        <v>50</v>
      </c>
      <c r="AF201" s="313">
        <v>50</v>
      </c>
      <c r="AG201" s="313">
        <v>50</v>
      </c>
      <c r="AH201" s="313">
        <v>50</v>
      </c>
      <c r="AI201" s="313">
        <v>50</v>
      </c>
      <c r="AJ201" s="313">
        <v>50</v>
      </c>
      <c r="AK201" s="313">
        <v>50</v>
      </c>
      <c r="AL201" s="313">
        <v>50</v>
      </c>
      <c r="AM201" s="313">
        <v>50</v>
      </c>
      <c r="AN201" s="313">
        <v>50</v>
      </c>
    </row>
    <row r="202" spans="2:40" s="7" customFormat="1" ht="12" customHeight="1" outlineLevel="1">
      <c r="B202" s="239" t="s">
        <v>828</v>
      </c>
      <c r="C202" s="214" t="s">
        <v>829</v>
      </c>
      <c r="D202" s="212"/>
      <c r="E202" s="232"/>
      <c r="F202" s="232"/>
      <c r="G202" s="232"/>
      <c r="H202" s="232"/>
      <c r="I202" s="232"/>
      <c r="J202" s="232"/>
      <c r="K202" s="232"/>
      <c r="L202" s="232"/>
      <c r="M202" s="205">
        <f t="shared" ref="M202" si="215">M200/M201</f>
        <v>0</v>
      </c>
      <c r="N202" s="205">
        <f t="shared" ref="N202" si="216">N200/N201</f>
        <v>0</v>
      </c>
      <c r="O202" s="205">
        <f t="shared" ref="O202" si="217">O200/O201</f>
        <v>0</v>
      </c>
      <c r="P202" s="205">
        <f t="shared" ref="P202" si="218">P200/P201</f>
        <v>0</v>
      </c>
      <c r="Q202" s="205">
        <f t="shared" ref="Q202" si="219">Q200/Q201</f>
        <v>0</v>
      </c>
      <c r="R202" s="205">
        <f t="shared" ref="R202" si="220">R200/R201</f>
        <v>0</v>
      </c>
      <c r="S202" s="205">
        <f t="shared" ref="S202" si="221">S200/S201</f>
        <v>0</v>
      </c>
      <c r="T202" s="205">
        <f t="shared" ref="T202" si="222">T200/T201</f>
        <v>0</v>
      </c>
      <c r="U202" s="205">
        <f t="shared" ref="U202" si="223">U200/U201</f>
        <v>0</v>
      </c>
      <c r="V202" s="205">
        <f t="shared" ref="V202" si="224">V200/V201</f>
        <v>0</v>
      </c>
      <c r="W202" s="205">
        <f t="shared" ref="W202" si="225">W200/W201</f>
        <v>0</v>
      </c>
      <c r="X202" s="205">
        <f t="shared" ref="X202" si="226">X200/X201</f>
        <v>0</v>
      </c>
      <c r="Y202" s="205">
        <f t="shared" ref="Y202" si="227">Y200/Y201</f>
        <v>0</v>
      </c>
      <c r="Z202" s="205">
        <f t="shared" ref="Z202" si="228">Z200/Z201</f>
        <v>0</v>
      </c>
      <c r="AA202" s="205">
        <f t="shared" ref="AA202" si="229">AA200/AA201</f>
        <v>0</v>
      </c>
      <c r="AB202" s="205">
        <f t="shared" ref="AB202" si="230">AB200/AB201</f>
        <v>0</v>
      </c>
      <c r="AC202" s="205">
        <f t="shared" ref="AC202" si="231">AC200/AC201</f>
        <v>0</v>
      </c>
      <c r="AD202" s="205">
        <f t="shared" ref="AD202" si="232">AD200/AD201</f>
        <v>0</v>
      </c>
      <c r="AE202" s="205">
        <f t="shared" ref="AE202" si="233">AE200/AE201</f>
        <v>0</v>
      </c>
      <c r="AF202" s="205">
        <f t="shared" ref="AF202" si="234">AF200/AF201</f>
        <v>0</v>
      </c>
      <c r="AG202" s="205">
        <f t="shared" ref="AG202" si="235">AG200/AG201</f>
        <v>0</v>
      </c>
      <c r="AH202" s="205">
        <f t="shared" ref="AH202" si="236">AH200/AH201</f>
        <v>0</v>
      </c>
      <c r="AI202" s="205">
        <f t="shared" ref="AI202" si="237">AI200/AI201</f>
        <v>0</v>
      </c>
      <c r="AJ202" s="205">
        <f t="shared" ref="AJ202" si="238">AJ200/AJ201</f>
        <v>0</v>
      </c>
      <c r="AK202" s="205">
        <f t="shared" ref="AK202" si="239">AK200/AK201</f>
        <v>0</v>
      </c>
      <c r="AL202" s="205">
        <f t="shared" ref="AL202" si="240">AL200/AL201</f>
        <v>0</v>
      </c>
      <c r="AM202" s="205">
        <f t="shared" ref="AM202" si="241">AM200/AM201</f>
        <v>0</v>
      </c>
      <c r="AN202" s="205">
        <f t="shared" ref="AN202" si="242">AN200/AN201</f>
        <v>0</v>
      </c>
    </row>
    <row r="203" spans="2:40" ht="12" customHeight="1" outlineLevel="1">
      <c r="B203" s="301"/>
      <c r="C203" s="303" t="s">
        <v>830</v>
      </c>
      <c r="D203" s="302"/>
      <c r="E203" s="314">
        <v>0</v>
      </c>
      <c r="F203" s="314">
        <v>0</v>
      </c>
      <c r="G203" s="314">
        <v>0</v>
      </c>
      <c r="H203" s="314">
        <v>0</v>
      </c>
      <c r="I203" s="314">
        <v>0</v>
      </c>
      <c r="J203" s="314">
        <v>0</v>
      </c>
      <c r="K203" s="314">
        <v>0</v>
      </c>
      <c r="L203" s="314">
        <v>0</v>
      </c>
      <c r="M203" s="315">
        <v>0</v>
      </c>
      <c r="N203" s="315">
        <v>0</v>
      </c>
      <c r="O203" s="315">
        <v>0</v>
      </c>
      <c r="P203" s="315">
        <v>0</v>
      </c>
      <c r="Q203" s="315">
        <v>0</v>
      </c>
      <c r="R203" s="315">
        <v>0</v>
      </c>
      <c r="S203" s="315">
        <v>0</v>
      </c>
      <c r="T203" s="315">
        <v>0</v>
      </c>
      <c r="U203" s="315">
        <v>0</v>
      </c>
      <c r="V203" s="315">
        <v>0</v>
      </c>
      <c r="W203" s="315">
        <v>0</v>
      </c>
      <c r="X203" s="315">
        <v>0</v>
      </c>
      <c r="Y203" s="315">
        <v>0</v>
      </c>
      <c r="Z203" s="315">
        <v>0</v>
      </c>
      <c r="AA203" s="315">
        <v>0</v>
      </c>
      <c r="AB203" s="315">
        <v>0</v>
      </c>
      <c r="AC203" s="315">
        <v>0</v>
      </c>
      <c r="AD203" s="315">
        <v>0</v>
      </c>
      <c r="AE203" s="315">
        <v>0</v>
      </c>
      <c r="AF203" s="315">
        <v>0</v>
      </c>
      <c r="AG203" s="315">
        <v>0</v>
      </c>
      <c r="AH203" s="315">
        <v>0</v>
      </c>
      <c r="AI203" s="315">
        <v>0</v>
      </c>
      <c r="AJ203" s="315">
        <v>0</v>
      </c>
      <c r="AK203" s="315">
        <v>0</v>
      </c>
      <c r="AL203" s="315">
        <v>0</v>
      </c>
      <c r="AM203" s="315">
        <v>0</v>
      </c>
      <c r="AN203" s="315">
        <v>0</v>
      </c>
    </row>
    <row r="204" spans="2:40" s="7" customFormat="1" ht="12" customHeight="1" outlineLevel="1">
      <c r="B204" s="239"/>
      <c r="C204" s="214" t="s">
        <v>831</v>
      </c>
      <c r="D204" s="212"/>
      <c r="E204" s="232">
        <f t="shared" ref="E204" si="243">E202*E203</f>
        <v>0</v>
      </c>
      <c r="F204" s="232">
        <f t="shared" ref="F204:AN204" si="244">F202*F203</f>
        <v>0</v>
      </c>
      <c r="G204" s="232">
        <f t="shared" si="244"/>
        <v>0</v>
      </c>
      <c r="H204" s="232">
        <f t="shared" si="244"/>
        <v>0</v>
      </c>
      <c r="I204" s="232">
        <f t="shared" si="244"/>
        <v>0</v>
      </c>
      <c r="J204" s="232">
        <f t="shared" si="244"/>
        <v>0</v>
      </c>
      <c r="K204" s="232">
        <f t="shared" si="244"/>
        <v>0</v>
      </c>
      <c r="L204" s="232">
        <f t="shared" si="244"/>
        <v>0</v>
      </c>
      <c r="M204" s="205">
        <f t="shared" si="244"/>
        <v>0</v>
      </c>
      <c r="N204" s="205">
        <f t="shared" si="244"/>
        <v>0</v>
      </c>
      <c r="O204" s="205">
        <f t="shared" si="244"/>
        <v>0</v>
      </c>
      <c r="P204" s="205">
        <f t="shared" si="244"/>
        <v>0</v>
      </c>
      <c r="Q204" s="205">
        <f t="shared" si="244"/>
        <v>0</v>
      </c>
      <c r="R204" s="205">
        <f t="shared" si="244"/>
        <v>0</v>
      </c>
      <c r="S204" s="205">
        <f t="shared" si="244"/>
        <v>0</v>
      </c>
      <c r="T204" s="205">
        <f t="shared" si="244"/>
        <v>0</v>
      </c>
      <c r="U204" s="205">
        <f t="shared" si="244"/>
        <v>0</v>
      </c>
      <c r="V204" s="205">
        <f t="shared" si="244"/>
        <v>0</v>
      </c>
      <c r="W204" s="205">
        <f t="shared" si="244"/>
        <v>0</v>
      </c>
      <c r="X204" s="205">
        <f t="shared" si="244"/>
        <v>0</v>
      </c>
      <c r="Y204" s="205">
        <f t="shared" si="244"/>
        <v>0</v>
      </c>
      <c r="Z204" s="205">
        <f t="shared" si="244"/>
        <v>0</v>
      </c>
      <c r="AA204" s="205">
        <f t="shared" si="244"/>
        <v>0</v>
      </c>
      <c r="AB204" s="205">
        <f t="shared" si="244"/>
        <v>0</v>
      </c>
      <c r="AC204" s="205">
        <f t="shared" si="244"/>
        <v>0</v>
      </c>
      <c r="AD204" s="205">
        <f t="shared" si="244"/>
        <v>0</v>
      </c>
      <c r="AE204" s="205">
        <f t="shared" si="244"/>
        <v>0</v>
      </c>
      <c r="AF204" s="205">
        <f t="shared" si="244"/>
        <v>0</v>
      </c>
      <c r="AG204" s="205">
        <f t="shared" si="244"/>
        <v>0</v>
      </c>
      <c r="AH204" s="205">
        <f t="shared" si="244"/>
        <v>0</v>
      </c>
      <c r="AI204" s="205">
        <f t="shared" si="244"/>
        <v>0</v>
      </c>
      <c r="AJ204" s="205">
        <f t="shared" si="244"/>
        <v>0</v>
      </c>
      <c r="AK204" s="205">
        <f t="shared" si="244"/>
        <v>0</v>
      </c>
      <c r="AL204" s="205">
        <f t="shared" si="244"/>
        <v>0</v>
      </c>
      <c r="AM204" s="205">
        <f t="shared" si="244"/>
        <v>0</v>
      </c>
      <c r="AN204" s="205">
        <f t="shared" si="244"/>
        <v>0</v>
      </c>
    </row>
    <row r="205" spans="2:40" s="7" customFormat="1" ht="12" customHeight="1" outlineLevel="1">
      <c r="B205" s="239" t="s">
        <v>828</v>
      </c>
      <c r="C205" s="214" t="s">
        <v>833</v>
      </c>
      <c r="D205" s="212"/>
      <c r="E205" s="232">
        <f>19+7</f>
        <v>26</v>
      </c>
      <c r="F205" s="232">
        <f>152+20</f>
        <v>172</v>
      </c>
      <c r="G205" s="232">
        <f>28+10</f>
        <v>38</v>
      </c>
      <c r="H205" s="232">
        <f>95+13</f>
        <v>108</v>
      </c>
      <c r="I205" s="232">
        <f>24+4</f>
        <v>28</v>
      </c>
      <c r="J205" s="232">
        <f>49+18</f>
        <v>67</v>
      </c>
      <c r="K205" s="232">
        <f>46+21</f>
        <v>67</v>
      </c>
      <c r="L205" s="232">
        <f>13+11</f>
        <v>24</v>
      </c>
      <c r="M205" s="205">
        <f t="shared" ref="M205:AN205" si="245">M202+M204</f>
        <v>0</v>
      </c>
      <c r="N205" s="205">
        <f t="shared" si="245"/>
        <v>0</v>
      </c>
      <c r="O205" s="205">
        <f t="shared" si="245"/>
        <v>0</v>
      </c>
      <c r="P205" s="205">
        <f t="shared" si="245"/>
        <v>0</v>
      </c>
      <c r="Q205" s="205">
        <f t="shared" si="245"/>
        <v>0</v>
      </c>
      <c r="R205" s="205">
        <f t="shared" si="245"/>
        <v>0</v>
      </c>
      <c r="S205" s="205">
        <f t="shared" si="245"/>
        <v>0</v>
      </c>
      <c r="T205" s="205">
        <f t="shared" si="245"/>
        <v>0</v>
      </c>
      <c r="U205" s="205">
        <f t="shared" si="245"/>
        <v>0</v>
      </c>
      <c r="V205" s="205">
        <f t="shared" si="245"/>
        <v>0</v>
      </c>
      <c r="W205" s="205">
        <f t="shared" si="245"/>
        <v>0</v>
      </c>
      <c r="X205" s="205">
        <f t="shared" si="245"/>
        <v>0</v>
      </c>
      <c r="Y205" s="205">
        <f t="shared" si="245"/>
        <v>0</v>
      </c>
      <c r="Z205" s="205">
        <f t="shared" si="245"/>
        <v>0</v>
      </c>
      <c r="AA205" s="205">
        <f t="shared" si="245"/>
        <v>0</v>
      </c>
      <c r="AB205" s="205">
        <f t="shared" si="245"/>
        <v>0</v>
      </c>
      <c r="AC205" s="205">
        <f t="shared" si="245"/>
        <v>0</v>
      </c>
      <c r="AD205" s="205">
        <f t="shared" si="245"/>
        <v>0</v>
      </c>
      <c r="AE205" s="205">
        <f t="shared" si="245"/>
        <v>0</v>
      </c>
      <c r="AF205" s="205">
        <f t="shared" si="245"/>
        <v>0</v>
      </c>
      <c r="AG205" s="205">
        <f t="shared" si="245"/>
        <v>0</v>
      </c>
      <c r="AH205" s="205">
        <f t="shared" si="245"/>
        <v>0</v>
      </c>
      <c r="AI205" s="205">
        <f t="shared" si="245"/>
        <v>0</v>
      </c>
      <c r="AJ205" s="205">
        <f t="shared" si="245"/>
        <v>0</v>
      </c>
      <c r="AK205" s="205">
        <f t="shared" si="245"/>
        <v>0</v>
      </c>
      <c r="AL205" s="205">
        <f t="shared" si="245"/>
        <v>0</v>
      </c>
      <c r="AM205" s="205">
        <f t="shared" si="245"/>
        <v>0</v>
      </c>
      <c r="AN205" s="205">
        <f t="shared" si="245"/>
        <v>0</v>
      </c>
    </row>
    <row r="206" spans="2:40" s="7" customFormat="1" ht="12" customHeight="1" outlineLevel="1">
      <c r="B206" s="239" t="s">
        <v>857</v>
      </c>
      <c r="C206" s="214" t="s">
        <v>834</v>
      </c>
      <c r="D206" s="212"/>
      <c r="E206" s="232"/>
      <c r="F206" s="232"/>
      <c r="G206" s="232"/>
      <c r="H206" s="232"/>
      <c r="I206" s="232"/>
      <c r="J206" s="232"/>
      <c r="K206" s="232"/>
      <c r="L206" s="232"/>
      <c r="M206" s="205">
        <f t="shared" ref="M206:AN206" si="246">M214+M215</f>
        <v>0</v>
      </c>
      <c r="N206" s="205">
        <f t="shared" si="246"/>
        <v>0</v>
      </c>
      <c r="O206" s="205">
        <f t="shared" si="246"/>
        <v>0</v>
      </c>
      <c r="P206" s="205">
        <f t="shared" si="246"/>
        <v>0</v>
      </c>
      <c r="Q206" s="205">
        <f t="shared" si="246"/>
        <v>0</v>
      </c>
      <c r="R206" s="205">
        <f t="shared" si="246"/>
        <v>0</v>
      </c>
      <c r="S206" s="205">
        <f t="shared" si="246"/>
        <v>0</v>
      </c>
      <c r="T206" s="205">
        <f t="shared" si="246"/>
        <v>0</v>
      </c>
      <c r="U206" s="205">
        <f t="shared" si="246"/>
        <v>0</v>
      </c>
      <c r="V206" s="205">
        <f t="shared" si="246"/>
        <v>0</v>
      </c>
      <c r="W206" s="205">
        <f t="shared" si="246"/>
        <v>0</v>
      </c>
      <c r="X206" s="205">
        <f t="shared" si="246"/>
        <v>0</v>
      </c>
      <c r="Y206" s="205">
        <f t="shared" si="246"/>
        <v>0</v>
      </c>
      <c r="Z206" s="205">
        <f t="shared" si="246"/>
        <v>0</v>
      </c>
      <c r="AA206" s="205">
        <f t="shared" si="246"/>
        <v>0</v>
      </c>
      <c r="AB206" s="205">
        <f t="shared" si="246"/>
        <v>0</v>
      </c>
      <c r="AC206" s="205">
        <f t="shared" si="246"/>
        <v>0</v>
      </c>
      <c r="AD206" s="205">
        <f t="shared" si="246"/>
        <v>0</v>
      </c>
      <c r="AE206" s="205">
        <f t="shared" si="246"/>
        <v>0</v>
      </c>
      <c r="AF206" s="205">
        <f t="shared" si="246"/>
        <v>0</v>
      </c>
      <c r="AG206" s="205">
        <f t="shared" si="246"/>
        <v>0</v>
      </c>
      <c r="AH206" s="205">
        <f t="shared" si="246"/>
        <v>0</v>
      </c>
      <c r="AI206" s="205">
        <f t="shared" si="246"/>
        <v>0</v>
      </c>
      <c r="AJ206" s="205">
        <f t="shared" si="246"/>
        <v>0</v>
      </c>
      <c r="AK206" s="205">
        <f t="shared" si="246"/>
        <v>0</v>
      </c>
      <c r="AL206" s="205">
        <f t="shared" si="246"/>
        <v>0</v>
      </c>
      <c r="AM206" s="205">
        <f t="shared" si="246"/>
        <v>0</v>
      </c>
      <c r="AN206" s="205">
        <f t="shared" si="246"/>
        <v>0</v>
      </c>
    </row>
    <row r="207" spans="2:40" s="7" customFormat="1" ht="12" customHeight="1" outlineLevel="1">
      <c r="B207" s="239"/>
      <c r="C207" s="214" t="s">
        <v>835</v>
      </c>
      <c r="D207" s="212"/>
      <c r="E207" s="232">
        <f>E200/E205</f>
        <v>0</v>
      </c>
      <c r="F207" s="232">
        <f t="shared" ref="F207:AN207" si="247">F200/F205</f>
        <v>0</v>
      </c>
      <c r="G207" s="232">
        <f t="shared" si="247"/>
        <v>0</v>
      </c>
      <c r="H207" s="232">
        <f t="shared" si="247"/>
        <v>0</v>
      </c>
      <c r="I207" s="232">
        <f t="shared" si="247"/>
        <v>0</v>
      </c>
      <c r="J207" s="232">
        <f t="shared" si="247"/>
        <v>0</v>
      </c>
      <c r="K207" s="232">
        <f t="shared" si="247"/>
        <v>0</v>
      </c>
      <c r="L207" s="232">
        <f t="shared" si="247"/>
        <v>0</v>
      </c>
      <c r="M207" s="205" t="e">
        <f t="shared" si="247"/>
        <v>#DIV/0!</v>
      </c>
      <c r="N207" s="205" t="e">
        <f t="shared" si="247"/>
        <v>#DIV/0!</v>
      </c>
      <c r="O207" s="205" t="e">
        <f t="shared" si="247"/>
        <v>#DIV/0!</v>
      </c>
      <c r="P207" s="205" t="e">
        <f t="shared" si="247"/>
        <v>#DIV/0!</v>
      </c>
      <c r="Q207" s="205" t="e">
        <f t="shared" si="247"/>
        <v>#DIV/0!</v>
      </c>
      <c r="R207" s="205" t="e">
        <f t="shared" si="247"/>
        <v>#DIV/0!</v>
      </c>
      <c r="S207" s="205" t="e">
        <f t="shared" si="247"/>
        <v>#DIV/0!</v>
      </c>
      <c r="T207" s="205" t="e">
        <f t="shared" si="247"/>
        <v>#DIV/0!</v>
      </c>
      <c r="U207" s="205" t="e">
        <f t="shared" si="247"/>
        <v>#DIV/0!</v>
      </c>
      <c r="V207" s="205" t="e">
        <f t="shared" si="247"/>
        <v>#DIV/0!</v>
      </c>
      <c r="W207" s="205" t="e">
        <f t="shared" si="247"/>
        <v>#DIV/0!</v>
      </c>
      <c r="X207" s="205" t="e">
        <f t="shared" si="247"/>
        <v>#DIV/0!</v>
      </c>
      <c r="Y207" s="205" t="e">
        <f t="shared" si="247"/>
        <v>#DIV/0!</v>
      </c>
      <c r="Z207" s="205" t="e">
        <f t="shared" si="247"/>
        <v>#DIV/0!</v>
      </c>
      <c r="AA207" s="205" t="e">
        <f t="shared" si="247"/>
        <v>#DIV/0!</v>
      </c>
      <c r="AB207" s="205" t="e">
        <f t="shared" si="247"/>
        <v>#DIV/0!</v>
      </c>
      <c r="AC207" s="205" t="e">
        <f t="shared" si="247"/>
        <v>#DIV/0!</v>
      </c>
      <c r="AD207" s="205" t="e">
        <f t="shared" si="247"/>
        <v>#DIV/0!</v>
      </c>
      <c r="AE207" s="205" t="e">
        <f t="shared" si="247"/>
        <v>#DIV/0!</v>
      </c>
      <c r="AF207" s="205" t="e">
        <f t="shared" si="247"/>
        <v>#DIV/0!</v>
      </c>
      <c r="AG207" s="205" t="e">
        <f t="shared" si="247"/>
        <v>#DIV/0!</v>
      </c>
      <c r="AH207" s="205" t="e">
        <f t="shared" si="247"/>
        <v>#DIV/0!</v>
      </c>
      <c r="AI207" s="205" t="e">
        <f t="shared" si="247"/>
        <v>#DIV/0!</v>
      </c>
      <c r="AJ207" s="205" t="e">
        <f t="shared" si="247"/>
        <v>#DIV/0!</v>
      </c>
      <c r="AK207" s="205" t="e">
        <f t="shared" si="247"/>
        <v>#DIV/0!</v>
      </c>
      <c r="AL207" s="205" t="e">
        <f t="shared" si="247"/>
        <v>#DIV/0!</v>
      </c>
      <c r="AM207" s="205" t="e">
        <f t="shared" si="247"/>
        <v>#DIV/0!</v>
      </c>
      <c r="AN207" s="205" t="e">
        <f t="shared" si="247"/>
        <v>#DIV/0!</v>
      </c>
    </row>
    <row r="208" spans="2:40" s="7" customFormat="1" ht="12" customHeight="1" outlineLevel="1">
      <c r="B208" s="239"/>
      <c r="C208" s="214" t="s">
        <v>836</v>
      </c>
      <c r="D208" s="212"/>
      <c r="E208" s="232"/>
      <c r="F208" s="232"/>
      <c r="G208" s="232"/>
      <c r="H208" s="232"/>
      <c r="I208" s="232"/>
      <c r="J208" s="232"/>
      <c r="K208" s="232"/>
      <c r="L208" s="232"/>
      <c r="M208" s="205"/>
      <c r="N208" s="205"/>
      <c r="O208" s="205"/>
      <c r="P208" s="205"/>
      <c r="Q208" s="205"/>
      <c r="R208" s="205"/>
      <c r="S208" s="205"/>
      <c r="T208" s="205"/>
      <c r="U208" s="205"/>
      <c r="V208" s="205"/>
      <c r="W208" s="205"/>
      <c r="X208" s="205"/>
      <c r="Y208" s="205"/>
      <c r="Z208" s="205"/>
      <c r="AA208" s="205"/>
      <c r="AB208" s="205"/>
      <c r="AC208" s="205"/>
      <c r="AD208" s="205"/>
      <c r="AE208" s="205"/>
      <c r="AF208" s="205"/>
      <c r="AG208" s="205"/>
      <c r="AH208" s="205"/>
      <c r="AI208" s="205"/>
      <c r="AJ208" s="205"/>
      <c r="AK208" s="205"/>
      <c r="AL208" s="205"/>
      <c r="AM208" s="205"/>
      <c r="AN208" s="205"/>
    </row>
    <row r="209" spans="2:40" ht="12" customHeight="1" outlineLevel="1">
      <c r="B209" s="316" t="s">
        <v>858</v>
      </c>
      <c r="C209" s="303" t="s">
        <v>837</v>
      </c>
      <c r="D209" s="302"/>
      <c r="E209" s="317">
        <f>19/26</f>
        <v>0.73076923076923073</v>
      </c>
      <c r="F209" s="317">
        <f>152/172</f>
        <v>0.88372093023255816</v>
      </c>
      <c r="G209" s="317">
        <f>28/38</f>
        <v>0.73684210526315785</v>
      </c>
      <c r="H209" s="317">
        <f>95/108</f>
        <v>0.87962962962962965</v>
      </c>
      <c r="I209" s="317">
        <f>24/28</f>
        <v>0.8571428571428571</v>
      </c>
      <c r="J209" s="317">
        <f>49/(49+18)</f>
        <v>0.73134328358208955</v>
      </c>
      <c r="K209" s="317">
        <f>46/(46+21)</f>
        <v>0.68656716417910446</v>
      </c>
      <c r="L209" s="317">
        <f>13/(13+11)</f>
        <v>0.54166666666666663</v>
      </c>
      <c r="M209" s="318">
        <v>0.81762095060748674</v>
      </c>
      <c r="N209" s="318">
        <v>0.81762095060748674</v>
      </c>
      <c r="O209" s="318">
        <v>0.81762095060748674</v>
      </c>
      <c r="P209" s="318">
        <v>0.81762095060748674</v>
      </c>
      <c r="Q209" s="318">
        <v>0.81762095060748674</v>
      </c>
      <c r="R209" s="318">
        <v>0.81762095060748674</v>
      </c>
      <c r="S209" s="318">
        <v>0.81762095060748674</v>
      </c>
      <c r="T209" s="318">
        <v>0.81762095060748674</v>
      </c>
      <c r="U209" s="318">
        <v>0.81762095060748674</v>
      </c>
      <c r="V209" s="318">
        <v>0.81762095060748674</v>
      </c>
      <c r="W209" s="318">
        <v>0.81762095060748674</v>
      </c>
      <c r="X209" s="318">
        <v>0.81762095060748674</v>
      </c>
      <c r="Y209" s="318">
        <v>0.81762095060748674</v>
      </c>
      <c r="Z209" s="318">
        <v>0.81762095060748674</v>
      </c>
      <c r="AA209" s="318">
        <v>0.81762095060748674</v>
      </c>
      <c r="AB209" s="318">
        <v>0.81762095060748674</v>
      </c>
      <c r="AC209" s="318">
        <v>0.81762095060748674</v>
      </c>
      <c r="AD209" s="318">
        <v>0.81762095060748674</v>
      </c>
      <c r="AE209" s="318">
        <v>0.81762095060748674</v>
      </c>
      <c r="AF209" s="318">
        <v>0.81762095060748674</v>
      </c>
      <c r="AG209" s="318">
        <v>0.81762095060748674</v>
      </c>
      <c r="AH209" s="318">
        <v>0.81762095060748674</v>
      </c>
      <c r="AI209" s="318">
        <v>0.81762095060748674</v>
      </c>
      <c r="AJ209" s="318">
        <v>0.81762095060748674</v>
      </c>
      <c r="AK209" s="318">
        <v>0.81762095060748674</v>
      </c>
      <c r="AL209" s="318">
        <v>0.81762095060748674</v>
      </c>
      <c r="AM209" s="318">
        <v>0.81762095060748674</v>
      </c>
      <c r="AN209" s="318">
        <v>0.81762095060748674</v>
      </c>
    </row>
    <row r="210" spans="2:40" ht="12" customHeight="1" outlineLevel="1">
      <c r="B210" s="301" t="s">
        <v>859</v>
      </c>
      <c r="C210" s="303" t="s">
        <v>839</v>
      </c>
      <c r="D210" s="302"/>
      <c r="E210" s="317">
        <f>7/26</f>
        <v>0.26923076923076922</v>
      </c>
      <c r="F210" s="317">
        <v>0.12</v>
      </c>
      <c r="G210" s="317">
        <f>1-G209</f>
        <v>0.26315789473684215</v>
      </c>
      <c r="H210" s="317">
        <f>1-H209</f>
        <v>0.12037037037037035</v>
      </c>
      <c r="I210" s="317">
        <f>1-I209</f>
        <v>0.1428571428571429</v>
      </c>
      <c r="J210" s="317">
        <f>1-J209</f>
        <v>0.26865671641791045</v>
      </c>
      <c r="K210" s="317">
        <f t="shared" ref="K210:L210" si="248">1-K209</f>
        <v>0.31343283582089554</v>
      </c>
      <c r="L210" s="317">
        <f t="shared" si="248"/>
        <v>0.45833333333333337</v>
      </c>
      <c r="M210" s="318">
        <v>0.18237904939251326</v>
      </c>
      <c r="N210" s="318">
        <v>0.18237904939251326</v>
      </c>
      <c r="O210" s="318">
        <v>0.18237904939251326</v>
      </c>
      <c r="P210" s="318">
        <v>0.18237904939251326</v>
      </c>
      <c r="Q210" s="318">
        <v>0.18237904939251326</v>
      </c>
      <c r="R210" s="318">
        <v>0.18237904939251326</v>
      </c>
      <c r="S210" s="318">
        <v>0.18237904939251326</v>
      </c>
      <c r="T210" s="318">
        <v>0.18237904939251326</v>
      </c>
      <c r="U210" s="318">
        <v>0.18237904939251326</v>
      </c>
      <c r="V210" s="318">
        <v>0.18237904939251326</v>
      </c>
      <c r="W210" s="318">
        <v>0.18237904939251326</v>
      </c>
      <c r="X210" s="318">
        <v>0.18237904939251326</v>
      </c>
      <c r="Y210" s="318">
        <v>0.18237904939251326</v>
      </c>
      <c r="Z210" s="318">
        <v>0.18237904939251326</v>
      </c>
      <c r="AA210" s="318">
        <v>0.18237904939251326</v>
      </c>
      <c r="AB210" s="318">
        <v>0.18237904939251326</v>
      </c>
      <c r="AC210" s="318">
        <v>0.18237904939251326</v>
      </c>
      <c r="AD210" s="318">
        <v>0.18237904939251326</v>
      </c>
      <c r="AE210" s="318">
        <v>0.18237904939251326</v>
      </c>
      <c r="AF210" s="318">
        <v>0.18237904939251326</v>
      </c>
      <c r="AG210" s="318">
        <v>0.18237904939251326</v>
      </c>
      <c r="AH210" s="318">
        <v>0.18237904939251326</v>
      </c>
      <c r="AI210" s="318">
        <v>0.18237904939251326</v>
      </c>
      <c r="AJ210" s="318">
        <v>0.18237904939251326</v>
      </c>
      <c r="AK210" s="318">
        <v>0.18237904939251326</v>
      </c>
      <c r="AL210" s="318">
        <v>0.18237904939251326</v>
      </c>
      <c r="AM210" s="318">
        <v>0.18237904939251326</v>
      </c>
      <c r="AN210" s="318">
        <v>0.18237904939251326</v>
      </c>
    </row>
    <row r="211" spans="2:40" ht="12" customHeight="1" outlineLevel="1">
      <c r="B211" s="301"/>
      <c r="C211" s="303" t="s">
        <v>840</v>
      </c>
      <c r="D211" s="302"/>
      <c r="E211" s="317">
        <v>0</v>
      </c>
      <c r="F211" s="317">
        <v>0</v>
      </c>
      <c r="G211" s="317">
        <v>0</v>
      </c>
      <c r="H211" s="317">
        <v>0</v>
      </c>
      <c r="I211" s="317">
        <v>0</v>
      </c>
      <c r="J211" s="317">
        <v>0</v>
      </c>
      <c r="K211" s="317">
        <v>0</v>
      </c>
      <c r="L211" s="317">
        <v>0</v>
      </c>
      <c r="M211" s="318">
        <v>0</v>
      </c>
      <c r="N211" s="318">
        <v>0</v>
      </c>
      <c r="O211" s="318">
        <v>0</v>
      </c>
      <c r="P211" s="318">
        <v>0</v>
      </c>
      <c r="Q211" s="318">
        <v>0</v>
      </c>
      <c r="R211" s="318">
        <v>0</v>
      </c>
      <c r="S211" s="318">
        <v>0</v>
      </c>
      <c r="T211" s="318">
        <v>0</v>
      </c>
      <c r="U211" s="318">
        <v>0</v>
      </c>
      <c r="V211" s="318">
        <v>0</v>
      </c>
      <c r="W211" s="318">
        <v>0</v>
      </c>
      <c r="X211" s="318">
        <v>0</v>
      </c>
      <c r="Y211" s="318">
        <v>0</v>
      </c>
      <c r="Z211" s="318">
        <v>0</v>
      </c>
      <c r="AA211" s="318">
        <v>0</v>
      </c>
      <c r="AB211" s="318">
        <v>0</v>
      </c>
      <c r="AC211" s="318">
        <v>0</v>
      </c>
      <c r="AD211" s="318">
        <v>0</v>
      </c>
      <c r="AE211" s="318">
        <v>0</v>
      </c>
      <c r="AF211" s="318">
        <v>0</v>
      </c>
      <c r="AG211" s="318">
        <v>0</v>
      </c>
      <c r="AH211" s="318">
        <v>0</v>
      </c>
      <c r="AI211" s="318">
        <v>0</v>
      </c>
      <c r="AJ211" s="318">
        <v>0</v>
      </c>
      <c r="AK211" s="318">
        <v>0</v>
      </c>
      <c r="AL211" s="318">
        <v>0</v>
      </c>
      <c r="AM211" s="318">
        <v>0</v>
      </c>
      <c r="AN211" s="318">
        <v>0</v>
      </c>
    </row>
    <row r="212" spans="2:40" s="7" customFormat="1" ht="12" customHeight="1" outlineLevel="1">
      <c r="B212" s="237"/>
      <c r="C212" s="208"/>
      <c r="D212" s="208"/>
      <c r="E212" s="216"/>
      <c r="F212" s="208"/>
      <c r="G212" s="208"/>
      <c r="H212" s="208"/>
      <c r="I212" s="208"/>
      <c r="J212" s="208"/>
      <c r="K212" s="208"/>
      <c r="L212" s="208"/>
      <c r="M212" s="208"/>
      <c r="N212" s="208"/>
      <c r="O212" s="208"/>
      <c r="P212" s="208"/>
      <c r="Q212" s="208"/>
      <c r="R212" s="208"/>
      <c r="S212" s="208"/>
      <c r="T212" s="208"/>
      <c r="U212" s="208"/>
      <c r="V212" s="208"/>
      <c r="W212" s="208"/>
      <c r="X212" s="208"/>
      <c r="Y212" s="208"/>
      <c r="Z212" s="208"/>
      <c r="AA212" s="208"/>
      <c r="AB212" s="208"/>
      <c r="AC212" s="208"/>
      <c r="AD212" s="208"/>
      <c r="AE212" s="208"/>
      <c r="AF212" s="208"/>
      <c r="AG212" s="208"/>
      <c r="AH212" s="208"/>
      <c r="AI212" s="208"/>
      <c r="AJ212" s="208"/>
      <c r="AK212" s="208"/>
      <c r="AL212" s="208"/>
      <c r="AM212" s="208"/>
      <c r="AN212" s="208"/>
    </row>
    <row r="213" spans="2:40" s="7" customFormat="1" ht="12" customHeight="1" outlineLevel="1">
      <c r="B213" s="239"/>
      <c r="C213" s="214" t="s">
        <v>841</v>
      </c>
      <c r="D213" s="214"/>
      <c r="E213" s="209">
        <f>E205*E209</f>
        <v>19</v>
      </c>
      <c r="F213" s="209">
        <f>F205*F209</f>
        <v>152</v>
      </c>
      <c r="G213" s="209">
        <f t="shared" ref="G213:AN213" si="249">G205*G209</f>
        <v>28</v>
      </c>
      <c r="H213" s="209">
        <f>H205*H209</f>
        <v>95</v>
      </c>
      <c r="I213" s="209">
        <f t="shared" si="249"/>
        <v>24</v>
      </c>
      <c r="J213" s="209">
        <f t="shared" si="249"/>
        <v>49</v>
      </c>
      <c r="K213" s="209">
        <f t="shared" si="249"/>
        <v>46</v>
      </c>
      <c r="L213" s="209">
        <f t="shared" si="249"/>
        <v>13</v>
      </c>
      <c r="M213" s="209">
        <f t="shared" si="249"/>
        <v>0</v>
      </c>
      <c r="N213" s="209">
        <f t="shared" si="249"/>
        <v>0</v>
      </c>
      <c r="O213" s="209">
        <f t="shared" si="249"/>
        <v>0</v>
      </c>
      <c r="P213" s="209">
        <f t="shared" si="249"/>
        <v>0</v>
      </c>
      <c r="Q213" s="209">
        <f t="shared" si="249"/>
        <v>0</v>
      </c>
      <c r="R213" s="209">
        <f t="shared" si="249"/>
        <v>0</v>
      </c>
      <c r="S213" s="209">
        <f t="shared" si="249"/>
        <v>0</v>
      </c>
      <c r="T213" s="209">
        <f t="shared" si="249"/>
        <v>0</v>
      </c>
      <c r="U213" s="209">
        <f t="shared" si="249"/>
        <v>0</v>
      </c>
      <c r="V213" s="209">
        <f t="shared" si="249"/>
        <v>0</v>
      </c>
      <c r="W213" s="209">
        <f t="shared" si="249"/>
        <v>0</v>
      </c>
      <c r="X213" s="209">
        <f t="shared" si="249"/>
        <v>0</v>
      </c>
      <c r="Y213" s="209">
        <f t="shared" si="249"/>
        <v>0</v>
      </c>
      <c r="Z213" s="209">
        <f t="shared" si="249"/>
        <v>0</v>
      </c>
      <c r="AA213" s="209">
        <f t="shared" si="249"/>
        <v>0</v>
      </c>
      <c r="AB213" s="209">
        <f t="shared" si="249"/>
        <v>0</v>
      </c>
      <c r="AC213" s="209">
        <f t="shared" si="249"/>
        <v>0</v>
      </c>
      <c r="AD213" s="209">
        <f t="shared" si="249"/>
        <v>0</v>
      </c>
      <c r="AE213" s="209">
        <f t="shared" si="249"/>
        <v>0</v>
      </c>
      <c r="AF213" s="209">
        <f t="shared" si="249"/>
        <v>0</v>
      </c>
      <c r="AG213" s="209">
        <f t="shared" si="249"/>
        <v>0</v>
      </c>
      <c r="AH213" s="209">
        <f t="shared" si="249"/>
        <v>0</v>
      </c>
      <c r="AI213" s="209">
        <f>AI205*AI209</f>
        <v>0</v>
      </c>
      <c r="AJ213" s="209">
        <f t="shared" si="249"/>
        <v>0</v>
      </c>
      <c r="AK213" s="209">
        <f t="shared" si="249"/>
        <v>0</v>
      </c>
      <c r="AL213" s="209">
        <f t="shared" si="249"/>
        <v>0</v>
      </c>
      <c r="AM213" s="209">
        <f t="shared" si="249"/>
        <v>0</v>
      </c>
      <c r="AN213" s="209">
        <f t="shared" si="249"/>
        <v>0</v>
      </c>
    </row>
    <row r="214" spans="2:40" s="7" customFormat="1" ht="12" customHeight="1" outlineLevel="1">
      <c r="B214" s="239"/>
      <c r="C214" s="214" t="s">
        <v>842</v>
      </c>
      <c r="D214" s="214"/>
      <c r="E214" s="209"/>
      <c r="F214" s="209"/>
      <c r="G214" s="209"/>
      <c r="H214" s="209"/>
      <c r="I214" s="209"/>
      <c r="J214" s="209"/>
      <c r="K214" s="209"/>
      <c r="L214" s="209"/>
      <c r="M214" s="209">
        <f t="shared" ref="M214:AN214" si="250">M205*M210</f>
        <v>0</v>
      </c>
      <c r="N214" s="209">
        <f t="shared" si="250"/>
        <v>0</v>
      </c>
      <c r="O214" s="209">
        <f t="shared" si="250"/>
        <v>0</v>
      </c>
      <c r="P214" s="209">
        <f t="shared" si="250"/>
        <v>0</v>
      </c>
      <c r="Q214" s="209">
        <f t="shared" si="250"/>
        <v>0</v>
      </c>
      <c r="R214" s="209">
        <f t="shared" si="250"/>
        <v>0</v>
      </c>
      <c r="S214" s="209">
        <f t="shared" si="250"/>
        <v>0</v>
      </c>
      <c r="T214" s="209">
        <f t="shared" si="250"/>
        <v>0</v>
      </c>
      <c r="U214" s="209">
        <f t="shared" si="250"/>
        <v>0</v>
      </c>
      <c r="V214" s="209">
        <f t="shared" si="250"/>
        <v>0</v>
      </c>
      <c r="W214" s="209">
        <f t="shared" si="250"/>
        <v>0</v>
      </c>
      <c r="X214" s="209">
        <f t="shared" si="250"/>
        <v>0</v>
      </c>
      <c r="Y214" s="209">
        <f t="shared" si="250"/>
        <v>0</v>
      </c>
      <c r="Z214" s="209">
        <f t="shared" si="250"/>
        <v>0</v>
      </c>
      <c r="AA214" s="209">
        <f t="shared" si="250"/>
        <v>0</v>
      </c>
      <c r="AB214" s="209">
        <f t="shared" si="250"/>
        <v>0</v>
      </c>
      <c r="AC214" s="209">
        <f t="shared" si="250"/>
        <v>0</v>
      </c>
      <c r="AD214" s="209">
        <f t="shared" si="250"/>
        <v>0</v>
      </c>
      <c r="AE214" s="209">
        <f t="shared" si="250"/>
        <v>0</v>
      </c>
      <c r="AF214" s="209">
        <f t="shared" si="250"/>
        <v>0</v>
      </c>
      <c r="AG214" s="209">
        <f t="shared" si="250"/>
        <v>0</v>
      </c>
      <c r="AH214" s="209">
        <f t="shared" si="250"/>
        <v>0</v>
      </c>
      <c r="AI214" s="209">
        <f t="shared" si="250"/>
        <v>0</v>
      </c>
      <c r="AJ214" s="209">
        <f t="shared" si="250"/>
        <v>0</v>
      </c>
      <c r="AK214" s="209">
        <f t="shared" si="250"/>
        <v>0</v>
      </c>
      <c r="AL214" s="209">
        <f t="shared" si="250"/>
        <v>0</v>
      </c>
      <c r="AM214" s="209">
        <f t="shared" si="250"/>
        <v>0</v>
      </c>
      <c r="AN214" s="209">
        <f t="shared" si="250"/>
        <v>0</v>
      </c>
    </row>
    <row r="215" spans="2:40" s="7" customFormat="1" ht="12" customHeight="1" outlineLevel="1">
      <c r="B215" s="239"/>
      <c r="C215" s="214" t="s">
        <v>843</v>
      </c>
      <c r="D215" s="214"/>
      <c r="E215" s="209"/>
      <c r="F215" s="209"/>
      <c r="G215" s="209"/>
      <c r="H215" s="209"/>
      <c r="I215" s="209"/>
      <c r="J215" s="209"/>
      <c r="K215" s="209"/>
      <c r="L215" s="209"/>
      <c r="M215" s="209">
        <f t="shared" ref="M215:AN215" si="251">M205*M211</f>
        <v>0</v>
      </c>
      <c r="N215" s="209">
        <f t="shared" si="251"/>
        <v>0</v>
      </c>
      <c r="O215" s="209">
        <f t="shared" si="251"/>
        <v>0</v>
      </c>
      <c r="P215" s="209">
        <f t="shared" si="251"/>
        <v>0</v>
      </c>
      <c r="Q215" s="209">
        <f t="shared" si="251"/>
        <v>0</v>
      </c>
      <c r="R215" s="209">
        <f t="shared" si="251"/>
        <v>0</v>
      </c>
      <c r="S215" s="209">
        <f t="shared" si="251"/>
        <v>0</v>
      </c>
      <c r="T215" s="209">
        <f t="shared" si="251"/>
        <v>0</v>
      </c>
      <c r="U215" s="209">
        <f t="shared" si="251"/>
        <v>0</v>
      </c>
      <c r="V215" s="209">
        <f t="shared" si="251"/>
        <v>0</v>
      </c>
      <c r="W215" s="209">
        <f t="shared" si="251"/>
        <v>0</v>
      </c>
      <c r="X215" s="209">
        <f t="shared" si="251"/>
        <v>0</v>
      </c>
      <c r="Y215" s="209">
        <f t="shared" si="251"/>
        <v>0</v>
      </c>
      <c r="Z215" s="209">
        <f t="shared" si="251"/>
        <v>0</v>
      </c>
      <c r="AA215" s="209">
        <f t="shared" si="251"/>
        <v>0</v>
      </c>
      <c r="AB215" s="209">
        <f t="shared" si="251"/>
        <v>0</v>
      </c>
      <c r="AC215" s="209">
        <f t="shared" si="251"/>
        <v>0</v>
      </c>
      <c r="AD215" s="209">
        <f t="shared" si="251"/>
        <v>0</v>
      </c>
      <c r="AE215" s="209">
        <f t="shared" si="251"/>
        <v>0</v>
      </c>
      <c r="AF215" s="209">
        <f t="shared" si="251"/>
        <v>0</v>
      </c>
      <c r="AG215" s="209">
        <f t="shared" si="251"/>
        <v>0</v>
      </c>
      <c r="AH215" s="209">
        <f t="shared" si="251"/>
        <v>0</v>
      </c>
      <c r="AI215" s="209">
        <f t="shared" si="251"/>
        <v>0</v>
      </c>
      <c r="AJ215" s="209">
        <f t="shared" si="251"/>
        <v>0</v>
      </c>
      <c r="AK215" s="209">
        <f t="shared" si="251"/>
        <v>0</v>
      </c>
      <c r="AL215" s="209">
        <f t="shared" si="251"/>
        <v>0</v>
      </c>
      <c r="AM215" s="209">
        <f t="shared" si="251"/>
        <v>0</v>
      </c>
      <c r="AN215" s="209">
        <f t="shared" si="251"/>
        <v>0</v>
      </c>
    </row>
    <row r="216" spans="2:40" s="7" customFormat="1" ht="12" customHeight="1" outlineLevel="1">
      <c r="B216" s="239"/>
      <c r="C216" s="214" t="s">
        <v>844</v>
      </c>
      <c r="D216" s="214"/>
      <c r="E216" s="209">
        <f>IF((SUM(E226:E262)-E213)&lt;2,ROUNDUP(SUM(E226:E262),0)-E213,ROUNDDOWN(SUM(E226:E262),0)-E213)</f>
        <v>33</v>
      </c>
      <c r="F216" s="209">
        <f t="shared" ref="F216:AN216" si="252">IF((SUM(F226:F262)-F213)&lt;2,ROUNDUP(SUM(F226:F262),0)-F213,ROUNDDOWN(SUM(F226:F262),0)-F213)</f>
        <v>90</v>
      </c>
      <c r="G216" s="343">
        <f>IF((SUM(G226:G262)-G213)&lt;2,ROUNDUP(SUM(G226:G262),0)-G213,ROUNDDOWN(SUM(G226:G262),0)-G213)</f>
        <v>6</v>
      </c>
      <c r="H216" s="209">
        <f t="shared" si="252"/>
        <v>178</v>
      </c>
      <c r="I216" s="209">
        <f>IF((SUM(I226:I262)-I213)&lt;2,ROUNDUP(SUM(I226:I262),0)-I213,ROUNDDOWN(SUM(I226:I262),0)-I213)</f>
        <v>8</v>
      </c>
      <c r="J216" s="209">
        <f t="shared" si="252"/>
        <v>7</v>
      </c>
      <c r="K216" s="209">
        <f t="shared" si="252"/>
        <v>7</v>
      </c>
      <c r="L216" s="209">
        <f>IF((SUM(L226:L262)-L213)&lt;2,ROUNDUP(SUM(L226:L262),0)-L213,ROUNDDOWN(SUM(L226:L262),0)-L213)</f>
        <v>7</v>
      </c>
      <c r="M216" s="209">
        <f t="shared" si="252"/>
        <v>7</v>
      </c>
      <c r="N216" s="209">
        <f t="shared" si="252"/>
        <v>7</v>
      </c>
      <c r="O216" s="209">
        <f t="shared" si="252"/>
        <v>7</v>
      </c>
      <c r="P216" s="209">
        <f t="shared" si="252"/>
        <v>6</v>
      </c>
      <c r="Q216" s="209">
        <f t="shared" si="252"/>
        <v>6</v>
      </c>
      <c r="R216" s="209">
        <f t="shared" si="252"/>
        <v>6</v>
      </c>
      <c r="S216" s="209">
        <f t="shared" si="252"/>
        <v>6</v>
      </c>
      <c r="T216" s="209">
        <f t="shared" si="252"/>
        <v>6</v>
      </c>
      <c r="U216" s="209">
        <f t="shared" si="252"/>
        <v>6</v>
      </c>
      <c r="V216" s="209">
        <f t="shared" si="252"/>
        <v>6</v>
      </c>
      <c r="W216" s="209">
        <f t="shared" si="252"/>
        <v>6</v>
      </c>
      <c r="X216" s="209">
        <f t="shared" si="252"/>
        <v>5</v>
      </c>
      <c r="Y216" s="209">
        <f t="shared" si="252"/>
        <v>5</v>
      </c>
      <c r="Z216" s="209">
        <f t="shared" si="252"/>
        <v>5</v>
      </c>
      <c r="AA216" s="209">
        <f t="shared" si="252"/>
        <v>5</v>
      </c>
      <c r="AB216" s="209">
        <f t="shared" si="252"/>
        <v>5</v>
      </c>
      <c r="AC216" s="209">
        <f t="shared" si="252"/>
        <v>5</v>
      </c>
      <c r="AD216" s="209">
        <f t="shared" si="252"/>
        <v>5</v>
      </c>
      <c r="AE216" s="209">
        <f t="shared" si="252"/>
        <v>5</v>
      </c>
      <c r="AF216" s="209">
        <f t="shared" si="252"/>
        <v>5</v>
      </c>
      <c r="AG216" s="209">
        <f t="shared" si="252"/>
        <v>4</v>
      </c>
      <c r="AH216" s="209">
        <f t="shared" si="252"/>
        <v>4</v>
      </c>
      <c r="AI216" s="209">
        <f t="shared" si="252"/>
        <v>4</v>
      </c>
      <c r="AJ216" s="209">
        <f t="shared" si="252"/>
        <v>4</v>
      </c>
      <c r="AK216" s="209">
        <f t="shared" si="252"/>
        <v>4</v>
      </c>
      <c r="AL216" s="209">
        <f t="shared" si="252"/>
        <v>4</v>
      </c>
      <c r="AM216" s="209">
        <f t="shared" si="252"/>
        <v>4</v>
      </c>
      <c r="AN216" s="209">
        <f t="shared" si="252"/>
        <v>4</v>
      </c>
    </row>
    <row r="217" spans="2:40" s="7" customFormat="1" ht="12" customHeight="1" outlineLevel="1">
      <c r="B217" s="239"/>
      <c r="C217" s="214" t="s">
        <v>845</v>
      </c>
      <c r="D217" s="214"/>
      <c r="E217" s="209">
        <f>IF((SUM(E267:E303)-E214)&lt;2,ROUNDUP(SUM(E267:E303),0)-E214,ROUNDDOWN(SUM(E267:E303),0)-E214)</f>
        <v>0</v>
      </c>
      <c r="F217" s="209">
        <f t="shared" ref="F217:AN217" si="253">IF((SUM(F267:F303)-F214)&lt;2,ROUNDUP(SUM(F267:F303),0)-F214,ROUNDDOWN(SUM(F267:F303),0)-F214)</f>
        <v>0</v>
      </c>
      <c r="G217" s="209">
        <f>IF((SUM(G267:G303)-G214)&lt;2,ROUNDUP(SUM(G267:G303),0)-G214,ROUNDDOWN(SUM(G267:G303),0)-G214)</f>
        <v>0</v>
      </c>
      <c r="H217" s="209">
        <f t="shared" si="253"/>
        <v>0</v>
      </c>
      <c r="I217" s="209">
        <f t="shared" si="253"/>
        <v>-1</v>
      </c>
      <c r="J217" s="209">
        <f t="shared" si="253"/>
        <v>0</v>
      </c>
      <c r="K217" s="209">
        <f t="shared" si="253"/>
        <v>0</v>
      </c>
      <c r="L217" s="209">
        <f t="shared" si="253"/>
        <v>0</v>
      </c>
      <c r="M217" s="209">
        <f t="shared" si="253"/>
        <v>0</v>
      </c>
      <c r="N217" s="209">
        <f t="shared" si="253"/>
        <v>0</v>
      </c>
      <c r="O217" s="209">
        <f t="shared" si="253"/>
        <v>0</v>
      </c>
      <c r="P217" s="209">
        <f t="shared" si="253"/>
        <v>0</v>
      </c>
      <c r="Q217" s="209">
        <f t="shared" si="253"/>
        <v>0</v>
      </c>
      <c r="R217" s="209">
        <f t="shared" si="253"/>
        <v>0</v>
      </c>
      <c r="S217" s="209">
        <f t="shared" si="253"/>
        <v>0</v>
      </c>
      <c r="T217" s="209">
        <f t="shared" si="253"/>
        <v>0</v>
      </c>
      <c r="U217" s="209">
        <f t="shared" si="253"/>
        <v>0</v>
      </c>
      <c r="V217" s="209">
        <f t="shared" si="253"/>
        <v>0</v>
      </c>
      <c r="W217" s="209">
        <f t="shared" si="253"/>
        <v>0</v>
      </c>
      <c r="X217" s="209">
        <f t="shared" si="253"/>
        <v>0</v>
      </c>
      <c r="Y217" s="209">
        <f t="shared" si="253"/>
        <v>0</v>
      </c>
      <c r="Z217" s="209">
        <f t="shared" si="253"/>
        <v>0</v>
      </c>
      <c r="AA217" s="209">
        <f t="shared" si="253"/>
        <v>0</v>
      </c>
      <c r="AB217" s="209">
        <f t="shared" si="253"/>
        <v>0</v>
      </c>
      <c r="AC217" s="209">
        <f t="shared" si="253"/>
        <v>0</v>
      </c>
      <c r="AD217" s="209">
        <f t="shared" si="253"/>
        <v>0</v>
      </c>
      <c r="AE217" s="209">
        <f t="shared" si="253"/>
        <v>0</v>
      </c>
      <c r="AF217" s="209">
        <f t="shared" si="253"/>
        <v>0</v>
      </c>
      <c r="AG217" s="209">
        <f t="shared" si="253"/>
        <v>0</v>
      </c>
      <c r="AH217" s="209">
        <f t="shared" si="253"/>
        <v>0</v>
      </c>
      <c r="AI217" s="209">
        <f t="shared" si="253"/>
        <v>0</v>
      </c>
      <c r="AJ217" s="209">
        <f t="shared" si="253"/>
        <v>0</v>
      </c>
      <c r="AK217" s="209">
        <f t="shared" si="253"/>
        <v>0</v>
      </c>
      <c r="AL217" s="209">
        <f t="shared" si="253"/>
        <v>0</v>
      </c>
      <c r="AM217" s="209">
        <f t="shared" si="253"/>
        <v>0</v>
      </c>
      <c r="AN217" s="209">
        <f t="shared" si="253"/>
        <v>0</v>
      </c>
    </row>
    <row r="218" spans="2:40" s="7" customFormat="1" ht="12" customHeight="1" outlineLevel="1">
      <c r="B218" s="239"/>
      <c r="C218" s="214" t="s">
        <v>846</v>
      </c>
      <c r="D218" s="214"/>
      <c r="E218" s="209">
        <f>IF((SUM(E308:E343)-E215)&lt;1,ROUNDUP(SUM(E308:E343),0)-E215,ROUNDDOWN(SUM(E308:E343),0)-E215)</f>
        <v>0</v>
      </c>
      <c r="F218" s="209">
        <f t="shared" ref="F218:AN218" si="254">IF((SUM(F308:F343)-F215)&lt;1,ROUNDUP(SUM(F308:F343),0)-F215,ROUNDDOWN(SUM(F308:F343),0)-F215)</f>
        <v>0</v>
      </c>
      <c r="G218" s="209">
        <f t="shared" si="254"/>
        <v>0</v>
      </c>
      <c r="H218" s="209">
        <f t="shared" si="254"/>
        <v>0</v>
      </c>
      <c r="I218" s="209">
        <f t="shared" si="254"/>
        <v>0</v>
      </c>
      <c r="J218" s="209">
        <f t="shared" si="254"/>
        <v>0</v>
      </c>
      <c r="K218" s="209">
        <f t="shared" si="254"/>
        <v>0</v>
      </c>
      <c r="L218" s="209">
        <f t="shared" si="254"/>
        <v>0</v>
      </c>
      <c r="M218" s="209">
        <f t="shared" si="254"/>
        <v>0</v>
      </c>
      <c r="N218" s="209">
        <f t="shared" si="254"/>
        <v>0</v>
      </c>
      <c r="O218" s="209">
        <f t="shared" si="254"/>
        <v>0</v>
      </c>
      <c r="P218" s="209">
        <f t="shared" si="254"/>
        <v>0</v>
      </c>
      <c r="Q218" s="209">
        <f t="shared" si="254"/>
        <v>0</v>
      </c>
      <c r="R218" s="209">
        <f t="shared" si="254"/>
        <v>0</v>
      </c>
      <c r="S218" s="209">
        <f t="shared" si="254"/>
        <v>0</v>
      </c>
      <c r="T218" s="209">
        <f t="shared" si="254"/>
        <v>0</v>
      </c>
      <c r="U218" s="209">
        <f t="shared" si="254"/>
        <v>0</v>
      </c>
      <c r="V218" s="209">
        <f t="shared" si="254"/>
        <v>0</v>
      </c>
      <c r="W218" s="209">
        <f t="shared" si="254"/>
        <v>0</v>
      </c>
      <c r="X218" s="209">
        <f t="shared" si="254"/>
        <v>0</v>
      </c>
      <c r="Y218" s="209">
        <f t="shared" si="254"/>
        <v>0</v>
      </c>
      <c r="Z218" s="209">
        <f t="shared" si="254"/>
        <v>0</v>
      </c>
      <c r="AA218" s="209">
        <f t="shared" si="254"/>
        <v>0</v>
      </c>
      <c r="AB218" s="209">
        <f t="shared" si="254"/>
        <v>0</v>
      </c>
      <c r="AC218" s="209">
        <f t="shared" si="254"/>
        <v>0</v>
      </c>
      <c r="AD218" s="209">
        <f t="shared" si="254"/>
        <v>0</v>
      </c>
      <c r="AE218" s="209">
        <f t="shared" si="254"/>
        <v>0</v>
      </c>
      <c r="AF218" s="209">
        <f t="shared" si="254"/>
        <v>0</v>
      </c>
      <c r="AG218" s="209">
        <f t="shared" si="254"/>
        <v>0</v>
      </c>
      <c r="AH218" s="209">
        <f t="shared" si="254"/>
        <v>0</v>
      </c>
      <c r="AI218" s="209">
        <f t="shared" si="254"/>
        <v>0</v>
      </c>
      <c r="AJ218" s="209">
        <f t="shared" si="254"/>
        <v>0</v>
      </c>
      <c r="AK218" s="209">
        <f t="shared" si="254"/>
        <v>0</v>
      </c>
      <c r="AL218" s="209">
        <f t="shared" si="254"/>
        <v>0</v>
      </c>
      <c r="AM218" s="209">
        <f t="shared" si="254"/>
        <v>0</v>
      </c>
      <c r="AN218" s="209">
        <f t="shared" si="254"/>
        <v>0</v>
      </c>
    </row>
    <row r="219" spans="2:40" s="7" customFormat="1" ht="12" customHeight="1" outlineLevel="1">
      <c r="B219" s="237"/>
      <c r="C219" s="214" t="s">
        <v>833</v>
      </c>
      <c r="D219" s="214"/>
      <c r="E219" s="210">
        <f t="shared" ref="E219:P219" si="255">SUM(E213:E215)</f>
        <v>19</v>
      </c>
      <c r="F219" s="210">
        <f t="shared" si="255"/>
        <v>152</v>
      </c>
      <c r="G219" s="210">
        <f t="shared" si="255"/>
        <v>28</v>
      </c>
      <c r="H219" s="210">
        <f t="shared" si="255"/>
        <v>95</v>
      </c>
      <c r="I219" s="210">
        <f t="shared" si="255"/>
        <v>24</v>
      </c>
      <c r="J219" s="210">
        <f t="shared" si="255"/>
        <v>49</v>
      </c>
      <c r="K219" s="210">
        <f t="shared" si="255"/>
        <v>46</v>
      </c>
      <c r="L219" s="210">
        <f t="shared" si="255"/>
        <v>13</v>
      </c>
      <c r="M219" s="210">
        <f t="shared" si="255"/>
        <v>0</v>
      </c>
      <c r="N219" s="210">
        <f t="shared" si="255"/>
        <v>0</v>
      </c>
      <c r="O219" s="210">
        <f t="shared" si="255"/>
        <v>0</v>
      </c>
      <c r="P219" s="210">
        <f t="shared" si="255"/>
        <v>0</v>
      </c>
      <c r="Q219" s="210">
        <f t="shared" ref="Q219" si="256">SUM(Q213:Q215)</f>
        <v>0</v>
      </c>
      <c r="R219" s="210">
        <f t="shared" ref="R219:AN219" si="257">SUM(R213:R215)</f>
        <v>0</v>
      </c>
      <c r="S219" s="210">
        <f t="shared" si="257"/>
        <v>0</v>
      </c>
      <c r="T219" s="210">
        <f t="shared" si="257"/>
        <v>0</v>
      </c>
      <c r="U219" s="210">
        <f t="shared" si="257"/>
        <v>0</v>
      </c>
      <c r="V219" s="210">
        <f t="shared" si="257"/>
        <v>0</v>
      </c>
      <c r="W219" s="210">
        <f t="shared" si="257"/>
        <v>0</v>
      </c>
      <c r="X219" s="210">
        <f t="shared" si="257"/>
        <v>0</v>
      </c>
      <c r="Y219" s="210">
        <f t="shared" si="257"/>
        <v>0</v>
      </c>
      <c r="Z219" s="210">
        <f t="shared" si="257"/>
        <v>0</v>
      </c>
      <c r="AA219" s="210">
        <f t="shared" si="257"/>
        <v>0</v>
      </c>
      <c r="AB219" s="210">
        <f t="shared" si="257"/>
        <v>0</v>
      </c>
      <c r="AC219" s="210">
        <f t="shared" si="257"/>
        <v>0</v>
      </c>
      <c r="AD219" s="210">
        <f t="shared" si="257"/>
        <v>0</v>
      </c>
      <c r="AE219" s="210">
        <f t="shared" si="257"/>
        <v>0</v>
      </c>
      <c r="AF219" s="210">
        <f t="shared" si="257"/>
        <v>0</v>
      </c>
      <c r="AG219" s="210">
        <f t="shared" si="257"/>
        <v>0</v>
      </c>
      <c r="AH219" s="210">
        <f t="shared" si="257"/>
        <v>0</v>
      </c>
      <c r="AI219" s="210">
        <f t="shared" si="257"/>
        <v>0</v>
      </c>
      <c r="AJ219" s="210">
        <f t="shared" si="257"/>
        <v>0</v>
      </c>
      <c r="AK219" s="210">
        <f t="shared" si="257"/>
        <v>0</v>
      </c>
      <c r="AL219" s="210">
        <f t="shared" si="257"/>
        <v>0</v>
      </c>
      <c r="AM219" s="210">
        <f t="shared" si="257"/>
        <v>0</v>
      </c>
      <c r="AN219" s="210">
        <f t="shared" si="257"/>
        <v>0</v>
      </c>
    </row>
    <row r="220" spans="2:40" s="7" customFormat="1" ht="12" customHeight="1" outlineLevel="1">
      <c r="B220" s="237"/>
      <c r="C220" s="214" t="s">
        <v>847</v>
      </c>
      <c r="D220" s="214"/>
      <c r="E220" s="210">
        <f>SUM(E216:E218)</f>
        <v>33</v>
      </c>
      <c r="F220" s="210">
        <f t="shared" ref="F220:P220" si="258">SUM(F216:F218)</f>
        <v>90</v>
      </c>
      <c r="G220" s="210">
        <f t="shared" si="258"/>
        <v>6</v>
      </c>
      <c r="H220" s="210">
        <f t="shared" si="258"/>
        <v>178</v>
      </c>
      <c r="I220" s="210">
        <f t="shared" si="258"/>
        <v>7</v>
      </c>
      <c r="J220" s="210">
        <f t="shared" si="258"/>
        <v>7</v>
      </c>
      <c r="K220" s="210">
        <f t="shared" si="258"/>
        <v>7</v>
      </c>
      <c r="L220" s="210">
        <f t="shared" si="258"/>
        <v>7</v>
      </c>
      <c r="M220" s="210">
        <f t="shared" si="258"/>
        <v>7</v>
      </c>
      <c r="N220" s="210">
        <f t="shared" si="258"/>
        <v>7</v>
      </c>
      <c r="O220" s="210">
        <f t="shared" si="258"/>
        <v>7</v>
      </c>
      <c r="P220" s="210">
        <f t="shared" si="258"/>
        <v>6</v>
      </c>
      <c r="Q220" s="210">
        <f t="shared" ref="Q220:AN220" si="259">SUM(Q216:Q218)</f>
        <v>6</v>
      </c>
      <c r="R220" s="210">
        <f t="shared" si="259"/>
        <v>6</v>
      </c>
      <c r="S220" s="210">
        <f t="shared" si="259"/>
        <v>6</v>
      </c>
      <c r="T220" s="210">
        <f t="shared" si="259"/>
        <v>6</v>
      </c>
      <c r="U220" s="210">
        <f t="shared" si="259"/>
        <v>6</v>
      </c>
      <c r="V220" s="210">
        <f t="shared" si="259"/>
        <v>6</v>
      </c>
      <c r="W220" s="210">
        <f t="shared" si="259"/>
        <v>6</v>
      </c>
      <c r="X220" s="210">
        <f t="shared" si="259"/>
        <v>5</v>
      </c>
      <c r="Y220" s="210">
        <f t="shared" si="259"/>
        <v>5</v>
      </c>
      <c r="Z220" s="210">
        <f t="shared" si="259"/>
        <v>5</v>
      </c>
      <c r="AA220" s="210">
        <f t="shared" si="259"/>
        <v>5</v>
      </c>
      <c r="AB220" s="210">
        <f t="shared" si="259"/>
        <v>5</v>
      </c>
      <c r="AC220" s="210">
        <f t="shared" si="259"/>
        <v>5</v>
      </c>
      <c r="AD220" s="210">
        <f t="shared" si="259"/>
        <v>5</v>
      </c>
      <c r="AE220" s="210">
        <f t="shared" si="259"/>
        <v>5</v>
      </c>
      <c r="AF220" s="210">
        <f t="shared" si="259"/>
        <v>5</v>
      </c>
      <c r="AG220" s="210">
        <f t="shared" si="259"/>
        <v>4</v>
      </c>
      <c r="AH220" s="210">
        <f t="shared" si="259"/>
        <v>4</v>
      </c>
      <c r="AI220" s="210">
        <f t="shared" si="259"/>
        <v>4</v>
      </c>
      <c r="AJ220" s="210">
        <f t="shared" si="259"/>
        <v>4</v>
      </c>
      <c r="AK220" s="210">
        <f t="shared" si="259"/>
        <v>4</v>
      </c>
      <c r="AL220" s="210">
        <f t="shared" si="259"/>
        <v>4</v>
      </c>
      <c r="AM220" s="210">
        <f t="shared" si="259"/>
        <v>4</v>
      </c>
      <c r="AN220" s="210">
        <f t="shared" si="259"/>
        <v>4</v>
      </c>
    </row>
    <row r="221" spans="2:40" s="7" customFormat="1" ht="12" customHeight="1" outlineLevel="1">
      <c r="B221" s="237"/>
      <c r="C221" s="214" t="s">
        <v>848</v>
      </c>
      <c r="D221" s="214"/>
      <c r="E221" s="205">
        <f>SUM(E219:E220)</f>
        <v>52</v>
      </c>
      <c r="F221" s="205">
        <f t="shared" ref="F221:AN221" si="260">SUM(F219:F220)</f>
        <v>242</v>
      </c>
      <c r="G221" s="205">
        <f t="shared" si="260"/>
        <v>34</v>
      </c>
      <c r="H221" s="205">
        <f t="shared" si="260"/>
        <v>273</v>
      </c>
      <c r="I221" s="205">
        <f t="shared" si="260"/>
        <v>31</v>
      </c>
      <c r="J221" s="205">
        <f t="shared" si="260"/>
        <v>56</v>
      </c>
      <c r="K221" s="205">
        <f t="shared" si="260"/>
        <v>53</v>
      </c>
      <c r="L221" s="205">
        <f t="shared" si="260"/>
        <v>20</v>
      </c>
      <c r="M221" s="205">
        <f t="shared" si="260"/>
        <v>7</v>
      </c>
      <c r="N221" s="205">
        <f t="shared" si="260"/>
        <v>7</v>
      </c>
      <c r="O221" s="205">
        <f t="shared" si="260"/>
        <v>7</v>
      </c>
      <c r="P221" s="205">
        <f t="shared" si="260"/>
        <v>6</v>
      </c>
      <c r="Q221" s="205">
        <f t="shared" si="260"/>
        <v>6</v>
      </c>
      <c r="R221" s="205">
        <f t="shared" si="260"/>
        <v>6</v>
      </c>
      <c r="S221" s="205">
        <f t="shared" si="260"/>
        <v>6</v>
      </c>
      <c r="T221" s="205">
        <f t="shared" si="260"/>
        <v>6</v>
      </c>
      <c r="U221" s="205">
        <f t="shared" si="260"/>
        <v>6</v>
      </c>
      <c r="V221" s="205">
        <f t="shared" si="260"/>
        <v>6</v>
      </c>
      <c r="W221" s="205">
        <f t="shared" si="260"/>
        <v>6</v>
      </c>
      <c r="X221" s="205">
        <f t="shared" si="260"/>
        <v>5</v>
      </c>
      <c r="Y221" s="205">
        <f t="shared" si="260"/>
        <v>5</v>
      </c>
      <c r="Z221" s="205">
        <f t="shared" si="260"/>
        <v>5</v>
      </c>
      <c r="AA221" s="205">
        <f t="shared" si="260"/>
        <v>5</v>
      </c>
      <c r="AB221" s="205">
        <f t="shared" si="260"/>
        <v>5</v>
      </c>
      <c r="AC221" s="205">
        <f t="shared" si="260"/>
        <v>5</v>
      </c>
      <c r="AD221" s="205">
        <f t="shared" si="260"/>
        <v>5</v>
      </c>
      <c r="AE221" s="205">
        <f t="shared" si="260"/>
        <v>5</v>
      </c>
      <c r="AF221" s="205">
        <f t="shared" si="260"/>
        <v>5</v>
      </c>
      <c r="AG221" s="205">
        <f t="shared" si="260"/>
        <v>4</v>
      </c>
      <c r="AH221" s="205">
        <f t="shared" si="260"/>
        <v>4</v>
      </c>
      <c r="AI221" s="205">
        <f t="shared" si="260"/>
        <v>4</v>
      </c>
      <c r="AJ221" s="205">
        <f t="shared" si="260"/>
        <v>4</v>
      </c>
      <c r="AK221" s="205">
        <f t="shared" si="260"/>
        <v>4</v>
      </c>
      <c r="AL221" s="205">
        <f t="shared" si="260"/>
        <v>4</v>
      </c>
      <c r="AM221" s="205">
        <f t="shared" si="260"/>
        <v>4</v>
      </c>
      <c r="AN221" s="205">
        <f t="shared" si="260"/>
        <v>4</v>
      </c>
    </row>
    <row r="222" spans="2:40" s="7" customFormat="1" ht="12" customHeight="1" outlineLevel="1">
      <c r="B222" s="239"/>
      <c r="C222" s="212"/>
      <c r="D222" s="212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</row>
    <row r="223" spans="2:40" s="7" customFormat="1" ht="12" hidden="1" customHeight="1" outlineLevel="2">
      <c r="B223" s="239"/>
      <c r="C223" s="249" t="s">
        <v>849</v>
      </c>
      <c r="D223" s="212"/>
      <c r="O223" s="212"/>
      <c r="P223" s="212"/>
      <c r="Q223" s="212"/>
      <c r="R223" s="212"/>
      <c r="S223" s="212"/>
      <c r="T223" s="212"/>
      <c r="U223" s="212"/>
      <c r="V223" s="212"/>
      <c r="W223" s="212"/>
      <c r="X223" s="212"/>
      <c r="Y223" s="212"/>
      <c r="Z223" s="212"/>
      <c r="AA223" s="212"/>
      <c r="AB223" s="212"/>
      <c r="AC223" s="212"/>
      <c r="AD223" s="212"/>
      <c r="AE223" s="212"/>
      <c r="AF223" s="212"/>
      <c r="AG223" s="212"/>
      <c r="AH223" s="212"/>
      <c r="AI223" s="212"/>
      <c r="AJ223" s="212"/>
      <c r="AK223" s="212"/>
      <c r="AL223" s="212"/>
      <c r="AM223" s="212"/>
      <c r="AN223" s="212"/>
    </row>
    <row r="224" spans="2:40" s="7" customFormat="1" ht="12" hidden="1" customHeight="1" outlineLevel="2">
      <c r="B224" s="239"/>
      <c r="C224" s="212" t="s">
        <v>850</v>
      </c>
      <c r="D224" s="212"/>
      <c r="E224" s="196" t="s">
        <v>753</v>
      </c>
      <c r="F224" s="196" t="s">
        <v>754</v>
      </c>
      <c r="G224" s="196" t="s">
        <v>755</v>
      </c>
      <c r="H224" s="196" t="s">
        <v>756</v>
      </c>
      <c r="I224" s="196" t="s">
        <v>757</v>
      </c>
      <c r="J224" s="196" t="s">
        <v>758</v>
      </c>
      <c r="K224" s="196" t="s">
        <v>759</v>
      </c>
      <c r="L224" s="196" t="s">
        <v>760</v>
      </c>
      <c r="M224" s="196" t="s">
        <v>761</v>
      </c>
      <c r="N224" s="196" t="s">
        <v>762</v>
      </c>
      <c r="O224" s="196" t="s">
        <v>763</v>
      </c>
      <c r="P224" s="196" t="s">
        <v>764</v>
      </c>
      <c r="Q224" s="196" t="s">
        <v>765</v>
      </c>
      <c r="R224" s="196" t="s">
        <v>766</v>
      </c>
      <c r="S224" s="196" t="s">
        <v>767</v>
      </c>
      <c r="T224" s="196" t="s">
        <v>768</v>
      </c>
      <c r="U224" s="196" t="s">
        <v>769</v>
      </c>
      <c r="V224" s="196" t="s">
        <v>770</v>
      </c>
      <c r="W224" s="196" t="s">
        <v>771</v>
      </c>
      <c r="X224" s="196" t="s">
        <v>772</v>
      </c>
      <c r="Y224" s="196" t="s">
        <v>773</v>
      </c>
      <c r="Z224" s="196" t="s">
        <v>774</v>
      </c>
      <c r="AA224" s="196" t="s">
        <v>775</v>
      </c>
      <c r="AB224" s="196" t="s">
        <v>776</v>
      </c>
      <c r="AC224" s="196" t="s">
        <v>777</v>
      </c>
      <c r="AD224" s="196" t="s">
        <v>778</v>
      </c>
      <c r="AE224" s="196" t="s">
        <v>779</v>
      </c>
      <c r="AF224" s="196" t="s">
        <v>780</v>
      </c>
      <c r="AG224" s="196" t="s">
        <v>781</v>
      </c>
      <c r="AH224" s="196" t="s">
        <v>782</v>
      </c>
      <c r="AI224" s="196" t="s">
        <v>783</v>
      </c>
      <c r="AJ224" s="196" t="s">
        <v>784</v>
      </c>
      <c r="AK224" s="196" t="s">
        <v>785</v>
      </c>
      <c r="AL224" s="196" t="s">
        <v>786</v>
      </c>
      <c r="AM224" s="196" t="s">
        <v>787</v>
      </c>
      <c r="AN224" s="196" t="s">
        <v>788</v>
      </c>
    </row>
    <row r="225" spans="2:40" s="7" customFormat="1" ht="12" hidden="1" customHeight="1" outlineLevel="2">
      <c r="B225" s="239" t="s">
        <v>860</v>
      </c>
      <c r="C225" s="247" t="s">
        <v>851</v>
      </c>
      <c r="D225" s="212"/>
      <c r="E225" s="344">
        <v>0</v>
      </c>
      <c r="F225" s="344">
        <v>0</v>
      </c>
      <c r="G225" s="344">
        <v>0</v>
      </c>
      <c r="H225" s="344">
        <v>0</v>
      </c>
      <c r="I225" s="344">
        <v>0</v>
      </c>
      <c r="J225" s="344">
        <v>0</v>
      </c>
      <c r="K225" s="344">
        <v>0</v>
      </c>
      <c r="L225" s="344">
        <v>0</v>
      </c>
      <c r="M225" s="344">
        <v>0</v>
      </c>
      <c r="N225" s="344">
        <v>0</v>
      </c>
      <c r="O225" s="344">
        <v>0</v>
      </c>
      <c r="P225" s="344">
        <v>0</v>
      </c>
      <c r="Q225" s="344">
        <v>0</v>
      </c>
      <c r="R225" s="344">
        <v>0</v>
      </c>
      <c r="S225" s="344">
        <v>0</v>
      </c>
      <c r="T225" s="344">
        <v>0</v>
      </c>
      <c r="U225" s="344">
        <v>0</v>
      </c>
      <c r="V225" s="344">
        <v>0</v>
      </c>
      <c r="W225" s="344">
        <v>0</v>
      </c>
      <c r="X225" s="344">
        <v>0</v>
      </c>
      <c r="Y225" s="344">
        <v>0</v>
      </c>
      <c r="Z225" s="344">
        <v>0</v>
      </c>
      <c r="AA225" s="344">
        <v>0</v>
      </c>
      <c r="AB225" s="344">
        <v>0</v>
      </c>
      <c r="AC225" s="344">
        <v>0</v>
      </c>
      <c r="AD225" s="344">
        <v>0</v>
      </c>
      <c r="AE225" s="344">
        <v>0</v>
      </c>
      <c r="AF225" s="344">
        <v>0</v>
      </c>
      <c r="AG225" s="344">
        <v>0</v>
      </c>
      <c r="AH225" s="344">
        <v>0</v>
      </c>
      <c r="AI225" s="344">
        <v>0</v>
      </c>
      <c r="AJ225" s="344">
        <v>0</v>
      </c>
      <c r="AK225" s="344">
        <v>0</v>
      </c>
      <c r="AL225" s="344">
        <v>0</v>
      </c>
      <c r="AM225" s="344">
        <v>0</v>
      </c>
      <c r="AN225" s="344">
        <v>0</v>
      </c>
    </row>
    <row r="226" spans="2:40" s="7" customFormat="1" ht="12" hidden="1" customHeight="1" outlineLevel="2">
      <c r="B226" s="239"/>
      <c r="C226" s="212" t="s">
        <v>861</v>
      </c>
      <c r="D226" s="212"/>
      <c r="E226" s="211">
        <v>33</v>
      </c>
      <c r="F226" s="211">
        <v>90</v>
      </c>
      <c r="G226" s="211">
        <v>6</v>
      </c>
      <c r="H226" s="211">
        <v>178</v>
      </c>
      <c r="I226" s="211">
        <v>8</v>
      </c>
      <c r="J226" s="211">
        <f t="shared" ref="J226:AN226" si="261">I226*98%</f>
        <v>7.84</v>
      </c>
      <c r="K226" s="211">
        <f t="shared" si="261"/>
        <v>7.6831999999999994</v>
      </c>
      <c r="L226" s="211">
        <f t="shared" si="261"/>
        <v>7.5295359999999993</v>
      </c>
      <c r="M226" s="211">
        <f t="shared" si="261"/>
        <v>7.3789452799999991</v>
      </c>
      <c r="N226" s="211">
        <f t="shared" si="261"/>
        <v>7.2313663743999985</v>
      </c>
      <c r="O226" s="211">
        <f t="shared" si="261"/>
        <v>7.0867390469119984</v>
      </c>
      <c r="P226" s="211">
        <f t="shared" si="261"/>
        <v>6.9450042659737585</v>
      </c>
      <c r="Q226" s="211">
        <f t="shared" si="261"/>
        <v>6.806104180654283</v>
      </c>
      <c r="R226" s="211">
        <f t="shared" si="261"/>
        <v>6.6699820970411974</v>
      </c>
      <c r="S226" s="211">
        <f t="shared" si="261"/>
        <v>6.5365824551003735</v>
      </c>
      <c r="T226" s="211">
        <f t="shared" si="261"/>
        <v>6.4058508059983659</v>
      </c>
      <c r="U226" s="211">
        <f t="shared" si="261"/>
        <v>6.2777337898783987</v>
      </c>
      <c r="V226" s="211">
        <f t="shared" si="261"/>
        <v>6.1521791140808304</v>
      </c>
      <c r="W226" s="211">
        <f t="shared" si="261"/>
        <v>6.0291355317992137</v>
      </c>
      <c r="X226" s="211">
        <f t="shared" si="261"/>
        <v>5.9085528211632292</v>
      </c>
      <c r="Y226" s="211">
        <f t="shared" si="261"/>
        <v>5.7903817647399647</v>
      </c>
      <c r="Z226" s="211">
        <f t="shared" si="261"/>
        <v>5.6745741294451655</v>
      </c>
      <c r="AA226" s="211">
        <f t="shared" si="261"/>
        <v>5.5610826468562617</v>
      </c>
      <c r="AB226" s="211">
        <f t="shared" si="261"/>
        <v>5.4498609939191365</v>
      </c>
      <c r="AC226" s="211">
        <f t="shared" si="261"/>
        <v>5.3408637740407539</v>
      </c>
      <c r="AD226" s="211">
        <f t="shared" si="261"/>
        <v>5.2340464985599384</v>
      </c>
      <c r="AE226" s="211">
        <f t="shared" si="261"/>
        <v>5.1293655685887396</v>
      </c>
      <c r="AF226" s="211">
        <f t="shared" si="261"/>
        <v>5.0267782572169644</v>
      </c>
      <c r="AG226" s="211">
        <f t="shared" si="261"/>
        <v>4.9262426920726252</v>
      </c>
      <c r="AH226" s="211">
        <f t="shared" si="261"/>
        <v>4.8277178382311723</v>
      </c>
      <c r="AI226" s="211">
        <f t="shared" si="261"/>
        <v>4.7311634814665489</v>
      </c>
      <c r="AJ226" s="211">
        <f t="shared" si="261"/>
        <v>4.6365402118372181</v>
      </c>
      <c r="AK226" s="211">
        <f t="shared" si="261"/>
        <v>4.5438094076004738</v>
      </c>
      <c r="AL226" s="211">
        <f t="shared" si="261"/>
        <v>4.4529332194484645</v>
      </c>
      <c r="AM226" s="211">
        <f t="shared" si="261"/>
        <v>4.3638745550594953</v>
      </c>
      <c r="AN226" s="211">
        <f t="shared" si="261"/>
        <v>4.2765970639583051</v>
      </c>
    </row>
    <row r="227" spans="2:40" s="7" customFormat="1" ht="12" hidden="1" customHeight="1" outlineLevel="2">
      <c r="B227" s="245"/>
      <c r="C227" s="250" t="s">
        <v>753</v>
      </c>
      <c r="D227" s="250"/>
      <c r="E227" s="211">
        <f>INDEX($C$199:$AN$221,MATCH("New Customers One-Time",$C$199:$C$221,0),MATCH($C227,$C$199:$AN$199,0))</f>
        <v>19</v>
      </c>
      <c r="F227" s="211">
        <f t="shared" ref="F227:AN227" si="262">$E$227*(E225)</f>
        <v>0</v>
      </c>
      <c r="G227" s="211">
        <f t="shared" si="262"/>
        <v>0</v>
      </c>
      <c r="H227" s="211">
        <f t="shared" si="262"/>
        <v>0</v>
      </c>
      <c r="I227" s="211">
        <f t="shared" si="262"/>
        <v>0</v>
      </c>
      <c r="J227" s="211">
        <f t="shared" si="262"/>
        <v>0</v>
      </c>
      <c r="K227" s="211">
        <f t="shared" si="262"/>
        <v>0</v>
      </c>
      <c r="L227" s="211">
        <f t="shared" si="262"/>
        <v>0</v>
      </c>
      <c r="M227" s="211">
        <f t="shared" si="262"/>
        <v>0</v>
      </c>
      <c r="N227" s="211">
        <f t="shared" si="262"/>
        <v>0</v>
      </c>
      <c r="O227" s="211">
        <f t="shared" si="262"/>
        <v>0</v>
      </c>
      <c r="P227" s="211">
        <f t="shared" si="262"/>
        <v>0</v>
      </c>
      <c r="Q227" s="211">
        <f t="shared" si="262"/>
        <v>0</v>
      </c>
      <c r="R227" s="211">
        <f t="shared" si="262"/>
        <v>0</v>
      </c>
      <c r="S227" s="211">
        <f t="shared" si="262"/>
        <v>0</v>
      </c>
      <c r="T227" s="211">
        <f t="shared" si="262"/>
        <v>0</v>
      </c>
      <c r="U227" s="211">
        <f t="shared" si="262"/>
        <v>0</v>
      </c>
      <c r="V227" s="211">
        <f t="shared" si="262"/>
        <v>0</v>
      </c>
      <c r="W227" s="211">
        <f t="shared" si="262"/>
        <v>0</v>
      </c>
      <c r="X227" s="211">
        <f t="shared" si="262"/>
        <v>0</v>
      </c>
      <c r="Y227" s="211">
        <f t="shared" si="262"/>
        <v>0</v>
      </c>
      <c r="Z227" s="211">
        <f t="shared" si="262"/>
        <v>0</v>
      </c>
      <c r="AA227" s="211">
        <f t="shared" si="262"/>
        <v>0</v>
      </c>
      <c r="AB227" s="211">
        <f t="shared" si="262"/>
        <v>0</v>
      </c>
      <c r="AC227" s="211">
        <f t="shared" si="262"/>
        <v>0</v>
      </c>
      <c r="AD227" s="211">
        <f t="shared" si="262"/>
        <v>0</v>
      </c>
      <c r="AE227" s="211">
        <f t="shared" si="262"/>
        <v>0</v>
      </c>
      <c r="AF227" s="211">
        <f t="shared" si="262"/>
        <v>0</v>
      </c>
      <c r="AG227" s="211">
        <f t="shared" si="262"/>
        <v>0</v>
      </c>
      <c r="AH227" s="211">
        <f t="shared" si="262"/>
        <v>0</v>
      </c>
      <c r="AI227" s="211">
        <f t="shared" si="262"/>
        <v>0</v>
      </c>
      <c r="AJ227" s="211">
        <f t="shared" si="262"/>
        <v>0</v>
      </c>
      <c r="AK227" s="211">
        <f t="shared" si="262"/>
        <v>0</v>
      </c>
      <c r="AL227" s="211">
        <f t="shared" si="262"/>
        <v>0</v>
      </c>
      <c r="AM227" s="211">
        <f t="shared" si="262"/>
        <v>0</v>
      </c>
      <c r="AN227" s="211">
        <f t="shared" si="262"/>
        <v>0</v>
      </c>
    </row>
    <row r="228" spans="2:40" s="7" customFormat="1" ht="12" hidden="1" customHeight="1" outlineLevel="2">
      <c r="B228" s="245"/>
      <c r="C228" s="250" t="s">
        <v>754</v>
      </c>
      <c r="D228" s="250"/>
      <c r="E228" s="213"/>
      <c r="F228" s="211">
        <f>INDEX($C$199:$AN$221,MATCH("New Customers One-Time",$C$199:$C$221,0),MATCH($C228,$C$199:$AN$199,0))</f>
        <v>152</v>
      </c>
      <c r="G228" s="211">
        <f t="shared" ref="G228:AN228" si="263">$F$228*(E225)</f>
        <v>0</v>
      </c>
      <c r="H228" s="211">
        <f t="shared" si="263"/>
        <v>0</v>
      </c>
      <c r="I228" s="211">
        <f t="shared" si="263"/>
        <v>0</v>
      </c>
      <c r="J228" s="211">
        <f t="shared" si="263"/>
        <v>0</v>
      </c>
      <c r="K228" s="211">
        <f t="shared" si="263"/>
        <v>0</v>
      </c>
      <c r="L228" s="211">
        <f t="shared" si="263"/>
        <v>0</v>
      </c>
      <c r="M228" s="211">
        <f t="shared" si="263"/>
        <v>0</v>
      </c>
      <c r="N228" s="211">
        <f t="shared" si="263"/>
        <v>0</v>
      </c>
      <c r="O228" s="211">
        <f t="shared" si="263"/>
        <v>0</v>
      </c>
      <c r="P228" s="211">
        <f t="shared" si="263"/>
        <v>0</v>
      </c>
      <c r="Q228" s="211">
        <f t="shared" si="263"/>
        <v>0</v>
      </c>
      <c r="R228" s="211">
        <f t="shared" si="263"/>
        <v>0</v>
      </c>
      <c r="S228" s="211">
        <f t="shared" si="263"/>
        <v>0</v>
      </c>
      <c r="T228" s="211">
        <f t="shared" si="263"/>
        <v>0</v>
      </c>
      <c r="U228" s="211">
        <f t="shared" si="263"/>
        <v>0</v>
      </c>
      <c r="V228" s="211">
        <f t="shared" si="263"/>
        <v>0</v>
      </c>
      <c r="W228" s="211">
        <f t="shared" si="263"/>
        <v>0</v>
      </c>
      <c r="X228" s="211">
        <f t="shared" si="263"/>
        <v>0</v>
      </c>
      <c r="Y228" s="211">
        <f t="shared" si="263"/>
        <v>0</v>
      </c>
      <c r="Z228" s="211">
        <f t="shared" si="263"/>
        <v>0</v>
      </c>
      <c r="AA228" s="211">
        <f t="shared" si="263"/>
        <v>0</v>
      </c>
      <c r="AB228" s="211">
        <f t="shared" si="263"/>
        <v>0</v>
      </c>
      <c r="AC228" s="211">
        <f t="shared" si="263"/>
        <v>0</v>
      </c>
      <c r="AD228" s="211">
        <f t="shared" si="263"/>
        <v>0</v>
      </c>
      <c r="AE228" s="211">
        <f t="shared" si="263"/>
        <v>0</v>
      </c>
      <c r="AF228" s="211">
        <f t="shared" si="263"/>
        <v>0</v>
      </c>
      <c r="AG228" s="211">
        <f t="shared" si="263"/>
        <v>0</v>
      </c>
      <c r="AH228" s="211">
        <f t="shared" si="263"/>
        <v>0</v>
      </c>
      <c r="AI228" s="211">
        <f t="shared" si="263"/>
        <v>0</v>
      </c>
      <c r="AJ228" s="211">
        <f t="shared" si="263"/>
        <v>0</v>
      </c>
      <c r="AK228" s="211">
        <f t="shared" si="263"/>
        <v>0</v>
      </c>
      <c r="AL228" s="211">
        <f t="shared" si="263"/>
        <v>0</v>
      </c>
      <c r="AM228" s="211">
        <f t="shared" si="263"/>
        <v>0</v>
      </c>
      <c r="AN228" s="211">
        <f t="shared" si="263"/>
        <v>0</v>
      </c>
    </row>
    <row r="229" spans="2:40" s="7" customFormat="1" ht="12" hidden="1" customHeight="1" outlineLevel="2">
      <c r="B229" s="245"/>
      <c r="C229" s="250" t="s">
        <v>755</v>
      </c>
      <c r="D229" s="250"/>
      <c r="E229" s="213"/>
      <c r="G229" s="211">
        <f>INDEX($C$199:$AN$221,MATCH("New Customers One-Time",$C$199:$C$221,0),MATCH($C229,$C$199:$AN$199,0))</f>
        <v>28</v>
      </c>
      <c r="H229" s="211">
        <f t="shared" ref="H229:AN229" si="264">$G$229*(E225)</f>
        <v>0</v>
      </c>
      <c r="I229" s="211">
        <f t="shared" si="264"/>
        <v>0</v>
      </c>
      <c r="J229" s="211">
        <f t="shared" si="264"/>
        <v>0</v>
      </c>
      <c r="K229" s="211">
        <f t="shared" si="264"/>
        <v>0</v>
      </c>
      <c r="L229" s="211">
        <f t="shared" si="264"/>
        <v>0</v>
      </c>
      <c r="M229" s="211">
        <f t="shared" si="264"/>
        <v>0</v>
      </c>
      <c r="N229" s="211">
        <f t="shared" si="264"/>
        <v>0</v>
      </c>
      <c r="O229" s="211">
        <f t="shared" si="264"/>
        <v>0</v>
      </c>
      <c r="P229" s="211">
        <f t="shared" si="264"/>
        <v>0</v>
      </c>
      <c r="Q229" s="211">
        <f t="shared" si="264"/>
        <v>0</v>
      </c>
      <c r="R229" s="211">
        <f t="shared" si="264"/>
        <v>0</v>
      </c>
      <c r="S229" s="211">
        <f t="shared" si="264"/>
        <v>0</v>
      </c>
      <c r="T229" s="211">
        <f t="shared" si="264"/>
        <v>0</v>
      </c>
      <c r="U229" s="211">
        <f t="shared" si="264"/>
        <v>0</v>
      </c>
      <c r="V229" s="211">
        <f t="shared" si="264"/>
        <v>0</v>
      </c>
      <c r="W229" s="211">
        <f t="shared" si="264"/>
        <v>0</v>
      </c>
      <c r="X229" s="211">
        <f t="shared" si="264"/>
        <v>0</v>
      </c>
      <c r="Y229" s="211">
        <f t="shared" si="264"/>
        <v>0</v>
      </c>
      <c r="Z229" s="211">
        <f t="shared" si="264"/>
        <v>0</v>
      </c>
      <c r="AA229" s="211">
        <f t="shared" si="264"/>
        <v>0</v>
      </c>
      <c r="AB229" s="211">
        <f t="shared" si="264"/>
        <v>0</v>
      </c>
      <c r="AC229" s="211">
        <f t="shared" si="264"/>
        <v>0</v>
      </c>
      <c r="AD229" s="211">
        <f t="shared" si="264"/>
        <v>0</v>
      </c>
      <c r="AE229" s="211">
        <f t="shared" si="264"/>
        <v>0</v>
      </c>
      <c r="AF229" s="211">
        <f t="shared" si="264"/>
        <v>0</v>
      </c>
      <c r="AG229" s="211">
        <f t="shared" si="264"/>
        <v>0</v>
      </c>
      <c r="AH229" s="211">
        <f t="shared" si="264"/>
        <v>0</v>
      </c>
      <c r="AI229" s="211">
        <f t="shared" si="264"/>
        <v>0</v>
      </c>
      <c r="AJ229" s="211">
        <f t="shared" si="264"/>
        <v>0</v>
      </c>
      <c r="AK229" s="211">
        <f t="shared" si="264"/>
        <v>0</v>
      </c>
      <c r="AL229" s="211">
        <f t="shared" si="264"/>
        <v>0</v>
      </c>
      <c r="AM229" s="211">
        <f t="shared" si="264"/>
        <v>0</v>
      </c>
      <c r="AN229" s="211">
        <f t="shared" si="264"/>
        <v>0</v>
      </c>
    </row>
    <row r="230" spans="2:40" s="7" customFormat="1" ht="12" hidden="1" customHeight="1" outlineLevel="2">
      <c r="B230" s="245"/>
      <c r="C230" s="250" t="s">
        <v>756</v>
      </c>
      <c r="D230" s="250"/>
      <c r="E230" s="213"/>
      <c r="F230" s="213"/>
      <c r="G230" s="213"/>
      <c r="H230" s="211">
        <f>INDEX($C$199:$AN$221,MATCH("New Customers One-Time",$C$199:$C$221,0),MATCH($C230,$C$199:$AN$199,0))</f>
        <v>95</v>
      </c>
      <c r="I230" s="211">
        <f t="shared" ref="I230:AN230" si="265">$H$230*(E225)</f>
        <v>0</v>
      </c>
      <c r="J230" s="211">
        <f t="shared" si="265"/>
        <v>0</v>
      </c>
      <c r="K230" s="211">
        <f t="shared" si="265"/>
        <v>0</v>
      </c>
      <c r="L230" s="211">
        <f t="shared" si="265"/>
        <v>0</v>
      </c>
      <c r="M230" s="211">
        <f t="shared" si="265"/>
        <v>0</v>
      </c>
      <c r="N230" s="211">
        <f t="shared" si="265"/>
        <v>0</v>
      </c>
      <c r="O230" s="211">
        <f t="shared" si="265"/>
        <v>0</v>
      </c>
      <c r="P230" s="211">
        <f t="shared" si="265"/>
        <v>0</v>
      </c>
      <c r="Q230" s="211">
        <f t="shared" si="265"/>
        <v>0</v>
      </c>
      <c r="R230" s="211">
        <f t="shared" si="265"/>
        <v>0</v>
      </c>
      <c r="S230" s="211">
        <f t="shared" si="265"/>
        <v>0</v>
      </c>
      <c r="T230" s="211">
        <f t="shared" si="265"/>
        <v>0</v>
      </c>
      <c r="U230" s="211">
        <f t="shared" si="265"/>
        <v>0</v>
      </c>
      <c r="V230" s="211">
        <f t="shared" si="265"/>
        <v>0</v>
      </c>
      <c r="W230" s="211">
        <f t="shared" si="265"/>
        <v>0</v>
      </c>
      <c r="X230" s="211">
        <f t="shared" si="265"/>
        <v>0</v>
      </c>
      <c r="Y230" s="211">
        <f t="shared" si="265"/>
        <v>0</v>
      </c>
      <c r="Z230" s="211">
        <f t="shared" si="265"/>
        <v>0</v>
      </c>
      <c r="AA230" s="211">
        <f t="shared" si="265"/>
        <v>0</v>
      </c>
      <c r="AB230" s="211">
        <f t="shared" si="265"/>
        <v>0</v>
      </c>
      <c r="AC230" s="211">
        <f t="shared" si="265"/>
        <v>0</v>
      </c>
      <c r="AD230" s="211">
        <f t="shared" si="265"/>
        <v>0</v>
      </c>
      <c r="AE230" s="211">
        <f t="shared" si="265"/>
        <v>0</v>
      </c>
      <c r="AF230" s="211">
        <f t="shared" si="265"/>
        <v>0</v>
      </c>
      <c r="AG230" s="211">
        <f t="shared" si="265"/>
        <v>0</v>
      </c>
      <c r="AH230" s="211">
        <f t="shared" si="265"/>
        <v>0</v>
      </c>
      <c r="AI230" s="211">
        <f t="shared" si="265"/>
        <v>0</v>
      </c>
      <c r="AJ230" s="211">
        <f t="shared" si="265"/>
        <v>0</v>
      </c>
      <c r="AK230" s="211">
        <f t="shared" si="265"/>
        <v>0</v>
      </c>
      <c r="AL230" s="211">
        <f t="shared" si="265"/>
        <v>0</v>
      </c>
      <c r="AM230" s="211">
        <f t="shared" si="265"/>
        <v>0</v>
      </c>
      <c r="AN230" s="211">
        <f t="shared" si="265"/>
        <v>0</v>
      </c>
    </row>
    <row r="231" spans="2:40" s="7" customFormat="1" ht="12" hidden="1" customHeight="1" outlineLevel="2">
      <c r="B231" s="245"/>
      <c r="C231" s="250" t="s">
        <v>757</v>
      </c>
      <c r="D231" s="250"/>
      <c r="E231" s="213"/>
      <c r="F231" s="213"/>
      <c r="G231" s="213"/>
      <c r="H231" s="213"/>
      <c r="I231" s="211">
        <f>INDEX($C$199:$AN$221,MATCH("New Customers One-Time",$C$199:$C$221,0),MATCH($C231,$C$199:$AN$199,0))</f>
        <v>24</v>
      </c>
      <c r="J231" s="211">
        <f t="shared" ref="J231:AN231" si="266">$I$231*(E225)</f>
        <v>0</v>
      </c>
      <c r="K231" s="211">
        <f t="shared" si="266"/>
        <v>0</v>
      </c>
      <c r="L231" s="211">
        <f t="shared" si="266"/>
        <v>0</v>
      </c>
      <c r="M231" s="211">
        <f t="shared" si="266"/>
        <v>0</v>
      </c>
      <c r="N231" s="211">
        <f t="shared" si="266"/>
        <v>0</v>
      </c>
      <c r="O231" s="211">
        <f t="shared" si="266"/>
        <v>0</v>
      </c>
      <c r="P231" s="211">
        <f t="shared" si="266"/>
        <v>0</v>
      </c>
      <c r="Q231" s="211">
        <f t="shared" si="266"/>
        <v>0</v>
      </c>
      <c r="R231" s="211">
        <f t="shared" si="266"/>
        <v>0</v>
      </c>
      <c r="S231" s="211">
        <f t="shared" si="266"/>
        <v>0</v>
      </c>
      <c r="T231" s="211">
        <f t="shared" si="266"/>
        <v>0</v>
      </c>
      <c r="U231" s="211">
        <f t="shared" si="266"/>
        <v>0</v>
      </c>
      <c r="V231" s="211">
        <f t="shared" si="266"/>
        <v>0</v>
      </c>
      <c r="W231" s="211">
        <f t="shared" si="266"/>
        <v>0</v>
      </c>
      <c r="X231" s="211">
        <f t="shared" si="266"/>
        <v>0</v>
      </c>
      <c r="Y231" s="211">
        <f t="shared" si="266"/>
        <v>0</v>
      </c>
      <c r="Z231" s="211">
        <f t="shared" si="266"/>
        <v>0</v>
      </c>
      <c r="AA231" s="211">
        <f t="shared" si="266"/>
        <v>0</v>
      </c>
      <c r="AB231" s="211">
        <f t="shared" si="266"/>
        <v>0</v>
      </c>
      <c r="AC231" s="211">
        <f t="shared" si="266"/>
        <v>0</v>
      </c>
      <c r="AD231" s="211">
        <f t="shared" si="266"/>
        <v>0</v>
      </c>
      <c r="AE231" s="211">
        <f t="shared" si="266"/>
        <v>0</v>
      </c>
      <c r="AF231" s="211">
        <f t="shared" si="266"/>
        <v>0</v>
      </c>
      <c r="AG231" s="211">
        <f t="shared" si="266"/>
        <v>0</v>
      </c>
      <c r="AH231" s="211">
        <f t="shared" si="266"/>
        <v>0</v>
      </c>
      <c r="AI231" s="211">
        <f t="shared" si="266"/>
        <v>0</v>
      </c>
      <c r="AJ231" s="211">
        <f t="shared" si="266"/>
        <v>0</v>
      </c>
      <c r="AK231" s="211">
        <f t="shared" si="266"/>
        <v>0</v>
      </c>
      <c r="AL231" s="211">
        <f t="shared" si="266"/>
        <v>0</v>
      </c>
      <c r="AM231" s="211">
        <f t="shared" si="266"/>
        <v>0</v>
      </c>
      <c r="AN231" s="211">
        <f t="shared" si="266"/>
        <v>0</v>
      </c>
    </row>
    <row r="232" spans="2:40" s="7" customFormat="1" ht="12" hidden="1" customHeight="1" outlineLevel="2">
      <c r="B232" s="245"/>
      <c r="C232" s="250" t="s">
        <v>758</v>
      </c>
      <c r="D232" s="250"/>
      <c r="E232" s="213"/>
      <c r="F232" s="213"/>
      <c r="G232" s="213"/>
      <c r="H232" s="213"/>
      <c r="I232" s="213"/>
      <c r="J232" s="211">
        <f>INDEX($C$199:$AN$221,MATCH("New Customers One-Time",$C$199:$C$221,0),MATCH($C232,$C$199:$AN$199,0))</f>
        <v>49</v>
      </c>
      <c r="K232" s="211">
        <f t="shared" ref="K232:AN232" si="267">$J$232*(E225)</f>
        <v>0</v>
      </c>
      <c r="L232" s="211">
        <f t="shared" si="267"/>
        <v>0</v>
      </c>
      <c r="M232" s="211">
        <f t="shared" si="267"/>
        <v>0</v>
      </c>
      <c r="N232" s="211">
        <f t="shared" si="267"/>
        <v>0</v>
      </c>
      <c r="O232" s="211">
        <f t="shared" si="267"/>
        <v>0</v>
      </c>
      <c r="P232" s="211">
        <f t="shared" si="267"/>
        <v>0</v>
      </c>
      <c r="Q232" s="211">
        <f t="shared" si="267"/>
        <v>0</v>
      </c>
      <c r="R232" s="211">
        <f t="shared" si="267"/>
        <v>0</v>
      </c>
      <c r="S232" s="211">
        <f t="shared" si="267"/>
        <v>0</v>
      </c>
      <c r="T232" s="211">
        <f t="shared" si="267"/>
        <v>0</v>
      </c>
      <c r="U232" s="211">
        <f t="shared" si="267"/>
        <v>0</v>
      </c>
      <c r="V232" s="211">
        <f t="shared" si="267"/>
        <v>0</v>
      </c>
      <c r="W232" s="211">
        <f t="shared" si="267"/>
        <v>0</v>
      </c>
      <c r="X232" s="211">
        <f t="shared" si="267"/>
        <v>0</v>
      </c>
      <c r="Y232" s="211">
        <f t="shared" si="267"/>
        <v>0</v>
      </c>
      <c r="Z232" s="211">
        <f t="shared" si="267"/>
        <v>0</v>
      </c>
      <c r="AA232" s="211">
        <f t="shared" si="267"/>
        <v>0</v>
      </c>
      <c r="AB232" s="211">
        <f t="shared" si="267"/>
        <v>0</v>
      </c>
      <c r="AC232" s="211">
        <f t="shared" si="267"/>
        <v>0</v>
      </c>
      <c r="AD232" s="211">
        <f t="shared" si="267"/>
        <v>0</v>
      </c>
      <c r="AE232" s="211">
        <f t="shared" si="267"/>
        <v>0</v>
      </c>
      <c r="AF232" s="211">
        <f t="shared" si="267"/>
        <v>0</v>
      </c>
      <c r="AG232" s="211">
        <f t="shared" si="267"/>
        <v>0</v>
      </c>
      <c r="AH232" s="211">
        <f t="shared" si="267"/>
        <v>0</v>
      </c>
      <c r="AI232" s="211">
        <f t="shared" si="267"/>
        <v>0</v>
      </c>
      <c r="AJ232" s="211">
        <f t="shared" si="267"/>
        <v>0</v>
      </c>
      <c r="AK232" s="211">
        <f t="shared" si="267"/>
        <v>0</v>
      </c>
      <c r="AL232" s="211">
        <f t="shared" si="267"/>
        <v>0</v>
      </c>
      <c r="AM232" s="211">
        <f t="shared" si="267"/>
        <v>0</v>
      </c>
      <c r="AN232" s="211">
        <f t="shared" si="267"/>
        <v>0</v>
      </c>
    </row>
    <row r="233" spans="2:40" s="7" customFormat="1" ht="12" hidden="1" customHeight="1" outlineLevel="2">
      <c r="B233" s="245"/>
      <c r="C233" s="250" t="s">
        <v>759</v>
      </c>
      <c r="D233" s="250"/>
      <c r="E233" s="213"/>
      <c r="F233" s="213"/>
      <c r="G233" s="213"/>
      <c r="H233" s="213"/>
      <c r="I233" s="213"/>
      <c r="J233" s="213"/>
      <c r="K233" s="211">
        <f>INDEX($C$199:$AN$221,MATCH("New Customers One-Time",$C$199:$C$221,0),MATCH($C233,$C$199:$AN$199,0))</f>
        <v>46</v>
      </c>
      <c r="L233" s="211">
        <f t="shared" ref="L233:AN233" si="268">$K$233*(E225)</f>
        <v>0</v>
      </c>
      <c r="M233" s="211">
        <f t="shared" si="268"/>
        <v>0</v>
      </c>
      <c r="N233" s="211">
        <f t="shared" si="268"/>
        <v>0</v>
      </c>
      <c r="O233" s="211">
        <f t="shared" si="268"/>
        <v>0</v>
      </c>
      <c r="P233" s="211">
        <f t="shared" si="268"/>
        <v>0</v>
      </c>
      <c r="Q233" s="211">
        <f t="shared" si="268"/>
        <v>0</v>
      </c>
      <c r="R233" s="211">
        <f t="shared" si="268"/>
        <v>0</v>
      </c>
      <c r="S233" s="211">
        <f t="shared" si="268"/>
        <v>0</v>
      </c>
      <c r="T233" s="211">
        <f t="shared" si="268"/>
        <v>0</v>
      </c>
      <c r="U233" s="211">
        <f t="shared" si="268"/>
        <v>0</v>
      </c>
      <c r="V233" s="211">
        <f t="shared" si="268"/>
        <v>0</v>
      </c>
      <c r="W233" s="211">
        <f t="shared" si="268"/>
        <v>0</v>
      </c>
      <c r="X233" s="211">
        <f t="shared" si="268"/>
        <v>0</v>
      </c>
      <c r="Y233" s="211">
        <f t="shared" si="268"/>
        <v>0</v>
      </c>
      <c r="Z233" s="211">
        <f t="shared" si="268"/>
        <v>0</v>
      </c>
      <c r="AA233" s="211">
        <f t="shared" si="268"/>
        <v>0</v>
      </c>
      <c r="AB233" s="211">
        <f t="shared" si="268"/>
        <v>0</v>
      </c>
      <c r="AC233" s="211">
        <f t="shared" si="268"/>
        <v>0</v>
      </c>
      <c r="AD233" s="211">
        <f t="shared" si="268"/>
        <v>0</v>
      </c>
      <c r="AE233" s="211">
        <f t="shared" si="268"/>
        <v>0</v>
      </c>
      <c r="AF233" s="211">
        <f t="shared" si="268"/>
        <v>0</v>
      </c>
      <c r="AG233" s="211">
        <f t="shared" si="268"/>
        <v>0</v>
      </c>
      <c r="AH233" s="211">
        <f t="shared" si="268"/>
        <v>0</v>
      </c>
      <c r="AI233" s="211">
        <f t="shared" si="268"/>
        <v>0</v>
      </c>
      <c r="AJ233" s="211">
        <f t="shared" si="268"/>
        <v>0</v>
      </c>
      <c r="AK233" s="211">
        <f t="shared" si="268"/>
        <v>0</v>
      </c>
      <c r="AL233" s="211">
        <f t="shared" si="268"/>
        <v>0</v>
      </c>
      <c r="AM233" s="211">
        <f t="shared" si="268"/>
        <v>0</v>
      </c>
      <c r="AN233" s="211">
        <f t="shared" si="268"/>
        <v>0</v>
      </c>
    </row>
    <row r="234" spans="2:40" s="7" customFormat="1" ht="12" hidden="1" customHeight="1" outlineLevel="2">
      <c r="B234" s="245"/>
      <c r="C234" s="250" t="s">
        <v>760</v>
      </c>
      <c r="D234" s="250"/>
      <c r="E234" s="213"/>
      <c r="F234" s="213"/>
      <c r="G234" s="213"/>
      <c r="H234" s="213"/>
      <c r="I234" s="213"/>
      <c r="J234" s="213"/>
      <c r="K234" s="213"/>
      <c r="L234" s="211">
        <f>INDEX($C$199:$AN$221,MATCH("New Customers One-Time",$C$199:$C$221,0),MATCH($C234,$C$199:$AN$199,0))</f>
        <v>13</v>
      </c>
      <c r="M234" s="211">
        <f t="shared" ref="M234:AN234" si="269">$L$234*(E225)</f>
        <v>0</v>
      </c>
      <c r="N234" s="211">
        <f t="shared" si="269"/>
        <v>0</v>
      </c>
      <c r="O234" s="211">
        <f t="shared" si="269"/>
        <v>0</v>
      </c>
      <c r="P234" s="211">
        <f t="shared" si="269"/>
        <v>0</v>
      </c>
      <c r="Q234" s="211">
        <f t="shared" si="269"/>
        <v>0</v>
      </c>
      <c r="R234" s="211">
        <f t="shared" si="269"/>
        <v>0</v>
      </c>
      <c r="S234" s="211">
        <f t="shared" si="269"/>
        <v>0</v>
      </c>
      <c r="T234" s="211">
        <f t="shared" si="269"/>
        <v>0</v>
      </c>
      <c r="U234" s="211">
        <f t="shared" si="269"/>
        <v>0</v>
      </c>
      <c r="V234" s="211">
        <f t="shared" si="269"/>
        <v>0</v>
      </c>
      <c r="W234" s="211">
        <f t="shared" si="269"/>
        <v>0</v>
      </c>
      <c r="X234" s="211">
        <f t="shared" si="269"/>
        <v>0</v>
      </c>
      <c r="Y234" s="211">
        <f t="shared" si="269"/>
        <v>0</v>
      </c>
      <c r="Z234" s="211">
        <f t="shared" si="269"/>
        <v>0</v>
      </c>
      <c r="AA234" s="211">
        <f t="shared" si="269"/>
        <v>0</v>
      </c>
      <c r="AB234" s="211">
        <f t="shared" si="269"/>
        <v>0</v>
      </c>
      <c r="AC234" s="211">
        <f t="shared" si="269"/>
        <v>0</v>
      </c>
      <c r="AD234" s="211">
        <f t="shared" si="269"/>
        <v>0</v>
      </c>
      <c r="AE234" s="211">
        <f t="shared" si="269"/>
        <v>0</v>
      </c>
      <c r="AF234" s="211">
        <f t="shared" si="269"/>
        <v>0</v>
      </c>
      <c r="AG234" s="211">
        <f t="shared" si="269"/>
        <v>0</v>
      </c>
      <c r="AH234" s="211">
        <f t="shared" si="269"/>
        <v>0</v>
      </c>
      <c r="AI234" s="211">
        <f t="shared" si="269"/>
        <v>0</v>
      </c>
      <c r="AJ234" s="211">
        <f t="shared" si="269"/>
        <v>0</v>
      </c>
      <c r="AK234" s="211">
        <f t="shared" si="269"/>
        <v>0</v>
      </c>
      <c r="AL234" s="211">
        <f t="shared" si="269"/>
        <v>0</v>
      </c>
      <c r="AM234" s="211">
        <f t="shared" si="269"/>
        <v>0</v>
      </c>
      <c r="AN234" s="211">
        <f t="shared" si="269"/>
        <v>0</v>
      </c>
    </row>
    <row r="235" spans="2:40" s="7" customFormat="1" ht="12" hidden="1" customHeight="1" outlineLevel="2">
      <c r="B235" s="245"/>
      <c r="C235" s="250" t="s">
        <v>761</v>
      </c>
      <c r="D235" s="250"/>
      <c r="E235" s="213"/>
      <c r="F235" s="213"/>
      <c r="G235" s="213"/>
      <c r="H235" s="213"/>
      <c r="I235" s="213"/>
      <c r="J235" s="213"/>
      <c r="K235" s="213"/>
      <c r="L235" s="213"/>
      <c r="M235" s="211">
        <f>INDEX($C$199:$AN$221,MATCH("New Customers One-Time",$C$199:$C$221,0),MATCH($C235,$C$199:$AN$199,0))</f>
        <v>0</v>
      </c>
      <c r="N235" s="211">
        <f t="shared" ref="N235:AN235" si="270">$M$235*(E225)</f>
        <v>0</v>
      </c>
      <c r="O235" s="211">
        <f t="shared" si="270"/>
        <v>0</v>
      </c>
      <c r="P235" s="211">
        <f t="shared" si="270"/>
        <v>0</v>
      </c>
      <c r="Q235" s="211">
        <f t="shared" si="270"/>
        <v>0</v>
      </c>
      <c r="R235" s="211">
        <f t="shared" si="270"/>
        <v>0</v>
      </c>
      <c r="S235" s="211">
        <f t="shared" si="270"/>
        <v>0</v>
      </c>
      <c r="T235" s="211">
        <f t="shared" si="270"/>
        <v>0</v>
      </c>
      <c r="U235" s="211">
        <f t="shared" si="270"/>
        <v>0</v>
      </c>
      <c r="V235" s="211">
        <f t="shared" si="270"/>
        <v>0</v>
      </c>
      <c r="W235" s="211">
        <f t="shared" si="270"/>
        <v>0</v>
      </c>
      <c r="X235" s="211">
        <f t="shared" si="270"/>
        <v>0</v>
      </c>
      <c r="Y235" s="211">
        <f t="shared" si="270"/>
        <v>0</v>
      </c>
      <c r="Z235" s="211">
        <f t="shared" si="270"/>
        <v>0</v>
      </c>
      <c r="AA235" s="211">
        <f t="shared" si="270"/>
        <v>0</v>
      </c>
      <c r="AB235" s="211">
        <f t="shared" si="270"/>
        <v>0</v>
      </c>
      <c r="AC235" s="211">
        <f t="shared" si="270"/>
        <v>0</v>
      </c>
      <c r="AD235" s="211">
        <f t="shared" si="270"/>
        <v>0</v>
      </c>
      <c r="AE235" s="211">
        <f t="shared" si="270"/>
        <v>0</v>
      </c>
      <c r="AF235" s="211">
        <f t="shared" si="270"/>
        <v>0</v>
      </c>
      <c r="AG235" s="211">
        <f t="shared" si="270"/>
        <v>0</v>
      </c>
      <c r="AH235" s="211">
        <f t="shared" si="270"/>
        <v>0</v>
      </c>
      <c r="AI235" s="211">
        <f t="shared" si="270"/>
        <v>0</v>
      </c>
      <c r="AJ235" s="211">
        <f t="shared" si="270"/>
        <v>0</v>
      </c>
      <c r="AK235" s="211">
        <f t="shared" si="270"/>
        <v>0</v>
      </c>
      <c r="AL235" s="211">
        <f t="shared" si="270"/>
        <v>0</v>
      </c>
      <c r="AM235" s="211">
        <f t="shared" si="270"/>
        <v>0</v>
      </c>
      <c r="AN235" s="211">
        <f t="shared" si="270"/>
        <v>0</v>
      </c>
    </row>
    <row r="236" spans="2:40" s="7" customFormat="1" ht="12" hidden="1" customHeight="1" outlineLevel="2">
      <c r="B236" s="245"/>
      <c r="C236" s="250" t="s">
        <v>762</v>
      </c>
      <c r="D236" s="250"/>
      <c r="E236" s="213"/>
      <c r="F236" s="213"/>
      <c r="G236" s="213"/>
      <c r="H236" s="213"/>
      <c r="I236" s="213"/>
      <c r="J236" s="213"/>
      <c r="K236" s="213"/>
      <c r="L236" s="213"/>
      <c r="M236" s="213"/>
      <c r="N236" s="211">
        <f>INDEX($C$199:$AN$221,MATCH("New Customers One-Time",$C$199:$C$221,0),MATCH($C236,$C$199:$AN$199,0))</f>
        <v>0</v>
      </c>
      <c r="O236" s="211">
        <f t="shared" ref="O236:AN236" si="271">$N$236*(E225)</f>
        <v>0</v>
      </c>
      <c r="P236" s="211">
        <f t="shared" si="271"/>
        <v>0</v>
      </c>
      <c r="Q236" s="211">
        <f t="shared" si="271"/>
        <v>0</v>
      </c>
      <c r="R236" s="211">
        <f t="shared" si="271"/>
        <v>0</v>
      </c>
      <c r="S236" s="211">
        <f t="shared" si="271"/>
        <v>0</v>
      </c>
      <c r="T236" s="211">
        <f t="shared" si="271"/>
        <v>0</v>
      </c>
      <c r="U236" s="211">
        <f t="shared" si="271"/>
        <v>0</v>
      </c>
      <c r="V236" s="211">
        <f t="shared" si="271"/>
        <v>0</v>
      </c>
      <c r="W236" s="211">
        <f t="shared" si="271"/>
        <v>0</v>
      </c>
      <c r="X236" s="211">
        <f t="shared" si="271"/>
        <v>0</v>
      </c>
      <c r="Y236" s="211">
        <f t="shared" si="271"/>
        <v>0</v>
      </c>
      <c r="Z236" s="211">
        <f t="shared" si="271"/>
        <v>0</v>
      </c>
      <c r="AA236" s="211">
        <f t="shared" si="271"/>
        <v>0</v>
      </c>
      <c r="AB236" s="211">
        <f t="shared" si="271"/>
        <v>0</v>
      </c>
      <c r="AC236" s="211">
        <f t="shared" si="271"/>
        <v>0</v>
      </c>
      <c r="AD236" s="211">
        <f t="shared" si="271"/>
        <v>0</v>
      </c>
      <c r="AE236" s="211">
        <f t="shared" si="271"/>
        <v>0</v>
      </c>
      <c r="AF236" s="211">
        <f t="shared" si="271"/>
        <v>0</v>
      </c>
      <c r="AG236" s="211">
        <f t="shared" si="271"/>
        <v>0</v>
      </c>
      <c r="AH236" s="211">
        <f t="shared" si="271"/>
        <v>0</v>
      </c>
      <c r="AI236" s="211">
        <f t="shared" si="271"/>
        <v>0</v>
      </c>
      <c r="AJ236" s="211">
        <f t="shared" si="271"/>
        <v>0</v>
      </c>
      <c r="AK236" s="211">
        <f t="shared" si="271"/>
        <v>0</v>
      </c>
      <c r="AL236" s="211">
        <f t="shared" si="271"/>
        <v>0</v>
      </c>
      <c r="AM236" s="211">
        <f t="shared" si="271"/>
        <v>0</v>
      </c>
      <c r="AN236" s="211">
        <f t="shared" si="271"/>
        <v>0</v>
      </c>
    </row>
    <row r="237" spans="2:40" s="7" customFormat="1" ht="12" hidden="1" customHeight="1" outlineLevel="2">
      <c r="B237" s="245"/>
      <c r="C237" s="250" t="s">
        <v>763</v>
      </c>
      <c r="D237" s="250"/>
      <c r="E237" s="213"/>
      <c r="F237" s="213"/>
      <c r="G237" s="213"/>
      <c r="H237" s="213"/>
      <c r="I237" s="213"/>
      <c r="J237" s="213"/>
      <c r="K237" s="213"/>
      <c r="L237" s="213"/>
      <c r="M237" s="213"/>
      <c r="N237" s="213"/>
      <c r="O237" s="211">
        <f>INDEX($C$199:$AN$221,MATCH("New Customers One-Time",$C$199:$C$221,0),MATCH($C237,$C$199:$AN$199,0))</f>
        <v>0</v>
      </c>
      <c r="P237" s="211">
        <f t="shared" ref="P237:AN237" si="272">$O$237*(E225)</f>
        <v>0</v>
      </c>
      <c r="Q237" s="211">
        <f t="shared" si="272"/>
        <v>0</v>
      </c>
      <c r="R237" s="211">
        <f t="shared" si="272"/>
        <v>0</v>
      </c>
      <c r="S237" s="211">
        <f t="shared" si="272"/>
        <v>0</v>
      </c>
      <c r="T237" s="211">
        <f t="shared" si="272"/>
        <v>0</v>
      </c>
      <c r="U237" s="211">
        <f t="shared" si="272"/>
        <v>0</v>
      </c>
      <c r="V237" s="211">
        <f t="shared" si="272"/>
        <v>0</v>
      </c>
      <c r="W237" s="211">
        <f t="shared" si="272"/>
        <v>0</v>
      </c>
      <c r="X237" s="211">
        <f t="shared" si="272"/>
        <v>0</v>
      </c>
      <c r="Y237" s="211">
        <f t="shared" si="272"/>
        <v>0</v>
      </c>
      <c r="Z237" s="211">
        <f t="shared" si="272"/>
        <v>0</v>
      </c>
      <c r="AA237" s="211">
        <f t="shared" si="272"/>
        <v>0</v>
      </c>
      <c r="AB237" s="211">
        <f t="shared" si="272"/>
        <v>0</v>
      </c>
      <c r="AC237" s="211">
        <f t="shared" si="272"/>
        <v>0</v>
      </c>
      <c r="AD237" s="211">
        <f t="shared" si="272"/>
        <v>0</v>
      </c>
      <c r="AE237" s="211">
        <f t="shared" si="272"/>
        <v>0</v>
      </c>
      <c r="AF237" s="211">
        <f t="shared" si="272"/>
        <v>0</v>
      </c>
      <c r="AG237" s="211">
        <f t="shared" si="272"/>
        <v>0</v>
      </c>
      <c r="AH237" s="211">
        <f t="shared" si="272"/>
        <v>0</v>
      </c>
      <c r="AI237" s="211">
        <f t="shared" si="272"/>
        <v>0</v>
      </c>
      <c r="AJ237" s="211">
        <f t="shared" si="272"/>
        <v>0</v>
      </c>
      <c r="AK237" s="211">
        <f t="shared" si="272"/>
        <v>0</v>
      </c>
      <c r="AL237" s="211">
        <f t="shared" si="272"/>
        <v>0</v>
      </c>
      <c r="AM237" s="211">
        <f t="shared" si="272"/>
        <v>0</v>
      </c>
      <c r="AN237" s="211">
        <f t="shared" si="272"/>
        <v>0</v>
      </c>
    </row>
    <row r="238" spans="2:40" s="7" customFormat="1" ht="12" hidden="1" customHeight="1" outlineLevel="2">
      <c r="B238" s="245"/>
      <c r="C238" s="250" t="s">
        <v>764</v>
      </c>
      <c r="D238" s="250"/>
      <c r="E238" s="213"/>
      <c r="F238" s="213"/>
      <c r="G238" s="213"/>
      <c r="H238" s="213"/>
      <c r="I238" s="213"/>
      <c r="J238" s="213"/>
      <c r="K238" s="213"/>
      <c r="L238" s="213"/>
      <c r="M238" s="213"/>
      <c r="N238" s="213"/>
      <c r="O238" s="213"/>
      <c r="P238" s="211">
        <f>INDEX($C$199:$AN$221,MATCH("New Customers One-Time",$C$199:$C$221,0),MATCH($C238,$C$199:$AN$199,0))</f>
        <v>0</v>
      </c>
      <c r="Q238" s="211">
        <f t="shared" ref="Q238:AN238" si="273">$P$238*(E225)</f>
        <v>0</v>
      </c>
      <c r="R238" s="211">
        <f t="shared" si="273"/>
        <v>0</v>
      </c>
      <c r="S238" s="211">
        <f t="shared" si="273"/>
        <v>0</v>
      </c>
      <c r="T238" s="211">
        <f t="shared" si="273"/>
        <v>0</v>
      </c>
      <c r="U238" s="211">
        <f t="shared" si="273"/>
        <v>0</v>
      </c>
      <c r="V238" s="211">
        <f t="shared" si="273"/>
        <v>0</v>
      </c>
      <c r="W238" s="211">
        <f t="shared" si="273"/>
        <v>0</v>
      </c>
      <c r="X238" s="211">
        <f t="shared" si="273"/>
        <v>0</v>
      </c>
      <c r="Y238" s="211">
        <f t="shared" si="273"/>
        <v>0</v>
      </c>
      <c r="Z238" s="211">
        <f t="shared" si="273"/>
        <v>0</v>
      </c>
      <c r="AA238" s="211">
        <f t="shared" si="273"/>
        <v>0</v>
      </c>
      <c r="AB238" s="211">
        <f t="shared" si="273"/>
        <v>0</v>
      </c>
      <c r="AC238" s="211">
        <f t="shared" si="273"/>
        <v>0</v>
      </c>
      <c r="AD238" s="211">
        <f t="shared" si="273"/>
        <v>0</v>
      </c>
      <c r="AE238" s="211">
        <f t="shared" si="273"/>
        <v>0</v>
      </c>
      <c r="AF238" s="211">
        <f t="shared" si="273"/>
        <v>0</v>
      </c>
      <c r="AG238" s="211">
        <f t="shared" si="273"/>
        <v>0</v>
      </c>
      <c r="AH238" s="211">
        <f t="shared" si="273"/>
        <v>0</v>
      </c>
      <c r="AI238" s="211">
        <f t="shared" si="273"/>
        <v>0</v>
      </c>
      <c r="AJ238" s="211">
        <f t="shared" si="273"/>
        <v>0</v>
      </c>
      <c r="AK238" s="211">
        <f t="shared" si="273"/>
        <v>0</v>
      </c>
      <c r="AL238" s="211">
        <f t="shared" si="273"/>
        <v>0</v>
      </c>
      <c r="AM238" s="211">
        <f t="shared" si="273"/>
        <v>0</v>
      </c>
      <c r="AN238" s="211">
        <f t="shared" si="273"/>
        <v>0</v>
      </c>
    </row>
    <row r="239" spans="2:40" s="7" customFormat="1" ht="12" hidden="1" customHeight="1" outlineLevel="2">
      <c r="B239" s="245"/>
      <c r="C239" s="250" t="s">
        <v>765</v>
      </c>
      <c r="D239" s="250"/>
      <c r="E239" s="213"/>
      <c r="F239" s="213"/>
      <c r="G239" s="213"/>
      <c r="H239" s="213"/>
      <c r="I239" s="213"/>
      <c r="J239" s="213"/>
      <c r="K239" s="213"/>
      <c r="L239" s="213"/>
      <c r="M239" s="213"/>
      <c r="N239" s="213"/>
      <c r="O239" s="213"/>
      <c r="P239" s="213"/>
      <c r="Q239" s="211">
        <f>INDEX($C$199:$AN$221,MATCH("New Customers One-Time",$C$199:$C$221,0),MATCH($C239,$C$199:$AN$199,0))</f>
        <v>0</v>
      </c>
      <c r="R239" s="211">
        <f t="shared" ref="R239:AN239" si="274">$Q$239*(E225)</f>
        <v>0</v>
      </c>
      <c r="S239" s="211">
        <f t="shared" si="274"/>
        <v>0</v>
      </c>
      <c r="T239" s="211">
        <f t="shared" si="274"/>
        <v>0</v>
      </c>
      <c r="U239" s="211">
        <f t="shared" si="274"/>
        <v>0</v>
      </c>
      <c r="V239" s="211">
        <f t="shared" si="274"/>
        <v>0</v>
      </c>
      <c r="W239" s="211">
        <f t="shared" si="274"/>
        <v>0</v>
      </c>
      <c r="X239" s="211">
        <f t="shared" si="274"/>
        <v>0</v>
      </c>
      <c r="Y239" s="211">
        <f t="shared" si="274"/>
        <v>0</v>
      </c>
      <c r="Z239" s="211">
        <f t="shared" si="274"/>
        <v>0</v>
      </c>
      <c r="AA239" s="211">
        <f t="shared" si="274"/>
        <v>0</v>
      </c>
      <c r="AB239" s="211">
        <f t="shared" si="274"/>
        <v>0</v>
      </c>
      <c r="AC239" s="211">
        <f t="shared" si="274"/>
        <v>0</v>
      </c>
      <c r="AD239" s="211">
        <f t="shared" si="274"/>
        <v>0</v>
      </c>
      <c r="AE239" s="211">
        <f t="shared" si="274"/>
        <v>0</v>
      </c>
      <c r="AF239" s="211">
        <f t="shared" si="274"/>
        <v>0</v>
      </c>
      <c r="AG239" s="211">
        <f t="shared" si="274"/>
        <v>0</v>
      </c>
      <c r="AH239" s="211">
        <f t="shared" si="274"/>
        <v>0</v>
      </c>
      <c r="AI239" s="211">
        <f t="shared" si="274"/>
        <v>0</v>
      </c>
      <c r="AJ239" s="211">
        <f t="shared" si="274"/>
        <v>0</v>
      </c>
      <c r="AK239" s="211">
        <f t="shared" si="274"/>
        <v>0</v>
      </c>
      <c r="AL239" s="211">
        <f t="shared" si="274"/>
        <v>0</v>
      </c>
      <c r="AM239" s="211">
        <f t="shared" si="274"/>
        <v>0</v>
      </c>
      <c r="AN239" s="211">
        <f t="shared" si="274"/>
        <v>0</v>
      </c>
    </row>
    <row r="240" spans="2:40" s="7" customFormat="1" ht="12" hidden="1" customHeight="1" outlineLevel="2">
      <c r="B240" s="245"/>
      <c r="C240" s="250" t="s">
        <v>766</v>
      </c>
      <c r="D240" s="250"/>
      <c r="E240" s="213"/>
      <c r="F240" s="213"/>
      <c r="G240" s="213"/>
      <c r="H240" s="213"/>
      <c r="I240" s="213"/>
      <c r="J240" s="213"/>
      <c r="K240" s="213"/>
      <c r="L240" s="213"/>
      <c r="M240" s="213"/>
      <c r="N240" s="213"/>
      <c r="O240" s="213"/>
      <c r="P240" s="213"/>
      <c r="Q240" s="213"/>
      <c r="R240" s="211">
        <f>INDEX($C$199:$AN$221,MATCH("New Customers One-Time",$C$199:$C$221,0),MATCH($C240,$C$199:$AN$199,0))</f>
        <v>0</v>
      </c>
      <c r="S240" s="211">
        <f t="shared" ref="S240:AN240" si="275">$R$240*(E225)</f>
        <v>0</v>
      </c>
      <c r="T240" s="211">
        <f t="shared" si="275"/>
        <v>0</v>
      </c>
      <c r="U240" s="211">
        <f t="shared" si="275"/>
        <v>0</v>
      </c>
      <c r="V240" s="211">
        <f t="shared" si="275"/>
        <v>0</v>
      </c>
      <c r="W240" s="211">
        <f t="shared" si="275"/>
        <v>0</v>
      </c>
      <c r="X240" s="211">
        <f t="shared" si="275"/>
        <v>0</v>
      </c>
      <c r="Y240" s="211">
        <f t="shared" si="275"/>
        <v>0</v>
      </c>
      <c r="Z240" s="211">
        <f t="shared" si="275"/>
        <v>0</v>
      </c>
      <c r="AA240" s="211">
        <f t="shared" si="275"/>
        <v>0</v>
      </c>
      <c r="AB240" s="211">
        <f t="shared" si="275"/>
        <v>0</v>
      </c>
      <c r="AC240" s="211">
        <f t="shared" si="275"/>
        <v>0</v>
      </c>
      <c r="AD240" s="211">
        <f t="shared" si="275"/>
        <v>0</v>
      </c>
      <c r="AE240" s="211">
        <f t="shared" si="275"/>
        <v>0</v>
      </c>
      <c r="AF240" s="211">
        <f t="shared" si="275"/>
        <v>0</v>
      </c>
      <c r="AG240" s="211">
        <f t="shared" si="275"/>
        <v>0</v>
      </c>
      <c r="AH240" s="211">
        <f t="shared" si="275"/>
        <v>0</v>
      </c>
      <c r="AI240" s="211">
        <f t="shared" si="275"/>
        <v>0</v>
      </c>
      <c r="AJ240" s="211">
        <f t="shared" si="275"/>
        <v>0</v>
      </c>
      <c r="AK240" s="211">
        <f t="shared" si="275"/>
        <v>0</v>
      </c>
      <c r="AL240" s="211">
        <f t="shared" si="275"/>
        <v>0</v>
      </c>
      <c r="AM240" s="211">
        <f t="shared" si="275"/>
        <v>0</v>
      </c>
      <c r="AN240" s="211">
        <f t="shared" si="275"/>
        <v>0</v>
      </c>
    </row>
    <row r="241" spans="2:41" s="7" customFormat="1" ht="12" hidden="1" customHeight="1" outlineLevel="2">
      <c r="B241" s="245"/>
      <c r="C241" s="250" t="s">
        <v>767</v>
      </c>
      <c r="D241" s="250"/>
      <c r="E241" s="213"/>
      <c r="F241" s="213"/>
      <c r="G241" s="213"/>
      <c r="H241" s="213"/>
      <c r="I241" s="213"/>
      <c r="J241" s="213"/>
      <c r="K241" s="213"/>
      <c r="L241" s="213"/>
      <c r="M241" s="213"/>
      <c r="N241" s="213"/>
      <c r="O241" s="213"/>
      <c r="P241" s="213"/>
      <c r="Q241" s="213"/>
      <c r="R241" s="213"/>
      <c r="S241" s="211">
        <f>INDEX($C$199:$AN$221,MATCH("New Customers One-Time",$C$199:$C$221,0),MATCH($C241,$C$199:$AN$199,0))</f>
        <v>0</v>
      </c>
      <c r="T241" s="211">
        <f t="shared" ref="T241:AN241" si="276">$S$241*(E225)</f>
        <v>0</v>
      </c>
      <c r="U241" s="211">
        <f t="shared" si="276"/>
        <v>0</v>
      </c>
      <c r="V241" s="211">
        <f t="shared" si="276"/>
        <v>0</v>
      </c>
      <c r="W241" s="211">
        <f t="shared" si="276"/>
        <v>0</v>
      </c>
      <c r="X241" s="211">
        <f t="shared" si="276"/>
        <v>0</v>
      </c>
      <c r="Y241" s="211">
        <f t="shared" si="276"/>
        <v>0</v>
      </c>
      <c r="Z241" s="211">
        <f t="shared" si="276"/>
        <v>0</v>
      </c>
      <c r="AA241" s="211">
        <f t="shared" si="276"/>
        <v>0</v>
      </c>
      <c r="AB241" s="211">
        <f t="shared" si="276"/>
        <v>0</v>
      </c>
      <c r="AC241" s="211">
        <f t="shared" si="276"/>
        <v>0</v>
      </c>
      <c r="AD241" s="211">
        <f t="shared" si="276"/>
        <v>0</v>
      </c>
      <c r="AE241" s="211">
        <f t="shared" si="276"/>
        <v>0</v>
      </c>
      <c r="AF241" s="211">
        <f t="shared" si="276"/>
        <v>0</v>
      </c>
      <c r="AG241" s="211">
        <f t="shared" si="276"/>
        <v>0</v>
      </c>
      <c r="AH241" s="211">
        <f t="shared" si="276"/>
        <v>0</v>
      </c>
      <c r="AI241" s="211">
        <f t="shared" si="276"/>
        <v>0</v>
      </c>
      <c r="AJ241" s="211">
        <f t="shared" si="276"/>
        <v>0</v>
      </c>
      <c r="AK241" s="211">
        <f t="shared" si="276"/>
        <v>0</v>
      </c>
      <c r="AL241" s="211">
        <f t="shared" si="276"/>
        <v>0</v>
      </c>
      <c r="AM241" s="211">
        <f t="shared" si="276"/>
        <v>0</v>
      </c>
      <c r="AN241" s="211">
        <f t="shared" si="276"/>
        <v>0</v>
      </c>
    </row>
    <row r="242" spans="2:41" s="7" customFormat="1" ht="12" hidden="1" customHeight="1" outlineLevel="2">
      <c r="B242" s="245"/>
      <c r="C242" s="250" t="s">
        <v>768</v>
      </c>
      <c r="D242" s="250"/>
      <c r="E242" s="213"/>
      <c r="F242" s="213"/>
      <c r="G242" s="213"/>
      <c r="H242" s="213"/>
      <c r="I242" s="213"/>
      <c r="J242" s="213"/>
      <c r="K242" s="213"/>
      <c r="L242" s="213"/>
      <c r="M242" s="213"/>
      <c r="N242" s="213"/>
      <c r="O242" s="213"/>
      <c r="P242" s="213"/>
      <c r="Q242" s="213"/>
      <c r="R242" s="213"/>
      <c r="S242" s="213"/>
      <c r="T242" s="211">
        <f>INDEX($C$199:$AN$221,MATCH("New Customers One-Time",$C$199:$C$221,0),MATCH($C242,$C$199:$AN$199,0))</f>
        <v>0</v>
      </c>
      <c r="U242" s="211">
        <f t="shared" ref="U242:AN242" si="277">$T$242*(E225)</f>
        <v>0</v>
      </c>
      <c r="V242" s="211">
        <f t="shared" si="277"/>
        <v>0</v>
      </c>
      <c r="W242" s="211">
        <f t="shared" si="277"/>
        <v>0</v>
      </c>
      <c r="X242" s="211">
        <f t="shared" si="277"/>
        <v>0</v>
      </c>
      <c r="Y242" s="211">
        <f t="shared" si="277"/>
        <v>0</v>
      </c>
      <c r="Z242" s="211">
        <f t="shared" si="277"/>
        <v>0</v>
      </c>
      <c r="AA242" s="211">
        <f t="shared" si="277"/>
        <v>0</v>
      </c>
      <c r="AB242" s="211">
        <f t="shared" si="277"/>
        <v>0</v>
      </c>
      <c r="AC242" s="211">
        <f t="shared" si="277"/>
        <v>0</v>
      </c>
      <c r="AD242" s="211">
        <f t="shared" si="277"/>
        <v>0</v>
      </c>
      <c r="AE242" s="211">
        <f t="shared" si="277"/>
        <v>0</v>
      </c>
      <c r="AF242" s="211">
        <f t="shared" si="277"/>
        <v>0</v>
      </c>
      <c r="AG242" s="211">
        <f t="shared" si="277"/>
        <v>0</v>
      </c>
      <c r="AH242" s="211">
        <f t="shared" si="277"/>
        <v>0</v>
      </c>
      <c r="AI242" s="211">
        <f t="shared" si="277"/>
        <v>0</v>
      </c>
      <c r="AJ242" s="211">
        <f t="shared" si="277"/>
        <v>0</v>
      </c>
      <c r="AK242" s="211">
        <f t="shared" si="277"/>
        <v>0</v>
      </c>
      <c r="AL242" s="211">
        <f t="shared" si="277"/>
        <v>0</v>
      </c>
      <c r="AM242" s="211">
        <f t="shared" si="277"/>
        <v>0</v>
      </c>
      <c r="AN242" s="211">
        <f t="shared" si="277"/>
        <v>0</v>
      </c>
    </row>
    <row r="243" spans="2:41" s="7" customFormat="1" ht="12" hidden="1" customHeight="1" outlineLevel="2">
      <c r="B243" s="245"/>
      <c r="C243" s="250" t="s">
        <v>769</v>
      </c>
      <c r="D243" s="250"/>
      <c r="E243" s="213"/>
      <c r="F243" s="213"/>
      <c r="G243" s="213"/>
      <c r="H243" s="213"/>
      <c r="I243" s="213"/>
      <c r="J243" s="213"/>
      <c r="K243" s="213"/>
      <c r="L243" s="213"/>
      <c r="M243" s="213"/>
      <c r="N243" s="213"/>
      <c r="O243" s="213"/>
      <c r="P243" s="213"/>
      <c r="Q243" s="213"/>
      <c r="R243" s="213"/>
      <c r="S243" s="213"/>
      <c r="T243" s="213"/>
      <c r="U243" s="211">
        <f>INDEX($C$199:$AN$221,MATCH("New Customers One-Time",$C$199:$C$221,0),MATCH($C243,$C$199:$AN$199,0))</f>
        <v>0</v>
      </c>
      <c r="V243" s="211">
        <f t="shared" ref="V243:AN243" si="278">$U$243*(E225)</f>
        <v>0</v>
      </c>
      <c r="W243" s="211">
        <f t="shared" si="278"/>
        <v>0</v>
      </c>
      <c r="X243" s="211">
        <f t="shared" si="278"/>
        <v>0</v>
      </c>
      <c r="Y243" s="211">
        <f t="shared" si="278"/>
        <v>0</v>
      </c>
      <c r="Z243" s="211">
        <f t="shared" si="278"/>
        <v>0</v>
      </c>
      <c r="AA243" s="211">
        <f t="shared" si="278"/>
        <v>0</v>
      </c>
      <c r="AB243" s="211">
        <f t="shared" si="278"/>
        <v>0</v>
      </c>
      <c r="AC243" s="211">
        <f t="shared" si="278"/>
        <v>0</v>
      </c>
      <c r="AD243" s="211">
        <f t="shared" si="278"/>
        <v>0</v>
      </c>
      <c r="AE243" s="211">
        <f t="shared" si="278"/>
        <v>0</v>
      </c>
      <c r="AF243" s="211">
        <f t="shared" si="278"/>
        <v>0</v>
      </c>
      <c r="AG243" s="211">
        <f t="shared" si="278"/>
        <v>0</v>
      </c>
      <c r="AH243" s="211">
        <f t="shared" si="278"/>
        <v>0</v>
      </c>
      <c r="AI243" s="211">
        <f t="shared" si="278"/>
        <v>0</v>
      </c>
      <c r="AJ243" s="211">
        <f t="shared" si="278"/>
        <v>0</v>
      </c>
      <c r="AK243" s="211">
        <f t="shared" si="278"/>
        <v>0</v>
      </c>
      <c r="AL243" s="211">
        <f t="shared" si="278"/>
        <v>0</v>
      </c>
      <c r="AM243" s="211">
        <f t="shared" si="278"/>
        <v>0</v>
      </c>
      <c r="AN243" s="211">
        <f t="shared" si="278"/>
        <v>0</v>
      </c>
    </row>
    <row r="244" spans="2:41" s="7" customFormat="1" ht="12" hidden="1" customHeight="1" outlineLevel="2">
      <c r="B244" s="245"/>
      <c r="C244" s="250" t="s">
        <v>770</v>
      </c>
      <c r="D244" s="250"/>
      <c r="E244" s="213"/>
      <c r="F244" s="213"/>
      <c r="G244" s="213"/>
      <c r="H244" s="213"/>
      <c r="I244" s="213"/>
      <c r="J244" s="213"/>
      <c r="K244" s="213"/>
      <c r="L244" s="213"/>
      <c r="M244" s="213"/>
      <c r="N244" s="213"/>
      <c r="O244" s="213"/>
      <c r="P244" s="213"/>
      <c r="Q244" s="213"/>
      <c r="R244" s="213"/>
      <c r="S244" s="213"/>
      <c r="T244" s="213"/>
      <c r="U244" s="213"/>
      <c r="V244" s="211">
        <f>INDEX($C$199:$AN$221,MATCH("New Customers One-Time",$C$199:$C$221,0),MATCH($C244,$C$199:$AN$199,0))</f>
        <v>0</v>
      </c>
      <c r="W244" s="211">
        <f t="shared" ref="W244:AN244" si="279">$V$244*(E225)</f>
        <v>0</v>
      </c>
      <c r="X244" s="211">
        <f t="shared" si="279"/>
        <v>0</v>
      </c>
      <c r="Y244" s="211">
        <f t="shared" si="279"/>
        <v>0</v>
      </c>
      <c r="Z244" s="211">
        <f t="shared" si="279"/>
        <v>0</v>
      </c>
      <c r="AA244" s="211">
        <f t="shared" si="279"/>
        <v>0</v>
      </c>
      <c r="AB244" s="211">
        <f t="shared" si="279"/>
        <v>0</v>
      </c>
      <c r="AC244" s="211">
        <f t="shared" si="279"/>
        <v>0</v>
      </c>
      <c r="AD244" s="211">
        <f t="shared" si="279"/>
        <v>0</v>
      </c>
      <c r="AE244" s="211">
        <f t="shared" si="279"/>
        <v>0</v>
      </c>
      <c r="AF244" s="211">
        <f t="shared" si="279"/>
        <v>0</v>
      </c>
      <c r="AG244" s="211">
        <f t="shared" si="279"/>
        <v>0</v>
      </c>
      <c r="AH244" s="211">
        <f t="shared" si="279"/>
        <v>0</v>
      </c>
      <c r="AI244" s="211">
        <f t="shared" si="279"/>
        <v>0</v>
      </c>
      <c r="AJ244" s="211">
        <f t="shared" si="279"/>
        <v>0</v>
      </c>
      <c r="AK244" s="211">
        <f t="shared" si="279"/>
        <v>0</v>
      </c>
      <c r="AL244" s="211">
        <f t="shared" si="279"/>
        <v>0</v>
      </c>
      <c r="AM244" s="211">
        <f t="shared" si="279"/>
        <v>0</v>
      </c>
      <c r="AN244" s="211">
        <f t="shared" si="279"/>
        <v>0</v>
      </c>
    </row>
    <row r="245" spans="2:41" s="7" customFormat="1" ht="12" hidden="1" customHeight="1" outlineLevel="2">
      <c r="B245" s="245"/>
      <c r="C245" s="250" t="s">
        <v>771</v>
      </c>
      <c r="D245" s="250"/>
      <c r="E245" s="213"/>
      <c r="F245" s="213"/>
      <c r="G245" s="213"/>
      <c r="H245" s="213"/>
      <c r="I245" s="213"/>
      <c r="J245" s="213"/>
      <c r="K245" s="213"/>
      <c r="L245" s="213"/>
      <c r="M245" s="213"/>
      <c r="N245" s="213"/>
      <c r="O245" s="213"/>
      <c r="P245" s="213"/>
      <c r="Q245" s="213"/>
      <c r="R245" s="213"/>
      <c r="S245" s="213"/>
      <c r="T245" s="213"/>
      <c r="U245" s="213"/>
      <c r="V245" s="213"/>
      <c r="W245" s="211">
        <f>INDEX($C$199:$AN$221,MATCH("New Customers One-Time",$C$199:$C$221,0),MATCH($C245,$C$199:$AN$199,0))</f>
        <v>0</v>
      </c>
      <c r="X245" s="211">
        <f t="shared" ref="X245:AN245" si="280">$W$245*(E225)</f>
        <v>0</v>
      </c>
      <c r="Y245" s="211">
        <f t="shared" si="280"/>
        <v>0</v>
      </c>
      <c r="Z245" s="211">
        <f t="shared" si="280"/>
        <v>0</v>
      </c>
      <c r="AA245" s="211">
        <f t="shared" si="280"/>
        <v>0</v>
      </c>
      <c r="AB245" s="211">
        <f t="shared" si="280"/>
        <v>0</v>
      </c>
      <c r="AC245" s="211">
        <f t="shared" si="280"/>
        <v>0</v>
      </c>
      <c r="AD245" s="211">
        <f t="shared" si="280"/>
        <v>0</v>
      </c>
      <c r="AE245" s="211">
        <f t="shared" si="280"/>
        <v>0</v>
      </c>
      <c r="AF245" s="211">
        <f t="shared" si="280"/>
        <v>0</v>
      </c>
      <c r="AG245" s="211">
        <f t="shared" si="280"/>
        <v>0</v>
      </c>
      <c r="AH245" s="211">
        <f t="shared" si="280"/>
        <v>0</v>
      </c>
      <c r="AI245" s="211">
        <f t="shared" si="280"/>
        <v>0</v>
      </c>
      <c r="AJ245" s="211">
        <f t="shared" si="280"/>
        <v>0</v>
      </c>
      <c r="AK245" s="211">
        <f t="shared" si="280"/>
        <v>0</v>
      </c>
      <c r="AL245" s="211">
        <f t="shared" si="280"/>
        <v>0</v>
      </c>
      <c r="AM245" s="211">
        <f t="shared" si="280"/>
        <v>0</v>
      </c>
      <c r="AN245" s="211">
        <f t="shared" si="280"/>
        <v>0</v>
      </c>
    </row>
    <row r="246" spans="2:41" s="7" customFormat="1" ht="12" hidden="1" customHeight="1" outlineLevel="2">
      <c r="B246" s="245"/>
      <c r="C246" s="250" t="s">
        <v>772</v>
      </c>
      <c r="D246" s="250"/>
      <c r="E246" s="213"/>
      <c r="F246" s="213"/>
      <c r="G246" s="213"/>
      <c r="H246" s="213"/>
      <c r="I246" s="213"/>
      <c r="J246" s="213"/>
      <c r="K246" s="213"/>
      <c r="L246" s="213"/>
      <c r="M246" s="213"/>
      <c r="N246" s="213"/>
      <c r="O246" s="213"/>
      <c r="P246" s="213"/>
      <c r="Q246" s="213"/>
      <c r="R246" s="213"/>
      <c r="S246" s="213"/>
      <c r="T246" s="213"/>
      <c r="U246" s="213"/>
      <c r="V246" s="213"/>
      <c r="W246" s="213"/>
      <c r="X246" s="211">
        <f>INDEX($C$199:$AN$221,MATCH("New Customers One-Time",$C$199:$C$221,0),MATCH($C246,$C$199:$AN$199,0))</f>
        <v>0</v>
      </c>
      <c r="Y246" s="211">
        <f t="shared" ref="Y246:AN246" si="281">$X$246*(E225)</f>
        <v>0</v>
      </c>
      <c r="Z246" s="211">
        <f t="shared" si="281"/>
        <v>0</v>
      </c>
      <c r="AA246" s="211">
        <f t="shared" si="281"/>
        <v>0</v>
      </c>
      <c r="AB246" s="211">
        <f t="shared" si="281"/>
        <v>0</v>
      </c>
      <c r="AC246" s="211">
        <f t="shared" si="281"/>
        <v>0</v>
      </c>
      <c r="AD246" s="211">
        <f t="shared" si="281"/>
        <v>0</v>
      </c>
      <c r="AE246" s="211">
        <f t="shared" si="281"/>
        <v>0</v>
      </c>
      <c r="AF246" s="211">
        <f t="shared" si="281"/>
        <v>0</v>
      </c>
      <c r="AG246" s="211">
        <f t="shared" si="281"/>
        <v>0</v>
      </c>
      <c r="AH246" s="211">
        <f t="shared" si="281"/>
        <v>0</v>
      </c>
      <c r="AI246" s="211">
        <f t="shared" si="281"/>
        <v>0</v>
      </c>
      <c r="AJ246" s="211">
        <f t="shared" si="281"/>
        <v>0</v>
      </c>
      <c r="AK246" s="211">
        <f t="shared" si="281"/>
        <v>0</v>
      </c>
      <c r="AL246" s="211">
        <f t="shared" si="281"/>
        <v>0</v>
      </c>
      <c r="AM246" s="211">
        <f t="shared" si="281"/>
        <v>0</v>
      </c>
      <c r="AN246" s="211">
        <f t="shared" si="281"/>
        <v>0</v>
      </c>
    </row>
    <row r="247" spans="2:41" s="7" customFormat="1" ht="12" hidden="1" customHeight="1" outlineLevel="2">
      <c r="B247" s="245"/>
      <c r="C247" s="250" t="s">
        <v>773</v>
      </c>
      <c r="D247" s="250"/>
      <c r="E247" s="213"/>
      <c r="F247" s="213"/>
      <c r="G247" s="213"/>
      <c r="H247" s="213"/>
      <c r="I247" s="213"/>
      <c r="J247" s="213"/>
      <c r="K247" s="213"/>
      <c r="L247" s="213"/>
      <c r="M247" s="213"/>
      <c r="N247" s="213"/>
      <c r="O247" s="213"/>
      <c r="P247" s="213"/>
      <c r="Q247" s="213"/>
      <c r="R247" s="213"/>
      <c r="S247" s="213"/>
      <c r="T247" s="213"/>
      <c r="U247" s="213"/>
      <c r="V247" s="213"/>
      <c r="W247" s="213"/>
      <c r="X247" s="213"/>
      <c r="Y247" s="211">
        <f>INDEX($C$199:$AN$221,MATCH("New Customers One-Time",$C$199:$C$221,0),MATCH($C247,$C$199:$AN$199,0))</f>
        <v>0</v>
      </c>
      <c r="Z247" s="211">
        <f t="shared" ref="Z247:AN247" si="282">$Y$247*(E225)</f>
        <v>0</v>
      </c>
      <c r="AA247" s="211">
        <f t="shared" si="282"/>
        <v>0</v>
      </c>
      <c r="AB247" s="211">
        <f t="shared" si="282"/>
        <v>0</v>
      </c>
      <c r="AC247" s="211">
        <f t="shared" si="282"/>
        <v>0</v>
      </c>
      <c r="AD247" s="211">
        <f t="shared" si="282"/>
        <v>0</v>
      </c>
      <c r="AE247" s="211">
        <f t="shared" si="282"/>
        <v>0</v>
      </c>
      <c r="AF247" s="211">
        <f t="shared" si="282"/>
        <v>0</v>
      </c>
      <c r="AG247" s="211">
        <f t="shared" si="282"/>
        <v>0</v>
      </c>
      <c r="AH247" s="211">
        <f t="shared" si="282"/>
        <v>0</v>
      </c>
      <c r="AI247" s="211">
        <f t="shared" si="282"/>
        <v>0</v>
      </c>
      <c r="AJ247" s="211">
        <f t="shared" si="282"/>
        <v>0</v>
      </c>
      <c r="AK247" s="211">
        <f t="shared" si="282"/>
        <v>0</v>
      </c>
      <c r="AL247" s="211">
        <f t="shared" si="282"/>
        <v>0</v>
      </c>
      <c r="AM247" s="211">
        <f t="shared" si="282"/>
        <v>0</v>
      </c>
      <c r="AN247" s="211">
        <f t="shared" si="282"/>
        <v>0</v>
      </c>
    </row>
    <row r="248" spans="2:41" s="7" customFormat="1" ht="12" hidden="1" customHeight="1" outlineLevel="2">
      <c r="B248" s="245"/>
      <c r="C248" s="250" t="s">
        <v>774</v>
      </c>
      <c r="D248" s="250"/>
      <c r="E248" s="213"/>
      <c r="F248" s="213"/>
      <c r="G248" s="213"/>
      <c r="H248" s="213"/>
      <c r="I248" s="213"/>
      <c r="J248" s="213"/>
      <c r="K248" s="213"/>
      <c r="L248" s="213"/>
      <c r="M248" s="213"/>
      <c r="N248" s="213"/>
      <c r="O248" s="213"/>
      <c r="P248" s="213"/>
      <c r="Q248" s="213"/>
      <c r="R248" s="213"/>
      <c r="S248" s="213"/>
      <c r="T248" s="213"/>
      <c r="U248" s="213"/>
      <c r="V248" s="213"/>
      <c r="W248" s="213"/>
      <c r="X248" s="213"/>
      <c r="Y248" s="213"/>
      <c r="Z248" s="211">
        <f>INDEX($C$199:$AN$221,MATCH("New Customers One-Time",$C$199:$C$221,0),MATCH($C248,$C$199:$AN$199,0))</f>
        <v>0</v>
      </c>
      <c r="AA248" s="211">
        <f t="shared" ref="AA248:AK248" si="283">$Z$248*(E225)</f>
        <v>0</v>
      </c>
      <c r="AB248" s="211">
        <f t="shared" si="283"/>
        <v>0</v>
      </c>
      <c r="AC248" s="211">
        <f t="shared" si="283"/>
        <v>0</v>
      </c>
      <c r="AD248" s="211">
        <f t="shared" si="283"/>
        <v>0</v>
      </c>
      <c r="AE248" s="211">
        <f t="shared" si="283"/>
        <v>0</v>
      </c>
      <c r="AF248" s="211">
        <f t="shared" si="283"/>
        <v>0</v>
      </c>
      <c r="AG248" s="211">
        <f t="shared" si="283"/>
        <v>0</v>
      </c>
      <c r="AH248" s="211">
        <f t="shared" si="283"/>
        <v>0</v>
      </c>
      <c r="AI248" s="211">
        <f t="shared" si="283"/>
        <v>0</v>
      </c>
      <c r="AJ248" s="211">
        <f t="shared" si="283"/>
        <v>0</v>
      </c>
      <c r="AK248" s="211">
        <f t="shared" si="283"/>
        <v>0</v>
      </c>
      <c r="AL248" s="211">
        <f>AK248*(P225)</f>
        <v>0</v>
      </c>
      <c r="AM248" s="211">
        <f>AL248*(Q225)</f>
        <v>0</v>
      </c>
      <c r="AN248" s="211">
        <f>AM248*(R225)</f>
        <v>0</v>
      </c>
    </row>
    <row r="249" spans="2:41" s="7" customFormat="1" ht="12" hidden="1" customHeight="1" outlineLevel="2">
      <c r="B249" s="245"/>
      <c r="C249" s="250" t="s">
        <v>775</v>
      </c>
      <c r="D249" s="250"/>
      <c r="E249" s="213"/>
      <c r="F249" s="213"/>
      <c r="G249" s="213"/>
      <c r="H249" s="213"/>
      <c r="I249" s="213"/>
      <c r="J249" s="213"/>
      <c r="K249" s="213"/>
      <c r="L249" s="213"/>
      <c r="M249" s="213"/>
      <c r="N249" s="213"/>
      <c r="O249" s="213"/>
      <c r="P249" s="213"/>
      <c r="Q249" s="213"/>
      <c r="R249" s="213"/>
      <c r="S249" s="213"/>
      <c r="T249" s="213"/>
      <c r="U249" s="213"/>
      <c r="V249" s="213"/>
      <c r="W249" s="213"/>
      <c r="X249" s="213"/>
      <c r="Y249" s="213"/>
      <c r="Z249" s="213"/>
      <c r="AA249" s="211">
        <f>INDEX($C$199:$AN$221,MATCH("New Customers One-Time",$C$199:$C$221,0),MATCH($C249,$C$199:$AN$199,0))</f>
        <v>0</v>
      </c>
      <c r="AB249" s="211">
        <f t="shared" ref="AB249:AK249" si="284">$AA$249*(E225)</f>
        <v>0</v>
      </c>
      <c r="AC249" s="211">
        <f t="shared" si="284"/>
        <v>0</v>
      </c>
      <c r="AD249" s="211">
        <f t="shared" si="284"/>
        <v>0</v>
      </c>
      <c r="AE249" s="211">
        <f t="shared" si="284"/>
        <v>0</v>
      </c>
      <c r="AF249" s="211">
        <f t="shared" si="284"/>
        <v>0</v>
      </c>
      <c r="AG249" s="211">
        <f t="shared" si="284"/>
        <v>0</v>
      </c>
      <c r="AH249" s="211">
        <f t="shared" si="284"/>
        <v>0</v>
      </c>
      <c r="AI249" s="211">
        <f t="shared" si="284"/>
        <v>0</v>
      </c>
      <c r="AJ249" s="211">
        <f t="shared" si="284"/>
        <v>0</v>
      </c>
      <c r="AK249" s="211">
        <f t="shared" si="284"/>
        <v>0</v>
      </c>
      <c r="AL249" s="211">
        <f>AK249*(O225)</f>
        <v>0</v>
      </c>
      <c r="AM249" s="211">
        <f>AL249*(P225)</f>
        <v>0</v>
      </c>
      <c r="AN249" s="211">
        <f>AM249*(Q225)</f>
        <v>0</v>
      </c>
    </row>
    <row r="250" spans="2:41" s="7" customFormat="1" ht="12" hidden="1" customHeight="1" outlineLevel="2">
      <c r="B250" s="245"/>
      <c r="C250" s="250" t="s">
        <v>776</v>
      </c>
      <c r="D250" s="250"/>
      <c r="E250" s="213"/>
      <c r="F250" s="213"/>
      <c r="G250" s="213"/>
      <c r="H250" s="213"/>
      <c r="I250" s="213"/>
      <c r="J250" s="213"/>
      <c r="K250" s="213"/>
      <c r="L250" s="213"/>
      <c r="M250" s="213"/>
      <c r="N250" s="213"/>
      <c r="O250" s="213"/>
      <c r="P250" s="213"/>
      <c r="Q250" s="213"/>
      <c r="R250" s="213"/>
      <c r="S250" s="213"/>
      <c r="T250" s="213"/>
      <c r="U250" s="213"/>
      <c r="V250" s="213"/>
      <c r="W250" s="213"/>
      <c r="X250" s="213"/>
      <c r="Y250" s="213"/>
      <c r="Z250" s="213"/>
      <c r="AA250" s="213"/>
      <c r="AB250" s="211">
        <f>INDEX($C$199:$AN$221,MATCH("New Customers One-Time",$C$199:$C$221,0),MATCH($C250,$C$199:$AN$199,0))</f>
        <v>0</v>
      </c>
      <c r="AC250" s="211">
        <f t="shared" ref="AC250:AN250" si="285">$AB$250*(E225)</f>
        <v>0</v>
      </c>
      <c r="AD250" s="211">
        <f t="shared" si="285"/>
        <v>0</v>
      </c>
      <c r="AE250" s="211">
        <f t="shared" si="285"/>
        <v>0</v>
      </c>
      <c r="AF250" s="211">
        <f t="shared" si="285"/>
        <v>0</v>
      </c>
      <c r="AG250" s="211">
        <f t="shared" si="285"/>
        <v>0</v>
      </c>
      <c r="AH250" s="211">
        <f t="shared" si="285"/>
        <v>0</v>
      </c>
      <c r="AI250" s="211">
        <f t="shared" si="285"/>
        <v>0</v>
      </c>
      <c r="AJ250" s="211">
        <f t="shared" si="285"/>
        <v>0</v>
      </c>
      <c r="AK250" s="211">
        <f t="shared" si="285"/>
        <v>0</v>
      </c>
      <c r="AL250" s="211">
        <f t="shared" si="285"/>
        <v>0</v>
      </c>
      <c r="AM250" s="211">
        <f t="shared" si="285"/>
        <v>0</v>
      </c>
      <c r="AN250" s="211">
        <f t="shared" si="285"/>
        <v>0</v>
      </c>
      <c r="AO250" s="211"/>
    </row>
    <row r="251" spans="2:41" s="7" customFormat="1" ht="12" hidden="1" customHeight="1" outlineLevel="2">
      <c r="B251" s="245"/>
      <c r="C251" s="250" t="s">
        <v>777</v>
      </c>
      <c r="D251" s="250"/>
      <c r="E251" s="213"/>
      <c r="F251" s="213"/>
      <c r="G251" s="213"/>
      <c r="H251" s="213"/>
      <c r="I251" s="213"/>
      <c r="J251" s="213"/>
      <c r="K251" s="213"/>
      <c r="L251" s="213"/>
      <c r="M251" s="213"/>
      <c r="N251" s="213"/>
      <c r="O251" s="213"/>
      <c r="P251" s="213"/>
      <c r="Q251" s="213"/>
      <c r="R251" s="213"/>
      <c r="S251" s="213"/>
      <c r="T251" s="213"/>
      <c r="U251" s="213"/>
      <c r="V251" s="213"/>
      <c r="W251" s="213"/>
      <c r="X251" s="213"/>
      <c r="Y251" s="213"/>
      <c r="Z251" s="213"/>
      <c r="AA251" s="213"/>
      <c r="AB251" s="211"/>
      <c r="AC251" s="211">
        <f>INDEX($C$199:$AN$221,MATCH("New Customers One-Time",$C$199:$C$221,0),MATCH($C251,$C$199:$AN$199,0))</f>
        <v>0</v>
      </c>
      <c r="AD251" s="211">
        <f t="shared" ref="AD251:AK251" si="286">$AC$251*(E225)</f>
        <v>0</v>
      </c>
      <c r="AE251" s="211">
        <f t="shared" si="286"/>
        <v>0</v>
      </c>
      <c r="AF251" s="211">
        <f t="shared" si="286"/>
        <v>0</v>
      </c>
      <c r="AG251" s="211">
        <f t="shared" si="286"/>
        <v>0</v>
      </c>
      <c r="AH251" s="211">
        <f t="shared" si="286"/>
        <v>0</v>
      </c>
      <c r="AI251" s="211">
        <f t="shared" si="286"/>
        <v>0</v>
      </c>
      <c r="AJ251" s="211">
        <f t="shared" si="286"/>
        <v>0</v>
      </c>
      <c r="AK251" s="211">
        <f t="shared" si="286"/>
        <v>0</v>
      </c>
      <c r="AL251" s="211">
        <f>AK251*(M225)</f>
        <v>0</v>
      </c>
      <c r="AM251" s="211">
        <f>AL251*(N225)</f>
        <v>0</v>
      </c>
      <c r="AN251" s="211">
        <f>AM251*(O225)</f>
        <v>0</v>
      </c>
    </row>
    <row r="252" spans="2:41" s="7" customFormat="1" ht="12" hidden="1" customHeight="1" outlineLevel="2">
      <c r="B252" s="245"/>
      <c r="C252" s="250" t="s">
        <v>778</v>
      </c>
      <c r="D252" s="250"/>
      <c r="E252" s="213"/>
      <c r="F252" s="213"/>
      <c r="G252" s="213"/>
      <c r="H252" s="213"/>
      <c r="I252" s="213"/>
      <c r="J252" s="213"/>
      <c r="K252" s="213"/>
      <c r="L252" s="213"/>
      <c r="M252" s="213"/>
      <c r="N252" s="213"/>
      <c r="O252" s="213"/>
      <c r="P252" s="213"/>
      <c r="Q252" s="213"/>
      <c r="R252" s="213"/>
      <c r="S252" s="213"/>
      <c r="T252" s="213"/>
      <c r="U252" s="213"/>
      <c r="V252" s="213"/>
      <c r="W252" s="213"/>
      <c r="X252" s="213"/>
      <c r="Y252" s="213"/>
      <c r="Z252" s="213"/>
      <c r="AA252" s="213"/>
      <c r="AB252" s="211"/>
      <c r="AC252" s="211"/>
      <c r="AD252" s="211">
        <f>INDEX($C$199:$AN$221,MATCH("New Customers One-Time",$C$199:$C$221,0),MATCH($C252,$C$199:$AN$199,0))</f>
        <v>0</v>
      </c>
      <c r="AE252" s="211">
        <f t="shared" ref="AE252:AN252" si="287">$AD$252*(E225)</f>
        <v>0</v>
      </c>
      <c r="AF252" s="211">
        <f t="shared" si="287"/>
        <v>0</v>
      </c>
      <c r="AG252" s="211">
        <f t="shared" si="287"/>
        <v>0</v>
      </c>
      <c r="AH252" s="211">
        <f t="shared" si="287"/>
        <v>0</v>
      </c>
      <c r="AI252" s="211">
        <f t="shared" si="287"/>
        <v>0</v>
      </c>
      <c r="AJ252" s="211">
        <f t="shared" si="287"/>
        <v>0</v>
      </c>
      <c r="AK252" s="211">
        <f t="shared" si="287"/>
        <v>0</v>
      </c>
      <c r="AL252" s="211">
        <f t="shared" si="287"/>
        <v>0</v>
      </c>
      <c r="AM252" s="211">
        <f t="shared" si="287"/>
        <v>0</v>
      </c>
      <c r="AN252" s="211">
        <f t="shared" si="287"/>
        <v>0</v>
      </c>
    </row>
    <row r="253" spans="2:41" s="7" customFormat="1" ht="12" hidden="1" customHeight="1" outlineLevel="2">
      <c r="B253" s="245"/>
      <c r="C253" s="250" t="s">
        <v>779</v>
      </c>
      <c r="D253" s="250"/>
      <c r="E253" s="213"/>
      <c r="F253" s="213"/>
      <c r="G253" s="213"/>
      <c r="H253" s="213"/>
      <c r="I253" s="213"/>
      <c r="J253" s="213"/>
      <c r="K253" s="213"/>
      <c r="L253" s="213"/>
      <c r="M253" s="213"/>
      <c r="N253" s="213"/>
      <c r="O253" s="213"/>
      <c r="P253" s="213"/>
      <c r="Q253" s="213"/>
      <c r="R253" s="213"/>
      <c r="S253" s="213"/>
      <c r="T253" s="213"/>
      <c r="U253" s="213"/>
      <c r="V253" s="213"/>
      <c r="W253" s="213"/>
      <c r="X253" s="213"/>
      <c r="Y253" s="213"/>
      <c r="Z253" s="213"/>
      <c r="AA253" s="213"/>
      <c r="AB253" s="211"/>
      <c r="AC253" s="211"/>
      <c r="AD253" s="211"/>
      <c r="AE253" s="211">
        <f>INDEX($C$199:$AN$221,MATCH("New Customers One-Time",$C$199:$C$221,0),MATCH($C253,$C$199:$AN$199,0))</f>
        <v>0</v>
      </c>
      <c r="AF253" s="211">
        <f t="shared" ref="AF253:AN253" si="288">$AE$253*(E225)</f>
        <v>0</v>
      </c>
      <c r="AG253" s="211">
        <f t="shared" si="288"/>
        <v>0</v>
      </c>
      <c r="AH253" s="211">
        <f t="shared" si="288"/>
        <v>0</v>
      </c>
      <c r="AI253" s="211">
        <f t="shared" si="288"/>
        <v>0</v>
      </c>
      <c r="AJ253" s="211">
        <f t="shared" si="288"/>
        <v>0</v>
      </c>
      <c r="AK253" s="211">
        <f t="shared" si="288"/>
        <v>0</v>
      </c>
      <c r="AL253" s="211">
        <f t="shared" si="288"/>
        <v>0</v>
      </c>
      <c r="AM253" s="211">
        <f t="shared" si="288"/>
        <v>0</v>
      </c>
      <c r="AN253" s="211">
        <f t="shared" si="288"/>
        <v>0</v>
      </c>
    </row>
    <row r="254" spans="2:41" s="7" customFormat="1" ht="12" hidden="1" customHeight="1" outlineLevel="2">
      <c r="B254" s="245"/>
      <c r="C254" s="250" t="s">
        <v>780</v>
      </c>
      <c r="D254" s="250"/>
      <c r="E254" s="213"/>
      <c r="F254" s="213"/>
      <c r="G254" s="213"/>
      <c r="H254" s="213"/>
      <c r="I254" s="213"/>
      <c r="J254" s="213"/>
      <c r="K254" s="213"/>
      <c r="L254" s="213"/>
      <c r="M254" s="213"/>
      <c r="N254" s="213"/>
      <c r="O254" s="213"/>
      <c r="P254" s="213"/>
      <c r="Q254" s="213"/>
      <c r="R254" s="213"/>
      <c r="S254" s="213"/>
      <c r="T254" s="213"/>
      <c r="U254" s="213"/>
      <c r="V254" s="213"/>
      <c r="W254" s="213"/>
      <c r="X254" s="213"/>
      <c r="Y254" s="213"/>
      <c r="Z254" s="213"/>
      <c r="AA254" s="213"/>
      <c r="AB254" s="211"/>
      <c r="AC254" s="211"/>
      <c r="AD254" s="211"/>
      <c r="AE254" s="211"/>
      <c r="AF254" s="211">
        <f>INDEX($C$199:$AN$221,MATCH("New Customers One-Time",$C$199:$C$221,0),MATCH($C254,$C$199:$AN$199,0))</f>
        <v>0</v>
      </c>
      <c r="AG254" s="211">
        <f t="shared" ref="AG254:AN254" si="289">$AF$254*(E225)</f>
        <v>0</v>
      </c>
      <c r="AH254" s="211">
        <f t="shared" si="289"/>
        <v>0</v>
      </c>
      <c r="AI254" s="211">
        <f t="shared" si="289"/>
        <v>0</v>
      </c>
      <c r="AJ254" s="211">
        <f t="shared" si="289"/>
        <v>0</v>
      </c>
      <c r="AK254" s="211">
        <f t="shared" si="289"/>
        <v>0</v>
      </c>
      <c r="AL254" s="211">
        <f t="shared" si="289"/>
        <v>0</v>
      </c>
      <c r="AM254" s="211">
        <f t="shared" si="289"/>
        <v>0</v>
      </c>
      <c r="AN254" s="211">
        <f t="shared" si="289"/>
        <v>0</v>
      </c>
    </row>
    <row r="255" spans="2:41" s="7" customFormat="1" ht="12" hidden="1" customHeight="1" outlineLevel="2">
      <c r="B255" s="245"/>
      <c r="C255" s="250" t="s">
        <v>781</v>
      </c>
      <c r="D255" s="250"/>
      <c r="E255" s="213"/>
      <c r="F255" s="213"/>
      <c r="G255" s="213"/>
      <c r="H255" s="213"/>
      <c r="I255" s="213"/>
      <c r="J255" s="213"/>
      <c r="K255" s="213"/>
      <c r="L255" s="213"/>
      <c r="M255" s="213"/>
      <c r="N255" s="213"/>
      <c r="O255" s="213"/>
      <c r="P255" s="213"/>
      <c r="Q255" s="213"/>
      <c r="R255" s="213"/>
      <c r="S255" s="213"/>
      <c r="T255" s="213"/>
      <c r="U255" s="213"/>
      <c r="V255" s="213"/>
      <c r="W255" s="213"/>
      <c r="X255" s="213"/>
      <c r="Y255" s="213"/>
      <c r="Z255" s="213"/>
      <c r="AA255" s="213"/>
      <c r="AB255" s="211"/>
      <c r="AC255" s="211"/>
      <c r="AD255" s="211"/>
      <c r="AE255" s="211"/>
      <c r="AF255" s="211"/>
      <c r="AG255" s="211">
        <f>INDEX($C$199:$AN$221,MATCH("New Customers One-Time",$C$199:$C$221,0),MATCH($C255,$C$199:$AN$199,0))</f>
        <v>0</v>
      </c>
      <c r="AH255" s="211">
        <f t="shared" ref="AH255:AN255" si="290">$AG$255*(E225)</f>
        <v>0</v>
      </c>
      <c r="AI255" s="211">
        <f t="shared" si="290"/>
        <v>0</v>
      </c>
      <c r="AJ255" s="211">
        <f t="shared" si="290"/>
        <v>0</v>
      </c>
      <c r="AK255" s="211">
        <f t="shared" si="290"/>
        <v>0</v>
      </c>
      <c r="AL255" s="211">
        <f t="shared" si="290"/>
        <v>0</v>
      </c>
      <c r="AM255" s="211">
        <f t="shared" si="290"/>
        <v>0</v>
      </c>
      <c r="AN255" s="211">
        <f t="shared" si="290"/>
        <v>0</v>
      </c>
    </row>
    <row r="256" spans="2:41" s="7" customFormat="1" ht="12" hidden="1" customHeight="1" outlineLevel="2">
      <c r="B256" s="245"/>
      <c r="C256" s="250" t="s">
        <v>782</v>
      </c>
      <c r="D256" s="250"/>
      <c r="E256" s="213"/>
      <c r="F256" s="213"/>
      <c r="G256" s="213"/>
      <c r="H256" s="213"/>
      <c r="I256" s="213"/>
      <c r="J256" s="213"/>
      <c r="K256" s="213"/>
      <c r="L256" s="213"/>
      <c r="M256" s="213"/>
      <c r="N256" s="213"/>
      <c r="O256" s="213"/>
      <c r="P256" s="213"/>
      <c r="Q256" s="213"/>
      <c r="R256" s="213"/>
      <c r="S256" s="213"/>
      <c r="T256" s="213"/>
      <c r="U256" s="213"/>
      <c r="V256" s="213"/>
      <c r="W256" s="213"/>
      <c r="X256" s="213"/>
      <c r="Y256" s="213"/>
      <c r="Z256" s="213"/>
      <c r="AA256" s="213"/>
      <c r="AB256" s="211"/>
      <c r="AC256" s="211"/>
      <c r="AD256" s="211"/>
      <c r="AE256" s="211"/>
      <c r="AF256" s="211"/>
      <c r="AG256" s="211"/>
      <c r="AH256" s="211">
        <f>INDEX($C$199:$AN$221,MATCH("New Customers One-Time",$C$199:$C$221,0),MATCH($C256,$C$199:$AN$199,0))</f>
        <v>0</v>
      </c>
      <c r="AI256" s="211">
        <f t="shared" ref="AI256:AN256" si="291">$AH$256*(E225)</f>
        <v>0</v>
      </c>
      <c r="AJ256" s="211">
        <f t="shared" si="291"/>
        <v>0</v>
      </c>
      <c r="AK256" s="211">
        <f t="shared" si="291"/>
        <v>0</v>
      </c>
      <c r="AL256" s="211">
        <f t="shared" si="291"/>
        <v>0</v>
      </c>
      <c r="AM256" s="211">
        <f t="shared" si="291"/>
        <v>0</v>
      </c>
      <c r="AN256" s="211">
        <f t="shared" si="291"/>
        <v>0</v>
      </c>
    </row>
    <row r="257" spans="2:40" s="7" customFormat="1" ht="12" hidden="1" customHeight="1" outlineLevel="2">
      <c r="B257" s="245"/>
      <c r="C257" s="250" t="s">
        <v>783</v>
      </c>
      <c r="D257" s="250"/>
      <c r="E257" s="213"/>
      <c r="F257" s="213"/>
      <c r="G257" s="213"/>
      <c r="H257" s="213"/>
      <c r="I257" s="213"/>
      <c r="J257" s="213"/>
      <c r="K257" s="213"/>
      <c r="L257" s="213"/>
      <c r="M257" s="213"/>
      <c r="N257" s="213"/>
      <c r="O257" s="213"/>
      <c r="P257" s="213"/>
      <c r="Q257" s="213"/>
      <c r="R257" s="213"/>
      <c r="S257" s="213"/>
      <c r="T257" s="213"/>
      <c r="U257" s="213"/>
      <c r="V257" s="213"/>
      <c r="W257" s="213"/>
      <c r="X257" s="213"/>
      <c r="Y257" s="213"/>
      <c r="Z257" s="213"/>
      <c r="AA257" s="213"/>
      <c r="AB257" s="211"/>
      <c r="AC257" s="211"/>
      <c r="AD257" s="211"/>
      <c r="AE257" s="211"/>
      <c r="AF257" s="211"/>
      <c r="AG257" s="211"/>
      <c r="AH257" s="211"/>
      <c r="AI257" s="211">
        <f>INDEX($C$199:$AN$221,MATCH("New Customers One-Time",$C$199:$C$221,0),MATCH($C257,$C$199:$AN$199,0))</f>
        <v>0</v>
      </c>
      <c r="AJ257" s="211">
        <f>$AI$257*(E225)</f>
        <v>0</v>
      </c>
      <c r="AK257" s="211">
        <f>$AI$257*(F225)</f>
        <v>0</v>
      </c>
      <c r="AL257" s="211">
        <f>$AI$257*(G225)</f>
        <v>0</v>
      </c>
      <c r="AM257" s="211">
        <f>$AI$257*(H225)</f>
        <v>0</v>
      </c>
      <c r="AN257" s="211">
        <f>$AI$257*(I225)</f>
        <v>0</v>
      </c>
    </row>
    <row r="258" spans="2:40" s="7" customFormat="1" ht="12" hidden="1" customHeight="1" outlineLevel="2">
      <c r="B258" s="245"/>
      <c r="C258" s="250" t="s">
        <v>784</v>
      </c>
      <c r="D258" s="250"/>
      <c r="E258" s="213"/>
      <c r="F258" s="213"/>
      <c r="G258" s="213"/>
      <c r="H258" s="213"/>
      <c r="I258" s="213"/>
      <c r="J258" s="213"/>
      <c r="K258" s="213"/>
      <c r="L258" s="213"/>
      <c r="M258" s="213"/>
      <c r="N258" s="213"/>
      <c r="O258" s="213"/>
      <c r="P258" s="213"/>
      <c r="Q258" s="213"/>
      <c r="R258" s="213"/>
      <c r="S258" s="213"/>
      <c r="T258" s="213"/>
      <c r="U258" s="213"/>
      <c r="V258" s="213"/>
      <c r="W258" s="213"/>
      <c r="X258" s="213"/>
      <c r="Y258" s="213"/>
      <c r="Z258" s="213"/>
      <c r="AA258" s="213"/>
      <c r="AB258" s="211"/>
      <c r="AC258" s="211"/>
      <c r="AD258" s="211"/>
      <c r="AE258" s="211"/>
      <c r="AF258" s="211"/>
      <c r="AG258" s="211"/>
      <c r="AH258" s="211"/>
      <c r="AI258" s="211"/>
      <c r="AJ258" s="211">
        <f>INDEX($C$199:$AN$221,MATCH("New Customers One-Time",$C$199:$C$221,0),MATCH($C258,$C$199:$AN$199,0))</f>
        <v>0</v>
      </c>
      <c r="AK258" s="211">
        <f>$AJ$258*(E225)</f>
        <v>0</v>
      </c>
      <c r="AL258" s="211">
        <f>$AJ$258*(F225)</f>
        <v>0</v>
      </c>
      <c r="AM258" s="211">
        <f>$AJ$258*(G225)</f>
        <v>0</v>
      </c>
      <c r="AN258" s="211">
        <f>$AJ$258*(H225)</f>
        <v>0</v>
      </c>
    </row>
    <row r="259" spans="2:40" s="7" customFormat="1" ht="12" hidden="1" customHeight="1" outlineLevel="2">
      <c r="B259" s="245"/>
      <c r="C259" s="250" t="s">
        <v>785</v>
      </c>
      <c r="D259" s="250"/>
      <c r="E259" s="213"/>
      <c r="F259" s="213"/>
      <c r="G259" s="213"/>
      <c r="H259" s="213"/>
      <c r="I259" s="213"/>
      <c r="J259" s="213"/>
      <c r="K259" s="213"/>
      <c r="L259" s="213"/>
      <c r="M259" s="213"/>
      <c r="N259" s="213"/>
      <c r="O259" s="213"/>
      <c r="P259" s="213"/>
      <c r="Q259" s="213"/>
      <c r="R259" s="213"/>
      <c r="S259" s="213"/>
      <c r="T259" s="213"/>
      <c r="U259" s="213"/>
      <c r="V259" s="213"/>
      <c r="W259" s="213"/>
      <c r="X259" s="213"/>
      <c r="Y259" s="213"/>
      <c r="Z259" s="213"/>
      <c r="AA259" s="213"/>
      <c r="AB259" s="211"/>
      <c r="AC259" s="211"/>
      <c r="AD259" s="211"/>
      <c r="AE259" s="211"/>
      <c r="AF259" s="211"/>
      <c r="AG259" s="211"/>
      <c r="AH259" s="211"/>
      <c r="AI259" s="211"/>
      <c r="AJ259" s="211"/>
      <c r="AK259" s="211">
        <f>INDEX($C$199:$AN$221,MATCH("New Customers One-Time",$C$199:$C$221,0),MATCH($C259,$C$199:$AN$199,0))</f>
        <v>0</v>
      </c>
      <c r="AL259" s="211">
        <f>$AK$259*(E225)</f>
        <v>0</v>
      </c>
      <c r="AM259" s="211">
        <f>$AK$259*(F225)</f>
        <v>0</v>
      </c>
      <c r="AN259" s="211">
        <f>$AK$259*(G225)</f>
        <v>0</v>
      </c>
    </row>
    <row r="260" spans="2:40" s="7" customFormat="1" ht="12" hidden="1" customHeight="1" outlineLevel="2">
      <c r="B260" s="245"/>
      <c r="C260" s="250" t="s">
        <v>786</v>
      </c>
      <c r="D260" s="250"/>
      <c r="E260" s="213"/>
      <c r="F260" s="213"/>
      <c r="G260" s="213"/>
      <c r="H260" s="213"/>
      <c r="I260" s="213"/>
      <c r="J260" s="213"/>
      <c r="K260" s="213"/>
      <c r="L260" s="213"/>
      <c r="M260" s="213"/>
      <c r="N260" s="213"/>
      <c r="O260" s="213"/>
      <c r="P260" s="213"/>
      <c r="Q260" s="213"/>
      <c r="R260" s="213"/>
      <c r="S260" s="213"/>
      <c r="T260" s="213"/>
      <c r="U260" s="213"/>
      <c r="V260" s="213"/>
      <c r="W260" s="213"/>
      <c r="X260" s="213"/>
      <c r="Y260" s="213"/>
      <c r="Z260" s="213"/>
      <c r="AA260" s="213"/>
      <c r="AB260" s="211"/>
      <c r="AC260" s="211"/>
      <c r="AD260" s="211"/>
      <c r="AE260" s="211"/>
      <c r="AF260" s="211"/>
      <c r="AG260" s="211"/>
      <c r="AH260" s="211"/>
      <c r="AI260" s="211"/>
      <c r="AJ260" s="211"/>
      <c r="AK260" s="211"/>
      <c r="AL260" s="211">
        <f>INDEX($C$199:$AN$221,MATCH("New Customers One-Time",$C$199:$C$221,0),MATCH($C260,$C$199:$AN$199,0))</f>
        <v>0</v>
      </c>
      <c r="AM260" s="211">
        <f>$AL$260*(E225)</f>
        <v>0</v>
      </c>
      <c r="AN260" s="211">
        <f>$AL$260*(F225)</f>
        <v>0</v>
      </c>
    </row>
    <row r="261" spans="2:40" s="7" customFormat="1" ht="12" hidden="1" customHeight="1" outlineLevel="2">
      <c r="B261" s="245"/>
      <c r="C261" s="250" t="s">
        <v>787</v>
      </c>
      <c r="D261" s="250"/>
      <c r="E261" s="213"/>
      <c r="F261" s="213"/>
      <c r="G261" s="213"/>
      <c r="H261" s="213"/>
      <c r="I261" s="213"/>
      <c r="J261" s="213"/>
      <c r="K261" s="213"/>
      <c r="L261" s="213"/>
      <c r="M261" s="213"/>
      <c r="N261" s="213"/>
      <c r="O261" s="213"/>
      <c r="P261" s="213"/>
      <c r="Q261" s="213"/>
      <c r="R261" s="213"/>
      <c r="S261" s="213"/>
      <c r="T261" s="213"/>
      <c r="U261" s="213"/>
      <c r="V261" s="213"/>
      <c r="W261" s="213"/>
      <c r="X261" s="213"/>
      <c r="Y261" s="213"/>
      <c r="Z261" s="213"/>
      <c r="AA261" s="213"/>
      <c r="AB261" s="211"/>
      <c r="AC261" s="211"/>
      <c r="AD261" s="211"/>
      <c r="AE261" s="211"/>
      <c r="AF261" s="211"/>
      <c r="AG261" s="211"/>
      <c r="AH261" s="211"/>
      <c r="AI261" s="211"/>
      <c r="AJ261" s="211"/>
      <c r="AK261" s="211"/>
      <c r="AL261" s="211"/>
      <c r="AM261" s="211">
        <f>INDEX($C$199:$AN$221,MATCH("New Customers One-Time",$C$199:$C$221,0),MATCH($C261,$C$199:$AN$199,0))</f>
        <v>0</v>
      </c>
      <c r="AN261" s="211">
        <f>$AM$261*(E225)</f>
        <v>0</v>
      </c>
    </row>
    <row r="262" spans="2:40" s="7" customFormat="1" ht="12" hidden="1" customHeight="1" outlineLevel="2">
      <c r="B262" s="245"/>
      <c r="C262" s="250" t="s">
        <v>788</v>
      </c>
      <c r="D262" s="250"/>
      <c r="E262" s="213"/>
      <c r="F262" s="213"/>
      <c r="G262" s="213"/>
      <c r="H262" s="213"/>
      <c r="I262" s="213"/>
      <c r="J262" s="213"/>
      <c r="K262" s="213"/>
      <c r="L262" s="213"/>
      <c r="M262" s="213"/>
      <c r="N262" s="213"/>
      <c r="O262" s="213"/>
      <c r="P262" s="213"/>
      <c r="Q262" s="213"/>
      <c r="R262" s="213"/>
      <c r="S262" s="213"/>
      <c r="T262" s="213"/>
      <c r="U262" s="213"/>
      <c r="V262" s="213"/>
      <c r="W262" s="213"/>
      <c r="X262" s="213"/>
      <c r="Y262" s="213"/>
      <c r="Z262" s="213"/>
      <c r="AA262" s="213"/>
      <c r="AB262" s="211"/>
      <c r="AC262" s="211"/>
      <c r="AD262" s="211"/>
      <c r="AE262" s="211"/>
      <c r="AF262" s="211"/>
      <c r="AG262" s="211"/>
      <c r="AH262" s="211"/>
      <c r="AI262" s="211"/>
      <c r="AJ262" s="211"/>
      <c r="AK262" s="211"/>
      <c r="AL262" s="211"/>
      <c r="AM262" s="211"/>
      <c r="AN262" s="211">
        <f>INDEX($C$199:$AN$221,MATCH("New Customers One-Time",$C$199:$C$221,0),MATCH($C262,$C$199:$AN$199,0))</f>
        <v>0</v>
      </c>
    </row>
    <row r="263" spans="2:40" s="7" customFormat="1" ht="12" hidden="1" customHeight="1" outlineLevel="2">
      <c r="B263" s="245"/>
      <c r="C263" s="250"/>
      <c r="D263" s="250"/>
      <c r="E263" s="213"/>
      <c r="F263" s="213"/>
      <c r="G263" s="213"/>
      <c r="H263" s="213"/>
      <c r="I263" s="213"/>
      <c r="J263" s="213"/>
      <c r="K263" s="213"/>
      <c r="L263" s="213"/>
      <c r="M263" s="213"/>
      <c r="N263" s="213"/>
      <c r="O263" s="213"/>
      <c r="P263" s="213"/>
      <c r="Q263" s="213"/>
      <c r="R263" s="213"/>
      <c r="S263" s="213"/>
      <c r="T263" s="213"/>
      <c r="U263" s="213"/>
      <c r="V263" s="213"/>
      <c r="W263" s="213"/>
      <c r="X263" s="213"/>
      <c r="Y263" s="213"/>
      <c r="Z263" s="213"/>
      <c r="AA263" s="213"/>
      <c r="AB263" s="211"/>
      <c r="AC263" s="211"/>
      <c r="AD263" s="211"/>
      <c r="AE263" s="211"/>
      <c r="AF263" s="211"/>
      <c r="AG263" s="211"/>
      <c r="AH263" s="211"/>
      <c r="AI263" s="211"/>
      <c r="AJ263" s="211"/>
      <c r="AK263" s="211"/>
      <c r="AL263" s="211"/>
      <c r="AM263" s="211"/>
      <c r="AN263" s="211"/>
    </row>
    <row r="264" spans="2:40" s="7" customFormat="1" ht="12" hidden="1" customHeight="1" outlineLevel="2">
      <c r="B264" s="245"/>
      <c r="C264" s="249" t="s">
        <v>853</v>
      </c>
      <c r="D264" s="250"/>
      <c r="E264" s="213"/>
      <c r="F264" s="213"/>
      <c r="G264" s="213"/>
      <c r="H264" s="213"/>
      <c r="I264" s="213"/>
      <c r="J264" s="213"/>
      <c r="K264" s="213"/>
      <c r="L264" s="213"/>
      <c r="M264" s="213"/>
      <c r="N264" s="213"/>
      <c r="O264" s="213"/>
      <c r="P264" s="213"/>
      <c r="Q264" s="213"/>
      <c r="R264" s="213"/>
      <c r="S264" s="213"/>
      <c r="T264" s="213"/>
      <c r="U264" s="213"/>
      <c r="V264" s="213"/>
      <c r="W264" s="213"/>
      <c r="X264" s="213"/>
      <c r="Y264" s="213"/>
      <c r="Z264" s="213"/>
      <c r="AA264" s="213"/>
      <c r="AB264" s="213"/>
      <c r="AC264" s="211"/>
    </row>
    <row r="265" spans="2:40" s="7" customFormat="1" ht="12" hidden="1" customHeight="1" outlineLevel="2">
      <c r="B265" s="239"/>
      <c r="C265" s="212" t="s">
        <v>850</v>
      </c>
      <c r="D265" s="212"/>
      <c r="E265" s="196" t="s">
        <v>753</v>
      </c>
      <c r="F265" s="196" t="s">
        <v>754</v>
      </c>
      <c r="G265" s="196" t="s">
        <v>755</v>
      </c>
      <c r="H265" s="196" t="s">
        <v>756</v>
      </c>
      <c r="I265" s="196" t="s">
        <v>757</v>
      </c>
      <c r="J265" s="196" t="s">
        <v>758</v>
      </c>
      <c r="K265" s="196" t="s">
        <v>759</v>
      </c>
      <c r="L265" s="196" t="s">
        <v>760</v>
      </c>
      <c r="M265" s="196" t="s">
        <v>761</v>
      </c>
      <c r="N265" s="196" t="s">
        <v>762</v>
      </c>
      <c r="O265" s="196" t="s">
        <v>763</v>
      </c>
      <c r="P265" s="196" t="s">
        <v>764</v>
      </c>
      <c r="Q265" s="196" t="s">
        <v>765</v>
      </c>
      <c r="R265" s="196" t="s">
        <v>766</v>
      </c>
      <c r="S265" s="196" t="s">
        <v>767</v>
      </c>
      <c r="T265" s="196" t="s">
        <v>768</v>
      </c>
      <c r="U265" s="196" t="s">
        <v>769</v>
      </c>
      <c r="V265" s="196" t="s">
        <v>770</v>
      </c>
      <c r="W265" s="196" t="s">
        <v>771</v>
      </c>
      <c r="X265" s="196" t="s">
        <v>772</v>
      </c>
      <c r="Y265" s="196" t="s">
        <v>773</v>
      </c>
      <c r="Z265" s="196" t="s">
        <v>774</v>
      </c>
      <c r="AA265" s="196" t="s">
        <v>775</v>
      </c>
      <c r="AB265" s="196" t="s">
        <v>776</v>
      </c>
      <c r="AC265" s="196" t="s">
        <v>777</v>
      </c>
      <c r="AD265" s="196" t="s">
        <v>778</v>
      </c>
      <c r="AE265" s="196" t="s">
        <v>779</v>
      </c>
      <c r="AF265" s="196" t="s">
        <v>780</v>
      </c>
      <c r="AG265" s="196" t="s">
        <v>781</v>
      </c>
      <c r="AH265" s="196" t="s">
        <v>782</v>
      </c>
      <c r="AI265" s="196" t="s">
        <v>783</v>
      </c>
      <c r="AJ265" s="196" t="s">
        <v>784</v>
      </c>
      <c r="AK265" s="196" t="s">
        <v>785</v>
      </c>
      <c r="AL265" s="196" t="s">
        <v>786</v>
      </c>
      <c r="AM265" s="196" t="s">
        <v>787</v>
      </c>
      <c r="AN265" s="196" t="s">
        <v>788</v>
      </c>
    </row>
    <row r="266" spans="2:40" s="7" customFormat="1" ht="12" hidden="1" customHeight="1" outlineLevel="2">
      <c r="B266" s="239"/>
      <c r="C266" s="247" t="s">
        <v>851</v>
      </c>
      <c r="D266" s="212"/>
      <c r="E266" s="345">
        <v>7.0000000000000007E-2</v>
      </c>
      <c r="F266" s="345">
        <v>7.0000000000000007E-2</v>
      </c>
      <c r="G266" s="345">
        <v>7.0000000000000007E-2</v>
      </c>
      <c r="H266" s="345">
        <v>0.06</v>
      </c>
      <c r="I266" s="345">
        <v>0.06</v>
      </c>
      <c r="J266" s="345">
        <v>0.06</v>
      </c>
      <c r="K266" s="345">
        <v>0.05</v>
      </c>
      <c r="L266" s="345">
        <v>0.05</v>
      </c>
      <c r="M266" s="345">
        <v>0.05</v>
      </c>
      <c r="N266" s="345">
        <v>0.04</v>
      </c>
      <c r="O266" s="345">
        <v>0.04</v>
      </c>
      <c r="P266" s="345">
        <v>0.04</v>
      </c>
      <c r="Q266" s="345">
        <v>0.03</v>
      </c>
      <c r="R266" s="345">
        <v>0.03</v>
      </c>
      <c r="S266" s="345">
        <v>0.03</v>
      </c>
      <c r="T266" s="345">
        <v>0.02</v>
      </c>
      <c r="U266" s="345">
        <v>0.02</v>
      </c>
      <c r="V266" s="345">
        <v>0.02</v>
      </c>
      <c r="W266" s="345">
        <v>0.01</v>
      </c>
      <c r="X266" s="345">
        <v>0.01</v>
      </c>
      <c r="Y266" s="345">
        <v>0.01</v>
      </c>
      <c r="Z266" s="345">
        <v>0.01</v>
      </c>
      <c r="AA266" s="345">
        <v>0.01</v>
      </c>
      <c r="AB266" s="345">
        <v>0.01</v>
      </c>
      <c r="AC266" s="345">
        <v>0.01</v>
      </c>
      <c r="AD266" s="345">
        <f t="shared" ref="AD266" si="292">AC266</f>
        <v>0.01</v>
      </c>
      <c r="AE266" s="345">
        <f t="shared" ref="AE266" si="293">AD266</f>
        <v>0.01</v>
      </c>
      <c r="AF266" s="345">
        <f t="shared" ref="AF266" si="294">AE266</f>
        <v>0.01</v>
      </c>
      <c r="AG266" s="345">
        <f t="shared" ref="AG266" si="295">AF266</f>
        <v>0.01</v>
      </c>
      <c r="AH266" s="345">
        <f t="shared" ref="AH266" si="296">AG266</f>
        <v>0.01</v>
      </c>
      <c r="AI266" s="345">
        <f t="shared" ref="AI266" si="297">AH266</f>
        <v>0.01</v>
      </c>
      <c r="AJ266" s="345">
        <f t="shared" ref="AJ266" si="298">AI266</f>
        <v>0.01</v>
      </c>
      <c r="AK266" s="345">
        <f t="shared" ref="AK266" si="299">AJ266</f>
        <v>0.01</v>
      </c>
      <c r="AL266" s="345">
        <f t="shared" ref="AL266" si="300">AK266</f>
        <v>0.01</v>
      </c>
      <c r="AM266" s="345">
        <f t="shared" ref="AM266" si="301">AL266</f>
        <v>0.01</v>
      </c>
      <c r="AN266" s="345">
        <f t="shared" ref="AN266" si="302">AM266</f>
        <v>0.01</v>
      </c>
    </row>
    <row r="267" spans="2:40" s="7" customFormat="1" ht="12" hidden="1" customHeight="1" outlineLevel="2">
      <c r="B267" s="239"/>
      <c r="C267" s="212" t="s">
        <v>861</v>
      </c>
      <c r="D267" s="212"/>
      <c r="E267" s="211"/>
      <c r="F267" s="211"/>
      <c r="G267" s="211"/>
      <c r="H267" s="211"/>
      <c r="I267" s="211">
        <v>-1</v>
      </c>
      <c r="J267" s="211"/>
      <c r="K267" s="211"/>
      <c r="L267" s="211"/>
      <c r="M267" s="211"/>
      <c r="N267" s="211"/>
      <c r="O267" s="211"/>
      <c r="P267" s="211"/>
      <c r="Q267" s="211"/>
      <c r="R267" s="211"/>
      <c r="S267" s="211"/>
      <c r="T267" s="211"/>
      <c r="U267" s="211"/>
      <c r="V267" s="211"/>
      <c r="W267" s="211"/>
      <c r="X267" s="211"/>
      <c r="Y267" s="211"/>
      <c r="Z267" s="211"/>
      <c r="AA267" s="211"/>
      <c r="AB267" s="211"/>
      <c r="AC267" s="211"/>
      <c r="AD267" s="211"/>
      <c r="AE267" s="211"/>
      <c r="AF267" s="211"/>
      <c r="AG267" s="211"/>
      <c r="AH267" s="211"/>
      <c r="AI267" s="211"/>
      <c r="AJ267" s="211"/>
      <c r="AK267" s="211"/>
      <c r="AL267" s="211"/>
      <c r="AM267" s="211"/>
      <c r="AN267" s="211"/>
    </row>
    <row r="268" spans="2:40" s="7" customFormat="1" ht="12" hidden="1" customHeight="1" outlineLevel="2">
      <c r="B268" s="245"/>
      <c r="C268" s="250" t="s">
        <v>753</v>
      </c>
      <c r="D268" s="250"/>
      <c r="E268" s="211">
        <f>INDEX($C$199:$AN$221,MATCH("New Customers 1MS",$C$199:$C$221,0),MATCH($C268,$C$199:$AN$199,0))</f>
        <v>0</v>
      </c>
      <c r="F268" s="211">
        <f t="shared" ref="F268:AN268" si="303">$E$268*(E266)</f>
        <v>0</v>
      </c>
      <c r="G268" s="211">
        <f t="shared" si="303"/>
        <v>0</v>
      </c>
      <c r="H268" s="211">
        <f t="shared" si="303"/>
        <v>0</v>
      </c>
      <c r="I268" s="211">
        <f t="shared" si="303"/>
        <v>0</v>
      </c>
      <c r="J268" s="211">
        <f t="shared" si="303"/>
        <v>0</v>
      </c>
      <c r="K268" s="211">
        <f t="shared" si="303"/>
        <v>0</v>
      </c>
      <c r="L268" s="211">
        <f t="shared" si="303"/>
        <v>0</v>
      </c>
      <c r="M268" s="211">
        <f t="shared" si="303"/>
        <v>0</v>
      </c>
      <c r="N268" s="211">
        <f t="shared" si="303"/>
        <v>0</v>
      </c>
      <c r="O268" s="211">
        <f t="shared" si="303"/>
        <v>0</v>
      </c>
      <c r="P268" s="211">
        <f t="shared" si="303"/>
        <v>0</v>
      </c>
      <c r="Q268" s="211">
        <f t="shared" si="303"/>
        <v>0</v>
      </c>
      <c r="R268" s="211">
        <f t="shared" si="303"/>
        <v>0</v>
      </c>
      <c r="S268" s="211">
        <f t="shared" si="303"/>
        <v>0</v>
      </c>
      <c r="T268" s="211">
        <f t="shared" si="303"/>
        <v>0</v>
      </c>
      <c r="U268" s="211">
        <f t="shared" si="303"/>
        <v>0</v>
      </c>
      <c r="V268" s="211">
        <f t="shared" si="303"/>
        <v>0</v>
      </c>
      <c r="W268" s="211">
        <f t="shared" si="303"/>
        <v>0</v>
      </c>
      <c r="X268" s="211">
        <f t="shared" si="303"/>
        <v>0</v>
      </c>
      <c r="Y268" s="211">
        <f t="shared" si="303"/>
        <v>0</v>
      </c>
      <c r="Z268" s="211">
        <f t="shared" si="303"/>
        <v>0</v>
      </c>
      <c r="AA268" s="211">
        <f t="shared" si="303"/>
        <v>0</v>
      </c>
      <c r="AB268" s="211">
        <f t="shared" si="303"/>
        <v>0</v>
      </c>
      <c r="AC268" s="211">
        <f t="shared" si="303"/>
        <v>0</v>
      </c>
      <c r="AD268" s="211">
        <f t="shared" si="303"/>
        <v>0</v>
      </c>
      <c r="AE268" s="211">
        <f t="shared" si="303"/>
        <v>0</v>
      </c>
      <c r="AF268" s="211">
        <f t="shared" si="303"/>
        <v>0</v>
      </c>
      <c r="AG268" s="211">
        <f t="shared" si="303"/>
        <v>0</v>
      </c>
      <c r="AH268" s="211">
        <f t="shared" si="303"/>
        <v>0</v>
      </c>
      <c r="AI268" s="211">
        <f t="shared" si="303"/>
        <v>0</v>
      </c>
      <c r="AJ268" s="211">
        <f t="shared" si="303"/>
        <v>0</v>
      </c>
      <c r="AK268" s="211">
        <f t="shared" si="303"/>
        <v>0</v>
      </c>
      <c r="AL268" s="211">
        <f t="shared" si="303"/>
        <v>0</v>
      </c>
      <c r="AM268" s="211">
        <f t="shared" si="303"/>
        <v>0</v>
      </c>
      <c r="AN268" s="211">
        <f t="shared" si="303"/>
        <v>0</v>
      </c>
    </row>
    <row r="269" spans="2:40" s="7" customFormat="1" ht="12" hidden="1" customHeight="1" outlineLevel="2">
      <c r="B269" s="245"/>
      <c r="C269" s="250" t="s">
        <v>754</v>
      </c>
      <c r="D269" s="250"/>
      <c r="E269" s="213"/>
      <c r="F269" s="211">
        <f>INDEX($C$199:$AN$221,MATCH("New Customers 1MS",$C$199:$C$221,0),MATCH($C269,$C$199:$AN$199,0))</f>
        <v>0</v>
      </c>
      <c r="G269" s="211">
        <f t="shared" ref="G269:AN269" si="304">$F$269*(E266)</f>
        <v>0</v>
      </c>
      <c r="H269" s="211">
        <f t="shared" si="304"/>
        <v>0</v>
      </c>
      <c r="I269" s="211">
        <f t="shared" si="304"/>
        <v>0</v>
      </c>
      <c r="J269" s="211">
        <f t="shared" si="304"/>
        <v>0</v>
      </c>
      <c r="K269" s="211">
        <f t="shared" si="304"/>
        <v>0</v>
      </c>
      <c r="L269" s="211">
        <f t="shared" si="304"/>
        <v>0</v>
      </c>
      <c r="M269" s="211">
        <f t="shared" si="304"/>
        <v>0</v>
      </c>
      <c r="N269" s="211">
        <f t="shared" si="304"/>
        <v>0</v>
      </c>
      <c r="O269" s="211">
        <f t="shared" si="304"/>
        <v>0</v>
      </c>
      <c r="P269" s="211">
        <f t="shared" si="304"/>
        <v>0</v>
      </c>
      <c r="Q269" s="211">
        <f t="shared" si="304"/>
        <v>0</v>
      </c>
      <c r="R269" s="211">
        <f t="shared" si="304"/>
        <v>0</v>
      </c>
      <c r="S269" s="211">
        <f t="shared" si="304"/>
        <v>0</v>
      </c>
      <c r="T269" s="211">
        <f t="shared" si="304"/>
        <v>0</v>
      </c>
      <c r="U269" s="211">
        <f t="shared" si="304"/>
        <v>0</v>
      </c>
      <c r="V269" s="211">
        <f t="shared" si="304"/>
        <v>0</v>
      </c>
      <c r="W269" s="211">
        <f t="shared" si="304"/>
        <v>0</v>
      </c>
      <c r="X269" s="211">
        <f t="shared" si="304"/>
        <v>0</v>
      </c>
      <c r="Y269" s="211">
        <f t="shared" si="304"/>
        <v>0</v>
      </c>
      <c r="Z269" s="211">
        <f t="shared" si="304"/>
        <v>0</v>
      </c>
      <c r="AA269" s="211">
        <f t="shared" si="304"/>
        <v>0</v>
      </c>
      <c r="AB269" s="211">
        <f t="shared" si="304"/>
        <v>0</v>
      </c>
      <c r="AC269" s="211">
        <f t="shared" si="304"/>
        <v>0</v>
      </c>
      <c r="AD269" s="211">
        <f t="shared" si="304"/>
        <v>0</v>
      </c>
      <c r="AE269" s="211">
        <f t="shared" si="304"/>
        <v>0</v>
      </c>
      <c r="AF269" s="211">
        <f t="shared" si="304"/>
        <v>0</v>
      </c>
      <c r="AG269" s="211">
        <f t="shared" si="304"/>
        <v>0</v>
      </c>
      <c r="AH269" s="211">
        <f t="shared" si="304"/>
        <v>0</v>
      </c>
      <c r="AI269" s="211">
        <f t="shared" si="304"/>
        <v>0</v>
      </c>
      <c r="AJ269" s="211">
        <f t="shared" si="304"/>
        <v>0</v>
      </c>
      <c r="AK269" s="211">
        <f t="shared" si="304"/>
        <v>0</v>
      </c>
      <c r="AL269" s="211">
        <f t="shared" si="304"/>
        <v>0</v>
      </c>
      <c r="AM269" s="211">
        <f t="shared" si="304"/>
        <v>0</v>
      </c>
      <c r="AN269" s="211">
        <f t="shared" si="304"/>
        <v>0</v>
      </c>
    </row>
    <row r="270" spans="2:40" s="7" customFormat="1" ht="12" hidden="1" customHeight="1" outlineLevel="2">
      <c r="B270" s="245"/>
      <c r="C270" s="250" t="s">
        <v>755</v>
      </c>
      <c r="D270" s="250"/>
      <c r="E270" s="213"/>
      <c r="F270" s="213"/>
      <c r="G270" s="211">
        <f>INDEX($C$199:$AN$221,MATCH("New Customers 1MS",$C$199:$C$221,0),MATCH($C270,$C$199:$AN$199,0))</f>
        <v>0</v>
      </c>
      <c r="H270" s="211">
        <f t="shared" ref="H270:AN270" si="305">$G$270*(E266)</f>
        <v>0</v>
      </c>
      <c r="I270" s="211">
        <f t="shared" si="305"/>
        <v>0</v>
      </c>
      <c r="J270" s="211">
        <f t="shared" si="305"/>
        <v>0</v>
      </c>
      <c r="K270" s="211">
        <f t="shared" si="305"/>
        <v>0</v>
      </c>
      <c r="L270" s="211">
        <f t="shared" si="305"/>
        <v>0</v>
      </c>
      <c r="M270" s="211">
        <f t="shared" si="305"/>
        <v>0</v>
      </c>
      <c r="N270" s="211">
        <f t="shared" si="305"/>
        <v>0</v>
      </c>
      <c r="O270" s="211">
        <f t="shared" si="305"/>
        <v>0</v>
      </c>
      <c r="P270" s="211">
        <f t="shared" si="305"/>
        <v>0</v>
      </c>
      <c r="Q270" s="211">
        <f t="shared" si="305"/>
        <v>0</v>
      </c>
      <c r="R270" s="211">
        <f t="shared" si="305"/>
        <v>0</v>
      </c>
      <c r="S270" s="211">
        <f t="shared" si="305"/>
        <v>0</v>
      </c>
      <c r="T270" s="211">
        <f t="shared" si="305"/>
        <v>0</v>
      </c>
      <c r="U270" s="211">
        <f t="shared" si="305"/>
        <v>0</v>
      </c>
      <c r="V270" s="211">
        <f t="shared" si="305"/>
        <v>0</v>
      </c>
      <c r="W270" s="211">
        <f t="shared" si="305"/>
        <v>0</v>
      </c>
      <c r="X270" s="211">
        <f t="shared" si="305"/>
        <v>0</v>
      </c>
      <c r="Y270" s="211">
        <f t="shared" si="305"/>
        <v>0</v>
      </c>
      <c r="Z270" s="211">
        <f t="shared" si="305"/>
        <v>0</v>
      </c>
      <c r="AA270" s="211">
        <f t="shared" si="305"/>
        <v>0</v>
      </c>
      <c r="AB270" s="211">
        <f t="shared" si="305"/>
        <v>0</v>
      </c>
      <c r="AC270" s="211">
        <f t="shared" si="305"/>
        <v>0</v>
      </c>
      <c r="AD270" s="211">
        <f t="shared" si="305"/>
        <v>0</v>
      </c>
      <c r="AE270" s="211">
        <f t="shared" si="305"/>
        <v>0</v>
      </c>
      <c r="AF270" s="211">
        <f t="shared" si="305"/>
        <v>0</v>
      </c>
      <c r="AG270" s="211">
        <f t="shared" si="305"/>
        <v>0</v>
      </c>
      <c r="AH270" s="211">
        <f t="shared" si="305"/>
        <v>0</v>
      </c>
      <c r="AI270" s="211">
        <f t="shared" si="305"/>
        <v>0</v>
      </c>
      <c r="AJ270" s="211">
        <f t="shared" si="305"/>
        <v>0</v>
      </c>
      <c r="AK270" s="211">
        <f t="shared" si="305"/>
        <v>0</v>
      </c>
      <c r="AL270" s="211">
        <f t="shared" si="305"/>
        <v>0</v>
      </c>
      <c r="AM270" s="211">
        <f t="shared" si="305"/>
        <v>0</v>
      </c>
      <c r="AN270" s="211">
        <f t="shared" si="305"/>
        <v>0</v>
      </c>
    </row>
    <row r="271" spans="2:40" s="7" customFormat="1" ht="12" hidden="1" customHeight="1" outlineLevel="2">
      <c r="B271" s="245"/>
      <c r="C271" s="250" t="s">
        <v>756</v>
      </c>
      <c r="D271" s="250"/>
      <c r="E271" s="213"/>
      <c r="F271" s="213"/>
      <c r="G271" s="213"/>
      <c r="H271" s="211">
        <f>INDEX($C$199:$AN$221,MATCH("New Customers 1MS",$C$199:$C$221,0),MATCH($C271,$C$199:$AN$199,0))</f>
        <v>0</v>
      </c>
      <c r="I271" s="211">
        <f t="shared" ref="I271:AN271" si="306">$H$271*(E266)</f>
        <v>0</v>
      </c>
      <c r="J271" s="211">
        <f t="shared" si="306"/>
        <v>0</v>
      </c>
      <c r="K271" s="211">
        <f t="shared" si="306"/>
        <v>0</v>
      </c>
      <c r="L271" s="211">
        <f t="shared" si="306"/>
        <v>0</v>
      </c>
      <c r="M271" s="211">
        <f t="shared" si="306"/>
        <v>0</v>
      </c>
      <c r="N271" s="211">
        <f t="shared" si="306"/>
        <v>0</v>
      </c>
      <c r="O271" s="211">
        <f t="shared" si="306"/>
        <v>0</v>
      </c>
      <c r="P271" s="211">
        <f t="shared" si="306"/>
        <v>0</v>
      </c>
      <c r="Q271" s="211">
        <f t="shared" si="306"/>
        <v>0</v>
      </c>
      <c r="R271" s="211">
        <f t="shared" si="306"/>
        <v>0</v>
      </c>
      <c r="S271" s="211">
        <f t="shared" si="306"/>
        <v>0</v>
      </c>
      <c r="T271" s="211">
        <f t="shared" si="306"/>
        <v>0</v>
      </c>
      <c r="U271" s="211">
        <f t="shared" si="306"/>
        <v>0</v>
      </c>
      <c r="V271" s="211">
        <f t="shared" si="306"/>
        <v>0</v>
      </c>
      <c r="W271" s="211">
        <f t="shared" si="306"/>
        <v>0</v>
      </c>
      <c r="X271" s="211">
        <f t="shared" si="306"/>
        <v>0</v>
      </c>
      <c r="Y271" s="211">
        <f t="shared" si="306"/>
        <v>0</v>
      </c>
      <c r="Z271" s="211">
        <f t="shared" si="306"/>
        <v>0</v>
      </c>
      <c r="AA271" s="211">
        <f t="shared" si="306"/>
        <v>0</v>
      </c>
      <c r="AB271" s="211">
        <f t="shared" si="306"/>
        <v>0</v>
      </c>
      <c r="AC271" s="211">
        <f t="shared" si="306"/>
        <v>0</v>
      </c>
      <c r="AD271" s="211">
        <f t="shared" si="306"/>
        <v>0</v>
      </c>
      <c r="AE271" s="211">
        <f t="shared" si="306"/>
        <v>0</v>
      </c>
      <c r="AF271" s="211">
        <f t="shared" si="306"/>
        <v>0</v>
      </c>
      <c r="AG271" s="211">
        <f t="shared" si="306"/>
        <v>0</v>
      </c>
      <c r="AH271" s="211">
        <f t="shared" si="306"/>
        <v>0</v>
      </c>
      <c r="AI271" s="211">
        <f t="shared" si="306"/>
        <v>0</v>
      </c>
      <c r="AJ271" s="211">
        <f t="shared" si="306"/>
        <v>0</v>
      </c>
      <c r="AK271" s="211">
        <f t="shared" si="306"/>
        <v>0</v>
      </c>
      <c r="AL271" s="211">
        <f t="shared" si="306"/>
        <v>0</v>
      </c>
      <c r="AM271" s="211">
        <f t="shared" si="306"/>
        <v>0</v>
      </c>
      <c r="AN271" s="211">
        <f t="shared" si="306"/>
        <v>0</v>
      </c>
    </row>
    <row r="272" spans="2:40" s="7" customFormat="1" ht="12" hidden="1" customHeight="1" outlineLevel="2">
      <c r="B272" s="245"/>
      <c r="C272" s="250" t="s">
        <v>757</v>
      </c>
      <c r="D272" s="250"/>
      <c r="E272" s="213"/>
      <c r="F272" s="213"/>
      <c r="G272" s="213"/>
      <c r="H272" s="213"/>
      <c r="I272" s="211">
        <f>INDEX($C$199:$AN$221,MATCH("New Customers 1MS",$C$199:$C$221,0),MATCH($C272,$C$199:$AN$199,0))</f>
        <v>0</v>
      </c>
      <c r="J272" s="211">
        <f t="shared" ref="J272:AN272" si="307">$I$272*(E266)</f>
        <v>0</v>
      </c>
      <c r="K272" s="211">
        <f t="shared" si="307"/>
        <v>0</v>
      </c>
      <c r="L272" s="211">
        <f t="shared" si="307"/>
        <v>0</v>
      </c>
      <c r="M272" s="211">
        <f t="shared" si="307"/>
        <v>0</v>
      </c>
      <c r="N272" s="211">
        <f t="shared" si="307"/>
        <v>0</v>
      </c>
      <c r="O272" s="211">
        <f t="shared" si="307"/>
        <v>0</v>
      </c>
      <c r="P272" s="211">
        <f t="shared" si="307"/>
        <v>0</v>
      </c>
      <c r="Q272" s="211">
        <f t="shared" si="307"/>
        <v>0</v>
      </c>
      <c r="R272" s="211">
        <f t="shared" si="307"/>
        <v>0</v>
      </c>
      <c r="S272" s="211">
        <f t="shared" si="307"/>
        <v>0</v>
      </c>
      <c r="T272" s="211">
        <f t="shared" si="307"/>
        <v>0</v>
      </c>
      <c r="U272" s="211">
        <f t="shared" si="307"/>
        <v>0</v>
      </c>
      <c r="V272" s="211">
        <f t="shared" si="307"/>
        <v>0</v>
      </c>
      <c r="W272" s="211">
        <f t="shared" si="307"/>
        <v>0</v>
      </c>
      <c r="X272" s="211">
        <f t="shared" si="307"/>
        <v>0</v>
      </c>
      <c r="Y272" s="211">
        <f t="shared" si="307"/>
        <v>0</v>
      </c>
      <c r="Z272" s="211">
        <f t="shared" si="307"/>
        <v>0</v>
      </c>
      <c r="AA272" s="211">
        <f t="shared" si="307"/>
        <v>0</v>
      </c>
      <c r="AB272" s="211">
        <f t="shared" si="307"/>
        <v>0</v>
      </c>
      <c r="AC272" s="211">
        <f t="shared" si="307"/>
        <v>0</v>
      </c>
      <c r="AD272" s="211">
        <f t="shared" si="307"/>
        <v>0</v>
      </c>
      <c r="AE272" s="211">
        <f t="shared" si="307"/>
        <v>0</v>
      </c>
      <c r="AF272" s="211">
        <f t="shared" si="307"/>
        <v>0</v>
      </c>
      <c r="AG272" s="211">
        <f t="shared" si="307"/>
        <v>0</v>
      </c>
      <c r="AH272" s="211">
        <f t="shared" si="307"/>
        <v>0</v>
      </c>
      <c r="AI272" s="211">
        <f t="shared" si="307"/>
        <v>0</v>
      </c>
      <c r="AJ272" s="211">
        <f t="shared" si="307"/>
        <v>0</v>
      </c>
      <c r="AK272" s="211">
        <f t="shared" si="307"/>
        <v>0</v>
      </c>
      <c r="AL272" s="211">
        <f t="shared" si="307"/>
        <v>0</v>
      </c>
      <c r="AM272" s="211">
        <f t="shared" si="307"/>
        <v>0</v>
      </c>
      <c r="AN272" s="211">
        <f t="shared" si="307"/>
        <v>0</v>
      </c>
    </row>
    <row r="273" spans="2:40" s="7" customFormat="1" ht="12" hidden="1" customHeight="1" outlineLevel="2">
      <c r="B273" s="245"/>
      <c r="C273" s="250" t="s">
        <v>758</v>
      </c>
      <c r="D273" s="250"/>
      <c r="E273" s="213"/>
      <c r="F273" s="213"/>
      <c r="G273" s="213"/>
      <c r="H273" s="213"/>
      <c r="I273" s="213"/>
      <c r="J273" s="211">
        <f>INDEX($C$199:$AN$221,MATCH("New Customers 1MS",$C$199:$C$221,0),MATCH($C273,$C$199:$AN$199,0))</f>
        <v>0</v>
      </c>
      <c r="K273" s="211">
        <f t="shared" ref="K273:AN273" si="308">$J$273*(E266)</f>
        <v>0</v>
      </c>
      <c r="L273" s="211">
        <f t="shared" si="308"/>
        <v>0</v>
      </c>
      <c r="M273" s="211">
        <f t="shared" si="308"/>
        <v>0</v>
      </c>
      <c r="N273" s="211">
        <f t="shared" si="308"/>
        <v>0</v>
      </c>
      <c r="O273" s="211">
        <f t="shared" si="308"/>
        <v>0</v>
      </c>
      <c r="P273" s="211">
        <f t="shared" si="308"/>
        <v>0</v>
      </c>
      <c r="Q273" s="211">
        <f t="shared" si="308"/>
        <v>0</v>
      </c>
      <c r="R273" s="211">
        <f t="shared" si="308"/>
        <v>0</v>
      </c>
      <c r="S273" s="211">
        <f t="shared" si="308"/>
        <v>0</v>
      </c>
      <c r="T273" s="211">
        <f t="shared" si="308"/>
        <v>0</v>
      </c>
      <c r="U273" s="211">
        <f t="shared" si="308"/>
        <v>0</v>
      </c>
      <c r="V273" s="211">
        <f t="shared" si="308"/>
        <v>0</v>
      </c>
      <c r="W273" s="211">
        <f t="shared" si="308"/>
        <v>0</v>
      </c>
      <c r="X273" s="211">
        <f t="shared" si="308"/>
        <v>0</v>
      </c>
      <c r="Y273" s="211">
        <f t="shared" si="308"/>
        <v>0</v>
      </c>
      <c r="Z273" s="211">
        <f t="shared" si="308"/>
        <v>0</v>
      </c>
      <c r="AA273" s="211">
        <f t="shared" si="308"/>
        <v>0</v>
      </c>
      <c r="AB273" s="211">
        <f t="shared" si="308"/>
        <v>0</v>
      </c>
      <c r="AC273" s="211">
        <f t="shared" si="308"/>
        <v>0</v>
      </c>
      <c r="AD273" s="211">
        <f t="shared" si="308"/>
        <v>0</v>
      </c>
      <c r="AE273" s="211">
        <f t="shared" si="308"/>
        <v>0</v>
      </c>
      <c r="AF273" s="211">
        <f t="shared" si="308"/>
        <v>0</v>
      </c>
      <c r="AG273" s="211">
        <f t="shared" si="308"/>
        <v>0</v>
      </c>
      <c r="AH273" s="211">
        <f t="shared" si="308"/>
        <v>0</v>
      </c>
      <c r="AI273" s="211">
        <f t="shared" si="308"/>
        <v>0</v>
      </c>
      <c r="AJ273" s="211">
        <f t="shared" si="308"/>
        <v>0</v>
      </c>
      <c r="AK273" s="211">
        <f t="shared" si="308"/>
        <v>0</v>
      </c>
      <c r="AL273" s="211">
        <f t="shared" si="308"/>
        <v>0</v>
      </c>
      <c r="AM273" s="211">
        <f t="shared" si="308"/>
        <v>0</v>
      </c>
      <c r="AN273" s="211">
        <f t="shared" si="308"/>
        <v>0</v>
      </c>
    </row>
    <row r="274" spans="2:40" s="7" customFormat="1" ht="12" hidden="1" customHeight="1" outlineLevel="2">
      <c r="B274" s="245"/>
      <c r="C274" s="250" t="s">
        <v>759</v>
      </c>
      <c r="D274" s="250"/>
      <c r="E274" s="213"/>
      <c r="F274" s="213"/>
      <c r="G274" s="213"/>
      <c r="H274" s="213"/>
      <c r="I274" s="213"/>
      <c r="J274" s="213"/>
      <c r="K274" s="211">
        <f>INDEX($C$199:$AN$221,MATCH("New Customers 1MS",$C$199:$C$221,0),MATCH($C274,$C$199:$AN$199,0))</f>
        <v>0</v>
      </c>
      <c r="L274" s="211">
        <f t="shared" ref="L274:AN274" si="309">$K$274*(E266)</f>
        <v>0</v>
      </c>
      <c r="M274" s="211">
        <f t="shared" si="309"/>
        <v>0</v>
      </c>
      <c r="N274" s="211">
        <f t="shared" si="309"/>
        <v>0</v>
      </c>
      <c r="O274" s="211">
        <f t="shared" si="309"/>
        <v>0</v>
      </c>
      <c r="P274" s="211">
        <f t="shared" si="309"/>
        <v>0</v>
      </c>
      <c r="Q274" s="211">
        <f t="shared" si="309"/>
        <v>0</v>
      </c>
      <c r="R274" s="211">
        <f t="shared" si="309"/>
        <v>0</v>
      </c>
      <c r="S274" s="211">
        <f t="shared" si="309"/>
        <v>0</v>
      </c>
      <c r="T274" s="211">
        <f t="shared" si="309"/>
        <v>0</v>
      </c>
      <c r="U274" s="211">
        <f t="shared" si="309"/>
        <v>0</v>
      </c>
      <c r="V274" s="211">
        <f t="shared" si="309"/>
        <v>0</v>
      </c>
      <c r="W274" s="211">
        <f t="shared" si="309"/>
        <v>0</v>
      </c>
      <c r="X274" s="211">
        <f t="shared" si="309"/>
        <v>0</v>
      </c>
      <c r="Y274" s="211">
        <f t="shared" si="309"/>
        <v>0</v>
      </c>
      <c r="Z274" s="211">
        <f t="shared" si="309"/>
        <v>0</v>
      </c>
      <c r="AA274" s="211">
        <f t="shared" si="309"/>
        <v>0</v>
      </c>
      <c r="AB274" s="211">
        <f t="shared" si="309"/>
        <v>0</v>
      </c>
      <c r="AC274" s="211">
        <f t="shared" si="309"/>
        <v>0</v>
      </c>
      <c r="AD274" s="211">
        <f t="shared" si="309"/>
        <v>0</v>
      </c>
      <c r="AE274" s="211">
        <f t="shared" si="309"/>
        <v>0</v>
      </c>
      <c r="AF274" s="211">
        <f t="shared" si="309"/>
        <v>0</v>
      </c>
      <c r="AG274" s="211">
        <f t="shared" si="309"/>
        <v>0</v>
      </c>
      <c r="AH274" s="211">
        <f t="shared" si="309"/>
        <v>0</v>
      </c>
      <c r="AI274" s="211">
        <f t="shared" si="309"/>
        <v>0</v>
      </c>
      <c r="AJ274" s="211">
        <f t="shared" si="309"/>
        <v>0</v>
      </c>
      <c r="AK274" s="211">
        <f t="shared" si="309"/>
        <v>0</v>
      </c>
      <c r="AL274" s="211">
        <f t="shared" si="309"/>
        <v>0</v>
      </c>
      <c r="AM274" s="211">
        <f t="shared" si="309"/>
        <v>0</v>
      </c>
      <c r="AN274" s="211">
        <f t="shared" si="309"/>
        <v>0</v>
      </c>
    </row>
    <row r="275" spans="2:40" s="7" customFormat="1" ht="12" hidden="1" customHeight="1" outlineLevel="2">
      <c r="B275" s="245"/>
      <c r="C275" s="250" t="s">
        <v>760</v>
      </c>
      <c r="D275" s="250"/>
      <c r="E275" s="213"/>
      <c r="F275" s="213"/>
      <c r="G275" s="346"/>
      <c r="H275" s="213"/>
      <c r="I275" s="213"/>
      <c r="J275" s="213"/>
      <c r="K275" s="213"/>
      <c r="L275" s="211">
        <f>INDEX($C$199:$AN$221,MATCH("New Customers 1MS",$C$199:$C$221,0),MATCH($C275,$C$199:$AN$199,0))</f>
        <v>0</v>
      </c>
      <c r="M275" s="211">
        <f t="shared" ref="M275:AN275" si="310">$L$275*(E266)</f>
        <v>0</v>
      </c>
      <c r="N275" s="211">
        <f t="shared" si="310"/>
        <v>0</v>
      </c>
      <c r="O275" s="211">
        <f t="shared" si="310"/>
        <v>0</v>
      </c>
      <c r="P275" s="211">
        <f t="shared" si="310"/>
        <v>0</v>
      </c>
      <c r="Q275" s="211">
        <f t="shared" si="310"/>
        <v>0</v>
      </c>
      <c r="R275" s="211">
        <f t="shared" si="310"/>
        <v>0</v>
      </c>
      <c r="S275" s="211">
        <f t="shared" si="310"/>
        <v>0</v>
      </c>
      <c r="T275" s="211">
        <f t="shared" si="310"/>
        <v>0</v>
      </c>
      <c r="U275" s="211">
        <f t="shared" si="310"/>
        <v>0</v>
      </c>
      <c r="V275" s="211">
        <f t="shared" si="310"/>
        <v>0</v>
      </c>
      <c r="W275" s="211">
        <f t="shared" si="310"/>
        <v>0</v>
      </c>
      <c r="X275" s="211">
        <f t="shared" si="310"/>
        <v>0</v>
      </c>
      <c r="Y275" s="211">
        <f t="shared" si="310"/>
        <v>0</v>
      </c>
      <c r="Z275" s="211">
        <f t="shared" si="310"/>
        <v>0</v>
      </c>
      <c r="AA275" s="211">
        <f t="shared" si="310"/>
        <v>0</v>
      </c>
      <c r="AB275" s="211">
        <f t="shared" si="310"/>
        <v>0</v>
      </c>
      <c r="AC275" s="211">
        <f t="shared" si="310"/>
        <v>0</v>
      </c>
      <c r="AD275" s="211">
        <f t="shared" si="310"/>
        <v>0</v>
      </c>
      <c r="AE275" s="211">
        <f t="shared" si="310"/>
        <v>0</v>
      </c>
      <c r="AF275" s="211">
        <f t="shared" si="310"/>
        <v>0</v>
      </c>
      <c r="AG275" s="211">
        <f t="shared" si="310"/>
        <v>0</v>
      </c>
      <c r="AH275" s="211">
        <f t="shared" si="310"/>
        <v>0</v>
      </c>
      <c r="AI275" s="211">
        <f t="shared" si="310"/>
        <v>0</v>
      </c>
      <c r="AJ275" s="211">
        <f t="shared" si="310"/>
        <v>0</v>
      </c>
      <c r="AK275" s="211">
        <f t="shared" si="310"/>
        <v>0</v>
      </c>
      <c r="AL275" s="211">
        <f t="shared" si="310"/>
        <v>0</v>
      </c>
      <c r="AM275" s="211">
        <f t="shared" si="310"/>
        <v>0</v>
      </c>
      <c r="AN275" s="211">
        <f t="shared" si="310"/>
        <v>0</v>
      </c>
    </row>
    <row r="276" spans="2:40" s="7" customFormat="1" ht="12" hidden="1" customHeight="1" outlineLevel="2">
      <c r="B276" s="245"/>
      <c r="C276" s="250" t="s">
        <v>761</v>
      </c>
      <c r="D276" s="250"/>
      <c r="E276" s="213"/>
      <c r="F276" s="213"/>
      <c r="G276" s="213"/>
      <c r="H276" s="213"/>
      <c r="I276" s="213"/>
      <c r="J276" s="213"/>
      <c r="K276" s="213"/>
      <c r="L276" s="213"/>
      <c r="M276" s="211">
        <f>INDEX($C$199:$AN$221,MATCH("New Customers 1MS",$C$199:$C$221,0),MATCH($C276,$C$199:$AN$199,0))</f>
        <v>0</v>
      </c>
      <c r="N276" s="211">
        <f t="shared" ref="N276:AN276" si="311">$M$276*(E266)</f>
        <v>0</v>
      </c>
      <c r="O276" s="211">
        <f t="shared" si="311"/>
        <v>0</v>
      </c>
      <c r="P276" s="211">
        <f t="shared" si="311"/>
        <v>0</v>
      </c>
      <c r="Q276" s="211">
        <f t="shared" si="311"/>
        <v>0</v>
      </c>
      <c r="R276" s="211">
        <f t="shared" si="311"/>
        <v>0</v>
      </c>
      <c r="S276" s="211">
        <f t="shared" si="311"/>
        <v>0</v>
      </c>
      <c r="T276" s="211">
        <f t="shared" si="311"/>
        <v>0</v>
      </c>
      <c r="U276" s="211">
        <f t="shared" si="311"/>
        <v>0</v>
      </c>
      <c r="V276" s="211">
        <f t="shared" si="311"/>
        <v>0</v>
      </c>
      <c r="W276" s="211">
        <f t="shared" si="311"/>
        <v>0</v>
      </c>
      <c r="X276" s="211">
        <f t="shared" si="311"/>
        <v>0</v>
      </c>
      <c r="Y276" s="211">
        <f t="shared" si="311"/>
        <v>0</v>
      </c>
      <c r="Z276" s="211">
        <f t="shared" si="311"/>
        <v>0</v>
      </c>
      <c r="AA276" s="211">
        <f t="shared" si="311"/>
        <v>0</v>
      </c>
      <c r="AB276" s="211">
        <f t="shared" si="311"/>
        <v>0</v>
      </c>
      <c r="AC276" s="211">
        <f t="shared" si="311"/>
        <v>0</v>
      </c>
      <c r="AD276" s="211">
        <f t="shared" si="311"/>
        <v>0</v>
      </c>
      <c r="AE276" s="211">
        <f t="shared" si="311"/>
        <v>0</v>
      </c>
      <c r="AF276" s="211">
        <f t="shared" si="311"/>
        <v>0</v>
      </c>
      <c r="AG276" s="211">
        <f t="shared" si="311"/>
        <v>0</v>
      </c>
      <c r="AH276" s="211">
        <f t="shared" si="311"/>
        <v>0</v>
      </c>
      <c r="AI276" s="211">
        <f t="shared" si="311"/>
        <v>0</v>
      </c>
      <c r="AJ276" s="211">
        <f t="shared" si="311"/>
        <v>0</v>
      </c>
      <c r="AK276" s="211">
        <f t="shared" si="311"/>
        <v>0</v>
      </c>
      <c r="AL276" s="211">
        <f t="shared" si="311"/>
        <v>0</v>
      </c>
      <c r="AM276" s="211">
        <f t="shared" si="311"/>
        <v>0</v>
      </c>
      <c r="AN276" s="211">
        <f t="shared" si="311"/>
        <v>0</v>
      </c>
    </row>
    <row r="277" spans="2:40" s="7" customFormat="1" ht="12" hidden="1" customHeight="1" outlineLevel="2">
      <c r="B277" s="245"/>
      <c r="C277" s="250" t="s">
        <v>762</v>
      </c>
      <c r="D277" s="250"/>
      <c r="E277" s="213"/>
      <c r="F277" s="213"/>
      <c r="G277" s="213"/>
      <c r="H277" s="213"/>
      <c r="I277" s="213"/>
      <c r="J277" s="213"/>
      <c r="K277" s="213"/>
      <c r="L277" s="213"/>
      <c r="M277" s="213"/>
      <c r="N277" s="211">
        <f>INDEX($C$199:$AN$221,MATCH("New Customers 1MS",$C$199:$C$221,0),MATCH($C277,$C$199:$AN$199,0))</f>
        <v>0</v>
      </c>
      <c r="O277" s="211">
        <f t="shared" ref="O277:AN277" si="312">$N$277*(E266)</f>
        <v>0</v>
      </c>
      <c r="P277" s="211">
        <f t="shared" si="312"/>
        <v>0</v>
      </c>
      <c r="Q277" s="211">
        <f t="shared" si="312"/>
        <v>0</v>
      </c>
      <c r="R277" s="211">
        <f t="shared" si="312"/>
        <v>0</v>
      </c>
      <c r="S277" s="211">
        <f t="shared" si="312"/>
        <v>0</v>
      </c>
      <c r="T277" s="211">
        <f t="shared" si="312"/>
        <v>0</v>
      </c>
      <c r="U277" s="211">
        <f t="shared" si="312"/>
        <v>0</v>
      </c>
      <c r="V277" s="211">
        <f t="shared" si="312"/>
        <v>0</v>
      </c>
      <c r="W277" s="211">
        <f t="shared" si="312"/>
        <v>0</v>
      </c>
      <c r="X277" s="211">
        <f t="shared" si="312"/>
        <v>0</v>
      </c>
      <c r="Y277" s="211">
        <f t="shared" si="312"/>
        <v>0</v>
      </c>
      <c r="Z277" s="211">
        <f t="shared" si="312"/>
        <v>0</v>
      </c>
      <c r="AA277" s="211">
        <f t="shared" si="312"/>
        <v>0</v>
      </c>
      <c r="AB277" s="211">
        <f t="shared" si="312"/>
        <v>0</v>
      </c>
      <c r="AC277" s="211">
        <f t="shared" si="312"/>
        <v>0</v>
      </c>
      <c r="AD277" s="211">
        <f t="shared" si="312"/>
        <v>0</v>
      </c>
      <c r="AE277" s="211">
        <f t="shared" si="312"/>
        <v>0</v>
      </c>
      <c r="AF277" s="211">
        <f t="shared" si="312"/>
        <v>0</v>
      </c>
      <c r="AG277" s="211">
        <f t="shared" si="312"/>
        <v>0</v>
      </c>
      <c r="AH277" s="211">
        <f t="shared" si="312"/>
        <v>0</v>
      </c>
      <c r="AI277" s="211">
        <f t="shared" si="312"/>
        <v>0</v>
      </c>
      <c r="AJ277" s="211">
        <f t="shared" si="312"/>
        <v>0</v>
      </c>
      <c r="AK277" s="211">
        <f t="shared" si="312"/>
        <v>0</v>
      </c>
      <c r="AL277" s="211">
        <f t="shared" si="312"/>
        <v>0</v>
      </c>
      <c r="AM277" s="211">
        <f t="shared" si="312"/>
        <v>0</v>
      </c>
      <c r="AN277" s="211">
        <f t="shared" si="312"/>
        <v>0</v>
      </c>
    </row>
    <row r="278" spans="2:40" s="7" customFormat="1" ht="12" hidden="1" customHeight="1" outlineLevel="2">
      <c r="B278" s="245"/>
      <c r="C278" s="250" t="s">
        <v>763</v>
      </c>
      <c r="D278" s="250"/>
      <c r="E278" s="213"/>
      <c r="F278" s="213"/>
      <c r="G278" s="213"/>
      <c r="H278" s="213"/>
      <c r="I278" s="213"/>
      <c r="J278" s="213"/>
      <c r="K278" s="213"/>
      <c r="L278" s="213"/>
      <c r="M278" s="213"/>
      <c r="N278" s="213"/>
      <c r="O278" s="211">
        <f>INDEX($C$199:$AN$221,MATCH("New Customers 1MS",$C$199:$C$221,0),MATCH($C278,$C$199:$AN$199,0))</f>
        <v>0</v>
      </c>
      <c r="P278" s="211">
        <f t="shared" ref="P278:AN278" si="313">$O$278*(E266)</f>
        <v>0</v>
      </c>
      <c r="Q278" s="211">
        <f t="shared" si="313"/>
        <v>0</v>
      </c>
      <c r="R278" s="211">
        <f t="shared" si="313"/>
        <v>0</v>
      </c>
      <c r="S278" s="211">
        <f t="shared" si="313"/>
        <v>0</v>
      </c>
      <c r="T278" s="211">
        <f t="shared" si="313"/>
        <v>0</v>
      </c>
      <c r="U278" s="211">
        <f t="shared" si="313"/>
        <v>0</v>
      </c>
      <c r="V278" s="211">
        <f t="shared" si="313"/>
        <v>0</v>
      </c>
      <c r="W278" s="211">
        <f t="shared" si="313"/>
        <v>0</v>
      </c>
      <c r="X278" s="211">
        <f t="shared" si="313"/>
        <v>0</v>
      </c>
      <c r="Y278" s="211">
        <f t="shared" si="313"/>
        <v>0</v>
      </c>
      <c r="Z278" s="211">
        <f t="shared" si="313"/>
        <v>0</v>
      </c>
      <c r="AA278" s="211">
        <f t="shared" si="313"/>
        <v>0</v>
      </c>
      <c r="AB278" s="211">
        <f t="shared" si="313"/>
        <v>0</v>
      </c>
      <c r="AC278" s="211">
        <f t="shared" si="313"/>
        <v>0</v>
      </c>
      <c r="AD278" s="211">
        <f t="shared" si="313"/>
        <v>0</v>
      </c>
      <c r="AE278" s="211">
        <f t="shared" si="313"/>
        <v>0</v>
      </c>
      <c r="AF278" s="211">
        <f t="shared" si="313"/>
        <v>0</v>
      </c>
      <c r="AG278" s="211">
        <f t="shared" si="313"/>
        <v>0</v>
      </c>
      <c r="AH278" s="211">
        <f t="shared" si="313"/>
        <v>0</v>
      </c>
      <c r="AI278" s="211">
        <f t="shared" si="313"/>
        <v>0</v>
      </c>
      <c r="AJ278" s="211">
        <f t="shared" si="313"/>
        <v>0</v>
      </c>
      <c r="AK278" s="211">
        <f t="shared" si="313"/>
        <v>0</v>
      </c>
      <c r="AL278" s="211">
        <f t="shared" si="313"/>
        <v>0</v>
      </c>
      <c r="AM278" s="211">
        <f t="shared" si="313"/>
        <v>0</v>
      </c>
      <c r="AN278" s="211">
        <f t="shared" si="313"/>
        <v>0</v>
      </c>
    </row>
    <row r="279" spans="2:40" s="7" customFormat="1" ht="12" hidden="1" customHeight="1" outlineLevel="2">
      <c r="B279" s="245"/>
      <c r="C279" s="250" t="s">
        <v>764</v>
      </c>
      <c r="D279" s="250"/>
      <c r="E279" s="213"/>
      <c r="F279" s="213"/>
      <c r="G279" s="213"/>
      <c r="H279" s="213"/>
      <c r="I279" s="213"/>
      <c r="J279" s="213"/>
      <c r="K279" s="213"/>
      <c r="L279" s="213"/>
      <c r="M279" s="213"/>
      <c r="N279" s="213"/>
      <c r="O279" s="213"/>
      <c r="P279" s="211">
        <f>INDEX($C$199:$AN$221,MATCH("New Customers 1MS",$C$199:$C$221,0),MATCH($C279,$C$199:$AN$199,0))</f>
        <v>0</v>
      </c>
      <c r="Q279" s="211">
        <f t="shared" ref="Q279:AN279" si="314">$P$279*(E266)</f>
        <v>0</v>
      </c>
      <c r="R279" s="211">
        <f t="shared" si="314"/>
        <v>0</v>
      </c>
      <c r="S279" s="211">
        <f t="shared" si="314"/>
        <v>0</v>
      </c>
      <c r="T279" s="211">
        <f t="shared" si="314"/>
        <v>0</v>
      </c>
      <c r="U279" s="211">
        <f t="shared" si="314"/>
        <v>0</v>
      </c>
      <c r="V279" s="211">
        <f t="shared" si="314"/>
        <v>0</v>
      </c>
      <c r="W279" s="211">
        <f t="shared" si="314"/>
        <v>0</v>
      </c>
      <c r="X279" s="211">
        <f t="shared" si="314"/>
        <v>0</v>
      </c>
      <c r="Y279" s="211">
        <f t="shared" si="314"/>
        <v>0</v>
      </c>
      <c r="Z279" s="211">
        <f t="shared" si="314"/>
        <v>0</v>
      </c>
      <c r="AA279" s="211">
        <f t="shared" si="314"/>
        <v>0</v>
      </c>
      <c r="AB279" s="211">
        <f t="shared" si="314"/>
        <v>0</v>
      </c>
      <c r="AC279" s="211">
        <f t="shared" si="314"/>
        <v>0</v>
      </c>
      <c r="AD279" s="211">
        <f t="shared" si="314"/>
        <v>0</v>
      </c>
      <c r="AE279" s="211">
        <f t="shared" si="314"/>
        <v>0</v>
      </c>
      <c r="AF279" s="211">
        <f t="shared" si="314"/>
        <v>0</v>
      </c>
      <c r="AG279" s="211">
        <f t="shared" si="314"/>
        <v>0</v>
      </c>
      <c r="AH279" s="211">
        <f t="shared" si="314"/>
        <v>0</v>
      </c>
      <c r="AI279" s="211">
        <f t="shared" si="314"/>
        <v>0</v>
      </c>
      <c r="AJ279" s="211">
        <f t="shared" si="314"/>
        <v>0</v>
      </c>
      <c r="AK279" s="211">
        <f t="shared" si="314"/>
        <v>0</v>
      </c>
      <c r="AL279" s="211">
        <f t="shared" si="314"/>
        <v>0</v>
      </c>
      <c r="AM279" s="211">
        <f t="shared" si="314"/>
        <v>0</v>
      </c>
      <c r="AN279" s="211">
        <f t="shared" si="314"/>
        <v>0</v>
      </c>
    </row>
    <row r="280" spans="2:40" s="7" customFormat="1" ht="12" hidden="1" customHeight="1" outlineLevel="2">
      <c r="B280" s="245"/>
      <c r="C280" s="250" t="s">
        <v>765</v>
      </c>
      <c r="D280" s="250"/>
      <c r="E280" s="213"/>
      <c r="F280" s="213"/>
      <c r="G280" s="213"/>
      <c r="H280" s="213"/>
      <c r="I280" s="213"/>
      <c r="J280" s="213"/>
      <c r="K280" s="213"/>
      <c r="L280" s="213"/>
      <c r="M280" s="213"/>
      <c r="N280" s="213"/>
      <c r="O280" s="213"/>
      <c r="P280" s="213"/>
      <c r="Q280" s="211">
        <f>INDEX($C$199:$AN$221,MATCH("New Customers 1MS",$C$199:$C$221,0),MATCH($C280,$C$199:$AN$199,0))</f>
        <v>0</v>
      </c>
      <c r="R280" s="211">
        <f t="shared" ref="R280:AN280" si="315">$Q$280*(E266)</f>
        <v>0</v>
      </c>
      <c r="S280" s="211">
        <f t="shared" si="315"/>
        <v>0</v>
      </c>
      <c r="T280" s="211">
        <f t="shared" si="315"/>
        <v>0</v>
      </c>
      <c r="U280" s="211">
        <f t="shared" si="315"/>
        <v>0</v>
      </c>
      <c r="V280" s="211">
        <f t="shared" si="315"/>
        <v>0</v>
      </c>
      <c r="W280" s="211">
        <f t="shared" si="315"/>
        <v>0</v>
      </c>
      <c r="X280" s="211">
        <f t="shared" si="315"/>
        <v>0</v>
      </c>
      <c r="Y280" s="211">
        <f t="shared" si="315"/>
        <v>0</v>
      </c>
      <c r="Z280" s="211">
        <f t="shared" si="315"/>
        <v>0</v>
      </c>
      <c r="AA280" s="211">
        <f t="shared" si="315"/>
        <v>0</v>
      </c>
      <c r="AB280" s="211">
        <f t="shared" si="315"/>
        <v>0</v>
      </c>
      <c r="AC280" s="211">
        <f t="shared" si="315"/>
        <v>0</v>
      </c>
      <c r="AD280" s="211">
        <f t="shared" si="315"/>
        <v>0</v>
      </c>
      <c r="AE280" s="211">
        <f t="shared" si="315"/>
        <v>0</v>
      </c>
      <c r="AF280" s="211">
        <f t="shared" si="315"/>
        <v>0</v>
      </c>
      <c r="AG280" s="211">
        <f t="shared" si="315"/>
        <v>0</v>
      </c>
      <c r="AH280" s="211">
        <f t="shared" si="315"/>
        <v>0</v>
      </c>
      <c r="AI280" s="211">
        <f t="shared" si="315"/>
        <v>0</v>
      </c>
      <c r="AJ280" s="211">
        <f t="shared" si="315"/>
        <v>0</v>
      </c>
      <c r="AK280" s="211">
        <f t="shared" si="315"/>
        <v>0</v>
      </c>
      <c r="AL280" s="211">
        <f t="shared" si="315"/>
        <v>0</v>
      </c>
      <c r="AM280" s="211">
        <f t="shared" si="315"/>
        <v>0</v>
      </c>
      <c r="AN280" s="211">
        <f t="shared" si="315"/>
        <v>0</v>
      </c>
    </row>
    <row r="281" spans="2:40" s="7" customFormat="1" ht="12" hidden="1" customHeight="1" outlineLevel="2">
      <c r="B281" s="245"/>
      <c r="C281" s="250" t="s">
        <v>766</v>
      </c>
      <c r="D281" s="250"/>
      <c r="E281" s="213"/>
      <c r="F281" s="213"/>
      <c r="G281" s="213"/>
      <c r="H281" s="213"/>
      <c r="I281" s="213"/>
      <c r="J281" s="213"/>
      <c r="K281" s="213"/>
      <c r="L281" s="213"/>
      <c r="M281" s="213"/>
      <c r="N281" s="213"/>
      <c r="O281" s="213"/>
      <c r="P281" s="213"/>
      <c r="Q281" s="213"/>
      <c r="R281" s="211">
        <f>INDEX($C$199:$AN$221,MATCH("New Customers 1MS",$C$199:$C$221,0),MATCH($C281,$C$199:$AN$199,0))</f>
        <v>0</v>
      </c>
      <c r="S281" s="211">
        <f t="shared" ref="S281:AN281" si="316">$R$281*(E266)</f>
        <v>0</v>
      </c>
      <c r="T281" s="211">
        <f t="shared" si="316"/>
        <v>0</v>
      </c>
      <c r="U281" s="211">
        <f t="shared" si="316"/>
        <v>0</v>
      </c>
      <c r="V281" s="211">
        <f t="shared" si="316"/>
        <v>0</v>
      </c>
      <c r="W281" s="211">
        <f t="shared" si="316"/>
        <v>0</v>
      </c>
      <c r="X281" s="211">
        <f t="shared" si="316"/>
        <v>0</v>
      </c>
      <c r="Y281" s="211">
        <f t="shared" si="316"/>
        <v>0</v>
      </c>
      <c r="Z281" s="211">
        <f t="shared" si="316"/>
        <v>0</v>
      </c>
      <c r="AA281" s="211">
        <f t="shared" si="316"/>
        <v>0</v>
      </c>
      <c r="AB281" s="211">
        <f t="shared" si="316"/>
        <v>0</v>
      </c>
      <c r="AC281" s="211">
        <f t="shared" si="316"/>
        <v>0</v>
      </c>
      <c r="AD281" s="211">
        <f t="shared" si="316"/>
        <v>0</v>
      </c>
      <c r="AE281" s="211">
        <f t="shared" si="316"/>
        <v>0</v>
      </c>
      <c r="AF281" s="211">
        <f t="shared" si="316"/>
        <v>0</v>
      </c>
      <c r="AG281" s="211">
        <f t="shared" si="316"/>
        <v>0</v>
      </c>
      <c r="AH281" s="211">
        <f t="shared" si="316"/>
        <v>0</v>
      </c>
      <c r="AI281" s="211">
        <f t="shared" si="316"/>
        <v>0</v>
      </c>
      <c r="AJ281" s="211">
        <f t="shared" si="316"/>
        <v>0</v>
      </c>
      <c r="AK281" s="211">
        <f t="shared" si="316"/>
        <v>0</v>
      </c>
      <c r="AL281" s="211">
        <f t="shared" si="316"/>
        <v>0</v>
      </c>
      <c r="AM281" s="211">
        <f t="shared" si="316"/>
        <v>0</v>
      </c>
      <c r="AN281" s="211">
        <f t="shared" si="316"/>
        <v>0</v>
      </c>
    </row>
    <row r="282" spans="2:40" s="7" customFormat="1" ht="12" hidden="1" customHeight="1" outlineLevel="2">
      <c r="B282" s="245"/>
      <c r="C282" s="250" t="s">
        <v>767</v>
      </c>
      <c r="D282" s="250"/>
      <c r="E282" s="213"/>
      <c r="F282" s="213"/>
      <c r="G282" s="213"/>
      <c r="H282" s="213"/>
      <c r="I282" s="213"/>
      <c r="J282" s="213"/>
      <c r="K282" s="213"/>
      <c r="L282" s="213"/>
      <c r="M282" s="213"/>
      <c r="N282" s="213"/>
      <c r="O282" s="213"/>
      <c r="P282" s="213"/>
      <c r="Q282" s="213"/>
      <c r="R282" s="213"/>
      <c r="S282" s="211">
        <f>INDEX($C$199:$AN$221,MATCH("New Customers 1MS",$C$199:$C$221,0),MATCH($C282,$C$199:$AN$199,0))</f>
        <v>0</v>
      </c>
      <c r="T282" s="211">
        <f t="shared" ref="T282:AN282" si="317">$S$282*(E266)</f>
        <v>0</v>
      </c>
      <c r="U282" s="211">
        <f t="shared" si="317"/>
        <v>0</v>
      </c>
      <c r="V282" s="211">
        <f t="shared" si="317"/>
        <v>0</v>
      </c>
      <c r="W282" s="211">
        <f t="shared" si="317"/>
        <v>0</v>
      </c>
      <c r="X282" s="211">
        <f t="shared" si="317"/>
        <v>0</v>
      </c>
      <c r="Y282" s="211">
        <f t="shared" si="317"/>
        <v>0</v>
      </c>
      <c r="Z282" s="211">
        <f t="shared" si="317"/>
        <v>0</v>
      </c>
      <c r="AA282" s="211">
        <f t="shared" si="317"/>
        <v>0</v>
      </c>
      <c r="AB282" s="211">
        <f t="shared" si="317"/>
        <v>0</v>
      </c>
      <c r="AC282" s="211">
        <f t="shared" si="317"/>
        <v>0</v>
      </c>
      <c r="AD282" s="211">
        <f t="shared" si="317"/>
        <v>0</v>
      </c>
      <c r="AE282" s="211">
        <f t="shared" si="317"/>
        <v>0</v>
      </c>
      <c r="AF282" s="211">
        <f t="shared" si="317"/>
        <v>0</v>
      </c>
      <c r="AG282" s="211">
        <f t="shared" si="317"/>
        <v>0</v>
      </c>
      <c r="AH282" s="211">
        <f t="shared" si="317"/>
        <v>0</v>
      </c>
      <c r="AI282" s="211">
        <f t="shared" si="317"/>
        <v>0</v>
      </c>
      <c r="AJ282" s="211">
        <f t="shared" si="317"/>
        <v>0</v>
      </c>
      <c r="AK282" s="211">
        <f t="shared" si="317"/>
        <v>0</v>
      </c>
      <c r="AL282" s="211">
        <f t="shared" si="317"/>
        <v>0</v>
      </c>
      <c r="AM282" s="211">
        <f t="shared" si="317"/>
        <v>0</v>
      </c>
      <c r="AN282" s="211">
        <f t="shared" si="317"/>
        <v>0</v>
      </c>
    </row>
    <row r="283" spans="2:40" s="7" customFormat="1" ht="12" hidden="1" customHeight="1" outlineLevel="2">
      <c r="B283" s="245"/>
      <c r="C283" s="250" t="s">
        <v>768</v>
      </c>
      <c r="D283" s="250"/>
      <c r="E283" s="213"/>
      <c r="F283" s="213"/>
      <c r="G283" s="213"/>
      <c r="H283" s="213"/>
      <c r="I283" s="213"/>
      <c r="J283" s="213"/>
      <c r="K283" s="213"/>
      <c r="L283" s="213"/>
      <c r="M283" s="213"/>
      <c r="N283" s="213"/>
      <c r="O283" s="213"/>
      <c r="P283" s="213"/>
      <c r="Q283" s="213"/>
      <c r="R283" s="213"/>
      <c r="S283" s="213"/>
      <c r="T283" s="211">
        <f>INDEX($C$199:$AN$221,MATCH("New Customers 1MS",$C$199:$C$221,0),MATCH($C283,$C$199:$AN$199,0))</f>
        <v>0</v>
      </c>
      <c r="U283" s="211">
        <f t="shared" ref="U283:AN283" si="318">$T$283*(E266)</f>
        <v>0</v>
      </c>
      <c r="V283" s="211">
        <f t="shared" si="318"/>
        <v>0</v>
      </c>
      <c r="W283" s="211">
        <f t="shared" si="318"/>
        <v>0</v>
      </c>
      <c r="X283" s="211">
        <f t="shared" si="318"/>
        <v>0</v>
      </c>
      <c r="Y283" s="211">
        <f t="shared" si="318"/>
        <v>0</v>
      </c>
      <c r="Z283" s="211">
        <f t="shared" si="318"/>
        <v>0</v>
      </c>
      <c r="AA283" s="211">
        <f t="shared" si="318"/>
        <v>0</v>
      </c>
      <c r="AB283" s="211">
        <f t="shared" si="318"/>
        <v>0</v>
      </c>
      <c r="AC283" s="211">
        <f t="shared" si="318"/>
        <v>0</v>
      </c>
      <c r="AD283" s="211">
        <f t="shared" si="318"/>
        <v>0</v>
      </c>
      <c r="AE283" s="211">
        <f t="shared" si="318"/>
        <v>0</v>
      </c>
      <c r="AF283" s="211">
        <f t="shared" si="318"/>
        <v>0</v>
      </c>
      <c r="AG283" s="211">
        <f t="shared" si="318"/>
        <v>0</v>
      </c>
      <c r="AH283" s="211">
        <f t="shared" si="318"/>
        <v>0</v>
      </c>
      <c r="AI283" s="211">
        <f t="shared" si="318"/>
        <v>0</v>
      </c>
      <c r="AJ283" s="211">
        <f t="shared" si="318"/>
        <v>0</v>
      </c>
      <c r="AK283" s="211">
        <f t="shared" si="318"/>
        <v>0</v>
      </c>
      <c r="AL283" s="211">
        <f t="shared" si="318"/>
        <v>0</v>
      </c>
      <c r="AM283" s="211">
        <f t="shared" si="318"/>
        <v>0</v>
      </c>
      <c r="AN283" s="211">
        <f t="shared" si="318"/>
        <v>0</v>
      </c>
    </row>
    <row r="284" spans="2:40" s="7" customFormat="1" ht="12" hidden="1" customHeight="1" outlineLevel="2">
      <c r="B284" s="245"/>
      <c r="C284" s="250" t="s">
        <v>769</v>
      </c>
      <c r="D284" s="250"/>
      <c r="E284" s="213"/>
      <c r="F284" s="213"/>
      <c r="G284" s="213"/>
      <c r="H284" s="213"/>
      <c r="I284" s="213"/>
      <c r="J284" s="213"/>
      <c r="K284" s="213"/>
      <c r="L284" s="213"/>
      <c r="M284" s="213"/>
      <c r="N284" s="213"/>
      <c r="O284" s="213"/>
      <c r="P284" s="213"/>
      <c r="Q284" s="213"/>
      <c r="R284" s="213"/>
      <c r="S284" s="213"/>
      <c r="T284" s="213"/>
      <c r="U284" s="211">
        <f>INDEX($C$199:$AN$221,MATCH("New Customers 1MS",$C$199:$C$221,0),MATCH($C284,$C$199:$AN$199,0))</f>
        <v>0</v>
      </c>
      <c r="V284" s="211">
        <f t="shared" ref="V284:AN284" si="319">$U$284*(E266)</f>
        <v>0</v>
      </c>
      <c r="W284" s="211">
        <f t="shared" si="319"/>
        <v>0</v>
      </c>
      <c r="X284" s="211">
        <f t="shared" si="319"/>
        <v>0</v>
      </c>
      <c r="Y284" s="211">
        <f t="shared" si="319"/>
        <v>0</v>
      </c>
      <c r="Z284" s="211">
        <f t="shared" si="319"/>
        <v>0</v>
      </c>
      <c r="AA284" s="211">
        <f t="shared" si="319"/>
        <v>0</v>
      </c>
      <c r="AB284" s="211">
        <f t="shared" si="319"/>
        <v>0</v>
      </c>
      <c r="AC284" s="211">
        <f t="shared" si="319"/>
        <v>0</v>
      </c>
      <c r="AD284" s="211">
        <f t="shared" si="319"/>
        <v>0</v>
      </c>
      <c r="AE284" s="211">
        <f t="shared" si="319"/>
        <v>0</v>
      </c>
      <c r="AF284" s="211">
        <f t="shared" si="319"/>
        <v>0</v>
      </c>
      <c r="AG284" s="211">
        <f t="shared" si="319"/>
        <v>0</v>
      </c>
      <c r="AH284" s="211">
        <f t="shared" si="319"/>
        <v>0</v>
      </c>
      <c r="AI284" s="211">
        <f t="shared" si="319"/>
        <v>0</v>
      </c>
      <c r="AJ284" s="211">
        <f t="shared" si="319"/>
        <v>0</v>
      </c>
      <c r="AK284" s="211">
        <f t="shared" si="319"/>
        <v>0</v>
      </c>
      <c r="AL284" s="211">
        <f t="shared" si="319"/>
        <v>0</v>
      </c>
      <c r="AM284" s="211">
        <f t="shared" si="319"/>
        <v>0</v>
      </c>
      <c r="AN284" s="211">
        <f t="shared" si="319"/>
        <v>0</v>
      </c>
    </row>
    <row r="285" spans="2:40" s="7" customFormat="1" ht="12" hidden="1" customHeight="1" outlineLevel="2">
      <c r="B285" s="245"/>
      <c r="C285" s="250" t="s">
        <v>770</v>
      </c>
      <c r="D285" s="250"/>
      <c r="E285" s="213"/>
      <c r="F285" s="213"/>
      <c r="G285" s="213"/>
      <c r="H285" s="213"/>
      <c r="I285" s="213"/>
      <c r="J285" s="213"/>
      <c r="K285" s="213"/>
      <c r="L285" s="213"/>
      <c r="M285" s="213"/>
      <c r="N285" s="213"/>
      <c r="O285" s="213"/>
      <c r="P285" s="213"/>
      <c r="Q285" s="213"/>
      <c r="R285" s="213"/>
      <c r="S285" s="213"/>
      <c r="T285" s="213"/>
      <c r="U285" s="213"/>
      <c r="V285" s="211">
        <f>INDEX($C$199:$AN$221,MATCH("New Customers 1MS",$C$199:$C$221,0),MATCH($C285,$C$199:$AN$199,0))</f>
        <v>0</v>
      </c>
      <c r="W285" s="211">
        <f t="shared" ref="W285:AN285" si="320">$V$285*(E266)</f>
        <v>0</v>
      </c>
      <c r="X285" s="211">
        <f t="shared" si="320"/>
        <v>0</v>
      </c>
      <c r="Y285" s="211">
        <f t="shared" si="320"/>
        <v>0</v>
      </c>
      <c r="Z285" s="211">
        <f t="shared" si="320"/>
        <v>0</v>
      </c>
      <c r="AA285" s="211">
        <f t="shared" si="320"/>
        <v>0</v>
      </c>
      <c r="AB285" s="211">
        <f t="shared" si="320"/>
        <v>0</v>
      </c>
      <c r="AC285" s="211">
        <f t="shared" si="320"/>
        <v>0</v>
      </c>
      <c r="AD285" s="211">
        <f t="shared" si="320"/>
        <v>0</v>
      </c>
      <c r="AE285" s="211">
        <f t="shared" si="320"/>
        <v>0</v>
      </c>
      <c r="AF285" s="211">
        <f t="shared" si="320"/>
        <v>0</v>
      </c>
      <c r="AG285" s="211">
        <f t="shared" si="320"/>
        <v>0</v>
      </c>
      <c r="AH285" s="211">
        <f t="shared" si="320"/>
        <v>0</v>
      </c>
      <c r="AI285" s="211">
        <f t="shared" si="320"/>
        <v>0</v>
      </c>
      <c r="AJ285" s="211">
        <f t="shared" si="320"/>
        <v>0</v>
      </c>
      <c r="AK285" s="211">
        <f t="shared" si="320"/>
        <v>0</v>
      </c>
      <c r="AL285" s="211">
        <f t="shared" si="320"/>
        <v>0</v>
      </c>
      <c r="AM285" s="211">
        <f t="shared" si="320"/>
        <v>0</v>
      </c>
      <c r="AN285" s="211">
        <f t="shared" si="320"/>
        <v>0</v>
      </c>
    </row>
    <row r="286" spans="2:40" s="7" customFormat="1" ht="12" hidden="1" customHeight="1" outlineLevel="2">
      <c r="B286" s="245"/>
      <c r="C286" s="250" t="s">
        <v>771</v>
      </c>
      <c r="D286" s="250"/>
      <c r="E286" s="213"/>
      <c r="F286" s="213"/>
      <c r="G286" s="213"/>
      <c r="H286" s="213"/>
      <c r="I286" s="213"/>
      <c r="J286" s="213"/>
      <c r="K286" s="213"/>
      <c r="L286" s="213"/>
      <c r="M286" s="213"/>
      <c r="N286" s="213"/>
      <c r="O286" s="213"/>
      <c r="P286" s="213"/>
      <c r="Q286" s="213"/>
      <c r="R286" s="213"/>
      <c r="S286" s="213"/>
      <c r="T286" s="213"/>
      <c r="U286" s="213"/>
      <c r="V286" s="213"/>
      <c r="W286" s="211">
        <f>INDEX($C$199:$AN$221,MATCH("New Customers 1MS",$C$199:$C$221,0),MATCH($C286,$C$199:$AN$199,0))</f>
        <v>0</v>
      </c>
      <c r="X286" s="211">
        <f t="shared" ref="X286:AN286" si="321">$W$286*(E266)</f>
        <v>0</v>
      </c>
      <c r="Y286" s="211">
        <f t="shared" si="321"/>
        <v>0</v>
      </c>
      <c r="Z286" s="211">
        <f t="shared" si="321"/>
        <v>0</v>
      </c>
      <c r="AA286" s="211">
        <f t="shared" si="321"/>
        <v>0</v>
      </c>
      <c r="AB286" s="211">
        <f t="shared" si="321"/>
        <v>0</v>
      </c>
      <c r="AC286" s="211">
        <f t="shared" si="321"/>
        <v>0</v>
      </c>
      <c r="AD286" s="211">
        <f t="shared" si="321"/>
        <v>0</v>
      </c>
      <c r="AE286" s="211">
        <f t="shared" si="321"/>
        <v>0</v>
      </c>
      <c r="AF286" s="211">
        <f t="shared" si="321"/>
        <v>0</v>
      </c>
      <c r="AG286" s="211">
        <f t="shared" si="321"/>
        <v>0</v>
      </c>
      <c r="AH286" s="211">
        <f t="shared" si="321"/>
        <v>0</v>
      </c>
      <c r="AI286" s="211">
        <f t="shared" si="321"/>
        <v>0</v>
      </c>
      <c r="AJ286" s="211">
        <f t="shared" si="321"/>
        <v>0</v>
      </c>
      <c r="AK286" s="211">
        <f t="shared" si="321"/>
        <v>0</v>
      </c>
      <c r="AL286" s="211">
        <f t="shared" si="321"/>
        <v>0</v>
      </c>
      <c r="AM286" s="211">
        <f t="shared" si="321"/>
        <v>0</v>
      </c>
      <c r="AN286" s="211">
        <f t="shared" si="321"/>
        <v>0</v>
      </c>
    </row>
    <row r="287" spans="2:40" s="7" customFormat="1" ht="12" hidden="1" customHeight="1" outlineLevel="2">
      <c r="B287" s="245"/>
      <c r="C287" s="250" t="s">
        <v>772</v>
      </c>
      <c r="D287" s="250"/>
      <c r="E287" s="213"/>
      <c r="F287" s="213"/>
      <c r="G287" s="213"/>
      <c r="H287" s="213"/>
      <c r="I287" s="213"/>
      <c r="J287" s="213"/>
      <c r="K287" s="213"/>
      <c r="L287" s="213"/>
      <c r="M287" s="213"/>
      <c r="N287" s="213"/>
      <c r="O287" s="213"/>
      <c r="P287" s="213"/>
      <c r="Q287" s="213"/>
      <c r="R287" s="213"/>
      <c r="S287" s="213"/>
      <c r="T287" s="213"/>
      <c r="U287" s="213"/>
      <c r="V287" s="213"/>
      <c r="W287" s="213"/>
      <c r="X287" s="211">
        <f>INDEX($C$199:$AN$221,MATCH("New Customers 1MS",$C$199:$C$221,0),MATCH($C287,$C$199:$AN$199,0))</f>
        <v>0</v>
      </c>
      <c r="Y287" s="211">
        <f t="shared" ref="Y287:AN287" si="322">$X$287*(E266)</f>
        <v>0</v>
      </c>
      <c r="Z287" s="211">
        <f t="shared" si="322"/>
        <v>0</v>
      </c>
      <c r="AA287" s="211">
        <f t="shared" si="322"/>
        <v>0</v>
      </c>
      <c r="AB287" s="211">
        <f t="shared" si="322"/>
        <v>0</v>
      </c>
      <c r="AC287" s="211">
        <f t="shared" si="322"/>
        <v>0</v>
      </c>
      <c r="AD287" s="211">
        <f t="shared" si="322"/>
        <v>0</v>
      </c>
      <c r="AE287" s="211">
        <f t="shared" si="322"/>
        <v>0</v>
      </c>
      <c r="AF287" s="211">
        <f t="shared" si="322"/>
        <v>0</v>
      </c>
      <c r="AG287" s="211">
        <f t="shared" si="322"/>
        <v>0</v>
      </c>
      <c r="AH287" s="211">
        <f t="shared" si="322"/>
        <v>0</v>
      </c>
      <c r="AI287" s="211">
        <f t="shared" si="322"/>
        <v>0</v>
      </c>
      <c r="AJ287" s="211">
        <f t="shared" si="322"/>
        <v>0</v>
      </c>
      <c r="AK287" s="211">
        <f t="shared" si="322"/>
        <v>0</v>
      </c>
      <c r="AL287" s="211">
        <f t="shared" si="322"/>
        <v>0</v>
      </c>
      <c r="AM287" s="211">
        <f t="shared" si="322"/>
        <v>0</v>
      </c>
      <c r="AN287" s="211">
        <f t="shared" si="322"/>
        <v>0</v>
      </c>
    </row>
    <row r="288" spans="2:40" s="7" customFormat="1" ht="12" hidden="1" customHeight="1" outlineLevel="2">
      <c r="B288" s="245"/>
      <c r="C288" s="250" t="s">
        <v>773</v>
      </c>
      <c r="D288" s="250"/>
      <c r="E288" s="213"/>
      <c r="F288" s="213"/>
      <c r="G288" s="213"/>
      <c r="H288" s="213"/>
      <c r="I288" s="213"/>
      <c r="J288" s="213"/>
      <c r="K288" s="213"/>
      <c r="L288" s="213"/>
      <c r="M288" s="213"/>
      <c r="N288" s="213"/>
      <c r="O288" s="213"/>
      <c r="P288" s="213"/>
      <c r="Q288" s="213"/>
      <c r="R288" s="213"/>
      <c r="S288" s="213"/>
      <c r="T288" s="213"/>
      <c r="U288" s="213"/>
      <c r="V288" s="213"/>
      <c r="W288" s="213"/>
      <c r="X288" s="213"/>
      <c r="Y288" s="211">
        <f>INDEX($C$199:$AN$221,MATCH("New Customers 1MS",$C$199:$C$221,0),MATCH($C288,$C$199:$AN$199,0))</f>
        <v>0</v>
      </c>
      <c r="Z288" s="211">
        <f t="shared" ref="Z288:AN288" si="323">$Y$288*(E266)</f>
        <v>0</v>
      </c>
      <c r="AA288" s="211">
        <f t="shared" si="323"/>
        <v>0</v>
      </c>
      <c r="AB288" s="211">
        <f t="shared" si="323"/>
        <v>0</v>
      </c>
      <c r="AC288" s="211">
        <f t="shared" si="323"/>
        <v>0</v>
      </c>
      <c r="AD288" s="211">
        <f t="shared" si="323"/>
        <v>0</v>
      </c>
      <c r="AE288" s="211">
        <f t="shared" si="323"/>
        <v>0</v>
      </c>
      <c r="AF288" s="211">
        <f t="shared" si="323"/>
        <v>0</v>
      </c>
      <c r="AG288" s="211">
        <f t="shared" si="323"/>
        <v>0</v>
      </c>
      <c r="AH288" s="211">
        <f t="shared" si="323"/>
        <v>0</v>
      </c>
      <c r="AI288" s="211">
        <f t="shared" si="323"/>
        <v>0</v>
      </c>
      <c r="AJ288" s="211">
        <f t="shared" si="323"/>
        <v>0</v>
      </c>
      <c r="AK288" s="211">
        <f t="shared" si="323"/>
        <v>0</v>
      </c>
      <c r="AL288" s="211">
        <f t="shared" si="323"/>
        <v>0</v>
      </c>
      <c r="AM288" s="211">
        <f t="shared" si="323"/>
        <v>0</v>
      </c>
      <c r="AN288" s="211">
        <f t="shared" si="323"/>
        <v>0</v>
      </c>
    </row>
    <row r="289" spans="2:40" s="7" customFormat="1" ht="12" hidden="1" customHeight="1" outlineLevel="2">
      <c r="B289" s="245"/>
      <c r="C289" s="250" t="s">
        <v>774</v>
      </c>
      <c r="D289" s="250"/>
      <c r="E289" s="213"/>
      <c r="F289" s="213"/>
      <c r="G289" s="213"/>
      <c r="H289" s="213"/>
      <c r="I289" s="213"/>
      <c r="J289" s="213"/>
      <c r="K289" s="213"/>
      <c r="L289" s="213"/>
      <c r="M289" s="213"/>
      <c r="N289" s="213"/>
      <c r="O289" s="213"/>
      <c r="P289" s="213"/>
      <c r="Q289" s="213"/>
      <c r="R289" s="213"/>
      <c r="S289" s="213"/>
      <c r="T289" s="213"/>
      <c r="U289" s="213"/>
      <c r="V289" s="213"/>
      <c r="W289" s="213"/>
      <c r="X289" s="213"/>
      <c r="Y289" s="213"/>
      <c r="Z289" s="211">
        <f>INDEX($C$199:$AN$221,MATCH("New Customers 1MS",$C$199:$C$221,0),MATCH($C289,$C$199:$AN$199,0))</f>
        <v>0</v>
      </c>
      <c r="AA289" s="211">
        <f t="shared" ref="AA289:AN289" si="324">$Z$289*(E266)</f>
        <v>0</v>
      </c>
      <c r="AB289" s="211">
        <f t="shared" si="324"/>
        <v>0</v>
      </c>
      <c r="AC289" s="211">
        <f t="shared" si="324"/>
        <v>0</v>
      </c>
      <c r="AD289" s="211">
        <f t="shared" si="324"/>
        <v>0</v>
      </c>
      <c r="AE289" s="211">
        <f t="shared" si="324"/>
        <v>0</v>
      </c>
      <c r="AF289" s="211">
        <f t="shared" si="324"/>
        <v>0</v>
      </c>
      <c r="AG289" s="211">
        <f t="shared" si="324"/>
        <v>0</v>
      </c>
      <c r="AH289" s="211">
        <f t="shared" si="324"/>
        <v>0</v>
      </c>
      <c r="AI289" s="211">
        <f t="shared" si="324"/>
        <v>0</v>
      </c>
      <c r="AJ289" s="211">
        <f t="shared" si="324"/>
        <v>0</v>
      </c>
      <c r="AK289" s="211">
        <f t="shared" si="324"/>
        <v>0</v>
      </c>
      <c r="AL289" s="211">
        <f t="shared" si="324"/>
        <v>0</v>
      </c>
      <c r="AM289" s="211">
        <f t="shared" si="324"/>
        <v>0</v>
      </c>
      <c r="AN289" s="211">
        <f t="shared" si="324"/>
        <v>0</v>
      </c>
    </row>
    <row r="290" spans="2:40" s="7" customFormat="1" ht="12" hidden="1" customHeight="1" outlineLevel="2">
      <c r="B290" s="245"/>
      <c r="C290" s="250" t="s">
        <v>775</v>
      </c>
      <c r="D290" s="250"/>
      <c r="E290" s="213"/>
      <c r="F290" s="213"/>
      <c r="G290" s="213"/>
      <c r="H290" s="213"/>
      <c r="I290" s="213"/>
      <c r="J290" s="213"/>
      <c r="K290" s="213"/>
      <c r="L290" s="213"/>
      <c r="M290" s="213"/>
      <c r="N290" s="213"/>
      <c r="O290" s="213"/>
      <c r="P290" s="213"/>
      <c r="Q290" s="213"/>
      <c r="R290" s="213"/>
      <c r="S290" s="213"/>
      <c r="T290" s="213"/>
      <c r="U290" s="213"/>
      <c r="V290" s="213"/>
      <c r="W290" s="213"/>
      <c r="X290" s="213"/>
      <c r="Y290" s="213"/>
      <c r="Z290" s="213"/>
      <c r="AA290" s="211">
        <f>INDEX($C$199:$AN$221,MATCH("New Customers 1MS",$C$199:$C$221,0),MATCH($C290,$C$199:$AN$199,0))</f>
        <v>0</v>
      </c>
      <c r="AB290" s="211">
        <f t="shared" ref="AB290:AN290" si="325">$AA$290*(E266)</f>
        <v>0</v>
      </c>
      <c r="AC290" s="211">
        <f t="shared" si="325"/>
        <v>0</v>
      </c>
      <c r="AD290" s="211">
        <f t="shared" si="325"/>
        <v>0</v>
      </c>
      <c r="AE290" s="211">
        <f t="shared" si="325"/>
        <v>0</v>
      </c>
      <c r="AF290" s="211">
        <f t="shared" si="325"/>
        <v>0</v>
      </c>
      <c r="AG290" s="211">
        <f t="shared" si="325"/>
        <v>0</v>
      </c>
      <c r="AH290" s="211">
        <f t="shared" si="325"/>
        <v>0</v>
      </c>
      <c r="AI290" s="211">
        <f t="shared" si="325"/>
        <v>0</v>
      </c>
      <c r="AJ290" s="211">
        <f t="shared" si="325"/>
        <v>0</v>
      </c>
      <c r="AK290" s="211">
        <f t="shared" si="325"/>
        <v>0</v>
      </c>
      <c r="AL290" s="211">
        <f t="shared" si="325"/>
        <v>0</v>
      </c>
      <c r="AM290" s="211">
        <f t="shared" si="325"/>
        <v>0</v>
      </c>
      <c r="AN290" s="211">
        <f t="shared" si="325"/>
        <v>0</v>
      </c>
    </row>
    <row r="291" spans="2:40" s="7" customFormat="1" ht="12" hidden="1" customHeight="1" outlineLevel="2">
      <c r="B291" s="245"/>
      <c r="C291" s="250" t="s">
        <v>776</v>
      </c>
      <c r="D291" s="250"/>
      <c r="E291" s="213"/>
      <c r="F291" s="213"/>
      <c r="G291" s="213"/>
      <c r="H291" s="213"/>
      <c r="I291" s="213"/>
      <c r="J291" s="213"/>
      <c r="K291" s="213"/>
      <c r="L291" s="213"/>
      <c r="M291" s="213"/>
      <c r="N291" s="213"/>
      <c r="O291" s="213"/>
      <c r="P291" s="213"/>
      <c r="Q291" s="213"/>
      <c r="R291" s="213"/>
      <c r="S291" s="213"/>
      <c r="T291" s="213"/>
      <c r="U291" s="213"/>
      <c r="V291" s="213"/>
      <c r="W291" s="213"/>
      <c r="X291" s="213"/>
      <c r="Y291" s="213"/>
      <c r="Z291" s="213"/>
      <c r="AA291" s="213"/>
      <c r="AB291" s="211">
        <f>INDEX($C$199:$AN$221,MATCH("New Customers 1MS",$C$199:$C$221,0),MATCH($C291,$C$199:$AN$199,0))</f>
        <v>0</v>
      </c>
      <c r="AC291" s="211">
        <f t="shared" ref="AC291:AN291" si="326">$AB$291*(E266)</f>
        <v>0</v>
      </c>
      <c r="AD291" s="211">
        <f t="shared" si="326"/>
        <v>0</v>
      </c>
      <c r="AE291" s="211">
        <f t="shared" si="326"/>
        <v>0</v>
      </c>
      <c r="AF291" s="211">
        <f t="shared" si="326"/>
        <v>0</v>
      </c>
      <c r="AG291" s="211">
        <f t="shared" si="326"/>
        <v>0</v>
      </c>
      <c r="AH291" s="211">
        <f t="shared" si="326"/>
        <v>0</v>
      </c>
      <c r="AI291" s="211">
        <f t="shared" si="326"/>
        <v>0</v>
      </c>
      <c r="AJ291" s="211">
        <f t="shared" si="326"/>
        <v>0</v>
      </c>
      <c r="AK291" s="211">
        <f t="shared" si="326"/>
        <v>0</v>
      </c>
      <c r="AL291" s="211">
        <f t="shared" si="326"/>
        <v>0</v>
      </c>
      <c r="AM291" s="211">
        <f t="shared" si="326"/>
        <v>0</v>
      </c>
      <c r="AN291" s="211">
        <f t="shared" si="326"/>
        <v>0</v>
      </c>
    </row>
    <row r="292" spans="2:40" s="7" customFormat="1" ht="12" hidden="1" customHeight="1" outlineLevel="2">
      <c r="B292" s="245"/>
      <c r="C292" s="250" t="s">
        <v>777</v>
      </c>
      <c r="D292" s="250"/>
      <c r="E292" s="213"/>
      <c r="F292" s="213"/>
      <c r="G292" s="213"/>
      <c r="H292" s="213"/>
      <c r="I292" s="213"/>
      <c r="J292" s="213"/>
      <c r="K292" s="213"/>
      <c r="L292" s="213"/>
      <c r="M292" s="213"/>
      <c r="N292" s="213"/>
      <c r="O292" s="213"/>
      <c r="P292" s="213"/>
      <c r="Q292" s="213"/>
      <c r="R292" s="213"/>
      <c r="S292" s="213"/>
      <c r="T292" s="213"/>
      <c r="U292" s="213"/>
      <c r="V292" s="213"/>
      <c r="W292" s="213"/>
      <c r="X292" s="213"/>
      <c r="Y292" s="213"/>
      <c r="Z292" s="213"/>
      <c r="AA292" s="213"/>
      <c r="AB292" s="211"/>
      <c r="AC292" s="211">
        <f>INDEX($C$199:$AN$221,MATCH("New Customers 1MS",$C$199:$C$221,0),MATCH($C292,$C$199:$AN$199,0))</f>
        <v>0</v>
      </c>
      <c r="AD292" s="211">
        <f t="shared" ref="AD292:AN292" si="327">$AC$292*(E266)</f>
        <v>0</v>
      </c>
      <c r="AE292" s="211">
        <f t="shared" si="327"/>
        <v>0</v>
      </c>
      <c r="AF292" s="211">
        <f t="shared" si="327"/>
        <v>0</v>
      </c>
      <c r="AG292" s="211">
        <f t="shared" si="327"/>
        <v>0</v>
      </c>
      <c r="AH292" s="211">
        <f t="shared" si="327"/>
        <v>0</v>
      </c>
      <c r="AI292" s="211">
        <f t="shared" si="327"/>
        <v>0</v>
      </c>
      <c r="AJ292" s="211">
        <f t="shared" si="327"/>
        <v>0</v>
      </c>
      <c r="AK292" s="211">
        <f t="shared" si="327"/>
        <v>0</v>
      </c>
      <c r="AL292" s="211">
        <f t="shared" si="327"/>
        <v>0</v>
      </c>
      <c r="AM292" s="211">
        <f t="shared" si="327"/>
        <v>0</v>
      </c>
      <c r="AN292" s="211">
        <f t="shared" si="327"/>
        <v>0</v>
      </c>
    </row>
    <row r="293" spans="2:40" s="7" customFormat="1" ht="12" hidden="1" customHeight="1" outlineLevel="2">
      <c r="B293" s="245"/>
      <c r="C293" s="250" t="s">
        <v>778</v>
      </c>
      <c r="D293" s="250"/>
      <c r="E293" s="213"/>
      <c r="F293" s="213"/>
      <c r="G293" s="213"/>
      <c r="H293" s="213"/>
      <c r="I293" s="213"/>
      <c r="J293" s="213"/>
      <c r="K293" s="213"/>
      <c r="L293" s="213"/>
      <c r="M293" s="213"/>
      <c r="N293" s="213"/>
      <c r="O293" s="213"/>
      <c r="P293" s="213"/>
      <c r="Q293" s="213"/>
      <c r="R293" s="213"/>
      <c r="S293" s="213"/>
      <c r="T293" s="213"/>
      <c r="U293" s="213"/>
      <c r="V293" s="213"/>
      <c r="W293" s="213"/>
      <c r="X293" s="213"/>
      <c r="Y293" s="213"/>
      <c r="Z293" s="213"/>
      <c r="AA293" s="213"/>
      <c r="AB293" s="211"/>
      <c r="AC293" s="211"/>
      <c r="AD293" s="211">
        <f>INDEX($C$199:$AN$221,MATCH("New Customers 1MS",$C$199:$C$221,0),MATCH($C293,$C$199:$AN$199,0))</f>
        <v>0</v>
      </c>
      <c r="AE293" s="211">
        <f t="shared" ref="AE293:AN293" si="328">$AD$293*(E266)</f>
        <v>0</v>
      </c>
      <c r="AF293" s="211">
        <f t="shared" si="328"/>
        <v>0</v>
      </c>
      <c r="AG293" s="211">
        <f t="shared" si="328"/>
        <v>0</v>
      </c>
      <c r="AH293" s="211">
        <f t="shared" si="328"/>
        <v>0</v>
      </c>
      <c r="AI293" s="211">
        <f t="shared" si="328"/>
        <v>0</v>
      </c>
      <c r="AJ293" s="211">
        <f t="shared" si="328"/>
        <v>0</v>
      </c>
      <c r="AK293" s="211">
        <f t="shared" si="328"/>
        <v>0</v>
      </c>
      <c r="AL293" s="211">
        <f t="shared" si="328"/>
        <v>0</v>
      </c>
      <c r="AM293" s="211">
        <f t="shared" si="328"/>
        <v>0</v>
      </c>
      <c r="AN293" s="211">
        <f t="shared" si="328"/>
        <v>0</v>
      </c>
    </row>
    <row r="294" spans="2:40" s="7" customFormat="1" ht="12" hidden="1" customHeight="1" outlineLevel="2">
      <c r="B294" s="245"/>
      <c r="C294" s="250" t="s">
        <v>779</v>
      </c>
      <c r="D294" s="250"/>
      <c r="E294" s="213"/>
      <c r="F294" s="213"/>
      <c r="G294" s="213"/>
      <c r="H294" s="213"/>
      <c r="I294" s="213"/>
      <c r="J294" s="213"/>
      <c r="K294" s="213"/>
      <c r="L294" s="213"/>
      <c r="M294" s="213"/>
      <c r="N294" s="213"/>
      <c r="O294" s="213"/>
      <c r="P294" s="213"/>
      <c r="Q294" s="213"/>
      <c r="R294" s="213"/>
      <c r="S294" s="213"/>
      <c r="T294" s="213"/>
      <c r="U294" s="213"/>
      <c r="V294" s="213"/>
      <c r="W294" s="213"/>
      <c r="X294" s="213"/>
      <c r="Y294" s="213"/>
      <c r="Z294" s="213"/>
      <c r="AA294" s="213"/>
      <c r="AB294" s="211"/>
      <c r="AC294" s="211"/>
      <c r="AD294" s="211"/>
      <c r="AE294" s="211">
        <f>INDEX($C$199:$AN$221,MATCH("New Customers 1MS",$C$199:$C$221,0),MATCH($C294,$C$199:$AN$199,0))</f>
        <v>0</v>
      </c>
      <c r="AF294" s="211">
        <f t="shared" ref="AF294:AN294" si="329">$AE$294*(E266)</f>
        <v>0</v>
      </c>
      <c r="AG294" s="211">
        <f t="shared" si="329"/>
        <v>0</v>
      </c>
      <c r="AH294" s="211">
        <f t="shared" si="329"/>
        <v>0</v>
      </c>
      <c r="AI294" s="211">
        <f t="shared" si="329"/>
        <v>0</v>
      </c>
      <c r="AJ294" s="211">
        <f t="shared" si="329"/>
        <v>0</v>
      </c>
      <c r="AK294" s="211">
        <f t="shared" si="329"/>
        <v>0</v>
      </c>
      <c r="AL294" s="211">
        <f t="shared" si="329"/>
        <v>0</v>
      </c>
      <c r="AM294" s="211">
        <f t="shared" si="329"/>
        <v>0</v>
      </c>
      <c r="AN294" s="211">
        <f t="shared" si="329"/>
        <v>0</v>
      </c>
    </row>
    <row r="295" spans="2:40" s="7" customFormat="1" ht="12" hidden="1" customHeight="1" outlineLevel="2">
      <c r="B295" s="245"/>
      <c r="C295" s="250" t="s">
        <v>780</v>
      </c>
      <c r="D295" s="250"/>
      <c r="E295" s="213"/>
      <c r="F295" s="213"/>
      <c r="G295" s="213"/>
      <c r="H295" s="213"/>
      <c r="I295" s="213"/>
      <c r="J295" s="213"/>
      <c r="K295" s="213"/>
      <c r="L295" s="213"/>
      <c r="M295" s="213"/>
      <c r="N295" s="213"/>
      <c r="O295" s="213"/>
      <c r="P295" s="213"/>
      <c r="Q295" s="213"/>
      <c r="R295" s="213"/>
      <c r="S295" s="213"/>
      <c r="T295" s="213"/>
      <c r="U295" s="213"/>
      <c r="V295" s="213"/>
      <c r="W295" s="213"/>
      <c r="X295" s="213"/>
      <c r="Y295" s="213"/>
      <c r="Z295" s="213"/>
      <c r="AA295" s="213"/>
      <c r="AB295" s="211"/>
      <c r="AC295" s="211"/>
      <c r="AD295" s="211"/>
      <c r="AE295" s="211"/>
      <c r="AF295" s="211">
        <f>INDEX($C$199:$AN$221,MATCH("New Customers 1MS",$C$199:$C$221,0),MATCH($C295,$C$199:$AN$199,0))</f>
        <v>0</v>
      </c>
      <c r="AG295" s="211">
        <f t="shared" ref="AG295:AN295" si="330">$AF$295*(E266)</f>
        <v>0</v>
      </c>
      <c r="AH295" s="211">
        <f t="shared" si="330"/>
        <v>0</v>
      </c>
      <c r="AI295" s="211">
        <f t="shared" si="330"/>
        <v>0</v>
      </c>
      <c r="AJ295" s="211">
        <f t="shared" si="330"/>
        <v>0</v>
      </c>
      <c r="AK295" s="211">
        <f t="shared" si="330"/>
        <v>0</v>
      </c>
      <c r="AL295" s="211">
        <f t="shared" si="330"/>
        <v>0</v>
      </c>
      <c r="AM295" s="211">
        <f t="shared" si="330"/>
        <v>0</v>
      </c>
      <c r="AN295" s="211">
        <f t="shared" si="330"/>
        <v>0</v>
      </c>
    </row>
    <row r="296" spans="2:40" s="7" customFormat="1" ht="12" hidden="1" customHeight="1" outlineLevel="2">
      <c r="B296" s="245"/>
      <c r="C296" s="250" t="s">
        <v>781</v>
      </c>
      <c r="D296" s="250"/>
      <c r="E296" s="213"/>
      <c r="F296" s="213"/>
      <c r="G296" s="213"/>
      <c r="H296" s="213"/>
      <c r="I296" s="213"/>
      <c r="J296" s="213"/>
      <c r="K296" s="213"/>
      <c r="L296" s="213"/>
      <c r="M296" s="213"/>
      <c r="N296" s="213"/>
      <c r="O296" s="213"/>
      <c r="P296" s="213"/>
      <c r="Q296" s="213"/>
      <c r="R296" s="213"/>
      <c r="S296" s="213"/>
      <c r="T296" s="213"/>
      <c r="U296" s="213"/>
      <c r="V296" s="213"/>
      <c r="W296" s="213"/>
      <c r="X296" s="213"/>
      <c r="Y296" s="213"/>
      <c r="Z296" s="213"/>
      <c r="AA296" s="213"/>
      <c r="AB296" s="211"/>
      <c r="AC296" s="211"/>
      <c r="AD296" s="211"/>
      <c r="AE296" s="211"/>
      <c r="AF296" s="211"/>
      <c r="AG296" s="211">
        <f>INDEX($C$199:$AN$221,MATCH("New Customers 1MS",$C$199:$C$221,0),MATCH($C296,$C$199:$AN$199,0))</f>
        <v>0</v>
      </c>
      <c r="AH296" s="211">
        <f t="shared" ref="AH296:AN296" si="331">$AG$296*(E266)</f>
        <v>0</v>
      </c>
      <c r="AI296" s="211">
        <f t="shared" si="331"/>
        <v>0</v>
      </c>
      <c r="AJ296" s="211">
        <f t="shared" si="331"/>
        <v>0</v>
      </c>
      <c r="AK296" s="211">
        <f t="shared" si="331"/>
        <v>0</v>
      </c>
      <c r="AL296" s="211">
        <f t="shared" si="331"/>
        <v>0</v>
      </c>
      <c r="AM296" s="211">
        <f t="shared" si="331"/>
        <v>0</v>
      </c>
      <c r="AN296" s="211">
        <f t="shared" si="331"/>
        <v>0</v>
      </c>
    </row>
    <row r="297" spans="2:40" s="7" customFormat="1" ht="12" hidden="1" customHeight="1" outlineLevel="2">
      <c r="B297" s="245"/>
      <c r="C297" s="250" t="s">
        <v>782</v>
      </c>
      <c r="D297" s="250"/>
      <c r="E297" s="213"/>
      <c r="F297" s="213"/>
      <c r="G297" s="213"/>
      <c r="H297" s="213"/>
      <c r="I297" s="213"/>
      <c r="J297" s="213"/>
      <c r="K297" s="213"/>
      <c r="L297" s="213"/>
      <c r="M297" s="213"/>
      <c r="N297" s="213"/>
      <c r="O297" s="213"/>
      <c r="P297" s="213"/>
      <c r="Q297" s="213"/>
      <c r="R297" s="213"/>
      <c r="S297" s="213"/>
      <c r="T297" s="213"/>
      <c r="U297" s="213"/>
      <c r="V297" s="213"/>
      <c r="W297" s="213"/>
      <c r="X297" s="213"/>
      <c r="Y297" s="213"/>
      <c r="Z297" s="213"/>
      <c r="AA297" s="213"/>
      <c r="AB297" s="211"/>
      <c r="AC297" s="211"/>
      <c r="AD297" s="211"/>
      <c r="AE297" s="211"/>
      <c r="AF297" s="211"/>
      <c r="AG297" s="211"/>
      <c r="AH297" s="211">
        <f>INDEX($C$199:$AN$221,MATCH("New Customers 1MS",$C$199:$C$221,0),MATCH($C297,$C$199:$AN$199,0))</f>
        <v>0</v>
      </c>
      <c r="AI297" s="211">
        <f t="shared" ref="AI297:AN297" si="332">$AH$297*(E266)</f>
        <v>0</v>
      </c>
      <c r="AJ297" s="211">
        <f t="shared" si="332"/>
        <v>0</v>
      </c>
      <c r="AK297" s="211">
        <f t="shared" si="332"/>
        <v>0</v>
      </c>
      <c r="AL297" s="211">
        <f t="shared" si="332"/>
        <v>0</v>
      </c>
      <c r="AM297" s="211">
        <f t="shared" si="332"/>
        <v>0</v>
      </c>
      <c r="AN297" s="211">
        <f t="shared" si="332"/>
        <v>0</v>
      </c>
    </row>
    <row r="298" spans="2:40" s="7" customFormat="1" ht="12" hidden="1" customHeight="1" outlineLevel="2">
      <c r="B298" s="245"/>
      <c r="C298" s="250" t="s">
        <v>783</v>
      </c>
      <c r="D298" s="250"/>
      <c r="E298" s="213"/>
      <c r="F298" s="213"/>
      <c r="G298" s="213"/>
      <c r="H298" s="213"/>
      <c r="I298" s="213"/>
      <c r="J298" s="213"/>
      <c r="K298" s="213"/>
      <c r="L298" s="213"/>
      <c r="M298" s="213"/>
      <c r="N298" s="213"/>
      <c r="O298" s="213"/>
      <c r="P298" s="213"/>
      <c r="Q298" s="213"/>
      <c r="R298" s="213"/>
      <c r="S298" s="213"/>
      <c r="T298" s="213"/>
      <c r="U298" s="213"/>
      <c r="V298" s="213"/>
      <c r="W298" s="213"/>
      <c r="X298" s="213"/>
      <c r="Y298" s="213"/>
      <c r="Z298" s="213"/>
      <c r="AA298" s="213"/>
      <c r="AB298" s="211"/>
      <c r="AC298" s="211"/>
      <c r="AD298" s="211"/>
      <c r="AE298" s="211"/>
      <c r="AF298" s="211"/>
      <c r="AG298" s="211"/>
      <c r="AH298" s="211"/>
      <c r="AI298" s="211">
        <f>INDEX($C$199:$AN$221,MATCH("New Customers 1MS",$C$199:$C$221,0),MATCH($C298,$C$199:$AN$199,0))</f>
        <v>0</v>
      </c>
      <c r="AJ298" s="211">
        <f>$AI$298*(E266)</f>
        <v>0</v>
      </c>
      <c r="AK298" s="211">
        <f>$AI$298*(F266)</f>
        <v>0</v>
      </c>
      <c r="AL298" s="211">
        <f>$AI$298*(G266)</f>
        <v>0</v>
      </c>
      <c r="AM298" s="211">
        <f>$AI$298*(H266)</f>
        <v>0</v>
      </c>
      <c r="AN298" s="211">
        <f>$AI$298*(I266)</f>
        <v>0</v>
      </c>
    </row>
    <row r="299" spans="2:40" s="7" customFormat="1" ht="12" hidden="1" customHeight="1" outlineLevel="2">
      <c r="B299" s="245"/>
      <c r="C299" s="250" t="s">
        <v>784</v>
      </c>
      <c r="D299" s="250"/>
      <c r="E299" s="213"/>
      <c r="F299" s="213"/>
      <c r="G299" s="213"/>
      <c r="H299" s="213"/>
      <c r="I299" s="213"/>
      <c r="J299" s="213"/>
      <c r="K299" s="213"/>
      <c r="L299" s="213"/>
      <c r="M299" s="213"/>
      <c r="N299" s="213"/>
      <c r="O299" s="213"/>
      <c r="P299" s="213"/>
      <c r="Q299" s="213"/>
      <c r="R299" s="213"/>
      <c r="S299" s="213"/>
      <c r="T299" s="213"/>
      <c r="U299" s="213"/>
      <c r="V299" s="213"/>
      <c r="W299" s="213"/>
      <c r="X299" s="213"/>
      <c r="Y299" s="213"/>
      <c r="Z299" s="213"/>
      <c r="AA299" s="213"/>
      <c r="AB299" s="211"/>
      <c r="AC299" s="211"/>
      <c r="AD299" s="211"/>
      <c r="AE299" s="211"/>
      <c r="AF299" s="211"/>
      <c r="AG299" s="211"/>
      <c r="AH299" s="211"/>
      <c r="AI299" s="211"/>
      <c r="AJ299" s="211">
        <f>INDEX($C$199:$AN$221,MATCH("New Customers 1MS",$C$199:$C$221,0),MATCH($C299,$C$199:$AN$199,0))</f>
        <v>0</v>
      </c>
      <c r="AK299" s="211">
        <f>$AJ$299*(E266)</f>
        <v>0</v>
      </c>
      <c r="AL299" s="211">
        <f>$AJ$299*(F266)</f>
        <v>0</v>
      </c>
      <c r="AM299" s="211">
        <f>$AJ$299*(G266)</f>
        <v>0</v>
      </c>
      <c r="AN299" s="211">
        <f>$AJ$299*(H266)</f>
        <v>0</v>
      </c>
    </row>
    <row r="300" spans="2:40" s="7" customFormat="1" ht="12" hidden="1" customHeight="1" outlineLevel="2">
      <c r="B300" s="245"/>
      <c r="C300" s="250" t="s">
        <v>785</v>
      </c>
      <c r="D300" s="250"/>
      <c r="E300" s="213"/>
      <c r="F300" s="213"/>
      <c r="G300" s="213"/>
      <c r="H300" s="213"/>
      <c r="I300" s="213"/>
      <c r="J300" s="213"/>
      <c r="K300" s="213"/>
      <c r="L300" s="213"/>
      <c r="M300" s="213"/>
      <c r="N300" s="213"/>
      <c r="O300" s="213"/>
      <c r="P300" s="213"/>
      <c r="Q300" s="213"/>
      <c r="R300" s="213"/>
      <c r="S300" s="213"/>
      <c r="T300" s="213"/>
      <c r="U300" s="213"/>
      <c r="V300" s="213"/>
      <c r="W300" s="213"/>
      <c r="X300" s="213"/>
      <c r="Y300" s="213"/>
      <c r="Z300" s="213"/>
      <c r="AA300" s="213"/>
      <c r="AB300" s="211"/>
      <c r="AC300" s="211"/>
      <c r="AD300" s="211"/>
      <c r="AE300" s="211"/>
      <c r="AF300" s="211"/>
      <c r="AG300" s="211"/>
      <c r="AH300" s="211"/>
      <c r="AI300" s="211"/>
      <c r="AJ300" s="211"/>
      <c r="AK300" s="211">
        <f>INDEX($C$199:$AN$221,MATCH("New Customers 1MS",$C$199:$C$221,0),MATCH($C300,$C$199:$AN$199,0))</f>
        <v>0</v>
      </c>
      <c r="AL300" s="211">
        <f>$AK$300*(E266)</f>
        <v>0</v>
      </c>
      <c r="AM300" s="211">
        <f>$AK$300*(F266)</f>
        <v>0</v>
      </c>
      <c r="AN300" s="211">
        <f>$AK$300*(G266)</f>
        <v>0</v>
      </c>
    </row>
    <row r="301" spans="2:40" s="7" customFormat="1" ht="12" hidden="1" customHeight="1" outlineLevel="2">
      <c r="B301" s="245"/>
      <c r="C301" s="250" t="s">
        <v>786</v>
      </c>
      <c r="D301" s="250"/>
      <c r="E301" s="213"/>
      <c r="F301" s="213"/>
      <c r="G301" s="213"/>
      <c r="H301" s="213"/>
      <c r="I301" s="213"/>
      <c r="J301" s="213"/>
      <c r="K301" s="213"/>
      <c r="L301" s="213"/>
      <c r="M301" s="213"/>
      <c r="N301" s="213"/>
      <c r="O301" s="213"/>
      <c r="P301" s="213"/>
      <c r="Q301" s="213"/>
      <c r="R301" s="213"/>
      <c r="S301" s="213"/>
      <c r="T301" s="213"/>
      <c r="U301" s="213"/>
      <c r="V301" s="213"/>
      <c r="W301" s="213"/>
      <c r="X301" s="213"/>
      <c r="Y301" s="213"/>
      <c r="Z301" s="213"/>
      <c r="AA301" s="213"/>
      <c r="AB301" s="211"/>
      <c r="AC301" s="211"/>
      <c r="AD301" s="211"/>
      <c r="AE301" s="211"/>
      <c r="AF301" s="211"/>
      <c r="AG301" s="211"/>
      <c r="AH301" s="211"/>
      <c r="AI301" s="211"/>
      <c r="AJ301" s="211"/>
      <c r="AK301" s="211"/>
      <c r="AL301" s="211">
        <f>INDEX($C$199:$AN$221,MATCH("New Customers 1MS",$C$199:$C$221,0),MATCH($C301,$C$199:$AN$199,0))</f>
        <v>0</v>
      </c>
      <c r="AM301" s="211">
        <f>$AL$301*(E266)</f>
        <v>0</v>
      </c>
      <c r="AN301" s="211">
        <f>$AL$301*(F266)</f>
        <v>0</v>
      </c>
    </row>
    <row r="302" spans="2:40" s="7" customFormat="1" ht="12" hidden="1" customHeight="1" outlineLevel="2">
      <c r="B302" s="245"/>
      <c r="C302" s="250" t="s">
        <v>787</v>
      </c>
      <c r="D302" s="250"/>
      <c r="E302" s="213"/>
      <c r="F302" s="213"/>
      <c r="G302" s="213"/>
      <c r="H302" s="213"/>
      <c r="I302" s="213"/>
      <c r="J302" s="213"/>
      <c r="K302" s="213"/>
      <c r="L302" s="213"/>
      <c r="M302" s="213"/>
      <c r="N302" s="213"/>
      <c r="O302" s="213"/>
      <c r="P302" s="213"/>
      <c r="Q302" s="213"/>
      <c r="R302" s="213"/>
      <c r="S302" s="213"/>
      <c r="T302" s="213"/>
      <c r="U302" s="213"/>
      <c r="V302" s="213"/>
      <c r="W302" s="213"/>
      <c r="X302" s="213"/>
      <c r="Y302" s="213"/>
      <c r="Z302" s="213"/>
      <c r="AA302" s="213"/>
      <c r="AB302" s="211"/>
      <c r="AC302" s="211"/>
      <c r="AD302" s="211"/>
      <c r="AE302" s="211"/>
      <c r="AF302" s="211"/>
      <c r="AG302" s="211"/>
      <c r="AH302" s="211"/>
      <c r="AI302" s="211"/>
      <c r="AJ302" s="211"/>
      <c r="AK302" s="211"/>
      <c r="AL302" s="211"/>
      <c r="AM302" s="211">
        <f>INDEX($C$199:$AN$221,MATCH("New Customers 1MS",$C$199:$C$221,0),MATCH($C302,$C$199:$AN$199,0))</f>
        <v>0</v>
      </c>
      <c r="AN302" s="211">
        <f>$AM$302*(E266)</f>
        <v>0</v>
      </c>
    </row>
    <row r="303" spans="2:40" s="7" customFormat="1" ht="12" hidden="1" customHeight="1" outlineLevel="2">
      <c r="B303" s="245"/>
      <c r="C303" s="250" t="s">
        <v>788</v>
      </c>
      <c r="D303" s="250"/>
      <c r="E303" s="213"/>
      <c r="F303" s="213"/>
      <c r="G303" s="213"/>
      <c r="H303" s="213"/>
      <c r="I303" s="213"/>
      <c r="J303" s="213"/>
      <c r="K303" s="213"/>
      <c r="L303" s="213"/>
      <c r="M303" s="213"/>
      <c r="N303" s="213"/>
      <c r="O303" s="213"/>
      <c r="P303" s="213"/>
      <c r="Q303" s="213"/>
      <c r="R303" s="213"/>
      <c r="S303" s="213"/>
      <c r="T303" s="213"/>
      <c r="U303" s="213"/>
      <c r="V303" s="213"/>
      <c r="W303" s="213"/>
      <c r="X303" s="213"/>
      <c r="Y303" s="213"/>
      <c r="Z303" s="213"/>
      <c r="AA303" s="213"/>
      <c r="AB303" s="211"/>
      <c r="AC303" s="211"/>
      <c r="AD303" s="211"/>
      <c r="AE303" s="211"/>
      <c r="AF303" s="211"/>
      <c r="AG303" s="211"/>
      <c r="AH303" s="211"/>
      <c r="AI303" s="211"/>
      <c r="AJ303" s="211"/>
      <c r="AK303" s="211"/>
      <c r="AL303" s="211"/>
      <c r="AM303" s="211"/>
      <c r="AN303" s="211">
        <f>INDEX($C$199:$AN$221,MATCH("New Customers 1MS",$C$199:$C$221,0),MATCH($C303,$C$199:$AN$199,0))</f>
        <v>0</v>
      </c>
    </row>
    <row r="304" spans="2:40" s="7" customFormat="1" ht="12" hidden="1" customHeight="1" outlineLevel="2">
      <c r="B304" s="245"/>
      <c r="C304" s="250"/>
      <c r="D304" s="250"/>
      <c r="E304" s="213"/>
      <c r="F304" s="213"/>
      <c r="G304" s="213"/>
      <c r="H304" s="213"/>
      <c r="I304" s="213"/>
      <c r="J304" s="213"/>
      <c r="K304" s="213"/>
      <c r="L304" s="213"/>
      <c r="M304" s="213"/>
      <c r="N304" s="213"/>
      <c r="O304" s="213"/>
      <c r="P304" s="213"/>
      <c r="Q304" s="213"/>
      <c r="R304" s="213"/>
      <c r="S304" s="213"/>
      <c r="T304" s="213"/>
      <c r="U304" s="213"/>
      <c r="V304" s="213"/>
      <c r="W304" s="213"/>
      <c r="X304" s="213"/>
      <c r="Y304" s="213"/>
      <c r="Z304" s="213"/>
      <c r="AA304" s="213"/>
      <c r="AB304" s="211"/>
      <c r="AC304" s="211"/>
      <c r="AD304" s="211"/>
      <c r="AE304" s="211"/>
      <c r="AF304" s="211"/>
      <c r="AG304" s="211"/>
      <c r="AH304" s="211"/>
      <c r="AI304" s="211"/>
      <c r="AJ304" s="211"/>
      <c r="AK304" s="211"/>
      <c r="AL304" s="211"/>
      <c r="AM304" s="211"/>
      <c r="AN304" s="211"/>
    </row>
    <row r="305" spans="2:40 16380:16380" s="7" customFormat="1" ht="12" hidden="1" customHeight="1" outlineLevel="2">
      <c r="B305" s="245"/>
      <c r="C305" s="249" t="s">
        <v>854</v>
      </c>
      <c r="D305" s="250"/>
      <c r="E305" s="213"/>
      <c r="F305" s="213"/>
      <c r="G305" s="213"/>
      <c r="H305" s="213"/>
      <c r="I305" s="213"/>
      <c r="J305" s="213"/>
      <c r="K305" s="213"/>
      <c r="L305" s="213"/>
      <c r="M305" s="213"/>
      <c r="N305" s="213"/>
      <c r="O305" s="213"/>
      <c r="P305" s="213"/>
      <c r="Q305" s="213"/>
      <c r="R305" s="213"/>
      <c r="S305" s="213"/>
      <c r="T305" s="213"/>
      <c r="U305" s="213"/>
      <c r="V305" s="213"/>
      <c r="W305" s="213"/>
      <c r="X305" s="213"/>
      <c r="Y305" s="213"/>
      <c r="Z305" s="213"/>
      <c r="AA305" s="213"/>
      <c r="AB305" s="213"/>
      <c r="AC305" s="211"/>
    </row>
    <row r="306" spans="2:40 16380:16380" s="7" customFormat="1" ht="12" hidden="1" customHeight="1" outlineLevel="3">
      <c r="B306" s="239"/>
      <c r="C306" s="212" t="s">
        <v>850</v>
      </c>
      <c r="D306" s="212"/>
      <c r="E306" s="196" t="s">
        <v>753</v>
      </c>
      <c r="F306" s="196" t="s">
        <v>754</v>
      </c>
      <c r="G306" s="196" t="s">
        <v>755</v>
      </c>
      <c r="H306" s="196" t="s">
        <v>756</v>
      </c>
      <c r="I306" s="196" t="s">
        <v>757</v>
      </c>
      <c r="J306" s="196" t="s">
        <v>758</v>
      </c>
      <c r="K306" s="196" t="s">
        <v>759</v>
      </c>
      <c r="L306" s="196" t="s">
        <v>760</v>
      </c>
      <c r="M306" s="196" t="s">
        <v>761</v>
      </c>
      <c r="N306" s="196" t="s">
        <v>762</v>
      </c>
      <c r="O306" s="196" t="s">
        <v>763</v>
      </c>
      <c r="P306" s="196" t="s">
        <v>764</v>
      </c>
      <c r="Q306" s="196" t="s">
        <v>765</v>
      </c>
      <c r="R306" s="196" t="s">
        <v>766</v>
      </c>
      <c r="S306" s="196" t="s">
        <v>767</v>
      </c>
      <c r="T306" s="196" t="s">
        <v>768</v>
      </c>
      <c r="U306" s="196" t="s">
        <v>769</v>
      </c>
      <c r="V306" s="196" t="s">
        <v>770</v>
      </c>
      <c r="W306" s="196" t="s">
        <v>771</v>
      </c>
      <c r="X306" s="196" t="s">
        <v>772</v>
      </c>
      <c r="Y306" s="196" t="s">
        <v>773</v>
      </c>
      <c r="Z306" s="196" t="s">
        <v>774</v>
      </c>
      <c r="AA306" s="196" t="s">
        <v>775</v>
      </c>
      <c r="AB306" s="196" t="s">
        <v>776</v>
      </c>
      <c r="AC306" s="196" t="s">
        <v>777</v>
      </c>
      <c r="AD306" s="196" t="s">
        <v>778</v>
      </c>
      <c r="AE306" s="196" t="s">
        <v>779</v>
      </c>
      <c r="AF306" s="196" t="s">
        <v>780</v>
      </c>
      <c r="AG306" s="196" t="s">
        <v>781</v>
      </c>
      <c r="AH306" s="196" t="s">
        <v>782</v>
      </c>
      <c r="AI306" s="196" t="s">
        <v>783</v>
      </c>
      <c r="AJ306" s="196" t="s">
        <v>784</v>
      </c>
      <c r="AK306" s="196" t="s">
        <v>785</v>
      </c>
      <c r="AL306" s="196" t="s">
        <v>786</v>
      </c>
      <c r="AM306" s="196" t="s">
        <v>787</v>
      </c>
      <c r="AN306" s="196" t="s">
        <v>788</v>
      </c>
    </row>
    <row r="307" spans="2:40 16380:16380" s="7" customFormat="1" ht="12" hidden="1" customHeight="1" outlineLevel="3">
      <c r="B307" s="239"/>
      <c r="C307" s="247" t="s">
        <v>851</v>
      </c>
      <c r="D307" s="212"/>
      <c r="E307" s="345">
        <v>0.86</v>
      </c>
      <c r="F307" s="342"/>
      <c r="G307" s="342"/>
      <c r="H307" s="345">
        <v>0.42</v>
      </c>
      <c r="I307" s="342"/>
      <c r="J307" s="342"/>
      <c r="K307" s="345">
        <v>0.26</v>
      </c>
      <c r="L307" s="342"/>
      <c r="M307" s="342"/>
      <c r="N307" s="345">
        <v>0.16</v>
      </c>
      <c r="O307" s="342"/>
      <c r="P307" s="342"/>
      <c r="Q307" s="345">
        <v>0.1</v>
      </c>
      <c r="R307" s="342"/>
      <c r="S307" s="342"/>
      <c r="T307" s="345">
        <v>0.06</v>
      </c>
      <c r="U307" s="342"/>
      <c r="V307" s="342"/>
      <c r="W307" s="345">
        <v>0.03</v>
      </c>
      <c r="X307" s="342"/>
      <c r="Y307" s="342"/>
      <c r="Z307" s="345">
        <v>0.01</v>
      </c>
      <c r="AA307" s="342"/>
      <c r="AB307" s="342"/>
      <c r="AC307" s="345">
        <v>0.01</v>
      </c>
      <c r="AD307" s="342"/>
      <c r="AE307" s="342"/>
      <c r="AF307" s="345">
        <v>0.01</v>
      </c>
      <c r="AG307" s="342"/>
      <c r="AH307" s="342"/>
      <c r="AI307" s="345">
        <v>0.01</v>
      </c>
      <c r="AJ307" s="342"/>
      <c r="AK307" s="342"/>
      <c r="AL307" s="345">
        <v>0.01</v>
      </c>
      <c r="AM307" s="342"/>
      <c r="AN307" s="342"/>
    </row>
    <row r="308" spans="2:40 16380:16380" s="7" customFormat="1" ht="12" hidden="1" customHeight="1" outlineLevel="3">
      <c r="B308" s="245"/>
      <c r="C308" s="250" t="s">
        <v>753</v>
      </c>
      <c r="D308" s="250"/>
      <c r="E308" s="211">
        <f>INDEX($C$199:$AN$221, MATCH("New Customers 3MS", $C$199:$C$221, 0), MATCH($C308, $C$199:$AN$199, 0))</f>
        <v>0</v>
      </c>
      <c r="F308" s="211"/>
      <c r="G308" s="211"/>
      <c r="H308" s="211">
        <f>E308*(E307)</f>
        <v>0</v>
      </c>
      <c r="I308" s="211"/>
      <c r="J308" s="211"/>
      <c r="K308" s="211">
        <f>E308*(H307)</f>
        <v>0</v>
      </c>
      <c r="L308" s="211"/>
      <c r="M308" s="211"/>
      <c r="N308" s="211">
        <f>E308*(K307)</f>
        <v>0</v>
      </c>
      <c r="O308" s="211"/>
      <c r="P308" s="211"/>
      <c r="Q308" s="211">
        <f>E308*(N307)</f>
        <v>0</v>
      </c>
      <c r="R308" s="211"/>
      <c r="S308" s="211"/>
      <c r="T308" s="211">
        <f>E308*(Q307)</f>
        <v>0</v>
      </c>
      <c r="U308" s="211"/>
      <c r="V308" s="211"/>
      <c r="W308" s="211">
        <f>E308*(T307)</f>
        <v>0</v>
      </c>
      <c r="X308" s="211"/>
      <c r="Y308" s="211"/>
      <c r="Z308" s="211">
        <f>E308*(W307)</f>
        <v>0</v>
      </c>
      <c r="AA308" s="211"/>
      <c r="AB308" s="211"/>
      <c r="AC308" s="211">
        <f>E308*(Z307)</f>
        <v>0</v>
      </c>
      <c r="AD308" s="211"/>
      <c r="AE308" s="211"/>
      <c r="AF308" s="211">
        <f>E308*(AC307)</f>
        <v>0</v>
      </c>
      <c r="AG308" s="211"/>
      <c r="AH308" s="211"/>
      <c r="AI308" s="211">
        <f>E308*(AF307)</f>
        <v>0</v>
      </c>
      <c r="AJ308" s="211"/>
      <c r="AK308" s="211"/>
      <c r="AL308" s="211">
        <f>E308*(AI307)</f>
        <v>0</v>
      </c>
      <c r="AM308" s="211"/>
      <c r="AN308" s="211"/>
    </row>
    <row r="309" spans="2:40 16380:16380" s="7" customFormat="1" ht="12" hidden="1" customHeight="1" outlineLevel="3">
      <c r="B309" s="245"/>
      <c r="C309" s="250" t="s">
        <v>754</v>
      </c>
      <c r="D309" s="250"/>
      <c r="E309" s="213"/>
      <c r="F309" s="211">
        <f>INDEX($C$199:$AN$221, MATCH("New Customers 3MS", $C$199:$C$221, 0), MATCH($C309, $C$199:$AN$199, 0))</f>
        <v>0</v>
      </c>
      <c r="G309" s="211"/>
      <c r="H309" s="211"/>
      <c r="I309" s="211">
        <f>F309*(E307)</f>
        <v>0</v>
      </c>
      <c r="J309" s="211"/>
      <c r="K309" s="211"/>
      <c r="L309" s="211">
        <f>F309*(H307)</f>
        <v>0</v>
      </c>
      <c r="M309" s="211"/>
      <c r="N309" s="211"/>
      <c r="O309" s="211">
        <f>F309*(K307)</f>
        <v>0</v>
      </c>
      <c r="P309" s="211"/>
      <c r="Q309" s="211"/>
      <c r="R309" s="211">
        <f>F309*(N307)</f>
        <v>0</v>
      </c>
      <c r="S309" s="211"/>
      <c r="T309" s="211"/>
      <c r="U309" s="211">
        <f>F309*(Q307)</f>
        <v>0</v>
      </c>
      <c r="V309" s="211"/>
      <c r="W309" s="211"/>
      <c r="X309" s="211">
        <f>F309*(T307)</f>
        <v>0</v>
      </c>
      <c r="Y309" s="211"/>
      <c r="Z309" s="211"/>
      <c r="AA309" s="211">
        <f>F309*(W307)</f>
        <v>0</v>
      </c>
      <c r="AB309" s="211"/>
      <c r="AC309" s="211"/>
      <c r="AD309" s="211">
        <f>F309*(Z307)</f>
        <v>0</v>
      </c>
      <c r="AE309" s="211"/>
      <c r="AF309" s="211"/>
      <c r="AG309" s="211">
        <f>F309*(AC307)</f>
        <v>0</v>
      </c>
      <c r="AH309" s="211"/>
      <c r="AI309" s="211"/>
      <c r="AJ309" s="211">
        <f>F309*(AF307)</f>
        <v>0</v>
      </c>
      <c r="AK309" s="211"/>
      <c r="AL309" s="211"/>
      <c r="AM309" s="211">
        <f>F309*(AI307)</f>
        <v>0</v>
      </c>
      <c r="AN309" s="211"/>
      <c r="XEZ309" s="211"/>
    </row>
    <row r="310" spans="2:40 16380:16380" s="7" customFormat="1" ht="12" hidden="1" customHeight="1" outlineLevel="3">
      <c r="B310" s="245"/>
      <c r="C310" s="250" t="s">
        <v>755</v>
      </c>
      <c r="D310" s="250"/>
      <c r="E310" s="213"/>
      <c r="F310" s="213"/>
      <c r="G310" s="211">
        <f>INDEX($C$199:$AN$221, MATCH("New Customers 3MS", $C$199:$C$221, 0), MATCH($C310, $C$199:$AN$199, 0))</f>
        <v>0</v>
      </c>
      <c r="H310" s="211"/>
      <c r="I310" s="211"/>
      <c r="J310" s="211">
        <f>G310*(E307)</f>
        <v>0</v>
      </c>
      <c r="K310" s="211"/>
      <c r="L310" s="211"/>
      <c r="M310" s="211">
        <f>G310*(H307)</f>
        <v>0</v>
      </c>
      <c r="N310" s="211"/>
      <c r="O310" s="211"/>
      <c r="P310" s="211">
        <f>G310*(K307)</f>
        <v>0</v>
      </c>
      <c r="Q310" s="211"/>
      <c r="R310" s="211"/>
      <c r="S310" s="211">
        <f>G310*(N307)</f>
        <v>0</v>
      </c>
      <c r="T310" s="211"/>
      <c r="U310" s="211"/>
      <c r="V310" s="211">
        <f>G310*(Q307)</f>
        <v>0</v>
      </c>
      <c r="W310" s="211"/>
      <c r="X310" s="211"/>
      <c r="Y310" s="211">
        <f>G310*(T307)</f>
        <v>0</v>
      </c>
      <c r="Z310" s="211"/>
      <c r="AA310" s="211"/>
      <c r="AB310" s="211">
        <f>G310*(W307)</f>
        <v>0</v>
      </c>
      <c r="AC310" s="211"/>
      <c r="AD310" s="211"/>
      <c r="AE310" s="211">
        <f>G310*(Z307)</f>
        <v>0</v>
      </c>
      <c r="AF310" s="211"/>
      <c r="AG310" s="211"/>
      <c r="AH310" s="211">
        <f>G310*(AC307)</f>
        <v>0</v>
      </c>
      <c r="AI310" s="211"/>
      <c r="AJ310" s="211"/>
      <c r="AK310" s="211">
        <f>G310*(AF307)</f>
        <v>0</v>
      </c>
      <c r="AL310" s="211"/>
      <c r="AM310" s="211"/>
      <c r="AN310" s="211">
        <f>G310*(AI307)</f>
        <v>0</v>
      </c>
    </row>
    <row r="311" spans="2:40 16380:16380" s="7" customFormat="1" ht="12" hidden="1" customHeight="1" outlineLevel="3">
      <c r="B311" s="245"/>
      <c r="C311" s="250" t="s">
        <v>756</v>
      </c>
      <c r="D311" s="250"/>
      <c r="E311" s="213"/>
      <c r="F311" s="213"/>
      <c r="G311" s="213"/>
      <c r="H311" s="211">
        <f>INDEX($C$199:$AN$221, MATCH("New Customers 3MS", $C$199:$C$221, 0), MATCH($C311, $C$199:$AN$199, 0))</f>
        <v>0</v>
      </c>
      <c r="I311" s="211"/>
      <c r="J311" s="211"/>
      <c r="K311" s="211">
        <f>H311*(E307)</f>
        <v>0</v>
      </c>
      <c r="L311" s="211"/>
      <c r="M311" s="211"/>
      <c r="N311" s="211">
        <f>H311*(H307)</f>
        <v>0</v>
      </c>
      <c r="O311" s="211"/>
      <c r="P311" s="211"/>
      <c r="Q311" s="211">
        <f>H311*(K307)</f>
        <v>0</v>
      </c>
      <c r="R311" s="211"/>
      <c r="S311" s="211"/>
      <c r="T311" s="211">
        <f>H311*(N307)</f>
        <v>0</v>
      </c>
      <c r="U311" s="211"/>
      <c r="V311" s="211"/>
      <c r="W311" s="211">
        <f>H311*(Q307)</f>
        <v>0</v>
      </c>
      <c r="X311" s="211"/>
      <c r="Y311" s="211"/>
      <c r="Z311" s="211">
        <f>H311*(T307)</f>
        <v>0</v>
      </c>
      <c r="AA311" s="211"/>
      <c r="AB311" s="211"/>
      <c r="AC311" s="211">
        <f>H311*(W307)</f>
        <v>0</v>
      </c>
      <c r="AD311" s="211"/>
      <c r="AE311" s="211"/>
      <c r="AF311" s="211">
        <f>H311*(Z307)</f>
        <v>0</v>
      </c>
      <c r="AG311" s="211"/>
      <c r="AH311" s="211"/>
      <c r="AI311" s="211">
        <f>H311*(AC307)</f>
        <v>0</v>
      </c>
      <c r="AJ311" s="211"/>
      <c r="AK311" s="211"/>
      <c r="AL311" s="211">
        <f>H311*(AF307)</f>
        <v>0</v>
      </c>
      <c r="AM311" s="211"/>
      <c r="AN311" s="211"/>
    </row>
    <row r="312" spans="2:40 16380:16380" s="7" customFormat="1" ht="12" hidden="1" customHeight="1" outlineLevel="3">
      <c r="B312" s="245"/>
      <c r="C312" s="250" t="s">
        <v>757</v>
      </c>
      <c r="D312" s="250"/>
      <c r="E312" s="213"/>
      <c r="F312" s="213"/>
      <c r="G312" s="213"/>
      <c r="H312" s="213"/>
      <c r="I312" s="211">
        <f>INDEX($C$199:$AN$221, MATCH("New Customers 3MS", $C$199:$C$221, 0), MATCH($C312, $C$199:$AN$199, 0))</f>
        <v>0</v>
      </c>
      <c r="J312" s="211"/>
      <c r="K312" s="211"/>
      <c r="L312" s="211">
        <f>I312*(E307)</f>
        <v>0</v>
      </c>
      <c r="M312" s="211"/>
      <c r="N312" s="211"/>
      <c r="O312" s="211">
        <f>I312*(H307)</f>
        <v>0</v>
      </c>
      <c r="P312" s="211"/>
      <c r="Q312" s="211"/>
      <c r="R312" s="211">
        <f>I312*(K307)</f>
        <v>0</v>
      </c>
      <c r="S312" s="211"/>
      <c r="T312" s="211"/>
      <c r="U312" s="211">
        <f>I312*(N307)</f>
        <v>0</v>
      </c>
      <c r="V312" s="211"/>
      <c r="W312" s="211"/>
      <c r="X312" s="211">
        <f>I312*(Q307)</f>
        <v>0</v>
      </c>
      <c r="Y312" s="211"/>
      <c r="Z312" s="211"/>
      <c r="AA312" s="211">
        <f>I312*(T307)</f>
        <v>0</v>
      </c>
      <c r="AB312" s="211"/>
      <c r="AC312" s="211"/>
      <c r="AD312" s="211">
        <f>I312*(W307)</f>
        <v>0</v>
      </c>
      <c r="AE312" s="211"/>
      <c r="AF312" s="211"/>
      <c r="AG312" s="211">
        <f>I312*(Z307)</f>
        <v>0</v>
      </c>
      <c r="AH312" s="211"/>
      <c r="AI312" s="211"/>
      <c r="AJ312" s="211">
        <f>I312*(AC307)</f>
        <v>0</v>
      </c>
      <c r="AK312" s="211"/>
      <c r="AL312" s="211"/>
      <c r="AM312" s="211">
        <f>I312*(AF307)</f>
        <v>0</v>
      </c>
      <c r="AN312" s="211"/>
    </row>
    <row r="313" spans="2:40 16380:16380" s="7" customFormat="1" ht="12" hidden="1" customHeight="1" outlineLevel="3">
      <c r="B313" s="245"/>
      <c r="C313" s="250" t="s">
        <v>758</v>
      </c>
      <c r="D313" s="250"/>
      <c r="E313" s="213"/>
      <c r="F313" s="213"/>
      <c r="G313" s="213"/>
      <c r="H313" s="213"/>
      <c r="I313" s="213"/>
      <c r="J313" s="211">
        <f>INDEX($C$199:$AN$221, MATCH("New Customers 3MS", $C$199:$C$221, 0), MATCH($C313, $C$199:$AN$199, 0))</f>
        <v>0</v>
      </c>
      <c r="K313" s="211"/>
      <c r="L313" s="211"/>
      <c r="M313" s="211">
        <f>J313*(E307)</f>
        <v>0</v>
      </c>
      <c r="N313" s="211"/>
      <c r="O313" s="211"/>
      <c r="P313" s="211">
        <f>J313*(H307)</f>
        <v>0</v>
      </c>
      <c r="Q313" s="211"/>
      <c r="R313" s="211"/>
      <c r="S313" s="211">
        <f>J313*(K307)</f>
        <v>0</v>
      </c>
      <c r="T313" s="211"/>
      <c r="U313" s="211"/>
      <c r="V313" s="211">
        <f>J313*(N307)</f>
        <v>0</v>
      </c>
      <c r="W313" s="211"/>
      <c r="X313" s="211"/>
      <c r="Y313" s="211">
        <f>J313*(Q307)</f>
        <v>0</v>
      </c>
      <c r="Z313" s="211"/>
      <c r="AA313" s="211"/>
      <c r="AB313" s="211">
        <f>J313*(T307)</f>
        <v>0</v>
      </c>
      <c r="AC313" s="211"/>
      <c r="AD313" s="211"/>
      <c r="AE313" s="211">
        <f>J313*(W307)</f>
        <v>0</v>
      </c>
      <c r="AF313" s="211"/>
      <c r="AG313" s="211"/>
      <c r="AH313" s="211">
        <f>J313*(Z307)</f>
        <v>0</v>
      </c>
      <c r="AI313" s="211"/>
      <c r="AJ313" s="211"/>
      <c r="AK313" s="211">
        <f>J313*(AC307)</f>
        <v>0</v>
      </c>
      <c r="AL313" s="211"/>
      <c r="AM313" s="211"/>
      <c r="AN313" s="211">
        <f>J313*(AF307)</f>
        <v>0</v>
      </c>
    </row>
    <row r="314" spans="2:40 16380:16380" s="7" customFormat="1" ht="12" hidden="1" customHeight="1" outlineLevel="3">
      <c r="B314" s="245"/>
      <c r="C314" s="250" t="s">
        <v>759</v>
      </c>
      <c r="D314" s="250"/>
      <c r="E314" s="213"/>
      <c r="F314" s="213"/>
      <c r="G314" s="213"/>
      <c r="H314" s="213"/>
      <c r="I314" s="213"/>
      <c r="J314" s="213"/>
      <c r="K314" s="211">
        <f>INDEX($C$199:$AN$221, MATCH("New Customers 3MS", $C$199:$C$221, 0), MATCH($C314, $C$199:$AN$199, 0))</f>
        <v>0</v>
      </c>
      <c r="L314" s="211"/>
      <c r="M314" s="211"/>
      <c r="N314" s="211">
        <f>K314*(E307)</f>
        <v>0</v>
      </c>
      <c r="O314" s="211"/>
      <c r="P314" s="211"/>
      <c r="Q314" s="211">
        <f>K314*(H307)</f>
        <v>0</v>
      </c>
      <c r="R314" s="211"/>
      <c r="S314" s="211"/>
      <c r="T314" s="211">
        <f>K314*(K307)</f>
        <v>0</v>
      </c>
      <c r="U314" s="211"/>
      <c r="V314" s="211"/>
      <c r="W314" s="211">
        <f>K314*(N307)</f>
        <v>0</v>
      </c>
      <c r="X314" s="211"/>
      <c r="Y314" s="211"/>
      <c r="Z314" s="211">
        <f>K314*(Q307)</f>
        <v>0</v>
      </c>
      <c r="AA314" s="211"/>
      <c r="AB314" s="211"/>
      <c r="AC314" s="211">
        <f>K314*(T307)</f>
        <v>0</v>
      </c>
      <c r="AD314" s="211"/>
      <c r="AE314" s="211"/>
      <c r="AF314" s="211">
        <f>K314*(W307)</f>
        <v>0</v>
      </c>
      <c r="AG314" s="211"/>
      <c r="AH314" s="211"/>
      <c r="AI314" s="211">
        <f>K314*(Z307)</f>
        <v>0</v>
      </c>
      <c r="AJ314" s="211"/>
      <c r="AK314" s="211"/>
      <c r="AL314" s="211">
        <f>K314*(AC307)</f>
        <v>0</v>
      </c>
      <c r="AM314" s="211"/>
      <c r="AN314" s="211"/>
      <c r="XEZ314" s="211"/>
    </row>
    <row r="315" spans="2:40 16380:16380" s="7" customFormat="1" ht="12" hidden="1" customHeight="1" outlineLevel="3">
      <c r="B315" s="245"/>
      <c r="C315" s="250" t="s">
        <v>760</v>
      </c>
      <c r="D315" s="250"/>
      <c r="E315" s="213"/>
      <c r="F315" s="213"/>
      <c r="G315" s="213"/>
      <c r="H315" s="213"/>
      <c r="I315" s="213"/>
      <c r="J315" s="213"/>
      <c r="K315" s="213"/>
      <c r="L315" s="211">
        <f>INDEX($C$199:$AN$221, MATCH("New Customers 3MS", $C$199:$C$221, 0), MATCH($C315, $C$199:$AN$199, 0))</f>
        <v>0</v>
      </c>
      <c r="M315" s="211"/>
      <c r="N315" s="211"/>
      <c r="O315" s="211">
        <f>L315*(E307)</f>
        <v>0</v>
      </c>
      <c r="P315" s="211"/>
      <c r="Q315" s="211"/>
      <c r="R315" s="211">
        <f>L315*(H307)</f>
        <v>0</v>
      </c>
      <c r="S315" s="211"/>
      <c r="T315" s="211"/>
      <c r="U315" s="211">
        <f>L315*(K307)</f>
        <v>0</v>
      </c>
      <c r="V315" s="211"/>
      <c r="W315" s="211"/>
      <c r="X315" s="211">
        <f>L315*(N307)</f>
        <v>0</v>
      </c>
      <c r="Y315" s="211"/>
      <c r="Z315" s="211"/>
      <c r="AA315" s="211">
        <f>L315*(Q307)</f>
        <v>0</v>
      </c>
      <c r="AB315" s="211"/>
      <c r="AC315" s="211"/>
      <c r="AD315" s="211">
        <f>L315*(T307)</f>
        <v>0</v>
      </c>
      <c r="AE315" s="211"/>
      <c r="AF315" s="211"/>
      <c r="AG315" s="211">
        <f>L315*(W307)</f>
        <v>0</v>
      </c>
      <c r="AH315" s="211"/>
      <c r="AI315" s="211"/>
      <c r="AJ315" s="211">
        <f>L315*(Z307)</f>
        <v>0</v>
      </c>
      <c r="AK315" s="211"/>
      <c r="AL315" s="211"/>
      <c r="AM315" s="211">
        <f>L315*(AC307)</f>
        <v>0</v>
      </c>
      <c r="AN315" s="211"/>
      <c r="XEZ315" s="211"/>
    </row>
    <row r="316" spans="2:40 16380:16380" s="7" customFormat="1" ht="12" hidden="1" customHeight="1" outlineLevel="3">
      <c r="B316" s="245"/>
      <c r="C316" s="250" t="s">
        <v>761</v>
      </c>
      <c r="D316" s="250"/>
      <c r="E316" s="213"/>
      <c r="F316" s="213"/>
      <c r="G316" s="213"/>
      <c r="H316" s="213"/>
      <c r="I316" s="213"/>
      <c r="J316" s="213"/>
      <c r="K316" s="213"/>
      <c r="L316" s="213"/>
      <c r="M316" s="211">
        <f>INDEX($C$199:$AN$221, MATCH("New Customers 3MS", $C$199:$C$221, 0), MATCH($C316, $C$199:$AN$199, 0))</f>
        <v>0</v>
      </c>
      <c r="N316" s="211"/>
      <c r="O316" s="211"/>
      <c r="P316" s="211">
        <f>M316*(E307)</f>
        <v>0</v>
      </c>
      <c r="Q316" s="211"/>
      <c r="R316" s="211"/>
      <c r="S316" s="211">
        <f>M316*(H307)</f>
        <v>0</v>
      </c>
      <c r="T316" s="211"/>
      <c r="U316" s="211"/>
      <c r="V316" s="211">
        <f>M316*(K307)</f>
        <v>0</v>
      </c>
      <c r="W316" s="211"/>
      <c r="X316" s="211"/>
      <c r="Y316" s="211">
        <f>M316*(N307)</f>
        <v>0</v>
      </c>
      <c r="Z316" s="211"/>
      <c r="AA316" s="211"/>
      <c r="AB316" s="211">
        <f>M316*(Q307)</f>
        <v>0</v>
      </c>
      <c r="AC316" s="211"/>
      <c r="AD316" s="211"/>
      <c r="AE316" s="211">
        <f>M316*(T307)</f>
        <v>0</v>
      </c>
      <c r="AF316" s="211"/>
      <c r="AG316" s="211"/>
      <c r="AH316" s="211">
        <f>M316*(W307)</f>
        <v>0</v>
      </c>
      <c r="AI316" s="211"/>
      <c r="AJ316" s="211"/>
      <c r="AK316" s="211">
        <f>M316*(Z307)</f>
        <v>0</v>
      </c>
      <c r="AL316" s="211"/>
      <c r="AM316" s="211"/>
      <c r="AN316" s="211">
        <f>M316*(AC307)</f>
        <v>0</v>
      </c>
    </row>
    <row r="317" spans="2:40 16380:16380" s="7" customFormat="1" ht="12" hidden="1" customHeight="1" outlineLevel="3">
      <c r="B317" s="245"/>
      <c r="C317" s="250" t="s">
        <v>762</v>
      </c>
      <c r="D317" s="250"/>
      <c r="E317" s="213"/>
      <c r="F317" s="213"/>
      <c r="G317" s="213"/>
      <c r="H317" s="213"/>
      <c r="I317" s="213"/>
      <c r="J317" s="213"/>
      <c r="K317" s="213"/>
      <c r="L317" s="213"/>
      <c r="M317" s="213"/>
      <c r="N317" s="211">
        <f>INDEX($C$199:$AN$221, MATCH("New Customers 3MS", $C$199:$C$221, 0), MATCH($C317, $C$199:$AN$199, 0))</f>
        <v>0</v>
      </c>
      <c r="O317" s="211"/>
      <c r="P317" s="211"/>
      <c r="Q317" s="211">
        <f>N317*(E307)</f>
        <v>0</v>
      </c>
      <c r="R317" s="211"/>
      <c r="S317" s="211"/>
      <c r="T317" s="211">
        <f>N317*(H307)</f>
        <v>0</v>
      </c>
      <c r="U317" s="211"/>
      <c r="V317" s="211"/>
      <c r="W317" s="211">
        <f>N317*(K307)</f>
        <v>0</v>
      </c>
      <c r="X317" s="211"/>
      <c r="Y317" s="211"/>
      <c r="Z317" s="211">
        <f>N317*(N307)</f>
        <v>0</v>
      </c>
      <c r="AA317" s="211"/>
      <c r="AB317" s="211"/>
      <c r="AC317" s="211">
        <f>N317*(Q307)</f>
        <v>0</v>
      </c>
      <c r="AD317" s="211"/>
      <c r="AE317" s="211"/>
      <c r="AF317" s="211">
        <f>N317*(T307)</f>
        <v>0</v>
      </c>
      <c r="AG317" s="211"/>
      <c r="AH317" s="211"/>
      <c r="AI317" s="211">
        <f>N317*(W307)</f>
        <v>0</v>
      </c>
      <c r="AJ317" s="211"/>
      <c r="AK317" s="211"/>
      <c r="AL317" s="211">
        <f>N317*(Z307)</f>
        <v>0</v>
      </c>
      <c r="AM317" s="211"/>
      <c r="AN317" s="211"/>
      <c r="XEZ317" s="211"/>
    </row>
    <row r="318" spans="2:40 16380:16380" s="7" customFormat="1" ht="12" hidden="1" customHeight="1" outlineLevel="3">
      <c r="B318" s="245"/>
      <c r="C318" s="250" t="s">
        <v>763</v>
      </c>
      <c r="D318" s="250"/>
      <c r="E318" s="213"/>
      <c r="F318" s="213"/>
      <c r="G318" s="213"/>
      <c r="H318" s="213"/>
      <c r="I318" s="213"/>
      <c r="J318" s="213"/>
      <c r="K318" s="213"/>
      <c r="L318" s="213"/>
      <c r="M318" s="213"/>
      <c r="N318" s="213"/>
      <c r="O318" s="211">
        <f>INDEX($C$199:$AN$221, MATCH("New Customers 3MS", $C$199:$C$221, 0), MATCH($C318, $C$199:$AN$199, 0))</f>
        <v>0</v>
      </c>
      <c r="P318" s="211"/>
      <c r="Q318" s="211"/>
      <c r="R318" s="211">
        <f>O318*(E307)</f>
        <v>0</v>
      </c>
      <c r="S318" s="211"/>
      <c r="T318" s="211"/>
      <c r="U318" s="211">
        <f>O318*(H307)</f>
        <v>0</v>
      </c>
      <c r="V318" s="211"/>
      <c r="W318" s="211"/>
      <c r="X318" s="211">
        <f>O318*(K307)</f>
        <v>0</v>
      </c>
      <c r="Y318" s="211"/>
      <c r="Z318" s="211"/>
      <c r="AA318" s="211">
        <f>O318*(N307)</f>
        <v>0</v>
      </c>
      <c r="AB318" s="211"/>
      <c r="AC318" s="211"/>
      <c r="AD318" s="211">
        <f>O318*(Q307)</f>
        <v>0</v>
      </c>
      <c r="AE318" s="211"/>
      <c r="AF318" s="211"/>
      <c r="AG318" s="211">
        <f>O318*(T307)</f>
        <v>0</v>
      </c>
      <c r="AH318" s="211"/>
      <c r="AI318" s="211"/>
      <c r="AJ318" s="211">
        <f>O318*(W307)</f>
        <v>0</v>
      </c>
      <c r="AK318" s="211"/>
      <c r="AL318" s="211"/>
      <c r="AM318" s="211">
        <f>O318*(Z307)</f>
        <v>0</v>
      </c>
      <c r="AN318" s="211"/>
    </row>
    <row r="319" spans="2:40 16380:16380" s="7" customFormat="1" ht="12" hidden="1" customHeight="1" outlineLevel="3">
      <c r="B319" s="245"/>
      <c r="C319" s="250" t="s">
        <v>764</v>
      </c>
      <c r="D319" s="250"/>
      <c r="E319" s="213"/>
      <c r="F319" s="213"/>
      <c r="G319" s="213"/>
      <c r="H319" s="213"/>
      <c r="I319" s="213"/>
      <c r="J319" s="213"/>
      <c r="K319" s="213"/>
      <c r="L319" s="213"/>
      <c r="M319" s="213"/>
      <c r="N319" s="213"/>
      <c r="O319" s="213"/>
      <c r="P319" s="211">
        <f>INDEX($C$199:$AN$221, MATCH("New Customers 3MS", $C$199:$C$221, 0), MATCH($C319, $C$199:$AN$199, 0))</f>
        <v>0</v>
      </c>
      <c r="Q319" s="211"/>
      <c r="R319" s="211"/>
      <c r="S319" s="211">
        <f>P319*(E307)</f>
        <v>0</v>
      </c>
      <c r="T319" s="211"/>
      <c r="U319" s="211"/>
      <c r="V319" s="211">
        <f>P319*(H307)</f>
        <v>0</v>
      </c>
      <c r="W319" s="211"/>
      <c r="X319" s="211"/>
      <c r="Y319" s="211">
        <f>P319*(K307)</f>
        <v>0</v>
      </c>
      <c r="Z319" s="211"/>
      <c r="AA319" s="211"/>
      <c r="AB319" s="211">
        <f>P319*(N307)</f>
        <v>0</v>
      </c>
      <c r="AC319" s="211"/>
      <c r="AD319" s="211"/>
      <c r="AE319" s="211">
        <f>P319*(Q307)</f>
        <v>0</v>
      </c>
      <c r="AF319" s="211"/>
      <c r="AG319" s="211"/>
      <c r="AH319" s="211">
        <f>P319*(T307)</f>
        <v>0</v>
      </c>
      <c r="AI319" s="211"/>
      <c r="AJ319" s="211"/>
      <c r="AK319" s="211">
        <f>P319*(W307)</f>
        <v>0</v>
      </c>
      <c r="AL319" s="211"/>
      <c r="AM319" s="211"/>
      <c r="AN319" s="211">
        <f>P319*(Z307)</f>
        <v>0</v>
      </c>
    </row>
    <row r="320" spans="2:40 16380:16380" s="7" customFormat="1" ht="12" hidden="1" customHeight="1" outlineLevel="3">
      <c r="B320" s="245"/>
      <c r="C320" s="250" t="s">
        <v>765</v>
      </c>
      <c r="D320" s="250"/>
      <c r="E320" s="213"/>
      <c r="F320" s="213"/>
      <c r="G320" s="213"/>
      <c r="H320" s="213"/>
      <c r="I320" s="213"/>
      <c r="J320" s="213"/>
      <c r="K320" s="213"/>
      <c r="L320" s="213"/>
      <c r="M320" s="213"/>
      <c r="N320" s="213"/>
      <c r="O320" s="213"/>
      <c r="P320" s="213"/>
      <c r="Q320" s="211">
        <f>INDEX($C$199:$AN$221, MATCH("New Customers 3MS", $C$199:$C$221, 0), MATCH($C320, $C$199:$AN$199, 0))</f>
        <v>0</v>
      </c>
      <c r="R320" s="211"/>
      <c r="S320" s="211"/>
      <c r="T320" s="211">
        <f>Q320*(E307)</f>
        <v>0</v>
      </c>
      <c r="U320" s="211"/>
      <c r="V320" s="211"/>
      <c r="W320" s="211">
        <f>Q320*(H307)</f>
        <v>0</v>
      </c>
      <c r="X320" s="211"/>
      <c r="Y320" s="211"/>
      <c r="Z320" s="211">
        <f>Q320*(K307)</f>
        <v>0</v>
      </c>
      <c r="AA320" s="211"/>
      <c r="AB320" s="211"/>
      <c r="AC320" s="211">
        <f>Q320*(N307)</f>
        <v>0</v>
      </c>
      <c r="AD320" s="211"/>
      <c r="AE320" s="211"/>
      <c r="AF320" s="211">
        <f>Q320*(Q307)</f>
        <v>0</v>
      </c>
      <c r="AG320" s="211"/>
      <c r="AH320" s="211"/>
      <c r="AI320" s="211">
        <f>Q320*(T307)</f>
        <v>0</v>
      </c>
      <c r="AJ320" s="211"/>
      <c r="AK320" s="211"/>
      <c r="AL320" s="211">
        <f>Q320*(W307)</f>
        <v>0</v>
      </c>
      <c r="AM320" s="211"/>
      <c r="AN320" s="211"/>
    </row>
    <row r="321" spans="2:40 16380:16380" s="7" customFormat="1" ht="12" hidden="1" customHeight="1" outlineLevel="3">
      <c r="B321" s="245"/>
      <c r="C321" s="250" t="s">
        <v>766</v>
      </c>
      <c r="D321" s="250"/>
      <c r="E321" s="213"/>
      <c r="F321" s="213"/>
      <c r="G321" s="213"/>
      <c r="H321" s="213"/>
      <c r="I321" s="213"/>
      <c r="J321" s="213"/>
      <c r="K321" s="213"/>
      <c r="L321" s="213"/>
      <c r="M321" s="213"/>
      <c r="N321" s="213"/>
      <c r="O321" s="213"/>
      <c r="P321" s="213"/>
      <c r="Q321" s="213"/>
      <c r="R321" s="211">
        <f>INDEX($C$199:$AN$221, MATCH("New Customers 3MS", $C$199:$C$221, 0), MATCH($C321, $C$199:$AN$199, 0))</f>
        <v>0</v>
      </c>
      <c r="S321" s="211"/>
      <c r="T321" s="211"/>
      <c r="U321" s="211">
        <f>R321*(E307)</f>
        <v>0</v>
      </c>
      <c r="V321" s="211"/>
      <c r="W321" s="211"/>
      <c r="X321" s="211">
        <f>R321*(H307)</f>
        <v>0</v>
      </c>
      <c r="Y321" s="211"/>
      <c r="Z321" s="211"/>
      <c r="AA321" s="211">
        <f>R321*(K307)</f>
        <v>0</v>
      </c>
      <c r="AB321" s="211"/>
      <c r="AC321" s="211"/>
      <c r="AD321" s="211">
        <f>R321*(N307)</f>
        <v>0</v>
      </c>
      <c r="AE321" s="211"/>
      <c r="AF321" s="211"/>
      <c r="AG321" s="211">
        <f>R321*(Q307)</f>
        <v>0</v>
      </c>
      <c r="AH321" s="211"/>
      <c r="AI321" s="211"/>
      <c r="AJ321" s="211">
        <f>R321*(T307)</f>
        <v>0</v>
      </c>
      <c r="AK321" s="211"/>
      <c r="AL321" s="211"/>
      <c r="AM321" s="211">
        <f>R321*(W307)</f>
        <v>0</v>
      </c>
      <c r="AN321" s="211"/>
      <c r="XEZ321" s="211"/>
    </row>
    <row r="322" spans="2:40 16380:16380" s="7" customFormat="1" ht="12" hidden="1" customHeight="1" outlineLevel="3">
      <c r="B322" s="245"/>
      <c r="C322" s="250" t="s">
        <v>767</v>
      </c>
      <c r="D322" s="250"/>
      <c r="E322" s="213"/>
      <c r="F322" s="213"/>
      <c r="G322" s="213"/>
      <c r="H322" s="213"/>
      <c r="I322" s="213"/>
      <c r="J322" s="213"/>
      <c r="K322" s="213"/>
      <c r="L322" s="213"/>
      <c r="M322" s="213"/>
      <c r="N322" s="213"/>
      <c r="O322" s="213"/>
      <c r="P322" s="213"/>
      <c r="Q322" s="213"/>
      <c r="R322" s="213"/>
      <c r="S322" s="211">
        <f>INDEX($C$199:$AN$221, MATCH("New Customers 3MS", $C$199:$C$221, 0), MATCH($C322, $C$199:$AN$199, 0))</f>
        <v>0</v>
      </c>
      <c r="T322" s="211"/>
      <c r="U322" s="211"/>
      <c r="V322" s="211">
        <f>S322*(E307)</f>
        <v>0</v>
      </c>
      <c r="W322" s="211"/>
      <c r="X322" s="211"/>
      <c r="Y322" s="211">
        <f>S322*(H307)</f>
        <v>0</v>
      </c>
      <c r="Z322" s="211"/>
      <c r="AA322" s="211"/>
      <c r="AB322" s="211">
        <f>S322*(K307)</f>
        <v>0</v>
      </c>
      <c r="AC322" s="211"/>
      <c r="AD322" s="211"/>
      <c r="AE322" s="211">
        <f>S322*(N307)</f>
        <v>0</v>
      </c>
      <c r="AF322" s="211"/>
      <c r="AG322" s="211"/>
      <c r="AH322" s="211">
        <f>S322*(Q307)</f>
        <v>0</v>
      </c>
      <c r="AI322" s="211"/>
      <c r="AJ322" s="211"/>
      <c r="AK322" s="211">
        <f>S322*(T307)</f>
        <v>0</v>
      </c>
      <c r="AL322" s="211"/>
      <c r="AM322" s="211"/>
      <c r="AN322" s="211">
        <f>S322*(W307)</f>
        <v>0</v>
      </c>
    </row>
    <row r="323" spans="2:40 16380:16380" s="7" customFormat="1" ht="12" hidden="1" customHeight="1" outlineLevel="3">
      <c r="B323" s="245"/>
      <c r="C323" s="250" t="s">
        <v>768</v>
      </c>
      <c r="D323" s="250"/>
      <c r="E323" s="213"/>
      <c r="F323" s="213"/>
      <c r="G323" s="213"/>
      <c r="H323" s="213"/>
      <c r="I323" s="213"/>
      <c r="J323" s="213"/>
      <c r="K323" s="213"/>
      <c r="L323" s="213"/>
      <c r="M323" s="213"/>
      <c r="N323" s="213"/>
      <c r="O323" s="213"/>
      <c r="P323" s="213"/>
      <c r="Q323" s="213"/>
      <c r="R323" s="213"/>
      <c r="S323" s="213"/>
      <c r="T323" s="211">
        <f>INDEX($C$199:$AN$221, MATCH("New Customers 3MS", $C$199:$C$221, 0), MATCH($C323, $C$199:$AN$199, 0))</f>
        <v>0</v>
      </c>
      <c r="U323" s="211"/>
      <c r="V323" s="211"/>
      <c r="W323" s="211">
        <f>T323*(E307)</f>
        <v>0</v>
      </c>
      <c r="X323" s="211"/>
      <c r="Y323" s="211"/>
      <c r="Z323" s="211">
        <f>T323*(H307)</f>
        <v>0</v>
      </c>
      <c r="AA323" s="211"/>
      <c r="AB323" s="211"/>
      <c r="AC323" s="211">
        <f>T323*(K307)</f>
        <v>0</v>
      </c>
      <c r="AD323" s="211"/>
      <c r="AE323" s="211"/>
      <c r="AF323" s="211">
        <f>T323*(N307)</f>
        <v>0</v>
      </c>
      <c r="AG323" s="211"/>
      <c r="AH323" s="211"/>
      <c r="AI323" s="211">
        <f>T323*(Q307)</f>
        <v>0</v>
      </c>
      <c r="AJ323" s="211"/>
      <c r="AK323" s="211"/>
      <c r="AL323" s="211">
        <f>T323*(T307)</f>
        <v>0</v>
      </c>
      <c r="AM323" s="211"/>
      <c r="AN323" s="211"/>
    </row>
    <row r="324" spans="2:40 16380:16380" s="7" customFormat="1" ht="12" hidden="1" customHeight="1" outlineLevel="3">
      <c r="B324" s="245"/>
      <c r="C324" s="250" t="s">
        <v>769</v>
      </c>
      <c r="D324" s="250"/>
      <c r="E324" s="213"/>
      <c r="F324" s="213"/>
      <c r="G324" s="213"/>
      <c r="H324" s="213"/>
      <c r="I324" s="213"/>
      <c r="J324" s="213"/>
      <c r="K324" s="213"/>
      <c r="L324" s="213"/>
      <c r="M324" s="213"/>
      <c r="N324" s="213"/>
      <c r="O324" s="213"/>
      <c r="P324" s="213"/>
      <c r="Q324" s="213"/>
      <c r="R324" s="213"/>
      <c r="S324" s="213"/>
      <c r="T324" s="213"/>
      <c r="U324" s="211">
        <f>INDEX($C$199:$AN$221, MATCH("New Customers 3MS", $C$199:$C$221, 0), MATCH($C324, $C$199:$AN$199, 0))</f>
        <v>0</v>
      </c>
      <c r="V324" s="211"/>
      <c r="W324" s="211"/>
      <c r="X324" s="211">
        <f>U324*(E307)</f>
        <v>0</v>
      </c>
      <c r="Y324" s="211"/>
      <c r="Z324" s="211"/>
      <c r="AA324" s="211">
        <f>U324*(H307)</f>
        <v>0</v>
      </c>
      <c r="AB324" s="211"/>
      <c r="AC324" s="211"/>
      <c r="AD324" s="211">
        <f>U324*(K307)</f>
        <v>0</v>
      </c>
      <c r="AE324" s="211"/>
      <c r="AF324" s="211"/>
      <c r="AG324" s="211">
        <f>U324*(N307)</f>
        <v>0</v>
      </c>
      <c r="AH324" s="211"/>
      <c r="AI324" s="211"/>
      <c r="AJ324" s="211">
        <f>U324*(Q307)</f>
        <v>0</v>
      </c>
      <c r="AK324" s="211"/>
      <c r="AL324" s="211"/>
      <c r="AM324" s="211">
        <f>U324*(T307)</f>
        <v>0</v>
      </c>
      <c r="AN324" s="211"/>
    </row>
    <row r="325" spans="2:40 16380:16380" s="7" customFormat="1" ht="12" hidden="1" customHeight="1" outlineLevel="3">
      <c r="B325" s="245"/>
      <c r="C325" s="250" t="s">
        <v>770</v>
      </c>
      <c r="D325" s="250"/>
      <c r="E325" s="213"/>
      <c r="F325" s="213"/>
      <c r="G325" s="213"/>
      <c r="H325" s="213"/>
      <c r="I325" s="213"/>
      <c r="J325" s="213"/>
      <c r="K325" s="213"/>
      <c r="L325" s="213"/>
      <c r="M325" s="213"/>
      <c r="N325" s="213"/>
      <c r="O325" s="213"/>
      <c r="P325" s="213"/>
      <c r="Q325" s="213"/>
      <c r="R325" s="213"/>
      <c r="S325" s="213"/>
      <c r="T325" s="213"/>
      <c r="U325" s="213"/>
      <c r="V325" s="211">
        <f>INDEX($C$199:$AN$221, MATCH("New Customers 3MS", $C$199:$C$221, 0), MATCH($C325, $C$199:$AN$199, 0))</f>
        <v>0</v>
      </c>
      <c r="W325" s="211"/>
      <c r="X325" s="211"/>
      <c r="Y325" s="211">
        <f>V325*(E307)</f>
        <v>0</v>
      </c>
      <c r="Z325" s="211"/>
      <c r="AA325" s="211"/>
      <c r="AB325" s="211">
        <f>V325*(H307)</f>
        <v>0</v>
      </c>
      <c r="AC325" s="211"/>
      <c r="AD325" s="211"/>
      <c r="AE325" s="211">
        <f>V325*(K307)</f>
        <v>0</v>
      </c>
      <c r="AF325" s="211"/>
      <c r="AG325" s="211"/>
      <c r="AH325" s="211">
        <f>V325*(N307)</f>
        <v>0</v>
      </c>
      <c r="AI325" s="211"/>
      <c r="AJ325" s="211"/>
      <c r="AK325" s="211">
        <f>V325*(Q307)</f>
        <v>0</v>
      </c>
      <c r="AL325" s="211"/>
      <c r="AM325" s="211"/>
      <c r="AN325" s="211">
        <f>V325*(T307)</f>
        <v>0</v>
      </c>
    </row>
    <row r="326" spans="2:40 16380:16380" s="7" customFormat="1" ht="12" hidden="1" customHeight="1" outlineLevel="3">
      <c r="B326" s="245"/>
      <c r="C326" s="250" t="s">
        <v>771</v>
      </c>
      <c r="D326" s="250"/>
      <c r="E326" s="213"/>
      <c r="F326" s="213"/>
      <c r="G326" s="213"/>
      <c r="H326" s="213"/>
      <c r="I326" s="213"/>
      <c r="J326" s="213"/>
      <c r="K326" s="213"/>
      <c r="L326" s="213"/>
      <c r="M326" s="213"/>
      <c r="N326" s="213"/>
      <c r="O326" s="213"/>
      <c r="P326" s="213"/>
      <c r="Q326" s="213"/>
      <c r="R326" s="213"/>
      <c r="S326" s="213"/>
      <c r="T326" s="213"/>
      <c r="U326" s="213"/>
      <c r="V326" s="213"/>
      <c r="W326" s="211">
        <f>INDEX($C$199:$AN$221, MATCH("New Customers 3MS", $C$199:$C$221, 0), MATCH($C326, $C$199:$AN$199, 0))</f>
        <v>0</v>
      </c>
      <c r="X326" s="211"/>
      <c r="Y326" s="211"/>
      <c r="Z326" s="211">
        <f>W326*(E307)</f>
        <v>0</v>
      </c>
      <c r="AA326" s="211"/>
      <c r="AB326" s="211"/>
      <c r="AC326" s="211">
        <f>W326*(H307)</f>
        <v>0</v>
      </c>
      <c r="AD326" s="211"/>
      <c r="AE326" s="211"/>
      <c r="AF326" s="211">
        <f>W326*(K307)</f>
        <v>0</v>
      </c>
      <c r="AG326" s="211"/>
      <c r="AH326" s="211"/>
      <c r="AI326" s="211">
        <f>W326*(N307)</f>
        <v>0</v>
      </c>
      <c r="AJ326" s="211"/>
      <c r="AK326" s="211"/>
      <c r="AL326" s="211">
        <f>W326*(Q307)</f>
        <v>0</v>
      </c>
      <c r="AM326" s="211"/>
      <c r="AN326" s="211"/>
    </row>
    <row r="327" spans="2:40 16380:16380" s="7" customFormat="1" ht="12" hidden="1" customHeight="1" outlineLevel="3">
      <c r="B327" s="245"/>
      <c r="C327" s="250" t="s">
        <v>772</v>
      </c>
      <c r="D327" s="250"/>
      <c r="E327" s="213"/>
      <c r="F327" s="213"/>
      <c r="G327" s="213"/>
      <c r="H327" s="213"/>
      <c r="I327" s="213"/>
      <c r="J327" s="213"/>
      <c r="K327" s="213"/>
      <c r="L327" s="213"/>
      <c r="M327" s="213"/>
      <c r="N327" s="213"/>
      <c r="O327" s="213"/>
      <c r="P327" s="213"/>
      <c r="Q327" s="213"/>
      <c r="R327" s="213"/>
      <c r="S327" s="213"/>
      <c r="T327" s="213"/>
      <c r="U327" s="213"/>
      <c r="V327" s="213"/>
      <c r="W327" s="213"/>
      <c r="X327" s="211">
        <f>INDEX($C$199:$AN$221, MATCH("New Customers 3MS", $C$199:$C$221, 0), MATCH($C327, $C$199:$AN$199, 0))</f>
        <v>0</v>
      </c>
      <c r="Y327" s="211"/>
      <c r="Z327" s="211"/>
      <c r="AA327" s="211">
        <f>X327*(E307)</f>
        <v>0</v>
      </c>
      <c r="AB327" s="211"/>
      <c r="AC327" s="211"/>
      <c r="AD327" s="211">
        <f>X327*(H307)</f>
        <v>0</v>
      </c>
      <c r="AE327" s="211"/>
      <c r="AF327" s="211"/>
      <c r="AG327" s="211">
        <f>X327*(K307)</f>
        <v>0</v>
      </c>
      <c r="AH327" s="211"/>
      <c r="AI327" s="211"/>
      <c r="AJ327" s="211">
        <f>X327*(N307)</f>
        <v>0</v>
      </c>
      <c r="AK327" s="211"/>
      <c r="AL327" s="211"/>
      <c r="AM327" s="211">
        <f>X327*(Q307)</f>
        <v>0</v>
      </c>
      <c r="AN327" s="211"/>
    </row>
    <row r="328" spans="2:40 16380:16380" s="7" customFormat="1" ht="12" hidden="1" customHeight="1" outlineLevel="3">
      <c r="B328" s="245"/>
      <c r="C328" s="250" t="s">
        <v>773</v>
      </c>
      <c r="D328" s="250"/>
      <c r="E328" s="213"/>
      <c r="F328" s="213"/>
      <c r="G328" s="213"/>
      <c r="H328" s="213"/>
      <c r="I328" s="213"/>
      <c r="J328" s="213"/>
      <c r="K328" s="213"/>
      <c r="L328" s="213"/>
      <c r="M328" s="213"/>
      <c r="N328" s="213"/>
      <c r="O328" s="213"/>
      <c r="P328" s="213"/>
      <c r="Q328" s="213"/>
      <c r="R328" s="213"/>
      <c r="S328" s="213"/>
      <c r="T328" s="213"/>
      <c r="U328" s="213"/>
      <c r="V328" s="213"/>
      <c r="W328" s="213"/>
      <c r="X328" s="213"/>
      <c r="Y328" s="211">
        <f>INDEX($C$199:$AN$221, MATCH("New Customers 3MS", $C$199:$C$221, 0), MATCH($C328, $C$199:$AN$199, 0))</f>
        <v>0</v>
      </c>
      <c r="Z328" s="211"/>
      <c r="AA328" s="211"/>
      <c r="AB328" s="211">
        <f>Y328*(E307)</f>
        <v>0</v>
      </c>
      <c r="AC328" s="211"/>
      <c r="AD328" s="211"/>
      <c r="AE328" s="211">
        <f>Y328*(H307)</f>
        <v>0</v>
      </c>
      <c r="AF328" s="211"/>
      <c r="AG328" s="211"/>
      <c r="AH328" s="211">
        <f>Y328*(K307)</f>
        <v>0</v>
      </c>
      <c r="AI328" s="211"/>
      <c r="AJ328" s="211"/>
      <c r="AK328" s="211">
        <f>Y328*(N307)</f>
        <v>0</v>
      </c>
      <c r="AL328" s="211"/>
      <c r="AM328" s="211"/>
      <c r="AN328" s="211">
        <f>Y328*(Q307)</f>
        <v>0</v>
      </c>
    </row>
    <row r="329" spans="2:40 16380:16380" s="7" customFormat="1" ht="12" hidden="1" customHeight="1" outlineLevel="3">
      <c r="B329" s="245"/>
      <c r="C329" s="250" t="s">
        <v>774</v>
      </c>
      <c r="D329" s="250"/>
      <c r="E329" s="213"/>
      <c r="F329" s="213"/>
      <c r="G329" s="213"/>
      <c r="H329" s="213"/>
      <c r="I329" s="213"/>
      <c r="J329" s="213"/>
      <c r="K329" s="213"/>
      <c r="L329" s="213"/>
      <c r="M329" s="213"/>
      <c r="N329" s="213"/>
      <c r="O329" s="213"/>
      <c r="P329" s="213"/>
      <c r="Q329" s="213"/>
      <c r="R329" s="213"/>
      <c r="S329" s="213"/>
      <c r="T329" s="213"/>
      <c r="U329" s="213"/>
      <c r="V329" s="213"/>
      <c r="W329" s="213"/>
      <c r="X329" s="213"/>
      <c r="Y329" s="213"/>
      <c r="Z329" s="211">
        <f>INDEX($C$199:$AN$221, MATCH("New Customers 3MS", $C$199:$C$221, 0), MATCH($C329, $C$199:$AN$199, 0))</f>
        <v>0</v>
      </c>
      <c r="AA329" s="211"/>
      <c r="AB329" s="211"/>
      <c r="AC329" s="211">
        <f>Z329*(E307)</f>
        <v>0</v>
      </c>
      <c r="AD329" s="211"/>
      <c r="AE329" s="211"/>
      <c r="AF329" s="211">
        <f>Z329*(H307)</f>
        <v>0</v>
      </c>
      <c r="AG329" s="211"/>
      <c r="AH329" s="211"/>
      <c r="AI329" s="211">
        <f>Z329*(K307)</f>
        <v>0</v>
      </c>
      <c r="AJ329" s="211"/>
      <c r="AK329" s="211"/>
      <c r="AL329" s="211">
        <f>Z329*(N307)</f>
        <v>0</v>
      </c>
      <c r="AM329" s="211"/>
      <c r="AN329" s="211"/>
    </row>
    <row r="330" spans="2:40 16380:16380" s="7" customFormat="1" ht="12" hidden="1" customHeight="1" outlineLevel="3">
      <c r="B330" s="245"/>
      <c r="C330" s="250" t="s">
        <v>775</v>
      </c>
      <c r="D330" s="250"/>
      <c r="E330" s="213"/>
      <c r="F330" s="213"/>
      <c r="G330" s="213"/>
      <c r="H330" s="213"/>
      <c r="I330" s="213"/>
      <c r="J330" s="213"/>
      <c r="K330" s="213"/>
      <c r="L330" s="213"/>
      <c r="M330" s="213"/>
      <c r="N330" s="213"/>
      <c r="O330" s="213"/>
      <c r="P330" s="213"/>
      <c r="Q330" s="213"/>
      <c r="R330" s="213"/>
      <c r="S330" s="213"/>
      <c r="T330" s="213"/>
      <c r="U330" s="213"/>
      <c r="V330" s="213"/>
      <c r="W330" s="213"/>
      <c r="X330" s="213"/>
      <c r="Y330" s="213"/>
      <c r="Z330" s="213"/>
      <c r="AA330" s="211">
        <f>INDEX($C$199:$AN$221, MATCH("New Customers 3MS", $C$199:$C$221, 0), MATCH($C330, $C$199:$AN$199, 0))</f>
        <v>0</v>
      </c>
      <c r="AB330" s="211"/>
      <c r="AC330" s="211"/>
      <c r="AD330" s="211">
        <f>AA330*(E307)</f>
        <v>0</v>
      </c>
      <c r="AE330" s="211"/>
      <c r="AF330" s="211"/>
      <c r="AG330" s="211">
        <f>AA330*(H307)</f>
        <v>0</v>
      </c>
      <c r="AH330" s="211"/>
      <c r="AI330" s="211"/>
      <c r="AJ330" s="211">
        <f>AA330*(K307)</f>
        <v>0</v>
      </c>
      <c r="AK330" s="211"/>
      <c r="AL330" s="211"/>
      <c r="AM330" s="211">
        <f>AA330*(N307)</f>
        <v>0</v>
      </c>
      <c r="AN330" s="211"/>
    </row>
    <row r="331" spans="2:40 16380:16380" s="7" customFormat="1" ht="12" hidden="1" customHeight="1" outlineLevel="3">
      <c r="B331" s="245"/>
      <c r="C331" s="250" t="s">
        <v>776</v>
      </c>
      <c r="D331" s="250"/>
      <c r="E331" s="213"/>
      <c r="F331" s="213"/>
      <c r="G331" s="213"/>
      <c r="H331" s="213"/>
      <c r="I331" s="213"/>
      <c r="J331" s="213"/>
      <c r="K331" s="213"/>
      <c r="L331" s="213"/>
      <c r="M331" s="213"/>
      <c r="N331" s="213"/>
      <c r="O331" s="213"/>
      <c r="P331" s="213"/>
      <c r="Q331" s="213"/>
      <c r="R331" s="213"/>
      <c r="S331" s="213"/>
      <c r="T331" s="213"/>
      <c r="U331" s="213"/>
      <c r="V331" s="213"/>
      <c r="W331" s="213"/>
      <c r="X331" s="213"/>
      <c r="Y331" s="213"/>
      <c r="Z331" s="213"/>
      <c r="AA331" s="213"/>
      <c r="AB331" s="211">
        <f>INDEX($C$199:$AN$221, MATCH("New Customers 3MS", $C$199:$C$221, 0), MATCH($C331, $C$199:$AN$199, 0))</f>
        <v>0</v>
      </c>
      <c r="AC331" s="211"/>
      <c r="AD331" s="211"/>
      <c r="AE331" s="211">
        <f>AB331*(E307)</f>
        <v>0</v>
      </c>
      <c r="AF331" s="211"/>
      <c r="AG331" s="211"/>
      <c r="AH331" s="211">
        <f>AB331*(H307)</f>
        <v>0</v>
      </c>
      <c r="AI331" s="211"/>
      <c r="AJ331" s="211"/>
      <c r="AK331" s="211">
        <f>AB331*($K$153)</f>
        <v>0</v>
      </c>
      <c r="AL331" s="211"/>
      <c r="AM331" s="211"/>
      <c r="AN331" s="211">
        <f>AB331*(N307)</f>
        <v>0</v>
      </c>
    </row>
    <row r="332" spans="2:40 16380:16380" s="7" customFormat="1" ht="12" hidden="1" customHeight="1" outlineLevel="3">
      <c r="B332" s="245"/>
      <c r="C332" s="250" t="s">
        <v>777</v>
      </c>
      <c r="D332" s="250"/>
      <c r="E332" s="213"/>
      <c r="F332" s="213"/>
      <c r="G332" s="213"/>
      <c r="H332" s="213"/>
      <c r="I332" s="213"/>
      <c r="J332" s="213"/>
      <c r="K332" s="213"/>
      <c r="L332" s="213"/>
      <c r="M332" s="213"/>
      <c r="N332" s="213"/>
      <c r="O332" s="213"/>
      <c r="P332" s="213"/>
      <c r="Q332" s="213"/>
      <c r="R332" s="213"/>
      <c r="S332" s="213"/>
      <c r="T332" s="213"/>
      <c r="U332" s="213"/>
      <c r="V332" s="213"/>
      <c r="W332" s="213"/>
      <c r="X332" s="213"/>
      <c r="Y332" s="213"/>
      <c r="Z332" s="213"/>
      <c r="AA332" s="213"/>
      <c r="AB332" s="211"/>
      <c r="AC332" s="211">
        <f>INDEX($C$199:$AN$221, MATCH("New Customers 3MS", $C$199:$C$221, 0), MATCH($C332, $C$199:$AN$199, 0))</f>
        <v>0</v>
      </c>
      <c r="AD332" s="211"/>
      <c r="AE332" s="211"/>
      <c r="AF332" s="211">
        <f>AC332*($E$153)</f>
        <v>0</v>
      </c>
      <c r="AG332" s="211"/>
      <c r="AH332" s="211"/>
      <c r="AI332" s="211">
        <f>AB331*($H$153)</f>
        <v>0</v>
      </c>
      <c r="AJ332" s="211"/>
      <c r="AK332" s="211"/>
      <c r="AL332" s="211">
        <f>AC332*($K$153)</f>
        <v>0</v>
      </c>
      <c r="AM332" s="211"/>
      <c r="AN332" s="211"/>
    </row>
    <row r="333" spans="2:40 16380:16380" s="7" customFormat="1" ht="12" hidden="1" customHeight="1" outlineLevel="3">
      <c r="B333" s="245"/>
      <c r="C333" s="250" t="s">
        <v>778</v>
      </c>
      <c r="D333" s="250"/>
      <c r="E333" s="213"/>
      <c r="F333" s="213"/>
      <c r="G333" s="213"/>
      <c r="H333" s="213"/>
      <c r="I333" s="213"/>
      <c r="J333" s="213"/>
      <c r="K333" s="213"/>
      <c r="L333" s="213"/>
      <c r="M333" s="213"/>
      <c r="N333" s="213"/>
      <c r="O333" s="213"/>
      <c r="P333" s="213"/>
      <c r="Q333" s="213"/>
      <c r="R333" s="213"/>
      <c r="S333" s="213"/>
      <c r="T333" s="213"/>
      <c r="U333" s="213"/>
      <c r="V333" s="213"/>
      <c r="W333" s="213"/>
      <c r="X333" s="213"/>
      <c r="Y333" s="213"/>
      <c r="Z333" s="213"/>
      <c r="AA333" s="213"/>
      <c r="AB333" s="211"/>
      <c r="AC333" s="211"/>
      <c r="AD333" s="211">
        <f>INDEX($C$199:$AN$221, MATCH("New Customers 3MS", $C$199:$C$221, 0), MATCH($C333, $C$199:$AN$199, 0))</f>
        <v>0</v>
      </c>
      <c r="AE333" s="211"/>
      <c r="AF333" s="211"/>
      <c r="AG333" s="211">
        <f>AD333*($E$153)</f>
        <v>0</v>
      </c>
      <c r="AH333" s="211"/>
      <c r="AI333" s="211"/>
      <c r="AJ333" s="211">
        <f>AB331*($H$153)</f>
        <v>0</v>
      </c>
      <c r="AK333" s="211"/>
      <c r="AL333" s="211"/>
      <c r="AM333" s="211">
        <f>AD333*($K$153)</f>
        <v>0</v>
      </c>
      <c r="AN333" s="211"/>
    </row>
    <row r="334" spans="2:40 16380:16380" s="7" customFormat="1" ht="12" hidden="1" customHeight="1" outlineLevel="3">
      <c r="B334" s="245"/>
      <c r="C334" s="250" t="s">
        <v>779</v>
      </c>
      <c r="D334" s="250"/>
      <c r="E334" s="213"/>
      <c r="F334" s="213"/>
      <c r="G334" s="213"/>
      <c r="H334" s="213"/>
      <c r="I334" s="213"/>
      <c r="J334" s="213"/>
      <c r="K334" s="213"/>
      <c r="L334" s="213"/>
      <c r="M334" s="213"/>
      <c r="N334" s="213"/>
      <c r="O334" s="213"/>
      <c r="P334" s="213"/>
      <c r="Q334" s="213"/>
      <c r="R334" s="213"/>
      <c r="S334" s="213"/>
      <c r="T334" s="213"/>
      <c r="U334" s="213"/>
      <c r="V334" s="213"/>
      <c r="W334" s="213"/>
      <c r="X334" s="213"/>
      <c r="Y334" s="213"/>
      <c r="Z334" s="213"/>
      <c r="AA334" s="213"/>
      <c r="AB334" s="211"/>
      <c r="AC334" s="211"/>
      <c r="AD334" s="211"/>
      <c r="AE334" s="211">
        <f>INDEX($C$199:$AN$221, MATCH("New Customers 3MS", $C$199:$C$221, 0), MATCH($C334, $C$199:$AN$199, 0))</f>
        <v>0</v>
      </c>
      <c r="AF334" s="211"/>
      <c r="AG334" s="211"/>
      <c r="AH334" s="211">
        <f>AE334*($E$153)</f>
        <v>0</v>
      </c>
      <c r="AI334" s="211"/>
      <c r="AJ334" s="211"/>
      <c r="AK334" s="211">
        <f>AB331*($H$153)</f>
        <v>0</v>
      </c>
      <c r="AL334" s="211"/>
      <c r="AM334" s="211"/>
      <c r="AN334" s="211">
        <f>AE334*($K$153)</f>
        <v>0</v>
      </c>
    </row>
    <row r="335" spans="2:40 16380:16380" s="7" customFormat="1" ht="12" hidden="1" customHeight="1" outlineLevel="3">
      <c r="B335" s="245"/>
      <c r="C335" s="250" t="s">
        <v>780</v>
      </c>
      <c r="D335" s="250"/>
      <c r="E335" s="213"/>
      <c r="F335" s="213"/>
      <c r="G335" s="213"/>
      <c r="H335" s="213"/>
      <c r="I335" s="213"/>
      <c r="J335" s="213"/>
      <c r="K335" s="213"/>
      <c r="L335" s="213"/>
      <c r="M335" s="213"/>
      <c r="N335" s="213"/>
      <c r="O335" s="213"/>
      <c r="P335" s="213"/>
      <c r="Q335" s="213"/>
      <c r="R335" s="213"/>
      <c r="S335" s="213"/>
      <c r="T335" s="213"/>
      <c r="U335" s="213"/>
      <c r="V335" s="213"/>
      <c r="W335" s="213"/>
      <c r="X335" s="213"/>
      <c r="Y335" s="213"/>
      <c r="Z335" s="213"/>
      <c r="AA335" s="213"/>
      <c r="AB335" s="211"/>
      <c r="AC335" s="211"/>
      <c r="AD335" s="211"/>
      <c r="AE335" s="211"/>
      <c r="AF335" s="211">
        <f>INDEX($C$199:$AN$221, MATCH("New Customers 3MS", $C$199:$C$221, 0), MATCH($C335, $C$199:$AN$199, 0))</f>
        <v>0</v>
      </c>
      <c r="AG335" s="211"/>
      <c r="AH335" s="211"/>
      <c r="AI335" s="211">
        <f>AF335*($E$153)</f>
        <v>0</v>
      </c>
      <c r="AJ335" s="211"/>
      <c r="AK335" s="211"/>
      <c r="AL335" s="211">
        <f>AB331*($H$153)</f>
        <v>0</v>
      </c>
      <c r="AM335" s="211"/>
      <c r="AN335" s="211"/>
    </row>
    <row r="336" spans="2:40 16380:16380" s="7" customFormat="1" ht="12" hidden="1" customHeight="1" outlineLevel="3">
      <c r="B336" s="245"/>
      <c r="C336" s="250" t="s">
        <v>781</v>
      </c>
      <c r="D336" s="250"/>
      <c r="E336" s="213"/>
      <c r="F336" s="213"/>
      <c r="G336" s="213"/>
      <c r="H336" s="213"/>
      <c r="I336" s="213"/>
      <c r="J336" s="213"/>
      <c r="K336" s="213"/>
      <c r="L336" s="213"/>
      <c r="M336" s="213"/>
      <c r="N336" s="213"/>
      <c r="O336" s="213"/>
      <c r="P336" s="213"/>
      <c r="Q336" s="213"/>
      <c r="R336" s="213"/>
      <c r="S336" s="213"/>
      <c r="T336" s="213"/>
      <c r="U336" s="213"/>
      <c r="V336" s="213"/>
      <c r="W336" s="213"/>
      <c r="X336" s="213"/>
      <c r="Y336" s="213"/>
      <c r="Z336" s="213"/>
      <c r="AA336" s="213"/>
      <c r="AB336" s="211"/>
      <c r="AC336" s="211"/>
      <c r="AD336" s="211"/>
      <c r="AE336" s="211"/>
      <c r="AF336" s="211"/>
      <c r="AG336" s="211">
        <f>INDEX($C$199:$AN$221, MATCH("New Customers 3MS", $C$199:$C$221, 0), MATCH($C336, $C$199:$AN$199, 0))</f>
        <v>0</v>
      </c>
      <c r="AH336" s="211"/>
      <c r="AI336" s="211"/>
      <c r="AJ336" s="211">
        <f>AG336*($E$153)</f>
        <v>0</v>
      </c>
      <c r="AK336" s="211"/>
      <c r="AL336" s="211"/>
      <c r="AM336" s="211">
        <f>AB331*($H$153)</f>
        <v>0</v>
      </c>
      <c r="AN336" s="211"/>
    </row>
    <row r="337" spans="2:40" s="7" customFormat="1" ht="12" hidden="1" customHeight="1" outlineLevel="3">
      <c r="B337" s="245"/>
      <c r="C337" s="250" t="s">
        <v>782</v>
      </c>
      <c r="D337" s="250"/>
      <c r="E337" s="213"/>
      <c r="F337" s="213"/>
      <c r="G337" s="213"/>
      <c r="H337" s="213"/>
      <c r="I337" s="213"/>
      <c r="J337" s="213"/>
      <c r="K337" s="213"/>
      <c r="L337" s="213"/>
      <c r="M337" s="213"/>
      <c r="N337" s="213"/>
      <c r="O337" s="213"/>
      <c r="P337" s="213"/>
      <c r="Q337" s="213"/>
      <c r="R337" s="213"/>
      <c r="S337" s="213"/>
      <c r="T337" s="213"/>
      <c r="U337" s="213"/>
      <c r="V337" s="213"/>
      <c r="W337" s="213"/>
      <c r="X337" s="213"/>
      <c r="Y337" s="213"/>
      <c r="Z337" s="213"/>
      <c r="AA337" s="213"/>
      <c r="AB337" s="211"/>
      <c r="AC337" s="211"/>
      <c r="AD337" s="211"/>
      <c r="AE337" s="211"/>
      <c r="AF337" s="211"/>
      <c r="AG337" s="211"/>
      <c r="AH337" s="211">
        <f>INDEX($C$199:$AN$221, MATCH("New Customers 3MS", $C$199:$C$221, 0), MATCH($C337, $C$199:$AN$199, 0))</f>
        <v>0</v>
      </c>
      <c r="AI337" s="211"/>
      <c r="AJ337" s="211"/>
      <c r="AK337" s="211">
        <f>AH337*($E$153)</f>
        <v>0</v>
      </c>
      <c r="AL337" s="211"/>
      <c r="AM337" s="211"/>
      <c r="AN337" s="211">
        <f>AB331*($H$153)</f>
        <v>0</v>
      </c>
    </row>
    <row r="338" spans="2:40" s="7" customFormat="1" ht="12" hidden="1" customHeight="1" outlineLevel="3">
      <c r="B338" s="245"/>
      <c r="C338" s="250" t="s">
        <v>783</v>
      </c>
      <c r="D338" s="250"/>
      <c r="E338" s="213"/>
      <c r="F338" s="213"/>
      <c r="G338" s="213"/>
      <c r="H338" s="213"/>
      <c r="I338" s="213"/>
      <c r="J338" s="213"/>
      <c r="K338" s="213"/>
      <c r="L338" s="213"/>
      <c r="M338" s="213"/>
      <c r="N338" s="213"/>
      <c r="O338" s="213"/>
      <c r="P338" s="213"/>
      <c r="Q338" s="213"/>
      <c r="R338" s="213"/>
      <c r="S338" s="213"/>
      <c r="T338" s="213"/>
      <c r="U338" s="213"/>
      <c r="V338" s="213"/>
      <c r="W338" s="213"/>
      <c r="X338" s="213"/>
      <c r="Y338" s="213"/>
      <c r="Z338" s="213"/>
      <c r="AA338" s="213"/>
      <c r="AB338" s="211"/>
      <c r="AC338" s="211"/>
      <c r="AD338" s="211"/>
      <c r="AE338" s="211"/>
      <c r="AF338" s="211"/>
      <c r="AG338" s="211"/>
      <c r="AH338" s="211"/>
      <c r="AI338" s="211">
        <f>INDEX($C$199:$AN$221, MATCH("New Customers 3MS", $C$199:$C$221, 0), MATCH($C338, $C$199:$AN$199, 0))</f>
        <v>0</v>
      </c>
      <c r="AJ338" s="211"/>
      <c r="AK338" s="211"/>
      <c r="AL338" s="211">
        <f>AI338*($E$153)</f>
        <v>0</v>
      </c>
      <c r="AM338" s="211"/>
      <c r="AN338" s="211"/>
    </row>
    <row r="339" spans="2:40" s="7" customFormat="1" ht="12" hidden="1" customHeight="1" outlineLevel="3">
      <c r="B339" s="245"/>
      <c r="C339" s="250" t="s">
        <v>784</v>
      </c>
      <c r="D339" s="250"/>
      <c r="E339" s="213"/>
      <c r="F339" s="213"/>
      <c r="G339" s="213"/>
      <c r="H339" s="213"/>
      <c r="I339" s="213"/>
      <c r="J339" s="213"/>
      <c r="K339" s="213"/>
      <c r="L339" s="213"/>
      <c r="M339" s="213"/>
      <c r="N339" s="213"/>
      <c r="O339" s="213"/>
      <c r="P339" s="213"/>
      <c r="Q339" s="213"/>
      <c r="R339" s="213"/>
      <c r="S339" s="213"/>
      <c r="T339" s="213"/>
      <c r="U339" s="213"/>
      <c r="V339" s="213"/>
      <c r="W339" s="213"/>
      <c r="X339" s="213"/>
      <c r="Y339" s="213"/>
      <c r="Z339" s="213"/>
      <c r="AA339" s="213"/>
      <c r="AB339" s="211"/>
      <c r="AC339" s="211"/>
      <c r="AD339" s="211"/>
      <c r="AE339" s="211"/>
      <c r="AF339" s="211"/>
      <c r="AG339" s="211"/>
      <c r="AH339" s="211"/>
      <c r="AI339" s="211"/>
      <c r="AJ339" s="211">
        <f>INDEX($C$199:$AN$221, MATCH("New Customers 3MS", $C$199:$C$221, 0), MATCH($C339, $C$199:$AN$199, 0))</f>
        <v>0</v>
      </c>
      <c r="AK339" s="211"/>
      <c r="AL339" s="211"/>
      <c r="AM339" s="211">
        <f>AJ339*($E$153)</f>
        <v>0</v>
      </c>
      <c r="AN339" s="211"/>
    </row>
    <row r="340" spans="2:40" s="7" customFormat="1" ht="12" hidden="1" customHeight="1" outlineLevel="3">
      <c r="B340" s="245"/>
      <c r="C340" s="250" t="s">
        <v>785</v>
      </c>
      <c r="D340" s="250"/>
      <c r="E340" s="213"/>
      <c r="F340" s="213"/>
      <c r="G340" s="213"/>
      <c r="H340" s="213"/>
      <c r="I340" s="213"/>
      <c r="J340" s="213"/>
      <c r="K340" s="213"/>
      <c r="L340" s="213"/>
      <c r="M340" s="213"/>
      <c r="N340" s="213"/>
      <c r="O340" s="213"/>
      <c r="P340" s="213"/>
      <c r="Q340" s="213"/>
      <c r="R340" s="213"/>
      <c r="S340" s="213"/>
      <c r="T340" s="213"/>
      <c r="U340" s="213"/>
      <c r="V340" s="213"/>
      <c r="W340" s="213"/>
      <c r="X340" s="213"/>
      <c r="Y340" s="213"/>
      <c r="Z340" s="213"/>
      <c r="AA340" s="213"/>
      <c r="AB340" s="211"/>
      <c r="AC340" s="211"/>
      <c r="AD340" s="211"/>
      <c r="AE340" s="211"/>
      <c r="AF340" s="211"/>
      <c r="AG340" s="211"/>
      <c r="AH340" s="211"/>
      <c r="AI340" s="211"/>
      <c r="AJ340" s="211"/>
      <c r="AK340" s="211">
        <f>INDEX($C$199:$AN$221, MATCH("New Customers 3MS", $C$199:$C$221, 0), MATCH($C340, $C$199:$AN$199, 0))</f>
        <v>0</v>
      </c>
      <c r="AL340" s="211"/>
      <c r="AM340" s="211"/>
      <c r="AN340" s="211">
        <f>AK340*($E$153)</f>
        <v>0</v>
      </c>
    </row>
    <row r="341" spans="2:40" s="7" customFormat="1" ht="12" hidden="1" customHeight="1" outlineLevel="3">
      <c r="B341" s="245"/>
      <c r="C341" s="250" t="s">
        <v>786</v>
      </c>
      <c r="D341" s="250"/>
      <c r="E341" s="213"/>
      <c r="F341" s="213"/>
      <c r="G341" s="213"/>
      <c r="H341" s="213"/>
      <c r="I341" s="213"/>
      <c r="J341" s="213"/>
      <c r="K341" s="213"/>
      <c r="L341" s="213"/>
      <c r="M341" s="213"/>
      <c r="N341" s="213"/>
      <c r="O341" s="213"/>
      <c r="P341" s="213"/>
      <c r="Q341" s="213"/>
      <c r="R341" s="213"/>
      <c r="S341" s="213"/>
      <c r="T341" s="213"/>
      <c r="U341" s="213"/>
      <c r="V341" s="213"/>
      <c r="W341" s="213"/>
      <c r="X341" s="213"/>
      <c r="Y341" s="213"/>
      <c r="Z341" s="213"/>
      <c r="AA341" s="213"/>
      <c r="AB341" s="211"/>
      <c r="AC341" s="211"/>
      <c r="AD341" s="211"/>
      <c r="AE341" s="211"/>
      <c r="AF341" s="211"/>
      <c r="AG341" s="211"/>
      <c r="AH341" s="211"/>
      <c r="AI341" s="211"/>
      <c r="AJ341" s="211"/>
      <c r="AK341" s="211"/>
      <c r="AL341" s="211">
        <f>INDEX($C$199:$AN$221, MATCH("New Customers 3MS", $C$199:$C$221, 0), MATCH($C341, $C$199:$AN$199, 0))</f>
        <v>0</v>
      </c>
      <c r="AM341" s="211"/>
      <c r="AN341" s="211"/>
    </row>
    <row r="342" spans="2:40" s="7" customFormat="1" ht="12" hidden="1" customHeight="1" outlineLevel="3">
      <c r="B342" s="245"/>
      <c r="C342" s="250" t="s">
        <v>787</v>
      </c>
      <c r="D342" s="250"/>
      <c r="E342" s="213"/>
      <c r="F342" s="213"/>
      <c r="G342" s="213"/>
      <c r="H342" s="213"/>
      <c r="I342" s="213"/>
      <c r="J342" s="213"/>
      <c r="K342" s="213"/>
      <c r="L342" s="213"/>
      <c r="M342" s="213"/>
      <c r="N342" s="213"/>
      <c r="O342" s="213"/>
      <c r="P342" s="213"/>
      <c r="Q342" s="213"/>
      <c r="R342" s="213"/>
      <c r="S342" s="213"/>
      <c r="T342" s="213"/>
      <c r="U342" s="213"/>
      <c r="V342" s="213"/>
      <c r="W342" s="213"/>
      <c r="X342" s="213"/>
      <c r="Y342" s="213"/>
      <c r="Z342" s="213"/>
      <c r="AA342" s="213"/>
      <c r="AB342" s="211"/>
      <c r="AC342" s="211"/>
      <c r="AD342" s="211"/>
      <c r="AE342" s="211"/>
      <c r="AF342" s="211"/>
      <c r="AG342" s="211"/>
      <c r="AH342" s="211"/>
      <c r="AI342" s="211"/>
      <c r="AJ342" s="211"/>
      <c r="AK342" s="211"/>
      <c r="AL342" s="211"/>
      <c r="AM342" s="211">
        <f>INDEX($C$199:$AN$221, MATCH("New Customers 3MS", $C$199:$C$221, 0), MATCH($C342, $C$199:$AN$199, 0))</f>
        <v>0</v>
      </c>
      <c r="AN342" s="211"/>
    </row>
    <row r="343" spans="2:40" s="7" customFormat="1" ht="12" hidden="1" customHeight="1" outlineLevel="3">
      <c r="B343" s="245"/>
      <c r="C343" s="250" t="s">
        <v>788</v>
      </c>
      <c r="D343" s="250"/>
      <c r="E343" s="213"/>
      <c r="F343" s="213"/>
      <c r="G343" s="213"/>
      <c r="H343" s="213"/>
      <c r="I343" s="213"/>
      <c r="J343" s="213"/>
      <c r="K343" s="213"/>
      <c r="L343" s="213"/>
      <c r="M343" s="213"/>
      <c r="N343" s="213"/>
      <c r="O343" s="213"/>
      <c r="P343" s="213"/>
      <c r="Q343" s="213"/>
      <c r="R343" s="213"/>
      <c r="S343" s="213"/>
      <c r="T343" s="213"/>
      <c r="U343" s="213"/>
      <c r="V343" s="213"/>
      <c r="W343" s="213"/>
      <c r="X343" s="213"/>
      <c r="Y343" s="213"/>
      <c r="Z343" s="213"/>
      <c r="AA343" s="213"/>
      <c r="AB343" s="211"/>
      <c r="AC343" s="211"/>
      <c r="AD343" s="211"/>
      <c r="AE343" s="211"/>
      <c r="AF343" s="211"/>
      <c r="AG343" s="211"/>
      <c r="AH343" s="211"/>
      <c r="AI343" s="211"/>
      <c r="AJ343" s="211"/>
      <c r="AK343" s="211"/>
      <c r="AL343" s="211"/>
      <c r="AM343" s="211"/>
      <c r="AN343" s="211">
        <f>INDEX($C$199:$AN$221, MATCH("New Customers 3MS", $C$199:$C$221, 0), MATCH($C343, $C$199:$AN$199, 0))</f>
        <v>0</v>
      </c>
    </row>
    <row r="344" spans="2:40" s="7" customFormat="1" ht="12" hidden="1" customHeight="1" outlineLevel="2">
      <c r="B344" s="245"/>
      <c r="C344" s="250"/>
      <c r="D344" s="250"/>
      <c r="E344" s="213"/>
      <c r="F344" s="213"/>
      <c r="G344" s="213"/>
      <c r="H344" s="213"/>
      <c r="I344" s="213"/>
      <c r="J344" s="213"/>
      <c r="K344" s="213"/>
      <c r="L344" s="213"/>
      <c r="M344" s="213"/>
      <c r="N344" s="213"/>
      <c r="O344" s="213"/>
      <c r="P344" s="213"/>
      <c r="Q344" s="213"/>
      <c r="R344" s="213"/>
      <c r="S344" s="213"/>
      <c r="T344" s="213"/>
      <c r="U344" s="213"/>
      <c r="V344" s="213"/>
      <c r="W344" s="213"/>
      <c r="X344" s="213"/>
      <c r="Y344" s="213"/>
      <c r="Z344" s="213"/>
      <c r="AA344" s="213"/>
      <c r="AB344" s="211"/>
      <c r="AC344" s="211"/>
      <c r="AD344" s="211"/>
      <c r="AE344" s="211"/>
      <c r="AF344" s="211"/>
      <c r="AG344" s="211"/>
      <c r="AH344" s="211"/>
      <c r="AI344" s="211"/>
      <c r="AJ344" s="211"/>
      <c r="AK344" s="211"/>
      <c r="AL344" s="211"/>
      <c r="AM344" s="211"/>
      <c r="AN344" s="211"/>
    </row>
    <row r="345" spans="2:40" s="7" customFormat="1" ht="12" customHeight="1" outlineLevel="1" collapsed="1">
      <c r="B345" s="239"/>
      <c r="C345" s="243" t="s">
        <v>855</v>
      </c>
      <c r="D345" s="212"/>
      <c r="E345" s="214"/>
      <c r="F345" s="214"/>
      <c r="G345" s="214"/>
      <c r="H345" s="214"/>
      <c r="I345" s="214"/>
      <c r="J345" s="214"/>
      <c r="K345" s="214"/>
      <c r="L345" s="214"/>
      <c r="M345" s="214"/>
      <c r="N345" s="214"/>
      <c r="O345" s="214"/>
      <c r="P345" s="214"/>
      <c r="Q345" s="214"/>
      <c r="R345" s="214"/>
      <c r="S345" s="214"/>
      <c r="T345" s="214"/>
      <c r="U345" s="214"/>
      <c r="V345" s="214"/>
      <c r="W345" s="214"/>
      <c r="X345" s="214"/>
      <c r="Y345" s="214"/>
      <c r="Z345" s="214"/>
      <c r="AA345" s="214"/>
      <c r="AB345" s="214"/>
      <c r="AC345" s="215"/>
    </row>
    <row r="346" spans="2:40" s="7" customFormat="1" ht="12" customHeight="1" outlineLevel="1">
      <c r="B346" s="239"/>
      <c r="C346" s="214"/>
      <c r="D346" s="212"/>
      <c r="E346" s="214"/>
      <c r="F346" s="214"/>
      <c r="G346" s="214"/>
      <c r="H346" s="214"/>
      <c r="I346" s="214"/>
      <c r="J346" s="214"/>
      <c r="K346" s="214"/>
      <c r="L346" s="214"/>
      <c r="M346" s="214"/>
      <c r="N346" s="214"/>
      <c r="O346" s="214"/>
      <c r="P346" s="214"/>
      <c r="Q346" s="214"/>
      <c r="R346" s="214"/>
      <c r="S346" s="214"/>
      <c r="T346" s="214"/>
      <c r="U346" s="214"/>
      <c r="V346" s="214"/>
      <c r="W346" s="214"/>
      <c r="X346" s="214"/>
      <c r="Y346" s="214"/>
      <c r="Z346" s="214"/>
      <c r="AA346" s="214"/>
      <c r="AB346" s="214"/>
      <c r="AC346" s="214"/>
    </row>
    <row r="347" spans="2:40" s="207" customFormat="1">
      <c r="C347" s="248" t="s">
        <v>862</v>
      </c>
    </row>
    <row r="348" spans="2:40" s="7" customFormat="1" ht="12" customHeight="1" outlineLevel="1">
      <c r="B348" s="237"/>
      <c r="C348" s="208"/>
      <c r="D348" s="208"/>
      <c r="E348" s="196" t="s">
        <v>753</v>
      </c>
      <c r="F348" s="196" t="s">
        <v>754</v>
      </c>
      <c r="G348" s="196" t="s">
        <v>755</v>
      </c>
      <c r="H348" s="196" t="s">
        <v>756</v>
      </c>
      <c r="I348" s="196" t="s">
        <v>757</v>
      </c>
      <c r="J348" s="196" t="s">
        <v>758</v>
      </c>
      <c r="K348" s="196" t="s">
        <v>759</v>
      </c>
      <c r="L348" s="196" t="s">
        <v>760</v>
      </c>
      <c r="M348" s="196" t="s">
        <v>761</v>
      </c>
      <c r="N348" s="196" t="s">
        <v>762</v>
      </c>
      <c r="O348" s="196" t="s">
        <v>763</v>
      </c>
      <c r="P348" s="196" t="s">
        <v>764</v>
      </c>
      <c r="Q348" s="196" t="s">
        <v>765</v>
      </c>
      <c r="R348" s="196" t="s">
        <v>766</v>
      </c>
      <c r="S348" s="196" t="s">
        <v>767</v>
      </c>
      <c r="T348" s="196" t="s">
        <v>768</v>
      </c>
      <c r="U348" s="196" t="s">
        <v>769</v>
      </c>
      <c r="V348" s="196" t="s">
        <v>770</v>
      </c>
      <c r="W348" s="196" t="s">
        <v>771</v>
      </c>
      <c r="X348" s="196" t="s">
        <v>772</v>
      </c>
      <c r="Y348" s="196" t="s">
        <v>773</v>
      </c>
      <c r="Z348" s="196" t="s">
        <v>774</v>
      </c>
      <c r="AA348" s="196" t="s">
        <v>775</v>
      </c>
      <c r="AB348" s="196" t="s">
        <v>776</v>
      </c>
      <c r="AC348" s="196" t="s">
        <v>777</v>
      </c>
      <c r="AD348" s="196" t="s">
        <v>778</v>
      </c>
      <c r="AE348" s="196" t="s">
        <v>779</v>
      </c>
      <c r="AF348" s="196" t="s">
        <v>780</v>
      </c>
      <c r="AG348" s="196" t="s">
        <v>781</v>
      </c>
      <c r="AH348" s="196" t="s">
        <v>782</v>
      </c>
      <c r="AI348" s="196" t="s">
        <v>783</v>
      </c>
      <c r="AJ348" s="196" t="s">
        <v>784</v>
      </c>
      <c r="AK348" s="196" t="s">
        <v>785</v>
      </c>
      <c r="AL348" s="196" t="s">
        <v>786</v>
      </c>
      <c r="AM348" s="196" t="s">
        <v>787</v>
      </c>
      <c r="AN348" s="196" t="s">
        <v>788</v>
      </c>
    </row>
    <row r="349" spans="2:40" s="7" customFormat="1" ht="12" customHeight="1" outlineLevel="1">
      <c r="B349" s="239"/>
      <c r="C349" s="214" t="s">
        <v>821</v>
      </c>
      <c r="D349" s="214"/>
      <c r="E349" s="337"/>
      <c r="F349" s="337"/>
      <c r="G349" s="337"/>
      <c r="H349" s="337"/>
      <c r="I349" s="337"/>
      <c r="J349" s="338"/>
      <c r="K349" s="338"/>
      <c r="L349" s="337"/>
      <c r="M349" s="337">
        <f t="shared" ref="M349:AN349" si="333">M36*M41</f>
        <v>55000.000000000007</v>
      </c>
      <c r="N349" s="337">
        <f t="shared" si="333"/>
        <v>55000.000000000007</v>
      </c>
      <c r="O349" s="337">
        <f t="shared" si="333"/>
        <v>12000</v>
      </c>
      <c r="P349" s="337">
        <f t="shared" si="333"/>
        <v>12000</v>
      </c>
      <c r="Q349" s="337">
        <f t="shared" si="333"/>
        <v>19000</v>
      </c>
      <c r="R349" s="337">
        <f t="shared" si="333"/>
        <v>22800</v>
      </c>
      <c r="S349" s="337">
        <f t="shared" si="333"/>
        <v>25080.000000000004</v>
      </c>
      <c r="T349" s="337">
        <f t="shared" si="333"/>
        <v>13794.000000000004</v>
      </c>
      <c r="U349" s="337">
        <f t="shared" si="333"/>
        <v>15173.400000000007</v>
      </c>
      <c r="V349" s="337">
        <f t="shared" si="333"/>
        <v>16690.740000000009</v>
      </c>
      <c r="W349" s="337">
        <f t="shared" si="333"/>
        <v>17525.277000000013</v>
      </c>
      <c r="X349" s="337">
        <f t="shared" si="333"/>
        <v>18401.540850000012</v>
      </c>
      <c r="Y349" s="337">
        <f t="shared" si="333"/>
        <v>19321.617892500013</v>
      </c>
      <c r="Z349" s="337">
        <f t="shared" si="333"/>
        <v>20287.698787125017</v>
      </c>
      <c r="AA349" s="337">
        <f t="shared" si="333"/>
        <v>21302.083726481269</v>
      </c>
      <c r="AB349" s="337">
        <f t="shared" si="333"/>
        <v>22367.187912805333</v>
      </c>
      <c r="AC349" s="337">
        <f t="shared" si="333"/>
        <v>22814.531671061442</v>
      </c>
      <c r="AD349" s="337">
        <f t="shared" si="333"/>
        <v>23955.258254614513</v>
      </c>
      <c r="AE349" s="337">
        <f t="shared" si="333"/>
        <v>25153.021167345243</v>
      </c>
      <c r="AF349" s="337">
        <f t="shared" si="333"/>
        <v>26410.672225712504</v>
      </c>
      <c r="AG349" s="337">
        <f t="shared" si="333"/>
        <v>27731.205836998131</v>
      </c>
      <c r="AH349" s="337">
        <f t="shared" si="333"/>
        <v>29117.766128848041</v>
      </c>
      <c r="AI349" s="337">
        <f t="shared" si="333"/>
        <v>30573.654435290446</v>
      </c>
      <c r="AJ349" s="337">
        <f t="shared" si="333"/>
        <v>32102.337157054968</v>
      </c>
      <c r="AK349" s="337">
        <f t="shared" si="333"/>
        <v>33707.454014907722</v>
      </c>
      <c r="AL349" s="337">
        <f t="shared" si="333"/>
        <v>35392.826715653107</v>
      </c>
      <c r="AM349" s="337">
        <f t="shared" si="333"/>
        <v>37162.468051435768</v>
      </c>
      <c r="AN349" s="337">
        <f t="shared" si="333"/>
        <v>39020.591454007554</v>
      </c>
    </row>
    <row r="350" spans="2:40" ht="12" customHeight="1" outlineLevel="1">
      <c r="B350" s="301"/>
      <c r="C350" s="303" t="s">
        <v>827</v>
      </c>
      <c r="D350" s="303"/>
      <c r="E350" s="312"/>
      <c r="F350" s="312"/>
      <c r="G350" s="312"/>
      <c r="H350" s="312"/>
      <c r="I350" s="312"/>
      <c r="J350" s="312"/>
      <c r="K350" s="312"/>
      <c r="L350" s="312"/>
      <c r="M350" s="313">
        <v>25</v>
      </c>
      <c r="N350" s="313">
        <v>25</v>
      </c>
      <c r="O350" s="313">
        <v>25</v>
      </c>
      <c r="P350" s="313">
        <v>25</v>
      </c>
      <c r="Q350" s="313">
        <v>25</v>
      </c>
      <c r="R350" s="313">
        <v>25</v>
      </c>
      <c r="S350" s="313">
        <v>25</v>
      </c>
      <c r="T350" s="313">
        <v>25</v>
      </c>
      <c r="U350" s="313">
        <v>25</v>
      </c>
      <c r="V350" s="313">
        <v>25</v>
      </c>
      <c r="W350" s="313">
        <v>25</v>
      </c>
      <c r="X350" s="313">
        <v>25</v>
      </c>
      <c r="Y350" s="313">
        <v>25</v>
      </c>
      <c r="Z350" s="313">
        <v>25</v>
      </c>
      <c r="AA350" s="313">
        <v>25</v>
      </c>
      <c r="AB350" s="313">
        <v>25</v>
      </c>
      <c r="AC350" s="313">
        <v>25</v>
      </c>
      <c r="AD350" s="313">
        <v>25</v>
      </c>
      <c r="AE350" s="313">
        <v>25</v>
      </c>
      <c r="AF350" s="313">
        <v>25</v>
      </c>
      <c r="AG350" s="313">
        <v>25</v>
      </c>
      <c r="AH350" s="313">
        <v>25</v>
      </c>
      <c r="AI350" s="313">
        <v>25</v>
      </c>
      <c r="AJ350" s="313">
        <v>25</v>
      </c>
      <c r="AK350" s="313">
        <v>25</v>
      </c>
      <c r="AL350" s="313">
        <v>25</v>
      </c>
      <c r="AM350" s="313">
        <v>25</v>
      </c>
      <c r="AN350" s="313">
        <v>25</v>
      </c>
    </row>
    <row r="351" spans="2:40" s="7" customFormat="1" ht="12" customHeight="1" outlineLevel="1">
      <c r="B351" s="239"/>
      <c r="C351" s="214" t="s">
        <v>829</v>
      </c>
      <c r="D351" s="214"/>
      <c r="E351" s="232"/>
      <c r="F351" s="232"/>
      <c r="G351" s="232"/>
      <c r="H351" s="232"/>
      <c r="I351" s="232"/>
      <c r="J351" s="232"/>
      <c r="K351" s="232"/>
      <c r="L351" s="232"/>
      <c r="M351" s="205">
        <f t="shared" ref="M351" si="334">M349/M350</f>
        <v>2200.0000000000005</v>
      </c>
      <c r="N351" s="205">
        <f t="shared" ref="N351" si="335">N349/N350</f>
        <v>2200.0000000000005</v>
      </c>
      <c r="O351" s="205">
        <f t="shared" ref="O351" si="336">O349/O350</f>
        <v>480</v>
      </c>
      <c r="P351" s="205">
        <f t="shared" ref="P351" si="337">P349/P350</f>
        <v>480</v>
      </c>
      <c r="Q351" s="205">
        <f t="shared" ref="Q351" si="338">Q349/Q350</f>
        <v>760</v>
      </c>
      <c r="R351" s="205">
        <f t="shared" ref="R351" si="339">R349/R350</f>
        <v>912</v>
      </c>
      <c r="S351" s="205">
        <f t="shared" ref="S351" si="340">S349/S350</f>
        <v>1003.2000000000002</v>
      </c>
      <c r="T351" s="205">
        <f t="shared" ref="T351" si="341">T349/T350</f>
        <v>551.7600000000001</v>
      </c>
      <c r="U351" s="205">
        <f t="shared" ref="U351" si="342">U349/U350</f>
        <v>606.93600000000026</v>
      </c>
      <c r="V351" s="205">
        <f t="shared" ref="V351" si="343">V349/V350</f>
        <v>667.62960000000032</v>
      </c>
      <c r="W351" s="205">
        <f t="shared" ref="W351" si="344">W349/W350</f>
        <v>701.01108000000056</v>
      </c>
      <c r="X351" s="205">
        <f t="shared" ref="X351" si="345">X349/X350</f>
        <v>736.06163400000048</v>
      </c>
      <c r="Y351" s="205">
        <f t="shared" ref="Y351" si="346">Y349/Y350</f>
        <v>772.86471570000049</v>
      </c>
      <c r="Z351" s="205">
        <f t="shared" ref="Z351" si="347">Z349/Z350</f>
        <v>811.50795148500072</v>
      </c>
      <c r="AA351" s="205">
        <f t="shared" ref="AA351" si="348">AA349/AA350</f>
        <v>852.08334905925074</v>
      </c>
      <c r="AB351" s="205">
        <f t="shared" ref="AB351" si="349">AB349/AB350</f>
        <v>894.68751651221328</v>
      </c>
      <c r="AC351" s="205">
        <f t="shared" ref="AC351" si="350">AC349/AC350</f>
        <v>912.58126684245769</v>
      </c>
      <c r="AD351" s="205">
        <f t="shared" ref="AD351" si="351">AD349/AD350</f>
        <v>958.21033018458047</v>
      </c>
      <c r="AE351" s="205">
        <f t="shared" ref="AE351" si="352">AE349/AE350</f>
        <v>1006.1208466938098</v>
      </c>
      <c r="AF351" s="205">
        <f t="shared" ref="AF351" si="353">AF349/AF350</f>
        <v>1056.4268890285002</v>
      </c>
      <c r="AG351" s="205">
        <f t="shared" ref="AG351" si="354">AG349/AG350</f>
        <v>1109.2482334799251</v>
      </c>
      <c r="AH351" s="205">
        <f t="shared" ref="AH351" si="355">AH349/AH350</f>
        <v>1164.7106451539216</v>
      </c>
      <c r="AI351" s="205">
        <f t="shared" ref="AI351" si="356">AI349/AI350</f>
        <v>1222.9461774116178</v>
      </c>
      <c r="AJ351" s="205">
        <f t="shared" ref="AJ351" si="357">AJ349/AJ350</f>
        <v>1284.0934862821987</v>
      </c>
      <c r="AK351" s="205">
        <f t="shared" ref="AK351" si="358">AK349/AK350</f>
        <v>1348.2981605963089</v>
      </c>
      <c r="AL351" s="205">
        <f t="shared" ref="AL351" si="359">AL349/AL350</f>
        <v>1415.7130686261244</v>
      </c>
      <c r="AM351" s="205">
        <f t="shared" ref="AM351" si="360">AM349/AM350</f>
        <v>1486.4987220574308</v>
      </c>
      <c r="AN351" s="205">
        <f t="shared" ref="AN351" si="361">AN349/AN350</f>
        <v>1560.8236581603021</v>
      </c>
    </row>
    <row r="352" spans="2:40" ht="12" customHeight="1" outlineLevel="1">
      <c r="B352" s="301"/>
      <c r="C352" s="303" t="s">
        <v>830</v>
      </c>
      <c r="D352" s="303"/>
      <c r="E352" s="314">
        <v>0</v>
      </c>
      <c r="F352" s="314">
        <v>0</v>
      </c>
      <c r="G352" s="314">
        <v>0</v>
      </c>
      <c r="H352" s="314">
        <v>0</v>
      </c>
      <c r="I352" s="314">
        <v>0</v>
      </c>
      <c r="J352" s="314">
        <v>0</v>
      </c>
      <c r="K352" s="314">
        <v>0</v>
      </c>
      <c r="L352" s="314">
        <v>0</v>
      </c>
      <c r="M352" s="315">
        <v>0.1</v>
      </c>
      <c r="N352" s="315">
        <v>0.1</v>
      </c>
      <c r="O352" s="315">
        <v>0.1</v>
      </c>
      <c r="P352" s="315">
        <v>0.1</v>
      </c>
      <c r="Q352" s="315">
        <v>0.1</v>
      </c>
      <c r="R352" s="315">
        <v>0.1</v>
      </c>
      <c r="S352" s="315">
        <v>0.1</v>
      </c>
      <c r="T352" s="315">
        <v>0.1</v>
      </c>
      <c r="U352" s="315">
        <v>0.1</v>
      </c>
      <c r="V352" s="315">
        <v>0.1</v>
      </c>
      <c r="W352" s="315">
        <v>0.1</v>
      </c>
      <c r="X352" s="315">
        <v>0.1</v>
      </c>
      <c r="Y352" s="315">
        <v>0.1</v>
      </c>
      <c r="Z352" s="315">
        <v>0.1</v>
      </c>
      <c r="AA352" s="315">
        <v>0.1</v>
      </c>
      <c r="AB352" s="315">
        <v>0.1</v>
      </c>
      <c r="AC352" s="315">
        <v>0.1</v>
      </c>
      <c r="AD352" s="315">
        <v>0.1</v>
      </c>
      <c r="AE352" s="315">
        <v>0.1</v>
      </c>
      <c r="AF352" s="315">
        <v>0.1</v>
      </c>
      <c r="AG352" s="315">
        <v>0.1</v>
      </c>
      <c r="AH352" s="315">
        <v>0.1</v>
      </c>
      <c r="AI352" s="315">
        <v>0.1</v>
      </c>
      <c r="AJ352" s="315">
        <v>0.1</v>
      </c>
      <c r="AK352" s="315">
        <v>0.1</v>
      </c>
      <c r="AL352" s="315">
        <v>0.1</v>
      </c>
      <c r="AM352" s="315">
        <v>0.1</v>
      </c>
      <c r="AN352" s="315">
        <v>0.1</v>
      </c>
    </row>
    <row r="353" spans="2:40" s="7" customFormat="1" ht="12" customHeight="1" outlineLevel="1">
      <c r="B353" s="239"/>
      <c r="C353" s="214" t="s">
        <v>831</v>
      </c>
      <c r="D353" s="214"/>
      <c r="E353" s="232">
        <f t="shared" ref="E353:L353" si="362">E351*E352</f>
        <v>0</v>
      </c>
      <c r="F353" s="232">
        <f t="shared" si="362"/>
        <v>0</v>
      </c>
      <c r="G353" s="232">
        <f t="shared" si="362"/>
        <v>0</v>
      </c>
      <c r="H353" s="232">
        <f t="shared" si="362"/>
        <v>0</v>
      </c>
      <c r="I353" s="232">
        <f t="shared" si="362"/>
        <v>0</v>
      </c>
      <c r="J353" s="232">
        <f t="shared" si="362"/>
        <v>0</v>
      </c>
      <c r="K353" s="232">
        <f t="shared" si="362"/>
        <v>0</v>
      </c>
      <c r="L353" s="232">
        <f t="shared" si="362"/>
        <v>0</v>
      </c>
      <c r="M353" s="205">
        <f t="shared" ref="M353:AN353" si="363">M351*M352</f>
        <v>220.00000000000006</v>
      </c>
      <c r="N353" s="205">
        <f t="shared" si="363"/>
        <v>220.00000000000006</v>
      </c>
      <c r="O353" s="205">
        <f t="shared" si="363"/>
        <v>48</v>
      </c>
      <c r="P353" s="205">
        <f t="shared" si="363"/>
        <v>48</v>
      </c>
      <c r="Q353" s="205">
        <f t="shared" si="363"/>
        <v>76</v>
      </c>
      <c r="R353" s="205">
        <f t="shared" si="363"/>
        <v>91.2</v>
      </c>
      <c r="S353" s="205">
        <f t="shared" si="363"/>
        <v>100.32000000000002</v>
      </c>
      <c r="T353" s="205">
        <f t="shared" si="363"/>
        <v>55.176000000000016</v>
      </c>
      <c r="U353" s="205">
        <f t="shared" si="363"/>
        <v>60.693600000000032</v>
      </c>
      <c r="V353" s="205">
        <f t="shared" si="363"/>
        <v>66.762960000000035</v>
      </c>
      <c r="W353" s="205">
        <f t="shared" si="363"/>
        <v>70.101108000000053</v>
      </c>
      <c r="X353" s="205">
        <f t="shared" si="363"/>
        <v>73.606163400000057</v>
      </c>
      <c r="Y353" s="205">
        <f t="shared" si="363"/>
        <v>77.28647157000006</v>
      </c>
      <c r="Z353" s="205">
        <f t="shared" si="363"/>
        <v>81.15079514850008</v>
      </c>
      <c r="AA353" s="205">
        <f t="shared" si="363"/>
        <v>85.208334905925085</v>
      </c>
      <c r="AB353" s="205">
        <f t="shared" si="363"/>
        <v>89.468751651221339</v>
      </c>
      <c r="AC353" s="205">
        <f t="shared" si="363"/>
        <v>91.258126684245781</v>
      </c>
      <c r="AD353" s="205">
        <f t="shared" si="363"/>
        <v>95.821033018458053</v>
      </c>
      <c r="AE353" s="205">
        <f t="shared" si="363"/>
        <v>100.61208466938098</v>
      </c>
      <c r="AF353" s="205">
        <f t="shared" si="363"/>
        <v>105.64268890285003</v>
      </c>
      <c r="AG353" s="205">
        <f t="shared" si="363"/>
        <v>110.92482334799251</v>
      </c>
      <c r="AH353" s="205">
        <f t="shared" si="363"/>
        <v>116.47106451539217</v>
      </c>
      <c r="AI353" s="205">
        <f t="shared" si="363"/>
        <v>122.29461774116179</v>
      </c>
      <c r="AJ353" s="205">
        <f t="shared" si="363"/>
        <v>128.40934862821987</v>
      </c>
      <c r="AK353" s="205">
        <f t="shared" si="363"/>
        <v>134.8298160596309</v>
      </c>
      <c r="AL353" s="205">
        <f t="shared" si="363"/>
        <v>141.57130686261243</v>
      </c>
      <c r="AM353" s="205">
        <f t="shared" si="363"/>
        <v>148.64987220574309</v>
      </c>
      <c r="AN353" s="205">
        <f t="shared" si="363"/>
        <v>156.08236581603023</v>
      </c>
    </row>
    <row r="354" spans="2:40" s="7" customFormat="1" ht="12" customHeight="1" outlineLevel="1">
      <c r="B354" s="239"/>
      <c r="C354" s="214" t="s">
        <v>833</v>
      </c>
      <c r="D354" s="214"/>
      <c r="E354" s="232">
        <f>340+220</f>
        <v>560</v>
      </c>
      <c r="F354" s="232">
        <f>556+267</f>
        <v>823</v>
      </c>
      <c r="G354" s="232">
        <f>1130+421</f>
        <v>1551</v>
      </c>
      <c r="H354" s="232">
        <f>2716+323</f>
        <v>3039</v>
      </c>
      <c r="I354" s="232">
        <f>813+163</f>
        <v>976</v>
      </c>
      <c r="J354" s="232">
        <f>1399+403</f>
        <v>1802</v>
      </c>
      <c r="K354" s="232">
        <f>1208+462</f>
        <v>1670</v>
      </c>
      <c r="L354" s="232">
        <f>384+467</f>
        <v>851</v>
      </c>
      <c r="M354" s="205">
        <f>M351+M353</f>
        <v>2420.0000000000005</v>
      </c>
      <c r="N354" s="205">
        <f t="shared" ref="N354" si="364">N351+N353</f>
        <v>2420.0000000000005</v>
      </c>
      <c r="O354" s="205">
        <f t="shared" ref="O354" si="365">O351+O353</f>
        <v>528</v>
      </c>
      <c r="P354" s="205">
        <f t="shared" ref="P354" si="366">P351+P353</f>
        <v>528</v>
      </c>
      <c r="Q354" s="205">
        <f t="shared" ref="Q354" si="367">Q351+Q353</f>
        <v>836</v>
      </c>
      <c r="R354" s="205">
        <f t="shared" ref="R354" si="368">R351+R353</f>
        <v>1003.2</v>
      </c>
      <c r="S354" s="205">
        <f t="shared" ref="S354" si="369">S351+S353</f>
        <v>1103.5200000000002</v>
      </c>
      <c r="T354" s="205">
        <f t="shared" ref="T354" si="370">T351+T353</f>
        <v>606.93600000000015</v>
      </c>
      <c r="U354" s="205">
        <f t="shared" ref="U354" si="371">U351+U353</f>
        <v>667.62960000000032</v>
      </c>
      <c r="V354" s="205">
        <f t="shared" ref="V354" si="372">V351+V353</f>
        <v>734.39256000000034</v>
      </c>
      <c r="W354" s="205">
        <f t="shared" ref="W354" si="373">W351+W353</f>
        <v>771.11218800000063</v>
      </c>
      <c r="X354" s="205">
        <f t="shared" ref="X354" si="374">X351+X353</f>
        <v>809.6677974000005</v>
      </c>
      <c r="Y354" s="205">
        <f t="shared" ref="Y354" si="375">Y351+Y353</f>
        <v>850.15118727000049</v>
      </c>
      <c r="Z354" s="205">
        <f t="shared" ref="Z354" si="376">Z351+Z353</f>
        <v>892.65874663350075</v>
      </c>
      <c r="AA354" s="205">
        <f t="shared" ref="AA354" si="377">AA351+AA353</f>
        <v>937.29168396517582</v>
      </c>
      <c r="AB354" s="205">
        <f t="shared" ref="AB354" si="378">AB351+AB353</f>
        <v>984.15626816343456</v>
      </c>
      <c r="AC354" s="205">
        <f t="shared" ref="AC354" si="379">AC351+AC353</f>
        <v>1003.8393935267035</v>
      </c>
      <c r="AD354" s="205">
        <f t="shared" ref="AD354" si="380">AD351+AD353</f>
        <v>1054.0313632030386</v>
      </c>
      <c r="AE354" s="205">
        <f t="shared" ref="AE354" si="381">AE351+AE353</f>
        <v>1106.7329313631908</v>
      </c>
      <c r="AF354" s="205">
        <f t="shared" ref="AF354" si="382">AF351+AF353</f>
        <v>1162.0695779313503</v>
      </c>
      <c r="AG354" s="205">
        <f t="shared" ref="AG354" si="383">AG351+AG353</f>
        <v>1220.1730568279177</v>
      </c>
      <c r="AH354" s="205">
        <f t="shared" ref="AH354" si="384">AH351+AH353</f>
        <v>1281.1817096693137</v>
      </c>
      <c r="AI354" s="205">
        <f t="shared" ref="AI354" si="385">AI351+AI353</f>
        <v>1345.2407951527796</v>
      </c>
      <c r="AJ354" s="205">
        <f t="shared" ref="AJ354" si="386">AJ351+AJ353</f>
        <v>1412.5028349104186</v>
      </c>
      <c r="AK354" s="205">
        <f t="shared" ref="AK354" si="387">AK351+AK353</f>
        <v>1483.1279766559398</v>
      </c>
      <c r="AL354" s="205">
        <f t="shared" ref="AL354" si="388">AL351+AL353</f>
        <v>1557.2843754887367</v>
      </c>
      <c r="AM354" s="205">
        <f t="shared" ref="AM354" si="389">AM351+AM353</f>
        <v>1635.1485942631739</v>
      </c>
      <c r="AN354" s="205">
        <f t="shared" ref="AN354" si="390">AN351+AN353</f>
        <v>1716.9060239763323</v>
      </c>
    </row>
    <row r="355" spans="2:40" s="7" customFormat="1" ht="12" customHeight="1" outlineLevel="1">
      <c r="B355" s="239"/>
      <c r="C355" s="214" t="s">
        <v>834</v>
      </c>
      <c r="D355" s="214"/>
      <c r="E355" s="232">
        <v>220</v>
      </c>
      <c r="F355" s="232">
        <v>267</v>
      </c>
      <c r="G355" s="232">
        <v>421</v>
      </c>
      <c r="H355" s="232">
        <v>323</v>
      </c>
      <c r="I355" s="232">
        <v>163</v>
      </c>
      <c r="J355" s="232">
        <v>403</v>
      </c>
      <c r="K355" s="232">
        <v>462</v>
      </c>
      <c r="L355" s="232">
        <v>467</v>
      </c>
      <c r="M355" s="205">
        <f t="shared" ref="M355:AN355" si="391">M363+M364</f>
        <v>242.00000000000006</v>
      </c>
      <c r="N355" s="205">
        <f t="shared" si="391"/>
        <v>242.00000000000006</v>
      </c>
      <c r="O355" s="205">
        <f t="shared" si="391"/>
        <v>52.800000000000004</v>
      </c>
      <c r="P355" s="205">
        <f t="shared" si="391"/>
        <v>52.800000000000004</v>
      </c>
      <c r="Q355" s="205">
        <f t="shared" si="391"/>
        <v>83.600000000000009</v>
      </c>
      <c r="R355" s="205">
        <f t="shared" si="391"/>
        <v>100.32000000000001</v>
      </c>
      <c r="S355" s="205">
        <f t="shared" si="391"/>
        <v>110.35200000000003</v>
      </c>
      <c r="T355" s="205">
        <f t="shared" si="391"/>
        <v>60.693600000000018</v>
      </c>
      <c r="U355" s="205">
        <f t="shared" si="391"/>
        <v>66.762960000000035</v>
      </c>
      <c r="V355" s="205">
        <f t="shared" si="391"/>
        <v>73.439256000000043</v>
      </c>
      <c r="W355" s="205">
        <f t="shared" si="391"/>
        <v>77.111218800000074</v>
      </c>
      <c r="X355" s="205">
        <f t="shared" si="391"/>
        <v>80.96677974000005</v>
      </c>
      <c r="Y355" s="205">
        <f t="shared" si="391"/>
        <v>85.015118727000058</v>
      </c>
      <c r="Z355" s="205">
        <f t="shared" si="391"/>
        <v>89.265874663350075</v>
      </c>
      <c r="AA355" s="205">
        <f t="shared" si="391"/>
        <v>93.729168396517593</v>
      </c>
      <c r="AB355" s="205">
        <f t="shared" si="391"/>
        <v>98.415626816343462</v>
      </c>
      <c r="AC355" s="205">
        <f t="shared" si="391"/>
        <v>100.38393935267035</v>
      </c>
      <c r="AD355" s="205">
        <f t="shared" si="391"/>
        <v>105.40313632030387</v>
      </c>
      <c r="AE355" s="205">
        <f t="shared" si="391"/>
        <v>110.67329313631909</v>
      </c>
      <c r="AF355" s="205">
        <f t="shared" si="391"/>
        <v>116.20695779313503</v>
      </c>
      <c r="AG355" s="205">
        <f t="shared" si="391"/>
        <v>122.01730568279177</v>
      </c>
      <c r="AH355" s="205">
        <f t="shared" si="391"/>
        <v>128.11817096693139</v>
      </c>
      <c r="AI355" s="205">
        <f t="shared" si="391"/>
        <v>134.52407951527798</v>
      </c>
      <c r="AJ355" s="205">
        <f t="shared" si="391"/>
        <v>141.25028349104187</v>
      </c>
      <c r="AK355" s="205">
        <f t="shared" si="391"/>
        <v>148.31279766559399</v>
      </c>
      <c r="AL355" s="205">
        <f t="shared" si="391"/>
        <v>155.72843754887367</v>
      </c>
      <c r="AM355" s="205">
        <f t="shared" si="391"/>
        <v>163.5148594263174</v>
      </c>
      <c r="AN355" s="205">
        <f t="shared" si="391"/>
        <v>171.69060239763326</v>
      </c>
    </row>
    <row r="356" spans="2:40" s="7" customFormat="1" ht="12" customHeight="1" outlineLevel="1">
      <c r="B356" s="239"/>
      <c r="C356" s="214" t="s">
        <v>835</v>
      </c>
      <c r="D356" s="214"/>
      <c r="E356" s="205"/>
      <c r="F356" s="205"/>
      <c r="G356" s="205"/>
      <c r="H356" s="205"/>
      <c r="I356" s="205"/>
      <c r="J356" s="205"/>
      <c r="K356" s="205"/>
      <c r="L356" s="205"/>
      <c r="M356" s="205"/>
      <c r="N356" s="205"/>
      <c r="O356" s="205"/>
      <c r="P356" s="205"/>
      <c r="Q356" s="205"/>
      <c r="R356" s="205"/>
      <c r="S356" s="205"/>
      <c r="T356" s="205"/>
      <c r="U356" s="205"/>
      <c r="V356" s="205"/>
      <c r="W356" s="205"/>
      <c r="X356" s="205"/>
      <c r="Y356" s="205"/>
      <c r="Z356" s="205"/>
      <c r="AA356" s="205"/>
      <c r="AB356" s="205"/>
      <c r="AC356" s="205"/>
      <c r="AD356" s="205"/>
      <c r="AE356" s="205"/>
      <c r="AF356" s="205"/>
      <c r="AG356" s="205"/>
      <c r="AH356" s="205"/>
      <c r="AI356" s="205"/>
      <c r="AJ356" s="205"/>
      <c r="AK356" s="205"/>
      <c r="AL356" s="205"/>
      <c r="AM356" s="205"/>
      <c r="AN356" s="205"/>
    </row>
    <row r="357" spans="2:40" s="7" customFormat="1" ht="12" customHeight="1" outlineLevel="1">
      <c r="B357" s="239"/>
      <c r="C357" s="214" t="s">
        <v>836</v>
      </c>
      <c r="D357" s="214"/>
      <c r="E357" s="205"/>
      <c r="F357" s="205"/>
      <c r="G357" s="205"/>
      <c r="H357" s="205"/>
      <c r="I357" s="205"/>
      <c r="J357" s="205"/>
      <c r="K357" s="205"/>
      <c r="L357" s="205"/>
      <c r="M357" s="205"/>
      <c r="N357" s="205"/>
      <c r="O357" s="205"/>
      <c r="P357" s="205"/>
      <c r="Q357" s="205"/>
      <c r="R357" s="205"/>
      <c r="S357" s="205"/>
      <c r="T357" s="205"/>
      <c r="U357" s="205"/>
      <c r="V357" s="205"/>
      <c r="W357" s="205"/>
      <c r="X357" s="205"/>
      <c r="Y357" s="205"/>
      <c r="Z357" s="205"/>
      <c r="AA357" s="205"/>
      <c r="AB357" s="205"/>
      <c r="AC357" s="205"/>
      <c r="AD357" s="205"/>
      <c r="AE357" s="205"/>
      <c r="AF357" s="205"/>
      <c r="AG357" s="205"/>
      <c r="AH357" s="205"/>
      <c r="AI357" s="205"/>
      <c r="AJ357" s="205"/>
      <c r="AK357" s="205"/>
      <c r="AL357" s="205"/>
      <c r="AM357" s="205"/>
      <c r="AN357" s="205"/>
    </row>
    <row r="358" spans="2:40" ht="12" customHeight="1" outlineLevel="1">
      <c r="B358" s="301" t="s">
        <v>863</v>
      </c>
      <c r="C358" s="303" t="s">
        <v>837</v>
      </c>
      <c r="D358" s="303"/>
      <c r="E358" s="317">
        <f>340/560</f>
        <v>0.6071428571428571</v>
      </c>
      <c r="F358" s="317">
        <f>556/823</f>
        <v>0.67557715674362095</v>
      </c>
      <c r="G358" s="317">
        <f>1130/1551</f>
        <v>0.72856221792392006</v>
      </c>
      <c r="H358" s="317">
        <f>2716/3039</f>
        <v>0.89371503784139517</v>
      </c>
      <c r="I358" s="317">
        <f>813/976</f>
        <v>0.83299180327868849</v>
      </c>
      <c r="J358" s="317">
        <v>0.8</v>
      </c>
      <c r="K358" s="317">
        <f>J358</f>
        <v>0.8</v>
      </c>
      <c r="L358" s="317">
        <f t="shared" ref="L358" si="392">K358</f>
        <v>0.8</v>
      </c>
      <c r="M358" s="318">
        <v>0.9</v>
      </c>
      <c r="N358" s="318">
        <v>0.9</v>
      </c>
      <c r="O358" s="318">
        <v>0.9</v>
      </c>
      <c r="P358" s="318">
        <v>0.9</v>
      </c>
      <c r="Q358" s="318">
        <v>0.9</v>
      </c>
      <c r="R358" s="318">
        <v>0.9</v>
      </c>
      <c r="S358" s="318">
        <v>0.9</v>
      </c>
      <c r="T358" s="318">
        <v>0.9</v>
      </c>
      <c r="U358" s="318">
        <v>0.9</v>
      </c>
      <c r="V358" s="318">
        <v>0.9</v>
      </c>
      <c r="W358" s="318">
        <v>0.9</v>
      </c>
      <c r="X358" s="318">
        <v>0.9</v>
      </c>
      <c r="Y358" s="318">
        <v>0.9</v>
      </c>
      <c r="Z358" s="318">
        <v>0.9</v>
      </c>
      <c r="AA358" s="318">
        <v>0.9</v>
      </c>
      <c r="AB358" s="318">
        <v>0.9</v>
      </c>
      <c r="AC358" s="318">
        <v>0.9</v>
      </c>
      <c r="AD358" s="318">
        <v>0.9</v>
      </c>
      <c r="AE358" s="318">
        <v>0.9</v>
      </c>
      <c r="AF358" s="318">
        <v>0.9</v>
      </c>
      <c r="AG358" s="318">
        <v>0.9</v>
      </c>
      <c r="AH358" s="318">
        <v>0.9</v>
      </c>
      <c r="AI358" s="318">
        <v>0.9</v>
      </c>
      <c r="AJ358" s="318">
        <v>0.9</v>
      </c>
      <c r="AK358" s="318">
        <v>0.9</v>
      </c>
      <c r="AL358" s="318">
        <v>0.9</v>
      </c>
      <c r="AM358" s="318">
        <v>0.9</v>
      </c>
      <c r="AN358" s="318">
        <v>0.9</v>
      </c>
    </row>
    <row r="359" spans="2:40" ht="12" customHeight="1" outlineLevel="1">
      <c r="B359" s="301"/>
      <c r="C359" s="303" t="s">
        <v>839</v>
      </c>
      <c r="D359" s="303"/>
      <c r="E359" s="317">
        <f>1-E358</f>
        <v>0.3928571428571429</v>
      </c>
      <c r="F359" s="317">
        <f>1-F358</f>
        <v>0.32442284325637905</v>
      </c>
      <c r="G359" s="317">
        <f>1-G358</f>
        <v>0.27143778207607994</v>
      </c>
      <c r="H359" s="317">
        <f t="shared" ref="H359:I359" si="393">1-H358</f>
        <v>0.10628496215860483</v>
      </c>
      <c r="I359" s="317">
        <f t="shared" si="393"/>
        <v>0.16700819672131151</v>
      </c>
      <c r="J359" s="317">
        <v>0.05</v>
      </c>
      <c r="K359" s="317">
        <v>0.05</v>
      </c>
      <c r="L359" s="317">
        <v>0.05</v>
      </c>
      <c r="M359" s="318">
        <v>0.05</v>
      </c>
      <c r="N359" s="318">
        <v>0.05</v>
      </c>
      <c r="O359" s="318">
        <v>0.05</v>
      </c>
      <c r="P359" s="318">
        <v>0.05</v>
      </c>
      <c r="Q359" s="318">
        <v>0.05</v>
      </c>
      <c r="R359" s="318">
        <v>0.05</v>
      </c>
      <c r="S359" s="318">
        <v>0.05</v>
      </c>
      <c r="T359" s="318">
        <v>0.05</v>
      </c>
      <c r="U359" s="318">
        <v>0.05</v>
      </c>
      <c r="V359" s="318">
        <v>0.05</v>
      </c>
      <c r="W359" s="318">
        <v>0.05</v>
      </c>
      <c r="X359" s="318">
        <v>0.05</v>
      </c>
      <c r="Y359" s="318">
        <v>0.05</v>
      </c>
      <c r="Z359" s="318">
        <v>0.05</v>
      </c>
      <c r="AA359" s="318">
        <v>0.05</v>
      </c>
      <c r="AB359" s="318">
        <v>0.05</v>
      </c>
      <c r="AC359" s="318">
        <v>0.05</v>
      </c>
      <c r="AD359" s="318">
        <v>0.05</v>
      </c>
      <c r="AE359" s="318">
        <v>0.05</v>
      </c>
      <c r="AF359" s="318">
        <v>0.05</v>
      </c>
      <c r="AG359" s="318">
        <v>0.05</v>
      </c>
      <c r="AH359" s="318">
        <v>0.05</v>
      </c>
      <c r="AI359" s="318">
        <v>0.05</v>
      </c>
      <c r="AJ359" s="318">
        <v>0.05</v>
      </c>
      <c r="AK359" s="318">
        <v>0.05</v>
      </c>
      <c r="AL359" s="318">
        <v>0.05</v>
      </c>
      <c r="AM359" s="318">
        <v>0.05</v>
      </c>
      <c r="AN359" s="318">
        <v>0.05</v>
      </c>
    </row>
    <row r="360" spans="2:40" ht="12" customHeight="1" outlineLevel="1">
      <c r="B360" s="301"/>
      <c r="C360" s="303" t="s">
        <v>840</v>
      </c>
      <c r="D360" s="303"/>
      <c r="E360" s="317">
        <v>0</v>
      </c>
      <c r="F360" s="317">
        <v>0</v>
      </c>
      <c r="G360" s="317">
        <v>0</v>
      </c>
      <c r="H360" s="317">
        <v>0</v>
      </c>
      <c r="I360" s="317">
        <v>0</v>
      </c>
      <c r="J360" s="317">
        <v>0.15</v>
      </c>
      <c r="K360" s="317">
        <v>0.15</v>
      </c>
      <c r="L360" s="317">
        <v>0.15</v>
      </c>
      <c r="M360" s="318">
        <v>0.05</v>
      </c>
      <c r="N360" s="318">
        <v>0.05</v>
      </c>
      <c r="O360" s="318">
        <v>0.05</v>
      </c>
      <c r="P360" s="318">
        <v>0.05</v>
      </c>
      <c r="Q360" s="318">
        <v>0.05</v>
      </c>
      <c r="R360" s="318">
        <v>0.05</v>
      </c>
      <c r="S360" s="318">
        <v>0.05</v>
      </c>
      <c r="T360" s="318">
        <v>0.05</v>
      </c>
      <c r="U360" s="318">
        <v>0.05</v>
      </c>
      <c r="V360" s="318">
        <v>0.05</v>
      </c>
      <c r="W360" s="318">
        <v>0.05</v>
      </c>
      <c r="X360" s="318">
        <v>0.05</v>
      </c>
      <c r="Y360" s="318">
        <v>0.05</v>
      </c>
      <c r="Z360" s="318">
        <v>0.05</v>
      </c>
      <c r="AA360" s="318">
        <v>0.05</v>
      </c>
      <c r="AB360" s="318">
        <v>0.05</v>
      </c>
      <c r="AC360" s="318">
        <v>0.05</v>
      </c>
      <c r="AD360" s="318">
        <v>0.05</v>
      </c>
      <c r="AE360" s="318">
        <v>0.05</v>
      </c>
      <c r="AF360" s="318">
        <v>0.05</v>
      </c>
      <c r="AG360" s="318">
        <v>0.05</v>
      </c>
      <c r="AH360" s="318">
        <v>0.05</v>
      </c>
      <c r="AI360" s="318">
        <v>0.05</v>
      </c>
      <c r="AJ360" s="318">
        <v>0.05</v>
      </c>
      <c r="AK360" s="318">
        <v>0.05</v>
      </c>
      <c r="AL360" s="318">
        <v>0.05</v>
      </c>
      <c r="AM360" s="318">
        <v>0.05</v>
      </c>
      <c r="AN360" s="318">
        <v>0.05</v>
      </c>
    </row>
    <row r="361" spans="2:40" s="7" customFormat="1" ht="12" customHeight="1" outlineLevel="1">
      <c r="B361" s="237"/>
      <c r="C361" s="208"/>
      <c r="D361" s="208"/>
      <c r="E361" s="216"/>
      <c r="F361" s="216"/>
      <c r="G361" s="216"/>
      <c r="H361" s="216"/>
      <c r="I361" s="216"/>
      <c r="J361" s="216"/>
      <c r="K361" s="216"/>
      <c r="L361" s="216"/>
      <c r="M361" s="216"/>
      <c r="N361" s="216"/>
      <c r="O361" s="216"/>
      <c r="P361" s="216"/>
      <c r="Q361" s="216"/>
      <c r="R361" s="216"/>
      <c r="S361" s="216"/>
      <c r="T361" s="216"/>
      <c r="U361" s="216"/>
      <c r="V361" s="216"/>
      <c r="W361" s="216"/>
      <c r="X361" s="216"/>
      <c r="Y361" s="216"/>
      <c r="Z361" s="216"/>
      <c r="AA361" s="216"/>
      <c r="AB361" s="216"/>
      <c r="AC361" s="216"/>
      <c r="AD361" s="216"/>
      <c r="AE361" s="216"/>
      <c r="AF361" s="216"/>
      <c r="AG361" s="216"/>
      <c r="AH361" s="216"/>
      <c r="AI361" s="216"/>
      <c r="AJ361" s="216"/>
      <c r="AK361" s="216"/>
      <c r="AL361" s="216"/>
      <c r="AM361" s="216"/>
      <c r="AN361" s="216"/>
    </row>
    <row r="362" spans="2:40" s="7" customFormat="1" ht="12" customHeight="1" outlineLevel="1">
      <c r="B362" s="239"/>
      <c r="C362" s="214" t="s">
        <v>841</v>
      </c>
      <c r="D362" s="214"/>
      <c r="E362" s="209">
        <f>E354*E358</f>
        <v>340</v>
      </c>
      <c r="F362" s="209">
        <f t="shared" ref="F362:AN362" si="394">F354*F358</f>
        <v>556</v>
      </c>
      <c r="G362" s="209">
        <f t="shared" si="394"/>
        <v>1130</v>
      </c>
      <c r="H362" s="209">
        <f>H354*H358</f>
        <v>2716</v>
      </c>
      <c r="I362" s="209">
        <f t="shared" si="394"/>
        <v>813</v>
      </c>
      <c r="J362" s="209">
        <f t="shared" si="394"/>
        <v>1441.6000000000001</v>
      </c>
      <c r="K362" s="209">
        <f t="shared" si="394"/>
        <v>1336</v>
      </c>
      <c r="L362" s="209">
        <f t="shared" si="394"/>
        <v>680.80000000000007</v>
      </c>
      <c r="M362" s="209">
        <f>M354*M358</f>
        <v>2178.0000000000005</v>
      </c>
      <c r="N362" s="209">
        <f t="shared" si="394"/>
        <v>2178.0000000000005</v>
      </c>
      <c r="O362" s="209">
        <f t="shared" si="394"/>
        <v>475.2</v>
      </c>
      <c r="P362" s="209">
        <f t="shared" si="394"/>
        <v>475.2</v>
      </c>
      <c r="Q362" s="209">
        <f t="shared" si="394"/>
        <v>752.4</v>
      </c>
      <c r="R362" s="209">
        <f t="shared" si="394"/>
        <v>902.88000000000011</v>
      </c>
      <c r="S362" s="209">
        <f t="shared" si="394"/>
        <v>993.16800000000023</v>
      </c>
      <c r="T362" s="209">
        <f t="shared" si="394"/>
        <v>546.2424000000002</v>
      </c>
      <c r="U362" s="209">
        <f t="shared" si="394"/>
        <v>600.8666400000003</v>
      </c>
      <c r="V362" s="209">
        <f t="shared" si="394"/>
        <v>660.95330400000034</v>
      </c>
      <c r="W362" s="209">
        <f t="shared" si="394"/>
        <v>694.00096920000055</v>
      </c>
      <c r="X362" s="209">
        <f t="shared" si="394"/>
        <v>728.7010176600005</v>
      </c>
      <c r="Y362" s="209">
        <f t="shared" si="394"/>
        <v>765.13606854300042</v>
      </c>
      <c r="Z362" s="209">
        <f t="shared" si="394"/>
        <v>803.39287197015074</v>
      </c>
      <c r="AA362" s="209">
        <f t="shared" si="394"/>
        <v>843.56251556865823</v>
      </c>
      <c r="AB362" s="209">
        <f t="shared" si="394"/>
        <v>885.74064134709113</v>
      </c>
      <c r="AC362" s="209">
        <f t="shared" si="394"/>
        <v>903.45545417403309</v>
      </c>
      <c r="AD362" s="209">
        <f t="shared" si="394"/>
        <v>948.62822688273479</v>
      </c>
      <c r="AE362" s="209">
        <f t="shared" si="394"/>
        <v>996.0596382268717</v>
      </c>
      <c r="AF362" s="209">
        <f t="shared" si="394"/>
        <v>1045.8626201382153</v>
      </c>
      <c r="AG362" s="209">
        <f t="shared" si="394"/>
        <v>1098.155751145126</v>
      </c>
      <c r="AH362" s="209">
        <f t="shared" si="394"/>
        <v>1153.0635387023824</v>
      </c>
      <c r="AI362" s="209">
        <f t="shared" si="394"/>
        <v>1210.7167156375017</v>
      </c>
      <c r="AJ362" s="209">
        <f t="shared" si="394"/>
        <v>1271.2525514193769</v>
      </c>
      <c r="AK362" s="209">
        <f t="shared" si="394"/>
        <v>1334.8151789903459</v>
      </c>
      <c r="AL362" s="209">
        <f t="shared" si="394"/>
        <v>1401.555937939863</v>
      </c>
      <c r="AM362" s="209">
        <f t="shared" si="394"/>
        <v>1471.6337348368565</v>
      </c>
      <c r="AN362" s="209">
        <f t="shared" si="394"/>
        <v>1545.2154215786991</v>
      </c>
    </row>
    <row r="363" spans="2:40" s="7" customFormat="1" ht="12" customHeight="1" outlineLevel="1">
      <c r="B363" s="239"/>
      <c r="C363" s="214" t="s">
        <v>842</v>
      </c>
      <c r="D363" s="214"/>
      <c r="E363" s="209">
        <f>E354*E359</f>
        <v>220.00000000000003</v>
      </c>
      <c r="F363" s="209">
        <f t="shared" ref="F363:AN363" si="395">F354*F359</f>
        <v>266.99999999999994</v>
      </c>
      <c r="G363" s="209">
        <f t="shared" si="395"/>
        <v>421</v>
      </c>
      <c r="H363" s="209">
        <f t="shared" si="395"/>
        <v>323.00000000000011</v>
      </c>
      <c r="I363" s="209">
        <f t="shared" si="395"/>
        <v>163.00000000000003</v>
      </c>
      <c r="J363" s="209">
        <f t="shared" si="395"/>
        <v>90.100000000000009</v>
      </c>
      <c r="K363" s="209">
        <f t="shared" si="395"/>
        <v>83.5</v>
      </c>
      <c r="L363" s="209">
        <f t="shared" si="395"/>
        <v>42.550000000000004</v>
      </c>
      <c r="M363" s="209">
        <f t="shared" si="395"/>
        <v>121.00000000000003</v>
      </c>
      <c r="N363" s="209">
        <f t="shared" si="395"/>
        <v>121.00000000000003</v>
      </c>
      <c r="O363" s="209">
        <f t="shared" si="395"/>
        <v>26.400000000000002</v>
      </c>
      <c r="P363" s="209">
        <f t="shared" si="395"/>
        <v>26.400000000000002</v>
      </c>
      <c r="Q363" s="209">
        <f t="shared" si="395"/>
        <v>41.800000000000004</v>
      </c>
      <c r="R363" s="209">
        <f t="shared" si="395"/>
        <v>50.160000000000004</v>
      </c>
      <c r="S363" s="209">
        <f t="shared" si="395"/>
        <v>55.176000000000016</v>
      </c>
      <c r="T363" s="209">
        <f t="shared" si="395"/>
        <v>30.346800000000009</v>
      </c>
      <c r="U363" s="209">
        <f t="shared" si="395"/>
        <v>33.381480000000018</v>
      </c>
      <c r="V363" s="209">
        <f t="shared" si="395"/>
        <v>36.719628000000021</v>
      </c>
      <c r="W363" s="209">
        <f t="shared" si="395"/>
        <v>38.555609400000037</v>
      </c>
      <c r="X363" s="209">
        <f t="shared" si="395"/>
        <v>40.483389870000025</v>
      </c>
      <c r="Y363" s="209">
        <f t="shared" si="395"/>
        <v>42.507559363500029</v>
      </c>
      <c r="Z363" s="209">
        <f t="shared" si="395"/>
        <v>44.632937331675038</v>
      </c>
      <c r="AA363" s="209">
        <f t="shared" si="395"/>
        <v>46.864584198258797</v>
      </c>
      <c r="AB363" s="209">
        <f t="shared" si="395"/>
        <v>49.207813408171731</v>
      </c>
      <c r="AC363" s="209">
        <f t="shared" si="395"/>
        <v>50.191969676335177</v>
      </c>
      <c r="AD363" s="209">
        <f t="shared" si="395"/>
        <v>52.701568160151936</v>
      </c>
      <c r="AE363" s="209">
        <f t="shared" si="395"/>
        <v>55.336646568159544</v>
      </c>
      <c r="AF363" s="209">
        <f t="shared" si="395"/>
        <v>58.103478896567516</v>
      </c>
      <c r="AG363" s="209">
        <f t="shared" si="395"/>
        <v>61.008652841395886</v>
      </c>
      <c r="AH363" s="209">
        <f t="shared" si="395"/>
        <v>64.059085483465694</v>
      </c>
      <c r="AI363" s="209">
        <f t="shared" si="395"/>
        <v>67.262039757638988</v>
      </c>
      <c r="AJ363" s="209">
        <f t="shared" si="395"/>
        <v>70.625141745520935</v>
      </c>
      <c r="AK363" s="209">
        <f t="shared" si="395"/>
        <v>74.156398832796995</v>
      </c>
      <c r="AL363" s="209">
        <f t="shared" si="395"/>
        <v>77.864218774436836</v>
      </c>
      <c r="AM363" s="209">
        <f t="shared" si="395"/>
        <v>81.7574297131587</v>
      </c>
      <c r="AN363" s="209">
        <f t="shared" si="395"/>
        <v>85.845301198816628</v>
      </c>
    </row>
    <row r="364" spans="2:40" s="7" customFormat="1" ht="12" customHeight="1" outlineLevel="1">
      <c r="B364" s="239"/>
      <c r="C364" s="214" t="s">
        <v>843</v>
      </c>
      <c r="D364" s="214"/>
      <c r="E364" s="209">
        <f>E354*E360</f>
        <v>0</v>
      </c>
      <c r="F364" s="209">
        <f t="shared" ref="F364:AN364" si="396">F354*F360</f>
        <v>0</v>
      </c>
      <c r="G364" s="209">
        <f t="shared" si="396"/>
        <v>0</v>
      </c>
      <c r="H364" s="209">
        <f t="shared" si="396"/>
        <v>0</v>
      </c>
      <c r="I364" s="209">
        <f t="shared" si="396"/>
        <v>0</v>
      </c>
      <c r="J364" s="209">
        <f t="shared" si="396"/>
        <v>270.3</v>
      </c>
      <c r="K364" s="209">
        <f t="shared" si="396"/>
        <v>250.5</v>
      </c>
      <c r="L364" s="209">
        <f t="shared" si="396"/>
        <v>127.64999999999999</v>
      </c>
      <c r="M364" s="209">
        <f t="shared" si="396"/>
        <v>121.00000000000003</v>
      </c>
      <c r="N364" s="209">
        <f t="shared" si="396"/>
        <v>121.00000000000003</v>
      </c>
      <c r="O364" s="209">
        <f t="shared" si="396"/>
        <v>26.400000000000002</v>
      </c>
      <c r="P364" s="209">
        <f t="shared" si="396"/>
        <v>26.400000000000002</v>
      </c>
      <c r="Q364" s="209">
        <f t="shared" si="396"/>
        <v>41.800000000000004</v>
      </c>
      <c r="R364" s="209">
        <f t="shared" si="396"/>
        <v>50.160000000000004</v>
      </c>
      <c r="S364" s="209">
        <f t="shared" si="396"/>
        <v>55.176000000000016</v>
      </c>
      <c r="T364" s="209">
        <f t="shared" si="396"/>
        <v>30.346800000000009</v>
      </c>
      <c r="U364" s="209">
        <f t="shared" si="396"/>
        <v>33.381480000000018</v>
      </c>
      <c r="V364" s="209">
        <f t="shared" si="396"/>
        <v>36.719628000000021</v>
      </c>
      <c r="W364" s="209">
        <f t="shared" si="396"/>
        <v>38.555609400000037</v>
      </c>
      <c r="X364" s="209">
        <f t="shared" si="396"/>
        <v>40.483389870000025</v>
      </c>
      <c r="Y364" s="209">
        <f t="shared" si="396"/>
        <v>42.507559363500029</v>
      </c>
      <c r="Z364" s="209">
        <f t="shared" si="396"/>
        <v>44.632937331675038</v>
      </c>
      <c r="AA364" s="209">
        <f t="shared" si="396"/>
        <v>46.864584198258797</v>
      </c>
      <c r="AB364" s="209">
        <f t="shared" si="396"/>
        <v>49.207813408171731</v>
      </c>
      <c r="AC364" s="209">
        <f t="shared" si="396"/>
        <v>50.191969676335177</v>
      </c>
      <c r="AD364" s="209">
        <f t="shared" si="396"/>
        <v>52.701568160151936</v>
      </c>
      <c r="AE364" s="209">
        <f t="shared" si="396"/>
        <v>55.336646568159544</v>
      </c>
      <c r="AF364" s="209">
        <f t="shared" si="396"/>
        <v>58.103478896567516</v>
      </c>
      <c r="AG364" s="209">
        <f t="shared" si="396"/>
        <v>61.008652841395886</v>
      </c>
      <c r="AH364" s="209">
        <f t="shared" si="396"/>
        <v>64.059085483465694</v>
      </c>
      <c r="AI364" s="209">
        <f t="shared" si="396"/>
        <v>67.262039757638988</v>
      </c>
      <c r="AJ364" s="209">
        <f t="shared" si="396"/>
        <v>70.625141745520935</v>
      </c>
      <c r="AK364" s="209">
        <f t="shared" si="396"/>
        <v>74.156398832796995</v>
      </c>
      <c r="AL364" s="209">
        <f t="shared" si="396"/>
        <v>77.864218774436836</v>
      </c>
      <c r="AM364" s="209">
        <f t="shared" si="396"/>
        <v>81.7574297131587</v>
      </c>
      <c r="AN364" s="209">
        <f t="shared" si="396"/>
        <v>85.845301198816628</v>
      </c>
    </row>
    <row r="365" spans="2:40" s="7" customFormat="1" ht="12" customHeight="1" outlineLevel="1">
      <c r="B365" s="239"/>
      <c r="C365" s="214" t="s">
        <v>844</v>
      </c>
      <c r="D365" s="214"/>
      <c r="E365" s="209">
        <f>IF((SUM(E375:E411)-E362)&lt;2,ROUNDUP(SUM(E375:E411),0)-E362,ROUNDDOWN(SUM(E375:E411),0)-E362)</f>
        <v>0</v>
      </c>
      <c r="F365" s="209">
        <f t="shared" ref="F365:AN365" si="397">IF((SUM(F375:F411)-F362)&lt;2,ROUNDUP(SUM(F375:F411),0)-F362,ROUNDDOWN(SUM(F375:F411),0)-F362)</f>
        <v>0</v>
      </c>
      <c r="G365" s="209">
        <f t="shared" si="397"/>
        <v>0</v>
      </c>
      <c r="H365" s="209">
        <f>IF((SUM(H375:H411)-H362)&lt;2,ROUNDUP(SUM(H375:H411),0)-H362,ROUNDDOWN(SUM(H375:H411),0)-H362)</f>
        <v>0</v>
      </c>
      <c r="I365" s="209">
        <f t="shared" si="397"/>
        <v>0</v>
      </c>
      <c r="J365" s="209">
        <f t="shared" si="397"/>
        <v>0.39999999999986358</v>
      </c>
      <c r="K365" s="209">
        <f t="shared" si="397"/>
        <v>0</v>
      </c>
      <c r="L365" s="209">
        <f t="shared" si="397"/>
        <v>0.19999999999993179</v>
      </c>
      <c r="M365" s="209">
        <f t="shared" si="397"/>
        <v>-4.5474735088646412E-13</v>
      </c>
      <c r="N365" s="209">
        <f t="shared" si="397"/>
        <v>-4.5474735088646412E-13</v>
      </c>
      <c r="O365" s="209">
        <f t="shared" si="397"/>
        <v>0.80000000000001137</v>
      </c>
      <c r="P365" s="209">
        <f t="shared" si="397"/>
        <v>0.80000000000001137</v>
      </c>
      <c r="Q365" s="209">
        <f t="shared" si="397"/>
        <v>0.60000000000002274</v>
      </c>
      <c r="R365" s="209">
        <f t="shared" si="397"/>
        <v>0.11999999999989086</v>
      </c>
      <c r="S365" s="209">
        <f t="shared" si="397"/>
        <v>0.83199999999976626</v>
      </c>
      <c r="T365" s="209">
        <f t="shared" si="397"/>
        <v>0.75759999999979755</v>
      </c>
      <c r="U365" s="209">
        <f t="shared" si="397"/>
        <v>0.13335999999969772</v>
      </c>
      <c r="V365" s="209">
        <f t="shared" si="397"/>
        <v>4.6695999999656124E-2</v>
      </c>
      <c r="W365" s="209">
        <f t="shared" si="397"/>
        <v>0.99903079999944566</v>
      </c>
      <c r="X365" s="209">
        <f t="shared" si="397"/>
        <v>0.29898233999949753</v>
      </c>
      <c r="Y365" s="209">
        <f t="shared" si="397"/>
        <v>0.8639314569995804</v>
      </c>
      <c r="Z365" s="209">
        <f t="shared" si="397"/>
        <v>0.60712802984926384</v>
      </c>
      <c r="AA365" s="209">
        <f t="shared" si="397"/>
        <v>0.43748443134177251</v>
      </c>
      <c r="AB365" s="209">
        <f t="shared" si="397"/>
        <v>0.2593586529088725</v>
      </c>
      <c r="AC365" s="209">
        <f t="shared" si="397"/>
        <v>0.5445458259669067</v>
      </c>
      <c r="AD365" s="209">
        <f t="shared" si="397"/>
        <v>0.37177311726520657</v>
      </c>
      <c r="AE365" s="209">
        <f t="shared" si="397"/>
        <v>0.94036177312830205</v>
      </c>
      <c r="AF365" s="209">
        <f t="shared" si="397"/>
        <v>0.13737986178466599</v>
      </c>
      <c r="AG365" s="209">
        <f t="shared" si="397"/>
        <v>0.8442488548739675</v>
      </c>
      <c r="AH365" s="209">
        <f t="shared" si="397"/>
        <v>0.93646129761759767</v>
      </c>
      <c r="AI365" s="209">
        <f t="shared" si="397"/>
        <v>0.28328436249830702</v>
      </c>
      <c r="AJ365" s="209">
        <f t="shared" si="397"/>
        <v>0.74744858062308595</v>
      </c>
      <c r="AK365" s="209">
        <f t="shared" si="397"/>
        <v>0.18482100965411519</v>
      </c>
      <c r="AL365" s="209">
        <f t="shared" si="397"/>
        <v>0.44406206013695737</v>
      </c>
      <c r="AM365" s="209">
        <f t="shared" si="397"/>
        <v>0.36626516314345281</v>
      </c>
      <c r="AN365" s="209">
        <f t="shared" si="397"/>
        <v>0.78457842130092104</v>
      </c>
    </row>
    <row r="366" spans="2:40" s="7" customFormat="1" ht="12" customHeight="1" outlineLevel="1">
      <c r="B366" s="239"/>
      <c r="C366" s="214" t="s">
        <v>845</v>
      </c>
      <c r="D366" s="214"/>
      <c r="E366" s="209">
        <f>IF((SUM(E416:E452)-E363)&lt;2,ROUNDUP(SUM(E416:E452),0)-E363,ROUNDDOWN(SUM(E416:E452),0)-E363)</f>
        <v>322</v>
      </c>
      <c r="F366" s="209">
        <f t="shared" ref="F366:AN366" si="398">IF((SUM(F416:F452)-F363)&lt;2,ROUNDUP(SUM(F416:F452),0)-F363,ROUNDDOWN(SUM(F416:F452),0)-F363)</f>
        <v>533</v>
      </c>
      <c r="G366" s="209">
        <f t="shared" si="398"/>
        <v>787</v>
      </c>
      <c r="H366" s="209">
        <f t="shared" si="398"/>
        <v>902.99999999999989</v>
      </c>
      <c r="I366" s="209">
        <f t="shared" si="398"/>
        <v>970</v>
      </c>
      <c r="J366" s="209">
        <f t="shared" si="398"/>
        <v>960.9</v>
      </c>
      <c r="K366" s="209">
        <f t="shared" si="398"/>
        <v>899.5</v>
      </c>
      <c r="L366" s="209">
        <f t="shared" si="398"/>
        <v>857.45</v>
      </c>
      <c r="M366" s="209">
        <f t="shared" si="398"/>
        <v>763</v>
      </c>
      <c r="N366" s="209">
        <f t="shared" si="398"/>
        <v>723</v>
      </c>
      <c r="O366" s="209">
        <f t="shared" si="398"/>
        <v>690.6</v>
      </c>
      <c r="P366" s="209">
        <f t="shared" si="398"/>
        <v>600.6</v>
      </c>
      <c r="Q366" s="209">
        <f t="shared" si="398"/>
        <v>534.20000000000005</v>
      </c>
      <c r="R366" s="209">
        <f t="shared" si="398"/>
        <v>508.84</v>
      </c>
      <c r="S366" s="209">
        <f t="shared" si="398"/>
        <v>484.82399999999996</v>
      </c>
      <c r="T366" s="209">
        <f t="shared" si="398"/>
        <v>453.65319999999997</v>
      </c>
      <c r="U366" s="209">
        <f t="shared" si="398"/>
        <v>416.61851999999999</v>
      </c>
      <c r="V366" s="209">
        <f t="shared" si="398"/>
        <v>381.280372</v>
      </c>
      <c r="W366" s="209">
        <f t="shared" si="398"/>
        <v>356.44439059999996</v>
      </c>
      <c r="X366" s="209">
        <f t="shared" si="398"/>
        <v>336.51661013</v>
      </c>
      <c r="Y366" s="209">
        <f t="shared" si="398"/>
        <v>319.49244063649996</v>
      </c>
      <c r="Z366" s="209">
        <f t="shared" si="398"/>
        <v>311.36706266832493</v>
      </c>
      <c r="AA366" s="209">
        <f t="shared" si="398"/>
        <v>308.1354158017412</v>
      </c>
      <c r="AB366" s="209">
        <f t="shared" si="398"/>
        <v>306.79218659182828</v>
      </c>
      <c r="AC366" s="209">
        <f t="shared" si="398"/>
        <v>308.80803032366481</v>
      </c>
      <c r="AD366" s="209">
        <f t="shared" si="398"/>
        <v>310.29843183984804</v>
      </c>
      <c r="AE366" s="209">
        <f t="shared" si="398"/>
        <v>304.66335343184045</v>
      </c>
      <c r="AF366" s="209">
        <f t="shared" si="398"/>
        <v>296.89652110343246</v>
      </c>
      <c r="AG366" s="209">
        <f t="shared" si="398"/>
        <v>285.99134715860413</v>
      </c>
      <c r="AH366" s="209">
        <f t="shared" si="398"/>
        <v>270.94091451653429</v>
      </c>
      <c r="AI366" s="209">
        <f t="shared" si="398"/>
        <v>261.737960242361</v>
      </c>
      <c r="AJ366" s="209">
        <f t="shared" si="398"/>
        <v>255.37485825447908</v>
      </c>
      <c r="AK366" s="209">
        <f t="shared" si="398"/>
        <v>251.84360116720302</v>
      </c>
      <c r="AL366" s="209">
        <f t="shared" si="398"/>
        <v>250.13578122556316</v>
      </c>
      <c r="AM366" s="209">
        <f t="shared" si="398"/>
        <v>250.2425702868413</v>
      </c>
      <c r="AN366" s="209">
        <f t="shared" si="398"/>
        <v>251.15469880118337</v>
      </c>
    </row>
    <row r="367" spans="2:40" s="7" customFormat="1" ht="12" customHeight="1" outlineLevel="1">
      <c r="B367" s="239"/>
      <c r="C367" s="214" t="s">
        <v>846</v>
      </c>
      <c r="D367" s="214"/>
      <c r="E367" s="209">
        <f t="shared" ref="E367:AN367" si="399">IF((SUM(E457:E480)-E364)&lt;1,ROUNDUP(SUM(E457:E480),0)-E364,ROUNDDOWN(SUM(E457:E480),0)-E364)</f>
        <v>0</v>
      </c>
      <c r="F367" s="209">
        <f t="shared" si="399"/>
        <v>0</v>
      </c>
      <c r="G367" s="209">
        <f t="shared" si="399"/>
        <v>0</v>
      </c>
      <c r="H367" s="209">
        <f t="shared" si="399"/>
        <v>0</v>
      </c>
      <c r="I367" s="209">
        <f t="shared" si="399"/>
        <v>0</v>
      </c>
      <c r="J367" s="209">
        <f t="shared" si="399"/>
        <v>0.69999999999998863</v>
      </c>
      <c r="K367" s="209">
        <f t="shared" si="399"/>
        <v>0.5</v>
      </c>
      <c r="L367" s="209">
        <f t="shared" si="399"/>
        <v>0.35000000000000853</v>
      </c>
      <c r="M367" s="209">
        <f t="shared" si="399"/>
        <v>26.999999999999972</v>
      </c>
      <c r="N367" s="209">
        <f t="shared" si="399"/>
        <v>24.999999999999972</v>
      </c>
      <c r="O367" s="209">
        <f t="shared" si="399"/>
        <v>12.599999999999998</v>
      </c>
      <c r="P367" s="209">
        <f t="shared" si="399"/>
        <v>160.6</v>
      </c>
      <c r="Q367" s="209">
        <f t="shared" si="399"/>
        <v>149.19999999999999</v>
      </c>
      <c r="R367" s="209">
        <f t="shared" si="399"/>
        <v>72.84</v>
      </c>
      <c r="S367" s="209">
        <f t="shared" si="399"/>
        <v>268.82399999999996</v>
      </c>
      <c r="T367" s="209">
        <f t="shared" si="399"/>
        <v>255.6532</v>
      </c>
      <c r="U367" s="209">
        <f t="shared" si="399"/>
        <v>113.61851999999999</v>
      </c>
      <c r="V367" s="209">
        <f t="shared" si="399"/>
        <v>336.280372</v>
      </c>
      <c r="W367" s="209">
        <f t="shared" si="399"/>
        <v>325.44439059999996</v>
      </c>
      <c r="X367" s="209">
        <f t="shared" si="399"/>
        <v>157.51661012999998</v>
      </c>
      <c r="Y367" s="209">
        <f t="shared" si="399"/>
        <v>387.49244063649996</v>
      </c>
      <c r="Z367" s="209">
        <f t="shared" si="399"/>
        <v>368.36706266832493</v>
      </c>
      <c r="AA367" s="209">
        <f t="shared" si="399"/>
        <v>191.1354158017412</v>
      </c>
      <c r="AB367" s="209">
        <f t="shared" si="399"/>
        <v>433.79218659182828</v>
      </c>
      <c r="AC367" s="209">
        <f t="shared" si="399"/>
        <v>361.80803032366481</v>
      </c>
      <c r="AD367" s="209">
        <f t="shared" si="399"/>
        <v>178.29843183984806</v>
      </c>
      <c r="AE367" s="209">
        <f t="shared" si="399"/>
        <v>420.66335343184045</v>
      </c>
      <c r="AF367" s="209">
        <f t="shared" si="399"/>
        <v>389.89652110343246</v>
      </c>
      <c r="AG367" s="209">
        <f t="shared" si="399"/>
        <v>203.99134715860413</v>
      </c>
      <c r="AH367" s="209">
        <f t="shared" si="399"/>
        <v>453.94091451653429</v>
      </c>
      <c r="AI367" s="209">
        <f t="shared" si="399"/>
        <v>400.737960242361</v>
      </c>
      <c r="AJ367" s="209">
        <f t="shared" si="399"/>
        <v>212.37485825447908</v>
      </c>
      <c r="AK367" s="209">
        <f t="shared" si="399"/>
        <v>455.84360116720302</v>
      </c>
      <c r="AL367" s="209">
        <f t="shared" si="399"/>
        <v>399.13578122556316</v>
      </c>
      <c r="AM367" s="209">
        <f t="shared" si="399"/>
        <v>209.2425702868413</v>
      </c>
      <c r="AN367" s="209">
        <f t="shared" si="399"/>
        <v>461.15469880118337</v>
      </c>
    </row>
    <row r="368" spans="2:40" s="7" customFormat="1" ht="12" customHeight="1" outlineLevel="1">
      <c r="B368" s="237"/>
      <c r="C368" s="214" t="s">
        <v>833</v>
      </c>
      <c r="D368" s="214"/>
      <c r="E368" s="210">
        <f>SUM(E362:E364)</f>
        <v>560</v>
      </c>
      <c r="F368" s="210">
        <f t="shared" ref="F368:AN368" si="400">SUM(F362:F364)</f>
        <v>823</v>
      </c>
      <c r="G368" s="210">
        <f t="shared" si="400"/>
        <v>1551</v>
      </c>
      <c r="H368" s="210">
        <f t="shared" si="400"/>
        <v>3039</v>
      </c>
      <c r="I368" s="210">
        <f t="shared" si="400"/>
        <v>976</v>
      </c>
      <c r="J368" s="210">
        <f t="shared" si="400"/>
        <v>1802</v>
      </c>
      <c r="K368" s="210">
        <f t="shared" si="400"/>
        <v>1670</v>
      </c>
      <c r="L368" s="210">
        <f t="shared" si="400"/>
        <v>851</v>
      </c>
      <c r="M368" s="210">
        <f t="shared" si="400"/>
        <v>2420.0000000000005</v>
      </c>
      <c r="N368" s="210">
        <f t="shared" si="400"/>
        <v>2420.0000000000005</v>
      </c>
      <c r="O368" s="210">
        <f t="shared" si="400"/>
        <v>528</v>
      </c>
      <c r="P368" s="210">
        <f t="shared" si="400"/>
        <v>528</v>
      </c>
      <c r="Q368" s="210">
        <f t="shared" si="400"/>
        <v>835.99999999999989</v>
      </c>
      <c r="R368" s="210">
        <f t="shared" si="400"/>
        <v>1003.2</v>
      </c>
      <c r="S368" s="210">
        <f t="shared" si="400"/>
        <v>1103.5200000000002</v>
      </c>
      <c r="T368" s="210">
        <f t="shared" si="400"/>
        <v>606.93600000000026</v>
      </c>
      <c r="U368" s="210">
        <f t="shared" si="400"/>
        <v>667.62960000000032</v>
      </c>
      <c r="V368" s="210">
        <f t="shared" si="400"/>
        <v>734.39256000000046</v>
      </c>
      <c r="W368" s="210">
        <f t="shared" si="400"/>
        <v>771.11218800000074</v>
      </c>
      <c r="X368" s="210">
        <f t="shared" si="400"/>
        <v>809.6677974000005</v>
      </c>
      <c r="Y368" s="210">
        <f t="shared" si="400"/>
        <v>850.15118727000049</v>
      </c>
      <c r="Z368" s="210">
        <f t="shared" si="400"/>
        <v>892.65874663350087</v>
      </c>
      <c r="AA368" s="210">
        <f t="shared" si="400"/>
        <v>937.29168396517593</v>
      </c>
      <c r="AB368" s="210">
        <f t="shared" si="400"/>
        <v>984.15626816343467</v>
      </c>
      <c r="AC368" s="210">
        <f t="shared" si="400"/>
        <v>1003.8393935267034</v>
      </c>
      <c r="AD368" s="210">
        <f t="shared" si="400"/>
        <v>1054.0313632030386</v>
      </c>
      <c r="AE368" s="210">
        <f t="shared" si="400"/>
        <v>1106.7329313631908</v>
      </c>
      <c r="AF368" s="210">
        <f t="shared" si="400"/>
        <v>1162.0695779313505</v>
      </c>
      <c r="AG368" s="210">
        <f t="shared" si="400"/>
        <v>1220.1730568279177</v>
      </c>
      <c r="AH368" s="210">
        <f t="shared" si="400"/>
        <v>1281.1817096693137</v>
      </c>
      <c r="AI368" s="210">
        <f t="shared" si="400"/>
        <v>1345.2407951527798</v>
      </c>
      <c r="AJ368" s="210">
        <f t="shared" si="400"/>
        <v>1412.5028349104189</v>
      </c>
      <c r="AK368" s="210">
        <f t="shared" si="400"/>
        <v>1483.1279766559401</v>
      </c>
      <c r="AL368" s="210">
        <f t="shared" si="400"/>
        <v>1557.2843754887367</v>
      </c>
      <c r="AM368" s="210">
        <f t="shared" si="400"/>
        <v>1635.1485942631739</v>
      </c>
      <c r="AN368" s="210">
        <f t="shared" si="400"/>
        <v>1716.9060239763326</v>
      </c>
    </row>
    <row r="369" spans="2:40" s="7" customFormat="1" ht="12" customHeight="1" outlineLevel="1">
      <c r="B369" s="237"/>
      <c r="C369" s="214" t="s">
        <v>847</v>
      </c>
      <c r="D369" s="214"/>
      <c r="E369" s="210">
        <f t="shared" ref="E369:AN369" si="401">SUM(E365:E367)</f>
        <v>322</v>
      </c>
      <c r="F369" s="210">
        <f t="shared" si="401"/>
        <v>533</v>
      </c>
      <c r="G369" s="210">
        <f t="shared" si="401"/>
        <v>787</v>
      </c>
      <c r="H369" s="210">
        <f t="shared" si="401"/>
        <v>902.99999999999989</v>
      </c>
      <c r="I369" s="210">
        <f t="shared" si="401"/>
        <v>970</v>
      </c>
      <c r="J369" s="210">
        <f t="shared" si="401"/>
        <v>961.99999999999977</v>
      </c>
      <c r="K369" s="210">
        <f t="shared" si="401"/>
        <v>900</v>
      </c>
      <c r="L369" s="210">
        <f t="shared" si="401"/>
        <v>858</v>
      </c>
      <c r="M369" s="210">
        <f t="shared" si="401"/>
        <v>789.99999999999955</v>
      </c>
      <c r="N369" s="210">
        <f t="shared" si="401"/>
        <v>747.99999999999955</v>
      </c>
      <c r="O369" s="210">
        <f t="shared" si="401"/>
        <v>704.00000000000011</v>
      </c>
      <c r="P369" s="210">
        <f t="shared" si="401"/>
        <v>762.00000000000011</v>
      </c>
      <c r="Q369" s="210">
        <f t="shared" si="401"/>
        <v>684</v>
      </c>
      <c r="R369" s="210">
        <f t="shared" si="401"/>
        <v>581.79999999999984</v>
      </c>
      <c r="S369" s="210">
        <f t="shared" si="401"/>
        <v>754.47999999999968</v>
      </c>
      <c r="T369" s="210">
        <f t="shared" si="401"/>
        <v>710.06399999999974</v>
      </c>
      <c r="U369" s="210">
        <f t="shared" si="401"/>
        <v>530.37039999999968</v>
      </c>
      <c r="V369" s="210">
        <f t="shared" si="401"/>
        <v>717.60743999999966</v>
      </c>
      <c r="W369" s="210">
        <f t="shared" si="401"/>
        <v>682.88781199999937</v>
      </c>
      <c r="X369" s="210">
        <f t="shared" si="401"/>
        <v>494.3322025999995</v>
      </c>
      <c r="Y369" s="210">
        <f t="shared" si="401"/>
        <v>707.84881272999951</v>
      </c>
      <c r="Z369" s="210">
        <f t="shared" si="401"/>
        <v>680.34125336649913</v>
      </c>
      <c r="AA369" s="210">
        <f t="shared" si="401"/>
        <v>499.70831603482418</v>
      </c>
      <c r="AB369" s="210">
        <f t="shared" si="401"/>
        <v>740.84373183656544</v>
      </c>
      <c r="AC369" s="210">
        <f t="shared" si="401"/>
        <v>671.16060647329653</v>
      </c>
      <c r="AD369" s="210">
        <f t="shared" si="401"/>
        <v>488.96863679696128</v>
      </c>
      <c r="AE369" s="210">
        <f t="shared" si="401"/>
        <v>726.2670686368092</v>
      </c>
      <c r="AF369" s="210">
        <f t="shared" si="401"/>
        <v>686.93042206864959</v>
      </c>
      <c r="AG369" s="210">
        <f t="shared" si="401"/>
        <v>490.82694317208222</v>
      </c>
      <c r="AH369" s="210">
        <f t="shared" si="401"/>
        <v>725.81829033068618</v>
      </c>
      <c r="AI369" s="210">
        <f t="shared" si="401"/>
        <v>662.7592048472203</v>
      </c>
      <c r="AJ369" s="210">
        <f t="shared" si="401"/>
        <v>468.49716508958124</v>
      </c>
      <c r="AK369" s="210">
        <f t="shared" si="401"/>
        <v>707.87202334406015</v>
      </c>
      <c r="AL369" s="210">
        <f t="shared" si="401"/>
        <v>649.71562451126329</v>
      </c>
      <c r="AM369" s="210">
        <f t="shared" si="401"/>
        <v>459.85140573682605</v>
      </c>
      <c r="AN369" s="210">
        <f t="shared" si="401"/>
        <v>713.09397602366766</v>
      </c>
    </row>
    <row r="370" spans="2:40" s="7" customFormat="1" ht="12" customHeight="1" outlineLevel="1">
      <c r="B370" s="237"/>
      <c r="C370" s="252" t="s">
        <v>848</v>
      </c>
      <c r="D370" s="214"/>
      <c r="E370" s="205">
        <f>SUM(E368:E369)</f>
        <v>882</v>
      </c>
      <c r="F370" s="205">
        <f t="shared" ref="F370" si="402">SUM(F368:F369)</f>
        <v>1356</v>
      </c>
      <c r="G370" s="205">
        <f t="shared" ref="G370" si="403">SUM(G368:G369)</f>
        <v>2338</v>
      </c>
      <c r="H370" s="205">
        <f t="shared" ref="H370" si="404">SUM(H368:H369)</f>
        <v>3942</v>
      </c>
      <c r="I370" s="205">
        <f t="shared" ref="I370" si="405">SUM(I368:I369)</f>
        <v>1946</v>
      </c>
      <c r="J370" s="205">
        <f t="shared" ref="J370" si="406">SUM(J368:J369)</f>
        <v>2764</v>
      </c>
      <c r="K370" s="205">
        <f t="shared" ref="K370" si="407">SUM(K368:K369)</f>
        <v>2570</v>
      </c>
      <c r="L370" s="205">
        <f t="shared" ref="L370" si="408">SUM(L368:L369)</f>
        <v>1709</v>
      </c>
      <c r="M370" s="205">
        <f t="shared" ref="M370" si="409">SUM(M368:M369)</f>
        <v>3210</v>
      </c>
      <c r="N370" s="205">
        <f t="shared" ref="N370" si="410">SUM(N368:N369)</f>
        <v>3168</v>
      </c>
      <c r="O370" s="205">
        <f t="shared" ref="O370" si="411">SUM(O368:O369)</f>
        <v>1232</v>
      </c>
      <c r="P370" s="205">
        <f t="shared" ref="P370" si="412">SUM(P368:P369)</f>
        <v>1290</v>
      </c>
      <c r="Q370" s="205">
        <f t="shared" ref="Q370" si="413">SUM(Q368:Q369)</f>
        <v>1520</v>
      </c>
      <c r="R370" s="205">
        <f t="shared" ref="R370" si="414">SUM(R368:R369)</f>
        <v>1585</v>
      </c>
      <c r="S370" s="205">
        <f t="shared" ref="S370" si="415">SUM(S368:S369)</f>
        <v>1858</v>
      </c>
      <c r="T370" s="205">
        <f t="shared" ref="T370" si="416">SUM(T368:T369)</f>
        <v>1317</v>
      </c>
      <c r="U370" s="205">
        <f t="shared" ref="U370" si="417">SUM(U368:U369)</f>
        <v>1198</v>
      </c>
      <c r="V370" s="205">
        <f t="shared" ref="V370" si="418">SUM(V368:V369)</f>
        <v>1452</v>
      </c>
      <c r="W370" s="205">
        <f t="shared" ref="W370" si="419">SUM(W368:W369)</f>
        <v>1454</v>
      </c>
      <c r="X370" s="205">
        <f t="shared" ref="X370" si="420">SUM(X368:X369)</f>
        <v>1304</v>
      </c>
      <c r="Y370" s="205">
        <f t="shared" ref="Y370" si="421">SUM(Y368:Y369)</f>
        <v>1558</v>
      </c>
      <c r="Z370" s="205">
        <f t="shared" ref="Z370" si="422">SUM(Z368:Z369)</f>
        <v>1573</v>
      </c>
      <c r="AA370" s="205">
        <f t="shared" ref="AA370" si="423">SUM(AA368:AA369)</f>
        <v>1437</v>
      </c>
      <c r="AB370" s="205">
        <f t="shared" ref="AB370" si="424">SUM(AB368:AB369)</f>
        <v>1725</v>
      </c>
      <c r="AC370" s="205">
        <f t="shared" ref="AC370" si="425">SUM(AC368:AC369)</f>
        <v>1675</v>
      </c>
      <c r="AD370" s="205">
        <f t="shared" ref="AD370" si="426">SUM(AD368:AD369)</f>
        <v>1543</v>
      </c>
      <c r="AE370" s="205">
        <f t="shared" ref="AE370" si="427">SUM(AE368:AE369)</f>
        <v>1833</v>
      </c>
      <c r="AF370" s="205">
        <f t="shared" ref="AF370" si="428">SUM(AF368:AF369)</f>
        <v>1849</v>
      </c>
      <c r="AG370" s="205">
        <f t="shared" ref="AG370" si="429">SUM(AG368:AG369)</f>
        <v>1711</v>
      </c>
      <c r="AH370" s="205">
        <f t="shared" ref="AH370" si="430">SUM(AH368:AH369)</f>
        <v>2007</v>
      </c>
      <c r="AI370" s="205">
        <f t="shared" ref="AI370" si="431">SUM(AI368:AI369)</f>
        <v>2008</v>
      </c>
      <c r="AJ370" s="205">
        <f t="shared" ref="AJ370" si="432">SUM(AJ368:AJ369)</f>
        <v>1881</v>
      </c>
      <c r="AK370" s="205">
        <f t="shared" ref="AK370" si="433">SUM(AK368:AK369)</f>
        <v>2191</v>
      </c>
      <c r="AL370" s="205">
        <f t="shared" ref="AL370" si="434">SUM(AL368:AL369)</f>
        <v>2207</v>
      </c>
      <c r="AM370" s="205">
        <f t="shared" ref="AM370" si="435">SUM(AM368:AM369)</f>
        <v>2095</v>
      </c>
      <c r="AN370" s="205">
        <f t="shared" ref="AN370" si="436">SUM(AN368:AN369)</f>
        <v>2430</v>
      </c>
    </row>
    <row r="371" spans="2:40" s="7" customFormat="1" ht="12" customHeight="1" outlineLevel="1">
      <c r="B371" s="239"/>
      <c r="C371" s="214"/>
      <c r="D371" s="214"/>
      <c r="E371" s="211"/>
      <c r="F371" s="211"/>
      <c r="G371" s="211"/>
      <c r="H371" s="211"/>
      <c r="I371" s="211"/>
      <c r="J371" s="211"/>
      <c r="K371" s="211"/>
      <c r="L371" s="211"/>
      <c r="M371" s="211"/>
      <c r="N371" s="211"/>
      <c r="O371" s="211"/>
      <c r="P371" s="211"/>
      <c r="Q371" s="211"/>
      <c r="R371" s="211"/>
      <c r="S371" s="211"/>
      <c r="T371" s="211"/>
      <c r="U371" s="211"/>
      <c r="V371" s="211"/>
      <c r="W371" s="211"/>
      <c r="X371" s="211"/>
      <c r="Y371" s="211"/>
      <c r="Z371" s="211"/>
      <c r="AA371" s="211"/>
      <c r="AB371" s="211"/>
      <c r="AC371" s="211"/>
      <c r="AD371" s="211"/>
      <c r="AE371" s="211"/>
      <c r="AF371" s="211"/>
      <c r="AG371" s="211"/>
      <c r="AH371" s="211"/>
      <c r="AI371" s="211"/>
      <c r="AJ371" s="211"/>
      <c r="AK371" s="211"/>
      <c r="AL371" s="211"/>
      <c r="AM371" s="211"/>
      <c r="AN371" s="211"/>
    </row>
    <row r="372" spans="2:40" s="7" customFormat="1" ht="12" customHeight="1" outlineLevel="2">
      <c r="B372" s="239"/>
      <c r="C372" s="243" t="s">
        <v>849</v>
      </c>
      <c r="D372" s="214"/>
      <c r="O372" s="212"/>
      <c r="P372" s="212"/>
      <c r="Q372" s="212"/>
      <c r="R372" s="212"/>
      <c r="S372" s="212"/>
      <c r="T372" s="212"/>
      <c r="U372" s="212"/>
      <c r="V372" s="212"/>
      <c r="W372" s="212"/>
      <c r="X372" s="212"/>
      <c r="Y372" s="212"/>
      <c r="Z372" s="212"/>
      <c r="AA372" s="212"/>
      <c r="AB372" s="212"/>
      <c r="AC372" s="212"/>
      <c r="AD372" s="212"/>
      <c r="AE372" s="212"/>
      <c r="AF372" s="212"/>
      <c r="AG372" s="212"/>
      <c r="AH372" s="212"/>
      <c r="AI372" s="212"/>
      <c r="AJ372" s="212"/>
      <c r="AK372" s="212"/>
      <c r="AL372" s="212"/>
      <c r="AM372" s="212"/>
      <c r="AN372" s="212"/>
    </row>
    <row r="373" spans="2:40" s="7" customFormat="1" ht="12" customHeight="1" outlineLevel="2">
      <c r="B373" s="239"/>
      <c r="C373" s="214" t="s">
        <v>850</v>
      </c>
      <c r="D373" s="214"/>
      <c r="E373" s="196" t="s">
        <v>753</v>
      </c>
      <c r="F373" s="196" t="s">
        <v>754</v>
      </c>
      <c r="G373" s="196" t="s">
        <v>755</v>
      </c>
      <c r="H373" s="196" t="s">
        <v>756</v>
      </c>
      <c r="I373" s="196" t="s">
        <v>757</v>
      </c>
      <c r="J373" s="196" t="s">
        <v>758</v>
      </c>
      <c r="K373" s="196" t="s">
        <v>759</v>
      </c>
      <c r="L373" s="196" t="s">
        <v>760</v>
      </c>
      <c r="M373" s="196" t="s">
        <v>761</v>
      </c>
      <c r="N373" s="196" t="s">
        <v>762</v>
      </c>
      <c r="O373" s="196" t="s">
        <v>763</v>
      </c>
      <c r="P373" s="196" t="s">
        <v>764</v>
      </c>
      <c r="Q373" s="196" t="s">
        <v>765</v>
      </c>
      <c r="R373" s="196" t="s">
        <v>766</v>
      </c>
      <c r="S373" s="196" t="s">
        <v>767</v>
      </c>
      <c r="T373" s="196" t="s">
        <v>768</v>
      </c>
      <c r="U373" s="196" t="s">
        <v>769</v>
      </c>
      <c r="V373" s="196" t="s">
        <v>770</v>
      </c>
      <c r="W373" s="196" t="s">
        <v>771</v>
      </c>
      <c r="X373" s="196" t="s">
        <v>772</v>
      </c>
      <c r="Y373" s="196" t="s">
        <v>773</v>
      </c>
      <c r="Z373" s="196" t="s">
        <v>774</v>
      </c>
      <c r="AA373" s="196" t="s">
        <v>775</v>
      </c>
      <c r="AB373" s="196" t="s">
        <v>776</v>
      </c>
      <c r="AC373" s="196" t="s">
        <v>777</v>
      </c>
      <c r="AD373" s="196" t="s">
        <v>778</v>
      </c>
      <c r="AE373" s="196" t="s">
        <v>779</v>
      </c>
      <c r="AF373" s="196" t="s">
        <v>780</v>
      </c>
      <c r="AG373" s="196" t="s">
        <v>781</v>
      </c>
      <c r="AH373" s="196" t="s">
        <v>782</v>
      </c>
      <c r="AI373" s="196" t="s">
        <v>783</v>
      </c>
      <c r="AJ373" s="196" t="s">
        <v>784</v>
      </c>
      <c r="AK373" s="196" t="s">
        <v>785</v>
      </c>
      <c r="AL373" s="196" t="s">
        <v>786</v>
      </c>
      <c r="AM373" s="196" t="s">
        <v>787</v>
      </c>
      <c r="AN373" s="196" t="s">
        <v>788</v>
      </c>
    </row>
    <row r="374" spans="2:40" s="7" customFormat="1" ht="12" customHeight="1" outlineLevel="2">
      <c r="B374" s="239"/>
      <c r="C374" s="247" t="s">
        <v>851</v>
      </c>
      <c r="D374" s="214"/>
      <c r="E374" s="344">
        <v>0</v>
      </c>
      <c r="F374" s="344">
        <v>0</v>
      </c>
      <c r="G374" s="344">
        <v>0</v>
      </c>
      <c r="H374" s="344">
        <v>0</v>
      </c>
      <c r="I374" s="344">
        <v>0</v>
      </c>
      <c r="J374" s="344">
        <v>0</v>
      </c>
      <c r="K374" s="344">
        <v>0</v>
      </c>
      <c r="L374" s="344">
        <v>0</v>
      </c>
      <c r="M374" s="344">
        <v>0</v>
      </c>
      <c r="N374" s="344">
        <v>0</v>
      </c>
      <c r="O374" s="344">
        <v>0</v>
      </c>
      <c r="P374" s="344">
        <v>0</v>
      </c>
      <c r="Q374" s="344">
        <v>0</v>
      </c>
      <c r="R374" s="344">
        <v>0</v>
      </c>
      <c r="S374" s="344">
        <v>0</v>
      </c>
      <c r="T374" s="344">
        <v>0</v>
      </c>
      <c r="U374" s="344">
        <v>0</v>
      </c>
      <c r="V374" s="344">
        <v>0</v>
      </c>
      <c r="W374" s="344">
        <v>0</v>
      </c>
      <c r="X374" s="344">
        <v>0</v>
      </c>
      <c r="Y374" s="344">
        <v>0</v>
      </c>
      <c r="Z374" s="344">
        <v>0</v>
      </c>
      <c r="AA374" s="344">
        <v>0</v>
      </c>
      <c r="AB374" s="344">
        <v>0</v>
      </c>
      <c r="AC374" s="344">
        <v>0</v>
      </c>
      <c r="AD374" s="344">
        <v>0</v>
      </c>
      <c r="AE374" s="344">
        <v>0</v>
      </c>
      <c r="AF374" s="344">
        <v>0</v>
      </c>
      <c r="AG374" s="344">
        <v>0</v>
      </c>
      <c r="AH374" s="344">
        <v>0</v>
      </c>
      <c r="AI374" s="344">
        <v>0</v>
      </c>
      <c r="AJ374" s="344">
        <v>0</v>
      </c>
      <c r="AK374" s="344">
        <v>0</v>
      </c>
      <c r="AL374" s="344">
        <v>0</v>
      </c>
      <c r="AM374" s="344">
        <v>0</v>
      </c>
      <c r="AN374" s="344">
        <v>0</v>
      </c>
    </row>
    <row r="375" spans="2:40" s="7" customFormat="1" ht="12" customHeight="1" outlineLevel="2">
      <c r="B375" s="239"/>
      <c r="C375" s="213" t="s">
        <v>861</v>
      </c>
      <c r="D375" s="214"/>
      <c r="E375" s="211"/>
      <c r="F375" s="211"/>
      <c r="G375" s="211"/>
      <c r="H375" s="211"/>
      <c r="I375" s="211"/>
      <c r="J375" s="211"/>
      <c r="K375" s="211"/>
      <c r="L375" s="211"/>
      <c r="M375" s="211"/>
      <c r="N375" s="211"/>
      <c r="O375" s="211"/>
      <c r="P375" s="211"/>
      <c r="Q375" s="211"/>
      <c r="R375" s="211"/>
      <c r="S375" s="211"/>
      <c r="T375" s="211"/>
      <c r="U375" s="211"/>
      <c r="V375" s="211"/>
      <c r="W375" s="211"/>
      <c r="X375" s="211"/>
      <c r="Y375" s="211"/>
      <c r="Z375" s="211"/>
      <c r="AA375" s="211"/>
      <c r="AB375" s="211"/>
      <c r="AC375" s="211"/>
      <c r="AD375" s="211"/>
      <c r="AE375" s="211"/>
      <c r="AF375" s="211"/>
      <c r="AG375" s="211"/>
      <c r="AH375" s="211"/>
      <c r="AI375" s="211"/>
      <c r="AJ375" s="211"/>
      <c r="AK375" s="211"/>
      <c r="AL375" s="211"/>
      <c r="AM375" s="211"/>
      <c r="AN375" s="211"/>
    </row>
    <row r="376" spans="2:40" s="7" customFormat="1" ht="12" customHeight="1" outlineLevel="2">
      <c r="B376" s="245"/>
      <c r="C376" s="213" t="s">
        <v>753</v>
      </c>
      <c r="D376" s="213"/>
      <c r="E376" s="211">
        <f>INDEX($C$348:$AN$370,MATCH("New Customers One-Time",$C$348:$C$370,0),MATCH($C376,$C$348:$AN$348,0))</f>
        <v>340</v>
      </c>
      <c r="F376" s="211">
        <f t="shared" ref="F376:AN376" si="437">$E376*(E374)</f>
        <v>0</v>
      </c>
      <c r="G376" s="211">
        <f t="shared" si="437"/>
        <v>0</v>
      </c>
      <c r="H376" s="211">
        <f t="shared" si="437"/>
        <v>0</v>
      </c>
      <c r="I376" s="211">
        <f t="shared" si="437"/>
        <v>0</v>
      </c>
      <c r="J376" s="211">
        <f t="shared" si="437"/>
        <v>0</v>
      </c>
      <c r="K376" s="211">
        <f t="shared" si="437"/>
        <v>0</v>
      </c>
      <c r="L376" s="211">
        <f t="shared" si="437"/>
        <v>0</v>
      </c>
      <c r="M376" s="211">
        <f t="shared" si="437"/>
        <v>0</v>
      </c>
      <c r="N376" s="211">
        <f t="shared" si="437"/>
        <v>0</v>
      </c>
      <c r="O376" s="211">
        <f t="shared" si="437"/>
        <v>0</v>
      </c>
      <c r="P376" s="211">
        <f t="shared" si="437"/>
        <v>0</v>
      </c>
      <c r="Q376" s="211">
        <f t="shared" si="437"/>
        <v>0</v>
      </c>
      <c r="R376" s="211">
        <f t="shared" si="437"/>
        <v>0</v>
      </c>
      <c r="S376" s="211">
        <f t="shared" si="437"/>
        <v>0</v>
      </c>
      <c r="T376" s="211">
        <f t="shared" si="437"/>
        <v>0</v>
      </c>
      <c r="U376" s="211">
        <f t="shared" si="437"/>
        <v>0</v>
      </c>
      <c r="V376" s="211">
        <f t="shared" si="437"/>
        <v>0</v>
      </c>
      <c r="W376" s="211">
        <f t="shared" si="437"/>
        <v>0</v>
      </c>
      <c r="X376" s="211">
        <f t="shared" si="437"/>
        <v>0</v>
      </c>
      <c r="Y376" s="211">
        <f t="shared" si="437"/>
        <v>0</v>
      </c>
      <c r="Z376" s="211">
        <f t="shared" si="437"/>
        <v>0</v>
      </c>
      <c r="AA376" s="211">
        <f t="shared" si="437"/>
        <v>0</v>
      </c>
      <c r="AB376" s="211">
        <f t="shared" si="437"/>
        <v>0</v>
      </c>
      <c r="AC376" s="211">
        <f t="shared" si="437"/>
        <v>0</v>
      </c>
      <c r="AD376" s="211">
        <f t="shared" si="437"/>
        <v>0</v>
      </c>
      <c r="AE376" s="211">
        <f t="shared" si="437"/>
        <v>0</v>
      </c>
      <c r="AF376" s="211">
        <f t="shared" si="437"/>
        <v>0</v>
      </c>
      <c r="AG376" s="211">
        <f t="shared" si="437"/>
        <v>0</v>
      </c>
      <c r="AH376" s="211">
        <f t="shared" si="437"/>
        <v>0</v>
      </c>
      <c r="AI376" s="211">
        <f t="shared" si="437"/>
        <v>0</v>
      </c>
      <c r="AJ376" s="211">
        <f t="shared" si="437"/>
        <v>0</v>
      </c>
      <c r="AK376" s="211">
        <f t="shared" si="437"/>
        <v>0</v>
      </c>
      <c r="AL376" s="211">
        <f t="shared" si="437"/>
        <v>0</v>
      </c>
      <c r="AM376" s="211">
        <f t="shared" si="437"/>
        <v>0</v>
      </c>
      <c r="AN376" s="211">
        <f t="shared" si="437"/>
        <v>0</v>
      </c>
    </row>
    <row r="377" spans="2:40" s="7" customFormat="1" ht="12" customHeight="1" outlineLevel="2">
      <c r="B377" s="245"/>
      <c r="C377" s="213" t="s">
        <v>754</v>
      </c>
      <c r="D377" s="213"/>
      <c r="E377" s="213"/>
      <c r="F377" s="211">
        <f>INDEX($C$348:$AN$370,MATCH("New Customers One-Time",$C$348:$C$370,0),MATCH($C377,$C$348:$AN$348,0))</f>
        <v>556</v>
      </c>
      <c r="G377" s="211">
        <f t="shared" ref="G377:AN377" si="438">$F377*(E374)</f>
        <v>0</v>
      </c>
      <c r="H377" s="211">
        <f t="shared" si="438"/>
        <v>0</v>
      </c>
      <c r="I377" s="211">
        <f t="shared" si="438"/>
        <v>0</v>
      </c>
      <c r="J377" s="211">
        <f t="shared" si="438"/>
        <v>0</v>
      </c>
      <c r="K377" s="211">
        <f t="shared" si="438"/>
        <v>0</v>
      </c>
      <c r="L377" s="211">
        <f t="shared" si="438"/>
        <v>0</v>
      </c>
      <c r="M377" s="211">
        <f t="shared" si="438"/>
        <v>0</v>
      </c>
      <c r="N377" s="211">
        <f t="shared" si="438"/>
        <v>0</v>
      </c>
      <c r="O377" s="211">
        <f t="shared" si="438"/>
        <v>0</v>
      </c>
      <c r="P377" s="211">
        <f t="shared" si="438"/>
        <v>0</v>
      </c>
      <c r="Q377" s="211">
        <f t="shared" si="438"/>
        <v>0</v>
      </c>
      <c r="R377" s="211">
        <f t="shared" si="438"/>
        <v>0</v>
      </c>
      <c r="S377" s="211">
        <f t="shared" si="438"/>
        <v>0</v>
      </c>
      <c r="T377" s="211">
        <f t="shared" si="438"/>
        <v>0</v>
      </c>
      <c r="U377" s="211">
        <f t="shared" si="438"/>
        <v>0</v>
      </c>
      <c r="V377" s="211">
        <f t="shared" si="438"/>
        <v>0</v>
      </c>
      <c r="W377" s="211">
        <f t="shared" si="438"/>
        <v>0</v>
      </c>
      <c r="X377" s="211">
        <f t="shared" si="438"/>
        <v>0</v>
      </c>
      <c r="Y377" s="211">
        <f t="shared" si="438"/>
        <v>0</v>
      </c>
      <c r="Z377" s="211">
        <f t="shared" si="438"/>
        <v>0</v>
      </c>
      <c r="AA377" s="211">
        <f t="shared" si="438"/>
        <v>0</v>
      </c>
      <c r="AB377" s="211">
        <f t="shared" si="438"/>
        <v>0</v>
      </c>
      <c r="AC377" s="211">
        <f t="shared" si="438"/>
        <v>0</v>
      </c>
      <c r="AD377" s="211">
        <f t="shared" si="438"/>
        <v>0</v>
      </c>
      <c r="AE377" s="211">
        <f t="shared" si="438"/>
        <v>0</v>
      </c>
      <c r="AF377" s="211">
        <f t="shared" si="438"/>
        <v>0</v>
      </c>
      <c r="AG377" s="211">
        <f t="shared" si="438"/>
        <v>0</v>
      </c>
      <c r="AH377" s="211">
        <f t="shared" si="438"/>
        <v>0</v>
      </c>
      <c r="AI377" s="211">
        <f t="shared" si="438"/>
        <v>0</v>
      </c>
      <c r="AJ377" s="211">
        <f t="shared" si="438"/>
        <v>0</v>
      </c>
      <c r="AK377" s="211">
        <f t="shared" si="438"/>
        <v>0</v>
      </c>
      <c r="AL377" s="211">
        <f t="shared" si="438"/>
        <v>0</v>
      </c>
      <c r="AM377" s="211">
        <f t="shared" si="438"/>
        <v>0</v>
      </c>
      <c r="AN377" s="211">
        <f t="shared" si="438"/>
        <v>0</v>
      </c>
    </row>
    <row r="378" spans="2:40" s="7" customFormat="1" ht="12" customHeight="1" outlineLevel="2">
      <c r="B378" s="245"/>
      <c r="C378" s="213" t="s">
        <v>755</v>
      </c>
      <c r="D378" s="213"/>
      <c r="E378" s="213"/>
      <c r="G378" s="211">
        <f>INDEX($C$348:$AN$370,MATCH("New Customers One-Time",$C$348:$C$370,0),MATCH($C378,$C$348:$AN$348,0))</f>
        <v>1130</v>
      </c>
      <c r="H378" s="211">
        <f t="shared" ref="H378:AN378" si="439">$G378*(E374)</f>
        <v>0</v>
      </c>
      <c r="I378" s="211">
        <f t="shared" si="439"/>
        <v>0</v>
      </c>
      <c r="J378" s="211">
        <f t="shared" si="439"/>
        <v>0</v>
      </c>
      <c r="K378" s="211">
        <f t="shared" si="439"/>
        <v>0</v>
      </c>
      <c r="L378" s="211">
        <f t="shared" si="439"/>
        <v>0</v>
      </c>
      <c r="M378" s="211">
        <f t="shared" si="439"/>
        <v>0</v>
      </c>
      <c r="N378" s="211">
        <f t="shared" si="439"/>
        <v>0</v>
      </c>
      <c r="O378" s="211">
        <f t="shared" si="439"/>
        <v>0</v>
      </c>
      <c r="P378" s="211">
        <f t="shared" si="439"/>
        <v>0</v>
      </c>
      <c r="Q378" s="211">
        <f t="shared" si="439"/>
        <v>0</v>
      </c>
      <c r="R378" s="211">
        <f t="shared" si="439"/>
        <v>0</v>
      </c>
      <c r="S378" s="211">
        <f t="shared" si="439"/>
        <v>0</v>
      </c>
      <c r="T378" s="211">
        <f t="shared" si="439"/>
        <v>0</v>
      </c>
      <c r="U378" s="211">
        <f t="shared" si="439"/>
        <v>0</v>
      </c>
      <c r="V378" s="211">
        <f t="shared" si="439"/>
        <v>0</v>
      </c>
      <c r="W378" s="211">
        <f t="shared" si="439"/>
        <v>0</v>
      </c>
      <c r="X378" s="211">
        <f t="shared" si="439"/>
        <v>0</v>
      </c>
      <c r="Y378" s="211">
        <f t="shared" si="439"/>
        <v>0</v>
      </c>
      <c r="Z378" s="211">
        <f t="shared" si="439"/>
        <v>0</v>
      </c>
      <c r="AA378" s="211">
        <f t="shared" si="439"/>
        <v>0</v>
      </c>
      <c r="AB378" s="211">
        <f t="shared" si="439"/>
        <v>0</v>
      </c>
      <c r="AC378" s="211">
        <f t="shared" si="439"/>
        <v>0</v>
      </c>
      <c r="AD378" s="211">
        <f t="shared" si="439"/>
        <v>0</v>
      </c>
      <c r="AE378" s="211">
        <f t="shared" si="439"/>
        <v>0</v>
      </c>
      <c r="AF378" s="211">
        <f t="shared" si="439"/>
        <v>0</v>
      </c>
      <c r="AG378" s="211">
        <f t="shared" si="439"/>
        <v>0</v>
      </c>
      <c r="AH378" s="211">
        <f t="shared" si="439"/>
        <v>0</v>
      </c>
      <c r="AI378" s="211">
        <f t="shared" si="439"/>
        <v>0</v>
      </c>
      <c r="AJ378" s="211">
        <f t="shared" si="439"/>
        <v>0</v>
      </c>
      <c r="AK378" s="211">
        <f t="shared" si="439"/>
        <v>0</v>
      </c>
      <c r="AL378" s="211">
        <f t="shared" si="439"/>
        <v>0</v>
      </c>
      <c r="AM378" s="211">
        <f t="shared" si="439"/>
        <v>0</v>
      </c>
      <c r="AN378" s="211">
        <f t="shared" si="439"/>
        <v>0</v>
      </c>
    </row>
    <row r="379" spans="2:40" s="7" customFormat="1" ht="12" customHeight="1" outlineLevel="2">
      <c r="B379" s="245"/>
      <c r="C379" s="213" t="s">
        <v>756</v>
      </c>
      <c r="D379" s="213"/>
      <c r="E379" s="213"/>
      <c r="F379" s="213"/>
      <c r="G379" s="213"/>
      <c r="H379" s="211">
        <f>INDEX($C$348:$AN$370,MATCH("New Customers One-Time",$C$348:$C$370,0),MATCH($C379,$C$348:$AN$348,0))</f>
        <v>2716</v>
      </c>
      <c r="I379" s="211">
        <f t="shared" ref="I379:AN379" si="440">$H379*(E374)</f>
        <v>0</v>
      </c>
      <c r="J379" s="211">
        <f t="shared" si="440"/>
        <v>0</v>
      </c>
      <c r="K379" s="211">
        <f t="shared" si="440"/>
        <v>0</v>
      </c>
      <c r="L379" s="211">
        <f t="shared" si="440"/>
        <v>0</v>
      </c>
      <c r="M379" s="211">
        <f t="shared" si="440"/>
        <v>0</v>
      </c>
      <c r="N379" s="211">
        <f t="shared" si="440"/>
        <v>0</v>
      </c>
      <c r="O379" s="211">
        <f t="shared" si="440"/>
        <v>0</v>
      </c>
      <c r="P379" s="211">
        <f t="shared" si="440"/>
        <v>0</v>
      </c>
      <c r="Q379" s="211">
        <f t="shared" si="440"/>
        <v>0</v>
      </c>
      <c r="R379" s="211">
        <f t="shared" si="440"/>
        <v>0</v>
      </c>
      <c r="S379" s="211">
        <f t="shared" si="440"/>
        <v>0</v>
      </c>
      <c r="T379" s="211">
        <f t="shared" si="440"/>
        <v>0</v>
      </c>
      <c r="U379" s="211">
        <f t="shared" si="440"/>
        <v>0</v>
      </c>
      <c r="V379" s="211">
        <f t="shared" si="440"/>
        <v>0</v>
      </c>
      <c r="W379" s="211">
        <f t="shared" si="440"/>
        <v>0</v>
      </c>
      <c r="X379" s="211">
        <f t="shared" si="440"/>
        <v>0</v>
      </c>
      <c r="Y379" s="211">
        <f t="shared" si="440"/>
        <v>0</v>
      </c>
      <c r="Z379" s="211">
        <f t="shared" si="440"/>
        <v>0</v>
      </c>
      <c r="AA379" s="211">
        <f t="shared" si="440"/>
        <v>0</v>
      </c>
      <c r="AB379" s="211">
        <f t="shared" si="440"/>
        <v>0</v>
      </c>
      <c r="AC379" s="211">
        <f t="shared" si="440"/>
        <v>0</v>
      </c>
      <c r="AD379" s="211">
        <f t="shared" si="440"/>
        <v>0</v>
      </c>
      <c r="AE379" s="211">
        <f t="shared" si="440"/>
        <v>0</v>
      </c>
      <c r="AF379" s="211">
        <f t="shared" si="440"/>
        <v>0</v>
      </c>
      <c r="AG379" s="211">
        <f t="shared" si="440"/>
        <v>0</v>
      </c>
      <c r="AH379" s="211">
        <f t="shared" si="440"/>
        <v>0</v>
      </c>
      <c r="AI379" s="211">
        <f t="shared" si="440"/>
        <v>0</v>
      </c>
      <c r="AJ379" s="211">
        <f t="shared" si="440"/>
        <v>0</v>
      </c>
      <c r="AK379" s="211">
        <f t="shared" si="440"/>
        <v>0</v>
      </c>
      <c r="AL379" s="211">
        <f t="shared" si="440"/>
        <v>0</v>
      </c>
      <c r="AM379" s="211">
        <f t="shared" si="440"/>
        <v>0</v>
      </c>
      <c r="AN379" s="211">
        <f t="shared" si="440"/>
        <v>0</v>
      </c>
    </row>
    <row r="380" spans="2:40" s="7" customFormat="1" ht="12" customHeight="1" outlineLevel="2">
      <c r="B380" s="245"/>
      <c r="C380" s="213" t="s">
        <v>757</v>
      </c>
      <c r="D380" s="213"/>
      <c r="E380" s="213"/>
      <c r="F380" s="213"/>
      <c r="G380" s="213"/>
      <c r="H380" s="213"/>
      <c r="I380" s="211">
        <f>INDEX($C$348:$AN$370,MATCH("New Customers One-Time",$C$348:$C$370,0),MATCH($C380,$C$348:$AN$348,0))</f>
        <v>813</v>
      </c>
      <c r="J380" s="211">
        <f t="shared" ref="J380:AN380" si="441">$I380*(E374)</f>
        <v>0</v>
      </c>
      <c r="K380" s="211">
        <f t="shared" si="441"/>
        <v>0</v>
      </c>
      <c r="L380" s="211">
        <f t="shared" si="441"/>
        <v>0</v>
      </c>
      <c r="M380" s="211">
        <f t="shared" si="441"/>
        <v>0</v>
      </c>
      <c r="N380" s="211">
        <f t="shared" si="441"/>
        <v>0</v>
      </c>
      <c r="O380" s="211">
        <f t="shared" si="441"/>
        <v>0</v>
      </c>
      <c r="P380" s="211">
        <f t="shared" si="441"/>
        <v>0</v>
      </c>
      <c r="Q380" s="211">
        <f t="shared" si="441"/>
        <v>0</v>
      </c>
      <c r="R380" s="211">
        <f t="shared" si="441"/>
        <v>0</v>
      </c>
      <c r="S380" s="211">
        <f t="shared" si="441"/>
        <v>0</v>
      </c>
      <c r="T380" s="211">
        <f t="shared" si="441"/>
        <v>0</v>
      </c>
      <c r="U380" s="211">
        <f t="shared" si="441"/>
        <v>0</v>
      </c>
      <c r="V380" s="211">
        <f t="shared" si="441"/>
        <v>0</v>
      </c>
      <c r="W380" s="211">
        <f t="shared" si="441"/>
        <v>0</v>
      </c>
      <c r="X380" s="211">
        <f t="shared" si="441"/>
        <v>0</v>
      </c>
      <c r="Y380" s="211">
        <f t="shared" si="441"/>
        <v>0</v>
      </c>
      <c r="Z380" s="211">
        <f t="shared" si="441"/>
        <v>0</v>
      </c>
      <c r="AA380" s="211">
        <f t="shared" si="441"/>
        <v>0</v>
      </c>
      <c r="AB380" s="211">
        <f t="shared" si="441"/>
        <v>0</v>
      </c>
      <c r="AC380" s="211">
        <f t="shared" si="441"/>
        <v>0</v>
      </c>
      <c r="AD380" s="211">
        <f t="shared" si="441"/>
        <v>0</v>
      </c>
      <c r="AE380" s="211">
        <f t="shared" si="441"/>
        <v>0</v>
      </c>
      <c r="AF380" s="211">
        <f t="shared" si="441"/>
        <v>0</v>
      </c>
      <c r="AG380" s="211">
        <f t="shared" si="441"/>
        <v>0</v>
      </c>
      <c r="AH380" s="211">
        <f t="shared" si="441"/>
        <v>0</v>
      </c>
      <c r="AI380" s="211">
        <f t="shared" si="441"/>
        <v>0</v>
      </c>
      <c r="AJ380" s="211">
        <f t="shared" si="441"/>
        <v>0</v>
      </c>
      <c r="AK380" s="211">
        <f t="shared" si="441"/>
        <v>0</v>
      </c>
      <c r="AL380" s="211">
        <f t="shared" si="441"/>
        <v>0</v>
      </c>
      <c r="AM380" s="211">
        <f t="shared" si="441"/>
        <v>0</v>
      </c>
      <c r="AN380" s="211">
        <f t="shared" si="441"/>
        <v>0</v>
      </c>
    </row>
    <row r="381" spans="2:40" s="7" customFormat="1" ht="12" customHeight="1" outlineLevel="2">
      <c r="B381" s="245"/>
      <c r="C381" s="213" t="s">
        <v>758</v>
      </c>
      <c r="D381" s="213"/>
      <c r="E381" s="213"/>
      <c r="F381" s="213"/>
      <c r="G381" s="213"/>
      <c r="H381" s="213"/>
      <c r="I381" s="213"/>
      <c r="J381" s="211">
        <f>INDEX($C$348:$AN$370,MATCH("New Customers One-Time",$C$348:$C$370,0),MATCH($C381,$C$348:$AN$348,0))</f>
        <v>1441.6000000000001</v>
      </c>
      <c r="K381" s="211">
        <f t="shared" ref="K381:AN381" si="442">$J381*(E374)</f>
        <v>0</v>
      </c>
      <c r="L381" s="211">
        <f t="shared" si="442"/>
        <v>0</v>
      </c>
      <c r="M381" s="211">
        <f t="shared" si="442"/>
        <v>0</v>
      </c>
      <c r="N381" s="211">
        <f t="shared" si="442"/>
        <v>0</v>
      </c>
      <c r="O381" s="211">
        <f t="shared" si="442"/>
        <v>0</v>
      </c>
      <c r="P381" s="211">
        <f t="shared" si="442"/>
        <v>0</v>
      </c>
      <c r="Q381" s="211">
        <f t="shared" si="442"/>
        <v>0</v>
      </c>
      <c r="R381" s="211">
        <f t="shared" si="442"/>
        <v>0</v>
      </c>
      <c r="S381" s="211">
        <f t="shared" si="442"/>
        <v>0</v>
      </c>
      <c r="T381" s="211">
        <f t="shared" si="442"/>
        <v>0</v>
      </c>
      <c r="U381" s="211">
        <f t="shared" si="442"/>
        <v>0</v>
      </c>
      <c r="V381" s="211">
        <f t="shared" si="442"/>
        <v>0</v>
      </c>
      <c r="W381" s="211">
        <f t="shared" si="442"/>
        <v>0</v>
      </c>
      <c r="X381" s="211">
        <f t="shared" si="442"/>
        <v>0</v>
      </c>
      <c r="Y381" s="211">
        <f t="shared" si="442"/>
        <v>0</v>
      </c>
      <c r="Z381" s="211">
        <f t="shared" si="442"/>
        <v>0</v>
      </c>
      <c r="AA381" s="211">
        <f t="shared" si="442"/>
        <v>0</v>
      </c>
      <c r="AB381" s="211">
        <f t="shared" si="442"/>
        <v>0</v>
      </c>
      <c r="AC381" s="211">
        <f t="shared" si="442"/>
        <v>0</v>
      </c>
      <c r="AD381" s="211">
        <f t="shared" si="442"/>
        <v>0</v>
      </c>
      <c r="AE381" s="211">
        <f t="shared" si="442"/>
        <v>0</v>
      </c>
      <c r="AF381" s="211">
        <f t="shared" si="442"/>
        <v>0</v>
      </c>
      <c r="AG381" s="211">
        <f t="shared" si="442"/>
        <v>0</v>
      </c>
      <c r="AH381" s="211">
        <f t="shared" si="442"/>
        <v>0</v>
      </c>
      <c r="AI381" s="211">
        <f t="shared" si="442"/>
        <v>0</v>
      </c>
      <c r="AJ381" s="211">
        <f t="shared" si="442"/>
        <v>0</v>
      </c>
      <c r="AK381" s="211">
        <f t="shared" si="442"/>
        <v>0</v>
      </c>
      <c r="AL381" s="211">
        <f t="shared" si="442"/>
        <v>0</v>
      </c>
      <c r="AM381" s="211">
        <f t="shared" si="442"/>
        <v>0</v>
      </c>
      <c r="AN381" s="211">
        <f t="shared" si="442"/>
        <v>0</v>
      </c>
    </row>
    <row r="382" spans="2:40" s="7" customFormat="1" ht="12" customHeight="1" outlineLevel="2">
      <c r="B382" s="245"/>
      <c r="C382" s="213" t="s">
        <v>759</v>
      </c>
      <c r="D382" s="213"/>
      <c r="E382" s="213"/>
      <c r="F382" s="213"/>
      <c r="G382" s="213"/>
      <c r="H382" s="213"/>
      <c r="I382" s="213"/>
      <c r="J382" s="213"/>
      <c r="K382" s="211">
        <f>INDEX($C$348:$AN$370,MATCH("New Customers One-Time",$C$348:$C$370,0),MATCH($C382,$C$348:$AN$348,0))</f>
        <v>1336</v>
      </c>
      <c r="L382" s="211">
        <f t="shared" ref="L382:AN382" si="443">$K382*(E374)</f>
        <v>0</v>
      </c>
      <c r="M382" s="211">
        <f t="shared" si="443"/>
        <v>0</v>
      </c>
      <c r="N382" s="211">
        <f t="shared" si="443"/>
        <v>0</v>
      </c>
      <c r="O382" s="211">
        <f t="shared" si="443"/>
        <v>0</v>
      </c>
      <c r="P382" s="211">
        <f t="shared" si="443"/>
        <v>0</v>
      </c>
      <c r="Q382" s="211">
        <f t="shared" si="443"/>
        <v>0</v>
      </c>
      <c r="R382" s="211">
        <f t="shared" si="443"/>
        <v>0</v>
      </c>
      <c r="S382" s="211">
        <f t="shared" si="443"/>
        <v>0</v>
      </c>
      <c r="T382" s="211">
        <f t="shared" si="443"/>
        <v>0</v>
      </c>
      <c r="U382" s="211">
        <f t="shared" si="443"/>
        <v>0</v>
      </c>
      <c r="V382" s="211">
        <f t="shared" si="443"/>
        <v>0</v>
      </c>
      <c r="W382" s="211">
        <f t="shared" si="443"/>
        <v>0</v>
      </c>
      <c r="X382" s="211">
        <f t="shared" si="443"/>
        <v>0</v>
      </c>
      <c r="Y382" s="211">
        <f t="shared" si="443"/>
        <v>0</v>
      </c>
      <c r="Z382" s="211">
        <f t="shared" si="443"/>
        <v>0</v>
      </c>
      <c r="AA382" s="211">
        <f t="shared" si="443"/>
        <v>0</v>
      </c>
      <c r="AB382" s="211">
        <f t="shared" si="443"/>
        <v>0</v>
      </c>
      <c r="AC382" s="211">
        <f t="shared" si="443"/>
        <v>0</v>
      </c>
      <c r="AD382" s="211">
        <f t="shared" si="443"/>
        <v>0</v>
      </c>
      <c r="AE382" s="211">
        <f t="shared" si="443"/>
        <v>0</v>
      </c>
      <c r="AF382" s="211">
        <f t="shared" si="443"/>
        <v>0</v>
      </c>
      <c r="AG382" s="211">
        <f t="shared" si="443"/>
        <v>0</v>
      </c>
      <c r="AH382" s="211">
        <f t="shared" si="443"/>
        <v>0</v>
      </c>
      <c r="AI382" s="211">
        <f t="shared" si="443"/>
        <v>0</v>
      </c>
      <c r="AJ382" s="211">
        <f t="shared" si="443"/>
        <v>0</v>
      </c>
      <c r="AK382" s="211">
        <f t="shared" si="443"/>
        <v>0</v>
      </c>
      <c r="AL382" s="211">
        <f t="shared" si="443"/>
        <v>0</v>
      </c>
      <c r="AM382" s="211">
        <f t="shared" si="443"/>
        <v>0</v>
      </c>
      <c r="AN382" s="211">
        <f t="shared" si="443"/>
        <v>0</v>
      </c>
    </row>
    <row r="383" spans="2:40" s="7" customFormat="1" ht="12" customHeight="1" outlineLevel="2">
      <c r="B383" s="245"/>
      <c r="C383" s="213" t="s">
        <v>760</v>
      </c>
      <c r="D383" s="213"/>
      <c r="E383" s="213"/>
      <c r="F383" s="213"/>
      <c r="G383" s="213"/>
      <c r="H383" s="213"/>
      <c r="I383" s="213"/>
      <c r="J383" s="213"/>
      <c r="K383" s="213"/>
      <c r="L383" s="211">
        <f>INDEX($C$348:$AN$370,MATCH("New Customers One-Time",$C$348:$C$370,0),MATCH($C383,$C$348:$AN$348,0))</f>
        <v>680.80000000000007</v>
      </c>
      <c r="M383" s="211">
        <f t="shared" ref="M383:AN383" si="444">$L383*(E374)</f>
        <v>0</v>
      </c>
      <c r="N383" s="211">
        <f t="shared" si="444"/>
        <v>0</v>
      </c>
      <c r="O383" s="211">
        <f t="shared" si="444"/>
        <v>0</v>
      </c>
      <c r="P383" s="211">
        <f t="shared" si="444"/>
        <v>0</v>
      </c>
      <c r="Q383" s="211">
        <f t="shared" si="444"/>
        <v>0</v>
      </c>
      <c r="R383" s="211">
        <f t="shared" si="444"/>
        <v>0</v>
      </c>
      <c r="S383" s="211">
        <f t="shared" si="444"/>
        <v>0</v>
      </c>
      <c r="T383" s="211">
        <f t="shared" si="444"/>
        <v>0</v>
      </c>
      <c r="U383" s="211">
        <f t="shared" si="444"/>
        <v>0</v>
      </c>
      <c r="V383" s="211">
        <f t="shared" si="444"/>
        <v>0</v>
      </c>
      <c r="W383" s="211">
        <f t="shared" si="444"/>
        <v>0</v>
      </c>
      <c r="X383" s="211">
        <f t="shared" si="444"/>
        <v>0</v>
      </c>
      <c r="Y383" s="211">
        <f t="shared" si="444"/>
        <v>0</v>
      </c>
      <c r="Z383" s="211">
        <f t="shared" si="444"/>
        <v>0</v>
      </c>
      <c r="AA383" s="211">
        <f t="shared" si="444"/>
        <v>0</v>
      </c>
      <c r="AB383" s="211">
        <f t="shared" si="444"/>
        <v>0</v>
      </c>
      <c r="AC383" s="211">
        <f t="shared" si="444"/>
        <v>0</v>
      </c>
      <c r="AD383" s="211">
        <f t="shared" si="444"/>
        <v>0</v>
      </c>
      <c r="AE383" s="211">
        <f t="shared" si="444"/>
        <v>0</v>
      </c>
      <c r="AF383" s="211">
        <f t="shared" si="444"/>
        <v>0</v>
      </c>
      <c r="AG383" s="211">
        <f t="shared" si="444"/>
        <v>0</v>
      </c>
      <c r="AH383" s="211">
        <f t="shared" si="444"/>
        <v>0</v>
      </c>
      <c r="AI383" s="211">
        <f t="shared" si="444"/>
        <v>0</v>
      </c>
      <c r="AJ383" s="211">
        <f t="shared" si="444"/>
        <v>0</v>
      </c>
      <c r="AK383" s="211">
        <f t="shared" si="444"/>
        <v>0</v>
      </c>
      <c r="AL383" s="211">
        <f t="shared" si="444"/>
        <v>0</v>
      </c>
      <c r="AM383" s="211">
        <f t="shared" si="444"/>
        <v>0</v>
      </c>
      <c r="AN383" s="211">
        <f t="shared" si="444"/>
        <v>0</v>
      </c>
    </row>
    <row r="384" spans="2:40" s="7" customFormat="1" ht="12" customHeight="1" outlineLevel="2">
      <c r="B384" s="245"/>
      <c r="C384" s="213" t="s">
        <v>761</v>
      </c>
      <c r="D384" s="213"/>
      <c r="E384" s="213"/>
      <c r="F384" s="213"/>
      <c r="G384" s="213"/>
      <c r="H384" s="213"/>
      <c r="I384" s="213"/>
      <c r="J384" s="213"/>
      <c r="K384" s="213"/>
      <c r="L384" s="213"/>
      <c r="M384" s="211">
        <f>INDEX($C$348:$AN$370,MATCH("New Customers One-Time",$C$348:$C$370,0),MATCH($C384,$C$348:$AN$348,0))</f>
        <v>2178.0000000000005</v>
      </c>
      <c r="N384" s="211">
        <f t="shared" ref="N384:AN384" si="445">$M384*(E374)</f>
        <v>0</v>
      </c>
      <c r="O384" s="211">
        <f t="shared" si="445"/>
        <v>0</v>
      </c>
      <c r="P384" s="211">
        <f t="shared" si="445"/>
        <v>0</v>
      </c>
      <c r="Q384" s="211">
        <f t="shared" si="445"/>
        <v>0</v>
      </c>
      <c r="R384" s="211">
        <f t="shared" si="445"/>
        <v>0</v>
      </c>
      <c r="S384" s="211">
        <f t="shared" si="445"/>
        <v>0</v>
      </c>
      <c r="T384" s="211">
        <f t="shared" si="445"/>
        <v>0</v>
      </c>
      <c r="U384" s="211">
        <f t="shared" si="445"/>
        <v>0</v>
      </c>
      <c r="V384" s="211">
        <f t="shared" si="445"/>
        <v>0</v>
      </c>
      <c r="W384" s="211">
        <f t="shared" si="445"/>
        <v>0</v>
      </c>
      <c r="X384" s="211">
        <f t="shared" si="445"/>
        <v>0</v>
      </c>
      <c r="Y384" s="211">
        <f t="shared" si="445"/>
        <v>0</v>
      </c>
      <c r="Z384" s="211">
        <f t="shared" si="445"/>
        <v>0</v>
      </c>
      <c r="AA384" s="211">
        <f t="shared" si="445"/>
        <v>0</v>
      </c>
      <c r="AB384" s="211">
        <f t="shared" si="445"/>
        <v>0</v>
      </c>
      <c r="AC384" s="211">
        <f t="shared" si="445"/>
        <v>0</v>
      </c>
      <c r="AD384" s="211">
        <f t="shared" si="445"/>
        <v>0</v>
      </c>
      <c r="AE384" s="211">
        <f t="shared" si="445"/>
        <v>0</v>
      </c>
      <c r="AF384" s="211">
        <f t="shared" si="445"/>
        <v>0</v>
      </c>
      <c r="AG384" s="211">
        <f t="shared" si="445"/>
        <v>0</v>
      </c>
      <c r="AH384" s="211">
        <f t="shared" si="445"/>
        <v>0</v>
      </c>
      <c r="AI384" s="211">
        <f t="shared" si="445"/>
        <v>0</v>
      </c>
      <c r="AJ384" s="211">
        <f t="shared" si="445"/>
        <v>0</v>
      </c>
      <c r="AK384" s="211">
        <f t="shared" si="445"/>
        <v>0</v>
      </c>
      <c r="AL384" s="211">
        <f t="shared" si="445"/>
        <v>0</v>
      </c>
      <c r="AM384" s="211">
        <f t="shared" si="445"/>
        <v>0</v>
      </c>
      <c r="AN384" s="211">
        <f t="shared" si="445"/>
        <v>0</v>
      </c>
    </row>
    <row r="385" spans="2:40" s="7" customFormat="1" ht="12" customHeight="1" outlineLevel="2">
      <c r="B385" s="245"/>
      <c r="C385" s="213" t="s">
        <v>762</v>
      </c>
      <c r="D385" s="213"/>
      <c r="E385" s="213"/>
      <c r="F385" s="213"/>
      <c r="G385" s="213"/>
      <c r="H385" s="213"/>
      <c r="I385" s="213"/>
      <c r="J385" s="213"/>
      <c r="K385" s="213"/>
      <c r="L385" s="213"/>
      <c r="M385" s="213"/>
      <c r="N385" s="211">
        <f>INDEX($C$348:$AN$370,MATCH("New Customers One-Time",$C$348:$C$370,0),MATCH($C385,$C$348:$AN$348,0))</f>
        <v>2178.0000000000005</v>
      </c>
      <c r="O385" s="211">
        <f t="shared" ref="O385:AN385" si="446">$N385*(E374)</f>
        <v>0</v>
      </c>
      <c r="P385" s="211">
        <f t="shared" si="446"/>
        <v>0</v>
      </c>
      <c r="Q385" s="211">
        <f t="shared" si="446"/>
        <v>0</v>
      </c>
      <c r="R385" s="211">
        <f t="shared" si="446"/>
        <v>0</v>
      </c>
      <c r="S385" s="211">
        <f t="shared" si="446"/>
        <v>0</v>
      </c>
      <c r="T385" s="211">
        <f t="shared" si="446"/>
        <v>0</v>
      </c>
      <c r="U385" s="211">
        <f t="shared" si="446"/>
        <v>0</v>
      </c>
      <c r="V385" s="211">
        <f t="shared" si="446"/>
        <v>0</v>
      </c>
      <c r="W385" s="211">
        <f t="shared" si="446"/>
        <v>0</v>
      </c>
      <c r="X385" s="211">
        <f t="shared" si="446"/>
        <v>0</v>
      </c>
      <c r="Y385" s="211">
        <f t="shared" si="446"/>
        <v>0</v>
      </c>
      <c r="Z385" s="211">
        <f t="shared" si="446"/>
        <v>0</v>
      </c>
      <c r="AA385" s="211">
        <f t="shared" si="446"/>
        <v>0</v>
      </c>
      <c r="AB385" s="211">
        <f t="shared" si="446"/>
        <v>0</v>
      </c>
      <c r="AC385" s="211">
        <f t="shared" si="446"/>
        <v>0</v>
      </c>
      <c r="AD385" s="211">
        <f t="shared" si="446"/>
        <v>0</v>
      </c>
      <c r="AE385" s="211">
        <f t="shared" si="446"/>
        <v>0</v>
      </c>
      <c r="AF385" s="211">
        <f t="shared" si="446"/>
        <v>0</v>
      </c>
      <c r="AG385" s="211">
        <f t="shared" si="446"/>
        <v>0</v>
      </c>
      <c r="AH385" s="211">
        <f t="shared" si="446"/>
        <v>0</v>
      </c>
      <c r="AI385" s="211">
        <f t="shared" si="446"/>
        <v>0</v>
      </c>
      <c r="AJ385" s="211">
        <f t="shared" si="446"/>
        <v>0</v>
      </c>
      <c r="AK385" s="211">
        <f t="shared" si="446"/>
        <v>0</v>
      </c>
      <c r="AL385" s="211">
        <f t="shared" si="446"/>
        <v>0</v>
      </c>
      <c r="AM385" s="211">
        <f t="shared" si="446"/>
        <v>0</v>
      </c>
      <c r="AN385" s="211">
        <f t="shared" si="446"/>
        <v>0</v>
      </c>
    </row>
    <row r="386" spans="2:40" s="7" customFormat="1" ht="12" customHeight="1" outlineLevel="2">
      <c r="B386" s="245"/>
      <c r="C386" s="213" t="s">
        <v>763</v>
      </c>
      <c r="D386" s="213"/>
      <c r="E386" s="213"/>
      <c r="F386" s="213"/>
      <c r="G386" s="213"/>
      <c r="H386" s="213"/>
      <c r="I386" s="213"/>
      <c r="J386" s="213"/>
      <c r="K386" s="213"/>
      <c r="L386" s="213"/>
      <c r="M386" s="213"/>
      <c r="N386" s="213"/>
      <c r="O386" s="211">
        <f>INDEX($C$348:$AN$370,MATCH("New Customers One-Time",$C$348:$C$370,0),MATCH($C386,$C$348:$AN$348,0))</f>
        <v>475.2</v>
      </c>
      <c r="P386" s="211">
        <f t="shared" ref="P386:AN386" si="447">$O386*(E374)</f>
        <v>0</v>
      </c>
      <c r="Q386" s="211">
        <f t="shared" si="447"/>
        <v>0</v>
      </c>
      <c r="R386" s="211">
        <f t="shared" si="447"/>
        <v>0</v>
      </c>
      <c r="S386" s="211">
        <f t="shared" si="447"/>
        <v>0</v>
      </c>
      <c r="T386" s="211">
        <f t="shared" si="447"/>
        <v>0</v>
      </c>
      <c r="U386" s="211">
        <f t="shared" si="447"/>
        <v>0</v>
      </c>
      <c r="V386" s="211">
        <f t="shared" si="447"/>
        <v>0</v>
      </c>
      <c r="W386" s="211">
        <f t="shared" si="447"/>
        <v>0</v>
      </c>
      <c r="X386" s="211">
        <f t="shared" si="447"/>
        <v>0</v>
      </c>
      <c r="Y386" s="211">
        <f t="shared" si="447"/>
        <v>0</v>
      </c>
      <c r="Z386" s="211">
        <f t="shared" si="447"/>
        <v>0</v>
      </c>
      <c r="AA386" s="211">
        <f t="shared" si="447"/>
        <v>0</v>
      </c>
      <c r="AB386" s="211">
        <f t="shared" si="447"/>
        <v>0</v>
      </c>
      <c r="AC386" s="211">
        <f t="shared" si="447"/>
        <v>0</v>
      </c>
      <c r="AD386" s="211">
        <f t="shared" si="447"/>
        <v>0</v>
      </c>
      <c r="AE386" s="211">
        <f t="shared" si="447"/>
        <v>0</v>
      </c>
      <c r="AF386" s="211">
        <f t="shared" si="447"/>
        <v>0</v>
      </c>
      <c r="AG386" s="211">
        <f t="shared" si="447"/>
        <v>0</v>
      </c>
      <c r="AH386" s="211">
        <f t="shared" si="447"/>
        <v>0</v>
      </c>
      <c r="AI386" s="211">
        <f t="shared" si="447"/>
        <v>0</v>
      </c>
      <c r="AJ386" s="211">
        <f t="shared" si="447"/>
        <v>0</v>
      </c>
      <c r="AK386" s="211">
        <f t="shared" si="447"/>
        <v>0</v>
      </c>
      <c r="AL386" s="211">
        <f t="shared" si="447"/>
        <v>0</v>
      </c>
      <c r="AM386" s="211">
        <f t="shared" si="447"/>
        <v>0</v>
      </c>
      <c r="AN386" s="211">
        <f t="shared" si="447"/>
        <v>0</v>
      </c>
    </row>
    <row r="387" spans="2:40" s="7" customFormat="1" ht="12" customHeight="1" outlineLevel="2">
      <c r="B387" s="245"/>
      <c r="C387" s="213" t="s">
        <v>764</v>
      </c>
      <c r="D387" s="213"/>
      <c r="E387" s="213"/>
      <c r="F387" s="213"/>
      <c r="G387" s="213"/>
      <c r="H387" s="213"/>
      <c r="I387" s="213"/>
      <c r="J387" s="213"/>
      <c r="K387" s="213"/>
      <c r="L387" s="213"/>
      <c r="M387" s="213"/>
      <c r="N387" s="213"/>
      <c r="O387" s="213"/>
      <c r="P387" s="211">
        <f>INDEX($C$348:$AN$370,MATCH("New Customers One-Time",$C$348:$C$370,0),MATCH($C387,$C$348:$AN$348,0))</f>
        <v>475.2</v>
      </c>
      <c r="Q387" s="211">
        <f t="shared" ref="Q387:AN387" si="448">$P387*(E374)</f>
        <v>0</v>
      </c>
      <c r="R387" s="211">
        <f t="shared" si="448"/>
        <v>0</v>
      </c>
      <c r="S387" s="211">
        <f t="shared" si="448"/>
        <v>0</v>
      </c>
      <c r="T387" s="211">
        <f t="shared" si="448"/>
        <v>0</v>
      </c>
      <c r="U387" s="211">
        <f t="shared" si="448"/>
        <v>0</v>
      </c>
      <c r="V387" s="211">
        <f t="shared" si="448"/>
        <v>0</v>
      </c>
      <c r="W387" s="211">
        <f t="shared" si="448"/>
        <v>0</v>
      </c>
      <c r="X387" s="211">
        <f t="shared" si="448"/>
        <v>0</v>
      </c>
      <c r="Y387" s="211">
        <f t="shared" si="448"/>
        <v>0</v>
      </c>
      <c r="Z387" s="211">
        <f t="shared" si="448"/>
        <v>0</v>
      </c>
      <c r="AA387" s="211">
        <f t="shared" si="448"/>
        <v>0</v>
      </c>
      <c r="AB387" s="211">
        <f t="shared" si="448"/>
        <v>0</v>
      </c>
      <c r="AC387" s="211">
        <f t="shared" si="448"/>
        <v>0</v>
      </c>
      <c r="AD387" s="211">
        <f t="shared" si="448"/>
        <v>0</v>
      </c>
      <c r="AE387" s="211">
        <f t="shared" si="448"/>
        <v>0</v>
      </c>
      <c r="AF387" s="211">
        <f t="shared" si="448"/>
        <v>0</v>
      </c>
      <c r="AG387" s="211">
        <f t="shared" si="448"/>
        <v>0</v>
      </c>
      <c r="AH387" s="211">
        <f t="shared" si="448"/>
        <v>0</v>
      </c>
      <c r="AI387" s="211">
        <f t="shared" si="448"/>
        <v>0</v>
      </c>
      <c r="AJ387" s="211">
        <f t="shared" si="448"/>
        <v>0</v>
      </c>
      <c r="AK387" s="211">
        <f t="shared" si="448"/>
        <v>0</v>
      </c>
      <c r="AL387" s="211">
        <f t="shared" si="448"/>
        <v>0</v>
      </c>
      <c r="AM387" s="211">
        <f t="shared" si="448"/>
        <v>0</v>
      </c>
      <c r="AN387" s="211">
        <f t="shared" si="448"/>
        <v>0</v>
      </c>
    </row>
    <row r="388" spans="2:40" s="7" customFormat="1" ht="12" customHeight="1" outlineLevel="2">
      <c r="B388" s="245"/>
      <c r="C388" s="213" t="s">
        <v>765</v>
      </c>
      <c r="D388" s="213"/>
      <c r="E388" s="213"/>
      <c r="F388" s="213"/>
      <c r="G388" s="213"/>
      <c r="H388" s="213"/>
      <c r="I388" s="213"/>
      <c r="J388" s="213"/>
      <c r="K388" s="213"/>
      <c r="L388" s="213"/>
      <c r="M388" s="213"/>
      <c r="N388" s="213"/>
      <c r="O388" s="213"/>
      <c r="P388" s="213"/>
      <c r="Q388" s="211">
        <f>INDEX($C$348:$AN$370,MATCH("New Customers One-Time",$C$348:$C$370,0),MATCH($C388,$C$348:$AN$348,0))</f>
        <v>752.4</v>
      </c>
      <c r="R388" s="211">
        <f t="shared" ref="R388:AN388" si="449">$Q388*(E374)</f>
        <v>0</v>
      </c>
      <c r="S388" s="211">
        <f t="shared" si="449"/>
        <v>0</v>
      </c>
      <c r="T388" s="211">
        <f t="shared" si="449"/>
        <v>0</v>
      </c>
      <c r="U388" s="211">
        <f t="shared" si="449"/>
        <v>0</v>
      </c>
      <c r="V388" s="211">
        <f t="shared" si="449"/>
        <v>0</v>
      </c>
      <c r="W388" s="211">
        <f t="shared" si="449"/>
        <v>0</v>
      </c>
      <c r="X388" s="211">
        <f t="shared" si="449"/>
        <v>0</v>
      </c>
      <c r="Y388" s="211">
        <f t="shared" si="449"/>
        <v>0</v>
      </c>
      <c r="Z388" s="211">
        <f t="shared" si="449"/>
        <v>0</v>
      </c>
      <c r="AA388" s="211">
        <f t="shared" si="449"/>
        <v>0</v>
      </c>
      <c r="AB388" s="211">
        <f t="shared" si="449"/>
        <v>0</v>
      </c>
      <c r="AC388" s="211">
        <f t="shared" si="449"/>
        <v>0</v>
      </c>
      <c r="AD388" s="211">
        <f t="shared" si="449"/>
        <v>0</v>
      </c>
      <c r="AE388" s="211">
        <f t="shared" si="449"/>
        <v>0</v>
      </c>
      <c r="AF388" s="211">
        <f t="shared" si="449"/>
        <v>0</v>
      </c>
      <c r="AG388" s="211">
        <f t="shared" si="449"/>
        <v>0</v>
      </c>
      <c r="AH388" s="211">
        <f t="shared" si="449"/>
        <v>0</v>
      </c>
      <c r="AI388" s="211">
        <f t="shared" si="449"/>
        <v>0</v>
      </c>
      <c r="AJ388" s="211">
        <f t="shared" si="449"/>
        <v>0</v>
      </c>
      <c r="AK388" s="211">
        <f t="shared" si="449"/>
        <v>0</v>
      </c>
      <c r="AL388" s="211">
        <f t="shared" si="449"/>
        <v>0</v>
      </c>
      <c r="AM388" s="211">
        <f t="shared" si="449"/>
        <v>0</v>
      </c>
      <c r="AN388" s="211">
        <f t="shared" si="449"/>
        <v>0</v>
      </c>
    </row>
    <row r="389" spans="2:40" s="7" customFormat="1" ht="12" customHeight="1" outlineLevel="2">
      <c r="B389" s="245"/>
      <c r="C389" s="213" t="s">
        <v>766</v>
      </c>
      <c r="D389" s="213"/>
      <c r="E389" s="213"/>
      <c r="F389" s="213"/>
      <c r="G389" s="213"/>
      <c r="H389" s="213"/>
      <c r="I389" s="213"/>
      <c r="J389" s="213"/>
      <c r="K389" s="213"/>
      <c r="L389" s="213"/>
      <c r="M389" s="213"/>
      <c r="N389" s="213"/>
      <c r="O389" s="213"/>
      <c r="P389" s="213"/>
      <c r="Q389" s="213"/>
      <c r="R389" s="211">
        <f>INDEX($C$348:$AN$370,MATCH("New Customers One-Time",$C$348:$C$370,0),MATCH($C389,$C$348:$AN$348,0))</f>
        <v>902.88000000000011</v>
      </c>
      <c r="S389" s="211">
        <f t="shared" ref="S389:AN389" si="450">$R389*(E374)</f>
        <v>0</v>
      </c>
      <c r="T389" s="211">
        <f t="shared" si="450"/>
        <v>0</v>
      </c>
      <c r="U389" s="211">
        <f t="shared" si="450"/>
        <v>0</v>
      </c>
      <c r="V389" s="211">
        <f t="shared" si="450"/>
        <v>0</v>
      </c>
      <c r="W389" s="211">
        <f t="shared" si="450"/>
        <v>0</v>
      </c>
      <c r="X389" s="211">
        <f t="shared" si="450"/>
        <v>0</v>
      </c>
      <c r="Y389" s="211">
        <f t="shared" si="450"/>
        <v>0</v>
      </c>
      <c r="Z389" s="211">
        <f t="shared" si="450"/>
        <v>0</v>
      </c>
      <c r="AA389" s="211">
        <f t="shared" si="450"/>
        <v>0</v>
      </c>
      <c r="AB389" s="211">
        <f t="shared" si="450"/>
        <v>0</v>
      </c>
      <c r="AC389" s="211">
        <f t="shared" si="450"/>
        <v>0</v>
      </c>
      <c r="AD389" s="211">
        <f t="shared" si="450"/>
        <v>0</v>
      </c>
      <c r="AE389" s="211">
        <f t="shared" si="450"/>
        <v>0</v>
      </c>
      <c r="AF389" s="211">
        <f t="shared" si="450"/>
        <v>0</v>
      </c>
      <c r="AG389" s="211">
        <f t="shared" si="450"/>
        <v>0</v>
      </c>
      <c r="AH389" s="211">
        <f t="shared" si="450"/>
        <v>0</v>
      </c>
      <c r="AI389" s="211">
        <f t="shared" si="450"/>
        <v>0</v>
      </c>
      <c r="AJ389" s="211">
        <f t="shared" si="450"/>
        <v>0</v>
      </c>
      <c r="AK389" s="211">
        <f t="shared" si="450"/>
        <v>0</v>
      </c>
      <c r="AL389" s="211">
        <f t="shared" si="450"/>
        <v>0</v>
      </c>
      <c r="AM389" s="211">
        <f t="shared" si="450"/>
        <v>0</v>
      </c>
      <c r="AN389" s="211">
        <f t="shared" si="450"/>
        <v>0</v>
      </c>
    </row>
    <row r="390" spans="2:40" s="7" customFormat="1" ht="12" customHeight="1" outlineLevel="2">
      <c r="B390" s="245"/>
      <c r="C390" s="213" t="s">
        <v>767</v>
      </c>
      <c r="D390" s="213"/>
      <c r="E390" s="213"/>
      <c r="F390" s="213"/>
      <c r="G390" s="213"/>
      <c r="H390" s="213"/>
      <c r="I390" s="213"/>
      <c r="J390" s="213"/>
      <c r="K390" s="213"/>
      <c r="L390" s="213"/>
      <c r="M390" s="213"/>
      <c r="N390" s="213"/>
      <c r="O390" s="213"/>
      <c r="P390" s="213"/>
      <c r="Q390" s="213"/>
      <c r="R390" s="213"/>
      <c r="S390" s="211">
        <f>INDEX($C$348:$AN$370,MATCH("New Customers One-Time",$C$348:$C$370,0),MATCH($C390,$C$348:$AN$348,0))</f>
        <v>993.16800000000023</v>
      </c>
      <c r="T390" s="211">
        <f t="shared" ref="T390:AN390" si="451">$S390*(E374)</f>
        <v>0</v>
      </c>
      <c r="U390" s="211">
        <f t="shared" si="451"/>
        <v>0</v>
      </c>
      <c r="V390" s="211">
        <f t="shared" si="451"/>
        <v>0</v>
      </c>
      <c r="W390" s="211">
        <f t="shared" si="451"/>
        <v>0</v>
      </c>
      <c r="X390" s="211">
        <f t="shared" si="451"/>
        <v>0</v>
      </c>
      <c r="Y390" s="211">
        <f t="shared" si="451"/>
        <v>0</v>
      </c>
      <c r="Z390" s="211">
        <f t="shared" si="451"/>
        <v>0</v>
      </c>
      <c r="AA390" s="211">
        <f t="shared" si="451"/>
        <v>0</v>
      </c>
      <c r="AB390" s="211">
        <f t="shared" si="451"/>
        <v>0</v>
      </c>
      <c r="AC390" s="211">
        <f t="shared" si="451"/>
        <v>0</v>
      </c>
      <c r="AD390" s="211">
        <f t="shared" si="451"/>
        <v>0</v>
      </c>
      <c r="AE390" s="211">
        <f t="shared" si="451"/>
        <v>0</v>
      </c>
      <c r="AF390" s="211">
        <f t="shared" si="451"/>
        <v>0</v>
      </c>
      <c r="AG390" s="211">
        <f t="shared" si="451"/>
        <v>0</v>
      </c>
      <c r="AH390" s="211">
        <f t="shared" si="451"/>
        <v>0</v>
      </c>
      <c r="AI390" s="211">
        <f t="shared" si="451"/>
        <v>0</v>
      </c>
      <c r="AJ390" s="211">
        <f t="shared" si="451"/>
        <v>0</v>
      </c>
      <c r="AK390" s="211">
        <f t="shared" si="451"/>
        <v>0</v>
      </c>
      <c r="AL390" s="211">
        <f t="shared" si="451"/>
        <v>0</v>
      </c>
      <c r="AM390" s="211">
        <f t="shared" si="451"/>
        <v>0</v>
      </c>
      <c r="AN390" s="211">
        <f t="shared" si="451"/>
        <v>0</v>
      </c>
    </row>
    <row r="391" spans="2:40" s="7" customFormat="1" ht="12" customHeight="1" outlineLevel="2">
      <c r="B391" s="245"/>
      <c r="C391" s="213" t="s">
        <v>768</v>
      </c>
      <c r="D391" s="213"/>
      <c r="E391" s="213"/>
      <c r="F391" s="213"/>
      <c r="G391" s="213"/>
      <c r="H391" s="213"/>
      <c r="I391" s="213"/>
      <c r="J391" s="213"/>
      <c r="K391" s="213"/>
      <c r="L391" s="213"/>
      <c r="M391" s="213"/>
      <c r="N391" s="213"/>
      <c r="O391" s="213"/>
      <c r="P391" s="213"/>
      <c r="Q391" s="213"/>
      <c r="R391" s="213"/>
      <c r="S391" s="213"/>
      <c r="T391" s="211">
        <f>INDEX($C$348:$AN$370,MATCH("New Customers One-Time",$C$348:$C$370,0),MATCH($C391,$C$348:$AN$348,0))</f>
        <v>546.2424000000002</v>
      </c>
      <c r="U391" s="211">
        <f t="shared" ref="U391:AN391" si="452">$T391*(E374)</f>
        <v>0</v>
      </c>
      <c r="V391" s="211">
        <f t="shared" si="452"/>
        <v>0</v>
      </c>
      <c r="W391" s="211">
        <f t="shared" si="452"/>
        <v>0</v>
      </c>
      <c r="X391" s="211">
        <f t="shared" si="452"/>
        <v>0</v>
      </c>
      <c r="Y391" s="211">
        <f t="shared" si="452"/>
        <v>0</v>
      </c>
      <c r="Z391" s="211">
        <f t="shared" si="452"/>
        <v>0</v>
      </c>
      <c r="AA391" s="211">
        <f t="shared" si="452"/>
        <v>0</v>
      </c>
      <c r="AB391" s="211">
        <f t="shared" si="452"/>
        <v>0</v>
      </c>
      <c r="AC391" s="211">
        <f t="shared" si="452"/>
        <v>0</v>
      </c>
      <c r="AD391" s="211">
        <f t="shared" si="452"/>
        <v>0</v>
      </c>
      <c r="AE391" s="211">
        <f t="shared" si="452"/>
        <v>0</v>
      </c>
      <c r="AF391" s="211">
        <f t="shared" si="452"/>
        <v>0</v>
      </c>
      <c r="AG391" s="211">
        <f t="shared" si="452"/>
        <v>0</v>
      </c>
      <c r="AH391" s="211">
        <f t="shared" si="452"/>
        <v>0</v>
      </c>
      <c r="AI391" s="211">
        <f t="shared" si="452"/>
        <v>0</v>
      </c>
      <c r="AJ391" s="211">
        <f t="shared" si="452"/>
        <v>0</v>
      </c>
      <c r="AK391" s="211">
        <f t="shared" si="452"/>
        <v>0</v>
      </c>
      <c r="AL391" s="211">
        <f t="shared" si="452"/>
        <v>0</v>
      </c>
      <c r="AM391" s="211">
        <f t="shared" si="452"/>
        <v>0</v>
      </c>
      <c r="AN391" s="211">
        <f t="shared" si="452"/>
        <v>0</v>
      </c>
    </row>
    <row r="392" spans="2:40" s="7" customFormat="1" ht="12" customHeight="1" outlineLevel="2">
      <c r="B392" s="245"/>
      <c r="C392" s="213" t="s">
        <v>769</v>
      </c>
      <c r="D392" s="213"/>
      <c r="E392" s="213"/>
      <c r="F392" s="213"/>
      <c r="G392" s="213"/>
      <c r="H392" s="213"/>
      <c r="I392" s="213"/>
      <c r="J392" s="213"/>
      <c r="K392" s="213"/>
      <c r="L392" s="213"/>
      <c r="M392" s="213"/>
      <c r="N392" s="213"/>
      <c r="O392" s="213"/>
      <c r="P392" s="213"/>
      <c r="Q392" s="213"/>
      <c r="R392" s="213"/>
      <c r="S392" s="213"/>
      <c r="T392" s="213"/>
      <c r="U392" s="211">
        <f>INDEX($C$348:$AN$370,MATCH("New Customers One-Time",$C$348:$C$370,0),MATCH($C392,$C$348:$AN$348,0))</f>
        <v>600.8666400000003</v>
      </c>
      <c r="V392" s="211">
        <f t="shared" ref="V392:AN392" si="453">$U392*(E374)</f>
        <v>0</v>
      </c>
      <c r="W392" s="211">
        <f t="shared" si="453"/>
        <v>0</v>
      </c>
      <c r="X392" s="211">
        <f t="shared" si="453"/>
        <v>0</v>
      </c>
      <c r="Y392" s="211">
        <f t="shared" si="453"/>
        <v>0</v>
      </c>
      <c r="Z392" s="211">
        <f t="shared" si="453"/>
        <v>0</v>
      </c>
      <c r="AA392" s="211">
        <f t="shared" si="453"/>
        <v>0</v>
      </c>
      <c r="AB392" s="211">
        <f t="shared" si="453"/>
        <v>0</v>
      </c>
      <c r="AC392" s="211">
        <f t="shared" si="453"/>
        <v>0</v>
      </c>
      <c r="AD392" s="211">
        <f t="shared" si="453"/>
        <v>0</v>
      </c>
      <c r="AE392" s="211">
        <f t="shared" si="453"/>
        <v>0</v>
      </c>
      <c r="AF392" s="211">
        <f t="shared" si="453"/>
        <v>0</v>
      </c>
      <c r="AG392" s="211">
        <f t="shared" si="453"/>
        <v>0</v>
      </c>
      <c r="AH392" s="211">
        <f t="shared" si="453"/>
        <v>0</v>
      </c>
      <c r="AI392" s="211">
        <f t="shared" si="453"/>
        <v>0</v>
      </c>
      <c r="AJ392" s="211">
        <f t="shared" si="453"/>
        <v>0</v>
      </c>
      <c r="AK392" s="211">
        <f t="shared" si="453"/>
        <v>0</v>
      </c>
      <c r="AL392" s="211">
        <f t="shared" si="453"/>
        <v>0</v>
      </c>
      <c r="AM392" s="211">
        <f t="shared" si="453"/>
        <v>0</v>
      </c>
      <c r="AN392" s="211">
        <f t="shared" si="453"/>
        <v>0</v>
      </c>
    </row>
    <row r="393" spans="2:40" s="7" customFormat="1" ht="12" customHeight="1" outlineLevel="2">
      <c r="B393" s="245"/>
      <c r="C393" s="213" t="s">
        <v>770</v>
      </c>
      <c r="D393" s="213"/>
      <c r="E393" s="213"/>
      <c r="F393" s="213"/>
      <c r="G393" s="213"/>
      <c r="H393" s="213"/>
      <c r="I393" s="213"/>
      <c r="J393" s="213"/>
      <c r="K393" s="213"/>
      <c r="L393" s="213"/>
      <c r="M393" s="213"/>
      <c r="N393" s="213"/>
      <c r="O393" s="213"/>
      <c r="P393" s="213"/>
      <c r="Q393" s="213"/>
      <c r="R393" s="213"/>
      <c r="S393" s="213"/>
      <c r="T393" s="213"/>
      <c r="U393" s="213"/>
      <c r="V393" s="211">
        <f>INDEX($C$348:$AN$370,MATCH("New Customers One-Time",$C$348:$C$370,0),MATCH($C393,$C$348:$AN$348,0))</f>
        <v>660.95330400000034</v>
      </c>
      <c r="W393" s="211">
        <f t="shared" ref="W393:AN393" si="454">$V393*(E374)</f>
        <v>0</v>
      </c>
      <c r="X393" s="211">
        <f t="shared" si="454"/>
        <v>0</v>
      </c>
      <c r="Y393" s="211">
        <f t="shared" si="454"/>
        <v>0</v>
      </c>
      <c r="Z393" s="211">
        <f t="shared" si="454"/>
        <v>0</v>
      </c>
      <c r="AA393" s="211">
        <f t="shared" si="454"/>
        <v>0</v>
      </c>
      <c r="AB393" s="211">
        <f t="shared" si="454"/>
        <v>0</v>
      </c>
      <c r="AC393" s="211">
        <f t="shared" si="454"/>
        <v>0</v>
      </c>
      <c r="AD393" s="211">
        <f t="shared" si="454"/>
        <v>0</v>
      </c>
      <c r="AE393" s="211">
        <f t="shared" si="454"/>
        <v>0</v>
      </c>
      <c r="AF393" s="211">
        <f t="shared" si="454"/>
        <v>0</v>
      </c>
      <c r="AG393" s="211">
        <f t="shared" si="454"/>
        <v>0</v>
      </c>
      <c r="AH393" s="211">
        <f t="shared" si="454"/>
        <v>0</v>
      </c>
      <c r="AI393" s="211">
        <f t="shared" si="454"/>
        <v>0</v>
      </c>
      <c r="AJ393" s="211">
        <f t="shared" si="454"/>
        <v>0</v>
      </c>
      <c r="AK393" s="211">
        <f t="shared" si="454"/>
        <v>0</v>
      </c>
      <c r="AL393" s="211">
        <f t="shared" si="454"/>
        <v>0</v>
      </c>
      <c r="AM393" s="211">
        <f t="shared" si="454"/>
        <v>0</v>
      </c>
      <c r="AN393" s="211">
        <f t="shared" si="454"/>
        <v>0</v>
      </c>
    </row>
    <row r="394" spans="2:40" s="7" customFormat="1" ht="12" customHeight="1" outlineLevel="2">
      <c r="B394" s="245"/>
      <c r="C394" s="213" t="s">
        <v>771</v>
      </c>
      <c r="D394" s="213"/>
      <c r="E394" s="213"/>
      <c r="F394" s="213"/>
      <c r="G394" s="213"/>
      <c r="H394" s="213"/>
      <c r="I394" s="213"/>
      <c r="J394" s="213"/>
      <c r="K394" s="213"/>
      <c r="L394" s="213"/>
      <c r="M394" s="213"/>
      <c r="N394" s="213"/>
      <c r="O394" s="213"/>
      <c r="P394" s="213"/>
      <c r="Q394" s="213"/>
      <c r="R394" s="213"/>
      <c r="S394" s="213"/>
      <c r="T394" s="213"/>
      <c r="U394" s="213"/>
      <c r="V394" s="213"/>
      <c r="W394" s="211">
        <f>INDEX($C$348:$AN$370,MATCH("New Customers One-Time",$C$348:$C$370,0),MATCH($C394,$C$348:$AN$348,0))</f>
        <v>694.00096920000055</v>
      </c>
      <c r="X394" s="211">
        <f t="shared" ref="X394:AN394" si="455">$W394*(E374)</f>
        <v>0</v>
      </c>
      <c r="Y394" s="211">
        <f t="shared" si="455"/>
        <v>0</v>
      </c>
      <c r="Z394" s="211">
        <f t="shared" si="455"/>
        <v>0</v>
      </c>
      <c r="AA394" s="211">
        <f t="shared" si="455"/>
        <v>0</v>
      </c>
      <c r="AB394" s="211">
        <f t="shared" si="455"/>
        <v>0</v>
      </c>
      <c r="AC394" s="211">
        <f t="shared" si="455"/>
        <v>0</v>
      </c>
      <c r="AD394" s="211">
        <f t="shared" si="455"/>
        <v>0</v>
      </c>
      <c r="AE394" s="211">
        <f t="shared" si="455"/>
        <v>0</v>
      </c>
      <c r="AF394" s="211">
        <f t="shared" si="455"/>
        <v>0</v>
      </c>
      <c r="AG394" s="211">
        <f t="shared" si="455"/>
        <v>0</v>
      </c>
      <c r="AH394" s="211">
        <f t="shared" si="455"/>
        <v>0</v>
      </c>
      <c r="AI394" s="211">
        <f t="shared" si="455"/>
        <v>0</v>
      </c>
      <c r="AJ394" s="211">
        <f t="shared" si="455"/>
        <v>0</v>
      </c>
      <c r="AK394" s="211">
        <f t="shared" si="455"/>
        <v>0</v>
      </c>
      <c r="AL394" s="211">
        <f t="shared" si="455"/>
        <v>0</v>
      </c>
      <c r="AM394" s="211">
        <f t="shared" si="455"/>
        <v>0</v>
      </c>
      <c r="AN394" s="211">
        <f t="shared" si="455"/>
        <v>0</v>
      </c>
    </row>
    <row r="395" spans="2:40" s="7" customFormat="1" ht="12" customHeight="1" outlineLevel="2">
      <c r="B395" s="245"/>
      <c r="C395" s="213" t="s">
        <v>772</v>
      </c>
      <c r="D395" s="213"/>
      <c r="E395" s="213"/>
      <c r="F395" s="213"/>
      <c r="G395" s="213"/>
      <c r="H395" s="213"/>
      <c r="I395" s="213"/>
      <c r="J395" s="213"/>
      <c r="K395" s="213"/>
      <c r="L395" s="213"/>
      <c r="M395" s="213"/>
      <c r="N395" s="213"/>
      <c r="O395" s="213"/>
      <c r="P395" s="213"/>
      <c r="Q395" s="213"/>
      <c r="R395" s="213"/>
      <c r="S395" s="213"/>
      <c r="T395" s="213"/>
      <c r="U395" s="213"/>
      <c r="V395" s="213"/>
      <c r="W395" s="213"/>
      <c r="X395" s="211">
        <f>INDEX($C$348:$AN$370,MATCH("New Customers One-Time",$C$348:$C$370,0),MATCH($C395,$C$348:$AN$348,0))</f>
        <v>728.7010176600005</v>
      </c>
      <c r="Y395" s="211">
        <f t="shared" ref="Y395:AN395" si="456">$X395*(E374)</f>
        <v>0</v>
      </c>
      <c r="Z395" s="211">
        <f t="shared" si="456"/>
        <v>0</v>
      </c>
      <c r="AA395" s="211">
        <f t="shared" si="456"/>
        <v>0</v>
      </c>
      <c r="AB395" s="211">
        <f t="shared" si="456"/>
        <v>0</v>
      </c>
      <c r="AC395" s="211">
        <f t="shared" si="456"/>
        <v>0</v>
      </c>
      <c r="AD395" s="211">
        <f t="shared" si="456"/>
        <v>0</v>
      </c>
      <c r="AE395" s="211">
        <f t="shared" si="456"/>
        <v>0</v>
      </c>
      <c r="AF395" s="211">
        <f t="shared" si="456"/>
        <v>0</v>
      </c>
      <c r="AG395" s="211">
        <f t="shared" si="456"/>
        <v>0</v>
      </c>
      <c r="AH395" s="211">
        <f t="shared" si="456"/>
        <v>0</v>
      </c>
      <c r="AI395" s="211">
        <f t="shared" si="456"/>
        <v>0</v>
      </c>
      <c r="AJ395" s="211">
        <f t="shared" si="456"/>
        <v>0</v>
      </c>
      <c r="AK395" s="211">
        <f t="shared" si="456"/>
        <v>0</v>
      </c>
      <c r="AL395" s="211">
        <f t="shared" si="456"/>
        <v>0</v>
      </c>
      <c r="AM395" s="211">
        <f t="shared" si="456"/>
        <v>0</v>
      </c>
      <c r="AN395" s="211">
        <f t="shared" si="456"/>
        <v>0</v>
      </c>
    </row>
    <row r="396" spans="2:40" s="7" customFormat="1" ht="12" customHeight="1" outlineLevel="2">
      <c r="B396" s="245"/>
      <c r="C396" s="213" t="s">
        <v>773</v>
      </c>
      <c r="D396" s="213"/>
      <c r="E396" s="213"/>
      <c r="F396" s="213"/>
      <c r="G396" s="213"/>
      <c r="H396" s="213"/>
      <c r="I396" s="213"/>
      <c r="J396" s="213"/>
      <c r="K396" s="213"/>
      <c r="L396" s="213"/>
      <c r="M396" s="213"/>
      <c r="N396" s="213"/>
      <c r="O396" s="213"/>
      <c r="P396" s="213"/>
      <c r="Q396" s="213"/>
      <c r="R396" s="213"/>
      <c r="S396" s="213"/>
      <c r="T396" s="213"/>
      <c r="U396" s="213"/>
      <c r="V396" s="213"/>
      <c r="W396" s="213"/>
      <c r="X396" s="213"/>
      <c r="Y396" s="211">
        <f>INDEX($C$348:$AN$370,MATCH("New Customers One-Time",$C$348:$C$370,0),MATCH($C396,$C$348:$AN$348,0))</f>
        <v>765.13606854300042</v>
      </c>
      <c r="Z396" s="211">
        <f t="shared" ref="Z396:AN396" si="457">$Y396*(E374)</f>
        <v>0</v>
      </c>
      <c r="AA396" s="211">
        <f t="shared" si="457"/>
        <v>0</v>
      </c>
      <c r="AB396" s="211">
        <f t="shared" si="457"/>
        <v>0</v>
      </c>
      <c r="AC396" s="211">
        <f t="shared" si="457"/>
        <v>0</v>
      </c>
      <c r="AD396" s="211">
        <f t="shared" si="457"/>
        <v>0</v>
      </c>
      <c r="AE396" s="211">
        <f t="shared" si="457"/>
        <v>0</v>
      </c>
      <c r="AF396" s="211">
        <f t="shared" si="457"/>
        <v>0</v>
      </c>
      <c r="AG396" s="211">
        <f t="shared" si="457"/>
        <v>0</v>
      </c>
      <c r="AH396" s="211">
        <f t="shared" si="457"/>
        <v>0</v>
      </c>
      <c r="AI396" s="211">
        <f t="shared" si="457"/>
        <v>0</v>
      </c>
      <c r="AJ396" s="211">
        <f t="shared" si="457"/>
        <v>0</v>
      </c>
      <c r="AK396" s="211">
        <f t="shared" si="457"/>
        <v>0</v>
      </c>
      <c r="AL396" s="211">
        <f t="shared" si="457"/>
        <v>0</v>
      </c>
      <c r="AM396" s="211">
        <f t="shared" si="457"/>
        <v>0</v>
      </c>
      <c r="AN396" s="211">
        <f t="shared" si="457"/>
        <v>0</v>
      </c>
    </row>
    <row r="397" spans="2:40" s="7" customFormat="1" ht="12" customHeight="1" outlineLevel="2">
      <c r="B397" s="245"/>
      <c r="C397" s="213" t="s">
        <v>774</v>
      </c>
      <c r="D397" s="213"/>
      <c r="E397" s="213"/>
      <c r="F397" s="213"/>
      <c r="G397" s="213"/>
      <c r="H397" s="213"/>
      <c r="I397" s="213"/>
      <c r="J397" s="213"/>
      <c r="K397" s="213"/>
      <c r="L397" s="213"/>
      <c r="M397" s="213"/>
      <c r="N397" s="213"/>
      <c r="O397" s="213"/>
      <c r="P397" s="213"/>
      <c r="Q397" s="213"/>
      <c r="R397" s="213"/>
      <c r="S397" s="213"/>
      <c r="T397" s="213"/>
      <c r="U397" s="213"/>
      <c r="V397" s="213"/>
      <c r="W397" s="213"/>
      <c r="X397" s="213"/>
      <c r="Y397" s="213"/>
      <c r="Z397" s="211">
        <f>INDEX($C$348:$AN$370,MATCH("New Customers One-Time",$C$348:$C$370,0),MATCH($C397,$C$348:$AN$348,0))</f>
        <v>803.39287197015074</v>
      </c>
      <c r="AA397" s="211">
        <f t="shared" ref="AA397:AN397" si="458">$Z397*(E374)</f>
        <v>0</v>
      </c>
      <c r="AB397" s="211">
        <f t="shared" si="458"/>
        <v>0</v>
      </c>
      <c r="AC397" s="211">
        <f t="shared" si="458"/>
        <v>0</v>
      </c>
      <c r="AD397" s="211">
        <f t="shared" si="458"/>
        <v>0</v>
      </c>
      <c r="AE397" s="211">
        <f t="shared" si="458"/>
        <v>0</v>
      </c>
      <c r="AF397" s="211">
        <f t="shared" si="458"/>
        <v>0</v>
      </c>
      <c r="AG397" s="211">
        <f t="shared" si="458"/>
        <v>0</v>
      </c>
      <c r="AH397" s="211">
        <f t="shared" si="458"/>
        <v>0</v>
      </c>
      <c r="AI397" s="211">
        <f t="shared" si="458"/>
        <v>0</v>
      </c>
      <c r="AJ397" s="211">
        <f t="shared" si="458"/>
        <v>0</v>
      </c>
      <c r="AK397" s="211">
        <f t="shared" si="458"/>
        <v>0</v>
      </c>
      <c r="AL397" s="211">
        <f t="shared" si="458"/>
        <v>0</v>
      </c>
      <c r="AM397" s="211">
        <f t="shared" si="458"/>
        <v>0</v>
      </c>
      <c r="AN397" s="211">
        <f t="shared" si="458"/>
        <v>0</v>
      </c>
    </row>
    <row r="398" spans="2:40" s="7" customFormat="1" ht="12" customHeight="1" outlineLevel="2">
      <c r="B398" s="245"/>
      <c r="C398" s="213" t="s">
        <v>775</v>
      </c>
      <c r="D398" s="213"/>
      <c r="E398" s="213"/>
      <c r="F398" s="213"/>
      <c r="G398" s="213"/>
      <c r="H398" s="213"/>
      <c r="I398" s="213"/>
      <c r="J398" s="213"/>
      <c r="K398" s="213"/>
      <c r="L398" s="213"/>
      <c r="M398" s="213"/>
      <c r="N398" s="213"/>
      <c r="O398" s="213"/>
      <c r="P398" s="213"/>
      <c r="Q398" s="213"/>
      <c r="R398" s="213"/>
      <c r="S398" s="213"/>
      <c r="T398" s="213"/>
      <c r="U398" s="213"/>
      <c r="V398" s="213"/>
      <c r="W398" s="213"/>
      <c r="X398" s="213"/>
      <c r="Y398" s="213"/>
      <c r="Z398" s="213"/>
      <c r="AA398" s="211">
        <f>INDEX($C$348:$AN$370,MATCH("New Customers One-Time",$C$348:$C$370,0),MATCH($C398,$C$348:$AN$348,0))</f>
        <v>843.56251556865823</v>
      </c>
      <c r="AB398" s="211">
        <f t="shared" ref="AB398:AN398" si="459">$AA398*(E374)</f>
        <v>0</v>
      </c>
      <c r="AC398" s="211">
        <f t="shared" si="459"/>
        <v>0</v>
      </c>
      <c r="AD398" s="211">
        <f t="shared" si="459"/>
        <v>0</v>
      </c>
      <c r="AE398" s="211">
        <f t="shared" si="459"/>
        <v>0</v>
      </c>
      <c r="AF398" s="211">
        <f t="shared" si="459"/>
        <v>0</v>
      </c>
      <c r="AG398" s="211">
        <f t="shared" si="459"/>
        <v>0</v>
      </c>
      <c r="AH398" s="211">
        <f t="shared" si="459"/>
        <v>0</v>
      </c>
      <c r="AI398" s="211">
        <f t="shared" si="459"/>
        <v>0</v>
      </c>
      <c r="AJ398" s="211">
        <f t="shared" si="459"/>
        <v>0</v>
      </c>
      <c r="AK398" s="211">
        <f t="shared" si="459"/>
        <v>0</v>
      </c>
      <c r="AL398" s="211">
        <f t="shared" si="459"/>
        <v>0</v>
      </c>
      <c r="AM398" s="211">
        <f t="shared" si="459"/>
        <v>0</v>
      </c>
      <c r="AN398" s="211">
        <f t="shared" si="459"/>
        <v>0</v>
      </c>
    </row>
    <row r="399" spans="2:40" s="7" customFormat="1" ht="12" customHeight="1" outlineLevel="2">
      <c r="B399" s="245"/>
      <c r="C399" s="213" t="s">
        <v>776</v>
      </c>
      <c r="D399" s="213"/>
      <c r="E399" s="213"/>
      <c r="F399" s="213"/>
      <c r="G399" s="213"/>
      <c r="H399" s="213"/>
      <c r="I399" s="213"/>
      <c r="J399" s="213"/>
      <c r="K399" s="213"/>
      <c r="L399" s="213"/>
      <c r="M399" s="213"/>
      <c r="N399" s="213"/>
      <c r="O399" s="213"/>
      <c r="P399" s="213"/>
      <c r="Q399" s="213"/>
      <c r="R399" s="213"/>
      <c r="S399" s="213"/>
      <c r="T399" s="213"/>
      <c r="U399" s="213"/>
      <c r="V399" s="213"/>
      <c r="W399" s="213"/>
      <c r="X399" s="213"/>
      <c r="Y399" s="213"/>
      <c r="Z399" s="213"/>
      <c r="AA399" s="213"/>
      <c r="AB399" s="211">
        <f>INDEX($C$348:$AN$370,MATCH("New Customers One-Time",$C$348:$C$370,0),MATCH($C399,$C$348:$AN$348,0))</f>
        <v>885.74064134709113</v>
      </c>
      <c r="AC399" s="211">
        <f t="shared" ref="AC399:AN399" si="460">$AB399*(E374)</f>
        <v>0</v>
      </c>
      <c r="AD399" s="211">
        <f t="shared" si="460"/>
        <v>0</v>
      </c>
      <c r="AE399" s="211">
        <f t="shared" si="460"/>
        <v>0</v>
      </c>
      <c r="AF399" s="211">
        <f t="shared" si="460"/>
        <v>0</v>
      </c>
      <c r="AG399" s="211">
        <f t="shared" si="460"/>
        <v>0</v>
      </c>
      <c r="AH399" s="211">
        <f t="shared" si="460"/>
        <v>0</v>
      </c>
      <c r="AI399" s="211">
        <f t="shared" si="460"/>
        <v>0</v>
      </c>
      <c r="AJ399" s="211">
        <f t="shared" si="460"/>
        <v>0</v>
      </c>
      <c r="AK399" s="211">
        <f t="shared" si="460"/>
        <v>0</v>
      </c>
      <c r="AL399" s="211">
        <f t="shared" si="460"/>
        <v>0</v>
      </c>
      <c r="AM399" s="211">
        <f t="shared" si="460"/>
        <v>0</v>
      </c>
      <c r="AN399" s="211">
        <f t="shared" si="460"/>
        <v>0</v>
      </c>
    </row>
    <row r="400" spans="2:40" s="7" customFormat="1" ht="12" customHeight="1" outlineLevel="2">
      <c r="B400" s="245"/>
      <c r="C400" s="213" t="s">
        <v>777</v>
      </c>
      <c r="D400" s="213"/>
      <c r="E400" s="213"/>
      <c r="F400" s="213"/>
      <c r="G400" s="213"/>
      <c r="H400" s="213"/>
      <c r="I400" s="213"/>
      <c r="J400" s="213"/>
      <c r="K400" s="213"/>
      <c r="L400" s="213"/>
      <c r="M400" s="213"/>
      <c r="N400" s="213"/>
      <c r="O400" s="213"/>
      <c r="P400" s="213"/>
      <c r="Q400" s="213"/>
      <c r="R400" s="213"/>
      <c r="S400" s="213"/>
      <c r="T400" s="213"/>
      <c r="U400" s="213"/>
      <c r="V400" s="213"/>
      <c r="W400" s="213"/>
      <c r="X400" s="213"/>
      <c r="Y400" s="213"/>
      <c r="Z400" s="213"/>
      <c r="AA400" s="213"/>
      <c r="AB400" s="211"/>
      <c r="AC400" s="211">
        <f>INDEX($C$348:$AN$370,MATCH("New Customers One-Time",$C$348:$C$370,0),MATCH($C400,$C$348:$AN$348,0))</f>
        <v>903.45545417403309</v>
      </c>
      <c r="AD400" s="211">
        <f t="shared" ref="AD400:AN400" si="461">$AC400*(E374)</f>
        <v>0</v>
      </c>
      <c r="AE400" s="211">
        <f t="shared" si="461"/>
        <v>0</v>
      </c>
      <c r="AF400" s="211">
        <f t="shared" si="461"/>
        <v>0</v>
      </c>
      <c r="AG400" s="211">
        <f t="shared" si="461"/>
        <v>0</v>
      </c>
      <c r="AH400" s="211">
        <f t="shared" si="461"/>
        <v>0</v>
      </c>
      <c r="AI400" s="211">
        <f t="shared" si="461"/>
        <v>0</v>
      </c>
      <c r="AJ400" s="211">
        <f t="shared" si="461"/>
        <v>0</v>
      </c>
      <c r="AK400" s="211">
        <f t="shared" si="461"/>
        <v>0</v>
      </c>
      <c r="AL400" s="211">
        <f t="shared" si="461"/>
        <v>0</v>
      </c>
      <c r="AM400" s="211">
        <f t="shared" si="461"/>
        <v>0</v>
      </c>
      <c r="AN400" s="211">
        <f t="shared" si="461"/>
        <v>0</v>
      </c>
    </row>
    <row r="401" spans="2:40" s="7" customFormat="1" ht="12" customHeight="1" outlineLevel="2">
      <c r="B401" s="245"/>
      <c r="C401" s="213" t="s">
        <v>778</v>
      </c>
      <c r="D401" s="213"/>
      <c r="E401" s="213"/>
      <c r="F401" s="213"/>
      <c r="G401" s="213"/>
      <c r="H401" s="213"/>
      <c r="I401" s="213"/>
      <c r="J401" s="213"/>
      <c r="K401" s="213"/>
      <c r="L401" s="213"/>
      <c r="M401" s="213"/>
      <c r="N401" s="213"/>
      <c r="O401" s="213"/>
      <c r="P401" s="213"/>
      <c r="Q401" s="213"/>
      <c r="R401" s="213"/>
      <c r="S401" s="213"/>
      <c r="T401" s="213"/>
      <c r="U401" s="213"/>
      <c r="V401" s="213"/>
      <c r="W401" s="213"/>
      <c r="X401" s="213"/>
      <c r="Y401" s="213"/>
      <c r="Z401" s="213"/>
      <c r="AA401" s="213"/>
      <c r="AB401" s="211"/>
      <c r="AC401" s="211"/>
      <c r="AD401" s="211">
        <f>INDEX($C$348:$AN$370,MATCH("New Customers One-Time",$C$348:$C$370,0),MATCH($C401,$C$348:$AN$348,0))</f>
        <v>948.62822688273479</v>
      </c>
      <c r="AE401" s="211">
        <f t="shared" ref="AE401:AN401" si="462">$AD401*(E374)</f>
        <v>0</v>
      </c>
      <c r="AF401" s="211">
        <f t="shared" si="462"/>
        <v>0</v>
      </c>
      <c r="AG401" s="211">
        <f t="shared" si="462"/>
        <v>0</v>
      </c>
      <c r="AH401" s="211">
        <f t="shared" si="462"/>
        <v>0</v>
      </c>
      <c r="AI401" s="211">
        <f t="shared" si="462"/>
        <v>0</v>
      </c>
      <c r="AJ401" s="211">
        <f t="shared" si="462"/>
        <v>0</v>
      </c>
      <c r="AK401" s="211">
        <f t="shared" si="462"/>
        <v>0</v>
      </c>
      <c r="AL401" s="211">
        <f t="shared" si="462"/>
        <v>0</v>
      </c>
      <c r="AM401" s="211">
        <f t="shared" si="462"/>
        <v>0</v>
      </c>
      <c r="AN401" s="211">
        <f t="shared" si="462"/>
        <v>0</v>
      </c>
    </row>
    <row r="402" spans="2:40" s="7" customFormat="1" ht="12" customHeight="1" outlineLevel="2">
      <c r="B402" s="245"/>
      <c r="C402" s="213" t="s">
        <v>779</v>
      </c>
      <c r="D402" s="213"/>
      <c r="E402" s="213"/>
      <c r="F402" s="213"/>
      <c r="G402" s="213"/>
      <c r="H402" s="213"/>
      <c r="I402" s="213"/>
      <c r="J402" s="213"/>
      <c r="K402" s="213"/>
      <c r="L402" s="213"/>
      <c r="M402" s="213"/>
      <c r="N402" s="213"/>
      <c r="O402" s="213"/>
      <c r="P402" s="213"/>
      <c r="Q402" s="213"/>
      <c r="R402" s="213"/>
      <c r="S402" s="213"/>
      <c r="T402" s="213"/>
      <c r="U402" s="213"/>
      <c r="V402" s="213"/>
      <c r="W402" s="213"/>
      <c r="X402" s="213"/>
      <c r="Y402" s="213"/>
      <c r="Z402" s="213"/>
      <c r="AA402" s="213"/>
      <c r="AB402" s="211"/>
      <c r="AC402" s="211"/>
      <c r="AD402" s="211"/>
      <c r="AE402" s="211">
        <f>INDEX($C$348:$AN$370,MATCH("New Customers One-Time",$C$348:$C$370,0),MATCH($C402,$C$348:$AN$348,0))</f>
        <v>996.0596382268717</v>
      </c>
      <c r="AF402" s="211">
        <f t="shared" ref="AF402:AN402" si="463">$AE402*(E374)</f>
        <v>0</v>
      </c>
      <c r="AG402" s="211">
        <f t="shared" si="463"/>
        <v>0</v>
      </c>
      <c r="AH402" s="211">
        <f t="shared" si="463"/>
        <v>0</v>
      </c>
      <c r="AI402" s="211">
        <f t="shared" si="463"/>
        <v>0</v>
      </c>
      <c r="AJ402" s="211">
        <f t="shared" si="463"/>
        <v>0</v>
      </c>
      <c r="AK402" s="211">
        <f t="shared" si="463"/>
        <v>0</v>
      </c>
      <c r="AL402" s="211">
        <f t="shared" si="463"/>
        <v>0</v>
      </c>
      <c r="AM402" s="211">
        <f t="shared" si="463"/>
        <v>0</v>
      </c>
      <c r="AN402" s="211">
        <f t="shared" si="463"/>
        <v>0</v>
      </c>
    </row>
    <row r="403" spans="2:40" s="7" customFormat="1" ht="12" customHeight="1" outlineLevel="2">
      <c r="B403" s="245"/>
      <c r="C403" s="213" t="s">
        <v>780</v>
      </c>
      <c r="D403" s="213"/>
      <c r="E403" s="213"/>
      <c r="F403" s="213"/>
      <c r="G403" s="213"/>
      <c r="H403" s="213"/>
      <c r="I403" s="213"/>
      <c r="J403" s="213"/>
      <c r="K403" s="213"/>
      <c r="L403" s="213"/>
      <c r="M403" s="213"/>
      <c r="N403" s="213"/>
      <c r="O403" s="213"/>
      <c r="P403" s="213"/>
      <c r="Q403" s="213"/>
      <c r="R403" s="213"/>
      <c r="S403" s="213"/>
      <c r="T403" s="213"/>
      <c r="U403" s="213"/>
      <c r="V403" s="213"/>
      <c r="W403" s="213"/>
      <c r="X403" s="213"/>
      <c r="Y403" s="213"/>
      <c r="Z403" s="213"/>
      <c r="AA403" s="213"/>
      <c r="AB403" s="211"/>
      <c r="AC403" s="211"/>
      <c r="AD403" s="211"/>
      <c r="AE403" s="211"/>
      <c r="AF403" s="211">
        <f>INDEX($C$348:$AN$370,MATCH("New Customers One-Time",$C$348:$C$370,0),MATCH($C403,$C$348:$AN$348,0))</f>
        <v>1045.8626201382153</v>
      </c>
      <c r="AG403" s="211">
        <f t="shared" ref="AG403:AN403" si="464">$AF403*(E374)</f>
        <v>0</v>
      </c>
      <c r="AH403" s="211">
        <f t="shared" si="464"/>
        <v>0</v>
      </c>
      <c r="AI403" s="211">
        <f t="shared" si="464"/>
        <v>0</v>
      </c>
      <c r="AJ403" s="211">
        <f t="shared" si="464"/>
        <v>0</v>
      </c>
      <c r="AK403" s="211">
        <f t="shared" si="464"/>
        <v>0</v>
      </c>
      <c r="AL403" s="211">
        <f t="shared" si="464"/>
        <v>0</v>
      </c>
      <c r="AM403" s="211">
        <f t="shared" si="464"/>
        <v>0</v>
      </c>
      <c r="AN403" s="211">
        <f t="shared" si="464"/>
        <v>0</v>
      </c>
    </row>
    <row r="404" spans="2:40" s="7" customFormat="1" ht="12" customHeight="1" outlineLevel="2">
      <c r="B404" s="245"/>
      <c r="C404" s="213" t="s">
        <v>781</v>
      </c>
      <c r="D404" s="213"/>
      <c r="E404" s="213"/>
      <c r="F404" s="213"/>
      <c r="G404" s="213"/>
      <c r="H404" s="213"/>
      <c r="I404" s="213"/>
      <c r="J404" s="213"/>
      <c r="K404" s="213"/>
      <c r="L404" s="213"/>
      <c r="M404" s="213"/>
      <c r="N404" s="213"/>
      <c r="O404" s="213"/>
      <c r="P404" s="213"/>
      <c r="Q404" s="213"/>
      <c r="R404" s="213"/>
      <c r="S404" s="213"/>
      <c r="T404" s="213"/>
      <c r="U404" s="213"/>
      <c r="V404" s="213"/>
      <c r="W404" s="213"/>
      <c r="X404" s="213"/>
      <c r="Y404" s="213"/>
      <c r="Z404" s="213"/>
      <c r="AA404" s="213"/>
      <c r="AB404" s="211"/>
      <c r="AC404" s="211"/>
      <c r="AD404" s="211"/>
      <c r="AE404" s="211"/>
      <c r="AF404" s="211"/>
      <c r="AG404" s="211">
        <f>INDEX($C$348:$AN$370,MATCH("New Customers One-Time",$C$348:$C$370,0),MATCH($C404,$C$348:$AN$348,0))</f>
        <v>1098.155751145126</v>
      </c>
      <c r="AH404" s="211">
        <f t="shared" ref="AH404:AN404" si="465">$AG404*(E374)</f>
        <v>0</v>
      </c>
      <c r="AI404" s="211">
        <f t="shared" si="465"/>
        <v>0</v>
      </c>
      <c r="AJ404" s="211">
        <f t="shared" si="465"/>
        <v>0</v>
      </c>
      <c r="AK404" s="211">
        <f t="shared" si="465"/>
        <v>0</v>
      </c>
      <c r="AL404" s="211">
        <f t="shared" si="465"/>
        <v>0</v>
      </c>
      <c r="AM404" s="211">
        <f t="shared" si="465"/>
        <v>0</v>
      </c>
      <c r="AN404" s="211">
        <f t="shared" si="465"/>
        <v>0</v>
      </c>
    </row>
    <row r="405" spans="2:40" s="7" customFormat="1" ht="12" customHeight="1" outlineLevel="2">
      <c r="B405" s="245"/>
      <c r="C405" s="213" t="s">
        <v>782</v>
      </c>
      <c r="D405" s="213"/>
      <c r="E405" s="213"/>
      <c r="F405" s="213"/>
      <c r="G405" s="213"/>
      <c r="H405" s="213"/>
      <c r="I405" s="213"/>
      <c r="J405" s="213"/>
      <c r="K405" s="213"/>
      <c r="L405" s="213"/>
      <c r="M405" s="213"/>
      <c r="N405" s="213"/>
      <c r="O405" s="213"/>
      <c r="P405" s="213"/>
      <c r="Q405" s="213"/>
      <c r="R405" s="213"/>
      <c r="S405" s="213"/>
      <c r="T405" s="213"/>
      <c r="U405" s="213"/>
      <c r="V405" s="213"/>
      <c r="W405" s="213"/>
      <c r="X405" s="213"/>
      <c r="Y405" s="213"/>
      <c r="Z405" s="213"/>
      <c r="AA405" s="213"/>
      <c r="AB405" s="211"/>
      <c r="AC405" s="211"/>
      <c r="AD405" s="211"/>
      <c r="AE405" s="211"/>
      <c r="AF405" s="211"/>
      <c r="AG405" s="211"/>
      <c r="AH405" s="211">
        <f>INDEX($C$348:$AN$370,MATCH("New Customers One-Time",$C$348:$C$370,0),MATCH($C405,$C$348:$AN$348,0))</f>
        <v>1153.0635387023824</v>
      </c>
      <c r="AI405" s="211">
        <f t="shared" ref="AI405:AN405" si="466">$AH405*(E374)</f>
        <v>0</v>
      </c>
      <c r="AJ405" s="211">
        <f t="shared" si="466"/>
        <v>0</v>
      </c>
      <c r="AK405" s="211">
        <f t="shared" si="466"/>
        <v>0</v>
      </c>
      <c r="AL405" s="211">
        <f t="shared" si="466"/>
        <v>0</v>
      </c>
      <c r="AM405" s="211">
        <f t="shared" si="466"/>
        <v>0</v>
      </c>
      <c r="AN405" s="211">
        <f t="shared" si="466"/>
        <v>0</v>
      </c>
    </row>
    <row r="406" spans="2:40" s="7" customFormat="1" ht="12" customHeight="1" outlineLevel="2">
      <c r="B406" s="245"/>
      <c r="C406" s="213" t="s">
        <v>783</v>
      </c>
      <c r="D406" s="213"/>
      <c r="E406" s="213"/>
      <c r="F406" s="213"/>
      <c r="G406" s="213"/>
      <c r="H406" s="213"/>
      <c r="I406" s="213"/>
      <c r="J406" s="213"/>
      <c r="K406" s="213"/>
      <c r="L406" s="213"/>
      <c r="M406" s="213"/>
      <c r="N406" s="213"/>
      <c r="O406" s="213"/>
      <c r="P406" s="213"/>
      <c r="Q406" s="213"/>
      <c r="R406" s="213"/>
      <c r="S406" s="213"/>
      <c r="T406" s="213"/>
      <c r="U406" s="213"/>
      <c r="V406" s="213"/>
      <c r="W406" s="213"/>
      <c r="X406" s="213"/>
      <c r="Y406" s="213"/>
      <c r="Z406" s="213"/>
      <c r="AA406" s="213"/>
      <c r="AB406" s="211"/>
      <c r="AC406" s="211"/>
      <c r="AD406" s="211"/>
      <c r="AE406" s="211"/>
      <c r="AF406" s="211"/>
      <c r="AG406" s="211"/>
      <c r="AH406" s="211"/>
      <c r="AI406" s="211">
        <f>INDEX($C$348:$AN$370,MATCH("New Customers One-Time",$C$348:$C$370,0),MATCH($C406,$C$348:$AN$348,0))</f>
        <v>1210.7167156375017</v>
      </c>
      <c r="AJ406" s="211">
        <f>$AI406*(E374)</f>
        <v>0</v>
      </c>
      <c r="AK406" s="211">
        <f>$AI406*(F374)</f>
        <v>0</v>
      </c>
      <c r="AL406" s="211">
        <f>$AI406*(G374)</f>
        <v>0</v>
      </c>
      <c r="AM406" s="211">
        <f>$AI406*(H374)</f>
        <v>0</v>
      </c>
      <c r="AN406" s="211">
        <f>$AI406*(I374)</f>
        <v>0</v>
      </c>
    </row>
    <row r="407" spans="2:40" s="7" customFormat="1" ht="12" customHeight="1" outlineLevel="2">
      <c r="B407" s="245"/>
      <c r="C407" s="213" t="s">
        <v>784</v>
      </c>
      <c r="D407" s="213"/>
      <c r="E407" s="213"/>
      <c r="F407" s="213"/>
      <c r="G407" s="213"/>
      <c r="H407" s="213"/>
      <c r="I407" s="213"/>
      <c r="J407" s="213"/>
      <c r="K407" s="213"/>
      <c r="L407" s="213"/>
      <c r="M407" s="213"/>
      <c r="N407" s="213"/>
      <c r="O407" s="213"/>
      <c r="P407" s="213"/>
      <c r="Q407" s="213"/>
      <c r="R407" s="213"/>
      <c r="S407" s="213"/>
      <c r="T407" s="213"/>
      <c r="U407" s="213"/>
      <c r="V407" s="213"/>
      <c r="W407" s="213"/>
      <c r="X407" s="213"/>
      <c r="Y407" s="213"/>
      <c r="Z407" s="213"/>
      <c r="AA407" s="213"/>
      <c r="AB407" s="211"/>
      <c r="AC407" s="211"/>
      <c r="AD407" s="211"/>
      <c r="AE407" s="211"/>
      <c r="AF407" s="211"/>
      <c r="AG407" s="211"/>
      <c r="AH407" s="211"/>
      <c r="AI407" s="211"/>
      <c r="AJ407" s="211">
        <f>INDEX($C$348:$AN$370,MATCH("New Customers One-Time",$C$348:$C$370,0),MATCH($C407,$C$348:$AN$348,0))</f>
        <v>1271.2525514193769</v>
      </c>
      <c r="AK407" s="211">
        <f>$AJ407*(E374)</f>
        <v>0</v>
      </c>
      <c r="AL407" s="211">
        <f>$AJ407*(F374)</f>
        <v>0</v>
      </c>
      <c r="AM407" s="211">
        <f>$AJ407*(G374)</f>
        <v>0</v>
      </c>
      <c r="AN407" s="211">
        <f>$AJ407*(H374)</f>
        <v>0</v>
      </c>
    </row>
    <row r="408" spans="2:40" s="7" customFormat="1" ht="12" customHeight="1" outlineLevel="2">
      <c r="B408" s="245"/>
      <c r="C408" s="213" t="s">
        <v>785</v>
      </c>
      <c r="D408" s="213"/>
      <c r="E408" s="213"/>
      <c r="F408" s="213"/>
      <c r="G408" s="213"/>
      <c r="H408" s="213"/>
      <c r="I408" s="213"/>
      <c r="J408" s="213"/>
      <c r="K408" s="213"/>
      <c r="L408" s="213"/>
      <c r="M408" s="213"/>
      <c r="N408" s="213"/>
      <c r="O408" s="213"/>
      <c r="P408" s="213"/>
      <c r="Q408" s="213"/>
      <c r="R408" s="213"/>
      <c r="S408" s="213"/>
      <c r="T408" s="213"/>
      <c r="U408" s="213"/>
      <c r="V408" s="213"/>
      <c r="W408" s="213"/>
      <c r="X408" s="213"/>
      <c r="Y408" s="213"/>
      <c r="Z408" s="213"/>
      <c r="AA408" s="213"/>
      <c r="AB408" s="211"/>
      <c r="AC408" s="211"/>
      <c r="AD408" s="211"/>
      <c r="AE408" s="211"/>
      <c r="AF408" s="211"/>
      <c r="AG408" s="211"/>
      <c r="AH408" s="211"/>
      <c r="AI408" s="211"/>
      <c r="AJ408" s="211"/>
      <c r="AK408" s="211">
        <f>INDEX($C$348:$AN$370,MATCH("New Customers One-Time",$C$348:$C$370,0),MATCH($C408,$C$348:$AN$348,0))</f>
        <v>1334.8151789903459</v>
      </c>
      <c r="AL408" s="211">
        <f>$AK408*(E374)</f>
        <v>0</v>
      </c>
      <c r="AM408" s="211">
        <f>$AK408*(F374)</f>
        <v>0</v>
      </c>
      <c r="AN408" s="211">
        <f>$AK408*(G374)</f>
        <v>0</v>
      </c>
    </row>
    <row r="409" spans="2:40" s="7" customFormat="1" ht="12" customHeight="1" outlineLevel="2">
      <c r="B409" s="245"/>
      <c r="C409" s="213" t="s">
        <v>786</v>
      </c>
      <c r="D409" s="213"/>
      <c r="E409" s="213"/>
      <c r="F409" s="213"/>
      <c r="G409" s="213"/>
      <c r="H409" s="213"/>
      <c r="I409" s="213"/>
      <c r="J409" s="213"/>
      <c r="K409" s="213"/>
      <c r="L409" s="213"/>
      <c r="M409" s="213"/>
      <c r="N409" s="213"/>
      <c r="O409" s="213"/>
      <c r="P409" s="213"/>
      <c r="Q409" s="213"/>
      <c r="R409" s="213"/>
      <c r="S409" s="213"/>
      <c r="T409" s="213"/>
      <c r="U409" s="213"/>
      <c r="V409" s="213"/>
      <c r="W409" s="213"/>
      <c r="X409" s="213"/>
      <c r="Y409" s="213"/>
      <c r="Z409" s="213"/>
      <c r="AA409" s="213"/>
      <c r="AB409" s="211"/>
      <c r="AC409" s="211"/>
      <c r="AD409" s="211"/>
      <c r="AE409" s="211"/>
      <c r="AF409" s="211"/>
      <c r="AG409" s="211"/>
      <c r="AH409" s="211"/>
      <c r="AI409" s="211"/>
      <c r="AJ409" s="211"/>
      <c r="AK409" s="211"/>
      <c r="AL409" s="211">
        <f>INDEX($C$348:$AN$370,MATCH("New Customers One-Time",$C$348:$C$370,0),MATCH($C409,$C$348:$AN$348,0))</f>
        <v>1401.555937939863</v>
      </c>
      <c r="AM409" s="211">
        <f>$AL409*(E374)</f>
        <v>0</v>
      </c>
      <c r="AN409" s="211">
        <f>$AL409*(F374)</f>
        <v>0</v>
      </c>
    </row>
    <row r="410" spans="2:40" s="7" customFormat="1" ht="12" customHeight="1" outlineLevel="2">
      <c r="B410" s="245"/>
      <c r="C410" s="213" t="s">
        <v>787</v>
      </c>
      <c r="D410" s="213"/>
      <c r="E410" s="213"/>
      <c r="F410" s="213"/>
      <c r="G410" s="213"/>
      <c r="H410" s="213"/>
      <c r="I410" s="213"/>
      <c r="J410" s="213"/>
      <c r="K410" s="213"/>
      <c r="L410" s="213"/>
      <c r="M410" s="213"/>
      <c r="N410" s="213"/>
      <c r="O410" s="213"/>
      <c r="P410" s="213"/>
      <c r="Q410" s="213"/>
      <c r="R410" s="213"/>
      <c r="S410" s="213"/>
      <c r="T410" s="213"/>
      <c r="U410" s="213"/>
      <c r="V410" s="213"/>
      <c r="W410" s="213"/>
      <c r="X410" s="213"/>
      <c r="Y410" s="213"/>
      <c r="Z410" s="213"/>
      <c r="AA410" s="213"/>
      <c r="AB410" s="211"/>
      <c r="AC410" s="211"/>
      <c r="AD410" s="211"/>
      <c r="AE410" s="211"/>
      <c r="AF410" s="211"/>
      <c r="AG410" s="211"/>
      <c r="AH410" s="211"/>
      <c r="AI410" s="211"/>
      <c r="AJ410" s="211"/>
      <c r="AK410" s="211"/>
      <c r="AL410" s="211"/>
      <c r="AM410" s="211">
        <f>INDEX($C$348:$AN$370,MATCH("New Customers One-Time",$C$348:$C$370,0),MATCH($C410,$C$348:$AN$348,0))</f>
        <v>1471.6337348368565</v>
      </c>
      <c r="AN410" s="211">
        <f>$AM410*(E374)</f>
        <v>0</v>
      </c>
    </row>
    <row r="411" spans="2:40" s="7" customFormat="1" ht="12" customHeight="1" outlineLevel="2">
      <c r="B411" s="245"/>
      <c r="C411" s="213" t="s">
        <v>788</v>
      </c>
      <c r="D411" s="213"/>
      <c r="E411" s="213"/>
      <c r="F411" s="213"/>
      <c r="G411" s="213"/>
      <c r="H411" s="213"/>
      <c r="I411" s="213"/>
      <c r="J411" s="213"/>
      <c r="K411" s="213"/>
      <c r="L411" s="213"/>
      <c r="M411" s="213"/>
      <c r="N411" s="213"/>
      <c r="O411" s="213"/>
      <c r="P411" s="213"/>
      <c r="Q411" s="213"/>
      <c r="R411" s="213"/>
      <c r="S411" s="213"/>
      <c r="T411" s="213"/>
      <c r="U411" s="213"/>
      <c r="V411" s="213"/>
      <c r="W411" s="213"/>
      <c r="X411" s="213"/>
      <c r="Y411" s="213"/>
      <c r="Z411" s="213"/>
      <c r="AA411" s="213"/>
      <c r="AB411" s="211"/>
      <c r="AC411" s="211"/>
      <c r="AD411" s="211"/>
      <c r="AE411" s="211"/>
      <c r="AF411" s="211"/>
      <c r="AG411" s="211"/>
      <c r="AH411" s="211"/>
      <c r="AI411" s="211"/>
      <c r="AJ411" s="211"/>
      <c r="AK411" s="211"/>
      <c r="AL411" s="211"/>
      <c r="AM411" s="211"/>
      <c r="AN411" s="211">
        <f>INDEX($C$348:$AN$370,MATCH("New Customers One-Time",$C$348:$C$370,0),MATCH($C411,$C$348:$AN$348,0))</f>
        <v>1545.2154215786991</v>
      </c>
    </row>
    <row r="412" spans="2:40" s="7" customFormat="1" ht="12" customHeight="1" outlineLevel="2">
      <c r="B412" s="245"/>
      <c r="C412" s="213"/>
      <c r="D412" s="213"/>
      <c r="E412" s="213"/>
      <c r="F412" s="213"/>
      <c r="G412" s="213"/>
      <c r="H412" s="213"/>
      <c r="I412" s="213"/>
      <c r="J412" s="213"/>
      <c r="K412" s="213"/>
      <c r="L412" s="213"/>
      <c r="M412" s="213"/>
      <c r="N412" s="213"/>
      <c r="O412" s="213"/>
      <c r="P412" s="213"/>
      <c r="Q412" s="213"/>
      <c r="R412" s="213"/>
      <c r="S412" s="213"/>
      <c r="T412" s="213"/>
      <c r="U412" s="213"/>
      <c r="V412" s="213"/>
      <c r="W412" s="213"/>
      <c r="X412" s="213"/>
      <c r="Y412" s="213"/>
      <c r="Z412" s="213"/>
      <c r="AA412" s="213"/>
      <c r="AB412" s="211"/>
      <c r="AC412" s="211"/>
      <c r="AD412" s="211"/>
      <c r="AE412" s="211"/>
      <c r="AF412" s="211"/>
      <c r="AG412" s="211"/>
      <c r="AH412" s="211"/>
      <c r="AI412" s="211"/>
      <c r="AJ412" s="211"/>
      <c r="AK412" s="211"/>
      <c r="AL412" s="211"/>
      <c r="AM412" s="211"/>
      <c r="AN412" s="211"/>
    </row>
    <row r="413" spans="2:40" s="7" customFormat="1" ht="12" customHeight="1" outlineLevel="2">
      <c r="B413" s="245"/>
      <c r="C413" s="243" t="s">
        <v>853</v>
      </c>
      <c r="D413" s="213"/>
      <c r="E413" s="213"/>
      <c r="F413" s="213"/>
      <c r="G413" s="213"/>
      <c r="H413" s="213"/>
      <c r="I413" s="213"/>
      <c r="J413" s="213"/>
      <c r="K413" s="213"/>
      <c r="L413" s="213"/>
      <c r="M413" s="213"/>
      <c r="N413" s="213"/>
      <c r="O413" s="213"/>
      <c r="P413" s="213"/>
      <c r="Q413" s="213"/>
      <c r="R413" s="213"/>
      <c r="S413" s="213"/>
      <c r="T413" s="213"/>
      <c r="U413" s="213"/>
      <c r="V413" s="213"/>
      <c r="W413" s="213"/>
      <c r="X413" s="213"/>
      <c r="Y413" s="213"/>
      <c r="Z413" s="213"/>
      <c r="AA413" s="213"/>
      <c r="AB413" s="213"/>
      <c r="AC413" s="211"/>
    </row>
    <row r="414" spans="2:40" s="7" customFormat="1" ht="12" customHeight="1" outlineLevel="2">
      <c r="B414" s="239"/>
      <c r="C414" s="214" t="s">
        <v>850</v>
      </c>
      <c r="D414" s="214"/>
      <c r="E414" s="196" t="s">
        <v>753</v>
      </c>
      <c r="F414" s="196" t="s">
        <v>754</v>
      </c>
      <c r="G414" s="196" t="s">
        <v>755</v>
      </c>
      <c r="H414" s="196" t="s">
        <v>756</v>
      </c>
      <c r="I414" s="196" t="s">
        <v>757</v>
      </c>
      <c r="J414" s="196" t="s">
        <v>758</v>
      </c>
      <c r="K414" s="196" t="s">
        <v>759</v>
      </c>
      <c r="L414" s="196" t="s">
        <v>760</v>
      </c>
      <c r="M414" s="196" t="s">
        <v>761</v>
      </c>
      <c r="N414" s="196" t="s">
        <v>762</v>
      </c>
      <c r="O414" s="196" t="s">
        <v>763</v>
      </c>
      <c r="P414" s="196" t="s">
        <v>764</v>
      </c>
      <c r="Q414" s="196" t="s">
        <v>765</v>
      </c>
      <c r="R414" s="196" t="s">
        <v>766</v>
      </c>
      <c r="S414" s="196" t="s">
        <v>767</v>
      </c>
      <c r="T414" s="196" t="s">
        <v>768</v>
      </c>
      <c r="U414" s="196" t="s">
        <v>769</v>
      </c>
      <c r="V414" s="196" t="s">
        <v>770</v>
      </c>
      <c r="W414" s="196" t="s">
        <v>771</v>
      </c>
      <c r="X414" s="196" t="s">
        <v>772</v>
      </c>
      <c r="Y414" s="196" t="s">
        <v>773</v>
      </c>
      <c r="Z414" s="196" t="s">
        <v>774</v>
      </c>
      <c r="AA414" s="196" t="s">
        <v>775</v>
      </c>
      <c r="AB414" s="196" t="s">
        <v>776</v>
      </c>
      <c r="AC414" s="196" t="s">
        <v>777</v>
      </c>
      <c r="AD414" s="196" t="s">
        <v>778</v>
      </c>
      <c r="AE414" s="196" t="s">
        <v>779</v>
      </c>
      <c r="AF414" s="196" t="s">
        <v>780</v>
      </c>
      <c r="AG414" s="196" t="s">
        <v>781</v>
      </c>
      <c r="AH414" s="196" t="s">
        <v>782</v>
      </c>
      <c r="AI414" s="196" t="s">
        <v>783</v>
      </c>
      <c r="AJ414" s="196" t="s">
        <v>784</v>
      </c>
      <c r="AK414" s="196" t="s">
        <v>785</v>
      </c>
      <c r="AL414" s="196" t="s">
        <v>786</v>
      </c>
      <c r="AM414" s="196" t="s">
        <v>787</v>
      </c>
      <c r="AN414" s="196" t="s">
        <v>788</v>
      </c>
    </row>
    <row r="415" spans="2:40" s="7" customFormat="1" ht="12" customHeight="1" outlineLevel="2">
      <c r="B415" s="239"/>
      <c r="C415" s="247" t="s">
        <v>851</v>
      </c>
      <c r="D415" s="214"/>
      <c r="E415" s="339">
        <v>0.7</v>
      </c>
      <c r="F415" s="339">
        <v>0.55000000000000004</v>
      </c>
      <c r="G415" s="339">
        <v>0.45</v>
      </c>
      <c r="H415" s="339">
        <v>0.4</v>
      </c>
      <c r="I415" s="339">
        <v>0.45</v>
      </c>
      <c r="J415" s="339">
        <v>0.3</v>
      </c>
      <c r="K415" s="339">
        <v>0.25</v>
      </c>
      <c r="L415" s="339">
        <v>0.2</v>
      </c>
      <c r="M415" s="339">
        <v>0.15</v>
      </c>
      <c r="N415" s="339">
        <v>0.14000000000000001</v>
      </c>
      <c r="O415" s="339">
        <v>0.13</v>
      </c>
      <c r="P415" s="339">
        <v>0.12</v>
      </c>
      <c r="Q415" s="339">
        <v>0.11</v>
      </c>
      <c r="R415" s="339">
        <v>0.1</v>
      </c>
      <c r="S415" s="339">
        <v>0.08</v>
      </c>
      <c r="T415" s="339">
        <v>0.08</v>
      </c>
      <c r="U415" s="339">
        <v>0.05</v>
      </c>
      <c r="V415" s="339">
        <v>0.05</v>
      </c>
      <c r="W415" s="339">
        <v>0.05</v>
      </c>
      <c r="X415" s="339">
        <v>0.05</v>
      </c>
      <c r="Y415" s="339">
        <v>0.05</v>
      </c>
      <c r="Z415" s="339">
        <v>0.05</v>
      </c>
      <c r="AA415" s="339">
        <v>0.05</v>
      </c>
      <c r="AB415" s="339">
        <v>0.05</v>
      </c>
      <c r="AC415" s="339">
        <v>0.05</v>
      </c>
      <c r="AD415" s="339">
        <v>0.05</v>
      </c>
      <c r="AE415" s="339">
        <v>0.05</v>
      </c>
      <c r="AF415" s="339">
        <v>0.05</v>
      </c>
      <c r="AG415" s="339">
        <v>0.05</v>
      </c>
      <c r="AH415" s="339">
        <v>0.05</v>
      </c>
      <c r="AI415" s="339">
        <v>0.05</v>
      </c>
      <c r="AJ415" s="339">
        <v>0.05</v>
      </c>
      <c r="AK415" s="339">
        <v>0.05</v>
      </c>
      <c r="AL415" s="339">
        <v>0.05</v>
      </c>
      <c r="AM415" s="339">
        <v>0.05</v>
      </c>
      <c r="AN415" s="339">
        <v>0.05</v>
      </c>
    </row>
    <row r="416" spans="2:40" s="214" customFormat="1" ht="12" customHeight="1" outlineLevel="2">
      <c r="C416" s="213" t="s">
        <v>861</v>
      </c>
      <c r="E416" s="211">
        <v>322</v>
      </c>
      <c r="F416" s="211">
        <v>379</v>
      </c>
      <c r="G416" s="211">
        <v>480</v>
      </c>
      <c r="H416" s="211">
        <v>363</v>
      </c>
      <c r="I416" s="211">
        <v>305</v>
      </c>
      <c r="J416" s="211">
        <f t="shared" ref="J416:AN416" si="467">I416*0.9</f>
        <v>274.5</v>
      </c>
      <c r="K416" s="211">
        <f t="shared" si="467"/>
        <v>247.05</v>
      </c>
      <c r="L416" s="211">
        <f t="shared" si="467"/>
        <v>222.34500000000003</v>
      </c>
      <c r="M416" s="211">
        <f t="shared" si="467"/>
        <v>200.11050000000003</v>
      </c>
      <c r="N416" s="211">
        <f t="shared" si="467"/>
        <v>180.09945000000002</v>
      </c>
      <c r="O416" s="211">
        <f t="shared" si="467"/>
        <v>162.08950500000003</v>
      </c>
      <c r="P416" s="211">
        <f t="shared" si="467"/>
        <v>145.88055450000004</v>
      </c>
      <c r="Q416" s="211">
        <f t="shared" si="467"/>
        <v>131.29249905000003</v>
      </c>
      <c r="R416" s="211">
        <f t="shared" si="467"/>
        <v>118.16324914500004</v>
      </c>
      <c r="S416" s="211">
        <f t="shared" si="467"/>
        <v>106.34692423050004</v>
      </c>
      <c r="T416" s="211">
        <f t="shared" si="467"/>
        <v>95.712231807450038</v>
      </c>
      <c r="U416" s="211">
        <f t="shared" si="467"/>
        <v>86.14100862670503</v>
      </c>
      <c r="V416" s="211">
        <f t="shared" si="467"/>
        <v>77.526907764034533</v>
      </c>
      <c r="W416" s="211">
        <f t="shared" si="467"/>
        <v>69.774216987631078</v>
      </c>
      <c r="X416" s="211">
        <f t="shared" si="467"/>
        <v>62.796795288867969</v>
      </c>
      <c r="Y416" s="211">
        <f t="shared" si="467"/>
        <v>56.517115759981174</v>
      </c>
      <c r="Z416" s="211">
        <f t="shared" si="467"/>
        <v>50.86540418398306</v>
      </c>
      <c r="AA416" s="211">
        <f t="shared" si="467"/>
        <v>45.778863765584752</v>
      </c>
      <c r="AB416" s="211">
        <f t="shared" si="467"/>
        <v>41.200977389026278</v>
      </c>
      <c r="AC416" s="211">
        <f t="shared" si="467"/>
        <v>37.080879650123649</v>
      </c>
      <c r="AD416" s="211">
        <f t="shared" si="467"/>
        <v>33.372791685111288</v>
      </c>
      <c r="AE416" s="211">
        <f t="shared" si="467"/>
        <v>30.035512516600161</v>
      </c>
      <c r="AF416" s="211">
        <f t="shared" si="467"/>
        <v>27.031961264940144</v>
      </c>
      <c r="AG416" s="211">
        <f t="shared" si="467"/>
        <v>24.32876513844613</v>
      </c>
      <c r="AH416" s="211">
        <f t="shared" si="467"/>
        <v>21.895888624601518</v>
      </c>
      <c r="AI416" s="211">
        <f t="shared" si="467"/>
        <v>19.706299762141366</v>
      </c>
      <c r="AJ416" s="211">
        <f t="shared" si="467"/>
        <v>17.735669785927229</v>
      </c>
      <c r="AK416" s="211">
        <f t="shared" si="467"/>
        <v>15.962102807334507</v>
      </c>
      <c r="AL416" s="211">
        <f t="shared" si="467"/>
        <v>14.365892526601057</v>
      </c>
      <c r="AM416" s="211">
        <f t="shared" si="467"/>
        <v>12.929303273940951</v>
      </c>
      <c r="AN416" s="211">
        <f t="shared" si="467"/>
        <v>11.636372946546857</v>
      </c>
    </row>
    <row r="417" spans="2:40" s="7" customFormat="1" ht="12" customHeight="1" outlineLevel="2">
      <c r="B417" s="245"/>
      <c r="C417" s="213" t="s">
        <v>753</v>
      </c>
      <c r="D417" s="213"/>
      <c r="E417" s="211">
        <f>INDEX($C$348:$AN$370,MATCH("New Customers 1MS",$C$348:$C$370,0),MATCH($C417,$C$348:$AN$348,0))</f>
        <v>220.00000000000003</v>
      </c>
      <c r="F417" s="211">
        <f t="shared" ref="F417:AN417" si="468">$E417*(E415)</f>
        <v>154</v>
      </c>
      <c r="G417" s="211">
        <f t="shared" si="468"/>
        <v>121.00000000000003</v>
      </c>
      <c r="H417" s="211">
        <f t="shared" si="468"/>
        <v>99.000000000000014</v>
      </c>
      <c r="I417" s="211">
        <f t="shared" si="468"/>
        <v>88.000000000000014</v>
      </c>
      <c r="J417" s="211">
        <f t="shared" si="468"/>
        <v>99.000000000000014</v>
      </c>
      <c r="K417" s="211">
        <f t="shared" si="468"/>
        <v>66</v>
      </c>
      <c r="L417" s="211">
        <f t="shared" si="468"/>
        <v>55.000000000000007</v>
      </c>
      <c r="M417" s="211">
        <f t="shared" si="468"/>
        <v>44.000000000000007</v>
      </c>
      <c r="N417" s="211">
        <f t="shared" si="468"/>
        <v>33</v>
      </c>
      <c r="O417" s="211">
        <f t="shared" si="468"/>
        <v>30.800000000000008</v>
      </c>
      <c r="P417" s="211">
        <f t="shared" si="468"/>
        <v>28.600000000000005</v>
      </c>
      <c r="Q417" s="211">
        <f t="shared" si="468"/>
        <v>26.400000000000002</v>
      </c>
      <c r="R417" s="211">
        <f t="shared" si="468"/>
        <v>24.200000000000003</v>
      </c>
      <c r="S417" s="211">
        <f t="shared" si="468"/>
        <v>22.000000000000004</v>
      </c>
      <c r="T417" s="211">
        <f t="shared" si="468"/>
        <v>17.600000000000001</v>
      </c>
      <c r="U417" s="211">
        <f t="shared" si="468"/>
        <v>17.600000000000001</v>
      </c>
      <c r="V417" s="211">
        <f t="shared" si="468"/>
        <v>11.000000000000002</v>
      </c>
      <c r="W417" s="211">
        <f t="shared" si="468"/>
        <v>11.000000000000002</v>
      </c>
      <c r="X417" s="211">
        <f t="shared" si="468"/>
        <v>11.000000000000002</v>
      </c>
      <c r="Y417" s="211">
        <f t="shared" si="468"/>
        <v>11.000000000000002</v>
      </c>
      <c r="Z417" s="211">
        <f t="shared" si="468"/>
        <v>11.000000000000002</v>
      </c>
      <c r="AA417" s="211">
        <f t="shared" si="468"/>
        <v>11.000000000000002</v>
      </c>
      <c r="AB417" s="211">
        <f t="shared" si="468"/>
        <v>11.000000000000002</v>
      </c>
      <c r="AC417" s="211">
        <f t="shared" si="468"/>
        <v>11.000000000000002</v>
      </c>
      <c r="AD417" s="211">
        <f t="shared" si="468"/>
        <v>11.000000000000002</v>
      </c>
      <c r="AE417" s="211">
        <f t="shared" si="468"/>
        <v>11.000000000000002</v>
      </c>
      <c r="AF417" s="211">
        <f t="shared" si="468"/>
        <v>11.000000000000002</v>
      </c>
      <c r="AG417" s="211">
        <f t="shared" si="468"/>
        <v>11.000000000000002</v>
      </c>
      <c r="AH417" s="211">
        <f t="shared" si="468"/>
        <v>11.000000000000002</v>
      </c>
      <c r="AI417" s="211">
        <f t="shared" si="468"/>
        <v>11.000000000000002</v>
      </c>
      <c r="AJ417" s="211">
        <f t="shared" si="468"/>
        <v>11.000000000000002</v>
      </c>
      <c r="AK417" s="211">
        <f t="shared" si="468"/>
        <v>11.000000000000002</v>
      </c>
      <c r="AL417" s="211">
        <f t="shared" si="468"/>
        <v>11.000000000000002</v>
      </c>
      <c r="AM417" s="211">
        <f t="shared" si="468"/>
        <v>11.000000000000002</v>
      </c>
      <c r="AN417" s="211">
        <f t="shared" si="468"/>
        <v>11.000000000000002</v>
      </c>
    </row>
    <row r="418" spans="2:40" s="7" customFormat="1" ht="12" customHeight="1" outlineLevel="2">
      <c r="B418" s="245"/>
      <c r="C418" s="213" t="s">
        <v>754</v>
      </c>
      <c r="D418" s="213"/>
      <c r="E418" s="213"/>
      <c r="F418" s="211">
        <f>INDEX($C$348:$AN$370,MATCH("New Customers 1MS",$C$348:$C$370,0),MATCH($C418,$C$348:$AN$348,0))</f>
        <v>266.99999999999994</v>
      </c>
      <c r="G418" s="211">
        <f t="shared" ref="G418:AN418" si="469">$F418*(E415)</f>
        <v>186.89999999999995</v>
      </c>
      <c r="H418" s="211">
        <f t="shared" si="469"/>
        <v>146.85</v>
      </c>
      <c r="I418" s="211">
        <f t="shared" si="469"/>
        <v>120.14999999999998</v>
      </c>
      <c r="J418" s="211">
        <f t="shared" si="469"/>
        <v>106.79999999999998</v>
      </c>
      <c r="K418" s="211">
        <f t="shared" si="469"/>
        <v>120.14999999999998</v>
      </c>
      <c r="L418" s="211">
        <f t="shared" si="469"/>
        <v>80.09999999999998</v>
      </c>
      <c r="M418" s="211">
        <f t="shared" si="469"/>
        <v>66.749999999999986</v>
      </c>
      <c r="N418" s="211">
        <f t="shared" si="469"/>
        <v>53.399999999999991</v>
      </c>
      <c r="O418" s="211">
        <f t="shared" si="469"/>
        <v>40.04999999999999</v>
      </c>
      <c r="P418" s="211">
        <f t="shared" si="469"/>
        <v>37.379999999999995</v>
      </c>
      <c r="Q418" s="211">
        <f t="shared" si="469"/>
        <v>34.709999999999994</v>
      </c>
      <c r="R418" s="211">
        <f t="shared" si="469"/>
        <v>32.039999999999992</v>
      </c>
      <c r="S418" s="211">
        <f t="shared" si="469"/>
        <v>29.369999999999994</v>
      </c>
      <c r="T418" s="211">
        <f t="shared" si="469"/>
        <v>26.699999999999996</v>
      </c>
      <c r="U418" s="211">
        <f t="shared" si="469"/>
        <v>21.359999999999996</v>
      </c>
      <c r="V418" s="211">
        <f t="shared" si="469"/>
        <v>21.359999999999996</v>
      </c>
      <c r="W418" s="211">
        <f t="shared" si="469"/>
        <v>13.349999999999998</v>
      </c>
      <c r="X418" s="211">
        <f t="shared" si="469"/>
        <v>13.349999999999998</v>
      </c>
      <c r="Y418" s="211">
        <f t="shared" si="469"/>
        <v>13.349999999999998</v>
      </c>
      <c r="Z418" s="211">
        <f t="shared" si="469"/>
        <v>13.349999999999998</v>
      </c>
      <c r="AA418" s="211">
        <f t="shared" si="469"/>
        <v>13.349999999999998</v>
      </c>
      <c r="AB418" s="211">
        <f t="shared" si="469"/>
        <v>13.349999999999998</v>
      </c>
      <c r="AC418" s="211">
        <f t="shared" si="469"/>
        <v>13.349999999999998</v>
      </c>
      <c r="AD418" s="211">
        <f t="shared" si="469"/>
        <v>13.349999999999998</v>
      </c>
      <c r="AE418" s="211">
        <f t="shared" si="469"/>
        <v>13.349999999999998</v>
      </c>
      <c r="AF418" s="211">
        <f t="shared" si="469"/>
        <v>13.349999999999998</v>
      </c>
      <c r="AG418" s="211">
        <f t="shared" si="469"/>
        <v>13.349999999999998</v>
      </c>
      <c r="AH418" s="211">
        <f t="shared" si="469"/>
        <v>13.349999999999998</v>
      </c>
      <c r="AI418" s="211">
        <f t="shared" si="469"/>
        <v>13.349999999999998</v>
      </c>
      <c r="AJ418" s="211">
        <f t="shared" si="469"/>
        <v>13.349999999999998</v>
      </c>
      <c r="AK418" s="211">
        <f t="shared" si="469"/>
        <v>13.349999999999998</v>
      </c>
      <c r="AL418" s="211">
        <f t="shared" si="469"/>
        <v>13.349999999999998</v>
      </c>
      <c r="AM418" s="211">
        <f t="shared" si="469"/>
        <v>13.349999999999998</v>
      </c>
      <c r="AN418" s="211">
        <f t="shared" si="469"/>
        <v>13.349999999999998</v>
      </c>
    </row>
    <row r="419" spans="2:40" s="7" customFormat="1" ht="12" customHeight="1" outlineLevel="2">
      <c r="B419" s="245"/>
      <c r="C419" s="213" t="s">
        <v>755</v>
      </c>
      <c r="D419" s="213"/>
      <c r="E419" s="213"/>
      <c r="G419" s="211">
        <f>INDEX($C$348:$AN$370,MATCH("New Customers 1MS",$C$348:$C$370,0),MATCH($C419,$C$348:$AN$348,0))</f>
        <v>421</v>
      </c>
      <c r="H419" s="211">
        <f>G419*(E415)</f>
        <v>294.7</v>
      </c>
      <c r="I419" s="211">
        <f>G419*(F415)</f>
        <v>231.55</v>
      </c>
      <c r="J419" s="211">
        <f>G419*(G415)</f>
        <v>189.45000000000002</v>
      </c>
      <c r="K419" s="211">
        <f>G419*(H415)</f>
        <v>168.4</v>
      </c>
      <c r="L419" s="211">
        <f>G419*(I415)</f>
        <v>189.45000000000002</v>
      </c>
      <c r="M419" s="211">
        <f>G419*(J415)</f>
        <v>126.3</v>
      </c>
      <c r="N419" s="211">
        <f>G419*(K415)</f>
        <v>105.25</v>
      </c>
      <c r="O419" s="211">
        <f>G419*(L415)</f>
        <v>84.2</v>
      </c>
      <c r="P419" s="211">
        <f>G419*(M415)</f>
        <v>63.15</v>
      </c>
      <c r="Q419" s="211">
        <f>G419*(N415)</f>
        <v>58.940000000000005</v>
      </c>
      <c r="R419" s="211">
        <f>G419*(O415)</f>
        <v>54.730000000000004</v>
      </c>
      <c r="S419" s="211">
        <f>G419*(P415)</f>
        <v>50.519999999999996</v>
      </c>
      <c r="T419" s="211">
        <f>G419*(Q415)</f>
        <v>46.31</v>
      </c>
      <c r="U419" s="211">
        <f>G419*(R415)</f>
        <v>42.1</v>
      </c>
      <c r="V419" s="211">
        <f>G419*(S415)</f>
        <v>33.68</v>
      </c>
      <c r="W419" s="211">
        <f>G419*(T415)</f>
        <v>33.68</v>
      </c>
      <c r="X419" s="211">
        <f>G419*(U415)</f>
        <v>21.05</v>
      </c>
      <c r="Y419" s="211">
        <f>G419*(V415)</f>
        <v>21.05</v>
      </c>
      <c r="Z419" s="211">
        <f>G419*(W415)</f>
        <v>21.05</v>
      </c>
      <c r="AA419" s="211">
        <f>G419*(X415)</f>
        <v>21.05</v>
      </c>
      <c r="AB419" s="211">
        <f>G419*(Y415)</f>
        <v>21.05</v>
      </c>
      <c r="AC419" s="211">
        <f>G419*(Z415)</f>
        <v>21.05</v>
      </c>
      <c r="AD419" s="211">
        <f>G419*(AA415)</f>
        <v>21.05</v>
      </c>
      <c r="AE419" s="211">
        <f>G419*(AB415)</f>
        <v>21.05</v>
      </c>
      <c r="AF419" s="211">
        <f>G419*(AC415)</f>
        <v>21.05</v>
      </c>
      <c r="AG419" s="211">
        <f>G419*(AD415)</f>
        <v>21.05</v>
      </c>
      <c r="AH419" s="211">
        <f>G419*(AE415)</f>
        <v>21.05</v>
      </c>
      <c r="AI419" s="211">
        <f>G419*(AF415)</f>
        <v>21.05</v>
      </c>
      <c r="AJ419" s="211">
        <f>G419*(AG415)</f>
        <v>21.05</v>
      </c>
      <c r="AK419" s="211">
        <f>G419*(AH415)</f>
        <v>21.05</v>
      </c>
      <c r="AL419" s="211">
        <f>G419*(AI415)</f>
        <v>21.05</v>
      </c>
      <c r="AM419" s="211">
        <f>G419*(AJ415)</f>
        <v>21.05</v>
      </c>
      <c r="AN419" s="211">
        <f>G419*(AK415)</f>
        <v>21.05</v>
      </c>
    </row>
    <row r="420" spans="2:40" s="7" customFormat="1" ht="12" customHeight="1" outlineLevel="2">
      <c r="B420" s="245"/>
      <c r="C420" s="213" t="s">
        <v>756</v>
      </c>
      <c r="D420" s="213"/>
      <c r="E420" s="213"/>
      <c r="F420" s="213"/>
      <c r="G420" s="213"/>
      <c r="H420" s="211">
        <f>INDEX($C$348:$AN$370,MATCH("New Customers 1MS",$C$348:$C$370,0),MATCH($C420,$C$348:$AN$348,0))</f>
        <v>323.00000000000011</v>
      </c>
      <c r="I420" s="211">
        <f>H420*(E415)</f>
        <v>226.10000000000005</v>
      </c>
      <c r="J420" s="211">
        <f>H420*(F415)</f>
        <v>177.65000000000009</v>
      </c>
      <c r="K420" s="211">
        <f>H420*(G415)</f>
        <v>145.35000000000005</v>
      </c>
      <c r="L420" s="211">
        <f>H420*(H415)</f>
        <v>129.20000000000005</v>
      </c>
      <c r="M420" s="211">
        <f>H420*(I415)</f>
        <v>145.35000000000005</v>
      </c>
      <c r="N420" s="211">
        <f>H420*(J415)</f>
        <v>96.900000000000034</v>
      </c>
      <c r="O420" s="211">
        <f>H420*(K415)</f>
        <v>80.750000000000028</v>
      </c>
      <c r="P420" s="211">
        <f>H420*(L415)</f>
        <v>64.600000000000023</v>
      </c>
      <c r="Q420" s="211">
        <f>H420*(M415)</f>
        <v>48.450000000000017</v>
      </c>
      <c r="R420" s="211">
        <f>H420*(N415)</f>
        <v>45.22000000000002</v>
      </c>
      <c r="S420" s="211">
        <f>H420*(O415)</f>
        <v>41.990000000000016</v>
      </c>
      <c r="T420" s="211">
        <f>H420*(P415)</f>
        <v>38.760000000000012</v>
      </c>
      <c r="U420" s="211">
        <f>H420*(Q415)</f>
        <v>35.530000000000015</v>
      </c>
      <c r="V420" s="211">
        <f>H420*(R415)</f>
        <v>32.300000000000011</v>
      </c>
      <c r="W420" s="211">
        <f>H420*(S415)</f>
        <v>25.840000000000011</v>
      </c>
      <c r="X420" s="211">
        <f>H420*(T415)</f>
        <v>25.840000000000011</v>
      </c>
      <c r="Y420" s="211">
        <f>H420*(U415)</f>
        <v>16.150000000000006</v>
      </c>
      <c r="Z420" s="211">
        <f>H420*(V415)</f>
        <v>16.150000000000006</v>
      </c>
      <c r="AA420" s="211">
        <f>H420*(W415)</f>
        <v>16.150000000000006</v>
      </c>
      <c r="AB420" s="211">
        <f>H420*(X415)</f>
        <v>16.150000000000006</v>
      </c>
      <c r="AC420" s="211">
        <f>H420*(Y415)</f>
        <v>16.150000000000006</v>
      </c>
      <c r="AD420" s="211">
        <f>H420*(Z415)</f>
        <v>16.150000000000006</v>
      </c>
      <c r="AE420" s="211">
        <f>H420*(AA415)</f>
        <v>16.150000000000006</v>
      </c>
      <c r="AF420" s="211">
        <f>H420*(AB415)</f>
        <v>16.150000000000006</v>
      </c>
      <c r="AG420" s="211">
        <f>H420*(AC415)</f>
        <v>16.150000000000006</v>
      </c>
      <c r="AH420" s="211">
        <f>H420*(AD415)</f>
        <v>16.150000000000006</v>
      </c>
      <c r="AI420" s="211">
        <f>H420*(AE415)</f>
        <v>16.150000000000006</v>
      </c>
      <c r="AJ420" s="211">
        <f>H420*(AF415)</f>
        <v>16.150000000000006</v>
      </c>
      <c r="AK420" s="211">
        <f>H420*(AG415)</f>
        <v>16.150000000000006</v>
      </c>
      <c r="AL420" s="211">
        <f>H420*(AH415)</f>
        <v>16.150000000000006</v>
      </c>
      <c r="AM420" s="211">
        <f>H420*(AI415)</f>
        <v>16.150000000000006</v>
      </c>
      <c r="AN420" s="211">
        <f>H420*(AJ415)</f>
        <v>16.150000000000006</v>
      </c>
    </row>
    <row r="421" spans="2:40" s="7" customFormat="1" ht="12" customHeight="1" outlineLevel="2">
      <c r="B421" s="245"/>
      <c r="C421" s="213" t="s">
        <v>757</v>
      </c>
      <c r="D421" s="213"/>
      <c r="E421" s="213"/>
      <c r="F421" s="213"/>
      <c r="G421" s="213"/>
      <c r="H421" s="213"/>
      <c r="I421" s="211">
        <f>INDEX($C$348:$AN$370,MATCH("New Customers 1MS",$C$348:$C$370,0),MATCH($C421,$C$348:$AN$348,0))</f>
        <v>163.00000000000003</v>
      </c>
      <c r="J421" s="211">
        <f>I421*(E415)</f>
        <v>114.10000000000001</v>
      </c>
      <c r="K421" s="211">
        <f>I421*(F415)</f>
        <v>89.65000000000002</v>
      </c>
      <c r="L421" s="211">
        <f>I421*(G415)</f>
        <v>73.350000000000009</v>
      </c>
      <c r="M421" s="211">
        <f>I421*(H415)</f>
        <v>65.200000000000017</v>
      </c>
      <c r="N421" s="211">
        <f>I421*(I415)</f>
        <v>73.350000000000009</v>
      </c>
      <c r="O421" s="211">
        <f>I421*(J415)</f>
        <v>48.900000000000006</v>
      </c>
      <c r="P421" s="211">
        <f>I421*(K415)</f>
        <v>40.750000000000007</v>
      </c>
      <c r="Q421" s="211">
        <f>I421*(L415)</f>
        <v>32.600000000000009</v>
      </c>
      <c r="R421" s="211">
        <f>I421*(M415)</f>
        <v>24.450000000000003</v>
      </c>
      <c r="S421" s="211">
        <f>I421*(N415)</f>
        <v>22.820000000000007</v>
      </c>
      <c r="T421" s="211">
        <f>I421*(O415)</f>
        <v>21.190000000000005</v>
      </c>
      <c r="U421" s="211">
        <f>I421*(P415)</f>
        <v>19.560000000000002</v>
      </c>
      <c r="V421" s="211">
        <f>I421*(Q415)</f>
        <v>17.930000000000003</v>
      </c>
      <c r="W421" s="211">
        <f>I421*(R415)</f>
        <v>16.300000000000004</v>
      </c>
      <c r="X421" s="211">
        <f>I421*(S415)</f>
        <v>13.040000000000003</v>
      </c>
      <c r="Y421" s="211">
        <f>I421*(T415)</f>
        <v>13.040000000000003</v>
      </c>
      <c r="Z421" s="211">
        <f>I421*(U415)</f>
        <v>8.1500000000000021</v>
      </c>
      <c r="AA421" s="211">
        <f>I421*(V415)</f>
        <v>8.1500000000000021</v>
      </c>
      <c r="AB421" s="211">
        <f>I421*(W415)</f>
        <v>8.1500000000000021</v>
      </c>
      <c r="AC421" s="211">
        <f>I421*(X415)</f>
        <v>8.1500000000000021</v>
      </c>
      <c r="AD421" s="211">
        <f>I421*(Y415)</f>
        <v>8.1500000000000021</v>
      </c>
      <c r="AE421" s="211">
        <f>I421*(Z415)</f>
        <v>8.1500000000000021</v>
      </c>
      <c r="AF421" s="211">
        <f>I421*(AA415)</f>
        <v>8.1500000000000021</v>
      </c>
      <c r="AG421" s="211">
        <f>I421*(AB415)</f>
        <v>8.1500000000000021</v>
      </c>
      <c r="AH421" s="211">
        <f>I421*(AC415)</f>
        <v>8.1500000000000021</v>
      </c>
      <c r="AI421" s="211">
        <f>I421*(AD415)</f>
        <v>8.1500000000000021</v>
      </c>
      <c r="AJ421" s="211">
        <f>I421*(AE415)</f>
        <v>8.1500000000000021</v>
      </c>
      <c r="AK421" s="211">
        <f>I421*(AF415)</f>
        <v>8.1500000000000021</v>
      </c>
      <c r="AL421" s="211">
        <f>I421*(AG415)</f>
        <v>8.1500000000000021</v>
      </c>
      <c r="AM421" s="211">
        <f>I421*(AH415)</f>
        <v>8.1500000000000021</v>
      </c>
      <c r="AN421" s="211">
        <f>I421*(AI415)</f>
        <v>8.1500000000000021</v>
      </c>
    </row>
    <row r="422" spans="2:40" s="7" customFormat="1" ht="12" customHeight="1" outlineLevel="2">
      <c r="B422" s="245"/>
      <c r="C422" s="213" t="s">
        <v>758</v>
      </c>
      <c r="D422" s="213"/>
      <c r="E422" s="213"/>
      <c r="F422" s="213"/>
      <c r="G422" s="213"/>
      <c r="H422" s="213"/>
      <c r="I422" s="213"/>
      <c r="J422" s="211">
        <f>INDEX($C$348:$AN$370,MATCH("New Customers 1MS",$C$348:$C$370,0),MATCH($C422,$C$348:$AN$348,0))</f>
        <v>90.100000000000009</v>
      </c>
      <c r="K422" s="211">
        <f>J422*(E415)</f>
        <v>63.07</v>
      </c>
      <c r="L422" s="211">
        <f>J422*(F415)</f>
        <v>49.555000000000007</v>
      </c>
      <c r="M422" s="211">
        <f>J422*(G415)</f>
        <v>40.545000000000002</v>
      </c>
      <c r="N422" s="211">
        <f>J422*(H415)</f>
        <v>36.040000000000006</v>
      </c>
      <c r="O422" s="211">
        <f>J422*(I415)</f>
        <v>40.545000000000002</v>
      </c>
      <c r="P422" s="211">
        <f>J422*(J415)</f>
        <v>27.03</v>
      </c>
      <c r="Q422" s="211">
        <f>J422*(K415)</f>
        <v>22.525000000000002</v>
      </c>
      <c r="R422" s="211">
        <f>J422*(L415)</f>
        <v>18.020000000000003</v>
      </c>
      <c r="S422" s="211">
        <f>J422*(M415)</f>
        <v>13.515000000000001</v>
      </c>
      <c r="T422" s="211">
        <f>J422*(N415)</f>
        <v>12.614000000000003</v>
      </c>
      <c r="U422" s="211">
        <f>J422*(O415)</f>
        <v>11.713000000000001</v>
      </c>
      <c r="V422" s="211">
        <f>J422*(P415)</f>
        <v>10.812000000000001</v>
      </c>
      <c r="W422" s="211">
        <f>J422*(Q415)</f>
        <v>9.9110000000000014</v>
      </c>
      <c r="X422" s="211">
        <f>J422*(R415)</f>
        <v>9.0100000000000016</v>
      </c>
      <c r="Y422" s="211">
        <f>J422*(S415)</f>
        <v>7.2080000000000011</v>
      </c>
      <c r="Z422" s="211">
        <f>J422*(T415)</f>
        <v>7.2080000000000011</v>
      </c>
      <c r="AA422" s="211">
        <f>J422*(U415)</f>
        <v>4.5050000000000008</v>
      </c>
      <c r="AB422" s="211">
        <f>J422*(V415)</f>
        <v>4.5050000000000008</v>
      </c>
      <c r="AC422" s="211">
        <f>J422*(W415)</f>
        <v>4.5050000000000008</v>
      </c>
      <c r="AD422" s="211">
        <f>J422*(X415)</f>
        <v>4.5050000000000008</v>
      </c>
      <c r="AE422" s="211">
        <f>J422*(Y415)</f>
        <v>4.5050000000000008</v>
      </c>
      <c r="AF422" s="211">
        <f>J422*(Z415)</f>
        <v>4.5050000000000008</v>
      </c>
      <c r="AG422" s="211">
        <f>J422*(AA415)</f>
        <v>4.5050000000000008</v>
      </c>
      <c r="AH422" s="211">
        <f>J422*(AB415)</f>
        <v>4.5050000000000008</v>
      </c>
      <c r="AI422" s="211">
        <f>J422*(AC415)</f>
        <v>4.5050000000000008</v>
      </c>
      <c r="AJ422" s="211">
        <f>J422*(AD415)</f>
        <v>4.5050000000000008</v>
      </c>
      <c r="AK422" s="211">
        <f>J422*(AE415)</f>
        <v>4.5050000000000008</v>
      </c>
      <c r="AL422" s="211">
        <f>J422*(AF415)</f>
        <v>4.5050000000000008</v>
      </c>
      <c r="AM422" s="211">
        <f>J422*(AG415)</f>
        <v>4.5050000000000008</v>
      </c>
      <c r="AN422" s="211">
        <f>J422*(AH415)</f>
        <v>4.5050000000000008</v>
      </c>
    </row>
    <row r="423" spans="2:40" s="7" customFormat="1" ht="12" customHeight="1" outlineLevel="2">
      <c r="B423" s="245"/>
      <c r="C423" s="213" t="s">
        <v>759</v>
      </c>
      <c r="D423" s="213"/>
      <c r="E423" s="213"/>
      <c r="F423" s="213"/>
      <c r="G423" s="213"/>
      <c r="H423" s="213"/>
      <c r="I423" s="213"/>
      <c r="J423" s="213"/>
      <c r="K423" s="211">
        <f>INDEX($C$348:$AN$370,MATCH("New Customers 1MS",$C$348:$C$370,0),MATCH($C423,$C$348:$AN$348,0))</f>
        <v>83.5</v>
      </c>
      <c r="L423" s="211">
        <f>K423*(E415)</f>
        <v>58.449999999999996</v>
      </c>
      <c r="M423" s="211">
        <f>K423*(F415)</f>
        <v>45.925000000000004</v>
      </c>
      <c r="N423" s="211">
        <f>K423*(G415)</f>
        <v>37.575000000000003</v>
      </c>
      <c r="O423" s="211">
        <f>K423*(H415)</f>
        <v>33.4</v>
      </c>
      <c r="P423" s="211">
        <f>K423*(I415)</f>
        <v>37.575000000000003</v>
      </c>
      <c r="Q423" s="211">
        <f>K423*(J415)</f>
        <v>25.05</v>
      </c>
      <c r="R423" s="211">
        <f>K423*(K415)</f>
        <v>20.875</v>
      </c>
      <c r="S423" s="211">
        <f>K423*(L415)</f>
        <v>16.7</v>
      </c>
      <c r="T423" s="211">
        <f>K423*(M415)</f>
        <v>12.525</v>
      </c>
      <c r="U423" s="211">
        <f>K423*(N415)</f>
        <v>11.690000000000001</v>
      </c>
      <c r="V423" s="211">
        <f>K423*(O415)</f>
        <v>10.855</v>
      </c>
      <c r="W423" s="211">
        <f>K423*(P415)</f>
        <v>10.02</v>
      </c>
      <c r="X423" s="211">
        <f>K423*(Q415)</f>
        <v>9.1850000000000005</v>
      </c>
      <c r="Y423" s="211">
        <f>K423*(R415)</f>
        <v>8.35</v>
      </c>
      <c r="Z423" s="211">
        <f>K423*(S415)</f>
        <v>6.68</v>
      </c>
      <c r="AA423" s="211">
        <f>K423*(T415)</f>
        <v>6.68</v>
      </c>
      <c r="AB423" s="211">
        <f>K423*(U415)</f>
        <v>4.1749999999999998</v>
      </c>
      <c r="AC423" s="211">
        <f>K423*(V415)</f>
        <v>4.1749999999999998</v>
      </c>
      <c r="AD423" s="211">
        <f>K423*(W415)</f>
        <v>4.1749999999999998</v>
      </c>
      <c r="AE423" s="211">
        <f>K423*(X415)</f>
        <v>4.1749999999999998</v>
      </c>
      <c r="AF423" s="211">
        <f>K423*(Y415)</f>
        <v>4.1749999999999998</v>
      </c>
      <c r="AG423" s="211">
        <f>K423*(Z415)</f>
        <v>4.1749999999999998</v>
      </c>
      <c r="AH423" s="211">
        <f>K423*(AA415)</f>
        <v>4.1749999999999998</v>
      </c>
      <c r="AI423" s="211">
        <f>K423*(AB415)</f>
        <v>4.1749999999999998</v>
      </c>
      <c r="AJ423" s="211">
        <f>K423*(AC415)</f>
        <v>4.1749999999999998</v>
      </c>
      <c r="AK423" s="211">
        <f>K423*(AD415)</f>
        <v>4.1749999999999998</v>
      </c>
      <c r="AL423" s="211">
        <f>K423*(AE415)</f>
        <v>4.1749999999999998</v>
      </c>
      <c r="AM423" s="211">
        <f>K423*(AF415)</f>
        <v>4.1749999999999998</v>
      </c>
      <c r="AN423" s="211">
        <f>K423*(AG415)</f>
        <v>4.1749999999999998</v>
      </c>
    </row>
    <row r="424" spans="2:40" s="7" customFormat="1" ht="12" customHeight="1" outlineLevel="2">
      <c r="B424" s="245"/>
      <c r="C424" s="213" t="s">
        <v>760</v>
      </c>
      <c r="D424" s="213"/>
      <c r="E424" s="213"/>
      <c r="F424" s="213"/>
      <c r="G424" s="213"/>
      <c r="H424" s="213"/>
      <c r="I424" s="213"/>
      <c r="J424" s="213"/>
      <c r="K424" s="213"/>
      <c r="L424" s="211">
        <f>INDEX($C$348:$AN$370,MATCH("New Customers 1MS",$C$348:$C$370,0),MATCH($C424,$C$348:$AN$348,0))</f>
        <v>42.550000000000004</v>
      </c>
      <c r="M424" s="211">
        <f>L424*(E415)</f>
        <v>29.785</v>
      </c>
      <c r="N424" s="211">
        <f>L424*(F415)</f>
        <v>23.402500000000003</v>
      </c>
      <c r="O424" s="211">
        <f>L424*(G415)</f>
        <v>19.147500000000001</v>
      </c>
      <c r="P424" s="211">
        <f>L424*(H415)</f>
        <v>17.020000000000003</v>
      </c>
      <c r="Q424" s="211">
        <f>L424*(I415)</f>
        <v>19.147500000000001</v>
      </c>
      <c r="R424" s="211">
        <f>L424*(J415)</f>
        <v>12.765000000000001</v>
      </c>
      <c r="S424" s="211">
        <f>L424*(K415)</f>
        <v>10.637500000000001</v>
      </c>
      <c r="T424" s="211">
        <f>L424*(L415)</f>
        <v>8.5100000000000016</v>
      </c>
      <c r="U424" s="211">
        <f>L424*(M415)</f>
        <v>6.3825000000000003</v>
      </c>
      <c r="V424" s="211">
        <f>L424*(N415)</f>
        <v>5.9570000000000007</v>
      </c>
      <c r="W424" s="211">
        <f>L424*(O415)</f>
        <v>5.5315000000000003</v>
      </c>
      <c r="X424" s="211">
        <f>L424*(P415)</f>
        <v>5.1060000000000008</v>
      </c>
      <c r="Y424" s="211">
        <f>L424*(Q415)</f>
        <v>4.6805000000000003</v>
      </c>
      <c r="Z424" s="211">
        <f>L424*(R415)</f>
        <v>4.2550000000000008</v>
      </c>
      <c r="AA424" s="211">
        <f>L424*(S415)</f>
        <v>3.4040000000000004</v>
      </c>
      <c r="AB424" s="211">
        <f>L424*(T415)</f>
        <v>3.4040000000000004</v>
      </c>
      <c r="AC424" s="211">
        <f>L424*(U415)</f>
        <v>2.1275000000000004</v>
      </c>
      <c r="AD424" s="211">
        <f>L424*(V415)</f>
        <v>2.1275000000000004</v>
      </c>
      <c r="AE424" s="211">
        <f>L424*(W415)</f>
        <v>2.1275000000000004</v>
      </c>
      <c r="AF424" s="211">
        <f>L424*(X415)</f>
        <v>2.1275000000000004</v>
      </c>
      <c r="AG424" s="211">
        <f>L424*(Y415)</f>
        <v>2.1275000000000004</v>
      </c>
      <c r="AH424" s="211">
        <f>L424*(Z415)</f>
        <v>2.1275000000000004</v>
      </c>
      <c r="AI424" s="211">
        <f>L424*(AA415)</f>
        <v>2.1275000000000004</v>
      </c>
      <c r="AJ424" s="211">
        <f>L424*(AB415)</f>
        <v>2.1275000000000004</v>
      </c>
      <c r="AK424" s="211">
        <f>L424*(AC415)</f>
        <v>2.1275000000000004</v>
      </c>
      <c r="AL424" s="211">
        <f>L424*(AD415)</f>
        <v>2.1275000000000004</v>
      </c>
      <c r="AM424" s="211">
        <f>L424*(AE415)</f>
        <v>2.1275000000000004</v>
      </c>
      <c r="AN424" s="211">
        <f>L424*(AF415)</f>
        <v>2.1275000000000004</v>
      </c>
    </row>
    <row r="425" spans="2:40" s="7" customFormat="1" ht="12" customHeight="1" outlineLevel="2">
      <c r="B425" s="245"/>
      <c r="C425" s="213" t="s">
        <v>761</v>
      </c>
      <c r="D425" s="213"/>
      <c r="E425" s="213"/>
      <c r="F425" s="213"/>
      <c r="G425" s="213"/>
      <c r="H425" s="213"/>
      <c r="I425" s="213"/>
      <c r="J425" s="213"/>
      <c r="K425" s="213"/>
      <c r="L425" s="213"/>
      <c r="M425" s="211">
        <f>INDEX($C$348:$AN$370,MATCH("New Customers 1MS",$C$348:$C$370,0),MATCH($C425,$C$348:$AN$348,0))</f>
        <v>121.00000000000003</v>
      </c>
      <c r="N425" s="211">
        <f>M425*(E415)</f>
        <v>84.700000000000017</v>
      </c>
      <c r="O425" s="211">
        <f>M425*(F415)</f>
        <v>66.550000000000026</v>
      </c>
      <c r="P425" s="211">
        <f>M425*(G415)</f>
        <v>54.450000000000017</v>
      </c>
      <c r="Q425" s="211">
        <f>M425*(H415)</f>
        <v>48.400000000000013</v>
      </c>
      <c r="R425" s="211">
        <f>M425*(I415)</f>
        <v>54.450000000000017</v>
      </c>
      <c r="S425" s="211">
        <f>M425*(J415)</f>
        <v>36.300000000000004</v>
      </c>
      <c r="T425" s="211">
        <f>M425*(K415)</f>
        <v>30.250000000000007</v>
      </c>
      <c r="U425" s="211">
        <f>M425*(L415)</f>
        <v>24.200000000000006</v>
      </c>
      <c r="V425" s="211">
        <f>M425*(M415)</f>
        <v>18.150000000000002</v>
      </c>
      <c r="W425" s="211">
        <f>M425*(N415)</f>
        <v>16.940000000000005</v>
      </c>
      <c r="X425" s="211">
        <f>M425*(O415)</f>
        <v>15.730000000000004</v>
      </c>
      <c r="Y425" s="211">
        <f>M425*(P415)</f>
        <v>14.520000000000003</v>
      </c>
      <c r="Z425" s="211">
        <f>M425*(Q415)</f>
        <v>13.310000000000004</v>
      </c>
      <c r="AA425" s="211">
        <f>M425*(R415)</f>
        <v>12.100000000000003</v>
      </c>
      <c r="AB425" s="211">
        <f>M425*(S415)</f>
        <v>9.6800000000000033</v>
      </c>
      <c r="AC425" s="211">
        <f>M425*(T415)</f>
        <v>9.6800000000000033</v>
      </c>
      <c r="AD425" s="211">
        <f>M425*(U415)</f>
        <v>6.0500000000000016</v>
      </c>
      <c r="AE425" s="211">
        <f>M425*(V415)</f>
        <v>6.0500000000000016</v>
      </c>
      <c r="AF425" s="211">
        <f>M425*(W415)</f>
        <v>6.0500000000000016</v>
      </c>
      <c r="AG425" s="211">
        <f>M425*(X415)</f>
        <v>6.0500000000000016</v>
      </c>
      <c r="AH425" s="211">
        <f>M425*(Y415)</f>
        <v>6.0500000000000016</v>
      </c>
      <c r="AI425" s="211">
        <f>M425*(Z415)</f>
        <v>6.0500000000000016</v>
      </c>
      <c r="AJ425" s="211">
        <f>M425*(AA415)</f>
        <v>6.0500000000000016</v>
      </c>
      <c r="AK425" s="211">
        <f>M425*(AB415)</f>
        <v>6.0500000000000016</v>
      </c>
      <c r="AL425" s="211">
        <f>M425*(AC415)</f>
        <v>6.0500000000000016</v>
      </c>
      <c r="AM425" s="211">
        <f>M425*(AD415)</f>
        <v>6.0500000000000016</v>
      </c>
      <c r="AN425" s="211">
        <f>M425*(AE415)</f>
        <v>6.0500000000000016</v>
      </c>
    </row>
    <row r="426" spans="2:40" s="7" customFormat="1" ht="12" customHeight="1" outlineLevel="2">
      <c r="B426" s="245"/>
      <c r="C426" s="213" t="s">
        <v>762</v>
      </c>
      <c r="D426" s="213"/>
      <c r="E426" s="213"/>
      <c r="F426" s="213"/>
      <c r="G426" s="213"/>
      <c r="H426" s="213"/>
      <c r="I426" s="213"/>
      <c r="J426" s="213"/>
      <c r="K426" s="213"/>
      <c r="L426" s="213"/>
      <c r="M426" s="213"/>
      <c r="N426" s="211">
        <f>INDEX($C$348:$AN$370,MATCH("New Customers 1MS",$C$348:$C$370,0),MATCH($C426,$C$348:$AN$348,0))</f>
        <v>121.00000000000003</v>
      </c>
      <c r="O426" s="211">
        <f>N426*(E415)</f>
        <v>84.700000000000017</v>
      </c>
      <c r="P426" s="211">
        <f>N426*(F415)</f>
        <v>66.550000000000026</v>
      </c>
      <c r="Q426" s="211">
        <f>N426*(G415)</f>
        <v>54.450000000000017</v>
      </c>
      <c r="R426" s="211">
        <f>N426*(H415)</f>
        <v>48.400000000000013</v>
      </c>
      <c r="S426" s="211">
        <f>N426*(I415)</f>
        <v>54.450000000000017</v>
      </c>
      <c r="T426" s="211">
        <f>N426*(J415)</f>
        <v>36.300000000000004</v>
      </c>
      <c r="U426" s="211">
        <f>N426*(K415)</f>
        <v>30.250000000000007</v>
      </c>
      <c r="V426" s="211">
        <f>N426*(L415)</f>
        <v>24.200000000000006</v>
      </c>
      <c r="W426" s="211">
        <f>N426*(M415)</f>
        <v>18.150000000000002</v>
      </c>
      <c r="X426" s="211">
        <f>N426*(N415)</f>
        <v>16.940000000000005</v>
      </c>
      <c r="Y426" s="211">
        <f>N426*(O415)</f>
        <v>15.730000000000004</v>
      </c>
      <c r="Z426" s="211">
        <f>N426*(P415)</f>
        <v>14.520000000000003</v>
      </c>
      <c r="AA426" s="211">
        <f>N426*(Q415)</f>
        <v>13.310000000000004</v>
      </c>
      <c r="AB426" s="211">
        <f>N426*(R415)</f>
        <v>12.100000000000003</v>
      </c>
      <c r="AC426" s="211">
        <f>N426*(S415)</f>
        <v>9.6800000000000033</v>
      </c>
      <c r="AD426" s="211">
        <f>N426*(T415)</f>
        <v>9.6800000000000033</v>
      </c>
      <c r="AE426" s="211">
        <f>N426*(U415)</f>
        <v>6.0500000000000016</v>
      </c>
      <c r="AF426" s="211">
        <f>N426*(V415)</f>
        <v>6.0500000000000016</v>
      </c>
      <c r="AG426" s="211">
        <f>N426*(W415)</f>
        <v>6.0500000000000016</v>
      </c>
      <c r="AH426" s="211">
        <f>N426*(X415)</f>
        <v>6.0500000000000016</v>
      </c>
      <c r="AI426" s="211">
        <f>N426*(Y415)</f>
        <v>6.0500000000000016</v>
      </c>
      <c r="AJ426" s="211">
        <f>N426*(Z415)</f>
        <v>6.0500000000000016</v>
      </c>
      <c r="AK426" s="211">
        <f>N426*(AA415)</f>
        <v>6.0500000000000016</v>
      </c>
      <c r="AL426" s="211">
        <f>N426*(AB415)</f>
        <v>6.0500000000000016</v>
      </c>
      <c r="AM426" s="211">
        <f>N426*(AC415)</f>
        <v>6.0500000000000016</v>
      </c>
      <c r="AN426" s="211">
        <f>N426*(AD415)</f>
        <v>6.0500000000000016</v>
      </c>
    </row>
    <row r="427" spans="2:40" s="7" customFormat="1" ht="12" customHeight="1" outlineLevel="2">
      <c r="B427" s="245"/>
      <c r="C427" s="213" t="s">
        <v>763</v>
      </c>
      <c r="D427" s="213"/>
      <c r="E427" s="213"/>
      <c r="F427" s="213"/>
      <c r="G427" s="213"/>
      <c r="H427" s="213"/>
      <c r="I427" s="213"/>
      <c r="J427" s="213"/>
      <c r="K427" s="213"/>
      <c r="L427" s="213"/>
      <c r="M427" s="213"/>
      <c r="N427" s="213"/>
      <c r="O427" s="211">
        <f>INDEX($C$348:$AN$370,MATCH("New Customers 1MS",$C$348:$C$370,0),MATCH($C427,$C$348:$AN$348,0))</f>
        <v>26.400000000000002</v>
      </c>
      <c r="P427" s="211">
        <f>O427*(E415)</f>
        <v>18.48</v>
      </c>
      <c r="Q427" s="211">
        <f>O427*(F415)</f>
        <v>14.520000000000003</v>
      </c>
      <c r="R427" s="211">
        <f>O427*(G415)</f>
        <v>11.88</v>
      </c>
      <c r="S427" s="211">
        <f>O427*(H415)</f>
        <v>10.560000000000002</v>
      </c>
      <c r="T427" s="211">
        <f>O427*(I415)</f>
        <v>11.88</v>
      </c>
      <c r="U427" s="211">
        <f>O427*(J415)</f>
        <v>7.92</v>
      </c>
      <c r="V427" s="211">
        <f>O427*(K415)</f>
        <v>6.6000000000000005</v>
      </c>
      <c r="W427" s="211">
        <f>O427*(L415)</f>
        <v>5.2800000000000011</v>
      </c>
      <c r="X427" s="211">
        <f>O427*(M415)</f>
        <v>3.96</v>
      </c>
      <c r="Y427" s="211">
        <f>O427*(N415)</f>
        <v>3.6960000000000006</v>
      </c>
      <c r="Z427" s="211">
        <f>O427*(O415)</f>
        <v>3.4320000000000004</v>
      </c>
      <c r="AA427" s="211">
        <f>O427*(P415)</f>
        <v>3.1680000000000001</v>
      </c>
      <c r="AB427" s="211">
        <f>O427*(Q415)</f>
        <v>2.9040000000000004</v>
      </c>
      <c r="AC427" s="211">
        <f>O427*(R415)</f>
        <v>2.6400000000000006</v>
      </c>
      <c r="AD427" s="211">
        <f>O427*(S415)</f>
        <v>2.1120000000000001</v>
      </c>
      <c r="AE427" s="211">
        <f>O427*(T415)</f>
        <v>2.1120000000000001</v>
      </c>
      <c r="AF427" s="211">
        <f>O427*(U415)</f>
        <v>1.3200000000000003</v>
      </c>
      <c r="AG427" s="211">
        <f>O427*(V415)</f>
        <v>1.3200000000000003</v>
      </c>
      <c r="AH427" s="211">
        <f>O427*(W415)</f>
        <v>1.3200000000000003</v>
      </c>
      <c r="AI427" s="211">
        <f>O427*(X415)</f>
        <v>1.3200000000000003</v>
      </c>
      <c r="AJ427" s="211">
        <f>O427*(Y415)</f>
        <v>1.3200000000000003</v>
      </c>
      <c r="AK427" s="211">
        <f>O427*(Z415)</f>
        <v>1.3200000000000003</v>
      </c>
      <c r="AL427" s="211">
        <f>O427*(AA415)</f>
        <v>1.3200000000000003</v>
      </c>
      <c r="AM427" s="211">
        <f>O427*(AB415)</f>
        <v>1.3200000000000003</v>
      </c>
      <c r="AN427" s="211">
        <f>O427*(AC415)</f>
        <v>1.3200000000000003</v>
      </c>
    </row>
    <row r="428" spans="2:40" s="7" customFormat="1" ht="12" customHeight="1" outlineLevel="2">
      <c r="B428" s="245"/>
      <c r="C428" s="213" t="s">
        <v>764</v>
      </c>
      <c r="D428" s="213"/>
      <c r="E428" s="213"/>
      <c r="F428" s="213"/>
      <c r="G428" s="213"/>
      <c r="H428" s="213"/>
      <c r="I428" s="213"/>
      <c r="J428" s="213"/>
      <c r="K428" s="213"/>
      <c r="L428" s="213"/>
      <c r="M428" s="213"/>
      <c r="N428" s="213"/>
      <c r="O428" s="213"/>
      <c r="P428" s="211">
        <f>INDEX($C$348:$AN$370,MATCH("New Customers 1MS",$C$348:$C$370,0),MATCH($C428,$C$348:$AN$348,0))</f>
        <v>26.400000000000002</v>
      </c>
      <c r="Q428" s="211">
        <f>P428*(E415)</f>
        <v>18.48</v>
      </c>
      <c r="R428" s="211">
        <f>P428*(F415)</f>
        <v>14.520000000000003</v>
      </c>
      <c r="S428" s="211">
        <f>P428*(G415)</f>
        <v>11.88</v>
      </c>
      <c r="T428" s="211">
        <f>P428*(H415)</f>
        <v>10.560000000000002</v>
      </c>
      <c r="U428" s="211">
        <f>P428*(I415)</f>
        <v>11.88</v>
      </c>
      <c r="V428" s="211">
        <f>P428*(J415)</f>
        <v>7.92</v>
      </c>
      <c r="W428" s="211">
        <f>P428*(K415)</f>
        <v>6.6000000000000005</v>
      </c>
      <c r="X428" s="211">
        <f>P428*(L415)</f>
        <v>5.2800000000000011</v>
      </c>
      <c r="Y428" s="211">
        <f>P428*(M415)</f>
        <v>3.96</v>
      </c>
      <c r="Z428" s="211">
        <f>P428*(N415)</f>
        <v>3.6960000000000006</v>
      </c>
      <c r="AA428" s="211">
        <f>P428*(O415)</f>
        <v>3.4320000000000004</v>
      </c>
      <c r="AB428" s="211">
        <f>P428*(P415)</f>
        <v>3.1680000000000001</v>
      </c>
      <c r="AC428" s="211">
        <f>P428*(Q415)</f>
        <v>2.9040000000000004</v>
      </c>
      <c r="AD428" s="211">
        <f>P428*(R415)</f>
        <v>2.6400000000000006</v>
      </c>
      <c r="AE428" s="211">
        <f>P428*(S415)</f>
        <v>2.1120000000000001</v>
      </c>
      <c r="AF428" s="211">
        <f>P428*(T415)</f>
        <v>2.1120000000000001</v>
      </c>
      <c r="AG428" s="211">
        <f>P428*(U415)</f>
        <v>1.3200000000000003</v>
      </c>
      <c r="AH428" s="211">
        <f>P428*(V415)</f>
        <v>1.3200000000000003</v>
      </c>
      <c r="AI428" s="211">
        <f>P428*(W415)</f>
        <v>1.3200000000000003</v>
      </c>
      <c r="AJ428" s="211">
        <f>P428*(X415)</f>
        <v>1.3200000000000003</v>
      </c>
      <c r="AK428" s="211">
        <f>P428*(Y415)</f>
        <v>1.3200000000000003</v>
      </c>
      <c r="AL428" s="211">
        <f>P428*(Z415)</f>
        <v>1.3200000000000003</v>
      </c>
      <c r="AM428" s="211">
        <f>P428*(AA415)</f>
        <v>1.3200000000000003</v>
      </c>
      <c r="AN428" s="211">
        <f>P428*(AB415)</f>
        <v>1.3200000000000003</v>
      </c>
    </row>
    <row r="429" spans="2:40" s="7" customFormat="1" ht="12" customHeight="1" outlineLevel="2">
      <c r="B429" s="245"/>
      <c r="C429" s="213" t="s">
        <v>765</v>
      </c>
      <c r="D429" s="213"/>
      <c r="E429" s="213"/>
      <c r="F429" s="213"/>
      <c r="G429" s="213"/>
      <c r="H429" s="213"/>
      <c r="I429" s="213"/>
      <c r="J429" s="213"/>
      <c r="K429" s="213"/>
      <c r="L429" s="213"/>
      <c r="M429" s="213"/>
      <c r="N429" s="213"/>
      <c r="O429" s="213"/>
      <c r="P429" s="213"/>
      <c r="Q429" s="211">
        <f>INDEX($C$348:$AN$370,MATCH("New Customers 1MS",$C$348:$C$370,0),MATCH($C429,$C$348:$AN$348,0))</f>
        <v>41.800000000000004</v>
      </c>
      <c r="R429" s="211">
        <f>Q429*(E415)</f>
        <v>29.26</v>
      </c>
      <c r="S429" s="211">
        <f>Q429*(F415)</f>
        <v>22.990000000000006</v>
      </c>
      <c r="T429" s="211">
        <f>Q429*(G415)</f>
        <v>18.810000000000002</v>
      </c>
      <c r="U429" s="211">
        <f>Q429*(H415)</f>
        <v>16.720000000000002</v>
      </c>
      <c r="V429" s="211">
        <f>Q429*(I415)</f>
        <v>18.810000000000002</v>
      </c>
      <c r="W429" s="211">
        <f>Q429*(J415)</f>
        <v>12.540000000000001</v>
      </c>
      <c r="X429" s="211">
        <f>Q429*(K415)</f>
        <v>10.450000000000001</v>
      </c>
      <c r="Y429" s="211">
        <f>Q429*(L415)</f>
        <v>8.3600000000000012</v>
      </c>
      <c r="Z429" s="211">
        <f>Q429*(M415)</f>
        <v>6.2700000000000005</v>
      </c>
      <c r="AA429" s="211">
        <f>Q429*(N415)</f>
        <v>5.8520000000000012</v>
      </c>
      <c r="AB429" s="211">
        <f>Q429*(O415)</f>
        <v>5.4340000000000011</v>
      </c>
      <c r="AC429" s="211">
        <f>Q429*(P415)</f>
        <v>5.016</v>
      </c>
      <c r="AD429" s="211">
        <f>Q429*(Q415)</f>
        <v>4.5980000000000008</v>
      </c>
      <c r="AE429" s="211">
        <f>Q429*(R415)</f>
        <v>4.1800000000000006</v>
      </c>
      <c r="AF429" s="211">
        <f>Q429*(S415)</f>
        <v>3.3440000000000003</v>
      </c>
      <c r="AG429" s="211">
        <f>Q429*(T415)</f>
        <v>3.3440000000000003</v>
      </c>
      <c r="AH429" s="211">
        <f>Q429*(U415)</f>
        <v>2.0900000000000003</v>
      </c>
      <c r="AI429" s="211">
        <f>Q429*(V415)</f>
        <v>2.0900000000000003</v>
      </c>
      <c r="AJ429" s="211">
        <f>Q429*(W415)</f>
        <v>2.0900000000000003</v>
      </c>
      <c r="AK429" s="211">
        <f>Q429*(X415)</f>
        <v>2.0900000000000003</v>
      </c>
      <c r="AL429" s="211">
        <f>Q429*(Y415)</f>
        <v>2.0900000000000003</v>
      </c>
      <c r="AM429" s="211">
        <f>Q429*(Z415)</f>
        <v>2.0900000000000003</v>
      </c>
      <c r="AN429" s="211">
        <f>Q429*(AA415)</f>
        <v>2.0900000000000003</v>
      </c>
    </row>
    <row r="430" spans="2:40" s="7" customFormat="1" ht="12" customHeight="1" outlineLevel="2">
      <c r="B430" s="245"/>
      <c r="C430" s="213" t="s">
        <v>766</v>
      </c>
      <c r="D430" s="213"/>
      <c r="E430" s="213"/>
      <c r="F430" s="213"/>
      <c r="G430" s="213"/>
      <c r="H430" s="213"/>
      <c r="I430" s="213"/>
      <c r="J430" s="213"/>
      <c r="K430" s="213"/>
      <c r="L430" s="213"/>
      <c r="M430" s="213"/>
      <c r="N430" s="213"/>
      <c r="O430" s="213"/>
      <c r="P430" s="213"/>
      <c r="Q430" s="213"/>
      <c r="R430" s="211">
        <f>INDEX($C$348:$AN$370,MATCH("New Customers 1MS",$C$348:$C$370,0),MATCH($C430,$C$348:$AN$348,0))</f>
        <v>50.160000000000004</v>
      </c>
      <c r="S430" s="211">
        <f>R430*(E415)</f>
        <v>35.112000000000002</v>
      </c>
      <c r="T430" s="211">
        <f>R430*(F415)</f>
        <v>27.588000000000005</v>
      </c>
      <c r="U430" s="211">
        <f>R430*(G415)</f>
        <v>22.572000000000003</v>
      </c>
      <c r="V430" s="211">
        <f>R430*(H415)</f>
        <v>20.064000000000004</v>
      </c>
      <c r="W430" s="211">
        <f>R430*(I415)</f>
        <v>22.572000000000003</v>
      </c>
      <c r="X430" s="211">
        <f>R430*(J415)</f>
        <v>15.048</v>
      </c>
      <c r="Y430" s="211">
        <f>R430*(K415)</f>
        <v>12.540000000000001</v>
      </c>
      <c r="Z430" s="211">
        <f>R430*(L415)</f>
        <v>10.032000000000002</v>
      </c>
      <c r="AA430" s="211">
        <f>R430*(M415)</f>
        <v>7.524</v>
      </c>
      <c r="AB430" s="211">
        <f>R430*(N415)</f>
        <v>7.0224000000000011</v>
      </c>
      <c r="AC430" s="211">
        <f>R430*(O415)</f>
        <v>6.5208000000000004</v>
      </c>
      <c r="AD430" s="211">
        <f>R430*(P415)</f>
        <v>6.0192000000000005</v>
      </c>
      <c r="AE430" s="211">
        <f>R430*(Q415)</f>
        <v>5.5176000000000007</v>
      </c>
      <c r="AF430" s="211">
        <f>R430*(R415)</f>
        <v>5.0160000000000009</v>
      </c>
      <c r="AG430" s="211">
        <f>R430*(S415)</f>
        <v>4.0128000000000004</v>
      </c>
      <c r="AH430" s="211">
        <f>R430*(T415)</f>
        <v>4.0128000000000004</v>
      </c>
      <c r="AI430" s="211">
        <f>R430*(U415)</f>
        <v>2.5080000000000005</v>
      </c>
      <c r="AJ430" s="211">
        <f>R430*(V415)</f>
        <v>2.5080000000000005</v>
      </c>
      <c r="AK430" s="211">
        <f>R430*(W415)</f>
        <v>2.5080000000000005</v>
      </c>
      <c r="AL430" s="211">
        <f>R430*(X415)</f>
        <v>2.5080000000000005</v>
      </c>
      <c r="AM430" s="211">
        <f>R430*(Y415)</f>
        <v>2.5080000000000005</v>
      </c>
      <c r="AN430" s="211">
        <f>R430*(Z415)</f>
        <v>2.5080000000000005</v>
      </c>
    </row>
    <row r="431" spans="2:40" s="7" customFormat="1" ht="12" customHeight="1" outlineLevel="2">
      <c r="B431" s="245"/>
      <c r="C431" s="213" t="s">
        <v>767</v>
      </c>
      <c r="D431" s="213"/>
      <c r="E431" s="213"/>
      <c r="F431" s="213"/>
      <c r="G431" s="213"/>
      <c r="H431" s="213"/>
      <c r="I431" s="213"/>
      <c r="J431" s="213"/>
      <c r="K431" s="213"/>
      <c r="L431" s="213"/>
      <c r="M431" s="213"/>
      <c r="N431" s="213"/>
      <c r="O431" s="213"/>
      <c r="P431" s="213"/>
      <c r="Q431" s="213"/>
      <c r="R431" s="213"/>
      <c r="S431" s="211">
        <f>INDEX($C$348:$AN$370,MATCH("New Customers 1MS",$C$348:$C$370,0),MATCH($C431,$C$348:$AN$348,0))</f>
        <v>55.176000000000016</v>
      </c>
      <c r="T431" s="211">
        <f>S431*(E415)</f>
        <v>38.623200000000011</v>
      </c>
      <c r="U431" s="211">
        <f>S431*(F415)</f>
        <v>30.346800000000012</v>
      </c>
      <c r="V431" s="211">
        <f>S431*(G415)</f>
        <v>24.829200000000007</v>
      </c>
      <c r="W431" s="211">
        <f>S431*(H415)</f>
        <v>22.070400000000006</v>
      </c>
      <c r="X431" s="211">
        <f>S431*(I415)</f>
        <v>24.829200000000007</v>
      </c>
      <c r="Y431" s="211">
        <f>S431*(J415)</f>
        <v>16.552800000000005</v>
      </c>
      <c r="Z431" s="211">
        <f>S431*(K415)</f>
        <v>13.794000000000004</v>
      </c>
      <c r="AA431" s="211">
        <f>S431*(L415)</f>
        <v>11.035200000000003</v>
      </c>
      <c r="AB431" s="211">
        <f>S431*(M415)</f>
        <v>8.2764000000000024</v>
      </c>
      <c r="AC431" s="211">
        <f>S431*(N415)</f>
        <v>7.7246400000000026</v>
      </c>
      <c r="AD431" s="211">
        <f>S431*(O415)</f>
        <v>7.1728800000000019</v>
      </c>
      <c r="AE431" s="211">
        <f>S431*(P415)</f>
        <v>6.6211200000000021</v>
      </c>
      <c r="AF431" s="211">
        <f>S431*(Q415)</f>
        <v>6.0693600000000014</v>
      </c>
      <c r="AG431" s="211">
        <f>S431*(R415)</f>
        <v>5.5176000000000016</v>
      </c>
      <c r="AH431" s="211">
        <f>S431*(S415)</f>
        <v>4.4140800000000011</v>
      </c>
      <c r="AI431" s="211">
        <f>S431*(T415)</f>
        <v>4.4140800000000011</v>
      </c>
      <c r="AJ431" s="211">
        <f>S431*(U415)</f>
        <v>2.7588000000000008</v>
      </c>
      <c r="AK431" s="211">
        <f>S431*(V415)</f>
        <v>2.7588000000000008</v>
      </c>
      <c r="AL431" s="211">
        <f>S431*(W415)</f>
        <v>2.7588000000000008</v>
      </c>
      <c r="AM431" s="211">
        <f>S431*(X415)</f>
        <v>2.7588000000000008</v>
      </c>
      <c r="AN431" s="211">
        <f>S431*(Y415)</f>
        <v>2.7588000000000008</v>
      </c>
    </row>
    <row r="432" spans="2:40" s="7" customFormat="1" ht="12" customHeight="1" outlineLevel="2">
      <c r="B432" s="245"/>
      <c r="C432" s="213" t="s">
        <v>768</v>
      </c>
      <c r="D432" s="213"/>
      <c r="E432" s="213"/>
      <c r="F432" s="213"/>
      <c r="G432" s="213"/>
      <c r="H432" s="213"/>
      <c r="I432" s="213"/>
      <c r="J432" s="213"/>
      <c r="K432" s="213"/>
      <c r="L432" s="213"/>
      <c r="M432" s="213"/>
      <c r="N432" s="213"/>
      <c r="O432" s="213"/>
      <c r="P432" s="213"/>
      <c r="Q432" s="213"/>
      <c r="R432" s="213"/>
      <c r="S432" s="213"/>
      <c r="T432" s="211">
        <f>INDEX($C$348:$AN$370,MATCH("New Customers 1MS",$C$348:$C$370,0),MATCH($C432,$C$348:$AN$348,0))</f>
        <v>30.346800000000009</v>
      </c>
      <c r="U432" s="211">
        <f>T432*(E415)</f>
        <v>21.242760000000004</v>
      </c>
      <c r="V432" s="211">
        <f>T432*(F415)</f>
        <v>16.690740000000005</v>
      </c>
      <c r="W432" s="211">
        <f>T432*(G415)</f>
        <v>13.656060000000004</v>
      </c>
      <c r="X432" s="211">
        <f>T432*(H415)</f>
        <v>12.138720000000005</v>
      </c>
      <c r="Y432" s="211">
        <f>T432*(I415)</f>
        <v>13.656060000000004</v>
      </c>
      <c r="Z432" s="211">
        <f>T432*(J415)</f>
        <v>9.104040000000003</v>
      </c>
      <c r="AA432" s="211">
        <f>T432*(K415)</f>
        <v>7.5867000000000022</v>
      </c>
      <c r="AB432" s="211">
        <f>T432*(L415)</f>
        <v>6.0693600000000023</v>
      </c>
      <c r="AC432" s="211">
        <f>T432*(M415)</f>
        <v>4.5520200000000015</v>
      </c>
      <c r="AD432" s="211">
        <f>T432*(N415)</f>
        <v>4.2485520000000019</v>
      </c>
      <c r="AE432" s="211">
        <f>T432*(O415)</f>
        <v>3.9450840000000014</v>
      </c>
      <c r="AF432" s="211">
        <f>T432*(P415)</f>
        <v>3.6416160000000009</v>
      </c>
      <c r="AG432" s="211">
        <f>T432*(Q415)</f>
        <v>3.3381480000000008</v>
      </c>
      <c r="AH432" s="211">
        <f>T432*(R415)</f>
        <v>3.0346800000000012</v>
      </c>
      <c r="AI432" s="211">
        <f>T432*(S415)</f>
        <v>2.4277440000000006</v>
      </c>
      <c r="AJ432" s="211">
        <f>T432*(T415)</f>
        <v>2.4277440000000006</v>
      </c>
      <c r="AK432" s="211">
        <f>T432*(U415)</f>
        <v>1.5173400000000006</v>
      </c>
      <c r="AL432" s="211">
        <f>T432*(V415)</f>
        <v>1.5173400000000006</v>
      </c>
      <c r="AM432" s="211">
        <f>T432*(W415)</f>
        <v>1.5173400000000006</v>
      </c>
      <c r="AN432" s="211">
        <f>T432*(X415)</f>
        <v>1.5173400000000006</v>
      </c>
    </row>
    <row r="433" spans="2:40" s="7" customFormat="1" ht="12" customHeight="1" outlineLevel="2">
      <c r="B433" s="245"/>
      <c r="C433" s="213" t="s">
        <v>769</v>
      </c>
      <c r="D433" s="213"/>
      <c r="E433" s="213"/>
      <c r="F433" s="213"/>
      <c r="G433" s="213"/>
      <c r="H433" s="213"/>
      <c r="I433" s="213"/>
      <c r="J433" s="213"/>
      <c r="K433" s="213"/>
      <c r="L433" s="213"/>
      <c r="M433" s="213"/>
      <c r="N433" s="213"/>
      <c r="O433" s="213"/>
      <c r="P433" s="213"/>
      <c r="Q433" s="213"/>
      <c r="R433" s="213"/>
      <c r="S433" s="213"/>
      <c r="T433" s="213"/>
      <c r="U433" s="211">
        <f>INDEX($C$348:$AN$370,MATCH("New Customers 1MS",$C$348:$C$370,0),MATCH($C433,$C$348:$AN$348,0))</f>
        <v>33.381480000000018</v>
      </c>
      <c r="V433" s="211">
        <f>U433*(E415)</f>
        <v>23.367036000000009</v>
      </c>
      <c r="W433" s="211">
        <f>U433*(F415)</f>
        <v>18.359814000000011</v>
      </c>
      <c r="X433" s="211">
        <f>U433*(G415)</f>
        <v>15.021666000000009</v>
      </c>
      <c r="Y433" s="211">
        <f>U433*(H415)</f>
        <v>13.352592000000008</v>
      </c>
      <c r="Z433" s="211">
        <f>U433*(I415)</f>
        <v>15.021666000000009</v>
      </c>
      <c r="AA433" s="211">
        <f>U433*(J415)</f>
        <v>10.014444000000005</v>
      </c>
      <c r="AB433" s="211">
        <f>U433*(K415)</f>
        <v>8.3453700000000044</v>
      </c>
      <c r="AC433" s="211">
        <f>U433*(L415)</f>
        <v>6.6762960000000042</v>
      </c>
      <c r="AD433" s="211">
        <f>U433*(M415)</f>
        <v>5.0072220000000023</v>
      </c>
      <c r="AE433" s="211">
        <f>U433*(N415)</f>
        <v>4.6734072000000033</v>
      </c>
      <c r="AF433" s="211">
        <f>U433*(O415)</f>
        <v>4.3395924000000026</v>
      </c>
      <c r="AG433" s="211">
        <f>U433*(P415)</f>
        <v>4.0057776000000018</v>
      </c>
      <c r="AH433" s="211">
        <f>U433*(Q415)</f>
        <v>3.671962800000002</v>
      </c>
      <c r="AI433" s="211">
        <f>U433*(R415)</f>
        <v>3.3381480000000021</v>
      </c>
      <c r="AJ433" s="211">
        <f>U433*(S415)</f>
        <v>2.6705184000000015</v>
      </c>
      <c r="AK433" s="211">
        <f>U433*(T415)</f>
        <v>2.6705184000000015</v>
      </c>
      <c r="AL433" s="211">
        <f>U433*(U415)</f>
        <v>1.6690740000000011</v>
      </c>
      <c r="AM433" s="211">
        <f>U433*(V415)</f>
        <v>1.6690740000000011</v>
      </c>
      <c r="AN433" s="211">
        <f>U433*(W415)</f>
        <v>1.6690740000000011</v>
      </c>
    </row>
    <row r="434" spans="2:40" s="7" customFormat="1" ht="12" customHeight="1" outlineLevel="2">
      <c r="B434" s="245"/>
      <c r="C434" s="213" t="s">
        <v>770</v>
      </c>
      <c r="D434" s="213"/>
      <c r="E434" s="213"/>
      <c r="F434" s="213"/>
      <c r="G434" s="213"/>
      <c r="H434" s="213"/>
      <c r="I434" s="213"/>
      <c r="J434" s="213"/>
      <c r="K434" s="213"/>
      <c r="L434" s="213"/>
      <c r="M434" s="213"/>
      <c r="N434" s="213"/>
      <c r="O434" s="213"/>
      <c r="P434" s="213"/>
      <c r="Q434" s="213"/>
      <c r="R434" s="213"/>
      <c r="S434" s="213"/>
      <c r="T434" s="213"/>
      <c r="U434" s="213"/>
      <c r="V434" s="211">
        <f>INDEX($C$348:$AN$370,MATCH("New Customers 1MS",$C$348:$C$370,0),MATCH($C434,$C$348:$AN$348,0))</f>
        <v>36.719628000000021</v>
      </c>
      <c r="W434" s="211">
        <f>V434*(E415)</f>
        <v>25.703739600000013</v>
      </c>
      <c r="X434" s="211">
        <f>V434*(F415)</f>
        <v>20.195795400000012</v>
      </c>
      <c r="Y434" s="211">
        <f>V434*(G415)</f>
        <v>16.523832600000009</v>
      </c>
      <c r="Z434" s="211">
        <f>V434*(H415)</f>
        <v>14.68785120000001</v>
      </c>
      <c r="AA434" s="211">
        <f>V434*(I415)</f>
        <v>16.523832600000009</v>
      </c>
      <c r="AB434" s="211">
        <f>V434*(J415)</f>
        <v>11.015888400000007</v>
      </c>
      <c r="AC434" s="211">
        <f>V434*(K415)</f>
        <v>9.1799070000000054</v>
      </c>
      <c r="AD434" s="211">
        <f>V434*(L415)</f>
        <v>7.3439256000000048</v>
      </c>
      <c r="AE434" s="211">
        <f>V434*(M415)</f>
        <v>5.5079442000000034</v>
      </c>
      <c r="AF434" s="211">
        <f>V434*(N415)</f>
        <v>5.1407479200000035</v>
      </c>
      <c r="AG434" s="211">
        <f>V434*(O415)</f>
        <v>4.7735516400000026</v>
      </c>
      <c r="AH434" s="211">
        <f>V434*(P415)</f>
        <v>4.4063553600000027</v>
      </c>
      <c r="AI434" s="211">
        <f>V434*(Q415)</f>
        <v>4.0391590800000028</v>
      </c>
      <c r="AJ434" s="211">
        <f>V434*(R415)</f>
        <v>3.6719628000000024</v>
      </c>
      <c r="AK434" s="211">
        <f>V434*(S415)</f>
        <v>2.9375702400000017</v>
      </c>
      <c r="AL434" s="211">
        <f>V434*(T415)</f>
        <v>2.9375702400000017</v>
      </c>
      <c r="AM434" s="211">
        <f>V434*(U415)</f>
        <v>1.8359814000000012</v>
      </c>
      <c r="AN434" s="211">
        <f>V434*(V415)</f>
        <v>1.8359814000000012</v>
      </c>
    </row>
    <row r="435" spans="2:40" s="7" customFormat="1" ht="12" customHeight="1" outlineLevel="2">
      <c r="B435" s="245"/>
      <c r="C435" s="213" t="s">
        <v>771</v>
      </c>
      <c r="D435" s="213"/>
      <c r="E435" s="213"/>
      <c r="F435" s="213"/>
      <c r="G435" s="213"/>
      <c r="H435" s="213"/>
      <c r="I435" s="213"/>
      <c r="J435" s="213"/>
      <c r="K435" s="213"/>
      <c r="L435" s="213"/>
      <c r="M435" s="213"/>
      <c r="N435" s="213"/>
      <c r="O435" s="213"/>
      <c r="P435" s="213"/>
      <c r="Q435" s="213"/>
      <c r="R435" s="213"/>
      <c r="S435" s="213"/>
      <c r="T435" s="213"/>
      <c r="U435" s="213"/>
      <c r="V435" s="213"/>
      <c r="W435" s="211">
        <f>INDEX($C$348:$AN$370,MATCH("New Customers 1MS",$C$348:$C$370,0),MATCH($C435,$C$348:$AN$348,0))</f>
        <v>38.555609400000037</v>
      </c>
      <c r="X435" s="211">
        <f>W435*(E415)</f>
        <v>26.988926580000026</v>
      </c>
      <c r="Y435" s="211">
        <f>W435*(F415)</f>
        <v>21.20558517000002</v>
      </c>
      <c r="Z435" s="211">
        <f>W435*(G415)</f>
        <v>17.350024230000017</v>
      </c>
      <c r="AA435" s="211">
        <f>W435*(H415)</f>
        <v>15.422243760000015</v>
      </c>
      <c r="AB435" s="211">
        <f>W435*(I415)</f>
        <v>17.350024230000017</v>
      </c>
      <c r="AC435" s="211">
        <f>W435*(J415)</f>
        <v>11.566682820000011</v>
      </c>
      <c r="AD435" s="211">
        <f>W435*(K415)</f>
        <v>9.6389023500000093</v>
      </c>
      <c r="AE435" s="211">
        <f>W435*(L415)</f>
        <v>7.7111218800000074</v>
      </c>
      <c r="AF435" s="211">
        <f>W435*(M415)</f>
        <v>5.7833414100000056</v>
      </c>
      <c r="AG435" s="211">
        <f>W435*(N415)</f>
        <v>5.3977853160000056</v>
      </c>
      <c r="AH435" s="211">
        <f>W435*(O415)</f>
        <v>5.0122292220000046</v>
      </c>
      <c r="AI435" s="211">
        <f>W435*(P415)</f>
        <v>4.6266731280000046</v>
      </c>
      <c r="AJ435" s="211">
        <f>W435*(Q415)</f>
        <v>4.2411170340000037</v>
      </c>
      <c r="AK435" s="211">
        <f>W435*(R415)</f>
        <v>3.8555609400000037</v>
      </c>
      <c r="AL435" s="211">
        <f>W435*(S415)</f>
        <v>3.0844487520000032</v>
      </c>
      <c r="AM435" s="211">
        <f>W435*(T415)</f>
        <v>3.0844487520000032</v>
      </c>
      <c r="AN435" s="211">
        <f>W435*(U415)</f>
        <v>1.9277804700000019</v>
      </c>
    </row>
    <row r="436" spans="2:40" s="7" customFormat="1" ht="12" customHeight="1" outlineLevel="2">
      <c r="B436" s="245"/>
      <c r="C436" s="213" t="s">
        <v>772</v>
      </c>
      <c r="D436" s="213"/>
      <c r="E436" s="213"/>
      <c r="F436" s="213"/>
      <c r="G436" s="213"/>
      <c r="H436" s="213"/>
      <c r="I436" s="213"/>
      <c r="J436" s="213"/>
      <c r="K436" s="213"/>
      <c r="L436" s="213"/>
      <c r="M436" s="213"/>
      <c r="N436" s="213"/>
      <c r="O436" s="213"/>
      <c r="P436" s="213"/>
      <c r="Q436" s="213"/>
      <c r="R436" s="213"/>
      <c r="S436" s="213"/>
      <c r="T436" s="213"/>
      <c r="U436" s="213"/>
      <c r="V436" s="213"/>
      <c r="W436" s="213"/>
      <c r="X436" s="211">
        <f>INDEX($C$348:$AN$370,MATCH("New Customers 1MS",$C$348:$C$370,0),MATCH($C436,$C$348:$AN$348,0))</f>
        <v>40.483389870000025</v>
      </c>
      <c r="Y436" s="211">
        <f>X436*(E415)</f>
        <v>28.338372909000014</v>
      </c>
      <c r="Z436" s="211">
        <f>X436*(F415)</f>
        <v>22.265864428500016</v>
      </c>
      <c r="AA436" s="211">
        <f>X436*(G415)</f>
        <v>18.217525441500012</v>
      </c>
      <c r="AB436" s="211">
        <f>X436*(H415)</f>
        <v>16.193355948000011</v>
      </c>
      <c r="AC436" s="211">
        <f>X436*(I415)</f>
        <v>18.217525441500012</v>
      </c>
      <c r="AD436" s="211">
        <f>X436*(J415)</f>
        <v>12.145016961000007</v>
      </c>
      <c r="AE436" s="211">
        <f>X436*(K415)</f>
        <v>10.120847467500006</v>
      </c>
      <c r="AF436" s="211">
        <f>X436*(L415)</f>
        <v>8.0966779740000057</v>
      </c>
      <c r="AG436" s="211">
        <f>X436*(M415)</f>
        <v>6.0725084805000034</v>
      </c>
      <c r="AH436" s="211">
        <f>X436*(N415)</f>
        <v>5.6676745818000036</v>
      </c>
      <c r="AI436" s="211">
        <f>X436*(O415)</f>
        <v>5.262840683100003</v>
      </c>
      <c r="AJ436" s="211">
        <f>X436*(P415)</f>
        <v>4.8580067844000032</v>
      </c>
      <c r="AK436" s="211">
        <f>X436*(Q415)</f>
        <v>4.4531728857000026</v>
      </c>
      <c r="AL436" s="211">
        <f>X436*(R415)</f>
        <v>4.0483389870000028</v>
      </c>
      <c r="AM436" s="211">
        <f>X436*(S415)</f>
        <v>3.238671189600002</v>
      </c>
      <c r="AN436" s="211">
        <f>X436*(T415)</f>
        <v>3.238671189600002</v>
      </c>
    </row>
    <row r="437" spans="2:40" s="7" customFormat="1" ht="12" customHeight="1" outlineLevel="2">
      <c r="B437" s="245"/>
      <c r="C437" s="213" t="s">
        <v>773</v>
      </c>
      <c r="D437" s="213"/>
      <c r="E437" s="213"/>
      <c r="F437" s="213"/>
      <c r="G437" s="213"/>
      <c r="H437" s="213"/>
      <c r="I437" s="213"/>
      <c r="J437" s="213"/>
      <c r="K437" s="213"/>
      <c r="L437" s="213"/>
      <c r="M437" s="213"/>
      <c r="N437" s="213"/>
      <c r="O437" s="213"/>
      <c r="P437" s="213"/>
      <c r="Q437" s="213"/>
      <c r="R437" s="213"/>
      <c r="S437" s="213"/>
      <c r="T437" s="213"/>
      <c r="U437" s="213"/>
      <c r="V437" s="213"/>
      <c r="W437" s="213"/>
      <c r="X437" s="213"/>
      <c r="Y437" s="211">
        <f>INDEX($C$348:$AN$370,MATCH("New Customers 1MS",$C$348:$C$370,0),MATCH($C437,$C$348:$AN$348,0))</f>
        <v>42.507559363500029</v>
      </c>
      <c r="Z437" s="211">
        <f>Y437*(E415)</f>
        <v>29.755291554450018</v>
      </c>
      <c r="AA437" s="211">
        <f>Y437*(F415)</f>
        <v>23.379157649925016</v>
      </c>
      <c r="AB437" s="211">
        <f>Y437*(G415)</f>
        <v>19.128401713575013</v>
      </c>
      <c r="AC437" s="211">
        <f>Y437*(H415)</f>
        <v>17.003023745400011</v>
      </c>
      <c r="AD437" s="211">
        <f>Y437*(I415)</f>
        <v>19.128401713575013</v>
      </c>
      <c r="AE437" s="211">
        <f>Y437*(J415)</f>
        <v>12.752267809050009</v>
      </c>
      <c r="AF437" s="211">
        <f>Y437*(K415)</f>
        <v>10.626889840875007</v>
      </c>
      <c r="AG437" s="211">
        <f>Y437*(L415)</f>
        <v>8.5015118727000054</v>
      </c>
      <c r="AH437" s="211">
        <f>Y437*(M415)</f>
        <v>6.3761339045250045</v>
      </c>
      <c r="AI437" s="211">
        <f>Y437*(N415)</f>
        <v>5.951058310890005</v>
      </c>
      <c r="AJ437" s="211">
        <f>Y437*(O415)</f>
        <v>5.5259827172550038</v>
      </c>
      <c r="AK437" s="211">
        <f>Y437*(P415)</f>
        <v>5.1009071236200034</v>
      </c>
      <c r="AL437" s="211">
        <f>Y437*(Q415)</f>
        <v>4.6758315299850031</v>
      </c>
      <c r="AM437" s="211">
        <f>Y437*(R415)</f>
        <v>4.2507559363500027</v>
      </c>
      <c r="AN437" s="211">
        <f>Y437*(S415)</f>
        <v>3.4006047490800024</v>
      </c>
    </row>
    <row r="438" spans="2:40" s="7" customFormat="1" ht="12" customHeight="1" outlineLevel="2">
      <c r="B438" s="245"/>
      <c r="C438" s="213" t="s">
        <v>774</v>
      </c>
      <c r="D438" s="213"/>
      <c r="E438" s="213"/>
      <c r="F438" s="213"/>
      <c r="G438" s="213"/>
      <c r="H438" s="213"/>
      <c r="I438" s="213"/>
      <c r="J438" s="213"/>
      <c r="K438" s="213"/>
      <c r="L438" s="213"/>
      <c r="M438" s="213"/>
      <c r="N438" s="213"/>
      <c r="O438" s="213"/>
      <c r="P438" s="213"/>
      <c r="Q438" s="213"/>
      <c r="R438" s="213"/>
      <c r="S438" s="213"/>
      <c r="T438" s="213"/>
      <c r="U438" s="213"/>
      <c r="V438" s="213"/>
      <c r="W438" s="213"/>
      <c r="X438" s="213"/>
      <c r="Y438" s="213"/>
      <c r="Z438" s="211">
        <f>INDEX($C$348:$AN$370,MATCH("New Customers 1MS",$C$348:$C$370,0),MATCH($C438,$C$348:$AN$348,0))</f>
        <v>44.632937331675038</v>
      </c>
      <c r="AA438" s="211">
        <f>Z438*(E415)</f>
        <v>31.243056132172523</v>
      </c>
      <c r="AB438" s="211">
        <f>Z438*(F415)</f>
        <v>24.548115532421274</v>
      </c>
      <c r="AC438" s="211">
        <f>Z438*(G415)</f>
        <v>20.084821799253767</v>
      </c>
      <c r="AD438" s="211">
        <f>Z438*(H415)</f>
        <v>17.853174932670015</v>
      </c>
      <c r="AE438" s="211">
        <f>Z438*(I415)</f>
        <v>20.084821799253767</v>
      </c>
      <c r="AF438" s="211">
        <f>Z438*(J415)</f>
        <v>13.389881199502511</v>
      </c>
      <c r="AG438" s="211">
        <f>Z438*(K415)</f>
        <v>11.158234332918759</v>
      </c>
      <c r="AH438" s="211">
        <f>Z438*(L415)</f>
        <v>8.9265874663350075</v>
      </c>
      <c r="AI438" s="211">
        <f>Z438*(M415)</f>
        <v>6.6949405997512557</v>
      </c>
      <c r="AJ438" s="211">
        <f>Z438*(N415)</f>
        <v>6.2486112264345062</v>
      </c>
      <c r="AK438" s="211">
        <f>Z438*(O415)</f>
        <v>5.8022818531177549</v>
      </c>
      <c r="AL438" s="211">
        <f>Z438*(P415)</f>
        <v>5.3559524798010045</v>
      </c>
      <c r="AM438" s="211">
        <f>Z438*(Q415)</f>
        <v>4.9096231064842542</v>
      </c>
      <c r="AN438" s="211">
        <f>Z438*(R415)</f>
        <v>4.4632937331675038</v>
      </c>
    </row>
    <row r="439" spans="2:40" s="7" customFormat="1" ht="12" customHeight="1" outlineLevel="2">
      <c r="B439" s="245"/>
      <c r="C439" s="213" t="s">
        <v>775</v>
      </c>
      <c r="D439" s="213"/>
      <c r="E439" s="213"/>
      <c r="F439" s="213"/>
      <c r="G439" s="213"/>
      <c r="H439" s="213"/>
      <c r="I439" s="213"/>
      <c r="J439" s="213"/>
      <c r="K439" s="213"/>
      <c r="L439" s="213"/>
      <c r="M439" s="213"/>
      <c r="N439" s="213"/>
      <c r="O439" s="213"/>
      <c r="P439" s="213"/>
      <c r="Q439" s="213"/>
      <c r="R439" s="213"/>
      <c r="S439" s="213"/>
      <c r="T439" s="213"/>
      <c r="U439" s="213"/>
      <c r="V439" s="213"/>
      <c r="W439" s="213"/>
      <c r="X439" s="213"/>
      <c r="Y439" s="213"/>
      <c r="Z439" s="213"/>
      <c r="AA439" s="211">
        <f>INDEX($C$348:$AN$370,MATCH("New Customers 1MS",$C$348:$C$370,0),MATCH($C439,$C$348:$AN$348,0))</f>
        <v>46.864584198258797</v>
      </c>
      <c r="AB439" s="211">
        <f>AA439*(E415)</f>
        <v>32.805208938781156</v>
      </c>
      <c r="AC439" s="211">
        <f>AA439*(F415)</f>
        <v>25.77552130904234</v>
      </c>
      <c r="AD439" s="211">
        <f>AA439*(G415)</f>
        <v>21.089062889216461</v>
      </c>
      <c r="AE439" s="211">
        <f>AA439*(H415)</f>
        <v>18.745833679303519</v>
      </c>
      <c r="AF439" s="211">
        <f>AA439*(I415)</f>
        <v>21.089062889216461</v>
      </c>
      <c r="AG439" s="211">
        <f>AA439*(J415)</f>
        <v>14.059375259477639</v>
      </c>
      <c r="AH439" s="211">
        <f>AA439*(K415)</f>
        <v>11.716146049564699</v>
      </c>
      <c r="AI439" s="211">
        <f>AA439*(L415)</f>
        <v>9.3729168396517597</v>
      </c>
      <c r="AJ439" s="211">
        <f>AA439*(M415)</f>
        <v>7.0296876297388193</v>
      </c>
      <c r="AK439" s="211">
        <f>AA439*(N415)</f>
        <v>6.5610417877562321</v>
      </c>
      <c r="AL439" s="211">
        <f>AA439*(O415)</f>
        <v>6.0923959457736441</v>
      </c>
      <c r="AM439" s="211">
        <f>AA439*(P415)</f>
        <v>5.6237501037910551</v>
      </c>
      <c r="AN439" s="211">
        <f>AA439*(Q415)</f>
        <v>5.1551042618084679</v>
      </c>
    </row>
    <row r="440" spans="2:40" s="7" customFormat="1" ht="12" customHeight="1" outlineLevel="2">
      <c r="B440" s="245"/>
      <c r="C440" s="213" t="s">
        <v>776</v>
      </c>
      <c r="D440" s="213"/>
      <c r="E440" s="213"/>
      <c r="F440" s="213"/>
      <c r="G440" s="213"/>
      <c r="H440" s="213"/>
      <c r="I440" s="213"/>
      <c r="J440" s="213"/>
      <c r="K440" s="213"/>
      <c r="L440" s="213"/>
      <c r="M440" s="213"/>
      <c r="N440" s="213"/>
      <c r="O440" s="213"/>
      <c r="P440" s="213"/>
      <c r="Q440" s="213"/>
      <c r="R440" s="213"/>
      <c r="S440" s="213"/>
      <c r="T440" s="213"/>
      <c r="U440" s="213"/>
      <c r="V440" s="213"/>
      <c r="W440" s="213"/>
      <c r="X440" s="213"/>
      <c r="Y440" s="213"/>
      <c r="Z440" s="213"/>
      <c r="AA440" s="213"/>
      <c r="AB440" s="211">
        <f>INDEX($C$348:$AN$370,MATCH("New Customers 1MS",$C$348:$C$370,0),MATCH($C440,$C$348:$AN$348,0))</f>
        <v>49.207813408171731</v>
      </c>
      <c r="AC440" s="211">
        <f>AB440*(E415)</f>
        <v>34.445469385720209</v>
      </c>
      <c r="AD440" s="211">
        <f>AB440*(F415)</f>
        <v>27.064297374494455</v>
      </c>
      <c r="AE440" s="211">
        <f>AB440*(G415)</f>
        <v>22.14351603367728</v>
      </c>
      <c r="AF440" s="211">
        <f>AB440*(H415)</f>
        <v>19.683125363268694</v>
      </c>
      <c r="AG440" s="211">
        <f>AB440*(I415)</f>
        <v>22.14351603367728</v>
      </c>
      <c r="AH440" s="211">
        <f>AB440*(J415)</f>
        <v>14.762344022451519</v>
      </c>
      <c r="AI440" s="211">
        <f>AB440*(K415)</f>
        <v>12.301953352042933</v>
      </c>
      <c r="AJ440" s="211">
        <f>AB440*(L415)</f>
        <v>9.8415626816343469</v>
      </c>
      <c r="AK440" s="211">
        <f>AB440*(M415)</f>
        <v>7.3811720112257593</v>
      </c>
      <c r="AL440" s="211">
        <f>AB440*(N415)</f>
        <v>6.8890938771440426</v>
      </c>
      <c r="AM440" s="211">
        <f>AB440*(O415)</f>
        <v>6.3970157430623251</v>
      </c>
      <c r="AN440" s="211">
        <f>AB440*(P415)</f>
        <v>5.9049376089806076</v>
      </c>
    </row>
    <row r="441" spans="2:40" s="7" customFormat="1" ht="12" customHeight="1" outlineLevel="2">
      <c r="B441" s="245"/>
      <c r="C441" s="213" t="s">
        <v>777</v>
      </c>
      <c r="D441" s="213"/>
      <c r="E441" s="213"/>
      <c r="F441" s="213"/>
      <c r="G441" s="213"/>
      <c r="H441" s="213"/>
      <c r="I441" s="213"/>
      <c r="J441" s="213"/>
      <c r="K441" s="213"/>
      <c r="L441" s="213"/>
      <c r="M441" s="213"/>
      <c r="N441" s="213"/>
      <c r="O441" s="213"/>
      <c r="P441" s="213"/>
      <c r="Q441" s="213"/>
      <c r="R441" s="213"/>
      <c r="S441" s="213"/>
      <c r="T441" s="213"/>
      <c r="U441" s="213"/>
      <c r="V441" s="213"/>
      <c r="W441" s="213"/>
      <c r="X441" s="213"/>
      <c r="Y441" s="213"/>
      <c r="Z441" s="213"/>
      <c r="AA441" s="213"/>
      <c r="AB441" s="211"/>
      <c r="AC441" s="211">
        <f>INDEX($C$348:$AN$370,MATCH("New Customers 1MS",$C$348:$C$370,0),MATCH($C441,$C$348:$AN$348,0))</f>
        <v>50.191969676335177</v>
      </c>
      <c r="AD441" s="211">
        <f>AC441*(E415)</f>
        <v>35.134378773434619</v>
      </c>
      <c r="AE441" s="211">
        <f>AD441*(F415)</f>
        <v>19.323908325389041</v>
      </c>
      <c r="AF441" s="211">
        <f t="shared" ref="AF441:AN441" si="470">AE441*(G415)</f>
        <v>8.695758746425069</v>
      </c>
      <c r="AG441" s="211">
        <f t="shared" si="470"/>
        <v>3.4783034985700279</v>
      </c>
      <c r="AH441" s="211">
        <f t="shared" si="470"/>
        <v>1.5652365743565126</v>
      </c>
      <c r="AI441" s="211">
        <f t="shared" si="470"/>
        <v>0.46957097230695377</v>
      </c>
      <c r="AJ441" s="211">
        <f t="shared" si="470"/>
        <v>0.11739274307673844</v>
      </c>
      <c r="AK441" s="211">
        <f t="shared" si="470"/>
        <v>2.3478548615347691E-2</v>
      </c>
      <c r="AL441" s="211">
        <f t="shared" si="470"/>
        <v>3.5217822923021536E-3</v>
      </c>
      <c r="AM441" s="211">
        <f t="shared" si="470"/>
        <v>4.9304952092230157E-4</v>
      </c>
      <c r="AN441" s="211">
        <f t="shared" si="470"/>
        <v>6.4096437719899204E-5</v>
      </c>
    </row>
    <row r="442" spans="2:40" s="7" customFormat="1" ht="12" customHeight="1" outlineLevel="2">
      <c r="B442" s="245"/>
      <c r="C442" s="213" t="s">
        <v>778</v>
      </c>
      <c r="D442" s="213"/>
      <c r="E442" s="213"/>
      <c r="F442" s="213"/>
      <c r="G442" s="213"/>
      <c r="H442" s="213"/>
      <c r="I442" s="213"/>
      <c r="J442" s="213"/>
      <c r="K442" s="213"/>
      <c r="L442" s="213"/>
      <c r="M442" s="213"/>
      <c r="N442" s="213"/>
      <c r="O442" s="213"/>
      <c r="P442" s="213"/>
      <c r="Q442" s="213"/>
      <c r="R442" s="213"/>
      <c r="S442" s="213"/>
      <c r="T442" s="213"/>
      <c r="U442" s="213"/>
      <c r="V442" s="213"/>
      <c r="W442" s="213"/>
      <c r="X442" s="213"/>
      <c r="Y442" s="213"/>
      <c r="Z442" s="213"/>
      <c r="AA442" s="213"/>
      <c r="AB442" s="211"/>
      <c r="AC442" s="211"/>
      <c r="AD442" s="211">
        <f>INDEX($C$348:$AN$370,MATCH("New Customers 1MS",$C$348:$C$370,0),MATCH($C442,$C$348:$AN$348,0))</f>
        <v>52.701568160151936</v>
      </c>
      <c r="AE442" s="211">
        <f>AD442*(E415)</f>
        <v>36.891097712106351</v>
      </c>
      <c r="AF442" s="211">
        <f t="shared" ref="AF442:AN442" si="471">AE442*(F415)</f>
        <v>20.290103741658495</v>
      </c>
      <c r="AG442" s="211">
        <f t="shared" si="471"/>
        <v>9.1305466837463225</v>
      </c>
      <c r="AH442" s="211">
        <f t="shared" si="471"/>
        <v>3.6522186734985294</v>
      </c>
      <c r="AI442" s="211">
        <f t="shared" si="471"/>
        <v>1.6434984030743383</v>
      </c>
      <c r="AJ442" s="211">
        <f t="shared" si="471"/>
        <v>0.49304952092230148</v>
      </c>
      <c r="AK442" s="211">
        <f t="shared" si="471"/>
        <v>0.12326238023057537</v>
      </c>
      <c r="AL442" s="211">
        <f t="shared" si="471"/>
        <v>2.4652476046115077E-2</v>
      </c>
      <c r="AM442" s="211">
        <f t="shared" si="471"/>
        <v>3.6978714069172613E-3</v>
      </c>
      <c r="AN442" s="211">
        <f t="shared" si="471"/>
        <v>5.1770199696841664E-4</v>
      </c>
    </row>
    <row r="443" spans="2:40" s="7" customFormat="1" ht="12" customHeight="1" outlineLevel="2">
      <c r="B443" s="245"/>
      <c r="C443" s="213" t="s">
        <v>779</v>
      </c>
      <c r="D443" s="213"/>
      <c r="E443" s="213"/>
      <c r="F443" s="213"/>
      <c r="G443" s="213"/>
      <c r="H443" s="213"/>
      <c r="I443" s="213"/>
      <c r="J443" s="213"/>
      <c r="K443" s="213"/>
      <c r="L443" s="213"/>
      <c r="M443" s="213"/>
      <c r="N443" s="213"/>
      <c r="O443" s="213"/>
      <c r="P443" s="213"/>
      <c r="Q443" s="213"/>
      <c r="R443" s="213"/>
      <c r="S443" s="213"/>
      <c r="T443" s="213"/>
      <c r="U443" s="213"/>
      <c r="V443" s="213"/>
      <c r="W443" s="213"/>
      <c r="X443" s="213"/>
      <c r="Y443" s="213"/>
      <c r="Z443" s="213"/>
      <c r="AA443" s="213"/>
      <c r="AB443" s="211"/>
      <c r="AC443" s="211"/>
      <c r="AD443" s="211"/>
      <c r="AE443" s="211">
        <f>INDEX($C$348:$AN$370,MATCH("New Customers 1MS",$C$348:$C$370,0),MATCH($C443,$C$348:$AN$348,0))</f>
        <v>55.336646568159544</v>
      </c>
      <c r="AF443" s="211">
        <f>AE443*(E415)</f>
        <v>38.735652597711677</v>
      </c>
      <c r="AG443" s="211">
        <f t="shared" ref="AG443:AN443" si="472">AF443*(F415)</f>
        <v>21.304608928741423</v>
      </c>
      <c r="AH443" s="211">
        <f t="shared" si="472"/>
        <v>9.5870740179336416</v>
      </c>
      <c r="AI443" s="211">
        <f t="shared" si="472"/>
        <v>3.8348296071734569</v>
      </c>
      <c r="AJ443" s="211">
        <f t="shared" si="472"/>
        <v>1.7256733232280557</v>
      </c>
      <c r="AK443" s="211">
        <f t="shared" si="472"/>
        <v>0.51770199696841668</v>
      </c>
      <c r="AL443" s="211">
        <f t="shared" si="472"/>
        <v>0.12942549924210417</v>
      </c>
      <c r="AM443" s="211">
        <f t="shared" si="472"/>
        <v>2.5885099848420835E-2</v>
      </c>
      <c r="AN443" s="211">
        <f t="shared" si="472"/>
        <v>3.8827649772631249E-3</v>
      </c>
    </row>
    <row r="444" spans="2:40" s="7" customFormat="1" ht="12" customHeight="1" outlineLevel="2">
      <c r="B444" s="245"/>
      <c r="C444" s="213" t="s">
        <v>780</v>
      </c>
      <c r="D444" s="213"/>
      <c r="E444" s="213"/>
      <c r="F444" s="213"/>
      <c r="G444" s="213"/>
      <c r="H444" s="213"/>
      <c r="I444" s="213"/>
      <c r="J444" s="213"/>
      <c r="K444" s="213"/>
      <c r="L444" s="213"/>
      <c r="M444" s="213"/>
      <c r="N444" s="213"/>
      <c r="O444" s="213"/>
      <c r="P444" s="213"/>
      <c r="Q444" s="213"/>
      <c r="R444" s="213"/>
      <c r="S444" s="213"/>
      <c r="T444" s="213"/>
      <c r="U444" s="213"/>
      <c r="V444" s="213"/>
      <c r="W444" s="213"/>
      <c r="X444" s="213"/>
      <c r="Y444" s="213"/>
      <c r="Z444" s="213"/>
      <c r="AA444" s="213"/>
      <c r="AB444" s="211"/>
      <c r="AC444" s="211"/>
      <c r="AD444" s="211"/>
      <c r="AE444" s="211"/>
      <c r="AF444" s="211">
        <f>INDEX($C$348:$AN$370,MATCH("New Customers 1MS",$C$348:$C$370,0),MATCH($C444,$C$348:$AN$348,0))</f>
        <v>58.103478896567516</v>
      </c>
      <c r="AG444" s="211">
        <f>AF444*(E415)</f>
        <v>40.672435227597262</v>
      </c>
      <c r="AH444" s="211">
        <f t="shared" ref="AH444:AN444" si="473">AG444*(F415)</f>
        <v>22.369839375178497</v>
      </c>
      <c r="AI444" s="211">
        <f t="shared" si="473"/>
        <v>10.066427718830324</v>
      </c>
      <c r="AJ444" s="211">
        <f t="shared" si="473"/>
        <v>4.0265710875321297</v>
      </c>
      <c r="AK444" s="211">
        <f t="shared" si="473"/>
        <v>1.8119569893894585</v>
      </c>
      <c r="AL444" s="211">
        <f t="shared" si="473"/>
        <v>0.54358709681683748</v>
      </c>
      <c r="AM444" s="211">
        <f t="shared" si="473"/>
        <v>0.13589677420420937</v>
      </c>
      <c r="AN444" s="211">
        <f t="shared" si="473"/>
        <v>2.7179354840841875E-2</v>
      </c>
    </row>
    <row r="445" spans="2:40" s="7" customFormat="1" ht="12" customHeight="1" outlineLevel="2">
      <c r="B445" s="245"/>
      <c r="C445" s="213" t="s">
        <v>781</v>
      </c>
      <c r="D445" s="213"/>
      <c r="E445" s="213"/>
      <c r="F445" s="213"/>
      <c r="G445" s="213"/>
      <c r="H445" s="213"/>
      <c r="I445" s="213"/>
      <c r="J445" s="213"/>
      <c r="K445" s="213"/>
      <c r="L445" s="213"/>
      <c r="M445" s="213"/>
      <c r="N445" s="213"/>
      <c r="O445" s="213"/>
      <c r="P445" s="213"/>
      <c r="Q445" s="213"/>
      <c r="R445" s="213"/>
      <c r="S445" s="213"/>
      <c r="T445" s="213"/>
      <c r="U445" s="213"/>
      <c r="V445" s="213"/>
      <c r="W445" s="213"/>
      <c r="X445" s="213"/>
      <c r="Y445" s="213"/>
      <c r="Z445" s="213"/>
      <c r="AA445" s="213"/>
      <c r="AB445" s="211"/>
      <c r="AC445" s="211"/>
      <c r="AD445" s="211"/>
      <c r="AE445" s="211"/>
      <c r="AF445" s="211"/>
      <c r="AG445" s="211">
        <f>INDEX($C$348:$AN$370,MATCH("New Customers 1MS",$C$348:$C$370,0),MATCH($C445,$C$348:$AN$348,0))</f>
        <v>61.008652841395886</v>
      </c>
      <c r="AH445" s="211">
        <f>AG445*(E415)</f>
        <v>42.706056988977117</v>
      </c>
      <c r="AI445" s="211">
        <f t="shared" ref="AI445:AN445" si="474">AH445*(F415)</f>
        <v>23.488331343937418</v>
      </c>
      <c r="AJ445" s="211">
        <f t="shared" si="474"/>
        <v>10.569749104771839</v>
      </c>
      <c r="AK445" s="211">
        <f t="shared" si="474"/>
        <v>4.2278996419087358</v>
      </c>
      <c r="AL445" s="211">
        <f t="shared" si="474"/>
        <v>1.9025548388589311</v>
      </c>
      <c r="AM445" s="211">
        <f t="shared" si="474"/>
        <v>0.57076645165767925</v>
      </c>
      <c r="AN445" s="211">
        <f t="shared" si="474"/>
        <v>0.14269161291441981</v>
      </c>
    </row>
    <row r="446" spans="2:40" s="7" customFormat="1" ht="12" customHeight="1" outlineLevel="2">
      <c r="B446" s="245"/>
      <c r="C446" s="213" t="s">
        <v>782</v>
      </c>
      <c r="D446" s="213"/>
      <c r="E446" s="213"/>
      <c r="F446" s="213"/>
      <c r="G446" s="213"/>
      <c r="H446" s="213"/>
      <c r="I446" s="213"/>
      <c r="J446" s="213"/>
      <c r="K446" s="213"/>
      <c r="L446" s="213"/>
      <c r="M446" s="213"/>
      <c r="N446" s="213"/>
      <c r="O446" s="213"/>
      <c r="P446" s="213"/>
      <c r="Q446" s="213"/>
      <c r="R446" s="213"/>
      <c r="S446" s="213"/>
      <c r="T446" s="213"/>
      <c r="U446" s="213"/>
      <c r="V446" s="213"/>
      <c r="W446" s="213"/>
      <c r="X446" s="213"/>
      <c r="Y446" s="213"/>
      <c r="Z446" s="213"/>
      <c r="AA446" s="213"/>
      <c r="AB446" s="211"/>
      <c r="AC446" s="211"/>
      <c r="AD446" s="211"/>
      <c r="AE446" s="211"/>
      <c r="AF446" s="211"/>
      <c r="AG446" s="211"/>
      <c r="AH446" s="211">
        <f>INDEX($C$348:$AN$370,MATCH("New Customers 1MS",$C$348:$C$370,0),MATCH($C446,$C$348:$AN$348,0))</f>
        <v>64.059085483465694</v>
      </c>
      <c r="AI446" s="211">
        <f>AH446*(E415)</f>
        <v>44.84135983842598</v>
      </c>
      <c r="AJ446" s="211">
        <f t="shared" ref="AJ446:AN446" si="475">AI446*(F415)</f>
        <v>24.662747911134289</v>
      </c>
      <c r="AK446" s="211">
        <f t="shared" si="475"/>
        <v>11.098236560010431</v>
      </c>
      <c r="AL446" s="211">
        <f t="shared" si="475"/>
        <v>4.4392946240041722</v>
      </c>
      <c r="AM446" s="211">
        <f t="shared" si="475"/>
        <v>1.9976825808018774</v>
      </c>
      <c r="AN446" s="211">
        <f t="shared" si="475"/>
        <v>0.59930477424056317</v>
      </c>
    </row>
    <row r="447" spans="2:40" s="7" customFormat="1" ht="12" customHeight="1" outlineLevel="2">
      <c r="B447" s="245"/>
      <c r="C447" s="213" t="s">
        <v>783</v>
      </c>
      <c r="D447" s="213"/>
      <c r="E447" s="213"/>
      <c r="F447" s="213"/>
      <c r="G447" s="213"/>
      <c r="H447" s="213"/>
      <c r="I447" s="213"/>
      <c r="J447" s="213"/>
      <c r="K447" s="213"/>
      <c r="L447" s="213"/>
      <c r="M447" s="213"/>
      <c r="N447" s="213"/>
      <c r="O447" s="213"/>
      <c r="P447" s="213"/>
      <c r="Q447" s="213"/>
      <c r="R447" s="213"/>
      <c r="S447" s="213"/>
      <c r="T447" s="213"/>
      <c r="U447" s="213"/>
      <c r="V447" s="213"/>
      <c r="W447" s="213"/>
      <c r="X447" s="213"/>
      <c r="Y447" s="213"/>
      <c r="Z447" s="213"/>
      <c r="AA447" s="213"/>
      <c r="AB447" s="211"/>
      <c r="AC447" s="211"/>
      <c r="AD447" s="211"/>
      <c r="AE447" s="211"/>
      <c r="AF447" s="211"/>
      <c r="AG447" s="211"/>
      <c r="AH447" s="211"/>
      <c r="AI447" s="211">
        <f>INDEX($C$348:$AN$370,MATCH("New Customers 1MS",$C$348:$C$370,0),MATCH($C447,$C$348:$AN$348,0))</f>
        <v>67.262039757638988</v>
      </c>
      <c r="AJ447" s="211">
        <f>AI447*(E415)</f>
        <v>47.08342783034729</v>
      </c>
      <c r="AK447" s="211">
        <f t="shared" ref="AK447:AN447" si="476">AJ447*(F415)</f>
        <v>25.89588530669101</v>
      </c>
      <c r="AL447" s="211">
        <f t="shared" si="476"/>
        <v>11.653148388010955</v>
      </c>
      <c r="AM447" s="211">
        <f t="shared" si="476"/>
        <v>4.6612593552043817</v>
      </c>
      <c r="AN447" s="211">
        <f t="shared" si="476"/>
        <v>2.0975667098419719</v>
      </c>
    </row>
    <row r="448" spans="2:40" s="7" customFormat="1" ht="12" customHeight="1" outlineLevel="2">
      <c r="B448" s="245"/>
      <c r="C448" s="213" t="s">
        <v>784</v>
      </c>
      <c r="D448" s="213"/>
      <c r="E448" s="213"/>
      <c r="F448" s="213"/>
      <c r="G448" s="213"/>
      <c r="H448" s="213"/>
      <c r="I448" s="213"/>
      <c r="J448" s="213"/>
      <c r="K448" s="213"/>
      <c r="L448" s="213"/>
      <c r="M448" s="213"/>
      <c r="N448" s="213"/>
      <c r="O448" s="213"/>
      <c r="P448" s="213"/>
      <c r="Q448" s="213"/>
      <c r="R448" s="213"/>
      <c r="S448" s="213"/>
      <c r="T448" s="213"/>
      <c r="U448" s="213"/>
      <c r="V448" s="213"/>
      <c r="W448" s="213"/>
      <c r="X448" s="213"/>
      <c r="Y448" s="213"/>
      <c r="Z448" s="213"/>
      <c r="AA448" s="213"/>
      <c r="AB448" s="211"/>
      <c r="AC448" s="211"/>
      <c r="AD448" s="211"/>
      <c r="AE448" s="211"/>
      <c r="AF448" s="211"/>
      <c r="AG448" s="211"/>
      <c r="AH448" s="211"/>
      <c r="AI448" s="211"/>
      <c r="AJ448" s="211">
        <f>INDEX($C$348:$AN$370,MATCH("New Customers 1MS",$C$348:$C$370,0),MATCH($C448,$C$348:$AN$348,0))</f>
        <v>70.625141745520935</v>
      </c>
      <c r="AK448" s="211">
        <f>AJ448*(E415)</f>
        <v>49.437599221864652</v>
      </c>
      <c r="AL448" s="211">
        <f t="shared" ref="AL448:AN448" si="477">AK448*(F415)</f>
        <v>27.190679572025562</v>
      </c>
      <c r="AM448" s="211">
        <f t="shared" si="477"/>
        <v>12.235805807411504</v>
      </c>
      <c r="AN448" s="211">
        <f t="shared" si="477"/>
        <v>4.8943223229646016</v>
      </c>
    </row>
    <row r="449" spans="2:40" s="7" customFormat="1" ht="12" customHeight="1" outlineLevel="2">
      <c r="B449" s="245"/>
      <c r="C449" s="213" t="s">
        <v>785</v>
      </c>
      <c r="D449" s="213"/>
      <c r="E449" s="213"/>
      <c r="F449" s="213"/>
      <c r="G449" s="213"/>
      <c r="H449" s="213"/>
      <c r="I449" s="213"/>
      <c r="J449" s="213"/>
      <c r="K449" s="213"/>
      <c r="L449" s="213"/>
      <c r="M449" s="213"/>
      <c r="N449" s="213"/>
      <c r="O449" s="213"/>
      <c r="P449" s="213"/>
      <c r="Q449" s="213"/>
      <c r="R449" s="213"/>
      <c r="S449" s="213"/>
      <c r="T449" s="213"/>
      <c r="U449" s="213"/>
      <c r="V449" s="213"/>
      <c r="W449" s="213"/>
      <c r="X449" s="213"/>
      <c r="Y449" s="213"/>
      <c r="Z449" s="213"/>
      <c r="AA449" s="213"/>
      <c r="AB449" s="211"/>
      <c r="AC449" s="211"/>
      <c r="AD449" s="211"/>
      <c r="AE449" s="211"/>
      <c r="AF449" s="211"/>
      <c r="AG449" s="211"/>
      <c r="AH449" s="211"/>
      <c r="AI449" s="211"/>
      <c r="AJ449" s="211"/>
      <c r="AK449" s="211">
        <f>INDEX($C$348:$AN$370,MATCH("New Customers 1MS",$C$348:$C$370,0),MATCH($C449,$C$348:$AN$348,0))</f>
        <v>74.156398832796995</v>
      </c>
      <c r="AL449" s="211">
        <f>AK449*(E415)</f>
        <v>51.909479182957895</v>
      </c>
      <c r="AM449" s="211">
        <f t="shared" ref="AM449:AN449" si="478">AL449*(F415)</f>
        <v>28.550213550626843</v>
      </c>
      <c r="AN449" s="211">
        <f t="shared" si="478"/>
        <v>12.84759609778208</v>
      </c>
    </row>
    <row r="450" spans="2:40" s="7" customFormat="1" ht="12" customHeight="1" outlineLevel="2">
      <c r="B450" s="245"/>
      <c r="C450" s="213" t="s">
        <v>786</v>
      </c>
      <c r="D450" s="213"/>
      <c r="E450" s="213"/>
      <c r="F450" s="213"/>
      <c r="G450" s="213"/>
      <c r="H450" s="213"/>
      <c r="I450" s="213"/>
      <c r="J450" s="213"/>
      <c r="K450" s="213"/>
      <c r="L450" s="213"/>
      <c r="M450" s="213"/>
      <c r="N450" s="213"/>
      <c r="O450" s="213"/>
      <c r="P450" s="213"/>
      <c r="Q450" s="213"/>
      <c r="R450" s="213"/>
      <c r="S450" s="213"/>
      <c r="T450" s="213"/>
      <c r="U450" s="213"/>
      <c r="V450" s="213"/>
      <c r="W450" s="213"/>
      <c r="X450" s="213"/>
      <c r="Y450" s="213"/>
      <c r="Z450" s="213"/>
      <c r="AA450" s="213"/>
      <c r="AB450" s="211"/>
      <c r="AC450" s="211"/>
      <c r="AD450" s="211"/>
      <c r="AE450" s="211"/>
      <c r="AF450" s="211"/>
      <c r="AG450" s="211"/>
      <c r="AH450" s="211"/>
      <c r="AI450" s="211"/>
      <c r="AJ450" s="211"/>
      <c r="AK450" s="211"/>
      <c r="AL450" s="211">
        <f>INDEX($C$348:$AN$370,MATCH("New Customers 1MS",$C$348:$C$370,0),MATCH($C450,$C$348:$AN$348,0))</f>
        <v>77.864218774436836</v>
      </c>
      <c r="AM450" s="211">
        <f>AL450*(E415)</f>
        <v>54.504953142105784</v>
      </c>
      <c r="AN450" s="211">
        <f>AM450*(F415)</f>
        <v>29.977724228158184</v>
      </c>
    </row>
    <row r="451" spans="2:40" s="7" customFormat="1" ht="12" customHeight="1" outlineLevel="2">
      <c r="B451" s="245"/>
      <c r="C451" s="213" t="s">
        <v>787</v>
      </c>
      <c r="D451" s="213"/>
      <c r="E451" s="213"/>
      <c r="F451" s="213"/>
      <c r="G451" s="213"/>
      <c r="H451" s="213"/>
      <c r="I451" s="213"/>
      <c r="J451" s="213"/>
      <c r="K451" s="213"/>
      <c r="L451" s="213"/>
      <c r="M451" s="213"/>
      <c r="N451" s="213"/>
      <c r="O451" s="213"/>
      <c r="P451" s="213"/>
      <c r="Q451" s="213"/>
      <c r="R451" s="213"/>
      <c r="S451" s="213"/>
      <c r="T451" s="213"/>
      <c r="U451" s="213"/>
      <c r="V451" s="213"/>
      <c r="W451" s="213"/>
      <c r="X451" s="213"/>
      <c r="Y451" s="213"/>
      <c r="Z451" s="213"/>
      <c r="AA451" s="213"/>
      <c r="AB451" s="211"/>
      <c r="AC451" s="211"/>
      <c r="AD451" s="211"/>
      <c r="AE451" s="211"/>
      <c r="AF451" s="211"/>
      <c r="AG451" s="211"/>
      <c r="AH451" s="211"/>
      <c r="AI451" s="211"/>
      <c r="AJ451" s="211"/>
      <c r="AK451" s="211"/>
      <c r="AL451" s="211"/>
      <c r="AM451" s="211">
        <f>INDEX($C$348:$AN$370,MATCH("New Customers 1MS",$C$348:$C$370,0),MATCH($C451,$C$348:$AN$348,0))</f>
        <v>81.7574297131587</v>
      </c>
      <c r="AN451" s="211">
        <f>AM451*(E415)</f>
        <v>57.230200799211083</v>
      </c>
    </row>
    <row r="452" spans="2:40" s="7" customFormat="1" ht="12" customHeight="1" outlineLevel="2">
      <c r="B452" s="245"/>
      <c r="C452" s="213" t="s">
        <v>788</v>
      </c>
      <c r="D452" s="213"/>
      <c r="E452" s="213"/>
      <c r="F452" s="213"/>
      <c r="G452" s="213"/>
      <c r="H452" s="213"/>
      <c r="I452" s="213"/>
      <c r="J452" s="213"/>
      <c r="K452" s="213"/>
      <c r="L452" s="213"/>
      <c r="M452" s="213"/>
      <c r="N452" s="213"/>
      <c r="O452" s="213"/>
      <c r="P452" s="213"/>
      <c r="Q452" s="213"/>
      <c r="R452" s="213"/>
      <c r="S452" s="213"/>
      <c r="T452" s="213"/>
      <c r="U452" s="213"/>
      <c r="V452" s="213"/>
      <c r="W452" s="213"/>
      <c r="X452" s="213"/>
      <c r="Y452" s="213"/>
      <c r="Z452" s="213"/>
      <c r="AA452" s="213"/>
      <c r="AB452" s="211"/>
      <c r="AC452" s="211"/>
      <c r="AD452" s="211"/>
      <c r="AE452" s="211"/>
      <c r="AF452" s="211"/>
      <c r="AG452" s="211"/>
      <c r="AH452" s="211"/>
      <c r="AI452" s="211"/>
      <c r="AJ452" s="211"/>
      <c r="AK452" s="211"/>
      <c r="AL452" s="211"/>
      <c r="AM452" s="211"/>
      <c r="AN452" s="211">
        <f>INDEX($C$348:$AN$370,MATCH("New Customers 1MS",$C$348:$C$370,0),MATCH($C452,$C$348:$AN$348,0))</f>
        <v>85.845301198816628</v>
      </c>
    </row>
    <row r="453" spans="2:40" s="7" customFormat="1" ht="12" customHeight="1" outlineLevel="2">
      <c r="B453" s="245"/>
      <c r="C453" s="213"/>
      <c r="D453" s="213"/>
      <c r="E453" s="213"/>
      <c r="F453" s="213"/>
      <c r="G453" s="213"/>
      <c r="H453" s="213"/>
      <c r="I453" s="213"/>
      <c r="J453" s="213"/>
      <c r="K453" s="213"/>
      <c r="L453" s="213"/>
      <c r="M453" s="213"/>
      <c r="N453" s="213"/>
      <c r="O453" s="213"/>
      <c r="P453" s="213"/>
      <c r="Q453" s="213"/>
      <c r="R453" s="213"/>
      <c r="S453" s="213"/>
      <c r="T453" s="213"/>
      <c r="U453" s="213"/>
      <c r="V453" s="213"/>
      <c r="W453" s="213"/>
      <c r="X453" s="213"/>
      <c r="Y453" s="213"/>
      <c r="Z453" s="213"/>
      <c r="AA453" s="213"/>
      <c r="AB453" s="211"/>
      <c r="AC453" s="211"/>
      <c r="AD453" s="211"/>
      <c r="AE453" s="211"/>
      <c r="AF453" s="211"/>
      <c r="AG453" s="211"/>
      <c r="AH453" s="211"/>
      <c r="AI453" s="211"/>
      <c r="AJ453" s="211"/>
      <c r="AK453" s="211"/>
      <c r="AL453" s="211"/>
      <c r="AM453" s="211"/>
      <c r="AN453" s="211"/>
    </row>
    <row r="454" spans="2:40" s="7" customFormat="1" ht="12" customHeight="1" outlineLevel="3">
      <c r="B454" s="245"/>
      <c r="C454" s="243" t="s">
        <v>854</v>
      </c>
      <c r="D454" s="213"/>
      <c r="E454" s="213"/>
      <c r="F454" s="213"/>
      <c r="G454" s="213"/>
      <c r="H454" s="213"/>
      <c r="I454" s="213"/>
      <c r="J454" s="213"/>
      <c r="K454" s="213"/>
      <c r="L454" s="213"/>
      <c r="M454" s="213"/>
      <c r="N454" s="213"/>
      <c r="O454" s="213"/>
      <c r="P454" s="213"/>
      <c r="Q454" s="213"/>
      <c r="R454" s="213"/>
      <c r="S454" s="213"/>
      <c r="T454" s="213"/>
      <c r="U454" s="213"/>
      <c r="V454" s="213"/>
      <c r="W454" s="213"/>
      <c r="X454" s="213"/>
      <c r="Y454" s="213"/>
      <c r="Z454" s="213"/>
      <c r="AA454" s="213"/>
      <c r="AB454" s="213"/>
      <c r="AC454" s="211"/>
    </row>
    <row r="455" spans="2:40" s="7" customFormat="1" ht="12" customHeight="1" outlineLevel="3">
      <c r="B455" s="239"/>
      <c r="C455" s="214" t="s">
        <v>850</v>
      </c>
      <c r="D455" s="214"/>
      <c r="E455" s="196" t="s">
        <v>753</v>
      </c>
      <c r="F455" s="196" t="s">
        <v>754</v>
      </c>
      <c r="G455" s="196" t="s">
        <v>755</v>
      </c>
      <c r="H455" s="196" t="s">
        <v>756</v>
      </c>
      <c r="I455" s="196" t="s">
        <v>757</v>
      </c>
      <c r="J455" s="196" t="s">
        <v>758</v>
      </c>
      <c r="K455" s="196" t="s">
        <v>759</v>
      </c>
      <c r="L455" s="196" t="s">
        <v>760</v>
      </c>
      <c r="M455" s="196" t="s">
        <v>761</v>
      </c>
      <c r="N455" s="196" t="s">
        <v>762</v>
      </c>
      <c r="O455" s="196" t="s">
        <v>763</v>
      </c>
      <c r="P455" s="196" t="s">
        <v>764</v>
      </c>
      <c r="Q455" s="196" t="s">
        <v>765</v>
      </c>
      <c r="R455" s="196" t="s">
        <v>766</v>
      </c>
      <c r="S455" s="196" t="s">
        <v>767</v>
      </c>
      <c r="T455" s="196" t="s">
        <v>768</v>
      </c>
      <c r="U455" s="196" t="s">
        <v>769</v>
      </c>
      <c r="V455" s="196" t="s">
        <v>770</v>
      </c>
      <c r="W455" s="196" t="s">
        <v>771</v>
      </c>
      <c r="X455" s="196" t="s">
        <v>772</v>
      </c>
      <c r="Y455" s="196" t="s">
        <v>773</v>
      </c>
      <c r="Z455" s="196" t="s">
        <v>774</v>
      </c>
      <c r="AA455" s="196" t="s">
        <v>775</v>
      </c>
      <c r="AB455" s="196" t="s">
        <v>776</v>
      </c>
      <c r="AC455" s="196" t="s">
        <v>777</v>
      </c>
      <c r="AD455" s="196" t="s">
        <v>778</v>
      </c>
      <c r="AE455" s="196" t="s">
        <v>779</v>
      </c>
      <c r="AF455" s="196" t="s">
        <v>780</v>
      </c>
      <c r="AG455" s="196" t="s">
        <v>781</v>
      </c>
      <c r="AH455" s="196" t="s">
        <v>782</v>
      </c>
      <c r="AI455" s="196" t="s">
        <v>783</v>
      </c>
      <c r="AJ455" s="196" t="s">
        <v>784</v>
      </c>
      <c r="AK455" s="196" t="s">
        <v>785</v>
      </c>
      <c r="AL455" s="196" t="s">
        <v>786</v>
      </c>
      <c r="AM455" s="196" t="s">
        <v>787</v>
      </c>
      <c r="AN455" s="196" t="s">
        <v>788</v>
      </c>
    </row>
    <row r="456" spans="2:40" s="7" customFormat="1" ht="12" customHeight="1" outlineLevel="3">
      <c r="B456" s="239"/>
      <c r="C456" s="247" t="s">
        <v>851</v>
      </c>
      <c r="D456" s="214"/>
      <c r="E456" s="345">
        <v>0.9</v>
      </c>
      <c r="F456" s="342"/>
      <c r="G456" s="342"/>
      <c r="H456" s="345">
        <v>0.45</v>
      </c>
      <c r="I456" s="342"/>
      <c r="J456" s="342"/>
      <c r="K456" s="345">
        <v>0.26</v>
      </c>
      <c r="L456" s="342"/>
      <c r="M456" s="342"/>
      <c r="N456" s="345">
        <v>0.16</v>
      </c>
      <c r="O456" s="342"/>
      <c r="P456" s="342"/>
      <c r="Q456" s="345">
        <v>0.14000000000000001</v>
      </c>
      <c r="R456" s="342"/>
      <c r="S456" s="342"/>
      <c r="T456" s="345">
        <v>0.1</v>
      </c>
      <c r="U456" s="342"/>
      <c r="V456" s="342"/>
      <c r="W456" s="345">
        <v>0.1</v>
      </c>
      <c r="X456" s="342"/>
      <c r="Y456" s="342"/>
      <c r="Z456" s="345">
        <v>0.08</v>
      </c>
      <c r="AA456" s="342"/>
      <c r="AB456" s="342"/>
      <c r="AC456" s="345">
        <v>0.08</v>
      </c>
      <c r="AD456" s="342"/>
      <c r="AE456" s="342"/>
      <c r="AF456" s="345">
        <v>7.0000000000000007E-2</v>
      </c>
      <c r="AG456" s="342"/>
      <c r="AH456" s="342"/>
      <c r="AI456" s="345">
        <v>0.06</v>
      </c>
      <c r="AJ456" s="342"/>
      <c r="AK456" s="342"/>
      <c r="AL456" s="345">
        <v>0.05</v>
      </c>
      <c r="AM456" s="342"/>
      <c r="AN456" s="342"/>
    </row>
    <row r="457" spans="2:40" s="7" customFormat="1" ht="12" customHeight="1" outlineLevel="3">
      <c r="B457" s="245"/>
      <c r="C457" s="213" t="s">
        <v>753</v>
      </c>
      <c r="D457" s="213"/>
      <c r="E457" s="211">
        <f>INDEX($C$348:$AN$370, MATCH("New Customers 3MS", $C$348:$C$370, 0), MATCH($C457, $C$348:$AN$348, 0))</f>
        <v>0</v>
      </c>
      <c r="F457" s="211"/>
      <c r="G457" s="211"/>
      <c r="H457" s="211">
        <f>E457*(1-E456)</f>
        <v>0</v>
      </c>
      <c r="I457" s="211"/>
      <c r="J457" s="211"/>
      <c r="K457" s="211">
        <f>E457*(1-H456)</f>
        <v>0</v>
      </c>
      <c r="L457" s="211"/>
      <c r="M457" s="211"/>
      <c r="N457" s="211">
        <f>E457*(1-K456)</f>
        <v>0</v>
      </c>
      <c r="O457" s="211"/>
      <c r="P457" s="211"/>
      <c r="Q457" s="211">
        <f>E457*(1-N456)</f>
        <v>0</v>
      </c>
      <c r="R457" s="211"/>
      <c r="S457" s="211"/>
      <c r="T457" s="211">
        <f>E457*(1-Q456)</f>
        <v>0</v>
      </c>
      <c r="U457" s="211"/>
      <c r="V457" s="211"/>
      <c r="W457" s="211">
        <f>E457*(1-T456)</f>
        <v>0</v>
      </c>
      <c r="X457" s="211"/>
      <c r="Y457" s="211"/>
      <c r="Z457" s="211">
        <f>E457*(1-W456)</f>
        <v>0</v>
      </c>
      <c r="AA457" s="211"/>
      <c r="AB457" s="211"/>
      <c r="AC457" s="211">
        <f>E457*(1-Z456)</f>
        <v>0</v>
      </c>
      <c r="AD457" s="211"/>
      <c r="AE457" s="211"/>
      <c r="AF457" s="211">
        <f>E457*(1-AC456)</f>
        <v>0</v>
      </c>
      <c r="AG457" s="211"/>
      <c r="AH457" s="211"/>
      <c r="AI457" s="211">
        <f>E457*(1-AF456)</f>
        <v>0</v>
      </c>
      <c r="AJ457" s="211"/>
      <c r="AK457" s="211"/>
      <c r="AL457" s="211">
        <f>E457*(1-AI456)</f>
        <v>0</v>
      </c>
      <c r="AM457" s="211"/>
      <c r="AN457" s="211"/>
    </row>
    <row r="458" spans="2:40" s="7" customFormat="1" ht="12" customHeight="1" outlineLevel="3">
      <c r="B458" s="245"/>
      <c r="C458" s="213" t="s">
        <v>754</v>
      </c>
      <c r="D458" s="213"/>
      <c r="E458" s="213"/>
      <c r="F458" s="211">
        <f>INDEX($C$348:$AN$370, MATCH("New Customers 3MS", $C$348:$C$370, 0), MATCH($C458, $C$348:$AN$348, 0))</f>
        <v>0</v>
      </c>
      <c r="G458" s="211"/>
      <c r="H458" s="211"/>
      <c r="I458" s="211">
        <f>F458*(1-E456)</f>
        <v>0</v>
      </c>
      <c r="J458" s="211"/>
      <c r="K458" s="211"/>
      <c r="L458" s="211">
        <f>F458*(1-H456)</f>
        <v>0</v>
      </c>
      <c r="M458" s="211"/>
      <c r="N458" s="211"/>
      <c r="O458" s="211">
        <f>F458*(1-K456)</f>
        <v>0</v>
      </c>
      <c r="P458" s="211"/>
      <c r="Q458" s="211"/>
      <c r="R458" s="211">
        <f>F458*(1-N456)</f>
        <v>0</v>
      </c>
      <c r="S458" s="211"/>
      <c r="T458" s="211"/>
      <c r="U458" s="211">
        <f>F458*(1-Q456)</f>
        <v>0</v>
      </c>
      <c r="V458" s="211"/>
      <c r="W458" s="211"/>
      <c r="X458" s="211">
        <f>F458*(1-T456)</f>
        <v>0</v>
      </c>
      <c r="Y458" s="211"/>
      <c r="Z458" s="211"/>
      <c r="AA458" s="211">
        <f>F458*(1-W456)</f>
        <v>0</v>
      </c>
      <c r="AB458" s="211"/>
      <c r="AC458" s="211"/>
      <c r="AD458" s="211">
        <f>F458*(1-Z456)</f>
        <v>0</v>
      </c>
      <c r="AE458" s="211"/>
      <c r="AF458" s="211"/>
      <c r="AG458" s="211">
        <f>F458*(1-AC456)</f>
        <v>0</v>
      </c>
      <c r="AH458" s="211"/>
      <c r="AI458" s="211"/>
      <c r="AJ458" s="211">
        <f>F458*(1-AF456)</f>
        <v>0</v>
      </c>
      <c r="AK458" s="211"/>
      <c r="AL458" s="211"/>
      <c r="AM458" s="211">
        <f>F458*(1-AI456)</f>
        <v>0</v>
      </c>
      <c r="AN458" s="211"/>
    </row>
    <row r="459" spans="2:40" s="7" customFormat="1" ht="12" customHeight="1" outlineLevel="3">
      <c r="B459" s="245"/>
      <c r="C459" s="213" t="s">
        <v>755</v>
      </c>
      <c r="D459" s="213"/>
      <c r="E459" s="213"/>
      <c r="F459" s="213"/>
      <c r="G459" s="211">
        <f>INDEX($C$348:$AN$370, MATCH("New Customers 3MS", $C$348:$C$370, 0), MATCH($C459, $C$348:$AN$348, 0))</f>
        <v>0</v>
      </c>
      <c r="H459" s="211"/>
      <c r="I459" s="211"/>
      <c r="J459" s="211">
        <f>G459*(1-E456)</f>
        <v>0</v>
      </c>
      <c r="K459" s="211"/>
      <c r="L459" s="211"/>
      <c r="M459" s="211">
        <f>G459*(1-H456)</f>
        <v>0</v>
      </c>
      <c r="N459" s="211"/>
      <c r="O459" s="211"/>
      <c r="P459" s="211">
        <f>G459*(1-K456)</f>
        <v>0</v>
      </c>
      <c r="Q459" s="211"/>
      <c r="R459" s="211"/>
      <c r="S459" s="211">
        <f>G459*(1-N456)</f>
        <v>0</v>
      </c>
      <c r="T459" s="211"/>
      <c r="U459" s="211"/>
      <c r="V459" s="211">
        <f>G459*(1-Q456)</f>
        <v>0</v>
      </c>
      <c r="W459" s="211"/>
      <c r="X459" s="211"/>
      <c r="Y459" s="211">
        <f>G459*(1-T456)</f>
        <v>0</v>
      </c>
      <c r="Z459" s="211"/>
      <c r="AA459" s="211"/>
      <c r="AB459" s="211">
        <f>G459*(1-W456)</f>
        <v>0</v>
      </c>
      <c r="AC459" s="211"/>
      <c r="AD459" s="211"/>
      <c r="AE459" s="211">
        <f>G459*(1-Z456)</f>
        <v>0</v>
      </c>
      <c r="AF459" s="211"/>
      <c r="AG459" s="211"/>
      <c r="AH459" s="211">
        <f>G459*(1-AC456)</f>
        <v>0</v>
      </c>
      <c r="AI459" s="211"/>
      <c r="AJ459" s="211"/>
      <c r="AK459" s="211">
        <f>G459*(1-AF456)</f>
        <v>0</v>
      </c>
      <c r="AL459" s="211"/>
      <c r="AM459" s="211"/>
      <c r="AN459" s="211">
        <f>G459*(1-AI456)</f>
        <v>0</v>
      </c>
    </row>
    <row r="460" spans="2:40" s="7" customFormat="1" ht="12" customHeight="1" outlineLevel="3">
      <c r="B460" s="245"/>
      <c r="C460" s="213" t="s">
        <v>756</v>
      </c>
      <c r="D460" s="213"/>
      <c r="E460" s="213"/>
      <c r="F460" s="213"/>
      <c r="G460" s="213"/>
      <c r="H460" s="211">
        <f>INDEX($C$348:$AN$370, MATCH("New Customers 3MS", $C$348:$C$370, 0), MATCH($C460, $C$348:$AN$348, 0))</f>
        <v>0</v>
      </c>
      <c r="I460" s="211"/>
      <c r="J460" s="211"/>
      <c r="K460" s="211">
        <f>H460*(1-E456)</f>
        <v>0</v>
      </c>
      <c r="L460" s="211"/>
      <c r="M460" s="211"/>
      <c r="N460" s="211">
        <f>H460*(1-H456)</f>
        <v>0</v>
      </c>
      <c r="O460" s="211"/>
      <c r="P460" s="211"/>
      <c r="Q460" s="211">
        <f>H460*(1-K456)</f>
        <v>0</v>
      </c>
      <c r="R460" s="211"/>
      <c r="S460" s="211"/>
      <c r="T460" s="211">
        <f>H460*(1-N456)</f>
        <v>0</v>
      </c>
      <c r="U460" s="211"/>
      <c r="V460" s="211"/>
      <c r="W460" s="211">
        <f>H460*(1-Q456)</f>
        <v>0</v>
      </c>
      <c r="X460" s="211"/>
      <c r="Y460" s="211"/>
      <c r="Z460" s="211">
        <f>H460*(1-T456)</f>
        <v>0</v>
      </c>
      <c r="AA460" s="211"/>
      <c r="AB460" s="211"/>
      <c r="AC460" s="211">
        <f>H460*(1-W456)</f>
        <v>0</v>
      </c>
      <c r="AD460" s="211"/>
      <c r="AE460" s="211"/>
      <c r="AF460" s="211">
        <f>H460*(1-Z456)</f>
        <v>0</v>
      </c>
      <c r="AG460" s="211"/>
      <c r="AH460" s="211"/>
      <c r="AI460" s="211">
        <f>H460*(1-AC456)</f>
        <v>0</v>
      </c>
      <c r="AJ460" s="211"/>
      <c r="AK460" s="211"/>
      <c r="AL460" s="211">
        <f>H460*(1-AF456)</f>
        <v>0</v>
      </c>
      <c r="AM460" s="211"/>
      <c r="AN460" s="211"/>
    </row>
    <row r="461" spans="2:40" s="7" customFormat="1" ht="12" customHeight="1" outlineLevel="3">
      <c r="B461" s="245"/>
      <c r="C461" s="213" t="s">
        <v>757</v>
      </c>
      <c r="D461" s="213"/>
      <c r="E461" s="213"/>
      <c r="F461" s="213"/>
      <c r="G461" s="213"/>
      <c r="H461" s="213"/>
      <c r="I461" s="211">
        <f>INDEX($C$348:$AN$370, MATCH("New Customers 3MS", $C$348:$C$370, 0), MATCH($C461, $C$348:$AN$348, 0))</f>
        <v>0</v>
      </c>
      <c r="J461" s="211"/>
      <c r="K461" s="211"/>
      <c r="L461" s="211">
        <f>I461*(1-E456)</f>
        <v>0</v>
      </c>
      <c r="M461" s="211"/>
      <c r="N461" s="211"/>
      <c r="O461" s="211">
        <f>I461*(1-H456)</f>
        <v>0</v>
      </c>
      <c r="P461" s="211"/>
      <c r="Q461" s="211"/>
      <c r="R461" s="211">
        <f>I461*(1-K456)</f>
        <v>0</v>
      </c>
      <c r="S461" s="211"/>
      <c r="T461" s="211"/>
      <c r="U461" s="211">
        <f>I461*(1-N456)</f>
        <v>0</v>
      </c>
      <c r="V461" s="211"/>
      <c r="W461" s="211"/>
      <c r="X461" s="211">
        <f>I461*(1-Q456)</f>
        <v>0</v>
      </c>
      <c r="Y461" s="211"/>
      <c r="Z461" s="211"/>
      <c r="AA461" s="211">
        <f>I461*(1-T456)</f>
        <v>0</v>
      </c>
      <c r="AB461" s="211"/>
      <c r="AC461" s="211"/>
      <c r="AD461" s="211">
        <f>I461*(1-W456)</f>
        <v>0</v>
      </c>
      <c r="AE461" s="211"/>
      <c r="AF461" s="211"/>
      <c r="AG461" s="211">
        <f>I461*(1-Z456)</f>
        <v>0</v>
      </c>
      <c r="AH461" s="211"/>
      <c r="AI461" s="211"/>
      <c r="AJ461" s="211">
        <f>I461*(1-AC456)</f>
        <v>0</v>
      </c>
      <c r="AK461" s="211"/>
      <c r="AL461" s="211"/>
      <c r="AM461" s="211">
        <f>I461*(1-AF456)</f>
        <v>0</v>
      </c>
      <c r="AN461" s="211"/>
    </row>
    <row r="462" spans="2:40" s="7" customFormat="1" ht="12" customHeight="1" outlineLevel="3">
      <c r="B462" s="245"/>
      <c r="C462" s="213" t="s">
        <v>758</v>
      </c>
      <c r="D462" s="213"/>
      <c r="E462" s="213"/>
      <c r="F462" s="213"/>
      <c r="G462" s="213"/>
      <c r="H462" s="213"/>
      <c r="I462" s="213"/>
      <c r="J462" s="211">
        <f>INDEX($C$348:$AN$370, MATCH("New Customers 3MS", $C$348:$C$370, 0), MATCH($C462, $C$348:$AN$348, 0))</f>
        <v>270.3</v>
      </c>
      <c r="K462" s="211"/>
      <c r="L462" s="211"/>
      <c r="M462" s="211">
        <f>J462*(1-E456)</f>
        <v>27.029999999999994</v>
      </c>
      <c r="N462" s="211"/>
      <c r="O462" s="211"/>
      <c r="P462" s="211">
        <f>J462*(1-H456)</f>
        <v>148.66500000000002</v>
      </c>
      <c r="Q462" s="211"/>
      <c r="R462" s="211"/>
      <c r="S462" s="211">
        <f>J462*(1-K456)</f>
        <v>200.02200000000002</v>
      </c>
      <c r="T462" s="211"/>
      <c r="U462" s="211"/>
      <c r="V462" s="211">
        <f>J462*(1-N456)</f>
        <v>227.05199999999999</v>
      </c>
      <c r="W462" s="211"/>
      <c r="X462" s="211"/>
      <c r="Y462" s="211">
        <f>J462*(1-Q456)</f>
        <v>232.458</v>
      </c>
      <c r="Z462" s="211"/>
      <c r="AA462" s="211"/>
      <c r="AB462" s="211">
        <f>J462*(1-T456)</f>
        <v>243.27</v>
      </c>
      <c r="AC462" s="211"/>
      <c r="AD462" s="211"/>
      <c r="AE462" s="211">
        <f>J462*(1-W456)</f>
        <v>243.27</v>
      </c>
      <c r="AF462" s="211"/>
      <c r="AG462" s="211"/>
      <c r="AH462" s="211">
        <f>J462*(1-Z456)</f>
        <v>248.67600000000002</v>
      </c>
      <c r="AI462" s="211"/>
      <c r="AJ462" s="211"/>
      <c r="AK462" s="211">
        <f>J462*(1-AC456)</f>
        <v>248.67600000000002</v>
      </c>
      <c r="AL462" s="211"/>
      <c r="AM462" s="211"/>
      <c r="AN462" s="211">
        <f>J462*(1-AF456)</f>
        <v>251.37899999999999</v>
      </c>
    </row>
    <row r="463" spans="2:40" s="7" customFormat="1" ht="12" customHeight="1" outlineLevel="3">
      <c r="B463" s="245"/>
      <c r="C463" s="213" t="s">
        <v>759</v>
      </c>
      <c r="D463" s="213"/>
      <c r="E463" s="213"/>
      <c r="F463" s="213"/>
      <c r="G463" s="213"/>
      <c r="H463" s="213"/>
      <c r="I463" s="213"/>
      <c r="J463" s="213"/>
      <c r="K463" s="211">
        <f>INDEX($C$348:$AN$370, MATCH("New Customers 3MS", $C$348:$C$370, 0), MATCH($C463, $C$348:$AN$348, 0))</f>
        <v>250.5</v>
      </c>
      <c r="L463" s="211"/>
      <c r="M463" s="211"/>
      <c r="N463" s="211">
        <f>K463*(1-E456)</f>
        <v>25.049999999999994</v>
      </c>
      <c r="O463" s="211"/>
      <c r="P463" s="211"/>
      <c r="Q463" s="211">
        <f>K463*(1-H456)</f>
        <v>137.77500000000001</v>
      </c>
      <c r="R463" s="211"/>
      <c r="S463" s="211"/>
      <c r="T463" s="211">
        <f>K463*(1-K456)</f>
        <v>185.37</v>
      </c>
      <c r="U463" s="211"/>
      <c r="V463" s="211"/>
      <c r="W463" s="211">
        <f>K463*(1-N456)</f>
        <v>210.42</v>
      </c>
      <c r="X463" s="211"/>
      <c r="Y463" s="211"/>
      <c r="Z463" s="211">
        <f>K463*(1-Q456)</f>
        <v>215.43</v>
      </c>
      <c r="AA463" s="211"/>
      <c r="AB463" s="211"/>
      <c r="AC463" s="211">
        <f>K463*(1-T456)</f>
        <v>225.45000000000002</v>
      </c>
      <c r="AD463" s="211"/>
      <c r="AE463" s="211"/>
      <c r="AF463" s="211">
        <f>K463*(1-W456)</f>
        <v>225.45000000000002</v>
      </c>
      <c r="AG463" s="211"/>
      <c r="AH463" s="211"/>
      <c r="AI463" s="211">
        <f>K463*(1-Z456)</f>
        <v>230.46</v>
      </c>
      <c r="AJ463" s="211"/>
      <c r="AK463" s="211"/>
      <c r="AL463" s="211">
        <f>K463*(1-AC456)</f>
        <v>230.46</v>
      </c>
      <c r="AM463" s="211"/>
      <c r="AN463" s="211"/>
    </row>
    <row r="464" spans="2:40" s="7" customFormat="1" ht="12" customHeight="1" outlineLevel="3">
      <c r="B464" s="245"/>
      <c r="C464" s="213" t="s">
        <v>760</v>
      </c>
      <c r="D464" s="213"/>
      <c r="E464" s="213"/>
      <c r="F464" s="213"/>
      <c r="G464" s="213"/>
      <c r="H464" s="213"/>
      <c r="I464" s="213"/>
      <c r="J464" s="213"/>
      <c r="K464" s="213"/>
      <c r="L464" s="211">
        <f>INDEX($C$348:$AN$370, MATCH("New Customers 3MS", $C$348:$C$370, 0), MATCH($C464, $C$348:$AN$348, 0))</f>
        <v>127.64999999999999</v>
      </c>
      <c r="M464" s="211"/>
      <c r="N464" s="211"/>
      <c r="O464" s="211">
        <f>L464*(1-E456)</f>
        <v>12.764999999999997</v>
      </c>
      <c r="P464" s="211"/>
      <c r="Q464" s="211"/>
      <c r="R464" s="211">
        <f>L464*(1-H456)</f>
        <v>70.207499999999996</v>
      </c>
      <c r="S464" s="211"/>
      <c r="T464" s="211"/>
      <c r="U464" s="211">
        <f>L464*(1-K456)</f>
        <v>94.460999999999999</v>
      </c>
      <c r="V464" s="211"/>
      <c r="W464" s="211"/>
      <c r="X464" s="211">
        <f>L464*(1-N456)</f>
        <v>107.22599999999998</v>
      </c>
      <c r="Y464" s="211"/>
      <c r="Z464" s="211"/>
      <c r="AA464" s="211">
        <f>L464*(1-Q456)</f>
        <v>109.779</v>
      </c>
      <c r="AB464" s="211"/>
      <c r="AC464" s="211"/>
      <c r="AD464" s="211">
        <f>L464*(1-T456)</f>
        <v>114.88499999999999</v>
      </c>
      <c r="AE464" s="211"/>
      <c r="AF464" s="211"/>
      <c r="AG464" s="211">
        <f>L464*(1-W456)</f>
        <v>114.88499999999999</v>
      </c>
      <c r="AH464" s="211"/>
      <c r="AI464" s="211"/>
      <c r="AJ464" s="211">
        <f>L464*(1-Z456)</f>
        <v>117.438</v>
      </c>
      <c r="AK464" s="211"/>
      <c r="AL464" s="211"/>
      <c r="AM464" s="211">
        <f>L464*(1-AC456)</f>
        <v>117.438</v>
      </c>
      <c r="AN464" s="211"/>
    </row>
    <row r="465" spans="2:40" s="7" customFormat="1" ht="12" customHeight="1" outlineLevel="3">
      <c r="B465" s="245"/>
      <c r="C465" s="213" t="s">
        <v>761</v>
      </c>
      <c r="D465" s="213"/>
      <c r="E465" s="213"/>
      <c r="F465" s="213"/>
      <c r="G465" s="213"/>
      <c r="H465" s="213"/>
      <c r="I465" s="213"/>
      <c r="J465" s="213"/>
      <c r="K465" s="213"/>
      <c r="L465" s="213"/>
      <c r="M465" s="211">
        <f>INDEX($C$348:$AN$370, MATCH("New Customers 3MS", $C$348:$C$370, 0), MATCH($C465, $C$348:$AN$348, 0))</f>
        <v>121.00000000000003</v>
      </c>
      <c r="N465" s="211"/>
      <c r="O465" s="211"/>
      <c r="P465" s="211">
        <f>M465*(1-E456)</f>
        <v>12.1</v>
      </c>
      <c r="Q465" s="211"/>
      <c r="R465" s="211"/>
      <c r="S465" s="211">
        <f>M465*(1-H456)</f>
        <v>66.550000000000026</v>
      </c>
      <c r="T465" s="211"/>
      <c r="U465" s="211"/>
      <c r="V465" s="211">
        <f>M465*(1-K456)</f>
        <v>89.54000000000002</v>
      </c>
      <c r="W465" s="211"/>
      <c r="X465" s="211"/>
      <c r="Y465" s="211">
        <f>M465*(1-N456)</f>
        <v>101.64000000000001</v>
      </c>
      <c r="Z465" s="211"/>
      <c r="AA465" s="211"/>
      <c r="AB465" s="211">
        <f>M465*(1-Q456)</f>
        <v>104.06000000000002</v>
      </c>
      <c r="AC465" s="211"/>
      <c r="AD465" s="211"/>
      <c r="AE465" s="211">
        <f>M465*(1-T456)</f>
        <v>108.90000000000003</v>
      </c>
      <c r="AF465" s="211"/>
      <c r="AG465" s="211"/>
      <c r="AH465" s="211">
        <f>M465*(1-W456)</f>
        <v>108.90000000000003</v>
      </c>
      <c r="AI465" s="211"/>
      <c r="AJ465" s="211"/>
      <c r="AK465" s="211">
        <f>M465*(1-Z456)</f>
        <v>111.32000000000004</v>
      </c>
      <c r="AL465" s="211"/>
      <c r="AM465" s="211"/>
      <c r="AN465" s="211">
        <f>M465*(1-AC456)</f>
        <v>111.32000000000004</v>
      </c>
    </row>
    <row r="466" spans="2:40" s="7" customFormat="1" ht="12" customHeight="1" outlineLevel="3">
      <c r="B466" s="245"/>
      <c r="C466" s="213" t="s">
        <v>762</v>
      </c>
      <c r="D466" s="213"/>
      <c r="E466" s="213"/>
      <c r="F466" s="213"/>
      <c r="G466" s="213"/>
      <c r="H466" s="213"/>
      <c r="I466" s="213"/>
      <c r="J466" s="213"/>
      <c r="K466" s="213"/>
      <c r="L466" s="213"/>
      <c r="M466" s="213"/>
      <c r="N466" s="211">
        <f>INDEX($C$348:$AN$370, MATCH("New Customers 3MS", $C$348:$C$370, 0), MATCH($C466, $C$348:$AN$348, 0))</f>
        <v>121.00000000000003</v>
      </c>
      <c r="O466" s="211"/>
      <c r="P466" s="211"/>
      <c r="Q466" s="211">
        <f>N466*(1-E456)</f>
        <v>12.1</v>
      </c>
      <c r="R466" s="211"/>
      <c r="S466" s="211"/>
      <c r="T466" s="211">
        <f>N466*(1-H456)</f>
        <v>66.550000000000026</v>
      </c>
      <c r="U466" s="211"/>
      <c r="V466" s="211"/>
      <c r="W466" s="211">
        <f>N466*(1-K456)</f>
        <v>89.54000000000002</v>
      </c>
      <c r="X466" s="211"/>
      <c r="Y466" s="211"/>
      <c r="Z466" s="211">
        <f>N466*(1-N456)</f>
        <v>101.64000000000001</v>
      </c>
      <c r="AA466" s="211"/>
      <c r="AB466" s="211"/>
      <c r="AC466" s="211">
        <f>N466*(1-Q456)</f>
        <v>104.06000000000002</v>
      </c>
      <c r="AD466" s="211"/>
      <c r="AE466" s="211"/>
      <c r="AF466" s="211">
        <f>N466*(1-T456)</f>
        <v>108.90000000000003</v>
      </c>
      <c r="AG466" s="211"/>
      <c r="AH466" s="211"/>
      <c r="AI466" s="211">
        <f>N466*(1-W456)</f>
        <v>108.90000000000003</v>
      </c>
      <c r="AJ466" s="211"/>
      <c r="AK466" s="211"/>
      <c r="AL466" s="211">
        <f>N466*(1-Z456)</f>
        <v>111.32000000000004</v>
      </c>
      <c r="AM466" s="211"/>
      <c r="AN466" s="211"/>
    </row>
    <row r="467" spans="2:40" s="7" customFormat="1" ht="12" customHeight="1" outlineLevel="3">
      <c r="B467" s="245"/>
      <c r="C467" s="213" t="s">
        <v>763</v>
      </c>
      <c r="D467" s="213"/>
      <c r="E467" s="213"/>
      <c r="F467" s="213"/>
      <c r="G467" s="213"/>
      <c r="H467" s="213"/>
      <c r="I467" s="213"/>
      <c r="J467" s="213"/>
      <c r="K467" s="213"/>
      <c r="L467" s="213"/>
      <c r="M467" s="213"/>
      <c r="N467" s="213"/>
      <c r="O467" s="211">
        <f>INDEX($C$348:$AN$370, MATCH("New Customers 3MS", $C$348:$C$370, 0), MATCH($C467, $C$348:$AN$348, 0))</f>
        <v>26.400000000000002</v>
      </c>
      <c r="P467" s="211"/>
      <c r="Q467" s="211"/>
      <c r="R467" s="211">
        <f>O467*(1-E456)</f>
        <v>2.6399999999999997</v>
      </c>
      <c r="S467" s="211"/>
      <c r="T467" s="211"/>
      <c r="U467" s="211">
        <f>O467*(1-H456)</f>
        <v>14.520000000000003</v>
      </c>
      <c r="V467" s="211"/>
      <c r="W467" s="211"/>
      <c r="X467" s="211">
        <f>O467*(1-K456)</f>
        <v>19.536000000000001</v>
      </c>
      <c r="Y467" s="211"/>
      <c r="Z467" s="211"/>
      <c r="AA467" s="211">
        <f>O467*(1-N456)</f>
        <v>22.176000000000002</v>
      </c>
      <c r="AB467" s="211"/>
      <c r="AC467" s="211"/>
      <c r="AD467" s="211">
        <f>O467*(1-Q456)</f>
        <v>22.704000000000001</v>
      </c>
      <c r="AE467" s="211"/>
      <c r="AF467" s="211"/>
      <c r="AG467" s="211">
        <f>O467*(1-T456)</f>
        <v>23.76</v>
      </c>
      <c r="AH467" s="211"/>
      <c r="AI467" s="211"/>
      <c r="AJ467" s="211">
        <f>O467*(1-W456)</f>
        <v>23.76</v>
      </c>
      <c r="AK467" s="211"/>
      <c r="AL467" s="211"/>
      <c r="AM467" s="211">
        <f>O467*(1-Z456)</f>
        <v>24.288000000000004</v>
      </c>
      <c r="AN467" s="211"/>
    </row>
    <row r="468" spans="2:40" s="7" customFormat="1" ht="12" customHeight="1" outlineLevel="3">
      <c r="B468" s="245"/>
      <c r="C468" s="213" t="s">
        <v>764</v>
      </c>
      <c r="D468" s="213"/>
      <c r="E468" s="213"/>
      <c r="F468" s="213"/>
      <c r="G468" s="213"/>
      <c r="H468" s="213"/>
      <c r="I468" s="213"/>
      <c r="J468" s="213"/>
      <c r="K468" s="213"/>
      <c r="L468" s="213"/>
      <c r="M468" s="213"/>
      <c r="N468" s="213"/>
      <c r="O468" s="213"/>
      <c r="P468" s="211">
        <f>INDEX($C$348:$AN$370, MATCH("New Customers 3MS", $C$348:$C$370, 0), MATCH($C468, $C$348:$AN$348, 0))</f>
        <v>26.400000000000002</v>
      </c>
      <c r="Q468" s="211"/>
      <c r="R468" s="211"/>
      <c r="S468" s="211">
        <f>P468*(1-E456)</f>
        <v>2.6399999999999997</v>
      </c>
      <c r="T468" s="211"/>
      <c r="U468" s="211"/>
      <c r="V468" s="211">
        <f>P468*(1-H456)</f>
        <v>14.520000000000003</v>
      </c>
      <c r="W468" s="211"/>
      <c r="X468" s="211"/>
      <c r="Y468" s="211">
        <f>P468*(1-K456)</f>
        <v>19.536000000000001</v>
      </c>
      <c r="Z468" s="211"/>
      <c r="AA468" s="211"/>
      <c r="AB468" s="211">
        <f>P468*(1-N456)</f>
        <v>22.176000000000002</v>
      </c>
      <c r="AC468" s="211"/>
      <c r="AD468" s="211"/>
      <c r="AE468" s="211">
        <f>P468*(1-Q456)</f>
        <v>22.704000000000001</v>
      </c>
      <c r="AF468" s="211"/>
      <c r="AG468" s="211"/>
      <c r="AH468" s="211">
        <f>P468*(1-T456)</f>
        <v>23.76</v>
      </c>
      <c r="AI468" s="211"/>
      <c r="AJ468" s="211"/>
      <c r="AK468" s="211">
        <f>P468*(1-W456)</f>
        <v>23.76</v>
      </c>
      <c r="AL468" s="211"/>
      <c r="AM468" s="211"/>
      <c r="AN468" s="211">
        <f>P468*(1-Z456)</f>
        <v>24.288000000000004</v>
      </c>
    </row>
    <row r="469" spans="2:40" s="7" customFormat="1" ht="12" customHeight="1" outlineLevel="3">
      <c r="B469" s="245"/>
      <c r="C469" s="213" t="s">
        <v>765</v>
      </c>
      <c r="D469" s="213"/>
      <c r="E469" s="213"/>
      <c r="F469" s="213"/>
      <c r="G469" s="213"/>
      <c r="H469" s="213"/>
      <c r="I469" s="213"/>
      <c r="J469" s="213"/>
      <c r="K469" s="213"/>
      <c r="L469" s="213"/>
      <c r="M469" s="213"/>
      <c r="N469" s="213"/>
      <c r="O469" s="213"/>
      <c r="P469" s="213"/>
      <c r="Q469" s="211">
        <f>INDEX($C$348:$AN$370, MATCH("New Customers 3MS", $C$348:$C$370, 0), MATCH($C469, $C$348:$AN$348, 0))</f>
        <v>41.800000000000004</v>
      </c>
      <c r="R469" s="211"/>
      <c r="S469" s="211"/>
      <c r="T469" s="211">
        <f>Q469*(1-E456)</f>
        <v>4.18</v>
      </c>
      <c r="U469" s="211"/>
      <c r="V469" s="211"/>
      <c r="W469" s="211">
        <f>Q469*(1-H456)</f>
        <v>22.990000000000006</v>
      </c>
      <c r="X469" s="211"/>
      <c r="Y469" s="211"/>
      <c r="Z469" s="211">
        <f>Q469*(1-K456)</f>
        <v>30.932000000000002</v>
      </c>
      <c r="AA469" s="211"/>
      <c r="AB469" s="211"/>
      <c r="AC469" s="211">
        <f>Q469*(1-N456)</f>
        <v>35.112000000000002</v>
      </c>
      <c r="AD469" s="211"/>
      <c r="AE469" s="211"/>
      <c r="AF469" s="211">
        <f>Q469*(1-Q456)</f>
        <v>35.948</v>
      </c>
      <c r="AG469" s="211"/>
      <c r="AH469" s="211"/>
      <c r="AI469" s="211">
        <f>Q469*(1-T456)</f>
        <v>37.620000000000005</v>
      </c>
      <c r="AJ469" s="211"/>
      <c r="AK469" s="211"/>
      <c r="AL469" s="211">
        <f>Q469*(1-W456)</f>
        <v>37.620000000000005</v>
      </c>
      <c r="AM469" s="211"/>
      <c r="AN469" s="211"/>
    </row>
    <row r="470" spans="2:40" s="7" customFormat="1" ht="12" customHeight="1" outlineLevel="3">
      <c r="B470" s="245"/>
      <c r="C470" s="213" t="s">
        <v>766</v>
      </c>
      <c r="D470" s="213"/>
      <c r="E470" s="213"/>
      <c r="F470" s="213"/>
      <c r="G470" s="213"/>
      <c r="H470" s="213"/>
      <c r="I470" s="213"/>
      <c r="J470" s="213"/>
      <c r="K470" s="213"/>
      <c r="L470" s="213"/>
      <c r="M470" s="213"/>
      <c r="N470" s="213"/>
      <c r="O470" s="213"/>
      <c r="P470" s="213"/>
      <c r="Q470" s="213"/>
      <c r="R470" s="211">
        <f>INDEX($C$348:$AN$370, MATCH("New Customers 3MS", $C$348:$C$370, 0), MATCH($C470, $C$348:$AN$348, 0))</f>
        <v>50.160000000000004</v>
      </c>
      <c r="S470" s="211"/>
      <c r="T470" s="211"/>
      <c r="U470" s="211">
        <f>R470*(1-E456)</f>
        <v>5.0159999999999991</v>
      </c>
      <c r="V470" s="211"/>
      <c r="W470" s="211"/>
      <c r="X470" s="211">
        <f>R470*(1-H456)</f>
        <v>27.588000000000005</v>
      </c>
      <c r="Y470" s="211"/>
      <c r="Z470" s="211"/>
      <c r="AA470" s="211">
        <f>R470*(1-K456)</f>
        <v>37.118400000000001</v>
      </c>
      <c r="AB470" s="211"/>
      <c r="AC470" s="211"/>
      <c r="AD470" s="211">
        <f>R470*(1-N456)</f>
        <v>42.134399999999999</v>
      </c>
      <c r="AE470" s="211"/>
      <c r="AF470" s="211"/>
      <c r="AG470" s="211">
        <f>R470*(1-Q456)</f>
        <v>43.137599999999999</v>
      </c>
      <c r="AH470" s="211"/>
      <c r="AI470" s="211"/>
      <c r="AJ470" s="211">
        <f>R470*(1-T456)</f>
        <v>45.144000000000005</v>
      </c>
      <c r="AK470" s="211"/>
      <c r="AL470" s="211"/>
      <c r="AM470" s="211">
        <f>R470*(1-W456)</f>
        <v>45.144000000000005</v>
      </c>
      <c r="AN470" s="211"/>
    </row>
    <row r="471" spans="2:40" s="7" customFormat="1" ht="12" customHeight="1" outlineLevel="3">
      <c r="B471" s="245"/>
      <c r="C471" s="213" t="s">
        <v>767</v>
      </c>
      <c r="D471" s="213"/>
      <c r="E471" s="213"/>
      <c r="F471" s="213"/>
      <c r="G471" s="213"/>
      <c r="H471" s="213"/>
      <c r="I471" s="213"/>
      <c r="J471" s="213"/>
      <c r="K471" s="213"/>
      <c r="L471" s="213"/>
      <c r="M471" s="213"/>
      <c r="N471" s="213"/>
      <c r="O471" s="213"/>
      <c r="P471" s="213"/>
      <c r="Q471" s="213"/>
      <c r="R471" s="213"/>
      <c r="S471" s="211">
        <f>INDEX($C$348:$AN$370, MATCH("New Customers 3MS", $C$348:$C$370, 0), MATCH($C471, $C$348:$AN$348, 0))</f>
        <v>55.176000000000016</v>
      </c>
      <c r="T471" s="211"/>
      <c r="U471" s="211"/>
      <c r="V471" s="211">
        <f>S471*(1-E456)</f>
        <v>5.5176000000000007</v>
      </c>
      <c r="W471" s="211"/>
      <c r="X471" s="211"/>
      <c r="Y471" s="211">
        <f>S471*(1-H456)</f>
        <v>30.346800000000012</v>
      </c>
      <c r="Z471" s="211"/>
      <c r="AA471" s="211"/>
      <c r="AB471" s="211">
        <f>S471*(1-K456)</f>
        <v>40.830240000000011</v>
      </c>
      <c r="AC471" s="211"/>
      <c r="AD471" s="211"/>
      <c r="AE471" s="211">
        <f>S471*(1-N456)</f>
        <v>46.347840000000012</v>
      </c>
      <c r="AF471" s="211"/>
      <c r="AG471" s="211"/>
      <c r="AH471" s="211">
        <f>S471*(1-Q456)</f>
        <v>47.451360000000015</v>
      </c>
      <c r="AI471" s="211"/>
      <c r="AJ471" s="211"/>
      <c r="AK471" s="211">
        <f>S471*(1-T456)</f>
        <v>49.658400000000015</v>
      </c>
      <c r="AL471" s="211"/>
      <c r="AM471" s="211"/>
      <c r="AN471" s="211">
        <f>S471*(1-W456)</f>
        <v>49.658400000000015</v>
      </c>
    </row>
    <row r="472" spans="2:40" s="7" customFormat="1" ht="12" customHeight="1" outlineLevel="3">
      <c r="B472" s="245"/>
      <c r="C472" s="213" t="s">
        <v>768</v>
      </c>
      <c r="D472" s="213"/>
      <c r="E472" s="213"/>
      <c r="F472" s="213"/>
      <c r="G472" s="213"/>
      <c r="H472" s="213"/>
      <c r="I472" s="213"/>
      <c r="J472" s="213"/>
      <c r="K472" s="213"/>
      <c r="L472" s="213"/>
      <c r="M472" s="213"/>
      <c r="N472" s="213"/>
      <c r="O472" s="213"/>
      <c r="P472" s="213"/>
      <c r="Q472" s="213"/>
      <c r="R472" s="213"/>
      <c r="S472" s="213"/>
      <c r="T472" s="211">
        <f>INDEX($C$348:$AN$370, MATCH("New Customers 3MS", $C$348:$C$370, 0), MATCH($C472, $C$348:$AN$348, 0))</f>
        <v>30.346800000000009</v>
      </c>
      <c r="U472" s="211"/>
      <c r="V472" s="211"/>
      <c r="W472" s="211">
        <f>T472*(1-E456)</f>
        <v>3.0346800000000003</v>
      </c>
      <c r="X472" s="211"/>
      <c r="Y472" s="211"/>
      <c r="Z472" s="211">
        <f>T472*(1-H456)</f>
        <v>16.690740000000005</v>
      </c>
      <c r="AA472" s="211"/>
      <c r="AB472" s="211"/>
      <c r="AC472" s="211">
        <f>T472*(1-K456)</f>
        <v>22.456632000000006</v>
      </c>
      <c r="AD472" s="211"/>
      <c r="AE472" s="211"/>
      <c r="AF472" s="211">
        <f>T472*(1-N456)</f>
        <v>25.491312000000008</v>
      </c>
      <c r="AG472" s="211"/>
      <c r="AH472" s="211"/>
      <c r="AI472" s="211">
        <f>T472*(1-Q456)</f>
        <v>26.098248000000009</v>
      </c>
      <c r="AJ472" s="211"/>
      <c r="AK472" s="211"/>
      <c r="AL472" s="211">
        <f>T472*(1-T456)</f>
        <v>27.312120000000007</v>
      </c>
      <c r="AM472" s="211"/>
      <c r="AN472" s="211"/>
    </row>
    <row r="473" spans="2:40" s="7" customFormat="1" ht="12" customHeight="1" outlineLevel="3">
      <c r="B473" s="245"/>
      <c r="C473" s="213" t="s">
        <v>769</v>
      </c>
      <c r="D473" s="213"/>
      <c r="E473" s="213"/>
      <c r="F473" s="213"/>
      <c r="G473" s="213"/>
      <c r="H473" s="213"/>
      <c r="I473" s="213"/>
      <c r="J473" s="213"/>
      <c r="K473" s="213"/>
      <c r="L473" s="213"/>
      <c r="M473" s="213"/>
      <c r="N473" s="213"/>
      <c r="O473" s="213"/>
      <c r="P473" s="213"/>
      <c r="Q473" s="213"/>
      <c r="R473" s="213"/>
      <c r="S473" s="213"/>
      <c r="T473" s="213"/>
      <c r="U473" s="211">
        <f>INDEX($C$348:$AN$370, MATCH("New Customers 3MS", $C$348:$C$370, 0), MATCH($C473, $C$348:$AN$348, 0))</f>
        <v>33.381480000000018</v>
      </c>
      <c r="V473" s="211"/>
      <c r="W473" s="211"/>
      <c r="X473" s="211">
        <f>U473*(1-E456)</f>
        <v>3.3381480000000012</v>
      </c>
      <c r="Y473" s="211"/>
      <c r="Z473" s="211"/>
      <c r="AA473" s="211">
        <f>U473*(1-H456)</f>
        <v>18.359814000000011</v>
      </c>
      <c r="AB473" s="211"/>
      <c r="AC473" s="211"/>
      <c r="AD473" s="211">
        <f>U473*(1-K456)</f>
        <v>24.702295200000012</v>
      </c>
      <c r="AE473" s="211"/>
      <c r="AF473" s="211"/>
      <c r="AG473" s="211">
        <f>U473*(1-N456)</f>
        <v>28.040443200000013</v>
      </c>
      <c r="AH473" s="211"/>
      <c r="AI473" s="211"/>
      <c r="AJ473" s="211">
        <f>U473*(1-Q456)</f>
        <v>28.708072800000014</v>
      </c>
      <c r="AK473" s="211"/>
      <c r="AL473" s="211"/>
      <c r="AM473" s="211">
        <f>U473*(1-T456)</f>
        <v>30.043332000000017</v>
      </c>
      <c r="AN473" s="211"/>
    </row>
    <row r="474" spans="2:40" s="7" customFormat="1" ht="12" customHeight="1" outlineLevel="3">
      <c r="B474" s="245"/>
      <c r="C474" s="213" t="s">
        <v>770</v>
      </c>
      <c r="D474" s="213"/>
      <c r="E474" s="213"/>
      <c r="F474" s="213"/>
      <c r="G474" s="213"/>
      <c r="H474" s="213"/>
      <c r="I474" s="213"/>
      <c r="J474" s="213"/>
      <c r="K474" s="213"/>
      <c r="L474" s="213"/>
      <c r="M474" s="213"/>
      <c r="N474" s="213"/>
      <c r="O474" s="213"/>
      <c r="P474" s="213"/>
      <c r="Q474" s="213"/>
      <c r="R474" s="213"/>
      <c r="S474" s="213"/>
      <c r="T474" s="213"/>
      <c r="U474" s="213"/>
      <c r="V474" s="211">
        <f>INDEX($C$348:$AN$370, MATCH("New Customers 3MS", $C$348:$C$370, 0), MATCH($C474, $C$348:$AN$348, 0))</f>
        <v>36.719628000000021</v>
      </c>
      <c r="W474" s="211"/>
      <c r="X474" s="211"/>
      <c r="Y474" s="211">
        <f>V474*(1-E456)</f>
        <v>3.6719628000000015</v>
      </c>
      <c r="Z474" s="211"/>
      <c r="AA474" s="211"/>
      <c r="AB474" s="211">
        <f>V474*(1-H456)</f>
        <v>20.195795400000012</v>
      </c>
      <c r="AC474" s="211"/>
      <c r="AD474" s="211"/>
      <c r="AE474" s="211">
        <f>V474*(1-K456)</f>
        <v>27.172524720000016</v>
      </c>
      <c r="AF474" s="211"/>
      <c r="AG474" s="211"/>
      <c r="AH474" s="211">
        <f>V474*(1-N456)</f>
        <v>30.844487520000015</v>
      </c>
      <c r="AI474" s="211"/>
      <c r="AJ474" s="211"/>
      <c r="AK474" s="211">
        <f>V474*(1-Q456)</f>
        <v>31.578880080000019</v>
      </c>
      <c r="AL474" s="211"/>
      <c r="AM474" s="211"/>
      <c r="AN474" s="211">
        <f>V474*(1-T456)</f>
        <v>33.047665200000019</v>
      </c>
    </row>
    <row r="475" spans="2:40" s="7" customFormat="1" ht="12" customHeight="1" outlineLevel="3">
      <c r="B475" s="245"/>
      <c r="C475" s="213" t="s">
        <v>771</v>
      </c>
      <c r="D475" s="213"/>
      <c r="E475" s="213"/>
      <c r="F475" s="213"/>
      <c r="G475" s="213"/>
      <c r="H475" s="213"/>
      <c r="I475" s="213"/>
      <c r="J475" s="213"/>
      <c r="K475" s="213"/>
      <c r="L475" s="213"/>
      <c r="M475" s="213"/>
      <c r="N475" s="213"/>
      <c r="O475" s="213"/>
      <c r="P475" s="213"/>
      <c r="Q475" s="213"/>
      <c r="R475" s="213"/>
      <c r="S475" s="213"/>
      <c r="T475" s="213"/>
      <c r="U475" s="213"/>
      <c r="V475" s="213"/>
      <c r="W475" s="211">
        <f>INDEX($C$348:$AN$370, MATCH("New Customers 3MS", $C$348:$C$370, 0), MATCH($C475, $C$348:$AN$348, 0))</f>
        <v>38.555609400000037</v>
      </c>
      <c r="X475" s="211"/>
      <c r="Y475" s="211"/>
      <c r="Z475" s="211">
        <f>W475*(1-E456)</f>
        <v>3.8555609400000028</v>
      </c>
      <c r="AA475" s="211"/>
      <c r="AB475" s="211"/>
      <c r="AC475" s="211">
        <f>W475*(1-H456)</f>
        <v>21.20558517000002</v>
      </c>
      <c r="AD475" s="211"/>
      <c r="AE475" s="211"/>
      <c r="AF475" s="211">
        <f>W475*(1-K456)</f>
        <v>28.531150956000026</v>
      </c>
      <c r="AG475" s="211"/>
      <c r="AH475" s="211"/>
      <c r="AI475" s="211">
        <f>W475*(1-N456)</f>
        <v>32.38671189600003</v>
      </c>
      <c r="AJ475" s="211"/>
      <c r="AK475" s="211"/>
      <c r="AL475" s="211">
        <f>W475*(1-Q456)</f>
        <v>33.157824084000033</v>
      </c>
      <c r="AM475" s="211"/>
      <c r="AN475" s="211"/>
    </row>
    <row r="476" spans="2:40" s="7" customFormat="1" ht="12" customHeight="1" outlineLevel="3">
      <c r="B476" s="245"/>
      <c r="C476" s="213" t="s">
        <v>772</v>
      </c>
      <c r="D476" s="213"/>
      <c r="E476" s="213"/>
      <c r="F476" s="213"/>
      <c r="G476" s="213"/>
      <c r="H476" s="213"/>
      <c r="I476" s="213"/>
      <c r="J476" s="213"/>
      <c r="K476" s="213"/>
      <c r="L476" s="213"/>
      <c r="M476" s="213"/>
      <c r="N476" s="213"/>
      <c r="O476" s="213"/>
      <c r="P476" s="213"/>
      <c r="Q476" s="213"/>
      <c r="R476" s="213"/>
      <c r="S476" s="213"/>
      <c r="T476" s="213"/>
      <c r="U476" s="213"/>
      <c r="V476" s="213"/>
      <c r="W476" s="213"/>
      <c r="X476" s="211">
        <f>INDEX($C$348:$AN$370, MATCH("New Customers 3MS", $C$348:$C$370, 0), MATCH($C476, $C$348:$AN$348, 0))</f>
        <v>40.483389870000025</v>
      </c>
      <c r="Y476" s="211"/>
      <c r="Z476" s="211"/>
      <c r="AA476" s="211">
        <f>X476*(1-E456)</f>
        <v>4.0483389870000019</v>
      </c>
      <c r="AB476" s="211"/>
      <c r="AC476" s="211"/>
      <c r="AD476" s="211">
        <f>X476*(1-H456)</f>
        <v>22.265864428500016</v>
      </c>
      <c r="AE476" s="211"/>
      <c r="AF476" s="211"/>
      <c r="AG476" s="211">
        <f>X476*(1-K456)</f>
        <v>29.957708503800017</v>
      </c>
      <c r="AH476" s="211"/>
      <c r="AI476" s="211"/>
      <c r="AJ476" s="211">
        <f>X476*(1-N456)</f>
        <v>34.006047490800022</v>
      </c>
      <c r="AK476" s="211"/>
      <c r="AL476" s="211"/>
      <c r="AM476" s="211">
        <f>X476*(1-Q456)</f>
        <v>34.815715288200018</v>
      </c>
      <c r="AN476" s="211"/>
    </row>
    <row r="477" spans="2:40" s="7" customFormat="1" ht="12" customHeight="1" outlineLevel="3">
      <c r="B477" s="245"/>
      <c r="C477" s="213" t="s">
        <v>773</v>
      </c>
      <c r="D477" s="213"/>
      <c r="E477" s="213"/>
      <c r="F477" s="213"/>
      <c r="G477" s="213"/>
      <c r="H477" s="213"/>
      <c r="I477" s="213"/>
      <c r="J477" s="213"/>
      <c r="K477" s="213"/>
      <c r="L477" s="213"/>
      <c r="M477" s="213"/>
      <c r="N477" s="213"/>
      <c r="O477" s="213"/>
      <c r="P477" s="213"/>
      <c r="Q477" s="213"/>
      <c r="R477" s="213"/>
      <c r="S477" s="213"/>
      <c r="T477" s="213"/>
      <c r="U477" s="213"/>
      <c r="V477" s="213"/>
      <c r="W477" s="213"/>
      <c r="X477" s="213"/>
      <c r="Y477" s="211">
        <f>INDEX($C$348:$AN$370, MATCH("New Customers 3MS", $C$348:$C$370, 0), MATCH($C477, $C$348:$AN$348, 0))</f>
        <v>42.507559363500029</v>
      </c>
      <c r="Z477" s="211"/>
      <c r="AA477" s="211"/>
      <c r="AB477" s="211">
        <f>Y477*(1-E456)</f>
        <v>4.2507559363500018</v>
      </c>
      <c r="AC477" s="211"/>
      <c r="AD477" s="211"/>
      <c r="AE477" s="211">
        <f>Y477*(1-H456)</f>
        <v>23.379157649925016</v>
      </c>
      <c r="AF477" s="211"/>
      <c r="AG477" s="211"/>
      <c r="AH477" s="211">
        <f>Y477*(1-K456)</f>
        <v>31.455593928990019</v>
      </c>
      <c r="AI477" s="211"/>
      <c r="AJ477" s="211"/>
      <c r="AK477" s="211">
        <f>Y477*(1-N456)</f>
        <v>35.706349865340023</v>
      </c>
      <c r="AL477" s="211"/>
      <c r="AM477" s="211"/>
      <c r="AN477" s="211">
        <f>Y477*(1-Q456)</f>
        <v>36.556501052610024</v>
      </c>
    </row>
    <row r="478" spans="2:40" s="7" customFormat="1" ht="12" customHeight="1" outlineLevel="3">
      <c r="B478" s="245"/>
      <c r="C478" s="213" t="s">
        <v>774</v>
      </c>
      <c r="D478" s="213"/>
      <c r="E478" s="213"/>
      <c r="F478" s="213"/>
      <c r="G478" s="213"/>
      <c r="H478" s="213"/>
      <c r="I478" s="213"/>
      <c r="J478" s="213"/>
      <c r="K478" s="213"/>
      <c r="L478" s="213"/>
      <c r="M478" s="213"/>
      <c r="N478" s="213"/>
      <c r="O478" s="213"/>
      <c r="P478" s="213"/>
      <c r="Q478" s="213"/>
      <c r="R478" s="213"/>
      <c r="S478" s="213"/>
      <c r="T478" s="213"/>
      <c r="U478" s="213"/>
      <c r="V478" s="213"/>
      <c r="W478" s="213"/>
      <c r="X478" s="213"/>
      <c r="Y478" s="213"/>
      <c r="Z478" s="211">
        <f>INDEX($C$348:$AN$370, MATCH("New Customers 3MS", $C$348:$C$370, 0), MATCH($C478, $C$348:$AN$348, 0))</f>
        <v>44.632937331675038</v>
      </c>
      <c r="AA478" s="211"/>
      <c r="AB478" s="211"/>
      <c r="AC478" s="211">
        <f>Z478*(1-E456)</f>
        <v>4.4632937331675029</v>
      </c>
      <c r="AD478" s="211"/>
      <c r="AE478" s="211"/>
      <c r="AF478" s="211">
        <f>Z478*(1-H456)</f>
        <v>24.548115532421274</v>
      </c>
      <c r="AG478" s="211"/>
      <c r="AH478" s="211"/>
      <c r="AI478" s="211">
        <f>Z478*(1-K456)</f>
        <v>33.028373625439528</v>
      </c>
      <c r="AJ478" s="211"/>
      <c r="AK478" s="211"/>
      <c r="AL478" s="211">
        <f>Z478*(1-N456)</f>
        <v>37.491667358607032</v>
      </c>
      <c r="AM478" s="211"/>
      <c r="AN478" s="211"/>
    </row>
    <row r="479" spans="2:40" s="7" customFormat="1" ht="12" customHeight="1" outlineLevel="3">
      <c r="B479" s="245"/>
      <c r="C479" s="213" t="s">
        <v>775</v>
      </c>
      <c r="D479" s="213"/>
      <c r="E479" s="213"/>
      <c r="F479" s="213"/>
      <c r="G479" s="213"/>
      <c r="H479" s="213"/>
      <c r="I479" s="213"/>
      <c r="J479" s="213"/>
      <c r="K479" s="213"/>
      <c r="L479" s="213"/>
      <c r="M479" s="213"/>
      <c r="N479" s="213"/>
      <c r="O479" s="213"/>
      <c r="P479" s="213"/>
      <c r="Q479" s="213"/>
      <c r="R479" s="213"/>
      <c r="S479" s="213"/>
      <c r="T479" s="213"/>
      <c r="U479" s="213"/>
      <c r="V479" s="213"/>
      <c r="W479" s="213"/>
      <c r="X479" s="213"/>
      <c r="Y479" s="213"/>
      <c r="Z479" s="213"/>
      <c r="AA479" s="211">
        <f>INDEX($C$348:$AN$370, MATCH("New Customers 3MS", $C$348:$C$370, 0), MATCH($C479, $C$348:$AN$348, 0))</f>
        <v>46.864584198258797</v>
      </c>
      <c r="AB479" s="211"/>
      <c r="AC479" s="211"/>
      <c r="AD479" s="211">
        <f>AA479*(1-E456)</f>
        <v>4.686458419825879</v>
      </c>
      <c r="AE479" s="211"/>
      <c r="AF479" s="211"/>
      <c r="AG479" s="211">
        <f>AA479*(1-H456)</f>
        <v>25.77552130904234</v>
      </c>
      <c r="AH479" s="211"/>
      <c r="AI479" s="211"/>
      <c r="AJ479" s="211">
        <f>AA479*(1-K456)</f>
        <v>34.679792306711512</v>
      </c>
      <c r="AK479" s="211"/>
      <c r="AL479" s="211"/>
      <c r="AM479" s="211">
        <f>AA479*(1-N456)</f>
        <v>39.366250726537388</v>
      </c>
      <c r="AN479" s="211"/>
    </row>
    <row r="480" spans="2:40" s="7" customFormat="1" ht="12" customHeight="1" outlineLevel="3">
      <c r="B480" s="245"/>
      <c r="C480" s="213" t="s">
        <v>776</v>
      </c>
      <c r="D480" s="213"/>
      <c r="E480" s="213"/>
      <c r="F480" s="213"/>
      <c r="G480" s="213"/>
      <c r="H480" s="213"/>
      <c r="I480" s="213"/>
      <c r="J480" s="213"/>
      <c r="K480" s="213"/>
      <c r="L480" s="213"/>
      <c r="M480" s="213"/>
      <c r="N480" s="213"/>
      <c r="O480" s="213"/>
      <c r="P480" s="213"/>
      <c r="Q480" s="213"/>
      <c r="R480" s="213"/>
      <c r="S480" s="213"/>
      <c r="T480" s="213"/>
      <c r="U480" s="213"/>
      <c r="V480" s="213"/>
      <c r="W480" s="213"/>
      <c r="X480" s="213"/>
      <c r="Y480" s="213"/>
      <c r="Z480" s="213"/>
      <c r="AA480" s="213"/>
      <c r="AB480" s="211">
        <f>INDEX($C$348:$AN$370, MATCH("New Customers 3MS", $C$348:$C$370, 0), MATCH($C480, $C$348:$AN$348, 0))</f>
        <v>49.207813408171731</v>
      </c>
      <c r="AC480" s="211"/>
      <c r="AD480" s="211"/>
      <c r="AE480" s="211">
        <f>AB480*(1-E456)</f>
        <v>4.9207813408171717</v>
      </c>
      <c r="AF480" s="211"/>
      <c r="AG480" s="211"/>
      <c r="AH480" s="211">
        <f>AB480*(1-H456)</f>
        <v>27.064297374494455</v>
      </c>
      <c r="AI480" s="211"/>
      <c r="AJ480" s="211"/>
      <c r="AK480" s="211">
        <f>AB480*(1-$K$153)</f>
        <v>29.524688044903037</v>
      </c>
      <c r="AL480" s="211"/>
      <c r="AM480" s="211"/>
      <c r="AN480" s="211">
        <f>AB480*(1-N456)</f>
        <v>41.334563262864251</v>
      </c>
    </row>
    <row r="481" spans="2:40" s="7" customFormat="1" ht="12" customHeight="1" outlineLevel="3">
      <c r="B481" s="245"/>
      <c r="C481" s="213" t="s">
        <v>777</v>
      </c>
      <c r="D481" s="213"/>
      <c r="E481" s="213"/>
      <c r="F481" s="213"/>
      <c r="G481" s="213"/>
      <c r="H481" s="213"/>
      <c r="I481" s="213"/>
      <c r="J481" s="213"/>
      <c r="K481" s="213"/>
      <c r="L481" s="213"/>
      <c r="M481" s="213"/>
      <c r="N481" s="213"/>
      <c r="O481" s="213"/>
      <c r="P481" s="213"/>
      <c r="Q481" s="213"/>
      <c r="R481" s="213"/>
      <c r="S481" s="213"/>
      <c r="T481" s="213"/>
      <c r="U481" s="213"/>
      <c r="V481" s="213"/>
      <c r="W481" s="213"/>
      <c r="X481" s="213"/>
      <c r="Y481" s="213"/>
      <c r="Z481" s="213"/>
      <c r="AA481" s="213"/>
      <c r="AB481" s="211"/>
      <c r="AC481" s="211">
        <f>INDEX($C$348:$AN$370, MATCH("New Customers 3MS", $C$348:$C$370, 0), MATCH($C481, $C$348:$AN$348, 0))</f>
        <v>50.191969676335177</v>
      </c>
      <c r="AD481" s="211"/>
      <c r="AE481" s="211"/>
      <c r="AF481" s="211">
        <f>AC481*(1-$E$153)</f>
        <v>2.5095984838167609</v>
      </c>
      <c r="AG481" s="211"/>
      <c r="AH481" s="211"/>
      <c r="AI481" s="211">
        <f>AB480*(1-$H$153)</f>
        <v>24.603906704085865</v>
      </c>
      <c r="AJ481" s="211"/>
      <c r="AK481" s="211"/>
      <c r="AL481" s="211">
        <f>AC481*(1-$K$153)</f>
        <v>30.115181805801104</v>
      </c>
      <c r="AM481" s="211"/>
      <c r="AN481" s="211"/>
    </row>
    <row r="482" spans="2:40" s="7" customFormat="1" ht="12" customHeight="1" outlineLevel="3">
      <c r="B482" s="245"/>
      <c r="C482" s="213" t="s">
        <v>778</v>
      </c>
      <c r="D482" s="213"/>
      <c r="E482" s="213"/>
      <c r="F482" s="213"/>
      <c r="G482" s="213"/>
      <c r="H482" s="213"/>
      <c r="I482" s="213"/>
      <c r="J482" s="213"/>
      <c r="K482" s="213"/>
      <c r="L482" s="213"/>
      <c r="M482" s="213"/>
      <c r="N482" s="213"/>
      <c r="O482" s="213"/>
      <c r="P482" s="213"/>
      <c r="Q482" s="213"/>
      <c r="R482" s="213"/>
      <c r="S482" s="213"/>
      <c r="T482" s="213"/>
      <c r="U482" s="213"/>
      <c r="V482" s="213"/>
      <c r="W482" s="213"/>
      <c r="X482" s="213"/>
      <c r="Y482" s="213"/>
      <c r="Z482" s="213"/>
      <c r="AA482" s="213"/>
      <c r="AB482" s="211"/>
      <c r="AC482" s="211"/>
      <c r="AD482" s="211">
        <f>INDEX($C$348:$AN$370, MATCH("New Customers 3MS", $C$348:$C$370, 0), MATCH($C482, $C$348:$AN$348, 0))</f>
        <v>52.701568160151936</v>
      </c>
      <c r="AE482" s="211"/>
      <c r="AF482" s="211"/>
      <c r="AG482" s="211">
        <f>AD482*(1-$E$153)</f>
        <v>2.6350784080075993</v>
      </c>
      <c r="AH482" s="211"/>
      <c r="AI482" s="211"/>
      <c r="AJ482" s="211">
        <f>AB480*(1-$H$153)</f>
        <v>24.603906704085865</v>
      </c>
      <c r="AK482" s="211"/>
      <c r="AL482" s="211"/>
      <c r="AM482" s="211">
        <f>AD482*(1-$K$153)</f>
        <v>31.62094089609116</v>
      </c>
      <c r="AN482" s="211"/>
    </row>
    <row r="483" spans="2:40" s="7" customFormat="1" ht="12" customHeight="1" outlineLevel="3">
      <c r="B483" s="245"/>
      <c r="C483" s="213" t="s">
        <v>779</v>
      </c>
      <c r="D483" s="213"/>
      <c r="E483" s="213"/>
      <c r="F483" s="213"/>
      <c r="G483" s="213"/>
      <c r="H483" s="213"/>
      <c r="I483" s="213"/>
      <c r="J483" s="213"/>
      <c r="K483" s="213"/>
      <c r="L483" s="213"/>
      <c r="M483" s="213"/>
      <c r="N483" s="213"/>
      <c r="O483" s="213"/>
      <c r="P483" s="213"/>
      <c r="Q483" s="213"/>
      <c r="R483" s="213"/>
      <c r="S483" s="213"/>
      <c r="T483" s="213"/>
      <c r="U483" s="213"/>
      <c r="V483" s="213"/>
      <c r="W483" s="213"/>
      <c r="X483" s="213"/>
      <c r="Y483" s="213"/>
      <c r="Z483" s="213"/>
      <c r="AA483" s="213"/>
      <c r="AB483" s="211"/>
      <c r="AC483" s="211"/>
      <c r="AD483" s="211"/>
      <c r="AE483" s="211">
        <f>INDEX($C$348:$AN$370, MATCH("New Customers 3MS", $C$348:$C$370, 0), MATCH($C483, $C$348:$AN$348, 0))</f>
        <v>55.336646568159544</v>
      </c>
      <c r="AF483" s="211"/>
      <c r="AG483" s="211"/>
      <c r="AH483" s="211">
        <f>AE483*(1-$E$153)</f>
        <v>2.7668323284079799</v>
      </c>
      <c r="AI483" s="211"/>
      <c r="AJ483" s="211"/>
      <c r="AK483" s="211">
        <f>AB480*(1-$H$153)</f>
        <v>24.603906704085865</v>
      </c>
      <c r="AL483" s="211"/>
      <c r="AM483" s="211"/>
      <c r="AN483" s="211">
        <f>AE483*(1-$K$153)</f>
        <v>33.201987940895727</v>
      </c>
    </row>
    <row r="484" spans="2:40" s="7" customFormat="1" ht="12" customHeight="1" outlineLevel="3">
      <c r="B484" s="245"/>
      <c r="C484" s="213" t="s">
        <v>780</v>
      </c>
      <c r="D484" s="213"/>
      <c r="E484" s="213"/>
      <c r="F484" s="213"/>
      <c r="G484" s="213"/>
      <c r="H484" s="213"/>
      <c r="I484" s="213"/>
      <c r="J484" s="213"/>
      <c r="K484" s="213"/>
      <c r="L484" s="213"/>
      <c r="M484" s="213"/>
      <c r="N484" s="213"/>
      <c r="O484" s="213"/>
      <c r="P484" s="213"/>
      <c r="Q484" s="213"/>
      <c r="R484" s="213"/>
      <c r="S484" s="213"/>
      <c r="T484" s="213"/>
      <c r="U484" s="213"/>
      <c r="V484" s="213"/>
      <c r="W484" s="213"/>
      <c r="X484" s="213"/>
      <c r="Y484" s="213"/>
      <c r="Z484" s="213"/>
      <c r="AA484" s="213"/>
      <c r="AB484" s="211"/>
      <c r="AC484" s="211"/>
      <c r="AD484" s="211"/>
      <c r="AE484" s="211"/>
      <c r="AF484" s="211">
        <f>INDEX($C$348:$AN$370, MATCH("New Customers 3MS", $C$348:$C$370, 0), MATCH($C484, $C$348:$AN$348, 0))</f>
        <v>58.103478896567516</v>
      </c>
      <c r="AG484" s="211"/>
      <c r="AH484" s="211"/>
      <c r="AI484" s="211">
        <f>AF484*(1-$E$153)</f>
        <v>2.9051739448283782</v>
      </c>
      <c r="AJ484" s="211"/>
      <c r="AK484" s="211"/>
      <c r="AL484" s="211">
        <f>AB480*(1-$H$153)</f>
        <v>24.603906704085865</v>
      </c>
      <c r="AM484" s="211"/>
      <c r="AN484" s="211"/>
    </row>
    <row r="485" spans="2:40" s="7" customFormat="1" ht="12" customHeight="1" outlineLevel="3">
      <c r="B485" s="245"/>
      <c r="C485" s="213" t="s">
        <v>781</v>
      </c>
      <c r="D485" s="213"/>
      <c r="E485" s="213"/>
      <c r="F485" s="213"/>
      <c r="G485" s="213"/>
      <c r="H485" s="213"/>
      <c r="I485" s="213"/>
      <c r="J485" s="213"/>
      <c r="K485" s="213"/>
      <c r="L485" s="213"/>
      <c r="M485" s="213"/>
      <c r="N485" s="213"/>
      <c r="O485" s="213"/>
      <c r="P485" s="213"/>
      <c r="Q485" s="213"/>
      <c r="R485" s="213"/>
      <c r="S485" s="213"/>
      <c r="T485" s="213"/>
      <c r="U485" s="213"/>
      <c r="V485" s="213"/>
      <c r="W485" s="213"/>
      <c r="X485" s="213"/>
      <c r="Y485" s="213"/>
      <c r="Z485" s="213"/>
      <c r="AA485" s="213"/>
      <c r="AB485" s="211"/>
      <c r="AC485" s="211"/>
      <c r="AD485" s="211"/>
      <c r="AE485" s="211"/>
      <c r="AF485" s="211"/>
      <c r="AG485" s="211">
        <f>INDEX($C$348:$AN$370, MATCH("New Customers 3MS", $C$348:$C$370, 0), MATCH($C485, $C$348:$AN$348, 0))</f>
        <v>61.008652841395886</v>
      </c>
      <c r="AH485" s="211"/>
      <c r="AI485" s="211"/>
      <c r="AJ485" s="211">
        <f>AG485*(1-$E$153)</f>
        <v>3.0504326420697971</v>
      </c>
      <c r="AK485" s="211"/>
      <c r="AL485" s="211"/>
      <c r="AM485" s="211">
        <f>AB480*(1-$H$153)</f>
        <v>24.603906704085865</v>
      </c>
      <c r="AN485" s="211"/>
    </row>
    <row r="486" spans="2:40" s="7" customFormat="1" ht="12" customHeight="1" outlineLevel="3">
      <c r="B486" s="245"/>
      <c r="C486" s="213" t="s">
        <v>782</v>
      </c>
      <c r="D486" s="213"/>
      <c r="E486" s="213"/>
      <c r="F486" s="213"/>
      <c r="G486" s="213"/>
      <c r="H486" s="213"/>
      <c r="I486" s="213"/>
      <c r="J486" s="213"/>
      <c r="K486" s="213"/>
      <c r="L486" s="213"/>
      <c r="M486" s="213"/>
      <c r="N486" s="213"/>
      <c r="O486" s="213"/>
      <c r="P486" s="213"/>
      <c r="Q486" s="213"/>
      <c r="R486" s="213"/>
      <c r="S486" s="213"/>
      <c r="T486" s="213"/>
      <c r="U486" s="213"/>
      <c r="V486" s="213"/>
      <c r="W486" s="213"/>
      <c r="X486" s="213"/>
      <c r="Y486" s="213"/>
      <c r="Z486" s="213"/>
      <c r="AA486" s="213"/>
      <c r="AB486" s="211"/>
      <c r="AC486" s="211"/>
      <c r="AD486" s="211"/>
      <c r="AE486" s="211"/>
      <c r="AF486" s="211"/>
      <c r="AG486" s="211"/>
      <c r="AH486" s="211">
        <f>INDEX($C$348:$AN$370, MATCH("New Customers 3MS", $C$348:$C$370, 0), MATCH($C486, $C$348:$AN$348, 0))</f>
        <v>64.059085483465694</v>
      </c>
      <c r="AI486" s="211"/>
      <c r="AJ486" s="211"/>
      <c r="AK486" s="211">
        <f>AH486*(1-$E$153)</f>
        <v>3.2029542741732877</v>
      </c>
      <c r="AL486" s="211"/>
      <c r="AM486" s="211"/>
      <c r="AN486" s="211">
        <f>AB480*(1-$H$153)</f>
        <v>24.603906704085865</v>
      </c>
    </row>
    <row r="487" spans="2:40" s="7" customFormat="1" ht="12" customHeight="1" outlineLevel="3">
      <c r="B487" s="245"/>
      <c r="C487" s="213" t="s">
        <v>783</v>
      </c>
      <c r="D487" s="213"/>
      <c r="E487" s="213"/>
      <c r="F487" s="213"/>
      <c r="G487" s="213"/>
      <c r="H487" s="213"/>
      <c r="I487" s="213"/>
      <c r="J487" s="213"/>
      <c r="K487" s="213"/>
      <c r="L487" s="213"/>
      <c r="M487" s="213"/>
      <c r="N487" s="213"/>
      <c r="O487" s="213"/>
      <c r="P487" s="213"/>
      <c r="Q487" s="213"/>
      <c r="R487" s="213"/>
      <c r="S487" s="213"/>
      <c r="T487" s="213"/>
      <c r="U487" s="213"/>
      <c r="V487" s="213"/>
      <c r="W487" s="213"/>
      <c r="X487" s="213"/>
      <c r="Y487" s="213"/>
      <c r="Z487" s="213"/>
      <c r="AA487" s="213"/>
      <c r="AB487" s="211"/>
      <c r="AC487" s="211"/>
      <c r="AD487" s="211"/>
      <c r="AE487" s="211"/>
      <c r="AF487" s="211"/>
      <c r="AG487" s="211"/>
      <c r="AH487" s="211"/>
      <c r="AI487" s="211">
        <f>INDEX($C$348:$AN$370, MATCH("New Customers 3MS", $C$348:$C$370, 0), MATCH($C487, $C$348:$AN$348, 0))</f>
        <v>67.262039757638988</v>
      </c>
      <c r="AJ487" s="211"/>
      <c r="AK487" s="211"/>
      <c r="AL487" s="211">
        <f>AI487*(1-$E$153)</f>
        <v>3.3631019878819526</v>
      </c>
      <c r="AM487" s="211"/>
      <c r="AN487" s="211"/>
    </row>
    <row r="488" spans="2:40" s="7" customFormat="1" ht="12" customHeight="1" outlineLevel="3">
      <c r="B488" s="245"/>
      <c r="C488" s="213" t="s">
        <v>784</v>
      </c>
      <c r="D488" s="213"/>
      <c r="E488" s="213"/>
      <c r="F488" s="213"/>
      <c r="G488" s="213"/>
      <c r="H488" s="213"/>
      <c r="I488" s="213"/>
      <c r="J488" s="213"/>
      <c r="K488" s="213"/>
      <c r="L488" s="213"/>
      <c r="M488" s="213"/>
      <c r="N488" s="213"/>
      <c r="O488" s="213"/>
      <c r="P488" s="213"/>
      <c r="Q488" s="213"/>
      <c r="R488" s="213"/>
      <c r="S488" s="213"/>
      <c r="T488" s="213"/>
      <c r="U488" s="213"/>
      <c r="V488" s="213"/>
      <c r="W488" s="213"/>
      <c r="X488" s="213"/>
      <c r="Y488" s="213"/>
      <c r="Z488" s="213"/>
      <c r="AA488" s="213"/>
      <c r="AB488" s="211"/>
      <c r="AC488" s="211"/>
      <c r="AD488" s="211"/>
      <c r="AE488" s="211"/>
      <c r="AF488" s="211"/>
      <c r="AG488" s="211"/>
      <c r="AH488" s="211"/>
      <c r="AI488" s="211"/>
      <c r="AJ488" s="211">
        <f>INDEX($C$348:$AN$370, MATCH("New Customers 3MS", $C$348:$C$370, 0), MATCH($C488, $C$348:$AN$348, 0))</f>
        <v>70.625141745520935</v>
      </c>
      <c r="AK488" s="211"/>
      <c r="AL488" s="211"/>
      <c r="AM488" s="211">
        <f>AJ488*(1-$E$153)</f>
        <v>3.53125708727605</v>
      </c>
      <c r="AN488" s="211"/>
    </row>
    <row r="489" spans="2:40" s="7" customFormat="1" ht="12" customHeight="1" outlineLevel="3">
      <c r="B489" s="245"/>
      <c r="C489" s="213" t="s">
        <v>785</v>
      </c>
      <c r="D489" s="213"/>
      <c r="E489" s="213"/>
      <c r="F489" s="213"/>
      <c r="G489" s="213"/>
      <c r="H489" s="213"/>
      <c r="I489" s="213"/>
      <c r="J489" s="213"/>
      <c r="K489" s="213"/>
      <c r="L489" s="213"/>
      <c r="M489" s="213"/>
      <c r="N489" s="213"/>
      <c r="O489" s="213"/>
      <c r="P489" s="213"/>
      <c r="Q489" s="213"/>
      <c r="R489" s="213"/>
      <c r="S489" s="213"/>
      <c r="T489" s="213"/>
      <c r="U489" s="213"/>
      <c r="V489" s="213"/>
      <c r="W489" s="213"/>
      <c r="X489" s="213"/>
      <c r="Y489" s="213"/>
      <c r="Z489" s="213"/>
      <c r="AA489" s="213"/>
      <c r="AB489" s="211"/>
      <c r="AC489" s="211"/>
      <c r="AD489" s="211"/>
      <c r="AE489" s="211"/>
      <c r="AF489" s="211"/>
      <c r="AG489" s="211"/>
      <c r="AH489" s="211"/>
      <c r="AI489" s="211"/>
      <c r="AJ489" s="211"/>
      <c r="AK489" s="211">
        <f>INDEX($C$348:$AN$370, MATCH("New Customers 3MS", $C$348:$C$370, 0), MATCH($C489, $C$348:$AN$348, 0))</f>
        <v>74.156398832796995</v>
      </c>
      <c r="AL489" s="211"/>
      <c r="AM489" s="211"/>
      <c r="AN489" s="211">
        <f>AK489*(1-$E$153)</f>
        <v>3.707819941639853</v>
      </c>
    </row>
    <row r="490" spans="2:40" s="7" customFormat="1" ht="12" customHeight="1" outlineLevel="3">
      <c r="B490" s="245"/>
      <c r="C490" s="213" t="s">
        <v>786</v>
      </c>
      <c r="D490" s="213"/>
      <c r="E490" s="213"/>
      <c r="F490" s="213"/>
      <c r="G490" s="213"/>
      <c r="H490" s="213"/>
      <c r="I490" s="213"/>
      <c r="J490" s="213"/>
      <c r="K490" s="213"/>
      <c r="L490" s="213"/>
      <c r="M490" s="213"/>
      <c r="N490" s="213"/>
      <c r="O490" s="213"/>
      <c r="P490" s="213"/>
      <c r="Q490" s="213"/>
      <c r="R490" s="213"/>
      <c r="S490" s="213"/>
      <c r="T490" s="213"/>
      <c r="U490" s="213"/>
      <c r="V490" s="213"/>
      <c r="W490" s="213"/>
      <c r="X490" s="213"/>
      <c r="Y490" s="213"/>
      <c r="Z490" s="213"/>
      <c r="AA490" s="213"/>
      <c r="AB490" s="211"/>
      <c r="AC490" s="211"/>
      <c r="AD490" s="211"/>
      <c r="AE490" s="211"/>
      <c r="AF490" s="211"/>
      <c r="AG490" s="211"/>
      <c r="AH490" s="211"/>
      <c r="AI490" s="211"/>
      <c r="AJ490" s="211"/>
      <c r="AK490" s="211"/>
      <c r="AL490" s="211">
        <f>INDEX($C$348:$AN$370, MATCH("New Customers 3MS", $C$348:$C$370, 0), MATCH($C490, $C$348:$AN$348, 0))</f>
        <v>77.864218774436836</v>
      </c>
      <c r="AM490" s="211"/>
      <c r="AN490" s="211"/>
    </row>
    <row r="491" spans="2:40" s="7" customFormat="1" ht="12" customHeight="1" outlineLevel="3">
      <c r="B491" s="245"/>
      <c r="C491" s="213" t="s">
        <v>787</v>
      </c>
      <c r="D491" s="213"/>
      <c r="E491" s="213"/>
      <c r="F491" s="213"/>
      <c r="G491" s="213"/>
      <c r="H491" s="213"/>
      <c r="I491" s="213"/>
      <c r="J491" s="213"/>
      <c r="K491" s="213"/>
      <c r="L491" s="213"/>
      <c r="M491" s="213"/>
      <c r="N491" s="213"/>
      <c r="O491" s="213"/>
      <c r="P491" s="213"/>
      <c r="Q491" s="213"/>
      <c r="R491" s="213"/>
      <c r="S491" s="213"/>
      <c r="T491" s="213"/>
      <c r="U491" s="213"/>
      <c r="V491" s="213"/>
      <c r="W491" s="213"/>
      <c r="X491" s="213"/>
      <c r="Y491" s="213"/>
      <c r="Z491" s="213"/>
      <c r="AA491" s="213"/>
      <c r="AB491" s="211"/>
      <c r="AC491" s="211"/>
      <c r="AD491" s="211"/>
      <c r="AE491" s="211"/>
      <c r="AF491" s="211"/>
      <c r="AG491" s="211"/>
      <c r="AH491" s="211"/>
      <c r="AI491" s="211"/>
      <c r="AJ491" s="211"/>
      <c r="AK491" s="211"/>
      <c r="AL491" s="211"/>
      <c r="AM491" s="211">
        <f>INDEX($C$348:$AN$370, MATCH("New Customers 3MS", $C$348:$C$370, 0), MATCH($C491, $C$348:$AN$348, 0))</f>
        <v>81.7574297131587</v>
      </c>
      <c r="AN491" s="211"/>
    </row>
    <row r="492" spans="2:40" s="7" customFormat="1" ht="12" customHeight="1" outlineLevel="3">
      <c r="B492" s="245"/>
      <c r="C492" s="213" t="s">
        <v>788</v>
      </c>
      <c r="D492" s="213"/>
      <c r="E492" s="213"/>
      <c r="F492" s="213"/>
      <c r="G492" s="213"/>
      <c r="H492" s="213"/>
      <c r="I492" s="213"/>
      <c r="J492" s="213"/>
      <c r="K492" s="213"/>
      <c r="L492" s="213"/>
      <c r="M492" s="213"/>
      <c r="N492" s="213"/>
      <c r="O492" s="213"/>
      <c r="P492" s="213"/>
      <c r="Q492" s="213"/>
      <c r="R492" s="213"/>
      <c r="S492" s="213"/>
      <c r="T492" s="213"/>
      <c r="U492" s="213"/>
      <c r="V492" s="213"/>
      <c r="W492" s="213"/>
      <c r="X492" s="213"/>
      <c r="Y492" s="213"/>
      <c r="Z492" s="213"/>
      <c r="AA492" s="213"/>
      <c r="AB492" s="211"/>
      <c r="AC492" s="211"/>
      <c r="AD492" s="211"/>
      <c r="AE492" s="211"/>
      <c r="AF492" s="211"/>
      <c r="AG492" s="211"/>
      <c r="AH492" s="211"/>
      <c r="AI492" s="211"/>
      <c r="AJ492" s="211"/>
      <c r="AK492" s="211"/>
      <c r="AL492" s="211"/>
      <c r="AM492" s="211"/>
      <c r="AN492" s="211">
        <f>INDEX($C$348:$AN$370, MATCH("New Customers 3MS", $C$348:$C$370, 0), MATCH($C492, $C$348:$AN$348, 0))</f>
        <v>85.845301198816628</v>
      </c>
    </row>
    <row r="493" spans="2:40" s="7" customFormat="1" ht="12" customHeight="1" outlineLevel="2">
      <c r="B493" s="239"/>
      <c r="C493" s="214"/>
      <c r="D493" s="214"/>
      <c r="E493" s="214"/>
      <c r="F493" s="214"/>
      <c r="G493" s="214"/>
      <c r="H493" s="214"/>
      <c r="I493" s="214"/>
      <c r="J493" s="214"/>
      <c r="K493" s="214"/>
      <c r="L493" s="214"/>
      <c r="M493" s="214"/>
      <c r="N493" s="214"/>
      <c r="O493" s="214"/>
      <c r="P493" s="214"/>
      <c r="Q493" s="214"/>
      <c r="R493" s="214"/>
      <c r="S493" s="214"/>
      <c r="T493" s="214"/>
      <c r="U493" s="214"/>
      <c r="V493" s="214"/>
      <c r="W493" s="214"/>
      <c r="X493" s="214"/>
      <c r="Y493" s="214"/>
      <c r="Z493" s="214"/>
      <c r="AA493" s="214"/>
      <c r="AB493" s="214"/>
      <c r="AC493" s="212"/>
    </row>
    <row r="494" spans="2:40" s="7" customFormat="1" ht="12" customHeight="1" outlineLevel="1">
      <c r="B494" s="239"/>
      <c r="C494" s="243" t="s">
        <v>855</v>
      </c>
      <c r="D494" s="214"/>
      <c r="E494" s="214"/>
      <c r="F494" s="214"/>
      <c r="G494" s="214"/>
      <c r="H494" s="214"/>
      <c r="I494" s="214"/>
      <c r="J494" s="214"/>
      <c r="K494" s="214"/>
      <c r="L494" s="214"/>
      <c r="M494" s="214"/>
      <c r="N494" s="214"/>
      <c r="O494" s="214"/>
      <c r="P494" s="214"/>
      <c r="Q494" s="214"/>
      <c r="R494" s="214"/>
      <c r="S494" s="214"/>
      <c r="T494" s="214"/>
      <c r="U494" s="214"/>
      <c r="V494" s="214"/>
      <c r="W494" s="214"/>
      <c r="X494" s="214"/>
      <c r="Y494" s="214"/>
      <c r="Z494" s="214"/>
      <c r="AA494" s="214"/>
      <c r="AB494" s="214"/>
      <c r="AC494" s="214"/>
    </row>
    <row r="495" spans="2:40" s="7" customFormat="1" ht="12" customHeight="1" outlineLevel="1">
      <c r="B495" s="239"/>
      <c r="C495" s="243"/>
      <c r="D495" s="214"/>
      <c r="E495" s="214"/>
      <c r="F495" s="214"/>
      <c r="G495" s="214"/>
      <c r="H495" s="214"/>
      <c r="I495" s="214"/>
      <c r="J495" s="214"/>
      <c r="K495" s="214"/>
      <c r="L495" s="214"/>
      <c r="M495" s="214"/>
      <c r="N495" s="214"/>
      <c r="O495" s="214"/>
      <c r="P495" s="214"/>
      <c r="Q495" s="214"/>
      <c r="R495" s="214"/>
      <c r="S495" s="214"/>
      <c r="T495" s="214"/>
      <c r="U495" s="214"/>
      <c r="V495" s="214"/>
      <c r="W495" s="214"/>
      <c r="X495" s="214"/>
      <c r="Y495" s="214"/>
      <c r="Z495" s="214"/>
      <c r="AA495" s="214"/>
      <c r="AB495" s="214"/>
      <c r="AC495" s="214"/>
    </row>
    <row r="496" spans="2:40" s="7" customFormat="1">
      <c r="B496" s="235"/>
    </row>
    <row r="497" spans="2:2" s="7" customFormat="1">
      <c r="B497" s="235"/>
    </row>
  </sheetData>
  <sheetProtection algorithmName="SHA-512" hashValue="XIgLJ0JBKLRkU/WYSPOHj1nw76b8jKX9YA7128ibl3EjsFqzH4nvX8cYJK/5753HlFskkllHvjoJpSGpkH0eFg==" saltValue="u9TLvgs9Vmva7CieSqmBzw==" spinCount="100000" sheet="1" objects="1" scenarios="1"/>
  <phoneticPr fontId="4" type="noConversion"/>
  <hyperlinks>
    <hyperlink ref="B209" r:id="rId1" xr:uid="{B7F09C06-B202-482C-9EFA-EFFCDE674FBF}"/>
  </hyperlinks>
  <pageMargins left="0.7" right="0.7" top="0.75" bottom="0.75" header="0.3" footer="0.3"/>
  <pageSetup paperSize="9" orientation="portrait" horizontalDpi="360" verticalDpi="360" r:id="rId2"/>
  <legacy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A891C-7564-43B6-906F-489378E1749B}">
  <sheetPr codeName="Sheet27"/>
  <dimension ref="B1:XEZ498"/>
  <sheetViews>
    <sheetView showGridLines="0" tabSelected="1" zoomScaleNormal="100" workbookViewId="0">
      <selection activeCell="N25" sqref="N25"/>
    </sheetView>
  </sheetViews>
  <sheetFormatPr baseColWidth="10" defaultColWidth="8.5" defaultRowHeight="11" outlineLevelRow="3" outlineLevelCol="1"/>
  <cols>
    <col min="1" max="1" width="6" style="283" customWidth="1"/>
    <col min="2" max="2" width="4.1640625" style="282" customWidth="1"/>
    <col min="3" max="3" width="29.5" style="283" bestFit="1" customWidth="1"/>
    <col min="4" max="4" width="10.5" style="283" customWidth="1"/>
    <col min="5" max="11" width="6.5" style="283" customWidth="1" outlineLevel="1"/>
    <col min="12" max="12" width="6.5" style="283" bestFit="1" customWidth="1" outlineLevel="1"/>
    <col min="13" max="28" width="7.5" style="283" bestFit="1" customWidth="1"/>
    <col min="29" max="40" width="7.5" style="283" bestFit="1" customWidth="1" outlineLevel="1"/>
    <col min="41" max="16384" width="8.5" style="283"/>
  </cols>
  <sheetData>
    <row r="1" spans="2:40" s="7" customFormat="1">
      <c r="B1" s="235"/>
      <c r="E1" s="217" t="s">
        <v>180</v>
      </c>
      <c r="F1" s="217" t="s">
        <v>180</v>
      </c>
      <c r="G1" s="217" t="s">
        <v>180</v>
      </c>
      <c r="H1" s="217" t="s">
        <v>180</v>
      </c>
      <c r="I1" s="217" t="s">
        <v>180</v>
      </c>
      <c r="J1" s="217" t="s">
        <v>180</v>
      </c>
      <c r="K1" s="217" t="s">
        <v>180</v>
      </c>
      <c r="L1" s="217" t="s">
        <v>180</v>
      </c>
      <c r="M1" s="7" t="s">
        <v>42</v>
      </c>
      <c r="N1" s="7" t="s">
        <v>42</v>
      </c>
      <c r="O1" s="7" t="s">
        <v>42</v>
      </c>
      <c r="P1" s="7" t="s">
        <v>42</v>
      </c>
      <c r="Q1" s="7" t="s">
        <v>42</v>
      </c>
      <c r="R1" s="7" t="s">
        <v>42</v>
      </c>
      <c r="S1" s="7" t="s">
        <v>42</v>
      </c>
      <c r="T1" s="7" t="s">
        <v>42</v>
      </c>
      <c r="U1" s="7" t="s">
        <v>42</v>
      </c>
      <c r="V1" s="7" t="s">
        <v>42</v>
      </c>
      <c r="W1" s="7" t="s">
        <v>42</v>
      </c>
      <c r="X1" s="7" t="s">
        <v>42</v>
      </c>
      <c r="Y1" s="7" t="s">
        <v>42</v>
      </c>
      <c r="Z1" s="7" t="s">
        <v>42</v>
      </c>
      <c r="AA1" s="7" t="s">
        <v>42</v>
      </c>
      <c r="AB1" s="7" t="s">
        <v>42</v>
      </c>
      <c r="AC1" s="7" t="s">
        <v>42</v>
      </c>
      <c r="AD1" s="7" t="s">
        <v>42</v>
      </c>
      <c r="AE1" s="7" t="s">
        <v>42</v>
      </c>
      <c r="AF1" s="7" t="s">
        <v>42</v>
      </c>
      <c r="AG1" s="7" t="s">
        <v>42</v>
      </c>
      <c r="AH1" s="7" t="s">
        <v>42</v>
      </c>
      <c r="AI1" s="7" t="s">
        <v>42</v>
      </c>
      <c r="AJ1" s="7" t="s">
        <v>42</v>
      </c>
      <c r="AK1" s="7" t="s">
        <v>42</v>
      </c>
      <c r="AL1" s="7" t="s">
        <v>42</v>
      </c>
      <c r="AM1" s="7" t="s">
        <v>42</v>
      </c>
      <c r="AN1" s="7" t="s">
        <v>42</v>
      </c>
    </row>
    <row r="2" spans="2:40" s="7" customFormat="1">
      <c r="B2" s="235"/>
      <c r="E2" s="218">
        <v>45689</v>
      </c>
      <c r="F2" s="218">
        <v>45717</v>
      </c>
      <c r="G2" s="218">
        <v>45748</v>
      </c>
      <c r="H2" s="218">
        <v>45778</v>
      </c>
      <c r="I2" s="218">
        <v>45809</v>
      </c>
      <c r="J2" s="218">
        <v>45839</v>
      </c>
      <c r="K2" s="218">
        <v>45870</v>
      </c>
      <c r="L2" s="218">
        <v>45901</v>
      </c>
      <c r="M2" s="195">
        <v>45931</v>
      </c>
      <c r="N2" s="195">
        <v>45962</v>
      </c>
      <c r="O2" s="195">
        <v>45992</v>
      </c>
      <c r="P2" s="195">
        <v>46023</v>
      </c>
      <c r="Q2" s="258">
        <v>46054</v>
      </c>
      <c r="R2" s="258">
        <v>46082</v>
      </c>
      <c r="S2" s="258">
        <v>46113</v>
      </c>
      <c r="T2" s="258">
        <v>46143</v>
      </c>
      <c r="U2" s="258">
        <v>46174</v>
      </c>
      <c r="V2" s="258">
        <v>46204</v>
      </c>
      <c r="W2" s="258">
        <v>46235</v>
      </c>
      <c r="X2" s="258">
        <v>46266</v>
      </c>
      <c r="Y2" s="258">
        <v>46296</v>
      </c>
      <c r="Z2" s="258">
        <v>46327</v>
      </c>
      <c r="AA2" s="258">
        <v>46357</v>
      </c>
      <c r="AB2" s="258">
        <v>46388</v>
      </c>
      <c r="AC2" s="195">
        <v>46419</v>
      </c>
      <c r="AD2" s="195">
        <v>46447</v>
      </c>
      <c r="AE2" s="195">
        <v>46478</v>
      </c>
      <c r="AF2" s="195">
        <v>46508</v>
      </c>
      <c r="AG2" s="195">
        <v>46539</v>
      </c>
      <c r="AH2" s="195">
        <v>46569</v>
      </c>
      <c r="AI2" s="195">
        <v>46600</v>
      </c>
      <c r="AJ2" s="195">
        <v>46631</v>
      </c>
      <c r="AK2" s="195">
        <v>46661</v>
      </c>
      <c r="AL2" s="195">
        <v>46692</v>
      </c>
      <c r="AM2" s="195">
        <v>46722</v>
      </c>
      <c r="AN2" s="195">
        <v>46753</v>
      </c>
    </row>
    <row r="3" spans="2:40" s="7" customFormat="1">
      <c r="B3" s="235" t="s">
        <v>686</v>
      </c>
      <c r="E3" s="219" t="s">
        <v>753</v>
      </c>
      <c r="F3" s="219" t="s">
        <v>754</v>
      </c>
      <c r="G3" s="219" t="s">
        <v>755</v>
      </c>
      <c r="H3" s="219" t="s">
        <v>756</v>
      </c>
      <c r="I3" s="219" t="s">
        <v>757</v>
      </c>
      <c r="J3" s="219" t="s">
        <v>758</v>
      </c>
      <c r="K3" s="219" t="s">
        <v>759</v>
      </c>
      <c r="L3" s="219" t="s">
        <v>760</v>
      </c>
      <c r="M3" s="196" t="s">
        <v>761</v>
      </c>
      <c r="N3" s="196" t="s">
        <v>762</v>
      </c>
      <c r="O3" s="196" t="s">
        <v>763</v>
      </c>
      <c r="P3" s="196" t="s">
        <v>764</v>
      </c>
      <c r="Q3" s="259" t="s">
        <v>765</v>
      </c>
      <c r="R3" s="259" t="s">
        <v>766</v>
      </c>
      <c r="S3" s="259" t="s">
        <v>767</v>
      </c>
      <c r="T3" s="259" t="s">
        <v>768</v>
      </c>
      <c r="U3" s="259" t="s">
        <v>769</v>
      </c>
      <c r="V3" s="259" t="s">
        <v>770</v>
      </c>
      <c r="W3" s="259" t="s">
        <v>771</v>
      </c>
      <c r="X3" s="259" t="s">
        <v>772</v>
      </c>
      <c r="Y3" s="259" t="s">
        <v>773</v>
      </c>
      <c r="Z3" s="259" t="s">
        <v>774</v>
      </c>
      <c r="AA3" s="259" t="s">
        <v>775</v>
      </c>
      <c r="AB3" s="259" t="s">
        <v>776</v>
      </c>
      <c r="AC3" s="196" t="s">
        <v>777</v>
      </c>
      <c r="AD3" s="196" t="s">
        <v>778</v>
      </c>
      <c r="AE3" s="196" t="s">
        <v>779</v>
      </c>
      <c r="AF3" s="196" t="s">
        <v>780</v>
      </c>
      <c r="AG3" s="196" t="s">
        <v>781</v>
      </c>
      <c r="AH3" s="196" t="s">
        <v>782</v>
      </c>
      <c r="AI3" s="196" t="s">
        <v>783</v>
      </c>
      <c r="AJ3" s="196" t="s">
        <v>784</v>
      </c>
      <c r="AK3" s="196" t="s">
        <v>785</v>
      </c>
      <c r="AL3" s="196" t="s">
        <v>786</v>
      </c>
      <c r="AM3" s="196" t="s">
        <v>787</v>
      </c>
      <c r="AN3" s="196" t="s">
        <v>788</v>
      </c>
    </row>
    <row r="4" spans="2:40">
      <c r="B4" s="282" t="s">
        <v>864</v>
      </c>
      <c r="C4" s="283" t="s">
        <v>790</v>
      </c>
      <c r="E4" s="285">
        <v>20700</v>
      </c>
      <c r="F4" s="285">
        <v>20100</v>
      </c>
      <c r="G4" s="285">
        <v>13900</v>
      </c>
      <c r="H4" s="285">
        <v>38540</v>
      </c>
      <c r="I4" s="285">
        <v>13897</v>
      </c>
      <c r="J4" s="285">
        <v>27960</v>
      </c>
      <c r="K4" s="285">
        <v>27778</v>
      </c>
      <c r="L4" s="285">
        <v>13400</v>
      </c>
      <c r="M4" s="286">
        <v>35000</v>
      </c>
      <c r="N4" s="286">
        <f t="shared" ref="N4:P4" si="0">M4</f>
        <v>35000</v>
      </c>
      <c r="O4" s="286">
        <v>14000</v>
      </c>
      <c r="P4" s="286">
        <f t="shared" si="0"/>
        <v>14000</v>
      </c>
      <c r="Q4" s="286">
        <f>E4*Q5</f>
        <v>22770.000000000004</v>
      </c>
      <c r="R4" s="286">
        <f t="shared" ref="R4:AN4" si="1">F4*R5</f>
        <v>40200</v>
      </c>
      <c r="S4" s="286">
        <f t="shared" si="1"/>
        <v>18070</v>
      </c>
      <c r="T4" s="286">
        <f t="shared" si="1"/>
        <v>42394</v>
      </c>
      <c r="U4" s="286">
        <f t="shared" si="1"/>
        <v>23624.899999999998</v>
      </c>
      <c r="V4" s="286">
        <f t="shared" si="1"/>
        <v>55920</v>
      </c>
      <c r="W4" s="286">
        <f t="shared" si="1"/>
        <v>38889.199999999997</v>
      </c>
      <c r="X4" s="286">
        <f t="shared" si="1"/>
        <v>18760</v>
      </c>
      <c r="Y4" s="286">
        <f t="shared" si="1"/>
        <v>52500</v>
      </c>
      <c r="Z4" s="286">
        <f>N4*Z5</f>
        <v>52500</v>
      </c>
      <c r="AA4" s="286">
        <f t="shared" si="1"/>
        <v>14000</v>
      </c>
      <c r="AB4" s="286">
        <f t="shared" si="1"/>
        <v>14000</v>
      </c>
      <c r="AC4" s="286">
        <f t="shared" si="1"/>
        <v>45540.000000000007</v>
      </c>
      <c r="AD4" s="286">
        <f t="shared" si="1"/>
        <v>80400</v>
      </c>
      <c r="AE4" s="286">
        <f t="shared" si="1"/>
        <v>36140</v>
      </c>
      <c r="AF4" s="286">
        <f t="shared" si="1"/>
        <v>84788</v>
      </c>
      <c r="AG4" s="286">
        <f t="shared" si="1"/>
        <v>47249.799999999996</v>
      </c>
      <c r="AH4" s="286">
        <f t="shared" si="1"/>
        <v>111840</v>
      </c>
      <c r="AI4" s="286">
        <f t="shared" si="1"/>
        <v>77778.399999999994</v>
      </c>
      <c r="AJ4" s="286">
        <f t="shared" si="1"/>
        <v>37520</v>
      </c>
      <c r="AK4" s="286">
        <f t="shared" si="1"/>
        <v>105000</v>
      </c>
      <c r="AL4" s="286">
        <f t="shared" si="1"/>
        <v>105000</v>
      </c>
      <c r="AM4" s="286">
        <f t="shared" si="1"/>
        <v>28000</v>
      </c>
      <c r="AN4" s="286">
        <f t="shared" si="1"/>
        <v>28000</v>
      </c>
    </row>
    <row r="5" spans="2:40">
      <c r="C5" s="283" t="s">
        <v>791</v>
      </c>
      <c r="E5" s="285"/>
      <c r="F5" s="285"/>
      <c r="G5" s="285"/>
      <c r="H5" s="285"/>
      <c r="I5" s="285"/>
      <c r="J5" s="300"/>
      <c r="K5" s="300"/>
      <c r="L5" s="300"/>
      <c r="M5" s="290"/>
      <c r="N5" s="290"/>
      <c r="O5" s="290"/>
      <c r="P5" s="290"/>
      <c r="Q5" s="290">
        <v>1.1000000000000001</v>
      </c>
      <c r="R5" s="290">
        <v>2</v>
      </c>
      <c r="S5" s="290">
        <v>1.3</v>
      </c>
      <c r="T5" s="290">
        <v>1.1000000000000001</v>
      </c>
      <c r="U5" s="290">
        <v>1.7</v>
      </c>
      <c r="V5" s="290">
        <v>2</v>
      </c>
      <c r="W5" s="290">
        <v>1.4</v>
      </c>
      <c r="X5" s="290">
        <v>1.4</v>
      </c>
      <c r="Y5" s="290">
        <v>1.5</v>
      </c>
      <c r="Z5" s="290">
        <v>1.5</v>
      </c>
      <c r="AA5" s="290">
        <v>1</v>
      </c>
      <c r="AB5" s="290">
        <v>1</v>
      </c>
      <c r="AC5" s="290">
        <v>2</v>
      </c>
      <c r="AD5" s="290">
        <v>2</v>
      </c>
      <c r="AE5" s="290">
        <v>2</v>
      </c>
      <c r="AF5" s="290">
        <v>2</v>
      </c>
      <c r="AG5" s="290">
        <v>2</v>
      </c>
      <c r="AH5" s="290">
        <v>2</v>
      </c>
      <c r="AI5" s="290">
        <v>2</v>
      </c>
      <c r="AJ5" s="290">
        <v>2</v>
      </c>
      <c r="AK5" s="290">
        <v>2</v>
      </c>
      <c r="AL5" s="290">
        <v>2</v>
      </c>
      <c r="AM5" s="290">
        <v>2</v>
      </c>
      <c r="AN5" s="290">
        <v>2</v>
      </c>
    </row>
    <row r="6" spans="2:40">
      <c r="C6" s="283" t="s">
        <v>793</v>
      </c>
      <c r="E6" s="291">
        <v>1.6299999999999999E-2</v>
      </c>
      <c r="F6" s="291">
        <v>1.9E-2</v>
      </c>
      <c r="G6" s="291">
        <v>2.81E-2</v>
      </c>
      <c r="H6" s="291">
        <v>3.3700000000000001E-2</v>
      </c>
      <c r="I6" s="291">
        <v>2.2499999999999999E-2</v>
      </c>
      <c r="J6" s="291">
        <v>3.1600000000000003E-2</v>
      </c>
      <c r="K6" s="291">
        <v>2.92E-2</v>
      </c>
      <c r="L6" s="291">
        <v>1.52E-2</v>
      </c>
      <c r="M6" s="290">
        <v>2.3699999999999999E-2</v>
      </c>
      <c r="N6" s="290">
        <f t="shared" ref="N6:P6" si="2">M6</f>
        <v>2.3699999999999999E-2</v>
      </c>
      <c r="O6" s="290">
        <f t="shared" si="2"/>
        <v>2.3699999999999999E-2</v>
      </c>
      <c r="P6" s="290">
        <f t="shared" si="2"/>
        <v>2.3699999999999999E-2</v>
      </c>
      <c r="Q6" s="347">
        <v>1.7999999999999999E-2</v>
      </c>
      <c r="R6" s="347">
        <v>1.7999999999999999E-2</v>
      </c>
      <c r="S6" s="347">
        <v>3.3000000000000002E-2</v>
      </c>
      <c r="T6" s="347">
        <v>2.2800000000000001E-2</v>
      </c>
      <c r="U6" s="347">
        <v>2.2800000000000001E-2</v>
      </c>
      <c r="V6" s="347">
        <v>3.6999999999999998E-2</v>
      </c>
      <c r="W6" s="347">
        <v>2.2800000000000001E-2</v>
      </c>
      <c r="X6" s="347">
        <v>2.2800000000000001E-2</v>
      </c>
      <c r="Y6" s="347">
        <v>3.7999999999999999E-2</v>
      </c>
      <c r="Z6" s="347">
        <v>3.7999999999999999E-2</v>
      </c>
      <c r="AA6" s="347">
        <v>2.2800000000000001E-2</v>
      </c>
      <c r="AB6" s="347">
        <v>2.2800000000000001E-2</v>
      </c>
      <c r="AC6" s="290">
        <v>2.4E-2</v>
      </c>
      <c r="AD6" s="290">
        <v>2.4E-2</v>
      </c>
      <c r="AE6" s="290">
        <v>2.4E-2</v>
      </c>
      <c r="AF6" s="290">
        <v>2.4E-2</v>
      </c>
      <c r="AG6" s="290">
        <v>2.4E-2</v>
      </c>
      <c r="AH6" s="290">
        <v>2.4E-2</v>
      </c>
      <c r="AI6" s="290">
        <v>2.4E-2</v>
      </c>
      <c r="AJ6" s="290">
        <v>2.4E-2</v>
      </c>
      <c r="AK6" s="290">
        <v>2.4E-2</v>
      </c>
      <c r="AL6" s="290">
        <v>2.4E-2</v>
      </c>
      <c r="AM6" s="290">
        <v>2.4E-2</v>
      </c>
      <c r="AN6" s="290">
        <v>2.4E-2</v>
      </c>
    </row>
    <row r="7" spans="2:40" s="7" customFormat="1">
      <c r="B7" s="235"/>
      <c r="C7" s="7" t="s">
        <v>794</v>
      </c>
      <c r="E7" s="321">
        <f t="shared" ref="E7:I7" si="3">E4*E6</f>
        <v>337.40999999999997</v>
      </c>
      <c r="F7" s="321">
        <f t="shared" si="3"/>
        <v>381.9</v>
      </c>
      <c r="G7" s="321">
        <f t="shared" si="3"/>
        <v>390.59</v>
      </c>
      <c r="H7" s="321">
        <f t="shared" si="3"/>
        <v>1298.798</v>
      </c>
      <c r="I7" s="321">
        <f t="shared" si="3"/>
        <v>312.6825</v>
      </c>
      <c r="J7" s="321">
        <f>J4*J6</f>
        <v>883.53600000000006</v>
      </c>
      <c r="K7" s="321">
        <f t="shared" ref="K7:AN7" si="4">K4*K6</f>
        <v>811.11760000000004</v>
      </c>
      <c r="L7" s="321">
        <f t="shared" si="4"/>
        <v>203.68</v>
      </c>
      <c r="M7" s="322">
        <f>M4*M6</f>
        <v>829.5</v>
      </c>
      <c r="N7" s="322">
        <f t="shared" si="4"/>
        <v>829.5</v>
      </c>
      <c r="O7" s="322">
        <f t="shared" si="4"/>
        <v>331.8</v>
      </c>
      <c r="P7" s="322">
        <f t="shared" si="4"/>
        <v>331.8</v>
      </c>
      <c r="Q7" s="322">
        <f t="shared" si="4"/>
        <v>409.86</v>
      </c>
      <c r="R7" s="322">
        <f t="shared" si="4"/>
        <v>723.59999999999991</v>
      </c>
      <c r="S7" s="322">
        <f t="shared" si="4"/>
        <v>596.31000000000006</v>
      </c>
      <c r="T7" s="322">
        <f t="shared" si="4"/>
        <v>966.58320000000003</v>
      </c>
      <c r="U7" s="322">
        <f t="shared" si="4"/>
        <v>538.64771999999994</v>
      </c>
      <c r="V7" s="322">
        <f>V4*V6</f>
        <v>2069.04</v>
      </c>
      <c r="W7" s="322">
        <f t="shared" si="4"/>
        <v>886.67376000000002</v>
      </c>
      <c r="X7" s="322">
        <f t="shared" si="4"/>
        <v>427.72800000000001</v>
      </c>
      <c r="Y7" s="322">
        <f>Y4*Y6</f>
        <v>1995</v>
      </c>
      <c r="Z7" s="322">
        <v>1744</v>
      </c>
      <c r="AA7" s="322">
        <f t="shared" si="4"/>
        <v>319.2</v>
      </c>
      <c r="AB7" s="322">
        <f t="shared" si="4"/>
        <v>319.2</v>
      </c>
      <c r="AC7" s="322">
        <f t="shared" si="4"/>
        <v>1092.9600000000003</v>
      </c>
      <c r="AD7" s="322">
        <f t="shared" si="4"/>
        <v>1929.6000000000001</v>
      </c>
      <c r="AE7" s="322">
        <f t="shared" si="4"/>
        <v>867.36</v>
      </c>
      <c r="AF7" s="322">
        <f t="shared" si="4"/>
        <v>2034.912</v>
      </c>
      <c r="AG7" s="322">
        <f t="shared" si="4"/>
        <v>1133.9951999999998</v>
      </c>
      <c r="AH7" s="322">
        <f t="shared" si="4"/>
        <v>2684.16</v>
      </c>
      <c r="AI7" s="322">
        <f t="shared" si="4"/>
        <v>1866.6815999999999</v>
      </c>
      <c r="AJ7" s="322">
        <f t="shared" si="4"/>
        <v>900.48</v>
      </c>
      <c r="AK7" s="322">
        <f t="shared" si="4"/>
        <v>2520</v>
      </c>
      <c r="AL7" s="322">
        <f t="shared" si="4"/>
        <v>2520</v>
      </c>
      <c r="AM7" s="322">
        <f t="shared" si="4"/>
        <v>672</v>
      </c>
      <c r="AN7" s="322">
        <f t="shared" si="4"/>
        <v>672</v>
      </c>
    </row>
    <row r="8" spans="2:40">
      <c r="C8" s="283" t="s">
        <v>795</v>
      </c>
      <c r="E8" s="291">
        <v>0.30769230769230771</v>
      </c>
      <c r="F8" s="291">
        <v>0.30219780219780218</v>
      </c>
      <c r="G8" s="291">
        <v>0.52659574468085102</v>
      </c>
      <c r="H8" s="291">
        <v>0.36833855799373039</v>
      </c>
      <c r="I8" s="291">
        <f>I12/I13</f>
        <v>0.34090909090909088</v>
      </c>
      <c r="J8" s="291">
        <f t="shared" ref="J8:L8" si="5">J12/J13</f>
        <v>0.44748858447488582</v>
      </c>
      <c r="K8" s="291">
        <f t="shared" si="5"/>
        <v>0.34760705289672544</v>
      </c>
      <c r="L8" s="291">
        <f t="shared" si="5"/>
        <v>0.28712871287128711</v>
      </c>
      <c r="M8" s="292">
        <v>0.34089999999999998</v>
      </c>
      <c r="N8" s="292">
        <v>0.34</v>
      </c>
      <c r="O8" s="292">
        <v>0.34</v>
      </c>
      <c r="P8" s="292">
        <v>0.34</v>
      </c>
      <c r="Q8" s="292">
        <v>0.3</v>
      </c>
      <c r="R8" s="292">
        <v>0.4</v>
      </c>
      <c r="S8" s="292">
        <v>0.5</v>
      </c>
      <c r="T8" s="292">
        <v>0.38</v>
      </c>
      <c r="U8" s="292">
        <v>0.38</v>
      </c>
      <c r="V8" s="292">
        <v>0.45</v>
      </c>
      <c r="W8" s="292">
        <v>0.34</v>
      </c>
      <c r="X8" s="292">
        <v>0.34</v>
      </c>
      <c r="Y8" s="292">
        <v>0.48</v>
      </c>
      <c r="Z8" s="292">
        <v>0.48</v>
      </c>
      <c r="AA8" s="292">
        <v>0.34</v>
      </c>
      <c r="AB8" s="292">
        <v>0.34</v>
      </c>
      <c r="AC8" s="292">
        <v>0.35</v>
      </c>
      <c r="AD8" s="292">
        <v>0.35</v>
      </c>
      <c r="AE8" s="292">
        <v>0.35</v>
      </c>
      <c r="AF8" s="292">
        <v>0.35</v>
      </c>
      <c r="AG8" s="292">
        <v>0.35</v>
      </c>
      <c r="AH8" s="292">
        <v>0.35</v>
      </c>
      <c r="AI8" s="292">
        <v>0.35</v>
      </c>
      <c r="AJ8" s="292">
        <v>0.35</v>
      </c>
      <c r="AK8" s="292">
        <v>0.35</v>
      </c>
      <c r="AL8" s="292">
        <v>0.35</v>
      </c>
      <c r="AM8" s="292">
        <v>0.35</v>
      </c>
      <c r="AN8" s="292">
        <v>0.35</v>
      </c>
    </row>
    <row r="9" spans="2:40" s="7" customFormat="1" ht="14.5" customHeight="1">
      <c r="B9" s="235"/>
      <c r="C9" s="7" t="s">
        <v>865</v>
      </c>
      <c r="E9" s="321">
        <v>159</v>
      </c>
      <c r="F9" s="321">
        <v>207</v>
      </c>
      <c r="G9" s="321">
        <v>133</v>
      </c>
      <c r="H9" s="321">
        <v>760</v>
      </c>
      <c r="I9" s="321">
        <v>146</v>
      </c>
      <c r="J9" s="321">
        <v>436</v>
      </c>
      <c r="K9" s="321">
        <v>473</v>
      </c>
      <c r="L9" s="321">
        <v>85</v>
      </c>
      <c r="M9" s="322">
        <f t="shared" ref="M9:AN9" si="6">M58+M213+M363</f>
        <v>362.05337739402341</v>
      </c>
      <c r="N9" s="322">
        <f t="shared" si="6"/>
        <v>362.13421596844688</v>
      </c>
      <c r="O9" s="322">
        <f t="shared" si="6"/>
        <v>144.82540294922362</v>
      </c>
      <c r="P9" s="322">
        <f t="shared" si="6"/>
        <v>145.66865580589359</v>
      </c>
      <c r="Q9" s="322">
        <f t="shared" si="6"/>
        <v>147.82067338490319</v>
      </c>
      <c r="R9" s="322">
        <f t="shared" si="6"/>
        <v>691.43804736108495</v>
      </c>
      <c r="S9" s="322">
        <f t="shared" si="6"/>
        <v>576.47118306724485</v>
      </c>
      <c r="T9" s="322">
        <f t="shared" si="6"/>
        <v>90.346267032606974</v>
      </c>
      <c r="U9" s="322">
        <f t="shared" si="6"/>
        <v>164.27964818935743</v>
      </c>
      <c r="V9" s="322">
        <f t="shared" si="6"/>
        <v>217.55697636591142</v>
      </c>
      <c r="W9" s="322">
        <f t="shared" si="6"/>
        <v>115.83600408759121</v>
      </c>
      <c r="X9" s="322">
        <f t="shared" si="6"/>
        <v>80.393728552968454</v>
      </c>
      <c r="Y9" s="322">
        <f t="shared" si="6"/>
        <v>201.39904635962927</v>
      </c>
      <c r="Z9" s="322">
        <f t="shared" si="6"/>
        <v>201.40114249891462</v>
      </c>
      <c r="AA9" s="322">
        <f t="shared" si="6"/>
        <v>107.4151453770676</v>
      </c>
      <c r="AB9" s="322">
        <f t="shared" si="6"/>
        <v>107.41370683838504</v>
      </c>
      <c r="AC9" s="322">
        <f t="shared" si="6"/>
        <v>75.51661974281015</v>
      </c>
      <c r="AD9" s="322">
        <f t="shared" si="6"/>
        <v>353.38805555897545</v>
      </c>
      <c r="AE9" s="322">
        <f t="shared" si="6"/>
        <v>294.62245585208905</v>
      </c>
      <c r="AF9" s="322">
        <f t="shared" si="6"/>
        <v>107.86254626680096</v>
      </c>
      <c r="AG9" s="322">
        <f t="shared" si="6"/>
        <v>191.91513835899076</v>
      </c>
      <c r="AH9" s="322">
        <f t="shared" si="6"/>
        <v>254.12170975255151</v>
      </c>
      <c r="AI9" s="322">
        <f t="shared" si="6"/>
        <v>135.31579364714472</v>
      </c>
      <c r="AJ9" s="322">
        <f t="shared" si="6"/>
        <v>93.913233673031868</v>
      </c>
      <c r="AK9" s="322">
        <f t="shared" si="6"/>
        <v>240.43321036646557</v>
      </c>
      <c r="AL9" s="322">
        <f t="shared" si="6"/>
        <v>240.43312081284591</v>
      </c>
      <c r="AM9" s="322">
        <f t="shared" si="6"/>
        <v>128.2310220294124</v>
      </c>
      <c r="AN9" s="322">
        <f t="shared" si="6"/>
        <v>128.23103395364467</v>
      </c>
    </row>
    <row r="10" spans="2:40" s="7" customFormat="1">
      <c r="B10" s="235"/>
      <c r="C10" s="7" t="s">
        <v>866</v>
      </c>
      <c r="E10" s="321">
        <v>36</v>
      </c>
      <c r="F10" s="321">
        <v>19</v>
      </c>
      <c r="G10" s="321">
        <v>11</v>
      </c>
      <c r="H10" s="321">
        <v>15</v>
      </c>
      <c r="I10" s="321">
        <v>27</v>
      </c>
      <c r="J10" s="321">
        <v>23</v>
      </c>
      <c r="K10" s="321">
        <v>16</v>
      </c>
      <c r="L10" s="321">
        <v>34</v>
      </c>
      <c r="M10" s="322">
        <f t="shared" ref="M10:AN10" si="7">M59+M60+M214+M215+M365+M364</f>
        <v>84.835511494865514</v>
      </c>
      <c r="N10" s="322">
        <f t="shared" si="7"/>
        <v>84.754672920442033</v>
      </c>
      <c r="O10" s="322">
        <f t="shared" si="7"/>
        <v>33.930152606331944</v>
      </c>
      <c r="P10" s="322">
        <f t="shared" si="7"/>
        <v>34.841285714574255</v>
      </c>
      <c r="Q10" s="322">
        <f t="shared" si="7"/>
        <v>37.121270357786877</v>
      </c>
      <c r="R10" s="322">
        <f t="shared" si="7"/>
        <v>174.01629298979239</v>
      </c>
      <c r="S10" s="322">
        <f t="shared" si="7"/>
        <v>145.06265798538681</v>
      </c>
      <c r="T10" s="322">
        <f t="shared" si="7"/>
        <v>92.413866593124055</v>
      </c>
      <c r="U10" s="322">
        <f t="shared" si="7"/>
        <v>178.54311333111048</v>
      </c>
      <c r="V10" s="322">
        <f t="shared" si="7"/>
        <v>236.38661895572608</v>
      </c>
      <c r="W10" s="322">
        <f t="shared" si="7"/>
        <v>125.88165907030351</v>
      </c>
      <c r="X10" s="322">
        <f t="shared" si="7"/>
        <v>87.365545131242087</v>
      </c>
      <c r="Y10" s="322">
        <f t="shared" si="7"/>
        <v>205.9869185526515</v>
      </c>
      <c r="Z10" s="322">
        <f t="shared" si="7"/>
        <v>205.98482241336612</v>
      </c>
      <c r="AA10" s="322">
        <f t="shared" si="7"/>
        <v>109.85736924281547</v>
      </c>
      <c r="AB10" s="322">
        <f t="shared" si="7"/>
        <v>109.85880778149803</v>
      </c>
      <c r="AC10" s="322">
        <f t="shared" si="7"/>
        <v>152.17417242093259</v>
      </c>
      <c r="AD10" s="322">
        <f t="shared" si="7"/>
        <v>712.1138005813757</v>
      </c>
      <c r="AE10" s="322">
        <f t="shared" si="7"/>
        <v>593.69205256896373</v>
      </c>
      <c r="AF10" s="322">
        <f t="shared" si="7"/>
        <v>217.35305519518741</v>
      </c>
      <c r="AG10" s="322">
        <f t="shared" si="7"/>
        <v>386.72868047141873</v>
      </c>
      <c r="AH10" s="322">
        <f t="shared" si="7"/>
        <v>512.08078615388126</v>
      </c>
      <c r="AI10" s="322">
        <f t="shared" si="7"/>
        <v>272.67471161601316</v>
      </c>
      <c r="AJ10" s="322">
        <f t="shared" si="7"/>
        <v>189.2443558006523</v>
      </c>
      <c r="AK10" s="322">
        <f t="shared" si="7"/>
        <v>484.49661419493793</v>
      </c>
      <c r="AL10" s="322">
        <f t="shared" si="7"/>
        <v>484.49670374855759</v>
      </c>
      <c r="AM10" s="322">
        <f t="shared" si="7"/>
        <v>258.39821773666949</v>
      </c>
      <c r="AN10" s="322">
        <f t="shared" si="7"/>
        <v>258.3982058124372</v>
      </c>
    </row>
    <row r="11" spans="2:40" s="7" customFormat="1">
      <c r="B11" s="235"/>
      <c r="C11" s="7" t="s">
        <v>798</v>
      </c>
      <c r="E11" s="321">
        <v>30</v>
      </c>
      <c r="F11" s="321">
        <v>28</v>
      </c>
      <c r="G11" s="321">
        <v>34</v>
      </c>
      <c r="H11" s="321">
        <v>31</v>
      </c>
      <c r="I11" s="321">
        <v>30</v>
      </c>
      <c r="J11" s="321">
        <v>25</v>
      </c>
      <c r="K11" s="321">
        <v>29</v>
      </c>
      <c r="L11" s="321">
        <v>25</v>
      </c>
      <c r="M11" s="322">
        <f t="shared" ref="M11:AN11" si="8">M63+M62+M217+M218+M366+M367</f>
        <v>312.23228511530397</v>
      </c>
      <c r="N11" s="322">
        <f t="shared" si="8"/>
        <v>246.31312368972743</v>
      </c>
      <c r="O11" s="322">
        <f t="shared" si="8"/>
        <v>202.29696603773584</v>
      </c>
      <c r="P11" s="322">
        <f t="shared" si="8"/>
        <v>270.38583292949352</v>
      </c>
      <c r="Q11" s="322">
        <f t="shared" si="8"/>
        <v>206.59131540492498</v>
      </c>
      <c r="R11" s="322">
        <f t="shared" si="8"/>
        <v>166.12551040003805</v>
      </c>
      <c r="S11" s="322">
        <f t="shared" si="8"/>
        <v>247.35137320105383</v>
      </c>
      <c r="T11" s="322">
        <f t="shared" si="8"/>
        <v>203.74476391535052</v>
      </c>
      <c r="U11" s="322">
        <f t="shared" si="8"/>
        <v>214.10045005872001</v>
      </c>
      <c r="V11" s="322">
        <f t="shared" si="8"/>
        <v>331.05205223071454</v>
      </c>
      <c r="W11" s="322">
        <f t="shared" si="8"/>
        <v>356.06404940427279</v>
      </c>
      <c r="X11" s="322">
        <f t="shared" si="8"/>
        <v>387.01468537723252</v>
      </c>
      <c r="Y11" s="322">
        <f t="shared" si="8"/>
        <v>470.53850517616206</v>
      </c>
      <c r="Z11" s="322">
        <f t="shared" si="8"/>
        <v>416.54060131544747</v>
      </c>
      <c r="AA11" s="322">
        <f t="shared" si="8"/>
        <v>427.75619007921847</v>
      </c>
      <c r="AB11" s="322">
        <f t="shared" si="8"/>
        <v>547.75475154053595</v>
      </c>
      <c r="AC11" s="322">
        <f t="shared" si="8"/>
        <v>469.7300228333047</v>
      </c>
      <c r="AD11" s="322">
        <f t="shared" si="8"/>
        <v>404.93346721523454</v>
      </c>
      <c r="AE11" s="322">
        <f t="shared" si="8"/>
        <v>648.77929115984978</v>
      </c>
      <c r="AF11" s="322">
        <f t="shared" si="8"/>
        <v>726.80557531328714</v>
      </c>
      <c r="AG11" s="322">
        <f t="shared" si="8"/>
        <v>974.91488291841165</v>
      </c>
      <c r="AH11" s="322">
        <f t="shared" si="8"/>
        <v>1022.3578850325592</v>
      </c>
      <c r="AI11" s="322">
        <f t="shared" si="8"/>
        <v>824.27099685856297</v>
      </c>
      <c r="AJ11" s="322">
        <f t="shared" si="8"/>
        <v>1068.1358747078223</v>
      </c>
      <c r="AK11" s="322">
        <f t="shared" si="8"/>
        <v>1140.0288095338756</v>
      </c>
      <c r="AL11" s="322">
        <f t="shared" si="8"/>
        <v>874.02871998025603</v>
      </c>
      <c r="AM11" s="322">
        <f t="shared" si="8"/>
        <v>1044.2153415853643</v>
      </c>
      <c r="AN11" s="322">
        <f t="shared" si="8"/>
        <v>1253.2153535095965</v>
      </c>
    </row>
    <row r="12" spans="2:40" s="7" customFormat="1">
      <c r="B12" s="235"/>
      <c r="C12" s="7" t="s">
        <v>799</v>
      </c>
      <c r="E12" s="321">
        <f t="shared" ref="E12:H12" si="9">(E7*E8)</f>
        <v>103.81846153846153</v>
      </c>
      <c r="F12" s="321">
        <f t="shared" si="9"/>
        <v>115.40934065934064</v>
      </c>
      <c r="G12" s="321">
        <f t="shared" si="9"/>
        <v>205.68303191489358</v>
      </c>
      <c r="H12" s="321">
        <f t="shared" si="9"/>
        <v>478.39738244514103</v>
      </c>
      <c r="I12" s="321">
        <v>105</v>
      </c>
      <c r="J12" s="321">
        <v>392</v>
      </c>
      <c r="K12" s="321">
        <v>276</v>
      </c>
      <c r="L12" s="321">
        <v>58</v>
      </c>
      <c r="M12" s="322">
        <f>(M7*M8)</f>
        <v>282.77654999999999</v>
      </c>
      <c r="N12" s="322">
        <f t="shared" ref="N12:AN12" si="10">(N7*N8)</f>
        <v>282.03000000000003</v>
      </c>
      <c r="O12" s="322">
        <f t="shared" si="10"/>
        <v>112.81200000000001</v>
      </c>
      <c r="P12" s="322">
        <f t="shared" si="10"/>
        <v>112.81200000000001</v>
      </c>
      <c r="Q12" s="322">
        <f t="shared" si="10"/>
        <v>122.958</v>
      </c>
      <c r="R12" s="322">
        <f t="shared" si="10"/>
        <v>289.44</v>
      </c>
      <c r="S12" s="322">
        <f t="shared" si="10"/>
        <v>298.15500000000003</v>
      </c>
      <c r="T12" s="322">
        <f t="shared" si="10"/>
        <v>367.30161600000002</v>
      </c>
      <c r="U12" s="322">
        <f t="shared" si="10"/>
        <v>204.68613359999998</v>
      </c>
      <c r="V12" s="322">
        <f t="shared" si="10"/>
        <v>931.06799999999998</v>
      </c>
      <c r="W12" s="322">
        <f t="shared" si="10"/>
        <v>301.4690784</v>
      </c>
      <c r="X12" s="322">
        <f t="shared" si="10"/>
        <v>145.42752000000002</v>
      </c>
      <c r="Y12" s="322">
        <f t="shared" si="10"/>
        <v>957.59999999999991</v>
      </c>
      <c r="Z12" s="322">
        <f t="shared" si="10"/>
        <v>837.12</v>
      </c>
      <c r="AA12" s="322">
        <f t="shared" si="10"/>
        <v>108.52800000000001</v>
      </c>
      <c r="AB12" s="322">
        <f t="shared" si="10"/>
        <v>108.52800000000001</v>
      </c>
      <c r="AC12" s="322">
        <f t="shared" si="10"/>
        <v>382.53600000000006</v>
      </c>
      <c r="AD12" s="322">
        <f t="shared" si="10"/>
        <v>675.36</v>
      </c>
      <c r="AE12" s="322">
        <f t="shared" si="10"/>
        <v>303.57599999999996</v>
      </c>
      <c r="AF12" s="322">
        <f t="shared" si="10"/>
        <v>712.2192</v>
      </c>
      <c r="AG12" s="322">
        <f t="shared" si="10"/>
        <v>396.8983199999999</v>
      </c>
      <c r="AH12" s="322">
        <f t="shared" si="10"/>
        <v>939.4559999999999</v>
      </c>
      <c r="AI12" s="322">
        <f t="shared" si="10"/>
        <v>653.33855999999992</v>
      </c>
      <c r="AJ12" s="322">
        <f t="shared" si="10"/>
        <v>315.16800000000001</v>
      </c>
      <c r="AK12" s="322">
        <f t="shared" si="10"/>
        <v>882</v>
      </c>
      <c r="AL12" s="322">
        <f t="shared" si="10"/>
        <v>882</v>
      </c>
      <c r="AM12" s="322">
        <f t="shared" si="10"/>
        <v>235.2</v>
      </c>
      <c r="AN12" s="322">
        <f t="shared" si="10"/>
        <v>235.2</v>
      </c>
    </row>
    <row r="13" spans="2:40" s="7" customFormat="1">
      <c r="B13" s="235" t="s">
        <v>867</v>
      </c>
      <c r="C13" s="7" t="s">
        <v>801</v>
      </c>
      <c r="E13" s="323">
        <f>SUM(E9:E12)</f>
        <v>328.81846153846152</v>
      </c>
      <c r="F13" s="323">
        <f t="shared" ref="F13:AN13" si="11">SUM(F9:F12)</f>
        <v>369.40934065934061</v>
      </c>
      <c r="G13" s="323">
        <f t="shared" si="11"/>
        <v>383.6830319148936</v>
      </c>
      <c r="H13" s="323">
        <f t="shared" si="11"/>
        <v>1284.3973824451409</v>
      </c>
      <c r="I13" s="323">
        <f t="shared" si="11"/>
        <v>308</v>
      </c>
      <c r="J13" s="323">
        <f>SUM(J9:J12)</f>
        <v>876</v>
      </c>
      <c r="K13" s="323">
        <f t="shared" si="11"/>
        <v>794</v>
      </c>
      <c r="L13" s="323">
        <f>SUM(L9:L12)</f>
        <v>202</v>
      </c>
      <c r="M13" s="324">
        <f t="shared" si="11"/>
        <v>1041.8977240041929</v>
      </c>
      <c r="N13" s="324">
        <f t="shared" si="11"/>
        <v>975.23201257861638</v>
      </c>
      <c r="O13" s="324">
        <f t="shared" si="11"/>
        <v>493.86452159329144</v>
      </c>
      <c r="P13" s="324">
        <f t="shared" si="11"/>
        <v>563.70777444996133</v>
      </c>
      <c r="Q13" s="324">
        <f>SUM(Q9:Q12)</f>
        <v>514.49125914761498</v>
      </c>
      <c r="R13" s="325">
        <f>SUM(R9:R12)</f>
        <v>1321.0198507509156</v>
      </c>
      <c r="S13" s="325">
        <f>SUM(S9:S12)</f>
        <v>1267.0402142536855</v>
      </c>
      <c r="T13" s="325">
        <f>SUM(T9:T12)</f>
        <v>753.80651354108159</v>
      </c>
      <c r="U13" s="324">
        <f t="shared" si="11"/>
        <v>761.60934517918781</v>
      </c>
      <c r="V13" s="324">
        <f>SUM(V9:V12)</f>
        <v>1716.063647552352</v>
      </c>
      <c r="W13" s="324">
        <f t="shared" si="11"/>
        <v>899.25079096216746</v>
      </c>
      <c r="X13" s="324">
        <f t="shared" si="11"/>
        <v>700.20147906144302</v>
      </c>
      <c r="Y13" s="324">
        <f>SUM(Y9:Y12)</f>
        <v>1835.5244700884427</v>
      </c>
      <c r="Z13" s="324">
        <v>1409.9704575187347</v>
      </c>
      <c r="AA13" s="324">
        <f t="shared" si="11"/>
        <v>753.5567046991016</v>
      </c>
      <c r="AB13" s="324">
        <f t="shared" si="11"/>
        <v>873.55526616041902</v>
      </c>
      <c r="AC13" s="324">
        <f t="shared" si="11"/>
        <v>1079.9568149970476</v>
      </c>
      <c r="AD13" s="324">
        <f t="shared" si="11"/>
        <v>2145.7953233555859</v>
      </c>
      <c r="AE13" s="324">
        <f t="shared" si="11"/>
        <v>1840.6697995809027</v>
      </c>
      <c r="AF13" s="324">
        <f t="shared" si="11"/>
        <v>1764.2403767752755</v>
      </c>
      <c r="AG13" s="324">
        <f t="shared" si="11"/>
        <v>1950.4570217488208</v>
      </c>
      <c r="AH13" s="324">
        <f t="shared" si="11"/>
        <v>2728.0163809389919</v>
      </c>
      <c r="AI13" s="324">
        <f t="shared" si="11"/>
        <v>1885.6000621217206</v>
      </c>
      <c r="AJ13" s="324">
        <f t="shared" si="11"/>
        <v>1666.4614641815065</v>
      </c>
      <c r="AK13" s="324">
        <f t="shared" si="11"/>
        <v>2746.9586340952792</v>
      </c>
      <c r="AL13" s="324">
        <f t="shared" si="11"/>
        <v>2480.9585445416596</v>
      </c>
      <c r="AM13" s="324">
        <f t="shared" si="11"/>
        <v>1666.0445813514464</v>
      </c>
      <c r="AN13" s="324">
        <f t="shared" si="11"/>
        <v>1875.0445932756784</v>
      </c>
    </row>
    <row r="14" spans="2:40" s="7" customFormat="1">
      <c r="B14" s="235"/>
      <c r="E14" s="217"/>
      <c r="F14" s="217"/>
      <c r="G14" s="217"/>
      <c r="H14" s="217"/>
      <c r="I14" s="217"/>
      <c r="J14" s="217"/>
      <c r="K14" s="217"/>
      <c r="L14" s="217"/>
    </row>
    <row r="15" spans="2:40">
      <c r="B15" s="282" t="s">
        <v>868</v>
      </c>
      <c r="C15" s="283" t="s">
        <v>803</v>
      </c>
      <c r="E15" s="296">
        <v>45</v>
      </c>
      <c r="F15" s="296">
        <v>42.61</v>
      </c>
      <c r="G15" s="296">
        <v>37.47</v>
      </c>
      <c r="H15" s="296">
        <v>50.01</v>
      </c>
      <c r="I15" s="296">
        <v>44.54</v>
      </c>
      <c r="J15" s="296">
        <v>50.52</v>
      </c>
      <c r="K15" s="296">
        <v>50.93</v>
      </c>
      <c r="L15" s="296">
        <v>50.97</v>
      </c>
      <c r="M15" s="297">
        <v>48.05</v>
      </c>
      <c r="N15" s="297">
        <f t="shared" ref="N15:P15" si="12">M15</f>
        <v>48.05</v>
      </c>
      <c r="O15" s="297">
        <f t="shared" si="12"/>
        <v>48.05</v>
      </c>
      <c r="P15" s="297">
        <f t="shared" si="12"/>
        <v>48.05</v>
      </c>
      <c r="Q15" s="297">
        <v>45</v>
      </c>
      <c r="R15" s="297">
        <v>42</v>
      </c>
      <c r="S15" s="297">
        <v>40</v>
      </c>
      <c r="T15" s="297">
        <v>50</v>
      </c>
      <c r="U15" s="297">
        <v>44</v>
      </c>
      <c r="V15" s="297">
        <v>50</v>
      </c>
      <c r="W15" s="297">
        <v>48</v>
      </c>
      <c r="X15" s="297">
        <v>50</v>
      </c>
      <c r="Y15" s="297">
        <v>40</v>
      </c>
      <c r="Z15" s="297">
        <v>40</v>
      </c>
      <c r="AA15" s="297">
        <v>42</v>
      </c>
      <c r="AB15" s="297">
        <v>42</v>
      </c>
      <c r="AC15" s="297">
        <v>42</v>
      </c>
      <c r="AD15" s="297">
        <v>42</v>
      </c>
      <c r="AE15" s="297">
        <v>42</v>
      </c>
      <c r="AF15" s="297">
        <v>42</v>
      </c>
      <c r="AG15" s="297">
        <v>42</v>
      </c>
      <c r="AH15" s="297">
        <v>42</v>
      </c>
      <c r="AI15" s="297">
        <v>42</v>
      </c>
      <c r="AJ15" s="297">
        <v>42</v>
      </c>
      <c r="AK15" s="297">
        <v>42</v>
      </c>
      <c r="AL15" s="297">
        <v>42</v>
      </c>
      <c r="AM15" s="297">
        <v>42</v>
      </c>
      <c r="AN15" s="297">
        <v>42</v>
      </c>
    </row>
    <row r="16" spans="2:40" s="7" customFormat="1">
      <c r="B16" s="235"/>
      <c r="C16" s="7" t="s">
        <v>804</v>
      </c>
      <c r="E16" s="321">
        <f t="shared" ref="E16:AN16" si="13">E15*E12</f>
        <v>4671.830769230769</v>
      </c>
      <c r="F16" s="321">
        <f t="shared" si="13"/>
        <v>4917.5920054945045</v>
      </c>
      <c r="G16" s="321">
        <f t="shared" si="13"/>
        <v>7706.943205851062</v>
      </c>
      <c r="H16" s="321">
        <f t="shared" si="13"/>
        <v>23924.653096081503</v>
      </c>
      <c r="I16" s="321">
        <f t="shared" si="13"/>
        <v>4676.7</v>
      </c>
      <c r="J16" s="321">
        <f t="shared" si="13"/>
        <v>19803.84</v>
      </c>
      <c r="K16" s="321">
        <f t="shared" si="13"/>
        <v>14056.68</v>
      </c>
      <c r="L16" s="321">
        <f t="shared" si="13"/>
        <v>2956.2599999999998</v>
      </c>
      <c r="M16" s="322">
        <f t="shared" si="13"/>
        <v>13587.413227499999</v>
      </c>
      <c r="N16" s="322">
        <f t="shared" si="13"/>
        <v>13551.541500000001</v>
      </c>
      <c r="O16" s="322">
        <f t="shared" si="13"/>
        <v>5420.6166000000003</v>
      </c>
      <c r="P16" s="322">
        <f t="shared" si="13"/>
        <v>5420.6166000000003</v>
      </c>
      <c r="Q16" s="322">
        <f t="shared" si="13"/>
        <v>5533.11</v>
      </c>
      <c r="R16" s="322">
        <f t="shared" si="13"/>
        <v>12156.48</v>
      </c>
      <c r="S16" s="322">
        <f t="shared" si="13"/>
        <v>11926.2</v>
      </c>
      <c r="T16" s="322">
        <f t="shared" si="13"/>
        <v>18365.0808</v>
      </c>
      <c r="U16" s="322">
        <f t="shared" si="13"/>
        <v>9006.1898783999986</v>
      </c>
      <c r="V16" s="322">
        <f>V15*V12</f>
        <v>46553.4</v>
      </c>
      <c r="W16" s="322">
        <f t="shared" si="13"/>
        <v>14470.515763200001</v>
      </c>
      <c r="X16" s="322">
        <f t="shared" si="13"/>
        <v>7271.3760000000011</v>
      </c>
      <c r="Y16" s="322">
        <f>Y15*Y12</f>
        <v>38304</v>
      </c>
      <c r="Z16" s="322">
        <v>27936.818300749397</v>
      </c>
      <c r="AA16" s="322">
        <f t="shared" si="13"/>
        <v>4558.1760000000004</v>
      </c>
      <c r="AB16" s="322">
        <f t="shared" si="13"/>
        <v>4558.1760000000004</v>
      </c>
      <c r="AC16" s="322">
        <f t="shared" si="13"/>
        <v>16066.512000000002</v>
      </c>
      <c r="AD16" s="322">
        <f t="shared" si="13"/>
        <v>28365.119999999999</v>
      </c>
      <c r="AE16" s="322">
        <f t="shared" si="13"/>
        <v>12750.191999999999</v>
      </c>
      <c r="AF16" s="322">
        <f t="shared" si="13"/>
        <v>29913.206399999999</v>
      </c>
      <c r="AG16" s="322">
        <f t="shared" si="13"/>
        <v>16669.729439999996</v>
      </c>
      <c r="AH16" s="322">
        <f t="shared" si="13"/>
        <v>39457.151999999995</v>
      </c>
      <c r="AI16" s="322">
        <f t="shared" si="13"/>
        <v>27440.219519999995</v>
      </c>
      <c r="AJ16" s="322">
        <f t="shared" si="13"/>
        <v>13237.056</v>
      </c>
      <c r="AK16" s="322">
        <f t="shared" si="13"/>
        <v>37044</v>
      </c>
      <c r="AL16" s="322">
        <f t="shared" si="13"/>
        <v>37044</v>
      </c>
      <c r="AM16" s="322">
        <f t="shared" si="13"/>
        <v>9878.4</v>
      </c>
      <c r="AN16" s="322">
        <f t="shared" si="13"/>
        <v>9878.4</v>
      </c>
    </row>
    <row r="17" spans="2:40">
      <c r="B17" s="282" t="s">
        <v>868</v>
      </c>
      <c r="C17" s="283" t="s">
        <v>805</v>
      </c>
      <c r="E17" s="296">
        <v>44.77</v>
      </c>
      <c r="F17" s="296">
        <v>0</v>
      </c>
      <c r="G17" s="296">
        <v>50.46</v>
      </c>
      <c r="H17" s="296">
        <v>48.68</v>
      </c>
      <c r="I17" s="296">
        <v>49.73</v>
      </c>
      <c r="J17" s="296">
        <v>45.94</v>
      </c>
      <c r="K17" s="296">
        <v>58.77</v>
      </c>
      <c r="L17" s="296">
        <v>53.38</v>
      </c>
      <c r="M17" s="297">
        <v>52.01</v>
      </c>
      <c r="N17" s="297">
        <f t="shared" ref="N17:P17" si="14">M17</f>
        <v>52.01</v>
      </c>
      <c r="O17" s="297">
        <f t="shared" si="14"/>
        <v>52.01</v>
      </c>
      <c r="P17" s="297">
        <f t="shared" si="14"/>
        <v>52.01</v>
      </c>
      <c r="Q17" s="297">
        <v>50</v>
      </c>
      <c r="R17" s="297">
        <v>50</v>
      </c>
      <c r="S17" s="297">
        <v>50</v>
      </c>
      <c r="T17" s="297">
        <v>50</v>
      </c>
      <c r="U17" s="297">
        <v>50</v>
      </c>
      <c r="V17" s="297">
        <v>50</v>
      </c>
      <c r="W17" s="297">
        <v>50</v>
      </c>
      <c r="X17" s="297">
        <v>50</v>
      </c>
      <c r="Y17" s="297">
        <v>50</v>
      </c>
      <c r="Z17" s="297">
        <v>50</v>
      </c>
      <c r="AA17" s="297">
        <v>50</v>
      </c>
      <c r="AB17" s="297">
        <v>50</v>
      </c>
      <c r="AC17" s="297">
        <f t="shared" ref="AC17:AN17" si="15">AB17</f>
        <v>50</v>
      </c>
      <c r="AD17" s="297">
        <f t="shared" si="15"/>
        <v>50</v>
      </c>
      <c r="AE17" s="297">
        <f t="shared" si="15"/>
        <v>50</v>
      </c>
      <c r="AF17" s="297">
        <f t="shared" si="15"/>
        <v>50</v>
      </c>
      <c r="AG17" s="297">
        <f t="shared" si="15"/>
        <v>50</v>
      </c>
      <c r="AH17" s="297">
        <f t="shared" si="15"/>
        <v>50</v>
      </c>
      <c r="AI17" s="297">
        <f t="shared" si="15"/>
        <v>50</v>
      </c>
      <c r="AJ17" s="297">
        <f t="shared" si="15"/>
        <v>50</v>
      </c>
      <c r="AK17" s="297">
        <f t="shared" si="15"/>
        <v>50</v>
      </c>
      <c r="AL17" s="297">
        <f t="shared" si="15"/>
        <v>50</v>
      </c>
      <c r="AM17" s="297">
        <f t="shared" si="15"/>
        <v>50</v>
      </c>
      <c r="AN17" s="297">
        <f t="shared" si="15"/>
        <v>50</v>
      </c>
    </row>
    <row r="18" spans="2:40" s="7" customFormat="1">
      <c r="B18" s="235"/>
      <c r="C18" s="7" t="s">
        <v>806</v>
      </c>
      <c r="E18" s="321">
        <f>E11*E17</f>
        <v>1343.1000000000001</v>
      </c>
      <c r="F18" s="321">
        <f>F11*F17</f>
        <v>0</v>
      </c>
      <c r="G18" s="321">
        <f>G11*G17</f>
        <v>1715.64</v>
      </c>
      <c r="H18" s="321">
        <f>H11*H17</f>
        <v>1509.08</v>
      </c>
      <c r="I18" s="321">
        <f>I11*I17</f>
        <v>1491.8999999999999</v>
      </c>
      <c r="J18" s="321">
        <f>J11*J15</f>
        <v>1263</v>
      </c>
      <c r="K18" s="321">
        <f t="shared" ref="K18:AN18" si="16">K11*K15</f>
        <v>1476.97</v>
      </c>
      <c r="L18" s="321">
        <f t="shared" si="16"/>
        <v>1274.25</v>
      </c>
      <c r="M18" s="322">
        <f t="shared" si="16"/>
        <v>15002.761299790354</v>
      </c>
      <c r="N18" s="322">
        <f t="shared" si="16"/>
        <v>11835.345593291402</v>
      </c>
      <c r="O18" s="322">
        <f t="shared" si="16"/>
        <v>9720.3692181132064</v>
      </c>
      <c r="P18" s="322">
        <f t="shared" si="16"/>
        <v>12992.039272262164</v>
      </c>
      <c r="Q18" s="322">
        <f t="shared" si="16"/>
        <v>9296.6091932216241</v>
      </c>
      <c r="R18" s="322">
        <f t="shared" si="16"/>
        <v>6977.2714368015986</v>
      </c>
      <c r="S18" s="322">
        <f t="shared" si="16"/>
        <v>9894.0549280421528</v>
      </c>
      <c r="T18" s="322">
        <f t="shared" si="16"/>
        <v>10187.238195767526</v>
      </c>
      <c r="U18" s="322">
        <f t="shared" si="16"/>
        <v>9420.4198025836813</v>
      </c>
      <c r="V18" s="322">
        <f>V11*V15</f>
        <v>16552.602611535727</v>
      </c>
      <c r="W18" s="322">
        <f t="shared" si="16"/>
        <v>17091.074371405095</v>
      </c>
      <c r="X18" s="322">
        <f t="shared" si="16"/>
        <v>19350.734268861626</v>
      </c>
      <c r="Y18" s="322">
        <f>Y11*Y15</f>
        <v>18821.540207046484</v>
      </c>
      <c r="Z18" s="322">
        <v>1018.8183007493999</v>
      </c>
      <c r="AA18" s="322">
        <f t="shared" si="16"/>
        <v>17965.759983327174</v>
      </c>
      <c r="AB18" s="322">
        <f t="shared" si="16"/>
        <v>23005.699564702511</v>
      </c>
      <c r="AC18" s="322">
        <f t="shared" si="16"/>
        <v>19728.660958998797</v>
      </c>
      <c r="AD18" s="322">
        <f t="shared" si="16"/>
        <v>17007.205623039852</v>
      </c>
      <c r="AE18" s="322">
        <f t="shared" si="16"/>
        <v>27248.730228713692</v>
      </c>
      <c r="AF18" s="322">
        <f t="shared" si="16"/>
        <v>30525.834163158059</v>
      </c>
      <c r="AG18" s="322">
        <f t="shared" si="16"/>
        <v>40946.425082573289</v>
      </c>
      <c r="AH18" s="322">
        <f t="shared" si="16"/>
        <v>42939.031171367489</v>
      </c>
      <c r="AI18" s="322">
        <f t="shared" si="16"/>
        <v>34619.381868059645</v>
      </c>
      <c r="AJ18" s="322">
        <f t="shared" si="16"/>
        <v>44861.706737728535</v>
      </c>
      <c r="AK18" s="322">
        <f t="shared" si="16"/>
        <v>47881.210000422776</v>
      </c>
      <c r="AL18" s="322">
        <f t="shared" si="16"/>
        <v>36709.206239170751</v>
      </c>
      <c r="AM18" s="322">
        <f t="shared" si="16"/>
        <v>43857.044346585302</v>
      </c>
      <c r="AN18" s="322">
        <f t="shared" si="16"/>
        <v>52635.044847403056</v>
      </c>
    </row>
    <row r="19" spans="2:40" s="7" customFormat="1">
      <c r="B19" s="235"/>
      <c r="E19" s="217"/>
      <c r="F19" s="217"/>
      <c r="G19" s="217"/>
      <c r="H19" s="217"/>
      <c r="I19" s="217"/>
      <c r="J19" s="217"/>
      <c r="K19" s="217"/>
      <c r="L19" s="217"/>
    </row>
    <row r="20" spans="2:40">
      <c r="B20" s="282" t="s">
        <v>868</v>
      </c>
      <c r="C20" s="283" t="s">
        <v>869</v>
      </c>
      <c r="E20" s="296">
        <v>43.73</v>
      </c>
      <c r="F20" s="296">
        <v>40.65</v>
      </c>
      <c r="G20" s="296">
        <v>38.520000000000003</v>
      </c>
      <c r="H20" s="296">
        <v>45.93</v>
      </c>
      <c r="I20" s="296">
        <v>43.7</v>
      </c>
      <c r="J20" s="296">
        <v>49.51</v>
      </c>
      <c r="K20" s="296">
        <v>50.04</v>
      </c>
      <c r="L20" s="296">
        <v>51.79</v>
      </c>
      <c r="M20" s="297">
        <v>48.28</v>
      </c>
      <c r="N20" s="297">
        <f t="shared" ref="N20:P20" si="17">M20</f>
        <v>48.28</v>
      </c>
      <c r="O20" s="297">
        <f t="shared" si="17"/>
        <v>48.28</v>
      </c>
      <c r="P20" s="297">
        <f t="shared" si="17"/>
        <v>48.28</v>
      </c>
      <c r="Q20" s="297">
        <v>45</v>
      </c>
      <c r="R20" s="297">
        <v>50</v>
      </c>
      <c r="S20" s="297">
        <v>50</v>
      </c>
      <c r="T20" s="297">
        <v>45</v>
      </c>
      <c r="U20" s="297">
        <v>43</v>
      </c>
      <c r="V20" s="297">
        <v>40</v>
      </c>
      <c r="W20" s="297">
        <v>42</v>
      </c>
      <c r="X20" s="297">
        <f>W20</f>
        <v>42</v>
      </c>
      <c r="Y20" s="297">
        <v>40</v>
      </c>
      <c r="Z20" s="297">
        <v>40</v>
      </c>
      <c r="AA20" s="297">
        <v>42</v>
      </c>
      <c r="AB20" s="297">
        <f t="shared" ref="AB20:AN20" si="18">AA20</f>
        <v>42</v>
      </c>
      <c r="AC20" s="297">
        <f t="shared" si="18"/>
        <v>42</v>
      </c>
      <c r="AD20" s="297">
        <f t="shared" si="18"/>
        <v>42</v>
      </c>
      <c r="AE20" s="297">
        <f t="shared" si="18"/>
        <v>42</v>
      </c>
      <c r="AF20" s="297">
        <f t="shared" si="18"/>
        <v>42</v>
      </c>
      <c r="AG20" s="297">
        <f t="shared" si="18"/>
        <v>42</v>
      </c>
      <c r="AH20" s="297">
        <f t="shared" si="18"/>
        <v>42</v>
      </c>
      <c r="AI20" s="297">
        <f t="shared" si="18"/>
        <v>42</v>
      </c>
      <c r="AJ20" s="297">
        <f t="shared" si="18"/>
        <v>42</v>
      </c>
      <c r="AK20" s="297">
        <f t="shared" si="18"/>
        <v>42</v>
      </c>
      <c r="AL20" s="297">
        <f t="shared" si="18"/>
        <v>42</v>
      </c>
      <c r="AM20" s="297">
        <f t="shared" si="18"/>
        <v>42</v>
      </c>
      <c r="AN20" s="297">
        <f t="shared" si="18"/>
        <v>42</v>
      </c>
    </row>
    <row r="21" spans="2:40" s="7" customFormat="1">
      <c r="B21" s="235"/>
      <c r="C21" s="7" t="s">
        <v>808</v>
      </c>
      <c r="E21" s="321">
        <f t="shared" ref="E21:AN21" si="19">E9*E20</f>
        <v>6953.07</v>
      </c>
      <c r="F21" s="321">
        <f t="shared" si="19"/>
        <v>8414.5499999999993</v>
      </c>
      <c r="G21" s="321">
        <f t="shared" si="19"/>
        <v>5123.1600000000008</v>
      </c>
      <c r="H21" s="321">
        <f t="shared" si="19"/>
        <v>34906.800000000003</v>
      </c>
      <c r="I21" s="321">
        <f t="shared" si="19"/>
        <v>6380.2000000000007</v>
      </c>
      <c r="J21" s="321">
        <f t="shared" si="19"/>
        <v>21586.36</v>
      </c>
      <c r="K21" s="321">
        <f t="shared" si="19"/>
        <v>23668.92</v>
      </c>
      <c r="L21" s="321">
        <f>L9*L20</f>
        <v>4402.1499999999996</v>
      </c>
      <c r="M21" s="322">
        <f t="shared" si="19"/>
        <v>17479.937060583452</v>
      </c>
      <c r="N21" s="322">
        <f t="shared" si="19"/>
        <v>17483.839946956617</v>
      </c>
      <c r="O21" s="322">
        <f t="shared" si="19"/>
        <v>6992.1704543885162</v>
      </c>
      <c r="P21" s="322">
        <f t="shared" si="19"/>
        <v>7032.8827023085432</v>
      </c>
      <c r="Q21" s="322">
        <f t="shared" si="19"/>
        <v>6651.930302320643</v>
      </c>
      <c r="R21" s="322">
        <f t="shared" si="19"/>
        <v>34571.902368054245</v>
      </c>
      <c r="S21" s="322">
        <f t="shared" si="19"/>
        <v>28823.559153362243</v>
      </c>
      <c r="T21" s="322">
        <f t="shared" si="19"/>
        <v>4065.5820164673137</v>
      </c>
      <c r="U21" s="322">
        <f t="shared" si="19"/>
        <v>7064.0248721423695</v>
      </c>
      <c r="V21" s="322">
        <f>V9*V20</f>
        <v>8702.2790546364577</v>
      </c>
      <c r="W21" s="322">
        <f t="shared" si="19"/>
        <v>4865.1121716788302</v>
      </c>
      <c r="X21" s="322">
        <f t="shared" si="19"/>
        <v>3376.5365992246752</v>
      </c>
      <c r="Y21" s="322">
        <f>Y9*Y20</f>
        <v>8055.9618543851702</v>
      </c>
      <c r="Z21" s="322">
        <v>10.799999999999999</v>
      </c>
      <c r="AA21" s="322">
        <f t="shared" si="19"/>
        <v>4511.4361058368395</v>
      </c>
      <c r="AB21" s="322">
        <f t="shared" si="19"/>
        <v>4511.3756872121712</v>
      </c>
      <c r="AC21" s="322">
        <f t="shared" si="19"/>
        <v>3171.6980291980262</v>
      </c>
      <c r="AD21" s="322">
        <f t="shared" si="19"/>
        <v>14842.298333476969</v>
      </c>
      <c r="AE21" s="322">
        <f t="shared" si="19"/>
        <v>12374.143145787741</v>
      </c>
      <c r="AF21" s="322">
        <f t="shared" si="19"/>
        <v>4530.2269432056401</v>
      </c>
      <c r="AG21" s="322">
        <f t="shared" si="19"/>
        <v>8060.435811077612</v>
      </c>
      <c r="AH21" s="322">
        <f t="shared" si="19"/>
        <v>10673.111809607164</v>
      </c>
      <c r="AI21" s="322">
        <f t="shared" si="19"/>
        <v>5683.263333180078</v>
      </c>
      <c r="AJ21" s="322">
        <f t="shared" si="19"/>
        <v>3944.3558142673382</v>
      </c>
      <c r="AK21" s="322">
        <f t="shared" si="19"/>
        <v>10098.194835391554</v>
      </c>
      <c r="AL21" s="322">
        <f t="shared" si="19"/>
        <v>10098.191074139528</v>
      </c>
      <c r="AM21" s="322">
        <f t="shared" si="19"/>
        <v>5385.7029252353204</v>
      </c>
      <c r="AN21" s="322">
        <f t="shared" si="19"/>
        <v>5385.7034260530763</v>
      </c>
    </row>
    <row r="22" spans="2:40">
      <c r="B22" s="282" t="s">
        <v>868</v>
      </c>
      <c r="C22" s="283" t="s">
        <v>809</v>
      </c>
      <c r="E22" s="296">
        <v>53.28</v>
      </c>
      <c r="F22" s="296">
        <v>69.3</v>
      </c>
      <c r="G22" s="296">
        <v>86.12</v>
      </c>
      <c r="H22" s="296">
        <v>92.59</v>
      </c>
      <c r="I22" s="296">
        <v>51.91</v>
      </c>
      <c r="J22" s="296">
        <v>58.58</v>
      </c>
      <c r="K22" s="296">
        <v>67.599999999999994</v>
      </c>
      <c r="L22" s="296">
        <v>57.77</v>
      </c>
      <c r="M22" s="297">
        <v>58.27</v>
      </c>
      <c r="N22" s="297">
        <f t="shared" ref="N22:P22" si="20">M22</f>
        <v>58.27</v>
      </c>
      <c r="O22" s="297">
        <f t="shared" si="20"/>
        <v>58.27</v>
      </c>
      <c r="P22" s="297">
        <f t="shared" si="20"/>
        <v>58.27</v>
      </c>
      <c r="Q22" s="297">
        <v>70</v>
      </c>
      <c r="R22" s="297">
        <f t="shared" ref="R22:AN22" si="21">Q22</f>
        <v>70</v>
      </c>
      <c r="S22" s="297">
        <f t="shared" si="21"/>
        <v>70</v>
      </c>
      <c r="T22" s="297">
        <f t="shared" si="21"/>
        <v>70</v>
      </c>
      <c r="U22" s="297">
        <f t="shared" si="21"/>
        <v>70</v>
      </c>
      <c r="V22" s="297">
        <f t="shared" si="21"/>
        <v>70</v>
      </c>
      <c r="W22" s="297">
        <f t="shared" si="21"/>
        <v>70</v>
      </c>
      <c r="X22" s="297">
        <f t="shared" si="21"/>
        <v>70</v>
      </c>
      <c r="Y22" s="297">
        <f t="shared" si="21"/>
        <v>70</v>
      </c>
      <c r="Z22" s="297">
        <f>Y22</f>
        <v>70</v>
      </c>
      <c r="AA22" s="297">
        <f t="shared" si="21"/>
        <v>70</v>
      </c>
      <c r="AB22" s="297">
        <f t="shared" si="21"/>
        <v>70</v>
      </c>
      <c r="AC22" s="297">
        <f t="shared" si="21"/>
        <v>70</v>
      </c>
      <c r="AD22" s="297">
        <f t="shared" si="21"/>
        <v>70</v>
      </c>
      <c r="AE22" s="297">
        <f t="shared" si="21"/>
        <v>70</v>
      </c>
      <c r="AF22" s="297">
        <f t="shared" si="21"/>
        <v>70</v>
      </c>
      <c r="AG22" s="297">
        <f t="shared" si="21"/>
        <v>70</v>
      </c>
      <c r="AH22" s="297">
        <f t="shared" si="21"/>
        <v>70</v>
      </c>
      <c r="AI22" s="297">
        <f t="shared" si="21"/>
        <v>70</v>
      </c>
      <c r="AJ22" s="297">
        <f t="shared" si="21"/>
        <v>70</v>
      </c>
      <c r="AK22" s="297">
        <f t="shared" si="21"/>
        <v>70</v>
      </c>
      <c r="AL22" s="297">
        <f t="shared" si="21"/>
        <v>70</v>
      </c>
      <c r="AM22" s="297">
        <f t="shared" si="21"/>
        <v>70</v>
      </c>
      <c r="AN22" s="297">
        <f t="shared" si="21"/>
        <v>70</v>
      </c>
    </row>
    <row r="23" spans="2:40" s="7" customFormat="1">
      <c r="B23" s="235"/>
      <c r="C23" s="7" t="s">
        <v>810</v>
      </c>
      <c r="E23" s="321">
        <f>E22*E10</f>
        <v>1918.08</v>
      </c>
      <c r="F23" s="321">
        <f>F22*F10</f>
        <v>1316.7</v>
      </c>
      <c r="G23" s="321">
        <f>G22*G10</f>
        <v>947.32</v>
      </c>
      <c r="H23" s="321">
        <f>H22*H10</f>
        <v>1388.8500000000001</v>
      </c>
      <c r="I23" s="321">
        <f>I22*I10</f>
        <v>1401.57</v>
      </c>
      <c r="J23" s="321">
        <f t="shared" ref="J23:AN23" si="22">J20*J10</f>
        <v>1138.73</v>
      </c>
      <c r="K23" s="321">
        <f t="shared" si="22"/>
        <v>800.64</v>
      </c>
      <c r="L23" s="321">
        <f t="shared" si="22"/>
        <v>1760.86</v>
      </c>
      <c r="M23" s="322">
        <f t="shared" si="22"/>
        <v>4095.8584949721071</v>
      </c>
      <c r="N23" s="322">
        <f t="shared" si="22"/>
        <v>4091.9556085989416</v>
      </c>
      <c r="O23" s="322">
        <f t="shared" si="22"/>
        <v>1638.1477678337062</v>
      </c>
      <c r="P23" s="322">
        <f t="shared" si="22"/>
        <v>1682.137274299645</v>
      </c>
      <c r="Q23" s="322">
        <f t="shared" si="22"/>
        <v>1670.4571661004095</v>
      </c>
      <c r="R23" s="322">
        <f t="shared" si="22"/>
        <v>8700.8146494896191</v>
      </c>
      <c r="S23" s="322">
        <f t="shared" si="22"/>
        <v>7253.1328992693407</v>
      </c>
      <c r="T23" s="322">
        <f t="shared" si="22"/>
        <v>4158.6239966905823</v>
      </c>
      <c r="U23" s="322">
        <f t="shared" si="22"/>
        <v>7677.3538732377501</v>
      </c>
      <c r="V23" s="322">
        <f>V20*V10</f>
        <v>9455.4647582290436</v>
      </c>
      <c r="W23" s="322">
        <f t="shared" si="22"/>
        <v>5287.0296809527472</v>
      </c>
      <c r="X23" s="322">
        <f t="shared" si="22"/>
        <v>3669.3528955121678</v>
      </c>
      <c r="Y23" s="322">
        <f>Y20*Y10</f>
        <v>8239.4767421060606</v>
      </c>
      <c r="Z23" s="322">
        <v>24688.06352932554</v>
      </c>
      <c r="AA23" s="322">
        <f t="shared" si="22"/>
        <v>4614.0095081982499</v>
      </c>
      <c r="AB23" s="322">
        <f t="shared" si="22"/>
        <v>4614.0699268229173</v>
      </c>
      <c r="AC23" s="322">
        <f t="shared" si="22"/>
        <v>6391.315241679169</v>
      </c>
      <c r="AD23" s="322">
        <f t="shared" si="22"/>
        <v>29908.779624417781</v>
      </c>
      <c r="AE23" s="322">
        <f t="shared" si="22"/>
        <v>24935.066207896478</v>
      </c>
      <c r="AF23" s="322">
        <f t="shared" si="22"/>
        <v>9128.8283181978713</v>
      </c>
      <c r="AG23" s="322">
        <f t="shared" si="22"/>
        <v>16242.604579799587</v>
      </c>
      <c r="AH23" s="322">
        <f t="shared" si="22"/>
        <v>21507.393018463012</v>
      </c>
      <c r="AI23" s="322">
        <f t="shared" si="22"/>
        <v>11452.337887872553</v>
      </c>
      <c r="AJ23" s="322">
        <f t="shared" si="22"/>
        <v>7948.2629436273965</v>
      </c>
      <c r="AK23" s="322">
        <f t="shared" si="22"/>
        <v>20348.857796187393</v>
      </c>
      <c r="AL23" s="322">
        <f t="shared" si="22"/>
        <v>20348.861557439421</v>
      </c>
      <c r="AM23" s="322">
        <f t="shared" si="22"/>
        <v>10852.725144940119</v>
      </c>
      <c r="AN23" s="322">
        <f t="shared" si="22"/>
        <v>10852.724644122361</v>
      </c>
    </row>
    <row r="24" spans="2:40" s="7" customFormat="1">
      <c r="B24" s="235"/>
      <c r="E24" s="217"/>
      <c r="F24" s="217"/>
      <c r="G24" s="217"/>
      <c r="H24" s="217"/>
      <c r="I24" s="217"/>
      <c r="J24" s="217"/>
      <c r="K24" s="217"/>
      <c r="L24" s="217"/>
    </row>
    <row r="25" spans="2:40" s="7" customFormat="1">
      <c r="B25" s="237"/>
      <c r="C25" s="7" t="s">
        <v>870</v>
      </c>
      <c r="E25" s="227">
        <f>(E21+E16+E18+E23)</f>
        <v>14886.080769230768</v>
      </c>
      <c r="F25" s="227">
        <f t="shared" ref="F25:AN25" si="23">(F21+F16+F18+F23)</f>
        <v>14648.842005494505</v>
      </c>
      <c r="G25" s="227">
        <f t="shared" si="23"/>
        <v>15493.063205851062</v>
      </c>
      <c r="H25" s="227">
        <f t="shared" si="23"/>
        <v>61729.383096081503</v>
      </c>
      <c r="I25" s="227">
        <f t="shared" si="23"/>
        <v>13950.37</v>
      </c>
      <c r="J25" s="227">
        <f t="shared" si="23"/>
        <v>43791.93</v>
      </c>
      <c r="K25" s="227">
        <f t="shared" si="23"/>
        <v>40003.21</v>
      </c>
      <c r="L25" s="227">
        <f t="shared" si="23"/>
        <v>10393.52</v>
      </c>
      <c r="M25" s="201">
        <f t="shared" si="23"/>
        <v>50165.97008284591</v>
      </c>
      <c r="N25" s="201">
        <f t="shared" si="23"/>
        <v>46962.68264884696</v>
      </c>
      <c r="O25" s="201">
        <f t="shared" si="23"/>
        <v>23771.304040335428</v>
      </c>
      <c r="P25" s="201">
        <f t="shared" si="23"/>
        <v>27127.675848870356</v>
      </c>
      <c r="Q25" s="201">
        <f t="shared" si="23"/>
        <v>23152.106661642676</v>
      </c>
      <c r="R25" s="201">
        <f t="shared" si="23"/>
        <v>62406.468454345464</v>
      </c>
      <c r="S25" s="201">
        <f t="shared" si="23"/>
        <v>57896.94698067374</v>
      </c>
      <c r="T25" s="201">
        <f t="shared" si="23"/>
        <v>36776.525008925426</v>
      </c>
      <c r="U25" s="201">
        <f t="shared" si="23"/>
        <v>33167.988426363801</v>
      </c>
      <c r="V25" s="201">
        <f t="shared" si="23"/>
        <v>81263.746424401237</v>
      </c>
      <c r="W25" s="201">
        <f t="shared" si="23"/>
        <v>41713.731987236679</v>
      </c>
      <c r="X25" s="201">
        <f t="shared" si="23"/>
        <v>33667.999763598469</v>
      </c>
      <c r="Y25" s="201">
        <f t="shared" si="23"/>
        <v>73420.978803537713</v>
      </c>
      <c r="Z25" s="201">
        <f>(Z21+Z16+Z18+Z23)</f>
        <v>53654.500130824337</v>
      </c>
      <c r="AA25" s="201">
        <f t="shared" si="23"/>
        <v>31649.381597362266</v>
      </c>
      <c r="AB25" s="201">
        <f t="shared" si="23"/>
        <v>36689.321178737599</v>
      </c>
      <c r="AC25" s="201">
        <f t="shared" si="23"/>
        <v>45358.186229875995</v>
      </c>
      <c r="AD25" s="201">
        <f t="shared" si="23"/>
        <v>90123.403580934595</v>
      </c>
      <c r="AE25" s="201">
        <f t="shared" si="23"/>
        <v>77308.131582397909</v>
      </c>
      <c r="AF25" s="201">
        <f t="shared" si="23"/>
        <v>74098.095824561577</v>
      </c>
      <c r="AG25" s="201">
        <f t="shared" si="23"/>
        <v>81919.194913450483</v>
      </c>
      <c r="AH25" s="201">
        <f t="shared" si="23"/>
        <v>114576.68799943766</v>
      </c>
      <c r="AI25" s="201">
        <f t="shared" si="23"/>
        <v>79195.202609112268</v>
      </c>
      <c r="AJ25" s="201">
        <f t="shared" si="23"/>
        <v>69991.381495623267</v>
      </c>
      <c r="AK25" s="201">
        <f t="shared" si="23"/>
        <v>115372.26263200172</v>
      </c>
      <c r="AL25" s="201">
        <f t="shared" si="23"/>
        <v>104200.25887074969</v>
      </c>
      <c r="AM25" s="201">
        <f t="shared" si="23"/>
        <v>69973.872416760743</v>
      </c>
      <c r="AN25" s="201">
        <f t="shared" si="23"/>
        <v>78751.872917578497</v>
      </c>
    </row>
    <row r="26" spans="2:40" s="7" customFormat="1">
      <c r="B26" s="235" t="s">
        <v>871</v>
      </c>
      <c r="C26" s="238" t="s">
        <v>812</v>
      </c>
      <c r="E26" s="228">
        <v>13212</v>
      </c>
      <c r="F26" s="228">
        <v>14102</v>
      </c>
      <c r="G26" s="228">
        <v>16813</v>
      </c>
      <c r="H26" s="228">
        <v>51493</v>
      </c>
      <c r="I26" s="228">
        <v>11913</v>
      </c>
      <c r="J26" s="228">
        <v>37088</v>
      </c>
      <c r="K26" s="228">
        <v>34320</v>
      </c>
      <c r="L26" s="228">
        <v>9243</v>
      </c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2"/>
      <c r="AC26" s="202"/>
      <c r="AD26" s="202"/>
      <c r="AE26" s="202"/>
      <c r="AF26" s="202"/>
      <c r="AG26" s="202"/>
      <c r="AH26" s="202"/>
      <c r="AI26" s="202"/>
      <c r="AJ26" s="202"/>
      <c r="AK26" s="202"/>
      <c r="AL26" s="202"/>
      <c r="AM26" s="202"/>
      <c r="AN26" s="202"/>
    </row>
    <row r="27" spans="2:40" s="7" customFormat="1">
      <c r="B27" s="237"/>
      <c r="C27" s="7" t="s">
        <v>872</v>
      </c>
      <c r="E27" s="229">
        <f t="shared" ref="E27:H27" si="24">E26-E25</f>
        <v>-1674.0807692307681</v>
      </c>
      <c r="F27" s="229">
        <f t="shared" si="24"/>
        <v>-546.84200549450543</v>
      </c>
      <c r="G27" s="229">
        <f t="shared" si="24"/>
        <v>1319.9367941489381</v>
      </c>
      <c r="H27" s="229">
        <f t="shared" si="24"/>
        <v>-10236.383096081503</v>
      </c>
      <c r="I27" s="229">
        <f>I26-I25</f>
        <v>-2037.3700000000008</v>
      </c>
      <c r="J27" s="229">
        <f t="shared" ref="J27:L27" si="25">J26-J25</f>
        <v>-6703.93</v>
      </c>
      <c r="K27" s="229">
        <f t="shared" si="25"/>
        <v>-5683.2099999999991</v>
      </c>
      <c r="L27" s="229">
        <f t="shared" si="25"/>
        <v>-1150.5200000000004</v>
      </c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</row>
    <row r="28" spans="2:40" s="7" customFormat="1">
      <c r="B28" s="235"/>
      <c r="E28" s="326">
        <f>E27/E26</f>
        <v>-0.12670911059875628</v>
      </c>
      <c r="F28" s="326">
        <f t="shared" ref="F28:H28" si="26">F27/F26</f>
        <v>-3.8777620585342891E-2</v>
      </c>
      <c r="G28" s="326">
        <f t="shared" si="26"/>
        <v>7.8506916918392802E-2</v>
      </c>
      <c r="H28" s="326">
        <f t="shared" si="26"/>
        <v>-0.19879174054884166</v>
      </c>
      <c r="I28" s="326">
        <f>I27/I26</f>
        <v>-0.17102073365231266</v>
      </c>
      <c r="J28" s="326">
        <f t="shared" ref="J28:L28" si="27">J27/J26</f>
        <v>-0.18075738783433995</v>
      </c>
      <c r="K28" s="326">
        <f t="shared" si="27"/>
        <v>-0.16559469696969695</v>
      </c>
      <c r="L28" s="326">
        <f t="shared" si="27"/>
        <v>-0.12447473763929465</v>
      </c>
    </row>
    <row r="29" spans="2:40">
      <c r="C29" s="283" t="s">
        <v>814</v>
      </c>
      <c r="E29" s="293">
        <v>0</v>
      </c>
      <c r="F29" s="293">
        <v>0</v>
      </c>
      <c r="G29" s="293">
        <v>0</v>
      </c>
      <c r="H29" s="293">
        <v>0</v>
      </c>
      <c r="I29" s="293">
        <v>0</v>
      </c>
      <c r="J29" s="293">
        <v>0</v>
      </c>
      <c r="K29" s="293">
        <v>0</v>
      </c>
      <c r="L29" s="293">
        <v>0</v>
      </c>
      <c r="M29" s="299">
        <v>0</v>
      </c>
      <c r="N29" s="299">
        <v>0</v>
      </c>
      <c r="O29" s="299">
        <v>0</v>
      </c>
      <c r="P29" s="299">
        <v>0</v>
      </c>
      <c r="Q29" s="299">
        <v>10000</v>
      </c>
      <c r="R29" s="299">
        <v>5000</v>
      </c>
      <c r="S29" s="299">
        <v>5000</v>
      </c>
      <c r="T29" s="299">
        <v>2500</v>
      </c>
      <c r="U29" s="299">
        <v>2500</v>
      </c>
      <c r="V29" s="299">
        <v>5000</v>
      </c>
      <c r="W29" s="299">
        <v>2500</v>
      </c>
      <c r="X29" s="299">
        <v>5000</v>
      </c>
      <c r="Y29" s="299">
        <v>5000</v>
      </c>
      <c r="Z29" s="299">
        <v>2500</v>
      </c>
      <c r="AA29" s="299">
        <v>2500</v>
      </c>
      <c r="AB29" s="299">
        <v>2500</v>
      </c>
      <c r="AC29" s="299">
        <v>10000</v>
      </c>
      <c r="AD29" s="299">
        <v>5000</v>
      </c>
      <c r="AE29" s="299">
        <v>5000</v>
      </c>
      <c r="AF29" s="299">
        <v>2500</v>
      </c>
      <c r="AG29" s="299">
        <v>2500</v>
      </c>
      <c r="AH29" s="299">
        <v>5000</v>
      </c>
      <c r="AI29" s="299">
        <v>2500</v>
      </c>
      <c r="AJ29" s="299">
        <v>5000</v>
      </c>
      <c r="AK29" s="299">
        <v>5000</v>
      </c>
      <c r="AL29" s="299">
        <v>2500</v>
      </c>
      <c r="AM29" s="299">
        <v>2500</v>
      </c>
      <c r="AN29" s="299">
        <v>2500</v>
      </c>
    </row>
    <row r="30" spans="2:40" s="7" customFormat="1">
      <c r="B30" s="235"/>
      <c r="E30" s="328"/>
      <c r="F30" s="328"/>
      <c r="G30" s="328"/>
      <c r="H30" s="328"/>
      <c r="I30" s="328"/>
      <c r="J30" s="321"/>
      <c r="K30" s="217"/>
      <c r="L30" s="217"/>
    </row>
    <row r="31" spans="2:40" s="7" customFormat="1">
      <c r="B31" s="235"/>
      <c r="E31" s="328"/>
      <c r="F31" s="328"/>
      <c r="G31" s="328"/>
      <c r="H31" s="328"/>
      <c r="I31" s="328"/>
      <c r="J31" s="321"/>
      <c r="K31" s="217"/>
      <c r="L31" s="217"/>
    </row>
    <row r="32" spans="2:40">
      <c r="C32" s="348" t="s">
        <v>815</v>
      </c>
      <c r="E32" s="300"/>
      <c r="F32" s="300"/>
      <c r="G32" s="300"/>
      <c r="H32" s="300"/>
      <c r="I32" s="300"/>
      <c r="J32" s="294"/>
      <c r="K32" s="349"/>
      <c r="L32" s="349"/>
      <c r="M32" s="355" t="s">
        <v>816</v>
      </c>
      <c r="N32" s="356" t="s">
        <v>817</v>
      </c>
      <c r="O32" s="355" t="s">
        <v>816</v>
      </c>
      <c r="P32" s="355" t="s">
        <v>816</v>
      </c>
      <c r="Q32" s="355" t="s">
        <v>816</v>
      </c>
      <c r="R32" s="355" t="s">
        <v>873</v>
      </c>
      <c r="S32" s="355" t="s">
        <v>818</v>
      </c>
      <c r="T32" s="355" t="s">
        <v>816</v>
      </c>
      <c r="U32" s="355" t="s">
        <v>816</v>
      </c>
      <c r="V32" s="355" t="s">
        <v>818</v>
      </c>
      <c r="W32" s="355" t="s">
        <v>816</v>
      </c>
      <c r="X32" s="355" t="s">
        <v>816</v>
      </c>
      <c r="Y32" s="355" t="s">
        <v>818</v>
      </c>
      <c r="Z32" s="355" t="s">
        <v>818</v>
      </c>
      <c r="AA32" s="355" t="s">
        <v>816</v>
      </c>
      <c r="AB32" s="355" t="s">
        <v>816</v>
      </c>
      <c r="AC32" s="355" t="s">
        <v>816</v>
      </c>
      <c r="AD32" s="355" t="s">
        <v>874</v>
      </c>
      <c r="AE32" s="355" t="s">
        <v>816</v>
      </c>
      <c r="AF32" s="355" t="s">
        <v>816</v>
      </c>
      <c r="AG32" s="355" t="s">
        <v>816</v>
      </c>
      <c r="AH32" s="355" t="s">
        <v>874</v>
      </c>
      <c r="AI32" s="355" t="s">
        <v>816</v>
      </c>
      <c r="AJ32" s="355" t="s">
        <v>816</v>
      </c>
      <c r="AK32" s="355" t="s">
        <v>874</v>
      </c>
      <c r="AL32" s="355" t="s">
        <v>874</v>
      </c>
      <c r="AM32" s="355" t="s">
        <v>816</v>
      </c>
      <c r="AN32" s="355" t="s">
        <v>816</v>
      </c>
    </row>
    <row r="33" spans="2:40" s="7" customFormat="1">
      <c r="B33" s="235"/>
      <c r="E33" s="328"/>
      <c r="F33" s="328"/>
      <c r="G33" s="328"/>
      <c r="H33" s="328"/>
      <c r="I33" s="328"/>
      <c r="J33" s="217"/>
      <c r="K33" s="217"/>
      <c r="L33" s="217"/>
    </row>
    <row r="34" spans="2:40" s="7" customFormat="1" ht="12" customHeight="1">
      <c r="B34" s="237" t="s">
        <v>819</v>
      </c>
      <c r="C34" s="208" t="s">
        <v>208</v>
      </c>
      <c r="D34" s="208"/>
      <c r="E34" s="218">
        <v>45689</v>
      </c>
      <c r="F34" s="218">
        <v>45717</v>
      </c>
      <c r="G34" s="218">
        <v>45748</v>
      </c>
      <c r="H34" s="218">
        <v>45778</v>
      </c>
      <c r="I34" s="218">
        <v>45809</v>
      </c>
      <c r="J34" s="218">
        <v>45839</v>
      </c>
      <c r="K34" s="218">
        <v>45870</v>
      </c>
      <c r="L34" s="218">
        <v>45901</v>
      </c>
      <c r="M34" s="195">
        <v>45931</v>
      </c>
      <c r="N34" s="195">
        <v>45962</v>
      </c>
      <c r="O34" s="195">
        <v>45992</v>
      </c>
      <c r="P34" s="195">
        <v>46023</v>
      </c>
      <c r="Q34" s="195">
        <v>46054</v>
      </c>
      <c r="R34" s="195">
        <v>46082</v>
      </c>
      <c r="S34" s="195">
        <v>46113</v>
      </c>
      <c r="T34" s="195">
        <v>46143</v>
      </c>
      <c r="U34" s="195">
        <v>46174</v>
      </c>
      <c r="V34" s="195">
        <v>46204</v>
      </c>
      <c r="W34" s="195">
        <v>46235</v>
      </c>
      <c r="X34" s="195">
        <v>46266</v>
      </c>
      <c r="Y34" s="195">
        <v>46296</v>
      </c>
      <c r="Z34" s="195">
        <v>46327</v>
      </c>
      <c r="AA34" s="195">
        <v>46357</v>
      </c>
      <c r="AB34" s="195">
        <v>46388</v>
      </c>
      <c r="AC34" s="195">
        <v>46419</v>
      </c>
      <c r="AD34" s="195">
        <v>46447</v>
      </c>
      <c r="AE34" s="195">
        <v>46478</v>
      </c>
      <c r="AF34" s="195">
        <v>46508</v>
      </c>
      <c r="AG34" s="195">
        <v>46539</v>
      </c>
      <c r="AH34" s="195">
        <v>46569</v>
      </c>
      <c r="AI34" s="195">
        <v>46600</v>
      </c>
      <c r="AJ34" s="195">
        <v>46631</v>
      </c>
      <c r="AK34" s="195">
        <v>46661</v>
      </c>
      <c r="AL34" s="195">
        <v>46692</v>
      </c>
      <c r="AM34" s="195">
        <v>46722</v>
      </c>
      <c r="AN34" s="195">
        <v>46753</v>
      </c>
    </row>
    <row r="35" spans="2:40" s="7" customFormat="1" ht="12" customHeight="1">
      <c r="B35" s="237"/>
      <c r="C35" s="208"/>
      <c r="D35" s="208"/>
      <c r="E35" s="219" t="s">
        <v>753</v>
      </c>
      <c r="F35" s="219" t="s">
        <v>754</v>
      </c>
      <c r="G35" s="219" t="s">
        <v>755</v>
      </c>
      <c r="H35" s="219" t="s">
        <v>756</v>
      </c>
      <c r="I35" s="219" t="s">
        <v>757</v>
      </c>
      <c r="J35" s="219" t="s">
        <v>758</v>
      </c>
      <c r="K35" s="219" t="s">
        <v>759</v>
      </c>
      <c r="L35" s="219" t="s">
        <v>760</v>
      </c>
      <c r="M35" s="196" t="s">
        <v>761</v>
      </c>
      <c r="N35" s="196" t="s">
        <v>762</v>
      </c>
      <c r="O35" s="196" t="s">
        <v>763</v>
      </c>
      <c r="P35" s="196" t="s">
        <v>764</v>
      </c>
      <c r="Q35" s="196" t="s">
        <v>765</v>
      </c>
      <c r="R35" s="196" t="s">
        <v>766</v>
      </c>
      <c r="S35" s="196" t="s">
        <v>767</v>
      </c>
      <c r="T35" s="196" t="s">
        <v>768</v>
      </c>
      <c r="U35" s="196" t="s">
        <v>769</v>
      </c>
      <c r="V35" s="196" t="s">
        <v>770</v>
      </c>
      <c r="W35" s="196" t="s">
        <v>771</v>
      </c>
      <c r="X35" s="196" t="s">
        <v>772</v>
      </c>
      <c r="Y35" s="196" t="s">
        <v>773</v>
      </c>
      <c r="Z35" s="196" t="s">
        <v>774</v>
      </c>
      <c r="AA35" s="196" t="s">
        <v>775</v>
      </c>
      <c r="AB35" s="196" t="s">
        <v>776</v>
      </c>
      <c r="AC35" s="196" t="s">
        <v>777</v>
      </c>
      <c r="AD35" s="196" t="s">
        <v>778</v>
      </c>
      <c r="AE35" s="196" t="s">
        <v>779</v>
      </c>
      <c r="AF35" s="196" t="s">
        <v>780</v>
      </c>
      <c r="AG35" s="196" t="s">
        <v>781</v>
      </c>
      <c r="AH35" s="196" t="s">
        <v>782</v>
      </c>
      <c r="AI35" s="196" t="s">
        <v>783</v>
      </c>
      <c r="AJ35" s="196" t="s">
        <v>784</v>
      </c>
      <c r="AK35" s="196" t="s">
        <v>785</v>
      </c>
      <c r="AL35" s="196" t="s">
        <v>786</v>
      </c>
      <c r="AM35" s="196" t="s">
        <v>787</v>
      </c>
      <c r="AN35" s="196" t="s">
        <v>788</v>
      </c>
    </row>
    <row r="36" spans="2:40" ht="12" customHeight="1">
      <c r="B36" s="301" t="s">
        <v>875</v>
      </c>
      <c r="C36" s="302" t="s">
        <v>821</v>
      </c>
      <c r="D36" s="303"/>
      <c r="E36" s="304">
        <v>8566</v>
      </c>
      <c r="F36" s="304">
        <v>22047</v>
      </c>
      <c r="G36" s="304">
        <v>28278</v>
      </c>
      <c r="H36" s="304">
        <v>12235</v>
      </c>
      <c r="I36" s="304">
        <v>14086</v>
      </c>
      <c r="J36" s="304">
        <v>15854</v>
      </c>
      <c r="K36" s="304">
        <v>12060</v>
      </c>
      <c r="L36" s="304">
        <v>8370</v>
      </c>
      <c r="M36" s="305">
        <v>20000</v>
      </c>
      <c r="N36" s="305">
        <v>20000</v>
      </c>
      <c r="O36" s="305">
        <v>8000</v>
      </c>
      <c r="P36" s="305">
        <f t="shared" ref="P36" si="28">O36</f>
        <v>8000</v>
      </c>
      <c r="Q36" s="305">
        <f t="shared" ref="Q36:AN36" si="29">Q37*E36</f>
        <v>9422.6</v>
      </c>
      <c r="R36" s="305">
        <f t="shared" si="29"/>
        <v>44094</v>
      </c>
      <c r="S36" s="305">
        <f t="shared" si="29"/>
        <v>36761.4</v>
      </c>
      <c r="T36" s="305">
        <f t="shared" si="29"/>
        <v>13458.500000000002</v>
      </c>
      <c r="U36" s="305">
        <f t="shared" si="29"/>
        <v>23946.2</v>
      </c>
      <c r="V36" s="305">
        <f t="shared" si="29"/>
        <v>31708</v>
      </c>
      <c r="W36" s="305">
        <f t="shared" si="29"/>
        <v>16884</v>
      </c>
      <c r="X36" s="305">
        <f t="shared" si="29"/>
        <v>11718</v>
      </c>
      <c r="Y36" s="305">
        <f t="shared" si="29"/>
        <v>30000</v>
      </c>
      <c r="Z36" s="305">
        <f t="shared" si="29"/>
        <v>30000</v>
      </c>
      <c r="AA36" s="305">
        <f>AA37*O36</f>
        <v>16000</v>
      </c>
      <c r="AB36" s="305">
        <f>AB37*P36</f>
        <v>16000</v>
      </c>
      <c r="AC36" s="305">
        <f t="shared" si="29"/>
        <v>18845.2</v>
      </c>
      <c r="AD36" s="305">
        <f t="shared" si="29"/>
        <v>88188</v>
      </c>
      <c r="AE36" s="305">
        <f t="shared" si="29"/>
        <v>73522.8</v>
      </c>
      <c r="AF36" s="305">
        <f t="shared" si="29"/>
        <v>26917.000000000004</v>
      </c>
      <c r="AG36" s="305">
        <f t="shared" si="29"/>
        <v>47892.4</v>
      </c>
      <c r="AH36" s="305">
        <f t="shared" si="29"/>
        <v>63416</v>
      </c>
      <c r="AI36" s="305">
        <f t="shared" si="29"/>
        <v>33768</v>
      </c>
      <c r="AJ36" s="305">
        <f t="shared" si="29"/>
        <v>23436</v>
      </c>
      <c r="AK36" s="305">
        <f t="shared" si="29"/>
        <v>60000</v>
      </c>
      <c r="AL36" s="305">
        <f t="shared" si="29"/>
        <v>60000</v>
      </c>
      <c r="AM36" s="305">
        <f t="shared" si="29"/>
        <v>32000</v>
      </c>
      <c r="AN36" s="305">
        <f t="shared" si="29"/>
        <v>32000</v>
      </c>
    </row>
    <row r="37" spans="2:40" s="7" customFormat="1" ht="12" customHeight="1">
      <c r="B37" s="239"/>
      <c r="C37" s="214" t="s">
        <v>876</v>
      </c>
      <c r="D37" s="214"/>
      <c r="E37" s="205"/>
      <c r="F37" s="205"/>
      <c r="G37" s="205"/>
      <c r="H37" s="205"/>
      <c r="I37" s="205"/>
      <c r="J37" s="205"/>
      <c r="K37" s="205"/>
      <c r="L37" s="205"/>
      <c r="M37" s="205"/>
      <c r="N37" s="205"/>
      <c r="O37" s="205"/>
      <c r="P37" s="205"/>
      <c r="Q37" s="352">
        <v>1.1000000000000001</v>
      </c>
      <c r="R37" s="352">
        <v>2</v>
      </c>
      <c r="S37" s="352">
        <v>1.3</v>
      </c>
      <c r="T37" s="352">
        <v>1.1000000000000001</v>
      </c>
      <c r="U37" s="352">
        <v>1.7</v>
      </c>
      <c r="V37" s="352">
        <v>2</v>
      </c>
      <c r="W37" s="352">
        <v>1.4</v>
      </c>
      <c r="X37" s="352">
        <v>1.4</v>
      </c>
      <c r="Y37" s="352">
        <v>1.5</v>
      </c>
      <c r="Z37" s="352">
        <v>1.5</v>
      </c>
      <c r="AA37" s="352">
        <v>2</v>
      </c>
      <c r="AB37" s="352">
        <v>2</v>
      </c>
      <c r="AC37" s="352">
        <v>2</v>
      </c>
      <c r="AD37" s="352">
        <v>2</v>
      </c>
      <c r="AE37" s="352">
        <v>2</v>
      </c>
      <c r="AF37" s="352">
        <v>2</v>
      </c>
      <c r="AG37" s="352">
        <v>2</v>
      </c>
      <c r="AH37" s="352">
        <v>2</v>
      </c>
      <c r="AI37" s="352">
        <v>2</v>
      </c>
      <c r="AJ37" s="352">
        <v>2</v>
      </c>
      <c r="AK37" s="352">
        <v>2</v>
      </c>
      <c r="AL37" s="352">
        <v>2</v>
      </c>
      <c r="AM37" s="352">
        <v>2</v>
      </c>
      <c r="AN37" s="352">
        <v>2</v>
      </c>
    </row>
    <row r="38" spans="2:40">
      <c r="C38" s="350" t="s">
        <v>822</v>
      </c>
      <c r="D38" s="303"/>
    </row>
    <row r="39" spans="2:40">
      <c r="C39" s="308" t="s">
        <v>751</v>
      </c>
      <c r="E39" s="309"/>
      <c r="F39" s="309"/>
      <c r="G39" s="309"/>
      <c r="H39" s="309"/>
      <c r="I39" s="309"/>
      <c r="M39" s="310">
        <v>0.1</v>
      </c>
      <c r="N39" s="310">
        <v>0.1</v>
      </c>
      <c r="O39" s="310">
        <v>0.1</v>
      </c>
      <c r="P39" s="310">
        <v>0.1</v>
      </c>
      <c r="Q39" s="310">
        <v>0.2</v>
      </c>
      <c r="R39" s="310">
        <v>0.2</v>
      </c>
      <c r="S39" s="310">
        <v>0.2</v>
      </c>
      <c r="T39" s="310">
        <v>0.7</v>
      </c>
      <c r="U39" s="310">
        <v>0.7</v>
      </c>
      <c r="V39" s="310">
        <v>0.7</v>
      </c>
      <c r="W39" s="310">
        <v>0.7</v>
      </c>
      <c r="X39" s="310">
        <v>0.7</v>
      </c>
      <c r="Y39" s="310">
        <v>0.7</v>
      </c>
      <c r="Z39" s="310">
        <v>0.7</v>
      </c>
      <c r="AA39" s="310">
        <v>0.7</v>
      </c>
      <c r="AB39" s="310">
        <v>0.7</v>
      </c>
      <c r="AC39" s="310">
        <v>0.8</v>
      </c>
      <c r="AD39" s="310">
        <v>0.8</v>
      </c>
      <c r="AE39" s="310">
        <v>0.8</v>
      </c>
      <c r="AF39" s="310">
        <v>0.8</v>
      </c>
      <c r="AG39" s="310">
        <v>0.8</v>
      </c>
      <c r="AH39" s="310">
        <v>0.8</v>
      </c>
      <c r="AI39" s="310">
        <v>0.8</v>
      </c>
      <c r="AJ39" s="310">
        <v>0.8</v>
      </c>
      <c r="AK39" s="310">
        <v>0.8</v>
      </c>
      <c r="AL39" s="310">
        <v>0.8</v>
      </c>
      <c r="AM39" s="310">
        <v>0.8</v>
      </c>
      <c r="AN39" s="310">
        <v>0.8</v>
      </c>
    </row>
    <row r="40" spans="2:40">
      <c r="C40" s="308" t="s">
        <v>823</v>
      </c>
      <c r="E40" s="309"/>
      <c r="F40" s="309"/>
      <c r="G40" s="309"/>
      <c r="H40" s="309"/>
      <c r="I40" s="309"/>
      <c r="M40" s="310">
        <v>0.1</v>
      </c>
      <c r="N40" s="310">
        <v>0.1</v>
      </c>
      <c r="O40" s="310">
        <v>0.1</v>
      </c>
      <c r="P40" s="310">
        <v>0.1</v>
      </c>
      <c r="Q40" s="310">
        <v>0.2</v>
      </c>
      <c r="R40" s="310">
        <v>0.2</v>
      </c>
      <c r="S40" s="310">
        <v>0.2</v>
      </c>
      <c r="T40" s="310">
        <v>0.1</v>
      </c>
      <c r="U40" s="310">
        <v>0.1</v>
      </c>
      <c r="V40" s="310">
        <v>0.1</v>
      </c>
      <c r="W40" s="310">
        <v>0.1</v>
      </c>
      <c r="X40" s="310">
        <v>0.1</v>
      </c>
      <c r="Y40" s="310">
        <v>0.1</v>
      </c>
      <c r="Z40" s="310">
        <v>0.1</v>
      </c>
      <c r="AA40" s="310">
        <v>0.1</v>
      </c>
      <c r="AB40" s="310">
        <v>0.1</v>
      </c>
      <c r="AC40" s="310">
        <v>0.1</v>
      </c>
      <c r="AD40" s="310">
        <v>0.1</v>
      </c>
      <c r="AE40" s="310">
        <v>0.1</v>
      </c>
      <c r="AF40" s="310">
        <v>0.1</v>
      </c>
      <c r="AG40" s="310">
        <v>0.1</v>
      </c>
      <c r="AH40" s="310">
        <v>0.1</v>
      </c>
      <c r="AI40" s="310">
        <v>0.1</v>
      </c>
      <c r="AJ40" s="310">
        <v>0.1</v>
      </c>
      <c r="AK40" s="310">
        <v>0.1</v>
      </c>
      <c r="AL40" s="310">
        <v>0.1</v>
      </c>
      <c r="AM40" s="310">
        <v>0.1</v>
      </c>
      <c r="AN40" s="310">
        <v>0.1</v>
      </c>
    </row>
    <row r="41" spans="2:40">
      <c r="C41" s="308" t="s">
        <v>824</v>
      </c>
      <c r="E41" s="309"/>
      <c r="F41" s="309"/>
      <c r="G41" s="309"/>
      <c r="H41" s="309"/>
      <c r="I41" s="309"/>
      <c r="M41" s="310">
        <v>0.8</v>
      </c>
      <c r="N41" s="310">
        <v>0.8</v>
      </c>
      <c r="O41" s="310">
        <v>0.8</v>
      </c>
      <c r="P41" s="310">
        <v>0.8</v>
      </c>
      <c r="Q41" s="310">
        <v>0.6</v>
      </c>
      <c r="R41" s="310">
        <v>0.6</v>
      </c>
      <c r="S41" s="310">
        <v>0.6</v>
      </c>
      <c r="T41" s="310">
        <v>0.2</v>
      </c>
      <c r="U41" s="310">
        <v>0.2</v>
      </c>
      <c r="V41" s="310">
        <v>0.2</v>
      </c>
      <c r="W41" s="310">
        <v>0.2</v>
      </c>
      <c r="X41" s="310">
        <v>0.2</v>
      </c>
      <c r="Y41" s="310">
        <v>0.2</v>
      </c>
      <c r="Z41" s="310">
        <v>0.2</v>
      </c>
      <c r="AA41" s="310">
        <v>0.2</v>
      </c>
      <c r="AB41" s="310">
        <v>0.2</v>
      </c>
      <c r="AC41" s="310">
        <v>0.1</v>
      </c>
      <c r="AD41" s="310">
        <v>0.1</v>
      </c>
      <c r="AE41" s="310">
        <v>0.1</v>
      </c>
      <c r="AF41" s="310">
        <v>0.1</v>
      </c>
      <c r="AG41" s="310">
        <v>0.1</v>
      </c>
      <c r="AH41" s="310">
        <v>0.1</v>
      </c>
      <c r="AI41" s="310">
        <v>0.1</v>
      </c>
      <c r="AJ41" s="310">
        <v>0.1</v>
      </c>
      <c r="AK41" s="310">
        <v>0.1</v>
      </c>
      <c r="AL41" s="310">
        <v>0.1</v>
      </c>
      <c r="AM41" s="310">
        <v>0.1</v>
      </c>
      <c r="AN41" s="310">
        <v>0.1</v>
      </c>
    </row>
    <row r="42" spans="2:40">
      <c r="M42" s="311"/>
      <c r="N42" s="311"/>
      <c r="O42" s="311"/>
      <c r="P42" s="311"/>
      <c r="Q42" s="311"/>
      <c r="R42" s="311"/>
      <c r="S42" s="311"/>
      <c r="T42" s="311"/>
      <c r="U42" s="311"/>
      <c r="V42" s="311"/>
      <c r="W42" s="311"/>
      <c r="X42" s="311"/>
      <c r="Y42" s="311"/>
      <c r="Z42" s="311"/>
      <c r="AA42" s="311"/>
      <c r="AB42" s="311"/>
      <c r="AC42" s="311"/>
      <c r="AD42" s="311"/>
      <c r="AE42" s="311"/>
      <c r="AF42" s="311"/>
      <c r="AG42" s="311"/>
      <c r="AH42" s="311"/>
      <c r="AI42" s="311"/>
      <c r="AJ42" s="311"/>
      <c r="AK42" s="311"/>
      <c r="AL42" s="311"/>
      <c r="AM42" s="311"/>
      <c r="AN42" s="311"/>
    </row>
    <row r="43" spans="2:40" s="207" customFormat="1">
      <c r="C43" s="242" t="s">
        <v>825</v>
      </c>
    </row>
    <row r="44" spans="2:40" s="7" customFormat="1" ht="12" customHeight="1" outlineLevel="1">
      <c r="B44" s="235"/>
      <c r="C44" s="208"/>
      <c r="D44" s="208"/>
      <c r="E44" s="196" t="s">
        <v>753</v>
      </c>
      <c r="F44" s="196" t="s">
        <v>754</v>
      </c>
      <c r="G44" s="196" t="s">
        <v>755</v>
      </c>
      <c r="H44" s="196" t="s">
        <v>756</v>
      </c>
      <c r="I44" s="196" t="s">
        <v>757</v>
      </c>
      <c r="J44" s="196" t="s">
        <v>758</v>
      </c>
      <c r="K44" s="196" t="s">
        <v>759</v>
      </c>
      <c r="L44" s="196" t="s">
        <v>760</v>
      </c>
      <c r="M44" s="196" t="s">
        <v>761</v>
      </c>
      <c r="N44" s="196" t="s">
        <v>762</v>
      </c>
      <c r="O44" s="196" t="s">
        <v>763</v>
      </c>
      <c r="P44" s="196" t="s">
        <v>764</v>
      </c>
      <c r="Q44" s="196" t="s">
        <v>765</v>
      </c>
      <c r="R44" s="196" t="s">
        <v>766</v>
      </c>
      <c r="S44" s="196" t="s">
        <v>767</v>
      </c>
      <c r="T44" s="196" t="s">
        <v>768</v>
      </c>
      <c r="U44" s="196" t="s">
        <v>769</v>
      </c>
      <c r="V44" s="196" t="s">
        <v>770</v>
      </c>
      <c r="W44" s="196" t="s">
        <v>771</v>
      </c>
      <c r="X44" s="196" t="s">
        <v>772</v>
      </c>
      <c r="Y44" s="196" t="s">
        <v>773</v>
      </c>
      <c r="Z44" s="196" t="s">
        <v>774</v>
      </c>
      <c r="AA44" s="196" t="s">
        <v>775</v>
      </c>
      <c r="AB44" s="196" t="s">
        <v>776</v>
      </c>
      <c r="AC44" s="196" t="s">
        <v>777</v>
      </c>
      <c r="AD44" s="196" t="s">
        <v>778</v>
      </c>
      <c r="AE44" s="196" t="s">
        <v>779</v>
      </c>
      <c r="AF44" s="196" t="s">
        <v>780</v>
      </c>
      <c r="AG44" s="196" t="s">
        <v>781</v>
      </c>
      <c r="AH44" s="196" t="s">
        <v>782</v>
      </c>
      <c r="AI44" s="196" t="s">
        <v>783</v>
      </c>
      <c r="AJ44" s="196" t="s">
        <v>784</v>
      </c>
      <c r="AK44" s="196" t="s">
        <v>785</v>
      </c>
      <c r="AL44" s="196" t="s">
        <v>786</v>
      </c>
      <c r="AM44" s="196" t="s">
        <v>787</v>
      </c>
      <c r="AN44" s="196" t="s">
        <v>788</v>
      </c>
    </row>
    <row r="45" spans="2:40" s="7" customFormat="1" ht="12" customHeight="1" outlineLevel="1">
      <c r="B45" s="239"/>
      <c r="C45" s="214" t="s">
        <v>821</v>
      </c>
      <c r="D45" s="212"/>
      <c r="E45" s="337"/>
      <c r="F45" s="337"/>
      <c r="G45" s="337"/>
      <c r="H45" s="337"/>
      <c r="I45" s="337"/>
      <c r="J45" s="337"/>
      <c r="K45" s="337"/>
      <c r="L45" s="337"/>
      <c r="M45" s="337">
        <f t="shared" ref="M45:AN45" si="30">M36*M39</f>
        <v>2000</v>
      </c>
      <c r="N45" s="337">
        <f t="shared" si="30"/>
        <v>2000</v>
      </c>
      <c r="O45" s="337">
        <f t="shared" si="30"/>
        <v>800</v>
      </c>
      <c r="P45" s="337">
        <f t="shared" si="30"/>
        <v>800</v>
      </c>
      <c r="Q45" s="337">
        <f t="shared" si="30"/>
        <v>1884.5200000000002</v>
      </c>
      <c r="R45" s="337">
        <f t="shared" si="30"/>
        <v>8818.8000000000011</v>
      </c>
      <c r="S45" s="337">
        <f t="shared" si="30"/>
        <v>7352.2800000000007</v>
      </c>
      <c r="T45" s="337">
        <f t="shared" si="30"/>
        <v>9420.9500000000007</v>
      </c>
      <c r="U45" s="337">
        <f t="shared" si="30"/>
        <v>16762.34</v>
      </c>
      <c r="V45" s="337">
        <f t="shared" si="30"/>
        <v>22195.599999999999</v>
      </c>
      <c r="W45" s="337">
        <f t="shared" si="30"/>
        <v>11818.8</v>
      </c>
      <c r="X45" s="337">
        <f t="shared" si="30"/>
        <v>8202.6</v>
      </c>
      <c r="Y45" s="337">
        <f t="shared" si="30"/>
        <v>21000</v>
      </c>
      <c r="Z45" s="337">
        <f t="shared" si="30"/>
        <v>21000</v>
      </c>
      <c r="AA45" s="337">
        <f t="shared" si="30"/>
        <v>11200</v>
      </c>
      <c r="AB45" s="337">
        <f t="shared" si="30"/>
        <v>11200</v>
      </c>
      <c r="AC45" s="337">
        <f t="shared" si="30"/>
        <v>15076.160000000002</v>
      </c>
      <c r="AD45" s="337">
        <f t="shared" si="30"/>
        <v>70550.400000000009</v>
      </c>
      <c r="AE45" s="337">
        <f t="shared" si="30"/>
        <v>58818.240000000005</v>
      </c>
      <c r="AF45" s="337">
        <f t="shared" si="30"/>
        <v>21533.600000000006</v>
      </c>
      <c r="AG45" s="337">
        <f t="shared" si="30"/>
        <v>38313.920000000006</v>
      </c>
      <c r="AH45" s="337">
        <f t="shared" si="30"/>
        <v>50732.800000000003</v>
      </c>
      <c r="AI45" s="337">
        <f t="shared" si="30"/>
        <v>27014.400000000001</v>
      </c>
      <c r="AJ45" s="337">
        <f t="shared" si="30"/>
        <v>18748.8</v>
      </c>
      <c r="AK45" s="337">
        <f t="shared" si="30"/>
        <v>48000</v>
      </c>
      <c r="AL45" s="337">
        <f t="shared" si="30"/>
        <v>48000</v>
      </c>
      <c r="AM45" s="337">
        <f t="shared" si="30"/>
        <v>25600</v>
      </c>
      <c r="AN45" s="337">
        <f t="shared" si="30"/>
        <v>25600</v>
      </c>
    </row>
    <row r="46" spans="2:40" ht="12" customHeight="1" outlineLevel="1">
      <c r="B46" s="301" t="s">
        <v>856</v>
      </c>
      <c r="C46" s="303" t="s">
        <v>827</v>
      </c>
      <c r="D46" s="302"/>
      <c r="E46" s="312"/>
      <c r="F46" s="312"/>
      <c r="G46" s="312"/>
      <c r="H46" s="312"/>
      <c r="I46" s="312"/>
      <c r="J46" s="312"/>
      <c r="K46" s="312"/>
      <c r="L46" s="312"/>
      <c r="M46" s="313">
        <v>120</v>
      </c>
      <c r="N46" s="313">
        <v>120</v>
      </c>
      <c r="O46" s="313">
        <v>120</v>
      </c>
      <c r="P46" s="313">
        <v>95</v>
      </c>
      <c r="Q46" s="313">
        <v>95</v>
      </c>
      <c r="R46" s="313">
        <v>95</v>
      </c>
      <c r="S46" s="313">
        <v>95</v>
      </c>
      <c r="T46" s="313">
        <v>95</v>
      </c>
      <c r="U46" s="313">
        <v>95</v>
      </c>
      <c r="V46" s="313">
        <v>95</v>
      </c>
      <c r="W46" s="313">
        <v>95</v>
      </c>
      <c r="X46" s="313">
        <v>95</v>
      </c>
      <c r="Y46" s="313">
        <v>95</v>
      </c>
      <c r="Z46" s="313">
        <v>95</v>
      </c>
      <c r="AA46" s="313">
        <v>95</v>
      </c>
      <c r="AB46" s="313">
        <v>95</v>
      </c>
      <c r="AC46" s="313">
        <v>95</v>
      </c>
      <c r="AD46" s="313">
        <v>95</v>
      </c>
      <c r="AE46" s="313">
        <v>95</v>
      </c>
      <c r="AF46" s="313">
        <v>95</v>
      </c>
      <c r="AG46" s="313">
        <v>95</v>
      </c>
      <c r="AH46" s="313">
        <v>95</v>
      </c>
      <c r="AI46" s="313">
        <v>95</v>
      </c>
      <c r="AJ46" s="313">
        <v>95</v>
      </c>
      <c r="AK46" s="313">
        <v>95</v>
      </c>
      <c r="AL46" s="313">
        <v>95</v>
      </c>
      <c r="AM46" s="313">
        <v>95</v>
      </c>
      <c r="AN46" s="313">
        <v>95</v>
      </c>
    </row>
    <row r="47" spans="2:40" s="7" customFormat="1" ht="12" customHeight="1" outlineLevel="1">
      <c r="B47" s="239" t="s">
        <v>828</v>
      </c>
      <c r="C47" s="214" t="s">
        <v>829</v>
      </c>
      <c r="D47" s="212"/>
      <c r="E47" s="232"/>
      <c r="F47" s="232"/>
      <c r="G47" s="232"/>
      <c r="H47" s="232"/>
      <c r="I47" s="232"/>
      <c r="J47" s="232"/>
      <c r="K47" s="232"/>
      <c r="L47" s="232"/>
      <c r="M47" s="205">
        <f t="shared" ref="M47:AN47" si="31">M45/M46</f>
        <v>16.666666666666668</v>
      </c>
      <c r="N47" s="205">
        <f t="shared" si="31"/>
        <v>16.666666666666668</v>
      </c>
      <c r="O47" s="205">
        <f t="shared" si="31"/>
        <v>6.666666666666667</v>
      </c>
      <c r="P47" s="205">
        <f t="shared" si="31"/>
        <v>8.4210526315789469</v>
      </c>
      <c r="Q47" s="205">
        <f t="shared" si="31"/>
        <v>19.837052631578949</v>
      </c>
      <c r="R47" s="205">
        <f t="shared" si="31"/>
        <v>92.829473684210541</v>
      </c>
      <c r="S47" s="205">
        <f t="shared" si="31"/>
        <v>77.39242105263159</v>
      </c>
      <c r="T47" s="205">
        <f t="shared" si="31"/>
        <v>99.167894736842115</v>
      </c>
      <c r="U47" s="205">
        <f t="shared" si="31"/>
        <v>176.44568421052631</v>
      </c>
      <c r="V47" s="205">
        <f t="shared" si="31"/>
        <v>233.6378947368421</v>
      </c>
      <c r="W47" s="205">
        <f t="shared" si="31"/>
        <v>124.40842105263157</v>
      </c>
      <c r="X47" s="205">
        <f t="shared" si="31"/>
        <v>86.343157894736848</v>
      </c>
      <c r="Y47" s="205">
        <f t="shared" si="31"/>
        <v>221.05263157894737</v>
      </c>
      <c r="Z47" s="205">
        <f t="shared" si="31"/>
        <v>221.05263157894737</v>
      </c>
      <c r="AA47" s="205">
        <f t="shared" si="31"/>
        <v>117.89473684210526</v>
      </c>
      <c r="AB47" s="205">
        <f t="shared" si="31"/>
        <v>117.89473684210526</v>
      </c>
      <c r="AC47" s="205">
        <f t="shared" si="31"/>
        <v>158.69642105263159</v>
      </c>
      <c r="AD47" s="205">
        <f t="shared" si="31"/>
        <v>742.63578947368433</v>
      </c>
      <c r="AE47" s="205">
        <f t="shared" si="31"/>
        <v>619.13936842105272</v>
      </c>
      <c r="AF47" s="205">
        <f t="shared" si="31"/>
        <v>226.6694736842106</v>
      </c>
      <c r="AG47" s="205">
        <f t="shared" si="31"/>
        <v>403.30442105263165</v>
      </c>
      <c r="AH47" s="205">
        <f t="shared" si="31"/>
        <v>534.02947368421053</v>
      </c>
      <c r="AI47" s="205">
        <f t="shared" si="31"/>
        <v>284.3621052631579</v>
      </c>
      <c r="AJ47" s="205">
        <f t="shared" si="31"/>
        <v>197.35578947368421</v>
      </c>
      <c r="AK47" s="205">
        <f t="shared" si="31"/>
        <v>505.26315789473682</v>
      </c>
      <c r="AL47" s="205">
        <f t="shared" si="31"/>
        <v>505.26315789473682</v>
      </c>
      <c r="AM47" s="205">
        <f t="shared" si="31"/>
        <v>269.4736842105263</v>
      </c>
      <c r="AN47" s="205">
        <f t="shared" si="31"/>
        <v>269.4736842105263</v>
      </c>
    </row>
    <row r="48" spans="2:40" ht="12" customHeight="1" outlineLevel="1">
      <c r="B48" s="301"/>
      <c r="C48" s="303" t="s">
        <v>830</v>
      </c>
      <c r="D48" s="302"/>
      <c r="E48" s="314">
        <v>0</v>
      </c>
      <c r="F48" s="314">
        <v>0</v>
      </c>
      <c r="G48" s="314">
        <v>0</v>
      </c>
      <c r="H48" s="314">
        <v>0</v>
      </c>
      <c r="I48" s="314">
        <v>0</v>
      </c>
      <c r="J48" s="314">
        <v>0</v>
      </c>
      <c r="K48" s="314">
        <v>0</v>
      </c>
      <c r="L48" s="314">
        <v>0</v>
      </c>
      <c r="M48" s="315">
        <v>0</v>
      </c>
      <c r="N48" s="315">
        <v>0</v>
      </c>
      <c r="O48" s="315">
        <v>0</v>
      </c>
      <c r="P48" s="315">
        <v>0</v>
      </c>
      <c r="Q48" s="315">
        <v>0</v>
      </c>
      <c r="R48" s="315">
        <f>Q48</f>
        <v>0</v>
      </c>
      <c r="S48" s="315">
        <f t="shared" ref="S48:AN48" si="32">R48</f>
        <v>0</v>
      </c>
      <c r="T48" s="315">
        <f t="shared" si="32"/>
        <v>0</v>
      </c>
      <c r="U48" s="315">
        <v>0.1</v>
      </c>
      <c r="V48" s="315">
        <f t="shared" si="32"/>
        <v>0.1</v>
      </c>
      <c r="W48" s="315">
        <v>0.1</v>
      </c>
      <c r="X48" s="315">
        <v>0.1</v>
      </c>
      <c r="Y48" s="315">
        <v>0</v>
      </c>
      <c r="Z48" s="315">
        <f t="shared" si="32"/>
        <v>0</v>
      </c>
      <c r="AA48" s="315">
        <f t="shared" si="32"/>
        <v>0</v>
      </c>
      <c r="AB48" s="315">
        <f t="shared" si="32"/>
        <v>0</v>
      </c>
      <c r="AC48" s="315">
        <f t="shared" si="32"/>
        <v>0</v>
      </c>
      <c r="AD48" s="315">
        <f t="shared" si="32"/>
        <v>0</v>
      </c>
      <c r="AE48" s="315">
        <f t="shared" si="32"/>
        <v>0</v>
      </c>
      <c r="AF48" s="315">
        <f t="shared" si="32"/>
        <v>0</v>
      </c>
      <c r="AG48" s="315">
        <f t="shared" si="32"/>
        <v>0</v>
      </c>
      <c r="AH48" s="315">
        <f t="shared" si="32"/>
        <v>0</v>
      </c>
      <c r="AI48" s="315">
        <f t="shared" si="32"/>
        <v>0</v>
      </c>
      <c r="AJ48" s="315">
        <f t="shared" si="32"/>
        <v>0</v>
      </c>
      <c r="AK48" s="315">
        <f t="shared" si="32"/>
        <v>0</v>
      </c>
      <c r="AL48" s="315">
        <f t="shared" si="32"/>
        <v>0</v>
      </c>
      <c r="AM48" s="315">
        <f t="shared" si="32"/>
        <v>0</v>
      </c>
      <c r="AN48" s="315">
        <f t="shared" si="32"/>
        <v>0</v>
      </c>
    </row>
    <row r="49" spans="2:40" s="7" customFormat="1" ht="12" customHeight="1" outlineLevel="1">
      <c r="B49" s="239"/>
      <c r="C49" s="214" t="s">
        <v>831</v>
      </c>
      <c r="D49" s="212"/>
      <c r="E49" s="232">
        <f t="shared" ref="E49:L49" si="33">E47*E48</f>
        <v>0</v>
      </c>
      <c r="F49" s="232">
        <f t="shared" si="33"/>
        <v>0</v>
      </c>
      <c r="G49" s="232">
        <f t="shared" si="33"/>
        <v>0</v>
      </c>
      <c r="H49" s="232">
        <f t="shared" si="33"/>
        <v>0</v>
      </c>
      <c r="I49" s="232">
        <f t="shared" si="33"/>
        <v>0</v>
      </c>
      <c r="J49" s="232">
        <f t="shared" si="33"/>
        <v>0</v>
      </c>
      <c r="K49" s="232">
        <f t="shared" si="33"/>
        <v>0</v>
      </c>
      <c r="L49" s="232">
        <f t="shared" si="33"/>
        <v>0</v>
      </c>
      <c r="M49" s="205">
        <f t="shared" ref="M49:AN49" si="34">M47*M48</f>
        <v>0</v>
      </c>
      <c r="N49" s="205">
        <f t="shared" si="34"/>
        <v>0</v>
      </c>
      <c r="O49" s="205">
        <f t="shared" si="34"/>
        <v>0</v>
      </c>
      <c r="P49" s="205">
        <f t="shared" si="34"/>
        <v>0</v>
      </c>
      <c r="Q49" s="205">
        <f t="shared" si="34"/>
        <v>0</v>
      </c>
      <c r="R49" s="205">
        <f t="shared" si="34"/>
        <v>0</v>
      </c>
      <c r="S49" s="205">
        <f t="shared" si="34"/>
        <v>0</v>
      </c>
      <c r="T49" s="205">
        <f t="shared" si="34"/>
        <v>0</v>
      </c>
      <c r="U49" s="205">
        <f t="shared" si="34"/>
        <v>17.644568421052632</v>
      </c>
      <c r="V49" s="205">
        <f t="shared" si="34"/>
        <v>23.363789473684211</v>
      </c>
      <c r="W49" s="205">
        <f t="shared" si="34"/>
        <v>12.440842105263158</v>
      </c>
      <c r="X49" s="205">
        <f t="shared" si="34"/>
        <v>8.6343157894736855</v>
      </c>
      <c r="Y49" s="205">
        <f t="shared" si="34"/>
        <v>0</v>
      </c>
      <c r="Z49" s="205">
        <f t="shared" si="34"/>
        <v>0</v>
      </c>
      <c r="AA49" s="205">
        <f t="shared" si="34"/>
        <v>0</v>
      </c>
      <c r="AB49" s="205">
        <f t="shared" si="34"/>
        <v>0</v>
      </c>
      <c r="AC49" s="205">
        <f t="shared" si="34"/>
        <v>0</v>
      </c>
      <c r="AD49" s="205">
        <f t="shared" si="34"/>
        <v>0</v>
      </c>
      <c r="AE49" s="205">
        <f t="shared" si="34"/>
        <v>0</v>
      </c>
      <c r="AF49" s="205">
        <f t="shared" si="34"/>
        <v>0</v>
      </c>
      <c r="AG49" s="205">
        <f t="shared" si="34"/>
        <v>0</v>
      </c>
      <c r="AH49" s="205">
        <f t="shared" si="34"/>
        <v>0</v>
      </c>
      <c r="AI49" s="205">
        <f t="shared" si="34"/>
        <v>0</v>
      </c>
      <c r="AJ49" s="205">
        <f t="shared" si="34"/>
        <v>0</v>
      </c>
      <c r="AK49" s="205">
        <f t="shared" si="34"/>
        <v>0</v>
      </c>
      <c r="AL49" s="205">
        <f t="shared" si="34"/>
        <v>0</v>
      </c>
      <c r="AM49" s="205">
        <f t="shared" si="34"/>
        <v>0</v>
      </c>
      <c r="AN49" s="205">
        <f t="shared" si="34"/>
        <v>0</v>
      </c>
    </row>
    <row r="50" spans="2:40" s="7" customFormat="1" ht="12" customHeight="1" outlineLevel="1">
      <c r="B50" s="239" t="s">
        <v>877</v>
      </c>
      <c r="C50" s="214" t="s">
        <v>833</v>
      </c>
      <c r="D50" s="212"/>
      <c r="E50" s="232">
        <v>2</v>
      </c>
      <c r="F50" s="232">
        <v>2</v>
      </c>
      <c r="G50" s="232">
        <v>1</v>
      </c>
      <c r="H50" s="232">
        <v>6</v>
      </c>
      <c r="I50" s="232">
        <v>2</v>
      </c>
      <c r="J50" s="232">
        <v>4</v>
      </c>
      <c r="K50" s="232">
        <v>6</v>
      </c>
      <c r="L50" s="232">
        <v>2</v>
      </c>
      <c r="M50" s="205">
        <f t="shared" ref="M50:AN50" si="35">M47+M49</f>
        <v>16.666666666666668</v>
      </c>
      <c r="N50" s="205">
        <f t="shared" si="35"/>
        <v>16.666666666666668</v>
      </c>
      <c r="O50" s="205">
        <f t="shared" si="35"/>
        <v>6.666666666666667</v>
      </c>
      <c r="P50" s="205">
        <f t="shared" si="35"/>
        <v>8.4210526315789469</v>
      </c>
      <c r="Q50" s="205">
        <f t="shared" si="35"/>
        <v>19.837052631578949</v>
      </c>
      <c r="R50" s="205">
        <f t="shared" si="35"/>
        <v>92.829473684210541</v>
      </c>
      <c r="S50" s="205">
        <f>S47+S49</f>
        <v>77.39242105263159</v>
      </c>
      <c r="T50" s="205">
        <f t="shared" si="35"/>
        <v>99.167894736842115</v>
      </c>
      <c r="U50" s="205">
        <f t="shared" si="35"/>
        <v>194.09025263157895</v>
      </c>
      <c r="V50" s="205">
        <f t="shared" si="35"/>
        <v>257.00168421052632</v>
      </c>
      <c r="W50" s="205">
        <f t="shared" si="35"/>
        <v>136.84926315789471</v>
      </c>
      <c r="X50" s="205">
        <f t="shared" si="35"/>
        <v>94.977473684210537</v>
      </c>
      <c r="Y50" s="205">
        <f t="shared" si="35"/>
        <v>221.05263157894737</v>
      </c>
      <c r="Z50" s="205">
        <f t="shared" si="35"/>
        <v>221.05263157894737</v>
      </c>
      <c r="AA50" s="205">
        <f t="shared" si="35"/>
        <v>117.89473684210526</v>
      </c>
      <c r="AB50" s="205">
        <f t="shared" si="35"/>
        <v>117.89473684210526</v>
      </c>
      <c r="AC50" s="205">
        <f t="shared" si="35"/>
        <v>158.69642105263159</v>
      </c>
      <c r="AD50" s="205">
        <f t="shared" si="35"/>
        <v>742.63578947368433</v>
      </c>
      <c r="AE50" s="205">
        <f t="shared" si="35"/>
        <v>619.13936842105272</v>
      </c>
      <c r="AF50" s="205">
        <f t="shared" si="35"/>
        <v>226.6694736842106</v>
      </c>
      <c r="AG50" s="205">
        <f t="shared" si="35"/>
        <v>403.30442105263165</v>
      </c>
      <c r="AH50" s="205">
        <f t="shared" si="35"/>
        <v>534.02947368421053</v>
      </c>
      <c r="AI50" s="205">
        <f t="shared" si="35"/>
        <v>284.3621052631579</v>
      </c>
      <c r="AJ50" s="205">
        <f t="shared" si="35"/>
        <v>197.35578947368421</v>
      </c>
      <c r="AK50" s="205">
        <f t="shared" si="35"/>
        <v>505.26315789473682</v>
      </c>
      <c r="AL50" s="205">
        <f t="shared" si="35"/>
        <v>505.26315789473682</v>
      </c>
      <c r="AM50" s="205">
        <f t="shared" si="35"/>
        <v>269.4736842105263</v>
      </c>
      <c r="AN50" s="205">
        <f t="shared" si="35"/>
        <v>269.4736842105263</v>
      </c>
    </row>
    <row r="51" spans="2:40" s="7" customFormat="1" ht="12" customHeight="1" outlineLevel="1">
      <c r="B51" s="239"/>
      <c r="C51" s="214" t="s">
        <v>834</v>
      </c>
      <c r="D51" s="212"/>
      <c r="E51" s="232">
        <v>0</v>
      </c>
      <c r="F51" s="232">
        <v>1</v>
      </c>
      <c r="G51" s="232">
        <v>0</v>
      </c>
      <c r="H51" s="232">
        <v>4</v>
      </c>
      <c r="I51" s="232">
        <v>0</v>
      </c>
      <c r="J51" s="232">
        <v>2</v>
      </c>
      <c r="K51" s="232">
        <v>3</v>
      </c>
      <c r="L51" s="232">
        <v>1</v>
      </c>
      <c r="M51" s="205">
        <f t="shared" ref="M51:AN51" si="36">M59+M60</f>
        <v>8.3333333333333339</v>
      </c>
      <c r="N51" s="205">
        <f t="shared" si="36"/>
        <v>8.3333333333333339</v>
      </c>
      <c r="O51" s="205">
        <f t="shared" si="36"/>
        <v>3.3333333333333335</v>
      </c>
      <c r="P51" s="205">
        <f t="shared" si="36"/>
        <v>4.2105263157894735</v>
      </c>
      <c r="Q51" s="205">
        <f t="shared" si="36"/>
        <v>9.9185263157894745</v>
      </c>
      <c r="R51" s="205">
        <f t="shared" si="36"/>
        <v>46.41473684210527</v>
      </c>
      <c r="S51" s="205">
        <f t="shared" si="36"/>
        <v>38.696210526315795</v>
      </c>
      <c r="T51" s="205">
        <f t="shared" si="36"/>
        <v>79.334315789473692</v>
      </c>
      <c r="U51" s="205">
        <f t="shared" si="36"/>
        <v>155.27220210526318</v>
      </c>
      <c r="V51" s="205">
        <f t="shared" si="36"/>
        <v>205.60134736842107</v>
      </c>
      <c r="W51" s="205">
        <f t="shared" si="36"/>
        <v>109.47941052631577</v>
      </c>
      <c r="X51" s="205">
        <f t="shared" si="36"/>
        <v>75.981978947368432</v>
      </c>
      <c r="Y51" s="205">
        <f t="shared" si="36"/>
        <v>176.84210526315792</v>
      </c>
      <c r="Z51" s="205">
        <f t="shared" si="36"/>
        <v>176.84210526315792</v>
      </c>
      <c r="AA51" s="205">
        <f t="shared" si="36"/>
        <v>94.31578947368422</v>
      </c>
      <c r="AB51" s="205">
        <f t="shared" si="36"/>
        <v>94.31578947368422</v>
      </c>
      <c r="AC51" s="205">
        <f t="shared" si="36"/>
        <v>142.82677894736844</v>
      </c>
      <c r="AD51" s="205">
        <f t="shared" si="36"/>
        <v>668.37221052631594</v>
      </c>
      <c r="AE51" s="205">
        <f t="shared" si="36"/>
        <v>557.22543157894745</v>
      </c>
      <c r="AF51" s="205">
        <f t="shared" si="36"/>
        <v>204.00252631578951</v>
      </c>
      <c r="AG51" s="205">
        <f t="shared" si="36"/>
        <v>362.97397894736849</v>
      </c>
      <c r="AH51" s="205">
        <f t="shared" si="36"/>
        <v>480.62652631578948</v>
      </c>
      <c r="AI51" s="205">
        <f t="shared" si="36"/>
        <v>255.92589473684211</v>
      </c>
      <c r="AJ51" s="205">
        <f t="shared" si="36"/>
        <v>177.62021052631576</v>
      </c>
      <c r="AK51" s="205">
        <f t="shared" si="36"/>
        <v>454.73684210526312</v>
      </c>
      <c r="AL51" s="205">
        <f t="shared" si="36"/>
        <v>454.73684210526312</v>
      </c>
      <c r="AM51" s="205">
        <f t="shared" si="36"/>
        <v>242.52631578947367</v>
      </c>
      <c r="AN51" s="205">
        <f t="shared" si="36"/>
        <v>242.52631578947367</v>
      </c>
    </row>
    <row r="52" spans="2:40" s="7" customFormat="1" ht="12" customHeight="1" outlineLevel="1">
      <c r="B52" s="239"/>
      <c r="C52" s="214" t="s">
        <v>835</v>
      </c>
      <c r="D52" s="212"/>
      <c r="E52" s="232">
        <f>E45/E50</f>
        <v>0</v>
      </c>
      <c r="F52" s="232">
        <f t="shared" ref="F52:I52" si="37">F45/F50</f>
        <v>0</v>
      </c>
      <c r="G52" s="232">
        <f t="shared" si="37"/>
        <v>0</v>
      </c>
      <c r="H52" s="232">
        <f t="shared" si="37"/>
        <v>0</v>
      </c>
      <c r="I52" s="232">
        <f t="shared" si="37"/>
        <v>0</v>
      </c>
      <c r="J52" s="232">
        <f>J45/J50</f>
        <v>0</v>
      </c>
      <c r="K52" s="232">
        <f t="shared" ref="K52:AN52" si="38">K45/K50</f>
        <v>0</v>
      </c>
      <c r="L52" s="232">
        <f t="shared" si="38"/>
        <v>0</v>
      </c>
      <c r="M52" s="205">
        <f t="shared" si="38"/>
        <v>119.99999999999999</v>
      </c>
      <c r="N52" s="205">
        <f t="shared" si="38"/>
        <v>119.99999999999999</v>
      </c>
      <c r="O52" s="205">
        <f t="shared" si="38"/>
        <v>120</v>
      </c>
      <c r="P52" s="205">
        <f t="shared" si="38"/>
        <v>95</v>
      </c>
      <c r="Q52" s="205">
        <f t="shared" si="38"/>
        <v>95</v>
      </c>
      <c r="R52" s="205">
        <f t="shared" si="38"/>
        <v>95</v>
      </c>
      <c r="S52" s="205">
        <f t="shared" si="38"/>
        <v>95</v>
      </c>
      <c r="T52" s="205">
        <f t="shared" si="38"/>
        <v>95</v>
      </c>
      <c r="U52" s="205">
        <f t="shared" si="38"/>
        <v>86.36363636363636</v>
      </c>
      <c r="V52" s="205">
        <f t="shared" si="38"/>
        <v>86.36363636363636</v>
      </c>
      <c r="W52" s="205">
        <f t="shared" si="38"/>
        <v>86.363636363636374</v>
      </c>
      <c r="X52" s="205">
        <f t="shared" si="38"/>
        <v>86.36363636363636</v>
      </c>
      <c r="Y52" s="205">
        <f t="shared" si="38"/>
        <v>95</v>
      </c>
      <c r="Z52" s="205">
        <f t="shared" si="38"/>
        <v>95</v>
      </c>
      <c r="AA52" s="205">
        <f t="shared" si="38"/>
        <v>95</v>
      </c>
      <c r="AB52" s="205">
        <f t="shared" si="38"/>
        <v>95</v>
      </c>
      <c r="AC52" s="205">
        <f t="shared" si="38"/>
        <v>95</v>
      </c>
      <c r="AD52" s="205">
        <f t="shared" si="38"/>
        <v>95</v>
      </c>
      <c r="AE52" s="205">
        <f t="shared" si="38"/>
        <v>95</v>
      </c>
      <c r="AF52" s="205">
        <f t="shared" si="38"/>
        <v>95</v>
      </c>
      <c r="AG52" s="205">
        <f t="shared" si="38"/>
        <v>95</v>
      </c>
      <c r="AH52" s="205">
        <f t="shared" si="38"/>
        <v>95</v>
      </c>
      <c r="AI52" s="205">
        <f t="shared" si="38"/>
        <v>95</v>
      </c>
      <c r="AJ52" s="205">
        <f t="shared" si="38"/>
        <v>95</v>
      </c>
      <c r="AK52" s="205">
        <f t="shared" si="38"/>
        <v>95</v>
      </c>
      <c r="AL52" s="205">
        <f t="shared" si="38"/>
        <v>95</v>
      </c>
      <c r="AM52" s="205">
        <f t="shared" si="38"/>
        <v>95</v>
      </c>
      <c r="AN52" s="205">
        <f t="shared" si="38"/>
        <v>95</v>
      </c>
    </row>
    <row r="53" spans="2:40" s="7" customFormat="1" ht="12" customHeight="1" outlineLevel="1">
      <c r="B53" s="239"/>
      <c r="C53" s="243" t="s">
        <v>836</v>
      </c>
      <c r="D53" s="212"/>
      <c r="E53" s="232"/>
      <c r="F53" s="232"/>
      <c r="G53" s="232"/>
      <c r="H53" s="232"/>
      <c r="I53" s="232"/>
      <c r="J53" s="232"/>
      <c r="K53" s="232"/>
      <c r="L53" s="232"/>
      <c r="M53" s="205"/>
      <c r="N53" s="205"/>
      <c r="O53" s="205"/>
      <c r="P53" s="205"/>
      <c r="Q53" s="205"/>
      <c r="R53" s="205"/>
      <c r="S53" s="205"/>
      <c r="T53" s="205"/>
      <c r="U53" s="205"/>
      <c r="V53" s="205"/>
      <c r="W53" s="205"/>
      <c r="X53" s="205"/>
      <c r="Y53" s="205"/>
      <c r="Z53" s="205"/>
      <c r="AA53" s="205"/>
      <c r="AB53" s="205"/>
      <c r="AC53" s="205"/>
      <c r="AD53" s="205"/>
      <c r="AE53" s="205"/>
      <c r="AF53" s="205"/>
      <c r="AG53" s="205"/>
      <c r="AH53" s="205"/>
      <c r="AI53" s="205"/>
      <c r="AJ53" s="205"/>
      <c r="AK53" s="205"/>
      <c r="AL53" s="205"/>
      <c r="AM53" s="205"/>
      <c r="AN53" s="205"/>
    </row>
    <row r="54" spans="2:40" ht="12" customHeight="1" outlineLevel="1">
      <c r="B54" s="316" t="s">
        <v>878</v>
      </c>
      <c r="C54" s="303" t="s">
        <v>837</v>
      </c>
      <c r="D54" s="302"/>
      <c r="E54" s="317">
        <f t="shared" ref="E54:F54" si="39">1-(E51/E50)</f>
        <v>1</v>
      </c>
      <c r="F54" s="317">
        <f t="shared" si="39"/>
        <v>0.5</v>
      </c>
      <c r="G54" s="317">
        <f>1-(G51/G50)</f>
        <v>1</v>
      </c>
      <c r="H54" s="317">
        <f t="shared" ref="H54:I54" si="40">1-(H51/H50)</f>
        <v>0.33333333333333337</v>
      </c>
      <c r="I54" s="317">
        <f t="shared" si="40"/>
        <v>1</v>
      </c>
      <c r="J54" s="317">
        <f>2/6</f>
        <v>0.33333333333333331</v>
      </c>
      <c r="K54" s="317">
        <f>3/9</f>
        <v>0.33333333333333331</v>
      </c>
      <c r="L54" s="317">
        <f>1/2</f>
        <v>0.5</v>
      </c>
      <c r="M54" s="318">
        <v>0.5</v>
      </c>
      <c r="N54" s="318">
        <v>0.5</v>
      </c>
      <c r="O54" s="318">
        <v>0.5</v>
      </c>
      <c r="P54" s="318">
        <v>0.5</v>
      </c>
      <c r="Q54" s="318">
        <v>0.5</v>
      </c>
      <c r="R54" s="318">
        <v>0.5</v>
      </c>
      <c r="S54" s="318">
        <v>0.5</v>
      </c>
      <c r="T54" s="318">
        <v>0.2</v>
      </c>
      <c r="U54" s="318">
        <v>0.2</v>
      </c>
      <c r="V54" s="318">
        <v>0.2</v>
      </c>
      <c r="W54" s="318">
        <v>0.2</v>
      </c>
      <c r="X54" s="318">
        <v>0.2</v>
      </c>
      <c r="Y54" s="318">
        <v>0.2</v>
      </c>
      <c r="Z54" s="318">
        <v>0.2</v>
      </c>
      <c r="AA54" s="318">
        <v>0.2</v>
      </c>
      <c r="AB54" s="318">
        <v>0.2</v>
      </c>
      <c r="AC54" s="318">
        <v>0.1</v>
      </c>
      <c r="AD54" s="318">
        <v>0.1</v>
      </c>
      <c r="AE54" s="318">
        <v>0.1</v>
      </c>
      <c r="AF54" s="318">
        <v>0.1</v>
      </c>
      <c r="AG54" s="318">
        <v>0.1</v>
      </c>
      <c r="AH54" s="318">
        <v>0.1</v>
      </c>
      <c r="AI54" s="318">
        <v>0.1</v>
      </c>
      <c r="AJ54" s="318">
        <v>0.1</v>
      </c>
      <c r="AK54" s="318">
        <v>0.1</v>
      </c>
      <c r="AL54" s="318">
        <v>0.1</v>
      </c>
      <c r="AM54" s="318">
        <v>0.1</v>
      </c>
      <c r="AN54" s="318">
        <v>0.1</v>
      </c>
    </row>
    <row r="55" spans="2:40" ht="12" customHeight="1" outlineLevel="1">
      <c r="B55" s="301"/>
      <c r="C55" s="303" t="s">
        <v>839</v>
      </c>
      <c r="D55" s="302"/>
      <c r="E55" s="317">
        <f t="shared" ref="E55:I55" si="41">1-E54</f>
        <v>0</v>
      </c>
      <c r="F55" s="317">
        <f t="shared" si="41"/>
        <v>0.5</v>
      </c>
      <c r="G55" s="317">
        <f t="shared" si="41"/>
        <v>0</v>
      </c>
      <c r="H55" s="317">
        <f t="shared" si="41"/>
        <v>0.66666666666666663</v>
      </c>
      <c r="I55" s="317">
        <f t="shared" si="41"/>
        <v>0</v>
      </c>
      <c r="J55" s="317">
        <f>1/6</f>
        <v>0.16666666666666666</v>
      </c>
      <c r="K55" s="317">
        <f>1/9</f>
        <v>0.1111111111111111</v>
      </c>
      <c r="L55" s="317">
        <v>0.5</v>
      </c>
      <c r="M55" s="318">
        <v>0.2</v>
      </c>
      <c r="N55" s="318">
        <v>0.2</v>
      </c>
      <c r="O55" s="318">
        <v>0.2</v>
      </c>
      <c r="P55" s="318">
        <v>0.2</v>
      </c>
      <c r="Q55" s="318">
        <v>0.2</v>
      </c>
      <c r="R55" s="318">
        <v>0.2</v>
      </c>
      <c r="S55" s="318">
        <v>0.2</v>
      </c>
      <c r="T55" s="318">
        <v>0.4</v>
      </c>
      <c r="U55" s="318">
        <v>0.4</v>
      </c>
      <c r="V55" s="318">
        <v>0.4</v>
      </c>
      <c r="W55" s="318">
        <v>0.4</v>
      </c>
      <c r="X55" s="318">
        <v>0.4</v>
      </c>
      <c r="Y55" s="318">
        <v>0.4</v>
      </c>
      <c r="Z55" s="318">
        <v>0.4</v>
      </c>
      <c r="AA55" s="318">
        <v>0.4</v>
      </c>
      <c r="AB55" s="318">
        <v>0.4</v>
      </c>
      <c r="AC55" s="318">
        <v>0.3</v>
      </c>
      <c r="AD55" s="318">
        <v>0.3</v>
      </c>
      <c r="AE55" s="318">
        <v>0.3</v>
      </c>
      <c r="AF55" s="318">
        <v>0.3</v>
      </c>
      <c r="AG55" s="318">
        <v>0.3</v>
      </c>
      <c r="AH55" s="318">
        <v>0.3</v>
      </c>
      <c r="AI55" s="318">
        <v>0.3</v>
      </c>
      <c r="AJ55" s="318">
        <v>0.3</v>
      </c>
      <c r="AK55" s="318">
        <v>0.3</v>
      </c>
      <c r="AL55" s="318">
        <v>0.3</v>
      </c>
      <c r="AM55" s="318">
        <v>0.3</v>
      </c>
      <c r="AN55" s="318">
        <v>0.3</v>
      </c>
    </row>
    <row r="56" spans="2:40" ht="12" customHeight="1" outlineLevel="1">
      <c r="B56" s="301"/>
      <c r="C56" s="303" t="s">
        <v>840</v>
      </c>
      <c r="D56" s="302"/>
      <c r="E56" s="317">
        <v>0</v>
      </c>
      <c r="F56" s="317">
        <v>0</v>
      </c>
      <c r="G56" s="317">
        <v>0</v>
      </c>
      <c r="H56" s="317">
        <v>0</v>
      </c>
      <c r="I56" s="317">
        <v>0</v>
      </c>
      <c r="J56" s="317">
        <f>1-J54-J55</f>
        <v>0.50000000000000011</v>
      </c>
      <c r="K56" s="317">
        <f>1-K54-K55</f>
        <v>0.55555555555555558</v>
      </c>
      <c r="L56" s="317">
        <v>0</v>
      </c>
      <c r="M56" s="318">
        <v>0.3</v>
      </c>
      <c r="N56" s="318">
        <v>0.3</v>
      </c>
      <c r="O56" s="318">
        <v>0.3</v>
      </c>
      <c r="P56" s="318">
        <v>0.3</v>
      </c>
      <c r="Q56" s="318">
        <v>0.3</v>
      </c>
      <c r="R56" s="318">
        <v>0.3</v>
      </c>
      <c r="S56" s="318">
        <v>0.3</v>
      </c>
      <c r="T56" s="318">
        <v>0.4</v>
      </c>
      <c r="U56" s="318">
        <v>0.4</v>
      </c>
      <c r="V56" s="318">
        <v>0.4</v>
      </c>
      <c r="W56" s="318">
        <v>0.4</v>
      </c>
      <c r="X56" s="318">
        <v>0.4</v>
      </c>
      <c r="Y56" s="318">
        <v>0.4</v>
      </c>
      <c r="Z56" s="318">
        <v>0.4</v>
      </c>
      <c r="AA56" s="318">
        <v>0.4</v>
      </c>
      <c r="AB56" s="318">
        <v>0.4</v>
      </c>
      <c r="AC56" s="318">
        <v>0.6</v>
      </c>
      <c r="AD56" s="318">
        <v>0.6</v>
      </c>
      <c r="AE56" s="318">
        <v>0.6</v>
      </c>
      <c r="AF56" s="318">
        <v>0.6</v>
      </c>
      <c r="AG56" s="318">
        <v>0.6</v>
      </c>
      <c r="AH56" s="318">
        <v>0.6</v>
      </c>
      <c r="AI56" s="318">
        <v>0.6</v>
      </c>
      <c r="AJ56" s="318">
        <v>0.6</v>
      </c>
      <c r="AK56" s="318">
        <v>0.6</v>
      </c>
      <c r="AL56" s="318">
        <v>0.6</v>
      </c>
      <c r="AM56" s="318">
        <v>0.6</v>
      </c>
      <c r="AN56" s="318">
        <v>0.6</v>
      </c>
    </row>
    <row r="57" spans="2:40" s="7" customFormat="1" ht="12" customHeight="1" outlineLevel="1">
      <c r="B57" s="237"/>
      <c r="C57" s="208"/>
      <c r="D57" s="208"/>
      <c r="E57" s="208"/>
      <c r="F57" s="208"/>
      <c r="G57" s="208"/>
      <c r="H57" s="208"/>
      <c r="I57" s="208"/>
      <c r="J57" s="208"/>
      <c r="K57" s="208"/>
      <c r="L57" s="208"/>
      <c r="M57" s="208"/>
      <c r="N57" s="208"/>
      <c r="O57" s="208"/>
      <c r="P57" s="208"/>
      <c r="Q57" s="208"/>
      <c r="R57" s="208"/>
      <c r="S57" s="208"/>
      <c r="T57" s="208"/>
      <c r="U57" s="208"/>
      <c r="V57" s="208"/>
      <c r="W57" s="208"/>
      <c r="X57" s="208"/>
      <c r="Y57" s="208"/>
      <c r="Z57" s="208"/>
      <c r="AA57" s="208"/>
      <c r="AB57" s="208"/>
      <c r="AC57" s="208"/>
      <c r="AD57" s="208"/>
      <c r="AE57" s="208"/>
      <c r="AF57" s="208"/>
      <c r="AG57" s="208"/>
      <c r="AH57" s="208"/>
      <c r="AI57" s="208"/>
      <c r="AJ57" s="208"/>
      <c r="AK57" s="208"/>
      <c r="AL57" s="208"/>
      <c r="AM57" s="208"/>
      <c r="AN57" s="208"/>
    </row>
    <row r="58" spans="2:40" s="7" customFormat="1" ht="12" customHeight="1" outlineLevel="1">
      <c r="B58" s="239"/>
      <c r="C58" s="214" t="s">
        <v>841</v>
      </c>
      <c r="D58" s="214"/>
      <c r="E58" s="209">
        <f>E$48*E54</f>
        <v>0</v>
      </c>
      <c r="F58" s="209">
        <f>F$48*F54</f>
        <v>0</v>
      </c>
      <c r="G58" s="209">
        <f t="shared" ref="E58:I60" si="42">G$48*G54</f>
        <v>0</v>
      </c>
      <c r="H58" s="209">
        <f t="shared" si="42"/>
        <v>0</v>
      </c>
      <c r="I58" s="209">
        <f t="shared" si="42"/>
        <v>0</v>
      </c>
      <c r="J58" s="209">
        <f>J$50*J54</f>
        <v>1.3333333333333333</v>
      </c>
      <c r="K58" s="209">
        <f t="shared" ref="J58:P60" si="43">K$50*K54</f>
        <v>2</v>
      </c>
      <c r="L58" s="209">
        <f t="shared" si="43"/>
        <v>1</v>
      </c>
      <c r="M58" s="209">
        <f t="shared" si="43"/>
        <v>8.3333333333333339</v>
      </c>
      <c r="N58" s="209">
        <f t="shared" si="43"/>
        <v>8.3333333333333339</v>
      </c>
      <c r="O58" s="209">
        <f t="shared" si="43"/>
        <v>3.3333333333333335</v>
      </c>
      <c r="P58" s="209">
        <f t="shared" si="43"/>
        <v>4.2105263157894735</v>
      </c>
      <c r="Q58" s="209">
        <f>Q$50*Q54</f>
        <v>9.9185263157894745</v>
      </c>
      <c r="R58" s="209">
        <f t="shared" ref="R58:AN60" si="44">R$50*R54</f>
        <v>46.41473684210527</v>
      </c>
      <c r="S58" s="209">
        <f t="shared" si="44"/>
        <v>38.696210526315795</v>
      </c>
      <c r="T58" s="209">
        <f t="shared" si="44"/>
        <v>19.833578947368423</v>
      </c>
      <c r="U58" s="209">
        <f t="shared" si="44"/>
        <v>38.818050526315794</v>
      </c>
      <c r="V58" s="209">
        <f t="shared" si="44"/>
        <v>51.400336842105268</v>
      </c>
      <c r="W58" s="209">
        <f t="shared" si="44"/>
        <v>27.369852631578944</v>
      </c>
      <c r="X58" s="209">
        <f t="shared" si="44"/>
        <v>18.995494736842108</v>
      </c>
      <c r="Y58" s="209">
        <f t="shared" si="44"/>
        <v>44.21052631578948</v>
      </c>
      <c r="Z58" s="209">
        <f t="shared" si="44"/>
        <v>44.21052631578948</v>
      </c>
      <c r="AA58" s="209">
        <f t="shared" si="44"/>
        <v>23.578947368421055</v>
      </c>
      <c r="AB58" s="209">
        <f t="shared" si="44"/>
        <v>23.578947368421055</v>
      </c>
      <c r="AC58" s="209">
        <f t="shared" si="44"/>
        <v>15.869642105263161</v>
      </c>
      <c r="AD58" s="209">
        <f t="shared" si="44"/>
        <v>74.26357894736843</v>
      </c>
      <c r="AE58" s="209">
        <f t="shared" si="44"/>
        <v>61.913936842105272</v>
      </c>
      <c r="AF58" s="209">
        <f t="shared" si="44"/>
        <v>22.666947368421063</v>
      </c>
      <c r="AG58" s="209">
        <f t="shared" si="44"/>
        <v>40.330442105263167</v>
      </c>
      <c r="AH58" s="209">
        <f t="shared" si="44"/>
        <v>53.402947368421053</v>
      </c>
      <c r="AI58" s="209">
        <f t="shared" si="44"/>
        <v>28.43621052631579</v>
      </c>
      <c r="AJ58" s="209">
        <f t="shared" si="44"/>
        <v>19.735578947368424</v>
      </c>
      <c r="AK58" s="209">
        <f t="shared" si="44"/>
        <v>50.526315789473685</v>
      </c>
      <c r="AL58" s="209">
        <f t="shared" si="44"/>
        <v>50.526315789473685</v>
      </c>
      <c r="AM58" s="209">
        <f t="shared" si="44"/>
        <v>26.94736842105263</v>
      </c>
      <c r="AN58" s="209">
        <f t="shared" si="44"/>
        <v>26.94736842105263</v>
      </c>
    </row>
    <row r="59" spans="2:40" s="7" customFormat="1" ht="12" customHeight="1" outlineLevel="1">
      <c r="B59" s="239"/>
      <c r="C59" s="214" t="s">
        <v>842</v>
      </c>
      <c r="D59" s="214"/>
      <c r="E59" s="209">
        <f>E$48*E55</f>
        <v>0</v>
      </c>
      <c r="F59" s="209">
        <f>F$48*F55</f>
        <v>0</v>
      </c>
      <c r="G59" s="209">
        <f t="shared" si="42"/>
        <v>0</v>
      </c>
      <c r="H59" s="209">
        <f t="shared" si="42"/>
        <v>0</v>
      </c>
      <c r="I59" s="209">
        <f t="shared" si="42"/>
        <v>0</v>
      </c>
      <c r="J59" s="209">
        <f t="shared" si="43"/>
        <v>0.66666666666666663</v>
      </c>
      <c r="K59" s="209">
        <f t="shared" si="43"/>
        <v>0.66666666666666663</v>
      </c>
      <c r="L59" s="209">
        <f t="shared" si="43"/>
        <v>1</v>
      </c>
      <c r="M59" s="209">
        <f t="shared" si="43"/>
        <v>3.3333333333333339</v>
      </c>
      <c r="N59" s="209">
        <f t="shared" si="43"/>
        <v>3.3333333333333339</v>
      </c>
      <c r="O59" s="209">
        <f t="shared" si="43"/>
        <v>1.3333333333333335</v>
      </c>
      <c r="P59" s="209">
        <f t="shared" si="43"/>
        <v>1.6842105263157894</v>
      </c>
      <c r="Q59" s="209">
        <f>Q$50*Q55</f>
        <v>3.9674105263157902</v>
      </c>
      <c r="R59" s="209">
        <f t="shared" si="44"/>
        <v>18.565894736842107</v>
      </c>
      <c r="S59" s="209">
        <f t="shared" si="44"/>
        <v>15.478484210526318</v>
      </c>
      <c r="T59" s="209">
        <f t="shared" si="44"/>
        <v>39.667157894736846</v>
      </c>
      <c r="U59" s="209">
        <f t="shared" si="44"/>
        <v>77.636101052631588</v>
      </c>
      <c r="V59" s="209">
        <f t="shared" si="44"/>
        <v>102.80067368421054</v>
      </c>
      <c r="W59" s="209">
        <f t="shared" si="44"/>
        <v>54.739705263157887</v>
      </c>
      <c r="X59" s="209">
        <f t="shared" si="44"/>
        <v>37.990989473684216</v>
      </c>
      <c r="Y59" s="209">
        <f t="shared" si="44"/>
        <v>88.421052631578959</v>
      </c>
      <c r="Z59" s="209">
        <f t="shared" si="44"/>
        <v>88.421052631578959</v>
      </c>
      <c r="AA59" s="209">
        <f t="shared" si="44"/>
        <v>47.15789473684211</v>
      </c>
      <c r="AB59" s="209">
        <f t="shared" si="44"/>
        <v>47.15789473684211</v>
      </c>
      <c r="AC59" s="209">
        <f t="shared" si="44"/>
        <v>47.608926315789475</v>
      </c>
      <c r="AD59" s="209">
        <f t="shared" si="44"/>
        <v>222.7907368421053</v>
      </c>
      <c r="AE59" s="209">
        <f t="shared" si="44"/>
        <v>185.74181052631582</v>
      </c>
      <c r="AF59" s="209">
        <f t="shared" si="44"/>
        <v>68.000842105263175</v>
      </c>
      <c r="AG59" s="209">
        <f t="shared" si="44"/>
        <v>120.99132631578949</v>
      </c>
      <c r="AH59" s="209">
        <f t="shared" si="44"/>
        <v>160.20884210526316</v>
      </c>
      <c r="AI59" s="209">
        <f t="shared" si="44"/>
        <v>85.30863157894737</v>
      </c>
      <c r="AJ59" s="209">
        <f t="shared" si="44"/>
        <v>59.206736842105258</v>
      </c>
      <c r="AK59" s="209">
        <f t="shared" si="44"/>
        <v>151.57894736842104</v>
      </c>
      <c r="AL59" s="209">
        <f t="shared" si="44"/>
        <v>151.57894736842104</v>
      </c>
      <c r="AM59" s="209">
        <f t="shared" si="44"/>
        <v>80.84210526315789</v>
      </c>
      <c r="AN59" s="209">
        <f t="shared" si="44"/>
        <v>80.84210526315789</v>
      </c>
    </row>
    <row r="60" spans="2:40" s="7" customFormat="1" ht="12" customHeight="1" outlineLevel="1">
      <c r="B60" s="239"/>
      <c r="C60" s="214" t="s">
        <v>843</v>
      </c>
      <c r="D60" s="214"/>
      <c r="E60" s="209">
        <f t="shared" si="42"/>
        <v>0</v>
      </c>
      <c r="F60" s="209">
        <f t="shared" si="42"/>
        <v>0</v>
      </c>
      <c r="G60" s="209">
        <f t="shared" si="42"/>
        <v>0</v>
      </c>
      <c r="H60" s="209">
        <f t="shared" si="42"/>
        <v>0</v>
      </c>
      <c r="I60" s="209">
        <f t="shared" si="42"/>
        <v>0</v>
      </c>
      <c r="J60" s="209">
        <f t="shared" si="43"/>
        <v>2.0000000000000004</v>
      </c>
      <c r="K60" s="209">
        <f t="shared" si="43"/>
        <v>3.3333333333333335</v>
      </c>
      <c r="L60" s="209">
        <f t="shared" si="43"/>
        <v>0</v>
      </c>
      <c r="M60" s="209">
        <f t="shared" si="43"/>
        <v>5</v>
      </c>
      <c r="N60" s="209">
        <f t="shared" si="43"/>
        <v>5</v>
      </c>
      <c r="O60" s="209">
        <f t="shared" si="43"/>
        <v>2</v>
      </c>
      <c r="P60" s="209">
        <f t="shared" si="43"/>
        <v>2.5263157894736841</v>
      </c>
      <c r="Q60" s="209">
        <f>Q$50*Q56</f>
        <v>5.9511157894736844</v>
      </c>
      <c r="R60" s="209">
        <f t="shared" si="44"/>
        <v>27.848842105263163</v>
      </c>
      <c r="S60" s="209">
        <f t="shared" si="44"/>
        <v>23.217726315789477</v>
      </c>
      <c r="T60" s="209">
        <f t="shared" si="44"/>
        <v>39.667157894736846</v>
      </c>
      <c r="U60" s="209">
        <f t="shared" si="44"/>
        <v>77.636101052631588</v>
      </c>
      <c r="V60" s="209">
        <f t="shared" si="44"/>
        <v>102.80067368421054</v>
      </c>
      <c r="W60" s="209">
        <f t="shared" si="44"/>
        <v>54.739705263157887</v>
      </c>
      <c r="X60" s="209">
        <f t="shared" si="44"/>
        <v>37.990989473684216</v>
      </c>
      <c r="Y60" s="209">
        <f t="shared" si="44"/>
        <v>88.421052631578959</v>
      </c>
      <c r="Z60" s="209">
        <f t="shared" si="44"/>
        <v>88.421052631578959</v>
      </c>
      <c r="AA60" s="209">
        <f t="shared" si="44"/>
        <v>47.15789473684211</v>
      </c>
      <c r="AB60" s="209">
        <f t="shared" si="44"/>
        <v>47.15789473684211</v>
      </c>
      <c r="AC60" s="209">
        <f t="shared" si="44"/>
        <v>95.21785263157895</v>
      </c>
      <c r="AD60" s="209">
        <f t="shared" si="44"/>
        <v>445.58147368421061</v>
      </c>
      <c r="AE60" s="209">
        <f t="shared" si="44"/>
        <v>371.48362105263163</v>
      </c>
      <c r="AF60" s="209">
        <f t="shared" si="44"/>
        <v>136.00168421052635</v>
      </c>
      <c r="AG60" s="209">
        <f t="shared" si="44"/>
        <v>241.98265263157899</v>
      </c>
      <c r="AH60" s="209">
        <f t="shared" si="44"/>
        <v>320.41768421052632</v>
      </c>
      <c r="AI60" s="209">
        <f t="shared" si="44"/>
        <v>170.61726315789474</v>
      </c>
      <c r="AJ60" s="209">
        <f t="shared" si="44"/>
        <v>118.41347368421052</v>
      </c>
      <c r="AK60" s="209">
        <f t="shared" si="44"/>
        <v>303.15789473684208</v>
      </c>
      <c r="AL60" s="209">
        <f t="shared" si="44"/>
        <v>303.15789473684208</v>
      </c>
      <c r="AM60" s="209">
        <f t="shared" si="44"/>
        <v>161.68421052631578</v>
      </c>
      <c r="AN60" s="209">
        <f t="shared" si="44"/>
        <v>161.68421052631578</v>
      </c>
    </row>
    <row r="61" spans="2:40" s="7" customFormat="1" ht="12" customHeight="1" outlineLevel="1">
      <c r="B61" s="239"/>
      <c r="C61" s="214" t="s">
        <v>844</v>
      </c>
      <c r="D61" s="214"/>
      <c r="E61" s="209">
        <f>ROUNDDOWN(SUM(E71:E107),0)-E58</f>
        <v>26</v>
      </c>
      <c r="F61" s="209">
        <f t="shared" ref="F61:H61" si="45">ROUNDDOWN(SUM(F71:F107),0)-F58</f>
        <v>25</v>
      </c>
      <c r="G61" s="209">
        <f>ROUNDDOWN(SUM(G71:G107),0)-G58</f>
        <v>38</v>
      </c>
      <c r="H61" s="209">
        <f t="shared" si="45"/>
        <v>37</v>
      </c>
      <c r="I61" s="209">
        <f>ROUNDDOWN(SUM(I71:I107),0)-I58</f>
        <v>14</v>
      </c>
      <c r="J61" s="209">
        <f>ROUNDDOWN(SUM(J71:J107),0)-J58</f>
        <v>13.666666666666666</v>
      </c>
      <c r="K61" s="209">
        <f>ROUNDDOWN(SUM(K71:K107),0)-K58</f>
        <v>13</v>
      </c>
      <c r="L61" s="209">
        <f t="shared" ref="L61:AN61" si="46">ROUNDDOWN(SUM(L71:L107),0)-L58</f>
        <v>13</v>
      </c>
      <c r="M61" s="209">
        <f t="shared" si="46"/>
        <v>12.666666666666666</v>
      </c>
      <c r="N61" s="209">
        <f t="shared" si="46"/>
        <v>11.666666666666666</v>
      </c>
      <c r="O61" s="209">
        <f t="shared" si="46"/>
        <v>11.666666666666666</v>
      </c>
      <c r="P61" s="209">
        <f t="shared" si="46"/>
        <v>11.789473684210527</v>
      </c>
      <c r="Q61" s="209">
        <f t="shared" si="46"/>
        <v>11.081473684210525</v>
      </c>
      <c r="R61" s="209">
        <f t="shared" si="46"/>
        <v>11.58526315789473</v>
      </c>
      <c r="S61" s="209">
        <f t="shared" si="46"/>
        <v>11.303789473684205</v>
      </c>
      <c r="T61" s="209">
        <f t="shared" si="46"/>
        <v>11.166421052631577</v>
      </c>
      <c r="U61" s="209">
        <f t="shared" si="46"/>
        <v>10.181949473684206</v>
      </c>
      <c r="V61" s="209">
        <f t="shared" si="46"/>
        <v>10.599663157894732</v>
      </c>
      <c r="W61" s="209">
        <f t="shared" si="46"/>
        <v>9.6301473684210563</v>
      </c>
      <c r="X61" s="209">
        <f t="shared" si="46"/>
        <v>10.004505263157892</v>
      </c>
      <c r="Y61" s="209">
        <f t="shared" si="46"/>
        <v>9.7894736842105203</v>
      </c>
      <c r="Z61" s="209">
        <f t="shared" si="46"/>
        <v>9.7894736842105203</v>
      </c>
      <c r="AA61" s="209">
        <f t="shared" si="46"/>
        <v>9.4210526315789451</v>
      </c>
      <c r="AB61" s="209">
        <f t="shared" si="46"/>
        <v>9.4210526315789451</v>
      </c>
      <c r="AC61" s="209">
        <f t="shared" si="46"/>
        <v>9.1303578947368393</v>
      </c>
      <c r="AD61" s="209">
        <f t="shared" si="46"/>
        <v>8.7364210526315702</v>
      </c>
      <c r="AE61" s="209">
        <f t="shared" si="46"/>
        <v>8.0860631578947277</v>
      </c>
      <c r="AF61" s="209">
        <f t="shared" si="46"/>
        <v>8.3330526315789371</v>
      </c>
      <c r="AG61" s="209">
        <f t="shared" si="46"/>
        <v>7.6695578947368332</v>
      </c>
      <c r="AH61" s="209">
        <f t="shared" si="46"/>
        <v>7.5970526315789471</v>
      </c>
      <c r="AI61" s="209">
        <f t="shared" si="46"/>
        <v>7.56378947368421</v>
      </c>
      <c r="AJ61" s="209">
        <f t="shared" si="46"/>
        <v>7.264421052631576</v>
      </c>
      <c r="AK61" s="209">
        <f t="shared" si="46"/>
        <v>7.473684210526315</v>
      </c>
      <c r="AL61" s="209">
        <f t="shared" si="46"/>
        <v>7.473684210526315</v>
      </c>
      <c r="AM61" s="209">
        <f t="shared" si="46"/>
        <v>7.0526315789473699</v>
      </c>
      <c r="AN61" s="209">
        <f t="shared" si="46"/>
        <v>7.0526315789473699</v>
      </c>
    </row>
    <row r="62" spans="2:40" s="7" customFormat="1" ht="12" customHeight="1" outlineLevel="1">
      <c r="B62" s="239"/>
      <c r="C62" s="214" t="s">
        <v>845</v>
      </c>
      <c r="D62" s="214"/>
      <c r="E62" s="209">
        <f>ROUNDDOWN(SUM(E112:E148),0)-E59</f>
        <v>28</v>
      </c>
      <c r="F62" s="209">
        <f>ROUNDDOWN(SUM(F112:F148),0)-F59</f>
        <v>27</v>
      </c>
      <c r="G62" s="209">
        <f t="shared" ref="G62:I62" si="47">ROUNDDOWN(SUM(G112:G148),0)-G59</f>
        <v>27</v>
      </c>
      <c r="H62" s="209">
        <f t="shared" si="47"/>
        <v>26</v>
      </c>
      <c r="I62" s="209">
        <f t="shared" si="47"/>
        <v>26</v>
      </c>
      <c r="J62" s="209">
        <f t="shared" ref="J62:AN62" si="48">ROUNDDOWN(SUM(J112:J148),0)-J59</f>
        <v>25.333333333333332</v>
      </c>
      <c r="K62" s="209">
        <f t="shared" si="48"/>
        <v>25.333333333333332</v>
      </c>
      <c r="L62" s="209">
        <f t="shared" si="48"/>
        <v>25</v>
      </c>
      <c r="M62" s="209">
        <f t="shared" si="48"/>
        <v>25.666666666666664</v>
      </c>
      <c r="N62" s="209">
        <f t="shared" si="48"/>
        <v>27.666666666666664</v>
      </c>
      <c r="O62" s="209">
        <f t="shared" si="48"/>
        <v>28.666666666666668</v>
      </c>
      <c r="P62" s="209">
        <f t="shared" si="48"/>
        <v>28.315789473684212</v>
      </c>
      <c r="Q62" s="209">
        <f t="shared" si="48"/>
        <v>28.032589473684212</v>
      </c>
      <c r="R62" s="209">
        <f t="shared" si="48"/>
        <v>29.434105263157893</v>
      </c>
      <c r="S62" s="209">
        <f t="shared" si="48"/>
        <v>42.521515789473682</v>
      </c>
      <c r="T62" s="209">
        <f t="shared" si="48"/>
        <v>52.332842105263154</v>
      </c>
      <c r="U62" s="209">
        <f>ROUNDDOWN(SUM(U112:U148),0)-U59</f>
        <v>79.363898947368412</v>
      </c>
      <c r="V62" s="209">
        <f t="shared" si="48"/>
        <v>133.19932631578945</v>
      </c>
      <c r="W62" s="209">
        <f t="shared" si="48"/>
        <v>199.26029473684213</v>
      </c>
      <c r="X62" s="209">
        <f t="shared" si="48"/>
        <v>218.00901052631579</v>
      </c>
      <c r="Y62" s="209">
        <f t="shared" si="48"/>
        <v>212.57894736842104</v>
      </c>
      <c r="Z62" s="209">
        <f t="shared" si="48"/>
        <v>243.57894736842104</v>
      </c>
      <c r="AA62" s="209">
        <f t="shared" si="48"/>
        <v>270.84210526315792</v>
      </c>
      <c r="AB62" s="209">
        <f t="shared" si="48"/>
        <v>265.84210526315792</v>
      </c>
      <c r="AC62" s="209">
        <f t="shared" si="48"/>
        <v>260.39107368421054</v>
      </c>
      <c r="AD62" s="209">
        <f t="shared" si="48"/>
        <v>252.2092631578947</v>
      </c>
      <c r="AE62" s="209">
        <f t="shared" si="48"/>
        <v>387.25818947368418</v>
      </c>
      <c r="AF62" s="209">
        <f t="shared" si="48"/>
        <v>489.99915789473681</v>
      </c>
      <c r="AG62" s="209">
        <f t="shared" si="48"/>
        <v>474.00867368421052</v>
      </c>
      <c r="AH62" s="209">
        <f t="shared" si="48"/>
        <v>496.79115789473684</v>
      </c>
      <c r="AI62" s="209">
        <f t="shared" si="48"/>
        <v>534.69136842105263</v>
      </c>
      <c r="AJ62" s="209">
        <f t="shared" si="48"/>
        <v>512.79326315789478</v>
      </c>
      <c r="AK62" s="209">
        <f t="shared" si="48"/>
        <v>479.42105263157896</v>
      </c>
      <c r="AL62" s="209">
        <f t="shared" si="48"/>
        <v>521.42105263157896</v>
      </c>
      <c r="AM62" s="209">
        <f t="shared" si="48"/>
        <v>564.15789473684208</v>
      </c>
      <c r="AN62" s="209">
        <f t="shared" si="48"/>
        <v>515.15789473684208</v>
      </c>
    </row>
    <row r="63" spans="2:40" s="7" customFormat="1" ht="12" customHeight="1" outlineLevel="1">
      <c r="B63" s="239"/>
      <c r="C63" s="214" t="s">
        <v>846</v>
      </c>
      <c r="D63" s="214"/>
      <c r="E63" s="209">
        <f>ROUNDDOWN(SUM(E154:E190),0)-E60</f>
        <v>56</v>
      </c>
      <c r="F63" s="209">
        <f>ROUNDDOWN(SUM(F154:F190),0)-F60</f>
        <v>41</v>
      </c>
      <c r="G63" s="209">
        <f t="shared" ref="G63:I63" si="49">ROUNDDOWN(SUM(G154:G190),0)-G60</f>
        <v>83</v>
      </c>
      <c r="H63" s="209">
        <f t="shared" si="49"/>
        <v>28</v>
      </c>
      <c r="I63" s="209">
        <f t="shared" si="49"/>
        <v>0</v>
      </c>
      <c r="J63" s="209">
        <f t="shared" ref="J63:AN63" si="50">ROUNDDOWN(SUM(J154:J190),0)-J60</f>
        <v>81</v>
      </c>
      <c r="K63" s="209">
        <f t="shared" si="50"/>
        <v>27.666666666666668</v>
      </c>
      <c r="L63" s="209">
        <f>ROUNDDOWN(SUM(L154:L190),0)-L60</f>
        <v>0</v>
      </c>
      <c r="M63" s="209">
        <f>ROUNDDOWN(SUM(M154:M190),0)-M60</f>
        <v>81</v>
      </c>
      <c r="N63" s="209">
        <f t="shared" si="50"/>
        <v>30</v>
      </c>
      <c r="O63" s="209">
        <f t="shared" si="50"/>
        <v>0</v>
      </c>
      <c r="P63" s="209">
        <f t="shared" si="50"/>
        <v>83.473684210526315</v>
      </c>
      <c r="Q63" s="209">
        <f t="shared" si="50"/>
        <v>33.048884210526317</v>
      </c>
      <c r="R63" s="209">
        <f t="shared" si="50"/>
        <v>4.1511578947368371</v>
      </c>
      <c r="S63" s="209">
        <f t="shared" si="50"/>
        <v>81.782273684210523</v>
      </c>
      <c r="T63" s="209">
        <f t="shared" si="50"/>
        <v>35.332842105263154</v>
      </c>
      <c r="U63" s="209">
        <f t="shared" si="50"/>
        <v>27.363898947368412</v>
      </c>
      <c r="V63" s="209">
        <f t="shared" si="50"/>
        <v>99.199326315789463</v>
      </c>
      <c r="W63" s="209">
        <f t="shared" si="50"/>
        <v>67.260294736842113</v>
      </c>
      <c r="X63" s="209">
        <f t="shared" si="50"/>
        <v>88.009010526315791</v>
      </c>
      <c r="Y63" s="209">
        <f t="shared" si="50"/>
        <v>181.57894736842104</v>
      </c>
      <c r="Z63" s="209">
        <f t="shared" si="50"/>
        <v>101.57894736842104</v>
      </c>
      <c r="AA63" s="209">
        <f t="shared" si="50"/>
        <v>92.84210526315789</v>
      </c>
      <c r="AB63" s="209">
        <f t="shared" si="50"/>
        <v>223.84210526315789</v>
      </c>
      <c r="AC63" s="209">
        <f t="shared" si="50"/>
        <v>154.78214736842105</v>
      </c>
      <c r="AD63" s="209">
        <f t="shared" si="50"/>
        <v>102.41852631578939</v>
      </c>
      <c r="AE63" s="209">
        <f t="shared" si="50"/>
        <v>212.51637894736837</v>
      </c>
      <c r="AF63" s="209">
        <f t="shared" si="50"/>
        <v>193.99831578947365</v>
      </c>
      <c r="AG63" s="209">
        <f t="shared" si="50"/>
        <v>464.01734736842104</v>
      </c>
      <c r="AH63" s="209">
        <f t="shared" si="50"/>
        <v>491.58231578947368</v>
      </c>
      <c r="AI63" s="209">
        <f t="shared" si="50"/>
        <v>256.38273684210526</v>
      </c>
      <c r="AJ63" s="209">
        <f t="shared" si="50"/>
        <v>525.58652631578946</v>
      </c>
      <c r="AK63" s="209">
        <f t="shared" si="50"/>
        <v>633.84210526315792</v>
      </c>
      <c r="AL63" s="209">
        <f t="shared" si="50"/>
        <v>326.84210526315792</v>
      </c>
      <c r="AM63" s="209">
        <f t="shared" si="50"/>
        <v>455.31578947368422</v>
      </c>
      <c r="AN63" s="209">
        <f t="shared" si="50"/>
        <v>715.31578947368416</v>
      </c>
    </row>
    <row r="64" spans="2:40" s="7" customFormat="1" ht="12" customHeight="1" outlineLevel="1">
      <c r="B64" s="237"/>
      <c r="C64" s="214" t="s">
        <v>833</v>
      </c>
      <c r="D64" s="214"/>
      <c r="E64" s="210">
        <f>SUM(E58:E60)</f>
        <v>0</v>
      </c>
      <c r="F64" s="210">
        <f t="shared" ref="F64:I64" si="51">SUM(F58:F60)</f>
        <v>0</v>
      </c>
      <c r="G64" s="210">
        <f t="shared" si="51"/>
        <v>0</v>
      </c>
      <c r="H64" s="210">
        <f t="shared" si="51"/>
        <v>0</v>
      </c>
      <c r="I64" s="210">
        <f t="shared" si="51"/>
        <v>0</v>
      </c>
      <c r="J64" s="210">
        <f>SUM(J58:J60)</f>
        <v>4</v>
      </c>
      <c r="K64" s="210">
        <f t="shared" ref="K64:P64" si="52">SUM(K58:K60)</f>
        <v>6</v>
      </c>
      <c r="L64" s="210">
        <f t="shared" si="52"/>
        <v>2</v>
      </c>
      <c r="M64" s="210">
        <f t="shared" si="52"/>
        <v>16.666666666666668</v>
      </c>
      <c r="N64" s="210">
        <f t="shared" si="52"/>
        <v>16.666666666666668</v>
      </c>
      <c r="O64" s="210">
        <f t="shared" si="52"/>
        <v>6.666666666666667</v>
      </c>
      <c r="P64" s="210">
        <f t="shared" si="52"/>
        <v>8.4210526315789469</v>
      </c>
      <c r="Q64" s="210">
        <f>SUM(Q58:Q60)</f>
        <v>19.837052631578949</v>
      </c>
      <c r="R64" s="210">
        <f t="shared" ref="R64:AN64" si="53">SUM(R58:R60)</f>
        <v>92.829473684210541</v>
      </c>
      <c r="S64" s="210">
        <f t="shared" si="53"/>
        <v>77.39242105263159</v>
      </c>
      <c r="T64" s="210">
        <f t="shared" si="53"/>
        <v>99.167894736842115</v>
      </c>
      <c r="U64" s="210">
        <f t="shared" si="53"/>
        <v>194.09025263157895</v>
      </c>
      <c r="V64" s="210">
        <f t="shared" si="53"/>
        <v>257.00168421052632</v>
      </c>
      <c r="W64" s="210">
        <f t="shared" si="53"/>
        <v>136.84926315789471</v>
      </c>
      <c r="X64" s="210">
        <f t="shared" si="53"/>
        <v>94.977473684210537</v>
      </c>
      <c r="Y64" s="210">
        <f t="shared" si="53"/>
        <v>221.0526315789474</v>
      </c>
      <c r="Z64" s="210">
        <f t="shared" si="53"/>
        <v>221.0526315789474</v>
      </c>
      <c r="AA64" s="210">
        <f t="shared" si="53"/>
        <v>117.89473684210527</v>
      </c>
      <c r="AB64" s="210">
        <f t="shared" si="53"/>
        <v>117.89473684210527</v>
      </c>
      <c r="AC64" s="210">
        <f t="shared" si="53"/>
        <v>158.69642105263159</v>
      </c>
      <c r="AD64" s="210">
        <f t="shared" si="53"/>
        <v>742.63578947368433</v>
      </c>
      <c r="AE64" s="210">
        <f t="shared" si="53"/>
        <v>619.13936842105272</v>
      </c>
      <c r="AF64" s="210">
        <f t="shared" si="53"/>
        <v>226.66947368421057</v>
      </c>
      <c r="AG64" s="210">
        <f t="shared" si="53"/>
        <v>403.30442105263165</v>
      </c>
      <c r="AH64" s="210">
        <f t="shared" si="53"/>
        <v>534.02947368421053</v>
      </c>
      <c r="AI64" s="210">
        <f t="shared" si="53"/>
        <v>284.3621052631579</v>
      </c>
      <c r="AJ64" s="210">
        <f t="shared" si="53"/>
        <v>197.35578947368418</v>
      </c>
      <c r="AK64" s="210">
        <f t="shared" si="53"/>
        <v>505.26315789473682</v>
      </c>
      <c r="AL64" s="210">
        <f t="shared" si="53"/>
        <v>505.26315789473682</v>
      </c>
      <c r="AM64" s="210">
        <f t="shared" si="53"/>
        <v>269.4736842105263</v>
      </c>
      <c r="AN64" s="210">
        <f t="shared" si="53"/>
        <v>269.4736842105263</v>
      </c>
    </row>
    <row r="65" spans="2:40" s="7" customFormat="1" ht="12" customHeight="1" outlineLevel="1">
      <c r="B65" s="237"/>
      <c r="C65" s="214" t="s">
        <v>847</v>
      </c>
      <c r="D65" s="214"/>
      <c r="E65" s="210">
        <f t="shared" ref="E65:I65" si="54">SUM(E61:E63)</f>
        <v>110</v>
      </c>
      <c r="F65" s="210">
        <f t="shared" si="54"/>
        <v>93</v>
      </c>
      <c r="G65" s="210">
        <f t="shared" si="54"/>
        <v>148</v>
      </c>
      <c r="H65" s="210">
        <f t="shared" si="54"/>
        <v>91</v>
      </c>
      <c r="I65" s="210">
        <f t="shared" si="54"/>
        <v>40</v>
      </c>
      <c r="J65" s="210">
        <f t="shared" ref="J65:AN65" si="55">SUM(J61:J63)</f>
        <v>120</v>
      </c>
      <c r="K65" s="210">
        <f t="shared" si="55"/>
        <v>66</v>
      </c>
      <c r="L65" s="210">
        <f t="shared" si="55"/>
        <v>38</v>
      </c>
      <c r="M65" s="210">
        <f>SUM(M61:M63)</f>
        <v>119.33333333333333</v>
      </c>
      <c r="N65" s="210">
        <f t="shared" si="55"/>
        <v>69.333333333333329</v>
      </c>
      <c r="O65" s="210">
        <f t="shared" si="55"/>
        <v>40.333333333333336</v>
      </c>
      <c r="P65" s="210">
        <f t="shared" si="55"/>
        <v>123.57894736842105</v>
      </c>
      <c r="Q65" s="210">
        <f t="shared" si="55"/>
        <v>72.162947368421044</v>
      </c>
      <c r="R65" s="210">
        <f t="shared" si="55"/>
        <v>45.170526315789459</v>
      </c>
      <c r="S65" s="210">
        <f t="shared" si="55"/>
        <v>135.60757894736841</v>
      </c>
      <c r="T65" s="210">
        <f t="shared" si="55"/>
        <v>98.832105263157885</v>
      </c>
      <c r="U65" s="210">
        <f t="shared" si="55"/>
        <v>116.90974736842104</v>
      </c>
      <c r="V65" s="210">
        <f t="shared" si="55"/>
        <v>242.99831578947362</v>
      </c>
      <c r="W65" s="210">
        <f t="shared" si="55"/>
        <v>276.15073684210529</v>
      </c>
      <c r="X65" s="210">
        <f t="shared" si="55"/>
        <v>316.02252631578949</v>
      </c>
      <c r="Y65" s="210">
        <f t="shared" si="55"/>
        <v>403.9473684210526</v>
      </c>
      <c r="Z65" s="210">
        <f t="shared" si="55"/>
        <v>354.9473684210526</v>
      </c>
      <c r="AA65" s="210">
        <f t="shared" si="55"/>
        <v>373.1052631578948</v>
      </c>
      <c r="AB65" s="210">
        <f t="shared" si="55"/>
        <v>499.1052631578948</v>
      </c>
      <c r="AC65" s="210">
        <f t="shared" si="55"/>
        <v>424.30357894736846</v>
      </c>
      <c r="AD65" s="210">
        <f t="shared" si="55"/>
        <v>363.36421052631567</v>
      </c>
      <c r="AE65" s="210">
        <f t="shared" si="55"/>
        <v>607.86063157894728</v>
      </c>
      <c r="AF65" s="210">
        <f t="shared" si="55"/>
        <v>692.33052631578937</v>
      </c>
      <c r="AG65" s="210">
        <f t="shared" si="55"/>
        <v>945.6955789473684</v>
      </c>
      <c r="AH65" s="210">
        <f t="shared" si="55"/>
        <v>995.97052631578947</v>
      </c>
      <c r="AI65" s="210">
        <f t="shared" si="55"/>
        <v>798.6378947368421</v>
      </c>
      <c r="AJ65" s="210">
        <f t="shared" si="55"/>
        <v>1045.6442105263159</v>
      </c>
      <c r="AK65" s="210">
        <f t="shared" si="55"/>
        <v>1120.7368421052631</v>
      </c>
      <c r="AL65" s="210">
        <f t="shared" si="55"/>
        <v>855.73684210526324</v>
      </c>
      <c r="AM65" s="210">
        <f t="shared" si="55"/>
        <v>1026.5263157894738</v>
      </c>
      <c r="AN65" s="210">
        <f t="shared" si="55"/>
        <v>1237.5263157894738</v>
      </c>
    </row>
    <row r="66" spans="2:40" s="7" customFormat="1" ht="12" customHeight="1" outlineLevel="1">
      <c r="B66" s="237"/>
      <c r="C66" s="214" t="s">
        <v>848</v>
      </c>
      <c r="D66" s="214"/>
      <c r="E66" s="205">
        <f t="shared" ref="E66:I66" si="56">SUM(E64:E65)</f>
        <v>110</v>
      </c>
      <c r="F66" s="205">
        <f t="shared" si="56"/>
        <v>93</v>
      </c>
      <c r="G66" s="205">
        <f t="shared" si="56"/>
        <v>148</v>
      </c>
      <c r="H66" s="205">
        <f t="shared" si="56"/>
        <v>91</v>
      </c>
      <c r="I66" s="205">
        <f t="shared" si="56"/>
        <v>40</v>
      </c>
      <c r="J66" s="205">
        <f>SUM(J64:J65)</f>
        <v>124</v>
      </c>
      <c r="K66" s="205">
        <f t="shared" ref="K66:AN66" si="57">SUM(K64:K65)</f>
        <v>72</v>
      </c>
      <c r="L66" s="205">
        <f t="shared" si="57"/>
        <v>40</v>
      </c>
      <c r="M66" s="205">
        <f t="shared" si="57"/>
        <v>136</v>
      </c>
      <c r="N66" s="205">
        <f t="shared" si="57"/>
        <v>86</v>
      </c>
      <c r="O66" s="205">
        <f t="shared" si="57"/>
        <v>47</v>
      </c>
      <c r="P66" s="205">
        <f t="shared" si="57"/>
        <v>132</v>
      </c>
      <c r="Q66" s="205">
        <f t="shared" si="57"/>
        <v>92</v>
      </c>
      <c r="R66" s="205">
        <f t="shared" si="57"/>
        <v>138</v>
      </c>
      <c r="S66" s="205">
        <f t="shared" si="57"/>
        <v>213</v>
      </c>
      <c r="T66" s="205">
        <f t="shared" si="57"/>
        <v>198</v>
      </c>
      <c r="U66" s="205">
        <f t="shared" si="57"/>
        <v>311</v>
      </c>
      <c r="V66" s="205">
        <f t="shared" si="57"/>
        <v>499.99999999999994</v>
      </c>
      <c r="W66" s="205">
        <f t="shared" si="57"/>
        <v>413</v>
      </c>
      <c r="X66" s="205">
        <f t="shared" si="57"/>
        <v>411</v>
      </c>
      <c r="Y66" s="205">
        <f t="shared" si="57"/>
        <v>625</v>
      </c>
      <c r="Z66" s="205">
        <f t="shared" si="57"/>
        <v>576</v>
      </c>
      <c r="AA66" s="205">
        <f t="shared" si="57"/>
        <v>491.00000000000006</v>
      </c>
      <c r="AB66" s="205">
        <f t="shared" si="57"/>
        <v>617.00000000000011</v>
      </c>
      <c r="AC66" s="205">
        <f t="shared" si="57"/>
        <v>583</v>
      </c>
      <c r="AD66" s="205">
        <f t="shared" si="57"/>
        <v>1106</v>
      </c>
      <c r="AE66" s="205">
        <f t="shared" si="57"/>
        <v>1227</v>
      </c>
      <c r="AF66" s="205">
        <f t="shared" si="57"/>
        <v>919</v>
      </c>
      <c r="AG66" s="205">
        <f t="shared" si="57"/>
        <v>1349</v>
      </c>
      <c r="AH66" s="205">
        <f t="shared" si="57"/>
        <v>1530</v>
      </c>
      <c r="AI66" s="205">
        <f t="shared" si="57"/>
        <v>1083</v>
      </c>
      <c r="AJ66" s="205">
        <f t="shared" si="57"/>
        <v>1243</v>
      </c>
      <c r="AK66" s="205">
        <f t="shared" si="57"/>
        <v>1626</v>
      </c>
      <c r="AL66" s="205">
        <f t="shared" si="57"/>
        <v>1361</v>
      </c>
      <c r="AM66" s="205">
        <f t="shared" si="57"/>
        <v>1296</v>
      </c>
      <c r="AN66" s="205">
        <f t="shared" si="57"/>
        <v>1507</v>
      </c>
    </row>
    <row r="67" spans="2:40" s="7" customFormat="1" ht="12" customHeight="1" outlineLevel="1">
      <c r="B67" s="239"/>
      <c r="C67" s="214"/>
      <c r="D67" s="214"/>
      <c r="E67" s="211"/>
      <c r="F67" s="211"/>
      <c r="G67" s="211"/>
      <c r="H67" s="211"/>
      <c r="I67" s="211"/>
      <c r="J67" s="211"/>
      <c r="K67" s="211"/>
      <c r="L67" s="211"/>
      <c r="M67" s="211"/>
      <c r="N67" s="211"/>
      <c r="O67" s="211"/>
      <c r="P67" s="211"/>
      <c r="Q67" s="211"/>
      <c r="R67" s="211"/>
      <c r="S67" s="211"/>
      <c r="T67" s="211"/>
      <c r="U67" s="211"/>
      <c r="V67" s="211"/>
      <c r="W67" s="211"/>
      <c r="X67" s="211"/>
      <c r="Y67" s="211"/>
      <c r="Z67" s="211"/>
      <c r="AA67" s="211"/>
      <c r="AB67" s="211"/>
      <c r="AC67" s="211"/>
      <c r="AD67" s="211"/>
      <c r="AE67" s="211"/>
      <c r="AF67" s="211"/>
      <c r="AG67" s="211"/>
      <c r="AH67" s="211"/>
      <c r="AI67" s="211"/>
      <c r="AJ67" s="211"/>
      <c r="AK67" s="211"/>
      <c r="AL67" s="211"/>
      <c r="AM67" s="211"/>
      <c r="AN67" s="211"/>
    </row>
    <row r="68" spans="2:40" s="7" customFormat="1" ht="12" hidden="1" customHeight="1" outlineLevel="2">
      <c r="B68" s="239"/>
      <c r="C68" s="243" t="s">
        <v>849</v>
      </c>
      <c r="D68" s="214"/>
      <c r="O68" s="212"/>
      <c r="P68" s="212"/>
      <c r="Q68" s="212"/>
      <c r="R68" s="212"/>
      <c r="S68" s="212"/>
      <c r="T68" s="212"/>
      <c r="U68" s="212"/>
      <c r="V68" s="212"/>
      <c r="W68" s="212"/>
      <c r="X68" s="212"/>
      <c r="Y68" s="212"/>
      <c r="Z68" s="212"/>
      <c r="AA68" s="212"/>
      <c r="AB68" s="212"/>
      <c r="AC68" s="212"/>
      <c r="AD68" s="212"/>
      <c r="AE68" s="212"/>
      <c r="AF68" s="212"/>
      <c r="AG68" s="212"/>
      <c r="AH68" s="212"/>
      <c r="AI68" s="212"/>
      <c r="AJ68" s="212"/>
      <c r="AK68" s="212"/>
      <c r="AL68" s="212"/>
      <c r="AM68" s="212"/>
      <c r="AN68" s="212"/>
    </row>
    <row r="69" spans="2:40" s="7" customFormat="1" ht="12" hidden="1" customHeight="1" outlineLevel="2">
      <c r="B69" s="239"/>
      <c r="C69" s="214" t="s">
        <v>850</v>
      </c>
      <c r="D69" s="214"/>
      <c r="E69" s="196" t="s">
        <v>753</v>
      </c>
      <c r="F69" s="196" t="s">
        <v>754</v>
      </c>
      <c r="G69" s="196" t="s">
        <v>755</v>
      </c>
      <c r="H69" s="196" t="s">
        <v>756</v>
      </c>
      <c r="I69" s="196" t="s">
        <v>757</v>
      </c>
      <c r="J69" s="196" t="s">
        <v>758</v>
      </c>
      <c r="K69" s="196" t="s">
        <v>759</v>
      </c>
      <c r="L69" s="196" t="s">
        <v>760</v>
      </c>
      <c r="M69" s="196" t="s">
        <v>761</v>
      </c>
      <c r="N69" s="196" t="s">
        <v>762</v>
      </c>
      <c r="O69" s="196" t="s">
        <v>763</v>
      </c>
      <c r="P69" s="196" t="s">
        <v>764</v>
      </c>
      <c r="Q69" s="196" t="s">
        <v>765</v>
      </c>
      <c r="R69" s="196" t="s">
        <v>766</v>
      </c>
      <c r="S69" s="196" t="s">
        <v>767</v>
      </c>
      <c r="T69" s="196" t="s">
        <v>768</v>
      </c>
      <c r="U69" s="196" t="s">
        <v>769</v>
      </c>
      <c r="V69" s="196" t="s">
        <v>770</v>
      </c>
      <c r="W69" s="196" t="s">
        <v>771</v>
      </c>
      <c r="X69" s="196" t="s">
        <v>772</v>
      </c>
      <c r="Y69" s="196" t="s">
        <v>773</v>
      </c>
      <c r="Z69" s="196" t="s">
        <v>774</v>
      </c>
      <c r="AA69" s="196" t="s">
        <v>775</v>
      </c>
      <c r="AB69" s="196" t="s">
        <v>776</v>
      </c>
      <c r="AC69" s="196" t="s">
        <v>777</v>
      </c>
      <c r="AD69" s="196" t="s">
        <v>778</v>
      </c>
      <c r="AE69" s="196" t="s">
        <v>779</v>
      </c>
      <c r="AF69" s="196" t="s">
        <v>780</v>
      </c>
      <c r="AG69" s="196" t="s">
        <v>781</v>
      </c>
      <c r="AH69" s="196" t="s">
        <v>782</v>
      </c>
      <c r="AI69" s="196" t="s">
        <v>783</v>
      </c>
      <c r="AJ69" s="196" t="s">
        <v>784</v>
      </c>
      <c r="AK69" s="196" t="s">
        <v>785</v>
      </c>
      <c r="AL69" s="196" t="s">
        <v>786</v>
      </c>
      <c r="AM69" s="196" t="s">
        <v>787</v>
      </c>
      <c r="AN69" s="196" t="s">
        <v>788</v>
      </c>
    </row>
    <row r="70" spans="2:40" s="7" customFormat="1" ht="12" hidden="1" customHeight="1" outlineLevel="2">
      <c r="B70" s="239"/>
      <c r="C70" s="212" t="s">
        <v>851</v>
      </c>
      <c r="D70" s="212"/>
      <c r="E70" s="344">
        <v>0</v>
      </c>
      <c r="F70" s="344">
        <v>0</v>
      </c>
      <c r="G70" s="344">
        <v>0</v>
      </c>
      <c r="H70" s="344">
        <v>0</v>
      </c>
      <c r="I70" s="344">
        <v>0</v>
      </c>
      <c r="J70" s="344">
        <v>0</v>
      </c>
      <c r="K70" s="344">
        <v>0</v>
      </c>
      <c r="L70" s="344">
        <v>0</v>
      </c>
      <c r="M70" s="344">
        <v>0</v>
      </c>
      <c r="N70" s="344">
        <v>0</v>
      </c>
      <c r="O70" s="344">
        <v>0</v>
      </c>
      <c r="P70" s="344">
        <v>0</v>
      </c>
      <c r="Q70" s="344">
        <v>0</v>
      </c>
      <c r="R70" s="344">
        <v>0</v>
      </c>
      <c r="S70" s="344">
        <v>0</v>
      </c>
      <c r="T70" s="344">
        <v>0</v>
      </c>
      <c r="U70" s="344">
        <v>0</v>
      </c>
      <c r="V70" s="344">
        <v>0</v>
      </c>
      <c r="W70" s="344">
        <v>0</v>
      </c>
      <c r="X70" s="344">
        <v>0</v>
      </c>
      <c r="Y70" s="344">
        <v>0</v>
      </c>
      <c r="Z70" s="344">
        <v>0</v>
      </c>
      <c r="AA70" s="344">
        <v>0</v>
      </c>
      <c r="AB70" s="344">
        <v>0</v>
      </c>
      <c r="AC70" s="344">
        <v>0</v>
      </c>
      <c r="AD70" s="344">
        <v>0</v>
      </c>
      <c r="AE70" s="344">
        <v>0</v>
      </c>
      <c r="AF70" s="344">
        <v>0</v>
      </c>
      <c r="AG70" s="344">
        <v>0</v>
      </c>
      <c r="AH70" s="344">
        <v>0</v>
      </c>
      <c r="AI70" s="344">
        <v>0</v>
      </c>
      <c r="AJ70" s="344">
        <v>0</v>
      </c>
      <c r="AK70" s="344">
        <v>0</v>
      </c>
      <c r="AL70" s="344">
        <v>0</v>
      </c>
      <c r="AM70" s="344">
        <v>0</v>
      </c>
      <c r="AN70" s="344">
        <v>0</v>
      </c>
    </row>
    <row r="71" spans="2:40" s="7" customFormat="1" ht="12" hidden="1" customHeight="1" outlineLevel="2">
      <c r="B71" s="239"/>
      <c r="C71" s="214" t="s">
        <v>852</v>
      </c>
      <c r="D71" s="212"/>
      <c r="E71" s="211">
        <v>26</v>
      </c>
      <c r="F71" s="211">
        <f>E71*98%</f>
        <v>25.48</v>
      </c>
      <c r="G71" s="211">
        <v>38</v>
      </c>
      <c r="H71" s="211">
        <f t="shared" ref="H71:AN71" si="58">G71*98%</f>
        <v>37.24</v>
      </c>
      <c r="I71" s="211">
        <v>14</v>
      </c>
      <c r="J71" s="211">
        <f t="shared" si="58"/>
        <v>13.719999999999999</v>
      </c>
      <c r="K71" s="211">
        <f t="shared" si="58"/>
        <v>13.445599999999999</v>
      </c>
      <c r="L71" s="211">
        <f t="shared" si="58"/>
        <v>13.176687999999999</v>
      </c>
      <c r="M71" s="211">
        <f t="shared" si="58"/>
        <v>12.913154239999999</v>
      </c>
      <c r="N71" s="211">
        <f t="shared" si="58"/>
        <v>12.6548911552</v>
      </c>
      <c r="O71" s="211">
        <f t="shared" si="58"/>
        <v>12.401793332096</v>
      </c>
      <c r="P71" s="211">
        <f t="shared" si="58"/>
        <v>12.153757465454079</v>
      </c>
      <c r="Q71" s="211">
        <f t="shared" si="58"/>
        <v>11.910682316144998</v>
      </c>
      <c r="R71" s="211">
        <f t="shared" si="58"/>
        <v>11.672468669822097</v>
      </c>
      <c r="S71" s="211">
        <f t="shared" si="58"/>
        <v>11.439019296425654</v>
      </c>
      <c r="T71" s="211">
        <f t="shared" si="58"/>
        <v>11.210238910497141</v>
      </c>
      <c r="U71" s="211">
        <f t="shared" si="58"/>
        <v>10.986034132287198</v>
      </c>
      <c r="V71" s="211">
        <f t="shared" si="58"/>
        <v>10.766313449641453</v>
      </c>
      <c r="W71" s="211">
        <f t="shared" si="58"/>
        <v>10.550987180648624</v>
      </c>
      <c r="X71" s="211">
        <f t="shared" si="58"/>
        <v>10.339967437035652</v>
      </c>
      <c r="Y71" s="211">
        <f t="shared" si="58"/>
        <v>10.133168088294939</v>
      </c>
      <c r="Z71" s="211">
        <f t="shared" si="58"/>
        <v>9.9305047265290405</v>
      </c>
      <c r="AA71" s="211">
        <f t="shared" si="58"/>
        <v>9.7318946319984594</v>
      </c>
      <c r="AB71" s="211">
        <f t="shared" si="58"/>
        <v>9.5372567393584902</v>
      </c>
      <c r="AC71" s="211">
        <f t="shared" si="58"/>
        <v>9.3465116045713206</v>
      </c>
      <c r="AD71" s="211">
        <f t="shared" si="58"/>
        <v>9.1595813724798933</v>
      </c>
      <c r="AE71" s="211">
        <f t="shared" si="58"/>
        <v>8.9763897450302945</v>
      </c>
      <c r="AF71" s="211">
        <f t="shared" si="58"/>
        <v>8.7968619501296885</v>
      </c>
      <c r="AG71" s="211">
        <f t="shared" si="58"/>
        <v>8.6209247111270955</v>
      </c>
      <c r="AH71" s="211">
        <f t="shared" si="58"/>
        <v>8.4485062169045531</v>
      </c>
      <c r="AI71" s="211">
        <f t="shared" si="58"/>
        <v>8.2795360925664614</v>
      </c>
      <c r="AJ71" s="211">
        <f t="shared" si="58"/>
        <v>8.1139453707151326</v>
      </c>
      <c r="AK71" s="211">
        <f t="shared" si="58"/>
        <v>7.95166646330083</v>
      </c>
      <c r="AL71" s="211">
        <f t="shared" si="58"/>
        <v>7.7926331340348129</v>
      </c>
      <c r="AM71" s="211">
        <f t="shared" si="58"/>
        <v>7.6367804713541165</v>
      </c>
      <c r="AN71" s="211">
        <f t="shared" si="58"/>
        <v>7.4840448619270337</v>
      </c>
    </row>
    <row r="72" spans="2:40" s="7" customFormat="1" ht="12" hidden="1" customHeight="1" outlineLevel="2">
      <c r="B72" s="245"/>
      <c r="C72" s="213" t="s">
        <v>753</v>
      </c>
      <c r="D72" s="213"/>
      <c r="E72" s="211">
        <f>INDEX($C$44:$AN$64,MATCH("New Customers One-Time",$C$44:$C$64,0),MATCH($C72,$C$44:$AN$44,0))</f>
        <v>0</v>
      </c>
      <c r="F72" s="211">
        <f t="shared" ref="F72:AN72" si="59">$E$72*(E70)</f>
        <v>0</v>
      </c>
      <c r="G72" s="211">
        <f t="shared" si="59"/>
        <v>0</v>
      </c>
      <c r="H72" s="211">
        <f t="shared" si="59"/>
        <v>0</v>
      </c>
      <c r="I72" s="211">
        <f t="shared" si="59"/>
        <v>0</v>
      </c>
      <c r="J72" s="211">
        <f t="shared" si="59"/>
        <v>0</v>
      </c>
      <c r="K72" s="211">
        <f t="shared" si="59"/>
        <v>0</v>
      </c>
      <c r="L72" s="211">
        <f t="shared" si="59"/>
        <v>0</v>
      </c>
      <c r="M72" s="211">
        <f t="shared" si="59"/>
        <v>0</v>
      </c>
      <c r="N72" s="211">
        <f t="shared" si="59"/>
        <v>0</v>
      </c>
      <c r="O72" s="211">
        <f t="shared" si="59"/>
        <v>0</v>
      </c>
      <c r="P72" s="211">
        <f t="shared" si="59"/>
        <v>0</v>
      </c>
      <c r="Q72" s="211">
        <f t="shared" si="59"/>
        <v>0</v>
      </c>
      <c r="R72" s="211">
        <f t="shared" si="59"/>
        <v>0</v>
      </c>
      <c r="S72" s="211">
        <f t="shared" si="59"/>
        <v>0</v>
      </c>
      <c r="T72" s="211">
        <f t="shared" si="59"/>
        <v>0</v>
      </c>
      <c r="U72" s="211">
        <f t="shared" si="59"/>
        <v>0</v>
      </c>
      <c r="V72" s="211">
        <f t="shared" si="59"/>
        <v>0</v>
      </c>
      <c r="W72" s="211">
        <f t="shared" si="59"/>
        <v>0</v>
      </c>
      <c r="X72" s="211">
        <f t="shared" si="59"/>
        <v>0</v>
      </c>
      <c r="Y72" s="211">
        <f t="shared" si="59"/>
        <v>0</v>
      </c>
      <c r="Z72" s="211">
        <f t="shared" si="59"/>
        <v>0</v>
      </c>
      <c r="AA72" s="211">
        <f t="shared" si="59"/>
        <v>0</v>
      </c>
      <c r="AB72" s="211">
        <f t="shared" si="59"/>
        <v>0</v>
      </c>
      <c r="AC72" s="211">
        <f t="shared" si="59"/>
        <v>0</v>
      </c>
      <c r="AD72" s="211">
        <f t="shared" si="59"/>
        <v>0</v>
      </c>
      <c r="AE72" s="211">
        <f t="shared" si="59"/>
        <v>0</v>
      </c>
      <c r="AF72" s="211">
        <f t="shared" si="59"/>
        <v>0</v>
      </c>
      <c r="AG72" s="211">
        <f t="shared" si="59"/>
        <v>0</v>
      </c>
      <c r="AH72" s="211">
        <f t="shared" si="59"/>
        <v>0</v>
      </c>
      <c r="AI72" s="211">
        <f t="shared" si="59"/>
        <v>0</v>
      </c>
      <c r="AJ72" s="211">
        <f t="shared" si="59"/>
        <v>0</v>
      </c>
      <c r="AK72" s="211">
        <f t="shared" si="59"/>
        <v>0</v>
      </c>
      <c r="AL72" s="211">
        <f t="shared" si="59"/>
        <v>0</v>
      </c>
      <c r="AM72" s="211">
        <f t="shared" si="59"/>
        <v>0</v>
      </c>
      <c r="AN72" s="211">
        <f t="shared" si="59"/>
        <v>0</v>
      </c>
    </row>
    <row r="73" spans="2:40" s="7" customFormat="1" ht="12" hidden="1" customHeight="1" outlineLevel="2">
      <c r="B73" s="245"/>
      <c r="C73" s="213" t="s">
        <v>754</v>
      </c>
      <c r="D73" s="213"/>
      <c r="E73" s="213"/>
      <c r="F73" s="211">
        <f>INDEX($C$44:$AN$64,MATCH("New Customers One-Time",$C$44:$C$64,0),MATCH($C73,$C$44:$AN$44,0))</f>
        <v>0</v>
      </c>
      <c r="G73" s="211">
        <f t="shared" ref="G73:AN73" si="60">$F$73*(E70)</f>
        <v>0</v>
      </c>
      <c r="H73" s="211">
        <f t="shared" si="60"/>
        <v>0</v>
      </c>
      <c r="I73" s="211">
        <f t="shared" si="60"/>
        <v>0</v>
      </c>
      <c r="J73" s="211">
        <f t="shared" si="60"/>
        <v>0</v>
      </c>
      <c r="K73" s="211">
        <f t="shared" si="60"/>
        <v>0</v>
      </c>
      <c r="L73" s="211">
        <f t="shared" si="60"/>
        <v>0</v>
      </c>
      <c r="M73" s="211">
        <f t="shared" si="60"/>
        <v>0</v>
      </c>
      <c r="N73" s="211">
        <f t="shared" si="60"/>
        <v>0</v>
      </c>
      <c r="O73" s="211">
        <f t="shared" si="60"/>
        <v>0</v>
      </c>
      <c r="P73" s="211">
        <f t="shared" si="60"/>
        <v>0</v>
      </c>
      <c r="Q73" s="211">
        <f t="shared" si="60"/>
        <v>0</v>
      </c>
      <c r="R73" s="211">
        <f t="shared" si="60"/>
        <v>0</v>
      </c>
      <c r="S73" s="211">
        <f t="shared" si="60"/>
        <v>0</v>
      </c>
      <c r="T73" s="211">
        <f t="shared" si="60"/>
        <v>0</v>
      </c>
      <c r="U73" s="211">
        <f t="shared" si="60"/>
        <v>0</v>
      </c>
      <c r="V73" s="211">
        <f t="shared" si="60"/>
        <v>0</v>
      </c>
      <c r="W73" s="211">
        <f t="shared" si="60"/>
        <v>0</v>
      </c>
      <c r="X73" s="211">
        <f t="shared" si="60"/>
        <v>0</v>
      </c>
      <c r="Y73" s="211">
        <f t="shared" si="60"/>
        <v>0</v>
      </c>
      <c r="Z73" s="211">
        <f t="shared" si="60"/>
        <v>0</v>
      </c>
      <c r="AA73" s="211">
        <f t="shared" si="60"/>
        <v>0</v>
      </c>
      <c r="AB73" s="211">
        <f t="shared" si="60"/>
        <v>0</v>
      </c>
      <c r="AC73" s="211">
        <f t="shared" si="60"/>
        <v>0</v>
      </c>
      <c r="AD73" s="211">
        <f t="shared" si="60"/>
        <v>0</v>
      </c>
      <c r="AE73" s="211">
        <f t="shared" si="60"/>
        <v>0</v>
      </c>
      <c r="AF73" s="211">
        <f t="shared" si="60"/>
        <v>0</v>
      </c>
      <c r="AG73" s="211">
        <f t="shared" si="60"/>
        <v>0</v>
      </c>
      <c r="AH73" s="211">
        <f t="shared" si="60"/>
        <v>0</v>
      </c>
      <c r="AI73" s="211">
        <f t="shared" si="60"/>
        <v>0</v>
      </c>
      <c r="AJ73" s="211">
        <f t="shared" si="60"/>
        <v>0</v>
      </c>
      <c r="AK73" s="211">
        <f t="shared" si="60"/>
        <v>0</v>
      </c>
      <c r="AL73" s="211">
        <f t="shared" si="60"/>
        <v>0</v>
      </c>
      <c r="AM73" s="211">
        <f t="shared" si="60"/>
        <v>0</v>
      </c>
      <c r="AN73" s="211">
        <f t="shared" si="60"/>
        <v>0</v>
      </c>
    </row>
    <row r="74" spans="2:40" s="7" customFormat="1" ht="12" hidden="1" customHeight="1" outlineLevel="2">
      <c r="B74" s="245"/>
      <c r="C74" s="213" t="s">
        <v>755</v>
      </c>
      <c r="D74" s="213"/>
      <c r="E74" s="213"/>
      <c r="G74" s="211">
        <f>INDEX($C$44:$AN$66,MATCH("New Customers One-Time",$C$44:$C$66,0),MATCH($C74,$C$44:$AN$44,0))</f>
        <v>0</v>
      </c>
      <c r="H74" s="211">
        <f t="shared" ref="H74:AN74" si="61">$G$74*(E70)</f>
        <v>0</v>
      </c>
      <c r="I74" s="211">
        <f t="shared" si="61"/>
        <v>0</v>
      </c>
      <c r="J74" s="211">
        <f t="shared" si="61"/>
        <v>0</v>
      </c>
      <c r="K74" s="211">
        <f t="shared" si="61"/>
        <v>0</v>
      </c>
      <c r="L74" s="211">
        <f t="shared" si="61"/>
        <v>0</v>
      </c>
      <c r="M74" s="211">
        <f t="shared" si="61"/>
        <v>0</v>
      </c>
      <c r="N74" s="211">
        <f t="shared" si="61"/>
        <v>0</v>
      </c>
      <c r="O74" s="211">
        <f t="shared" si="61"/>
        <v>0</v>
      </c>
      <c r="P74" s="211">
        <f t="shared" si="61"/>
        <v>0</v>
      </c>
      <c r="Q74" s="211">
        <f t="shared" si="61"/>
        <v>0</v>
      </c>
      <c r="R74" s="211">
        <f t="shared" si="61"/>
        <v>0</v>
      </c>
      <c r="S74" s="211">
        <f t="shared" si="61"/>
        <v>0</v>
      </c>
      <c r="T74" s="211">
        <f t="shared" si="61"/>
        <v>0</v>
      </c>
      <c r="U74" s="211">
        <f t="shared" si="61"/>
        <v>0</v>
      </c>
      <c r="V74" s="211">
        <f t="shared" si="61"/>
        <v>0</v>
      </c>
      <c r="W74" s="211">
        <f t="shared" si="61"/>
        <v>0</v>
      </c>
      <c r="X74" s="211">
        <f t="shared" si="61"/>
        <v>0</v>
      </c>
      <c r="Y74" s="211">
        <f t="shared" si="61"/>
        <v>0</v>
      </c>
      <c r="Z74" s="211">
        <f t="shared" si="61"/>
        <v>0</v>
      </c>
      <c r="AA74" s="211">
        <f t="shared" si="61"/>
        <v>0</v>
      </c>
      <c r="AB74" s="211">
        <f t="shared" si="61"/>
        <v>0</v>
      </c>
      <c r="AC74" s="211">
        <f t="shared" si="61"/>
        <v>0</v>
      </c>
      <c r="AD74" s="211">
        <f t="shared" si="61"/>
        <v>0</v>
      </c>
      <c r="AE74" s="211">
        <f t="shared" si="61"/>
        <v>0</v>
      </c>
      <c r="AF74" s="211">
        <f t="shared" si="61"/>
        <v>0</v>
      </c>
      <c r="AG74" s="211">
        <f t="shared" si="61"/>
        <v>0</v>
      </c>
      <c r="AH74" s="211">
        <f t="shared" si="61"/>
        <v>0</v>
      </c>
      <c r="AI74" s="211">
        <f t="shared" si="61"/>
        <v>0</v>
      </c>
      <c r="AJ74" s="211">
        <f t="shared" si="61"/>
        <v>0</v>
      </c>
      <c r="AK74" s="211">
        <f t="shared" si="61"/>
        <v>0</v>
      </c>
      <c r="AL74" s="211">
        <f t="shared" si="61"/>
        <v>0</v>
      </c>
      <c r="AM74" s="211">
        <f t="shared" si="61"/>
        <v>0</v>
      </c>
      <c r="AN74" s="211">
        <f t="shared" si="61"/>
        <v>0</v>
      </c>
    </row>
    <row r="75" spans="2:40" s="7" customFormat="1" ht="12" hidden="1" customHeight="1" outlineLevel="2">
      <c r="B75" s="245"/>
      <c r="C75" s="213" t="s">
        <v>756</v>
      </c>
      <c r="D75" s="213"/>
      <c r="E75" s="213"/>
      <c r="F75" s="213"/>
      <c r="G75" s="213"/>
      <c r="H75" s="211">
        <f>INDEX($C$44:$AN$66,MATCH("New Customers One-Time",$C$44:$C$66,0),MATCH($C75,$C$44:$AN$44,0))</f>
        <v>0</v>
      </c>
      <c r="I75" s="211">
        <f t="shared" ref="I75:AN75" si="62">$H$75*(E70)</f>
        <v>0</v>
      </c>
      <c r="J75" s="211">
        <f t="shared" si="62"/>
        <v>0</v>
      </c>
      <c r="K75" s="211">
        <f t="shared" si="62"/>
        <v>0</v>
      </c>
      <c r="L75" s="211">
        <f t="shared" si="62"/>
        <v>0</v>
      </c>
      <c r="M75" s="211">
        <f t="shared" si="62"/>
        <v>0</v>
      </c>
      <c r="N75" s="211">
        <f t="shared" si="62"/>
        <v>0</v>
      </c>
      <c r="O75" s="211">
        <f t="shared" si="62"/>
        <v>0</v>
      </c>
      <c r="P75" s="211">
        <f t="shared" si="62"/>
        <v>0</v>
      </c>
      <c r="Q75" s="211">
        <f t="shared" si="62"/>
        <v>0</v>
      </c>
      <c r="R75" s="211">
        <f t="shared" si="62"/>
        <v>0</v>
      </c>
      <c r="S75" s="211">
        <f t="shared" si="62"/>
        <v>0</v>
      </c>
      <c r="T75" s="211">
        <f t="shared" si="62"/>
        <v>0</v>
      </c>
      <c r="U75" s="211">
        <f t="shared" si="62"/>
        <v>0</v>
      </c>
      <c r="V75" s="211">
        <f t="shared" si="62"/>
        <v>0</v>
      </c>
      <c r="W75" s="211">
        <f t="shared" si="62"/>
        <v>0</v>
      </c>
      <c r="X75" s="211">
        <f t="shared" si="62"/>
        <v>0</v>
      </c>
      <c r="Y75" s="211">
        <f t="shared" si="62"/>
        <v>0</v>
      </c>
      <c r="Z75" s="211">
        <f t="shared" si="62"/>
        <v>0</v>
      </c>
      <c r="AA75" s="211">
        <f t="shared" si="62"/>
        <v>0</v>
      </c>
      <c r="AB75" s="211">
        <f t="shared" si="62"/>
        <v>0</v>
      </c>
      <c r="AC75" s="211">
        <f t="shared" si="62"/>
        <v>0</v>
      </c>
      <c r="AD75" s="211">
        <f t="shared" si="62"/>
        <v>0</v>
      </c>
      <c r="AE75" s="211">
        <f t="shared" si="62"/>
        <v>0</v>
      </c>
      <c r="AF75" s="211">
        <f t="shared" si="62"/>
        <v>0</v>
      </c>
      <c r="AG75" s="211">
        <f t="shared" si="62"/>
        <v>0</v>
      </c>
      <c r="AH75" s="211">
        <f t="shared" si="62"/>
        <v>0</v>
      </c>
      <c r="AI75" s="211">
        <f t="shared" si="62"/>
        <v>0</v>
      </c>
      <c r="AJ75" s="211">
        <f t="shared" si="62"/>
        <v>0</v>
      </c>
      <c r="AK75" s="211">
        <f t="shared" si="62"/>
        <v>0</v>
      </c>
      <c r="AL75" s="211">
        <f t="shared" si="62"/>
        <v>0</v>
      </c>
      <c r="AM75" s="211">
        <f t="shared" si="62"/>
        <v>0</v>
      </c>
      <c r="AN75" s="211">
        <f t="shared" si="62"/>
        <v>0</v>
      </c>
    </row>
    <row r="76" spans="2:40" s="7" customFormat="1" ht="12" hidden="1" customHeight="1" outlineLevel="2">
      <c r="B76" s="245"/>
      <c r="C76" s="213" t="s">
        <v>757</v>
      </c>
      <c r="D76" s="213"/>
      <c r="E76" s="213"/>
      <c r="F76" s="213"/>
      <c r="G76" s="213"/>
      <c r="H76" s="213"/>
      <c r="I76" s="211">
        <f>INDEX($C$44:$AN$66,MATCH("New Customers One-Time",$C$44:$C$66,0),MATCH($C76,$C$44:$AN$44,0))</f>
        <v>0</v>
      </c>
      <c r="J76" s="211">
        <f t="shared" ref="J76:AN76" si="63">$I$76*(E70)</f>
        <v>0</v>
      </c>
      <c r="K76" s="211">
        <f t="shared" si="63"/>
        <v>0</v>
      </c>
      <c r="L76" s="211">
        <f t="shared" si="63"/>
        <v>0</v>
      </c>
      <c r="M76" s="211">
        <f t="shared" si="63"/>
        <v>0</v>
      </c>
      <c r="N76" s="211">
        <f t="shared" si="63"/>
        <v>0</v>
      </c>
      <c r="O76" s="211">
        <f t="shared" si="63"/>
        <v>0</v>
      </c>
      <c r="P76" s="211">
        <f t="shared" si="63"/>
        <v>0</v>
      </c>
      <c r="Q76" s="211">
        <f t="shared" si="63"/>
        <v>0</v>
      </c>
      <c r="R76" s="211">
        <f t="shared" si="63"/>
        <v>0</v>
      </c>
      <c r="S76" s="211">
        <f t="shared" si="63"/>
        <v>0</v>
      </c>
      <c r="T76" s="211">
        <f t="shared" si="63"/>
        <v>0</v>
      </c>
      <c r="U76" s="211">
        <f t="shared" si="63"/>
        <v>0</v>
      </c>
      <c r="V76" s="211">
        <f t="shared" si="63"/>
        <v>0</v>
      </c>
      <c r="W76" s="211">
        <f t="shared" si="63"/>
        <v>0</v>
      </c>
      <c r="X76" s="211">
        <f t="shared" si="63"/>
        <v>0</v>
      </c>
      <c r="Y76" s="211">
        <f t="shared" si="63"/>
        <v>0</v>
      </c>
      <c r="Z76" s="211">
        <f t="shared" si="63"/>
        <v>0</v>
      </c>
      <c r="AA76" s="211">
        <f t="shared" si="63"/>
        <v>0</v>
      </c>
      <c r="AB76" s="211">
        <f t="shared" si="63"/>
        <v>0</v>
      </c>
      <c r="AC76" s="211">
        <f t="shared" si="63"/>
        <v>0</v>
      </c>
      <c r="AD76" s="211">
        <f t="shared" si="63"/>
        <v>0</v>
      </c>
      <c r="AE76" s="211">
        <f t="shared" si="63"/>
        <v>0</v>
      </c>
      <c r="AF76" s="211">
        <f t="shared" si="63"/>
        <v>0</v>
      </c>
      <c r="AG76" s="211">
        <f t="shared" si="63"/>
        <v>0</v>
      </c>
      <c r="AH76" s="211">
        <f t="shared" si="63"/>
        <v>0</v>
      </c>
      <c r="AI76" s="211">
        <f t="shared" si="63"/>
        <v>0</v>
      </c>
      <c r="AJ76" s="211">
        <f t="shared" si="63"/>
        <v>0</v>
      </c>
      <c r="AK76" s="211">
        <f t="shared" si="63"/>
        <v>0</v>
      </c>
      <c r="AL76" s="211">
        <f t="shared" si="63"/>
        <v>0</v>
      </c>
      <c r="AM76" s="211">
        <f t="shared" si="63"/>
        <v>0</v>
      </c>
      <c r="AN76" s="211">
        <f t="shared" si="63"/>
        <v>0</v>
      </c>
    </row>
    <row r="77" spans="2:40" s="7" customFormat="1" ht="12" hidden="1" customHeight="1" outlineLevel="2">
      <c r="B77" s="245"/>
      <c r="C77" s="213" t="s">
        <v>758</v>
      </c>
      <c r="D77" s="213"/>
      <c r="E77" s="213"/>
      <c r="F77" s="213"/>
      <c r="G77" s="213"/>
      <c r="H77" s="213"/>
      <c r="I77" s="213"/>
      <c r="J77" s="211">
        <f>INDEX($C$44:$AN$66,MATCH("New Customers One-Time",$C$44:$C$66,0),MATCH($C77,$C$44:$AN$44,0))</f>
        <v>1.3333333333333333</v>
      </c>
      <c r="K77" s="211">
        <f t="shared" ref="K77:AN77" si="64">$J$77*(E70)</f>
        <v>0</v>
      </c>
      <c r="L77" s="211">
        <f t="shared" si="64"/>
        <v>0</v>
      </c>
      <c r="M77" s="211">
        <f t="shared" si="64"/>
        <v>0</v>
      </c>
      <c r="N77" s="211">
        <f t="shared" si="64"/>
        <v>0</v>
      </c>
      <c r="O77" s="211">
        <f t="shared" si="64"/>
        <v>0</v>
      </c>
      <c r="P77" s="211">
        <f t="shared" si="64"/>
        <v>0</v>
      </c>
      <c r="Q77" s="211">
        <f t="shared" si="64"/>
        <v>0</v>
      </c>
      <c r="R77" s="211">
        <f t="shared" si="64"/>
        <v>0</v>
      </c>
      <c r="S77" s="211">
        <f t="shared" si="64"/>
        <v>0</v>
      </c>
      <c r="T77" s="211">
        <f t="shared" si="64"/>
        <v>0</v>
      </c>
      <c r="U77" s="211">
        <f t="shared" si="64"/>
        <v>0</v>
      </c>
      <c r="V77" s="211">
        <f t="shared" si="64"/>
        <v>0</v>
      </c>
      <c r="W77" s="211">
        <f t="shared" si="64"/>
        <v>0</v>
      </c>
      <c r="X77" s="211">
        <f t="shared" si="64"/>
        <v>0</v>
      </c>
      <c r="Y77" s="211">
        <f t="shared" si="64"/>
        <v>0</v>
      </c>
      <c r="Z77" s="211">
        <f t="shared" si="64"/>
        <v>0</v>
      </c>
      <c r="AA77" s="211">
        <f t="shared" si="64"/>
        <v>0</v>
      </c>
      <c r="AB77" s="211">
        <f t="shared" si="64"/>
        <v>0</v>
      </c>
      <c r="AC77" s="211">
        <f t="shared" si="64"/>
        <v>0</v>
      </c>
      <c r="AD77" s="211">
        <f t="shared" si="64"/>
        <v>0</v>
      </c>
      <c r="AE77" s="211">
        <f t="shared" si="64"/>
        <v>0</v>
      </c>
      <c r="AF77" s="211">
        <f t="shared" si="64"/>
        <v>0</v>
      </c>
      <c r="AG77" s="211">
        <f t="shared" si="64"/>
        <v>0</v>
      </c>
      <c r="AH77" s="211">
        <f t="shared" si="64"/>
        <v>0</v>
      </c>
      <c r="AI77" s="211">
        <f t="shared" si="64"/>
        <v>0</v>
      </c>
      <c r="AJ77" s="211">
        <f t="shared" si="64"/>
        <v>0</v>
      </c>
      <c r="AK77" s="211">
        <f t="shared" si="64"/>
        <v>0</v>
      </c>
      <c r="AL77" s="211">
        <f t="shared" si="64"/>
        <v>0</v>
      </c>
      <c r="AM77" s="211">
        <f t="shared" si="64"/>
        <v>0</v>
      </c>
      <c r="AN77" s="211">
        <f t="shared" si="64"/>
        <v>0</v>
      </c>
    </row>
    <row r="78" spans="2:40" s="7" customFormat="1" ht="12" hidden="1" customHeight="1" outlineLevel="2">
      <c r="B78" s="245"/>
      <c r="C78" s="213" t="s">
        <v>759</v>
      </c>
      <c r="D78" s="213"/>
      <c r="E78" s="213"/>
      <c r="F78" s="213"/>
      <c r="G78" s="213"/>
      <c r="H78" s="213"/>
      <c r="I78" s="213"/>
      <c r="J78" s="213"/>
      <c r="K78" s="211">
        <f>INDEX($C$44:$AN$66,MATCH("New Customers One-Time",$C$44:$C$66,0),MATCH($C78,$C$44:$AN$44,0))</f>
        <v>2</v>
      </c>
      <c r="L78" s="211">
        <f t="shared" ref="L78:AN78" si="65">$K$78*(E70)</f>
        <v>0</v>
      </c>
      <c r="M78" s="211">
        <f t="shared" si="65"/>
        <v>0</v>
      </c>
      <c r="N78" s="211">
        <f t="shared" si="65"/>
        <v>0</v>
      </c>
      <c r="O78" s="211">
        <f t="shared" si="65"/>
        <v>0</v>
      </c>
      <c r="P78" s="211">
        <f t="shared" si="65"/>
        <v>0</v>
      </c>
      <c r="Q78" s="211">
        <f t="shared" si="65"/>
        <v>0</v>
      </c>
      <c r="R78" s="211">
        <f t="shared" si="65"/>
        <v>0</v>
      </c>
      <c r="S78" s="211">
        <f t="shared" si="65"/>
        <v>0</v>
      </c>
      <c r="T78" s="211">
        <f t="shared" si="65"/>
        <v>0</v>
      </c>
      <c r="U78" s="211">
        <f t="shared" si="65"/>
        <v>0</v>
      </c>
      <c r="V78" s="211">
        <f t="shared" si="65"/>
        <v>0</v>
      </c>
      <c r="W78" s="211">
        <f t="shared" si="65"/>
        <v>0</v>
      </c>
      <c r="X78" s="211">
        <f t="shared" si="65"/>
        <v>0</v>
      </c>
      <c r="Y78" s="211">
        <f t="shared" si="65"/>
        <v>0</v>
      </c>
      <c r="Z78" s="211">
        <f t="shared" si="65"/>
        <v>0</v>
      </c>
      <c r="AA78" s="211">
        <f t="shared" si="65"/>
        <v>0</v>
      </c>
      <c r="AB78" s="211">
        <f t="shared" si="65"/>
        <v>0</v>
      </c>
      <c r="AC78" s="211">
        <f t="shared" si="65"/>
        <v>0</v>
      </c>
      <c r="AD78" s="211">
        <f t="shared" si="65"/>
        <v>0</v>
      </c>
      <c r="AE78" s="211">
        <f t="shared" si="65"/>
        <v>0</v>
      </c>
      <c r="AF78" s="211">
        <f t="shared" si="65"/>
        <v>0</v>
      </c>
      <c r="AG78" s="211">
        <f t="shared" si="65"/>
        <v>0</v>
      </c>
      <c r="AH78" s="211">
        <f t="shared" si="65"/>
        <v>0</v>
      </c>
      <c r="AI78" s="211">
        <f t="shared" si="65"/>
        <v>0</v>
      </c>
      <c r="AJ78" s="211">
        <f t="shared" si="65"/>
        <v>0</v>
      </c>
      <c r="AK78" s="211">
        <f t="shared" si="65"/>
        <v>0</v>
      </c>
      <c r="AL78" s="211">
        <f t="shared" si="65"/>
        <v>0</v>
      </c>
      <c r="AM78" s="211">
        <f t="shared" si="65"/>
        <v>0</v>
      </c>
      <c r="AN78" s="211">
        <f t="shared" si="65"/>
        <v>0</v>
      </c>
    </row>
    <row r="79" spans="2:40" s="7" customFormat="1" ht="12" hidden="1" customHeight="1" outlineLevel="2">
      <c r="B79" s="245"/>
      <c r="C79" s="213" t="s">
        <v>760</v>
      </c>
      <c r="D79" s="213"/>
      <c r="E79" s="213"/>
      <c r="F79" s="213"/>
      <c r="G79" s="213"/>
      <c r="H79" s="213"/>
      <c r="I79" s="213"/>
      <c r="J79" s="213"/>
      <c r="K79" s="213"/>
      <c r="L79" s="211">
        <f>INDEX($C$44:$AN$66,MATCH("New Customers One-Time",$C$44:$C$66,0),MATCH($C79,$C$44:$AN$44,0))</f>
        <v>1</v>
      </c>
      <c r="M79" s="211">
        <f t="shared" ref="M79:AN79" si="66">$L$79*(E70)</f>
        <v>0</v>
      </c>
      <c r="N79" s="211">
        <f t="shared" si="66"/>
        <v>0</v>
      </c>
      <c r="O79" s="211">
        <f t="shared" si="66"/>
        <v>0</v>
      </c>
      <c r="P79" s="211">
        <f t="shared" si="66"/>
        <v>0</v>
      </c>
      <c r="Q79" s="211">
        <f t="shared" si="66"/>
        <v>0</v>
      </c>
      <c r="R79" s="211">
        <f t="shared" si="66"/>
        <v>0</v>
      </c>
      <c r="S79" s="211">
        <f t="shared" si="66"/>
        <v>0</v>
      </c>
      <c r="T79" s="211">
        <f t="shared" si="66"/>
        <v>0</v>
      </c>
      <c r="U79" s="211">
        <f t="shared" si="66"/>
        <v>0</v>
      </c>
      <c r="V79" s="211">
        <f t="shared" si="66"/>
        <v>0</v>
      </c>
      <c r="W79" s="211">
        <f t="shared" si="66"/>
        <v>0</v>
      </c>
      <c r="X79" s="211">
        <f t="shared" si="66"/>
        <v>0</v>
      </c>
      <c r="Y79" s="211">
        <f t="shared" si="66"/>
        <v>0</v>
      </c>
      <c r="Z79" s="211">
        <f t="shared" si="66"/>
        <v>0</v>
      </c>
      <c r="AA79" s="211">
        <f t="shared" si="66"/>
        <v>0</v>
      </c>
      <c r="AB79" s="211">
        <f t="shared" si="66"/>
        <v>0</v>
      </c>
      <c r="AC79" s="211">
        <f t="shared" si="66"/>
        <v>0</v>
      </c>
      <c r="AD79" s="211">
        <f t="shared" si="66"/>
        <v>0</v>
      </c>
      <c r="AE79" s="211">
        <f t="shared" si="66"/>
        <v>0</v>
      </c>
      <c r="AF79" s="211">
        <f t="shared" si="66"/>
        <v>0</v>
      </c>
      <c r="AG79" s="211">
        <f t="shared" si="66"/>
        <v>0</v>
      </c>
      <c r="AH79" s="211">
        <f t="shared" si="66"/>
        <v>0</v>
      </c>
      <c r="AI79" s="211">
        <f t="shared" si="66"/>
        <v>0</v>
      </c>
      <c r="AJ79" s="211">
        <f t="shared" si="66"/>
        <v>0</v>
      </c>
      <c r="AK79" s="211">
        <f t="shared" si="66"/>
        <v>0</v>
      </c>
      <c r="AL79" s="211">
        <f t="shared" si="66"/>
        <v>0</v>
      </c>
      <c r="AM79" s="211">
        <f t="shared" si="66"/>
        <v>0</v>
      </c>
      <c r="AN79" s="211">
        <f t="shared" si="66"/>
        <v>0</v>
      </c>
    </row>
    <row r="80" spans="2:40" s="7" customFormat="1" ht="12" hidden="1" customHeight="1" outlineLevel="2">
      <c r="B80" s="245"/>
      <c r="C80" s="213" t="s">
        <v>761</v>
      </c>
      <c r="D80" s="213"/>
      <c r="E80" s="213"/>
      <c r="F80" s="213"/>
      <c r="G80" s="213"/>
      <c r="H80" s="213"/>
      <c r="I80" s="213"/>
      <c r="J80" s="213"/>
      <c r="K80" s="213"/>
      <c r="L80" s="213"/>
      <c r="M80" s="211">
        <f>INDEX($C$44:$AN$66,MATCH("New Customers One-Time",$C$44:$C$66,0),MATCH($C80,$C$44:$AN$44,0))</f>
        <v>8.3333333333333339</v>
      </c>
      <c r="N80" s="211">
        <f t="shared" ref="N80:AN80" si="67">$M$80*(E70)</f>
        <v>0</v>
      </c>
      <c r="O80" s="211">
        <f t="shared" si="67"/>
        <v>0</v>
      </c>
      <c r="P80" s="211">
        <f t="shared" si="67"/>
        <v>0</v>
      </c>
      <c r="Q80" s="211">
        <f t="shared" si="67"/>
        <v>0</v>
      </c>
      <c r="R80" s="211">
        <f t="shared" si="67"/>
        <v>0</v>
      </c>
      <c r="S80" s="211">
        <f t="shared" si="67"/>
        <v>0</v>
      </c>
      <c r="T80" s="211">
        <f t="shared" si="67"/>
        <v>0</v>
      </c>
      <c r="U80" s="211">
        <f t="shared" si="67"/>
        <v>0</v>
      </c>
      <c r="V80" s="211">
        <f t="shared" si="67"/>
        <v>0</v>
      </c>
      <c r="W80" s="211">
        <f t="shared" si="67"/>
        <v>0</v>
      </c>
      <c r="X80" s="211">
        <f t="shared" si="67"/>
        <v>0</v>
      </c>
      <c r="Y80" s="211">
        <f t="shared" si="67"/>
        <v>0</v>
      </c>
      <c r="Z80" s="211">
        <f t="shared" si="67"/>
        <v>0</v>
      </c>
      <c r="AA80" s="211">
        <f t="shared" si="67"/>
        <v>0</v>
      </c>
      <c r="AB80" s="211">
        <f t="shared" si="67"/>
        <v>0</v>
      </c>
      <c r="AC80" s="211">
        <f t="shared" si="67"/>
        <v>0</v>
      </c>
      <c r="AD80" s="211">
        <f t="shared" si="67"/>
        <v>0</v>
      </c>
      <c r="AE80" s="211">
        <f t="shared" si="67"/>
        <v>0</v>
      </c>
      <c r="AF80" s="211">
        <f t="shared" si="67"/>
        <v>0</v>
      </c>
      <c r="AG80" s="211">
        <f t="shared" si="67"/>
        <v>0</v>
      </c>
      <c r="AH80" s="211">
        <f t="shared" si="67"/>
        <v>0</v>
      </c>
      <c r="AI80" s="211">
        <f t="shared" si="67"/>
        <v>0</v>
      </c>
      <c r="AJ80" s="211">
        <f t="shared" si="67"/>
        <v>0</v>
      </c>
      <c r="AK80" s="211">
        <f t="shared" si="67"/>
        <v>0</v>
      </c>
      <c r="AL80" s="211">
        <f t="shared" si="67"/>
        <v>0</v>
      </c>
      <c r="AM80" s="211">
        <f t="shared" si="67"/>
        <v>0</v>
      </c>
      <c r="AN80" s="211">
        <f t="shared" si="67"/>
        <v>0</v>
      </c>
    </row>
    <row r="81" spans="2:40" s="7" customFormat="1" ht="12" hidden="1" customHeight="1" outlineLevel="2">
      <c r="B81" s="245"/>
      <c r="C81" s="213" t="s">
        <v>762</v>
      </c>
      <c r="D81" s="213"/>
      <c r="E81" s="213"/>
      <c r="F81" s="213"/>
      <c r="G81" s="213"/>
      <c r="H81" s="213"/>
      <c r="I81" s="213"/>
      <c r="J81" s="213"/>
      <c r="K81" s="213"/>
      <c r="L81" s="213"/>
      <c r="M81" s="213"/>
      <c r="N81" s="211">
        <f>INDEX($C$44:$AN$66,MATCH("New Customers One-Time",$C$44:$C$66,0),MATCH($C81,$C$44:$AN$44,0))</f>
        <v>8.3333333333333339</v>
      </c>
      <c r="O81" s="211">
        <f t="shared" ref="O81:AN81" si="68">$N$81*(E70)</f>
        <v>0</v>
      </c>
      <c r="P81" s="211">
        <f t="shared" si="68"/>
        <v>0</v>
      </c>
      <c r="Q81" s="211">
        <f t="shared" si="68"/>
        <v>0</v>
      </c>
      <c r="R81" s="211">
        <f t="shared" si="68"/>
        <v>0</v>
      </c>
      <c r="S81" s="211">
        <f t="shared" si="68"/>
        <v>0</v>
      </c>
      <c r="T81" s="211">
        <f t="shared" si="68"/>
        <v>0</v>
      </c>
      <c r="U81" s="211">
        <f t="shared" si="68"/>
        <v>0</v>
      </c>
      <c r="V81" s="211">
        <f t="shared" si="68"/>
        <v>0</v>
      </c>
      <c r="W81" s="211">
        <f t="shared" si="68"/>
        <v>0</v>
      </c>
      <c r="X81" s="211">
        <f t="shared" si="68"/>
        <v>0</v>
      </c>
      <c r="Y81" s="211">
        <f t="shared" si="68"/>
        <v>0</v>
      </c>
      <c r="Z81" s="211">
        <f t="shared" si="68"/>
        <v>0</v>
      </c>
      <c r="AA81" s="211">
        <f t="shared" si="68"/>
        <v>0</v>
      </c>
      <c r="AB81" s="211">
        <f t="shared" si="68"/>
        <v>0</v>
      </c>
      <c r="AC81" s="211">
        <f t="shared" si="68"/>
        <v>0</v>
      </c>
      <c r="AD81" s="211">
        <f t="shared" si="68"/>
        <v>0</v>
      </c>
      <c r="AE81" s="211">
        <f t="shared" si="68"/>
        <v>0</v>
      </c>
      <c r="AF81" s="211">
        <f t="shared" si="68"/>
        <v>0</v>
      </c>
      <c r="AG81" s="211">
        <f t="shared" si="68"/>
        <v>0</v>
      </c>
      <c r="AH81" s="211">
        <f t="shared" si="68"/>
        <v>0</v>
      </c>
      <c r="AI81" s="211">
        <f t="shared" si="68"/>
        <v>0</v>
      </c>
      <c r="AJ81" s="211">
        <f t="shared" si="68"/>
        <v>0</v>
      </c>
      <c r="AK81" s="211">
        <f t="shared" si="68"/>
        <v>0</v>
      </c>
      <c r="AL81" s="211">
        <f t="shared" si="68"/>
        <v>0</v>
      </c>
      <c r="AM81" s="211">
        <f t="shared" si="68"/>
        <v>0</v>
      </c>
      <c r="AN81" s="211">
        <f t="shared" si="68"/>
        <v>0</v>
      </c>
    </row>
    <row r="82" spans="2:40" s="7" customFormat="1" ht="12" hidden="1" customHeight="1" outlineLevel="2">
      <c r="B82" s="245"/>
      <c r="C82" s="213" t="s">
        <v>763</v>
      </c>
      <c r="D82" s="213"/>
      <c r="E82" s="213"/>
      <c r="F82" s="213"/>
      <c r="G82" s="213"/>
      <c r="H82" s="213"/>
      <c r="I82" s="213"/>
      <c r="J82" s="213"/>
      <c r="K82" s="213"/>
      <c r="L82" s="213"/>
      <c r="M82" s="213"/>
      <c r="N82" s="213"/>
      <c r="O82" s="211">
        <f>INDEX($C$44:$AN$66,MATCH("New Customers One-Time",$C$44:$C$66,0),MATCH($C82,$C$44:$AN$44,0))</f>
        <v>3.3333333333333335</v>
      </c>
      <c r="P82" s="211">
        <f t="shared" ref="P82:AN82" si="69">$O$82*(E70)</f>
        <v>0</v>
      </c>
      <c r="Q82" s="211">
        <f t="shared" si="69"/>
        <v>0</v>
      </c>
      <c r="R82" s="211">
        <f t="shared" si="69"/>
        <v>0</v>
      </c>
      <c r="S82" s="211">
        <f t="shared" si="69"/>
        <v>0</v>
      </c>
      <c r="T82" s="211">
        <f t="shared" si="69"/>
        <v>0</v>
      </c>
      <c r="U82" s="211">
        <f t="shared" si="69"/>
        <v>0</v>
      </c>
      <c r="V82" s="211">
        <f t="shared" si="69"/>
        <v>0</v>
      </c>
      <c r="W82" s="211">
        <f t="shared" si="69"/>
        <v>0</v>
      </c>
      <c r="X82" s="211">
        <f t="shared" si="69"/>
        <v>0</v>
      </c>
      <c r="Y82" s="211">
        <f t="shared" si="69"/>
        <v>0</v>
      </c>
      <c r="Z82" s="211">
        <f t="shared" si="69"/>
        <v>0</v>
      </c>
      <c r="AA82" s="211">
        <f t="shared" si="69"/>
        <v>0</v>
      </c>
      <c r="AB82" s="211">
        <f t="shared" si="69"/>
        <v>0</v>
      </c>
      <c r="AC82" s="211">
        <f t="shared" si="69"/>
        <v>0</v>
      </c>
      <c r="AD82" s="211">
        <f t="shared" si="69"/>
        <v>0</v>
      </c>
      <c r="AE82" s="211">
        <f t="shared" si="69"/>
        <v>0</v>
      </c>
      <c r="AF82" s="211">
        <f t="shared" si="69"/>
        <v>0</v>
      </c>
      <c r="AG82" s="211">
        <f t="shared" si="69"/>
        <v>0</v>
      </c>
      <c r="AH82" s="211">
        <f t="shared" si="69"/>
        <v>0</v>
      </c>
      <c r="AI82" s="211">
        <f t="shared" si="69"/>
        <v>0</v>
      </c>
      <c r="AJ82" s="211">
        <f t="shared" si="69"/>
        <v>0</v>
      </c>
      <c r="AK82" s="211">
        <f t="shared" si="69"/>
        <v>0</v>
      </c>
      <c r="AL82" s="211">
        <f t="shared" si="69"/>
        <v>0</v>
      </c>
      <c r="AM82" s="211">
        <f t="shared" si="69"/>
        <v>0</v>
      </c>
      <c r="AN82" s="211">
        <f t="shared" si="69"/>
        <v>0</v>
      </c>
    </row>
    <row r="83" spans="2:40" s="7" customFormat="1" ht="12" hidden="1" customHeight="1" outlineLevel="2">
      <c r="B83" s="245"/>
      <c r="C83" s="213" t="s">
        <v>764</v>
      </c>
      <c r="D83" s="213"/>
      <c r="E83" s="213"/>
      <c r="F83" s="213"/>
      <c r="G83" s="213"/>
      <c r="H83" s="213"/>
      <c r="I83" s="213"/>
      <c r="J83" s="213"/>
      <c r="K83" s="213"/>
      <c r="L83" s="213"/>
      <c r="M83" s="213"/>
      <c r="N83" s="213"/>
      <c r="O83" s="213"/>
      <c r="P83" s="211">
        <f>INDEX($C$44:$AN$66,MATCH("New Customers One-Time",$C$44:$C$66,0),MATCH($C83,$C$44:$AN$44,0))</f>
        <v>4.2105263157894735</v>
      </c>
      <c r="Q83" s="211">
        <f t="shared" ref="Q83:AN83" si="70">$P$83*(E70)</f>
        <v>0</v>
      </c>
      <c r="R83" s="211">
        <f t="shared" si="70"/>
        <v>0</v>
      </c>
      <c r="S83" s="211">
        <f t="shared" si="70"/>
        <v>0</v>
      </c>
      <c r="T83" s="211">
        <f t="shared" si="70"/>
        <v>0</v>
      </c>
      <c r="U83" s="211">
        <f t="shared" si="70"/>
        <v>0</v>
      </c>
      <c r="V83" s="211">
        <f t="shared" si="70"/>
        <v>0</v>
      </c>
      <c r="W83" s="211">
        <f t="shared" si="70"/>
        <v>0</v>
      </c>
      <c r="X83" s="211">
        <f t="shared" si="70"/>
        <v>0</v>
      </c>
      <c r="Y83" s="211">
        <f t="shared" si="70"/>
        <v>0</v>
      </c>
      <c r="Z83" s="211">
        <f t="shared" si="70"/>
        <v>0</v>
      </c>
      <c r="AA83" s="211">
        <f t="shared" si="70"/>
        <v>0</v>
      </c>
      <c r="AB83" s="211">
        <f t="shared" si="70"/>
        <v>0</v>
      </c>
      <c r="AC83" s="211">
        <f t="shared" si="70"/>
        <v>0</v>
      </c>
      <c r="AD83" s="211">
        <f t="shared" si="70"/>
        <v>0</v>
      </c>
      <c r="AE83" s="211">
        <f t="shared" si="70"/>
        <v>0</v>
      </c>
      <c r="AF83" s="211">
        <f t="shared" si="70"/>
        <v>0</v>
      </c>
      <c r="AG83" s="211">
        <f t="shared" si="70"/>
        <v>0</v>
      </c>
      <c r="AH83" s="211">
        <f t="shared" si="70"/>
        <v>0</v>
      </c>
      <c r="AI83" s="211">
        <f t="shared" si="70"/>
        <v>0</v>
      </c>
      <c r="AJ83" s="211">
        <f t="shared" si="70"/>
        <v>0</v>
      </c>
      <c r="AK83" s="211">
        <f t="shared" si="70"/>
        <v>0</v>
      </c>
      <c r="AL83" s="211">
        <f t="shared" si="70"/>
        <v>0</v>
      </c>
      <c r="AM83" s="211">
        <f t="shared" si="70"/>
        <v>0</v>
      </c>
      <c r="AN83" s="211">
        <f t="shared" si="70"/>
        <v>0</v>
      </c>
    </row>
    <row r="84" spans="2:40" s="7" customFormat="1" ht="12" hidden="1" customHeight="1" outlineLevel="2">
      <c r="B84" s="245"/>
      <c r="C84" s="213" t="s">
        <v>765</v>
      </c>
      <c r="D84" s="213"/>
      <c r="E84" s="213"/>
      <c r="F84" s="213"/>
      <c r="G84" s="213"/>
      <c r="H84" s="213"/>
      <c r="I84" s="213"/>
      <c r="J84" s="213"/>
      <c r="K84" s="213"/>
      <c r="L84" s="213"/>
      <c r="M84" s="213"/>
      <c r="N84" s="213"/>
      <c r="O84" s="213"/>
      <c r="P84" s="213"/>
      <c r="Q84" s="211">
        <f>INDEX($C$44:$AN$66,MATCH("New Customers One-Time",$C$44:$C$66,0),MATCH($C84,$C$44:$AN$44,0))</f>
        <v>9.9185263157894745</v>
      </c>
      <c r="R84" s="211">
        <f t="shared" ref="R84:AN84" si="71">$Q$84*(E70)</f>
        <v>0</v>
      </c>
      <c r="S84" s="211">
        <f t="shared" si="71"/>
        <v>0</v>
      </c>
      <c r="T84" s="211">
        <f t="shared" si="71"/>
        <v>0</v>
      </c>
      <c r="U84" s="211">
        <f t="shared" si="71"/>
        <v>0</v>
      </c>
      <c r="V84" s="211">
        <f t="shared" si="71"/>
        <v>0</v>
      </c>
      <c r="W84" s="211">
        <f t="shared" si="71"/>
        <v>0</v>
      </c>
      <c r="X84" s="211">
        <f t="shared" si="71"/>
        <v>0</v>
      </c>
      <c r="Y84" s="211">
        <f t="shared" si="71"/>
        <v>0</v>
      </c>
      <c r="Z84" s="211">
        <f t="shared" si="71"/>
        <v>0</v>
      </c>
      <c r="AA84" s="211">
        <f t="shared" si="71"/>
        <v>0</v>
      </c>
      <c r="AB84" s="211">
        <f t="shared" si="71"/>
        <v>0</v>
      </c>
      <c r="AC84" s="211">
        <f t="shared" si="71"/>
        <v>0</v>
      </c>
      <c r="AD84" s="211">
        <f t="shared" si="71"/>
        <v>0</v>
      </c>
      <c r="AE84" s="211">
        <f t="shared" si="71"/>
        <v>0</v>
      </c>
      <c r="AF84" s="211">
        <f t="shared" si="71"/>
        <v>0</v>
      </c>
      <c r="AG84" s="211">
        <f t="shared" si="71"/>
        <v>0</v>
      </c>
      <c r="AH84" s="211">
        <f t="shared" si="71"/>
        <v>0</v>
      </c>
      <c r="AI84" s="211">
        <f t="shared" si="71"/>
        <v>0</v>
      </c>
      <c r="AJ84" s="211">
        <f t="shared" si="71"/>
        <v>0</v>
      </c>
      <c r="AK84" s="211">
        <f t="shared" si="71"/>
        <v>0</v>
      </c>
      <c r="AL84" s="211">
        <f t="shared" si="71"/>
        <v>0</v>
      </c>
      <c r="AM84" s="211">
        <f t="shared" si="71"/>
        <v>0</v>
      </c>
      <c r="AN84" s="211">
        <f t="shared" si="71"/>
        <v>0</v>
      </c>
    </row>
    <row r="85" spans="2:40" s="7" customFormat="1" ht="12" hidden="1" customHeight="1" outlineLevel="2">
      <c r="B85" s="245"/>
      <c r="C85" s="213" t="s">
        <v>766</v>
      </c>
      <c r="D85" s="213"/>
      <c r="E85" s="213"/>
      <c r="F85" s="213"/>
      <c r="G85" s="213"/>
      <c r="H85" s="213"/>
      <c r="I85" s="213"/>
      <c r="J85" s="213"/>
      <c r="K85" s="213"/>
      <c r="L85" s="213"/>
      <c r="M85" s="213"/>
      <c r="N85" s="213"/>
      <c r="O85" s="213"/>
      <c r="P85" s="213"/>
      <c r="Q85" s="213"/>
      <c r="R85" s="211">
        <f>INDEX($C$44:$AN$66,MATCH("New Customers One-Time",$C$44:$C$66,0),MATCH($C85,$C$44:$AN$44,0))</f>
        <v>46.41473684210527</v>
      </c>
      <c r="S85" s="211">
        <f t="shared" ref="S85:AN85" si="72">$R$85*(E70)</f>
        <v>0</v>
      </c>
      <c r="T85" s="211">
        <f t="shared" si="72"/>
        <v>0</v>
      </c>
      <c r="U85" s="211">
        <f t="shared" si="72"/>
        <v>0</v>
      </c>
      <c r="V85" s="211">
        <f t="shared" si="72"/>
        <v>0</v>
      </c>
      <c r="W85" s="211">
        <f t="shared" si="72"/>
        <v>0</v>
      </c>
      <c r="X85" s="211">
        <f t="shared" si="72"/>
        <v>0</v>
      </c>
      <c r="Y85" s="211">
        <f t="shared" si="72"/>
        <v>0</v>
      </c>
      <c r="Z85" s="211">
        <f t="shared" si="72"/>
        <v>0</v>
      </c>
      <c r="AA85" s="211">
        <f t="shared" si="72"/>
        <v>0</v>
      </c>
      <c r="AB85" s="211">
        <f t="shared" si="72"/>
        <v>0</v>
      </c>
      <c r="AC85" s="211">
        <f t="shared" si="72"/>
        <v>0</v>
      </c>
      <c r="AD85" s="211">
        <f t="shared" si="72"/>
        <v>0</v>
      </c>
      <c r="AE85" s="211">
        <f t="shared" si="72"/>
        <v>0</v>
      </c>
      <c r="AF85" s="211">
        <f t="shared" si="72"/>
        <v>0</v>
      </c>
      <c r="AG85" s="211">
        <f t="shared" si="72"/>
        <v>0</v>
      </c>
      <c r="AH85" s="211">
        <f t="shared" si="72"/>
        <v>0</v>
      </c>
      <c r="AI85" s="211">
        <f t="shared" si="72"/>
        <v>0</v>
      </c>
      <c r="AJ85" s="211">
        <f t="shared" si="72"/>
        <v>0</v>
      </c>
      <c r="AK85" s="211">
        <f t="shared" si="72"/>
        <v>0</v>
      </c>
      <c r="AL85" s="211">
        <f t="shared" si="72"/>
        <v>0</v>
      </c>
      <c r="AM85" s="211">
        <f t="shared" si="72"/>
        <v>0</v>
      </c>
      <c r="AN85" s="211">
        <f t="shared" si="72"/>
        <v>0</v>
      </c>
    </row>
    <row r="86" spans="2:40" s="7" customFormat="1" ht="12" hidden="1" customHeight="1" outlineLevel="2">
      <c r="B86" s="245"/>
      <c r="C86" s="213" t="s">
        <v>767</v>
      </c>
      <c r="D86" s="213"/>
      <c r="E86" s="213"/>
      <c r="F86" s="213"/>
      <c r="G86" s="213"/>
      <c r="H86" s="213"/>
      <c r="I86" s="213"/>
      <c r="J86" s="213"/>
      <c r="K86" s="213"/>
      <c r="L86" s="213"/>
      <c r="M86" s="213"/>
      <c r="N86" s="213"/>
      <c r="O86" s="213"/>
      <c r="P86" s="213"/>
      <c r="Q86" s="213"/>
      <c r="R86" s="213"/>
      <c r="S86" s="211">
        <f>INDEX($C$44:$AN$66,MATCH("New Customers One-Time",$C$44:$C$66,0),MATCH($C86,$C$44:$AN$44,0))</f>
        <v>38.696210526315795</v>
      </c>
      <c r="T86" s="211">
        <f t="shared" ref="T86:AN86" si="73">$S$86*(E70)</f>
        <v>0</v>
      </c>
      <c r="U86" s="211">
        <f t="shared" si="73"/>
        <v>0</v>
      </c>
      <c r="V86" s="211">
        <f t="shared" si="73"/>
        <v>0</v>
      </c>
      <c r="W86" s="211">
        <f t="shared" si="73"/>
        <v>0</v>
      </c>
      <c r="X86" s="211">
        <f t="shared" si="73"/>
        <v>0</v>
      </c>
      <c r="Y86" s="211">
        <f t="shared" si="73"/>
        <v>0</v>
      </c>
      <c r="Z86" s="211">
        <f t="shared" si="73"/>
        <v>0</v>
      </c>
      <c r="AA86" s="211">
        <f t="shared" si="73"/>
        <v>0</v>
      </c>
      <c r="AB86" s="211">
        <f t="shared" si="73"/>
        <v>0</v>
      </c>
      <c r="AC86" s="211">
        <f t="shared" si="73"/>
        <v>0</v>
      </c>
      <c r="AD86" s="211">
        <f t="shared" si="73"/>
        <v>0</v>
      </c>
      <c r="AE86" s="211">
        <f t="shared" si="73"/>
        <v>0</v>
      </c>
      <c r="AF86" s="211">
        <f t="shared" si="73"/>
        <v>0</v>
      </c>
      <c r="AG86" s="211">
        <f t="shared" si="73"/>
        <v>0</v>
      </c>
      <c r="AH86" s="211">
        <f t="shared" si="73"/>
        <v>0</v>
      </c>
      <c r="AI86" s="211">
        <f t="shared" si="73"/>
        <v>0</v>
      </c>
      <c r="AJ86" s="211">
        <f t="shared" si="73"/>
        <v>0</v>
      </c>
      <c r="AK86" s="211">
        <f t="shared" si="73"/>
        <v>0</v>
      </c>
      <c r="AL86" s="211">
        <f t="shared" si="73"/>
        <v>0</v>
      </c>
      <c r="AM86" s="211">
        <f t="shared" si="73"/>
        <v>0</v>
      </c>
      <c r="AN86" s="211">
        <f t="shared" si="73"/>
        <v>0</v>
      </c>
    </row>
    <row r="87" spans="2:40" s="7" customFormat="1" ht="12" hidden="1" customHeight="1" outlineLevel="2">
      <c r="B87" s="245"/>
      <c r="C87" s="213" t="s">
        <v>768</v>
      </c>
      <c r="D87" s="213"/>
      <c r="E87" s="213"/>
      <c r="F87" s="213"/>
      <c r="G87" s="213"/>
      <c r="H87" s="213"/>
      <c r="I87" s="213"/>
      <c r="J87" s="213"/>
      <c r="K87" s="213"/>
      <c r="L87" s="213"/>
      <c r="M87" s="213"/>
      <c r="N87" s="213"/>
      <c r="O87" s="213"/>
      <c r="P87" s="213"/>
      <c r="Q87" s="213"/>
      <c r="R87" s="213"/>
      <c r="S87" s="213"/>
      <c r="T87" s="211">
        <f>INDEX($C$44:$AN$66,MATCH("New Customers One-Time",$C$44:$C$66,0),MATCH($C87,$C$44:$AN$44,0))</f>
        <v>19.833578947368423</v>
      </c>
      <c r="U87" s="211">
        <f t="shared" ref="U87:AN87" si="74">$T$87*(E70)</f>
        <v>0</v>
      </c>
      <c r="V87" s="211">
        <f t="shared" si="74"/>
        <v>0</v>
      </c>
      <c r="W87" s="211">
        <f t="shared" si="74"/>
        <v>0</v>
      </c>
      <c r="X87" s="211">
        <f t="shared" si="74"/>
        <v>0</v>
      </c>
      <c r="Y87" s="211">
        <f t="shared" si="74"/>
        <v>0</v>
      </c>
      <c r="Z87" s="211">
        <f t="shared" si="74"/>
        <v>0</v>
      </c>
      <c r="AA87" s="211">
        <f t="shared" si="74"/>
        <v>0</v>
      </c>
      <c r="AB87" s="211">
        <f t="shared" si="74"/>
        <v>0</v>
      </c>
      <c r="AC87" s="211">
        <f t="shared" si="74"/>
        <v>0</v>
      </c>
      <c r="AD87" s="211">
        <f t="shared" si="74"/>
        <v>0</v>
      </c>
      <c r="AE87" s="211">
        <f t="shared" si="74"/>
        <v>0</v>
      </c>
      <c r="AF87" s="211">
        <f t="shared" si="74"/>
        <v>0</v>
      </c>
      <c r="AG87" s="211">
        <f t="shared" si="74"/>
        <v>0</v>
      </c>
      <c r="AH87" s="211">
        <f t="shared" si="74"/>
        <v>0</v>
      </c>
      <c r="AI87" s="211">
        <f t="shared" si="74"/>
        <v>0</v>
      </c>
      <c r="AJ87" s="211">
        <f t="shared" si="74"/>
        <v>0</v>
      </c>
      <c r="AK87" s="211">
        <f t="shared" si="74"/>
        <v>0</v>
      </c>
      <c r="AL87" s="211">
        <f t="shared" si="74"/>
        <v>0</v>
      </c>
      <c r="AM87" s="211">
        <f t="shared" si="74"/>
        <v>0</v>
      </c>
      <c r="AN87" s="211">
        <f t="shared" si="74"/>
        <v>0</v>
      </c>
    </row>
    <row r="88" spans="2:40" s="7" customFormat="1" ht="12" hidden="1" customHeight="1" outlineLevel="2">
      <c r="B88" s="245"/>
      <c r="C88" s="213" t="s">
        <v>769</v>
      </c>
      <c r="D88" s="213"/>
      <c r="E88" s="213"/>
      <c r="F88" s="213"/>
      <c r="G88" s="213"/>
      <c r="H88" s="213"/>
      <c r="I88" s="213"/>
      <c r="J88" s="213"/>
      <c r="K88" s="213"/>
      <c r="L88" s="213"/>
      <c r="M88" s="213"/>
      <c r="N88" s="213"/>
      <c r="O88" s="213"/>
      <c r="P88" s="213"/>
      <c r="Q88" s="213"/>
      <c r="R88" s="213"/>
      <c r="S88" s="213"/>
      <c r="T88" s="213"/>
      <c r="U88" s="211">
        <f>INDEX($C$44:$AN$66,MATCH("New Customers One-Time",$C$44:$C$66,0),MATCH($C88,$C$44:$AN$44,0))</f>
        <v>38.818050526315794</v>
      </c>
      <c r="V88" s="211">
        <f t="shared" ref="V88:AN88" si="75">$U$88*(E70)</f>
        <v>0</v>
      </c>
      <c r="W88" s="211">
        <f t="shared" si="75"/>
        <v>0</v>
      </c>
      <c r="X88" s="211">
        <f t="shared" si="75"/>
        <v>0</v>
      </c>
      <c r="Y88" s="211">
        <f t="shared" si="75"/>
        <v>0</v>
      </c>
      <c r="Z88" s="211">
        <f t="shared" si="75"/>
        <v>0</v>
      </c>
      <c r="AA88" s="211">
        <f t="shared" si="75"/>
        <v>0</v>
      </c>
      <c r="AB88" s="211">
        <f t="shared" si="75"/>
        <v>0</v>
      </c>
      <c r="AC88" s="211">
        <f t="shared" si="75"/>
        <v>0</v>
      </c>
      <c r="AD88" s="211">
        <f t="shared" si="75"/>
        <v>0</v>
      </c>
      <c r="AE88" s="211">
        <f t="shared" si="75"/>
        <v>0</v>
      </c>
      <c r="AF88" s="211">
        <f t="shared" si="75"/>
        <v>0</v>
      </c>
      <c r="AG88" s="211">
        <f t="shared" si="75"/>
        <v>0</v>
      </c>
      <c r="AH88" s="211">
        <f t="shared" si="75"/>
        <v>0</v>
      </c>
      <c r="AI88" s="211">
        <f t="shared" si="75"/>
        <v>0</v>
      </c>
      <c r="AJ88" s="211">
        <f t="shared" si="75"/>
        <v>0</v>
      </c>
      <c r="AK88" s="211">
        <f t="shared" si="75"/>
        <v>0</v>
      </c>
      <c r="AL88" s="211">
        <f t="shared" si="75"/>
        <v>0</v>
      </c>
      <c r="AM88" s="211">
        <f t="shared" si="75"/>
        <v>0</v>
      </c>
      <c r="AN88" s="211">
        <f t="shared" si="75"/>
        <v>0</v>
      </c>
    </row>
    <row r="89" spans="2:40" s="7" customFormat="1" ht="12" hidden="1" customHeight="1" outlineLevel="2">
      <c r="B89" s="245"/>
      <c r="C89" s="213" t="s">
        <v>770</v>
      </c>
      <c r="D89" s="213"/>
      <c r="E89" s="213"/>
      <c r="F89" s="213"/>
      <c r="G89" s="213"/>
      <c r="H89" s="213"/>
      <c r="I89" s="213"/>
      <c r="J89" s="213"/>
      <c r="K89" s="213"/>
      <c r="L89" s="213"/>
      <c r="M89" s="213"/>
      <c r="N89" s="213"/>
      <c r="O89" s="213"/>
      <c r="P89" s="213"/>
      <c r="Q89" s="213"/>
      <c r="R89" s="213"/>
      <c r="S89" s="213"/>
      <c r="T89" s="213"/>
      <c r="U89" s="213"/>
      <c r="V89" s="211">
        <f>INDEX($C$44:$AN$66,MATCH("New Customers One-Time",$C$44:$C$66,0),MATCH($C89,$C$44:$AN$44,0))</f>
        <v>51.400336842105268</v>
      </c>
      <c r="W89" s="211">
        <f t="shared" ref="W89:AN89" si="76">$V$89*(E70)</f>
        <v>0</v>
      </c>
      <c r="X89" s="211">
        <f t="shared" si="76"/>
        <v>0</v>
      </c>
      <c r="Y89" s="211">
        <f t="shared" si="76"/>
        <v>0</v>
      </c>
      <c r="Z89" s="211">
        <f t="shared" si="76"/>
        <v>0</v>
      </c>
      <c r="AA89" s="211">
        <f t="shared" si="76"/>
        <v>0</v>
      </c>
      <c r="AB89" s="211">
        <f t="shared" si="76"/>
        <v>0</v>
      </c>
      <c r="AC89" s="211">
        <f t="shared" si="76"/>
        <v>0</v>
      </c>
      <c r="AD89" s="211">
        <f t="shared" si="76"/>
        <v>0</v>
      </c>
      <c r="AE89" s="211">
        <f t="shared" si="76"/>
        <v>0</v>
      </c>
      <c r="AF89" s="211">
        <f t="shared" si="76"/>
        <v>0</v>
      </c>
      <c r="AG89" s="211">
        <f t="shared" si="76"/>
        <v>0</v>
      </c>
      <c r="AH89" s="211">
        <f t="shared" si="76"/>
        <v>0</v>
      </c>
      <c r="AI89" s="211">
        <f t="shared" si="76"/>
        <v>0</v>
      </c>
      <c r="AJ89" s="211">
        <f t="shared" si="76"/>
        <v>0</v>
      </c>
      <c r="AK89" s="211">
        <f t="shared" si="76"/>
        <v>0</v>
      </c>
      <c r="AL89" s="211">
        <f t="shared" si="76"/>
        <v>0</v>
      </c>
      <c r="AM89" s="211">
        <f t="shared" si="76"/>
        <v>0</v>
      </c>
      <c r="AN89" s="211">
        <f t="shared" si="76"/>
        <v>0</v>
      </c>
    </row>
    <row r="90" spans="2:40" s="7" customFormat="1" ht="12" hidden="1" customHeight="1" outlineLevel="2">
      <c r="B90" s="245"/>
      <c r="C90" s="213" t="s">
        <v>771</v>
      </c>
      <c r="D90" s="213"/>
      <c r="E90" s="213"/>
      <c r="F90" s="213"/>
      <c r="G90" s="213"/>
      <c r="H90" s="213"/>
      <c r="I90" s="213"/>
      <c r="J90" s="213"/>
      <c r="K90" s="213"/>
      <c r="L90" s="213"/>
      <c r="M90" s="213"/>
      <c r="N90" s="213"/>
      <c r="O90" s="213"/>
      <c r="P90" s="213"/>
      <c r="Q90" s="213"/>
      <c r="R90" s="213"/>
      <c r="S90" s="213"/>
      <c r="T90" s="213"/>
      <c r="U90" s="213"/>
      <c r="V90" s="213"/>
      <c r="W90" s="211">
        <f>INDEX($C$44:$AN$66,MATCH("New Customers One-Time",$C$44:$C$66,0),MATCH($C90,$C$44:$AN$44,0))</f>
        <v>27.369852631578944</v>
      </c>
      <c r="X90" s="211">
        <f t="shared" ref="X90:AN90" si="77">$W$90*(E70)</f>
        <v>0</v>
      </c>
      <c r="Y90" s="211">
        <f t="shared" si="77"/>
        <v>0</v>
      </c>
      <c r="Z90" s="211">
        <f t="shared" si="77"/>
        <v>0</v>
      </c>
      <c r="AA90" s="211">
        <f t="shared" si="77"/>
        <v>0</v>
      </c>
      <c r="AB90" s="211">
        <f t="shared" si="77"/>
        <v>0</v>
      </c>
      <c r="AC90" s="211">
        <f t="shared" si="77"/>
        <v>0</v>
      </c>
      <c r="AD90" s="211">
        <f t="shared" si="77"/>
        <v>0</v>
      </c>
      <c r="AE90" s="211">
        <f t="shared" si="77"/>
        <v>0</v>
      </c>
      <c r="AF90" s="211">
        <f t="shared" si="77"/>
        <v>0</v>
      </c>
      <c r="AG90" s="211">
        <f t="shared" si="77"/>
        <v>0</v>
      </c>
      <c r="AH90" s="211">
        <f t="shared" si="77"/>
        <v>0</v>
      </c>
      <c r="AI90" s="211">
        <f t="shared" si="77"/>
        <v>0</v>
      </c>
      <c r="AJ90" s="211">
        <f t="shared" si="77"/>
        <v>0</v>
      </c>
      <c r="AK90" s="211">
        <f t="shared" si="77"/>
        <v>0</v>
      </c>
      <c r="AL90" s="211">
        <f t="shared" si="77"/>
        <v>0</v>
      </c>
      <c r="AM90" s="211">
        <f t="shared" si="77"/>
        <v>0</v>
      </c>
      <c r="AN90" s="211">
        <f t="shared" si="77"/>
        <v>0</v>
      </c>
    </row>
    <row r="91" spans="2:40" s="7" customFormat="1" ht="12" hidden="1" customHeight="1" outlineLevel="2">
      <c r="B91" s="245"/>
      <c r="C91" s="213" t="s">
        <v>772</v>
      </c>
      <c r="D91" s="213"/>
      <c r="E91" s="213"/>
      <c r="F91" s="213"/>
      <c r="G91" s="213"/>
      <c r="H91" s="213"/>
      <c r="I91" s="213"/>
      <c r="J91" s="213"/>
      <c r="K91" s="213"/>
      <c r="L91" s="213"/>
      <c r="M91" s="213"/>
      <c r="N91" s="213"/>
      <c r="O91" s="213"/>
      <c r="P91" s="213"/>
      <c r="Q91" s="213"/>
      <c r="R91" s="213"/>
      <c r="S91" s="213"/>
      <c r="T91" s="213"/>
      <c r="U91" s="213"/>
      <c r="V91" s="213"/>
      <c r="W91" s="213"/>
      <c r="X91" s="211">
        <f>INDEX($C$44:$AN$66,MATCH("New Customers One-Time",$C$44:$C$66,0),MATCH($C91,$C$44:$AN$44,0))</f>
        <v>18.995494736842108</v>
      </c>
      <c r="Y91" s="211">
        <f t="shared" ref="Y91:AN91" si="78">$X$91*(E70)</f>
        <v>0</v>
      </c>
      <c r="Z91" s="211">
        <f t="shared" si="78"/>
        <v>0</v>
      </c>
      <c r="AA91" s="211">
        <f t="shared" si="78"/>
        <v>0</v>
      </c>
      <c r="AB91" s="211">
        <f t="shared" si="78"/>
        <v>0</v>
      </c>
      <c r="AC91" s="211">
        <f t="shared" si="78"/>
        <v>0</v>
      </c>
      <c r="AD91" s="211">
        <f t="shared" si="78"/>
        <v>0</v>
      </c>
      <c r="AE91" s="211">
        <f t="shared" si="78"/>
        <v>0</v>
      </c>
      <c r="AF91" s="211">
        <f t="shared" si="78"/>
        <v>0</v>
      </c>
      <c r="AG91" s="211">
        <f t="shared" si="78"/>
        <v>0</v>
      </c>
      <c r="AH91" s="211">
        <f t="shared" si="78"/>
        <v>0</v>
      </c>
      <c r="AI91" s="211">
        <f t="shared" si="78"/>
        <v>0</v>
      </c>
      <c r="AJ91" s="211">
        <f t="shared" si="78"/>
        <v>0</v>
      </c>
      <c r="AK91" s="211">
        <f t="shared" si="78"/>
        <v>0</v>
      </c>
      <c r="AL91" s="211">
        <f t="shared" si="78"/>
        <v>0</v>
      </c>
      <c r="AM91" s="211">
        <f t="shared" si="78"/>
        <v>0</v>
      </c>
      <c r="AN91" s="211">
        <f t="shared" si="78"/>
        <v>0</v>
      </c>
    </row>
    <row r="92" spans="2:40" s="7" customFormat="1" ht="12" hidden="1" customHeight="1" outlineLevel="2">
      <c r="B92" s="245"/>
      <c r="C92" s="213" t="s">
        <v>773</v>
      </c>
      <c r="D92" s="213"/>
      <c r="E92" s="213"/>
      <c r="F92" s="213"/>
      <c r="G92" s="213"/>
      <c r="H92" s="213"/>
      <c r="I92" s="213"/>
      <c r="J92" s="213"/>
      <c r="K92" s="213"/>
      <c r="L92" s="213"/>
      <c r="M92" s="213"/>
      <c r="N92" s="213"/>
      <c r="O92" s="213"/>
      <c r="P92" s="213"/>
      <c r="Q92" s="213"/>
      <c r="R92" s="213"/>
      <c r="S92" s="213"/>
      <c r="T92" s="213"/>
      <c r="U92" s="213"/>
      <c r="V92" s="213"/>
      <c r="W92" s="213"/>
      <c r="X92" s="213"/>
      <c r="Y92" s="211">
        <f>INDEX($C$44:$AN$66,MATCH("New Customers One-Time",$C$44:$C$66,0),MATCH($C92,$C$44:$AN$44,0))</f>
        <v>44.21052631578948</v>
      </c>
      <c r="Z92" s="211">
        <f t="shared" ref="Z92:AN92" si="79">$Y$92*(E70)</f>
        <v>0</v>
      </c>
      <c r="AA92" s="211">
        <f t="shared" si="79"/>
        <v>0</v>
      </c>
      <c r="AB92" s="211">
        <f t="shared" si="79"/>
        <v>0</v>
      </c>
      <c r="AC92" s="211">
        <f t="shared" si="79"/>
        <v>0</v>
      </c>
      <c r="AD92" s="211">
        <f t="shared" si="79"/>
        <v>0</v>
      </c>
      <c r="AE92" s="211">
        <f t="shared" si="79"/>
        <v>0</v>
      </c>
      <c r="AF92" s="211">
        <f t="shared" si="79"/>
        <v>0</v>
      </c>
      <c r="AG92" s="211">
        <f t="shared" si="79"/>
        <v>0</v>
      </c>
      <c r="AH92" s="211">
        <f t="shared" si="79"/>
        <v>0</v>
      </c>
      <c r="AI92" s="211">
        <f t="shared" si="79"/>
        <v>0</v>
      </c>
      <c r="AJ92" s="211">
        <f t="shared" si="79"/>
        <v>0</v>
      </c>
      <c r="AK92" s="211">
        <f t="shared" si="79"/>
        <v>0</v>
      </c>
      <c r="AL92" s="211">
        <f t="shared" si="79"/>
        <v>0</v>
      </c>
      <c r="AM92" s="211">
        <f t="shared" si="79"/>
        <v>0</v>
      </c>
      <c r="AN92" s="211">
        <f t="shared" si="79"/>
        <v>0</v>
      </c>
    </row>
    <row r="93" spans="2:40" s="7" customFormat="1" ht="12" hidden="1" customHeight="1" outlineLevel="2">
      <c r="B93" s="245"/>
      <c r="C93" s="213" t="s">
        <v>774</v>
      </c>
      <c r="D93" s="213"/>
      <c r="E93" s="213"/>
      <c r="F93" s="213"/>
      <c r="G93" s="213"/>
      <c r="H93" s="213"/>
      <c r="I93" s="213"/>
      <c r="J93" s="213"/>
      <c r="K93" s="213"/>
      <c r="L93" s="213"/>
      <c r="M93" s="213"/>
      <c r="N93" s="213"/>
      <c r="O93" s="213"/>
      <c r="P93" s="213"/>
      <c r="Q93" s="213"/>
      <c r="R93" s="213"/>
      <c r="S93" s="213"/>
      <c r="T93" s="213"/>
      <c r="U93" s="213"/>
      <c r="V93" s="213"/>
      <c r="W93" s="213"/>
      <c r="X93" s="213"/>
      <c r="Y93" s="213"/>
      <c r="Z93" s="211">
        <f>INDEX($C$44:$AN$66,MATCH("New Customers One-Time",$C$44:$C$66,0),MATCH($C93,$C$44:$AN$44,0))</f>
        <v>44.21052631578948</v>
      </c>
      <c r="AA93" s="211">
        <f t="shared" ref="AA93:AN93" si="80">$Z$93*(E70)</f>
        <v>0</v>
      </c>
      <c r="AB93" s="211">
        <f t="shared" si="80"/>
        <v>0</v>
      </c>
      <c r="AC93" s="211">
        <f t="shared" si="80"/>
        <v>0</v>
      </c>
      <c r="AD93" s="211">
        <f t="shared" si="80"/>
        <v>0</v>
      </c>
      <c r="AE93" s="211">
        <f t="shared" si="80"/>
        <v>0</v>
      </c>
      <c r="AF93" s="211">
        <f t="shared" si="80"/>
        <v>0</v>
      </c>
      <c r="AG93" s="211">
        <f t="shared" si="80"/>
        <v>0</v>
      </c>
      <c r="AH93" s="211">
        <f t="shared" si="80"/>
        <v>0</v>
      </c>
      <c r="AI93" s="211">
        <f t="shared" si="80"/>
        <v>0</v>
      </c>
      <c r="AJ93" s="211">
        <f t="shared" si="80"/>
        <v>0</v>
      </c>
      <c r="AK93" s="211">
        <f t="shared" si="80"/>
        <v>0</v>
      </c>
      <c r="AL93" s="211">
        <f t="shared" si="80"/>
        <v>0</v>
      </c>
      <c r="AM93" s="211">
        <f t="shared" si="80"/>
        <v>0</v>
      </c>
      <c r="AN93" s="211">
        <f t="shared" si="80"/>
        <v>0</v>
      </c>
    </row>
    <row r="94" spans="2:40" s="7" customFormat="1" ht="12" hidden="1" customHeight="1" outlineLevel="2">
      <c r="B94" s="245"/>
      <c r="C94" s="213" t="s">
        <v>775</v>
      </c>
      <c r="D94" s="213"/>
      <c r="E94" s="213"/>
      <c r="F94" s="213"/>
      <c r="G94" s="213"/>
      <c r="H94" s="213"/>
      <c r="I94" s="213"/>
      <c r="J94" s="213"/>
      <c r="K94" s="213"/>
      <c r="L94" s="213"/>
      <c r="M94" s="213"/>
      <c r="N94" s="213"/>
      <c r="O94" s="213"/>
      <c r="P94" s="213"/>
      <c r="Q94" s="213"/>
      <c r="R94" s="213"/>
      <c r="S94" s="213"/>
      <c r="T94" s="213"/>
      <c r="U94" s="213"/>
      <c r="V94" s="213"/>
      <c r="W94" s="213"/>
      <c r="X94" s="213"/>
      <c r="Y94" s="213"/>
      <c r="Z94" s="213"/>
      <c r="AA94" s="211">
        <f>INDEX($C$44:$AN$66,MATCH("New Customers One-Time",$C$44:$C$66,0),MATCH($C94,$C$44:$AN$44,0))</f>
        <v>23.578947368421055</v>
      </c>
      <c r="AB94" s="211">
        <f t="shared" ref="AB94:AN94" si="81">$AA$94*(E70)</f>
        <v>0</v>
      </c>
      <c r="AC94" s="211">
        <f t="shared" si="81"/>
        <v>0</v>
      </c>
      <c r="AD94" s="211">
        <f t="shared" si="81"/>
        <v>0</v>
      </c>
      <c r="AE94" s="211">
        <f t="shared" si="81"/>
        <v>0</v>
      </c>
      <c r="AF94" s="211">
        <f t="shared" si="81"/>
        <v>0</v>
      </c>
      <c r="AG94" s="211">
        <f t="shared" si="81"/>
        <v>0</v>
      </c>
      <c r="AH94" s="211">
        <f t="shared" si="81"/>
        <v>0</v>
      </c>
      <c r="AI94" s="211">
        <f t="shared" si="81"/>
        <v>0</v>
      </c>
      <c r="AJ94" s="211">
        <f t="shared" si="81"/>
        <v>0</v>
      </c>
      <c r="AK94" s="211">
        <f t="shared" si="81"/>
        <v>0</v>
      </c>
      <c r="AL94" s="211">
        <f t="shared" si="81"/>
        <v>0</v>
      </c>
      <c r="AM94" s="211">
        <f t="shared" si="81"/>
        <v>0</v>
      </c>
      <c r="AN94" s="211">
        <f t="shared" si="81"/>
        <v>0</v>
      </c>
    </row>
    <row r="95" spans="2:40" s="7" customFormat="1" ht="12" hidden="1" customHeight="1" outlineLevel="2">
      <c r="B95" s="245"/>
      <c r="C95" s="213" t="s">
        <v>776</v>
      </c>
      <c r="D95" s="213"/>
      <c r="E95" s="213"/>
      <c r="F95" s="213"/>
      <c r="G95" s="213"/>
      <c r="H95" s="213"/>
      <c r="I95" s="213"/>
      <c r="J95" s="213"/>
      <c r="K95" s="213"/>
      <c r="L95" s="213"/>
      <c r="M95" s="213"/>
      <c r="N95" s="213"/>
      <c r="O95" s="213"/>
      <c r="P95" s="213"/>
      <c r="Q95" s="213"/>
      <c r="R95" s="213"/>
      <c r="S95" s="213"/>
      <c r="T95" s="213"/>
      <c r="U95" s="213"/>
      <c r="V95" s="213"/>
      <c r="W95" s="213"/>
      <c r="X95" s="213"/>
      <c r="Y95" s="213"/>
      <c r="Z95" s="213"/>
      <c r="AA95" s="213"/>
      <c r="AB95" s="211">
        <f>INDEX($C$44:$AN$66,MATCH("New Customers One-Time",$C$44:$C$66,0),MATCH($C95,$C$44:$AN$44,0))</f>
        <v>23.578947368421055</v>
      </c>
      <c r="AC95" s="211">
        <f t="shared" ref="AC95:AN95" si="82">$AB$95*(E70)</f>
        <v>0</v>
      </c>
      <c r="AD95" s="211">
        <f t="shared" si="82"/>
        <v>0</v>
      </c>
      <c r="AE95" s="211">
        <f t="shared" si="82"/>
        <v>0</v>
      </c>
      <c r="AF95" s="211">
        <f t="shared" si="82"/>
        <v>0</v>
      </c>
      <c r="AG95" s="211">
        <f t="shared" si="82"/>
        <v>0</v>
      </c>
      <c r="AH95" s="211">
        <f t="shared" si="82"/>
        <v>0</v>
      </c>
      <c r="AI95" s="211">
        <f t="shared" si="82"/>
        <v>0</v>
      </c>
      <c r="AJ95" s="211">
        <f t="shared" si="82"/>
        <v>0</v>
      </c>
      <c r="AK95" s="211">
        <f t="shared" si="82"/>
        <v>0</v>
      </c>
      <c r="AL95" s="211">
        <f t="shared" si="82"/>
        <v>0</v>
      </c>
      <c r="AM95" s="211">
        <f t="shared" si="82"/>
        <v>0</v>
      </c>
      <c r="AN95" s="211">
        <f t="shared" si="82"/>
        <v>0</v>
      </c>
    </row>
    <row r="96" spans="2:40" s="7" customFormat="1" ht="12" hidden="1" customHeight="1" outlineLevel="2">
      <c r="B96" s="245"/>
      <c r="C96" s="213" t="s">
        <v>777</v>
      </c>
      <c r="D96" s="213"/>
      <c r="E96" s="213"/>
      <c r="F96" s="213"/>
      <c r="G96" s="213"/>
      <c r="H96" s="213"/>
      <c r="I96" s="213"/>
      <c r="J96" s="213"/>
      <c r="K96" s="213"/>
      <c r="L96" s="213"/>
      <c r="M96" s="213"/>
      <c r="N96" s="213"/>
      <c r="O96" s="213"/>
      <c r="P96" s="213"/>
      <c r="Q96" s="213"/>
      <c r="R96" s="213"/>
      <c r="S96" s="213"/>
      <c r="T96" s="213"/>
      <c r="U96" s="213"/>
      <c r="V96" s="213"/>
      <c r="W96" s="213"/>
      <c r="X96" s="213"/>
      <c r="Y96" s="213"/>
      <c r="Z96" s="213"/>
      <c r="AA96" s="213"/>
      <c r="AB96" s="211"/>
      <c r="AC96" s="211">
        <f>INDEX($C$44:$AN$66,MATCH("New Customers One-Time",$C$44:$C$66,0),MATCH($C96,$C$44:$AN$44,0))</f>
        <v>15.869642105263161</v>
      </c>
      <c r="AD96" s="211">
        <f t="shared" ref="AD96:AN96" si="83">$AC$96*(E70)</f>
        <v>0</v>
      </c>
      <c r="AE96" s="211">
        <f t="shared" si="83"/>
        <v>0</v>
      </c>
      <c r="AF96" s="211">
        <f t="shared" si="83"/>
        <v>0</v>
      </c>
      <c r="AG96" s="211">
        <f t="shared" si="83"/>
        <v>0</v>
      </c>
      <c r="AH96" s="211">
        <f t="shared" si="83"/>
        <v>0</v>
      </c>
      <c r="AI96" s="211">
        <f t="shared" si="83"/>
        <v>0</v>
      </c>
      <c r="AJ96" s="211">
        <f t="shared" si="83"/>
        <v>0</v>
      </c>
      <c r="AK96" s="211">
        <f t="shared" si="83"/>
        <v>0</v>
      </c>
      <c r="AL96" s="211">
        <f t="shared" si="83"/>
        <v>0</v>
      </c>
      <c r="AM96" s="211">
        <f t="shared" si="83"/>
        <v>0</v>
      </c>
      <c r="AN96" s="211">
        <f t="shared" si="83"/>
        <v>0</v>
      </c>
    </row>
    <row r="97" spans="2:40" s="7" customFormat="1" ht="12" hidden="1" customHeight="1" outlineLevel="2">
      <c r="B97" s="245"/>
      <c r="C97" s="213" t="s">
        <v>778</v>
      </c>
      <c r="D97" s="213"/>
      <c r="E97" s="213"/>
      <c r="F97" s="213"/>
      <c r="G97" s="213"/>
      <c r="H97" s="213"/>
      <c r="I97" s="213"/>
      <c r="J97" s="213"/>
      <c r="K97" s="213"/>
      <c r="L97" s="213"/>
      <c r="M97" s="213"/>
      <c r="N97" s="213"/>
      <c r="O97" s="213"/>
      <c r="P97" s="213"/>
      <c r="Q97" s="213"/>
      <c r="R97" s="213"/>
      <c r="S97" s="213"/>
      <c r="T97" s="213"/>
      <c r="U97" s="213"/>
      <c r="V97" s="213"/>
      <c r="W97" s="213"/>
      <c r="X97" s="213"/>
      <c r="Y97" s="213"/>
      <c r="Z97" s="213"/>
      <c r="AA97" s="213"/>
      <c r="AB97" s="211"/>
      <c r="AC97" s="211"/>
      <c r="AD97" s="211">
        <f>INDEX($C$44:$AN$66,MATCH("New Customers One-Time",$C$44:$C$66,0),MATCH($C97,$C$44:$AN$44,0))</f>
        <v>74.26357894736843</v>
      </c>
      <c r="AE97" s="211">
        <f t="shared" ref="AE97:AN97" si="84">$AD$97*(E70)</f>
        <v>0</v>
      </c>
      <c r="AF97" s="211">
        <f t="shared" si="84"/>
        <v>0</v>
      </c>
      <c r="AG97" s="211">
        <f t="shared" si="84"/>
        <v>0</v>
      </c>
      <c r="AH97" s="211">
        <f t="shared" si="84"/>
        <v>0</v>
      </c>
      <c r="AI97" s="211">
        <f t="shared" si="84"/>
        <v>0</v>
      </c>
      <c r="AJ97" s="211">
        <f t="shared" si="84"/>
        <v>0</v>
      </c>
      <c r="AK97" s="211">
        <f t="shared" si="84"/>
        <v>0</v>
      </c>
      <c r="AL97" s="211">
        <f t="shared" si="84"/>
        <v>0</v>
      </c>
      <c r="AM97" s="211">
        <f t="shared" si="84"/>
        <v>0</v>
      </c>
      <c r="AN97" s="211">
        <f t="shared" si="84"/>
        <v>0</v>
      </c>
    </row>
    <row r="98" spans="2:40" s="7" customFormat="1" ht="12" hidden="1" customHeight="1" outlineLevel="2">
      <c r="B98" s="245"/>
      <c r="C98" s="213" t="s">
        <v>779</v>
      </c>
      <c r="D98" s="213"/>
      <c r="E98" s="213"/>
      <c r="F98" s="213"/>
      <c r="G98" s="213"/>
      <c r="H98" s="213"/>
      <c r="I98" s="213"/>
      <c r="J98" s="213"/>
      <c r="K98" s="213"/>
      <c r="L98" s="213"/>
      <c r="M98" s="213"/>
      <c r="N98" s="213"/>
      <c r="O98" s="213"/>
      <c r="P98" s="213"/>
      <c r="Q98" s="213"/>
      <c r="R98" s="213"/>
      <c r="S98" s="213"/>
      <c r="T98" s="213"/>
      <c r="U98" s="213"/>
      <c r="V98" s="213"/>
      <c r="W98" s="213"/>
      <c r="X98" s="213"/>
      <c r="Y98" s="213"/>
      <c r="Z98" s="213"/>
      <c r="AA98" s="213"/>
      <c r="AB98" s="211"/>
      <c r="AC98" s="211"/>
      <c r="AD98" s="211"/>
      <c r="AE98" s="211">
        <f>INDEX($C$44:$AN$66,MATCH("New Customers One-Time",$C$44:$C$66,0),MATCH($C98,$C$44:$AN$44,0))</f>
        <v>61.913936842105272</v>
      </c>
      <c r="AF98" s="211">
        <f t="shared" ref="AF98:AN98" si="85">$AE$98*(E70)</f>
        <v>0</v>
      </c>
      <c r="AG98" s="211">
        <f t="shared" si="85"/>
        <v>0</v>
      </c>
      <c r="AH98" s="211">
        <f t="shared" si="85"/>
        <v>0</v>
      </c>
      <c r="AI98" s="211">
        <f t="shared" si="85"/>
        <v>0</v>
      </c>
      <c r="AJ98" s="211">
        <f t="shared" si="85"/>
        <v>0</v>
      </c>
      <c r="AK98" s="211">
        <f t="shared" si="85"/>
        <v>0</v>
      </c>
      <c r="AL98" s="211">
        <f t="shared" si="85"/>
        <v>0</v>
      </c>
      <c r="AM98" s="211">
        <f t="shared" si="85"/>
        <v>0</v>
      </c>
      <c r="AN98" s="211">
        <f t="shared" si="85"/>
        <v>0</v>
      </c>
    </row>
    <row r="99" spans="2:40" s="7" customFormat="1" ht="12" hidden="1" customHeight="1" outlineLevel="2">
      <c r="B99" s="245"/>
      <c r="C99" s="213" t="s">
        <v>780</v>
      </c>
      <c r="D99" s="213"/>
      <c r="E99" s="213"/>
      <c r="F99" s="213"/>
      <c r="G99" s="213"/>
      <c r="H99" s="213"/>
      <c r="I99" s="213"/>
      <c r="J99" s="213"/>
      <c r="K99" s="213"/>
      <c r="L99" s="213"/>
      <c r="M99" s="213"/>
      <c r="N99" s="213"/>
      <c r="O99" s="213"/>
      <c r="P99" s="213"/>
      <c r="Q99" s="213"/>
      <c r="R99" s="213"/>
      <c r="S99" s="213"/>
      <c r="T99" s="213"/>
      <c r="U99" s="213"/>
      <c r="V99" s="213"/>
      <c r="W99" s="213"/>
      <c r="X99" s="213"/>
      <c r="Y99" s="213"/>
      <c r="Z99" s="213"/>
      <c r="AA99" s="213"/>
      <c r="AB99" s="211"/>
      <c r="AC99" s="211"/>
      <c r="AD99" s="211"/>
      <c r="AE99" s="211"/>
      <c r="AF99" s="211">
        <f>INDEX($C$44:$AN$66,MATCH("New Customers One-Time",$C$44:$C$66,0),MATCH($C99,$C$44:$AN$44,0))</f>
        <v>22.666947368421063</v>
      </c>
      <c r="AG99" s="211">
        <f t="shared" ref="AG99:AN99" si="86">$AF$99*(E70)</f>
        <v>0</v>
      </c>
      <c r="AH99" s="211">
        <f t="shared" si="86"/>
        <v>0</v>
      </c>
      <c r="AI99" s="211">
        <f t="shared" si="86"/>
        <v>0</v>
      </c>
      <c r="AJ99" s="211">
        <f t="shared" si="86"/>
        <v>0</v>
      </c>
      <c r="AK99" s="211">
        <f t="shared" si="86"/>
        <v>0</v>
      </c>
      <c r="AL99" s="211">
        <f t="shared" si="86"/>
        <v>0</v>
      </c>
      <c r="AM99" s="211">
        <f t="shared" si="86"/>
        <v>0</v>
      </c>
      <c r="AN99" s="211">
        <f t="shared" si="86"/>
        <v>0</v>
      </c>
    </row>
    <row r="100" spans="2:40" s="7" customFormat="1" ht="12" hidden="1" customHeight="1" outlineLevel="2">
      <c r="B100" s="245"/>
      <c r="C100" s="213" t="s">
        <v>781</v>
      </c>
      <c r="D100" s="213"/>
      <c r="E100" s="213"/>
      <c r="F100" s="213"/>
      <c r="G100" s="213"/>
      <c r="H100" s="213"/>
      <c r="I100" s="213"/>
      <c r="J100" s="213"/>
      <c r="K100" s="213"/>
      <c r="L100" s="213"/>
      <c r="M100" s="213"/>
      <c r="N100" s="213"/>
      <c r="O100" s="213"/>
      <c r="P100" s="213"/>
      <c r="Q100" s="213"/>
      <c r="R100" s="213"/>
      <c r="S100" s="213"/>
      <c r="T100" s="213"/>
      <c r="U100" s="213"/>
      <c r="V100" s="213"/>
      <c r="W100" s="213"/>
      <c r="X100" s="213"/>
      <c r="Y100" s="213"/>
      <c r="Z100" s="213"/>
      <c r="AA100" s="213"/>
      <c r="AB100" s="211"/>
      <c r="AC100" s="211"/>
      <c r="AD100" s="211"/>
      <c r="AE100" s="211"/>
      <c r="AF100" s="211"/>
      <c r="AG100" s="211">
        <f>INDEX($C$44:$AN$66,MATCH("New Customers One-Time",$C$44:$C$66,0),MATCH($C100,$C$44:$AN$44,0))</f>
        <v>40.330442105263167</v>
      </c>
      <c r="AH100" s="211">
        <f t="shared" ref="AH100:AN100" si="87">$AG$100*(E70)</f>
        <v>0</v>
      </c>
      <c r="AI100" s="211">
        <f t="shared" si="87"/>
        <v>0</v>
      </c>
      <c r="AJ100" s="211">
        <f t="shared" si="87"/>
        <v>0</v>
      </c>
      <c r="AK100" s="211">
        <f t="shared" si="87"/>
        <v>0</v>
      </c>
      <c r="AL100" s="211">
        <f t="shared" si="87"/>
        <v>0</v>
      </c>
      <c r="AM100" s="211">
        <f t="shared" si="87"/>
        <v>0</v>
      </c>
      <c r="AN100" s="211">
        <f t="shared" si="87"/>
        <v>0</v>
      </c>
    </row>
    <row r="101" spans="2:40" s="7" customFormat="1" ht="12" hidden="1" customHeight="1" outlineLevel="2">
      <c r="B101" s="245"/>
      <c r="C101" s="213" t="s">
        <v>782</v>
      </c>
      <c r="D101" s="213"/>
      <c r="E101" s="213"/>
      <c r="F101" s="213"/>
      <c r="G101" s="213"/>
      <c r="H101" s="213"/>
      <c r="I101" s="213"/>
      <c r="J101" s="213"/>
      <c r="K101" s="213"/>
      <c r="L101" s="213"/>
      <c r="M101" s="213"/>
      <c r="N101" s="213"/>
      <c r="O101" s="213"/>
      <c r="P101" s="213"/>
      <c r="Q101" s="213"/>
      <c r="R101" s="213"/>
      <c r="S101" s="213"/>
      <c r="T101" s="213"/>
      <c r="U101" s="213"/>
      <c r="V101" s="213"/>
      <c r="W101" s="213"/>
      <c r="X101" s="213"/>
      <c r="Y101" s="213"/>
      <c r="Z101" s="213"/>
      <c r="AA101" s="213"/>
      <c r="AB101" s="211"/>
      <c r="AC101" s="211"/>
      <c r="AD101" s="211"/>
      <c r="AE101" s="211"/>
      <c r="AF101" s="211"/>
      <c r="AG101" s="211"/>
      <c r="AH101" s="211">
        <f>INDEX($C$44:$AN$66,MATCH("New Customers One-Time",$C$44:$C$66,0),MATCH($C101,$C$44:$AN$44,0))</f>
        <v>53.402947368421053</v>
      </c>
      <c r="AI101" s="211">
        <f t="shared" ref="AI101:AN101" si="88">$AH$101*(E70)</f>
        <v>0</v>
      </c>
      <c r="AJ101" s="211">
        <f t="shared" si="88"/>
        <v>0</v>
      </c>
      <c r="AK101" s="211">
        <f t="shared" si="88"/>
        <v>0</v>
      </c>
      <c r="AL101" s="211">
        <f t="shared" si="88"/>
        <v>0</v>
      </c>
      <c r="AM101" s="211">
        <f t="shared" si="88"/>
        <v>0</v>
      </c>
      <c r="AN101" s="211">
        <f t="shared" si="88"/>
        <v>0</v>
      </c>
    </row>
    <row r="102" spans="2:40" s="7" customFormat="1" ht="12" hidden="1" customHeight="1" outlineLevel="2">
      <c r="B102" s="245"/>
      <c r="C102" s="213" t="s">
        <v>783</v>
      </c>
      <c r="D102" s="213"/>
      <c r="E102" s="213"/>
      <c r="F102" s="213"/>
      <c r="G102" s="213"/>
      <c r="H102" s="213"/>
      <c r="I102" s="213"/>
      <c r="J102" s="213"/>
      <c r="K102" s="213"/>
      <c r="L102" s="213"/>
      <c r="M102" s="213"/>
      <c r="N102" s="213"/>
      <c r="O102" s="213"/>
      <c r="P102" s="213"/>
      <c r="Q102" s="213"/>
      <c r="R102" s="213"/>
      <c r="S102" s="213"/>
      <c r="T102" s="213"/>
      <c r="U102" s="213"/>
      <c r="V102" s="213"/>
      <c r="W102" s="213"/>
      <c r="X102" s="213"/>
      <c r="Y102" s="213"/>
      <c r="Z102" s="213"/>
      <c r="AA102" s="213"/>
      <c r="AB102" s="211"/>
      <c r="AC102" s="211"/>
      <c r="AD102" s="211"/>
      <c r="AE102" s="211"/>
      <c r="AF102" s="211"/>
      <c r="AG102" s="211"/>
      <c r="AH102" s="211"/>
      <c r="AI102" s="211">
        <f>INDEX($C$44:$AN$66,MATCH("New Customers One-Time",$C$44:$C$66,0),MATCH($C102,$C$44:$AN$44,0))</f>
        <v>28.43621052631579</v>
      </c>
      <c r="AJ102" s="211">
        <f>$AI$102*(E70)</f>
        <v>0</v>
      </c>
      <c r="AK102" s="211">
        <f>$AI$102*(F70)</f>
        <v>0</v>
      </c>
      <c r="AL102" s="211">
        <f>$AI$102*(G70)</f>
        <v>0</v>
      </c>
      <c r="AM102" s="211">
        <f>$AI$102*(H70)</f>
        <v>0</v>
      </c>
      <c r="AN102" s="211">
        <f>$AI$102*(I70)</f>
        <v>0</v>
      </c>
    </row>
    <row r="103" spans="2:40" s="7" customFormat="1" ht="12" hidden="1" customHeight="1" outlineLevel="2">
      <c r="B103" s="245"/>
      <c r="C103" s="213" t="s">
        <v>784</v>
      </c>
      <c r="D103" s="213"/>
      <c r="E103" s="213"/>
      <c r="F103" s="213"/>
      <c r="G103" s="213"/>
      <c r="H103" s="213"/>
      <c r="I103" s="213"/>
      <c r="J103" s="213"/>
      <c r="K103" s="213"/>
      <c r="L103" s="213"/>
      <c r="M103" s="213"/>
      <c r="N103" s="213"/>
      <c r="O103" s="213"/>
      <c r="P103" s="213"/>
      <c r="Q103" s="213"/>
      <c r="R103" s="213"/>
      <c r="S103" s="213"/>
      <c r="T103" s="213"/>
      <c r="U103" s="213"/>
      <c r="V103" s="213"/>
      <c r="W103" s="213"/>
      <c r="X103" s="213"/>
      <c r="Y103" s="213"/>
      <c r="Z103" s="213"/>
      <c r="AA103" s="213"/>
      <c r="AB103" s="211"/>
      <c r="AC103" s="211"/>
      <c r="AD103" s="211"/>
      <c r="AE103" s="211"/>
      <c r="AF103" s="211"/>
      <c r="AG103" s="211"/>
      <c r="AH103" s="211"/>
      <c r="AI103" s="211"/>
      <c r="AJ103" s="211">
        <f>INDEX($C$44:$AN$66,MATCH("New Customers One-Time",$C$44:$C$66,0),MATCH($C103,$C$44:$AN$44,0))</f>
        <v>19.735578947368424</v>
      </c>
      <c r="AK103" s="211">
        <f>$AJ$103*(E70)</f>
        <v>0</v>
      </c>
      <c r="AL103" s="211">
        <f>$AJ$103*(F70)</f>
        <v>0</v>
      </c>
      <c r="AM103" s="211">
        <f>$AJ$103*(G70)</f>
        <v>0</v>
      </c>
      <c r="AN103" s="211">
        <f>$AJ$103*(H70)</f>
        <v>0</v>
      </c>
    </row>
    <row r="104" spans="2:40" s="7" customFormat="1" ht="12" hidden="1" customHeight="1" outlineLevel="2">
      <c r="B104" s="245"/>
      <c r="C104" s="213" t="s">
        <v>785</v>
      </c>
      <c r="D104" s="213"/>
      <c r="E104" s="213"/>
      <c r="F104" s="213"/>
      <c r="G104" s="213"/>
      <c r="H104" s="213"/>
      <c r="I104" s="213"/>
      <c r="J104" s="213"/>
      <c r="K104" s="213"/>
      <c r="L104" s="213"/>
      <c r="M104" s="213"/>
      <c r="N104" s="213"/>
      <c r="O104" s="213"/>
      <c r="P104" s="213"/>
      <c r="Q104" s="213"/>
      <c r="R104" s="213"/>
      <c r="S104" s="213"/>
      <c r="T104" s="213"/>
      <c r="U104" s="213"/>
      <c r="V104" s="213"/>
      <c r="W104" s="213"/>
      <c r="X104" s="213"/>
      <c r="Y104" s="213"/>
      <c r="Z104" s="213"/>
      <c r="AA104" s="213"/>
      <c r="AB104" s="211"/>
      <c r="AC104" s="211"/>
      <c r="AD104" s="211"/>
      <c r="AE104" s="211"/>
      <c r="AF104" s="211"/>
      <c r="AG104" s="211"/>
      <c r="AH104" s="211"/>
      <c r="AI104" s="211"/>
      <c r="AJ104" s="211"/>
      <c r="AK104" s="211">
        <f>INDEX($C$44:$AN$66,MATCH("New Customers One-Time",$C$44:$C$66,0),MATCH($C104,$C$44:$AN$44,0))</f>
        <v>50.526315789473685</v>
      </c>
      <c r="AL104" s="211">
        <f>$AK$104*(E70)</f>
        <v>0</v>
      </c>
      <c r="AM104" s="211">
        <f>$AK$104*(F70)</f>
        <v>0</v>
      </c>
      <c r="AN104" s="211">
        <f>$AK$104*(G70)</f>
        <v>0</v>
      </c>
    </row>
    <row r="105" spans="2:40" s="7" customFormat="1" ht="12" hidden="1" customHeight="1" outlineLevel="2">
      <c r="B105" s="245"/>
      <c r="C105" s="213" t="s">
        <v>786</v>
      </c>
      <c r="D105" s="213"/>
      <c r="E105" s="213"/>
      <c r="F105" s="213"/>
      <c r="G105" s="213"/>
      <c r="H105" s="213"/>
      <c r="I105" s="213"/>
      <c r="J105" s="213"/>
      <c r="K105" s="213"/>
      <c r="L105" s="213"/>
      <c r="M105" s="213"/>
      <c r="N105" s="213"/>
      <c r="O105" s="213"/>
      <c r="P105" s="213"/>
      <c r="Q105" s="213"/>
      <c r="R105" s="213"/>
      <c r="S105" s="213"/>
      <c r="T105" s="213"/>
      <c r="U105" s="213"/>
      <c r="V105" s="213"/>
      <c r="W105" s="213"/>
      <c r="X105" s="213"/>
      <c r="Y105" s="213"/>
      <c r="Z105" s="213"/>
      <c r="AA105" s="213"/>
      <c r="AB105" s="211"/>
      <c r="AC105" s="211"/>
      <c r="AD105" s="211"/>
      <c r="AE105" s="211"/>
      <c r="AF105" s="211"/>
      <c r="AG105" s="211"/>
      <c r="AH105" s="211"/>
      <c r="AI105" s="211"/>
      <c r="AJ105" s="211"/>
      <c r="AK105" s="211"/>
      <c r="AL105" s="211">
        <f>INDEX($C$44:$AN$66,MATCH("New Customers One-Time",$C$44:$C$66,0),MATCH($C105,$C$44:$AN$44,0))</f>
        <v>50.526315789473685</v>
      </c>
      <c r="AM105" s="211">
        <f>$AL$105*(E70)</f>
        <v>0</v>
      </c>
      <c r="AN105" s="211">
        <f>$AL$105*(F70)</f>
        <v>0</v>
      </c>
    </row>
    <row r="106" spans="2:40" s="7" customFormat="1" ht="12" hidden="1" customHeight="1" outlineLevel="2">
      <c r="B106" s="245"/>
      <c r="C106" s="213" t="s">
        <v>787</v>
      </c>
      <c r="D106" s="213"/>
      <c r="E106" s="213"/>
      <c r="F106" s="213"/>
      <c r="G106" s="213"/>
      <c r="H106" s="213"/>
      <c r="I106" s="213"/>
      <c r="J106" s="213"/>
      <c r="K106" s="213"/>
      <c r="L106" s="213"/>
      <c r="M106" s="213"/>
      <c r="N106" s="213"/>
      <c r="O106" s="213"/>
      <c r="P106" s="213"/>
      <c r="Q106" s="213"/>
      <c r="R106" s="213"/>
      <c r="S106" s="213"/>
      <c r="T106" s="213"/>
      <c r="U106" s="213"/>
      <c r="V106" s="213"/>
      <c r="W106" s="213"/>
      <c r="X106" s="213"/>
      <c r="Y106" s="213"/>
      <c r="Z106" s="213"/>
      <c r="AA106" s="213"/>
      <c r="AB106" s="211"/>
      <c r="AC106" s="211"/>
      <c r="AD106" s="211"/>
      <c r="AE106" s="211"/>
      <c r="AF106" s="211"/>
      <c r="AG106" s="211"/>
      <c r="AH106" s="211"/>
      <c r="AI106" s="211"/>
      <c r="AJ106" s="211"/>
      <c r="AK106" s="211"/>
      <c r="AL106" s="211"/>
      <c r="AM106" s="211">
        <f>INDEX($C$44:$AN$66,MATCH("New Customers One-Time",$C$44:$C$66,0),MATCH($C106,$C$44:$AN$44,0))</f>
        <v>26.94736842105263</v>
      </c>
      <c r="AN106" s="211">
        <f>$AM$106*(E70)</f>
        <v>0</v>
      </c>
    </row>
    <row r="107" spans="2:40" s="7" customFormat="1" ht="12" hidden="1" customHeight="1" outlineLevel="2">
      <c r="B107" s="245"/>
      <c r="C107" s="213" t="s">
        <v>788</v>
      </c>
      <c r="D107" s="213"/>
      <c r="E107" s="213"/>
      <c r="F107" s="213"/>
      <c r="G107" s="213"/>
      <c r="H107" s="213"/>
      <c r="I107" s="213"/>
      <c r="J107" s="213"/>
      <c r="K107" s="213"/>
      <c r="L107" s="213"/>
      <c r="M107" s="213"/>
      <c r="N107" s="213"/>
      <c r="O107" s="213"/>
      <c r="P107" s="213"/>
      <c r="Q107" s="213"/>
      <c r="R107" s="213"/>
      <c r="S107" s="213"/>
      <c r="T107" s="213"/>
      <c r="U107" s="213"/>
      <c r="V107" s="213"/>
      <c r="W107" s="213"/>
      <c r="X107" s="213"/>
      <c r="Y107" s="213"/>
      <c r="Z107" s="213"/>
      <c r="AA107" s="213"/>
      <c r="AB107" s="211"/>
      <c r="AC107" s="211"/>
      <c r="AD107" s="211"/>
      <c r="AE107" s="211"/>
      <c r="AF107" s="211"/>
      <c r="AG107" s="211"/>
      <c r="AH107" s="211"/>
      <c r="AI107" s="211"/>
      <c r="AJ107" s="211"/>
      <c r="AK107" s="211"/>
      <c r="AL107" s="211"/>
      <c r="AM107" s="211"/>
      <c r="AN107" s="211">
        <f>INDEX($C$44:$AN$66,MATCH("New Customers One-Time",$C$44:$C$66,0),MATCH($C107,$C$44:$AN$44,0))</f>
        <v>26.94736842105263</v>
      </c>
    </row>
    <row r="108" spans="2:40" s="7" customFormat="1" ht="12" hidden="1" customHeight="1" outlineLevel="2">
      <c r="B108" s="245"/>
      <c r="C108" s="213"/>
      <c r="D108" s="213"/>
      <c r="E108" s="213"/>
      <c r="F108" s="213"/>
      <c r="G108" s="213"/>
      <c r="H108" s="213"/>
      <c r="I108" s="213"/>
      <c r="J108" s="213"/>
      <c r="K108" s="213"/>
      <c r="L108" s="213"/>
      <c r="M108" s="213"/>
      <c r="N108" s="213"/>
      <c r="O108" s="213"/>
      <c r="P108" s="213"/>
      <c r="Q108" s="213"/>
      <c r="R108" s="213"/>
      <c r="S108" s="213"/>
      <c r="T108" s="213"/>
      <c r="U108" s="213"/>
      <c r="V108" s="213"/>
      <c r="W108" s="213"/>
      <c r="X108" s="213"/>
      <c r="Y108" s="213"/>
      <c r="Z108" s="213"/>
      <c r="AA108" s="213"/>
      <c r="AB108" s="211"/>
      <c r="AC108" s="211"/>
      <c r="AD108" s="211"/>
      <c r="AE108" s="211"/>
      <c r="AF108" s="211"/>
      <c r="AG108" s="211"/>
      <c r="AH108" s="211"/>
      <c r="AI108" s="211"/>
      <c r="AJ108" s="211"/>
      <c r="AK108" s="211"/>
      <c r="AL108" s="211"/>
      <c r="AM108" s="211"/>
      <c r="AN108" s="211"/>
    </row>
    <row r="109" spans="2:40" s="7" customFormat="1" ht="12" hidden="1" customHeight="1" outlineLevel="2">
      <c r="B109" s="245"/>
      <c r="C109" s="243" t="s">
        <v>853</v>
      </c>
      <c r="D109" s="213"/>
      <c r="E109" s="213"/>
      <c r="F109" s="213"/>
      <c r="G109" s="213"/>
      <c r="H109" s="213"/>
      <c r="I109" s="213"/>
      <c r="J109" s="213"/>
      <c r="K109" s="213"/>
      <c r="L109" s="213"/>
      <c r="M109" s="213"/>
      <c r="N109" s="213"/>
      <c r="O109" s="213"/>
      <c r="P109" s="213"/>
      <c r="Q109" s="213"/>
      <c r="R109" s="213"/>
      <c r="S109" s="213"/>
      <c r="T109" s="213"/>
      <c r="U109" s="213"/>
      <c r="V109" s="213"/>
      <c r="W109" s="213"/>
      <c r="X109" s="213"/>
      <c r="Y109" s="213"/>
      <c r="Z109" s="213"/>
      <c r="AA109" s="213"/>
      <c r="AB109" s="213"/>
      <c r="AC109" s="211"/>
    </row>
    <row r="110" spans="2:40" s="7" customFormat="1" ht="12" hidden="1" customHeight="1" outlineLevel="2">
      <c r="B110" s="239"/>
      <c r="C110" s="214" t="s">
        <v>850</v>
      </c>
      <c r="D110" s="214"/>
      <c r="E110" s="196" t="s">
        <v>753</v>
      </c>
      <c r="F110" s="196" t="s">
        <v>754</v>
      </c>
      <c r="G110" s="196" t="s">
        <v>755</v>
      </c>
      <c r="H110" s="196" t="s">
        <v>756</v>
      </c>
      <c r="I110" s="196" t="s">
        <v>757</v>
      </c>
      <c r="J110" s="196" t="s">
        <v>758</v>
      </c>
      <c r="K110" s="196" t="s">
        <v>759</v>
      </c>
      <c r="L110" s="196" t="s">
        <v>760</v>
      </c>
      <c r="M110" s="196" t="s">
        <v>761</v>
      </c>
      <c r="N110" s="196" t="s">
        <v>762</v>
      </c>
      <c r="O110" s="196" t="s">
        <v>763</v>
      </c>
      <c r="P110" s="196" t="s">
        <v>764</v>
      </c>
      <c r="Q110" s="196" t="s">
        <v>765</v>
      </c>
      <c r="R110" s="196" t="s">
        <v>766</v>
      </c>
      <c r="S110" s="196" t="s">
        <v>767</v>
      </c>
      <c r="T110" s="196" t="s">
        <v>768</v>
      </c>
      <c r="U110" s="196" t="s">
        <v>769</v>
      </c>
      <c r="V110" s="196" t="s">
        <v>770</v>
      </c>
      <c r="W110" s="196" t="s">
        <v>771</v>
      </c>
      <c r="X110" s="196" t="s">
        <v>772</v>
      </c>
      <c r="Y110" s="196" t="s">
        <v>773</v>
      </c>
      <c r="Z110" s="196" t="s">
        <v>774</v>
      </c>
      <c r="AA110" s="196" t="s">
        <v>775</v>
      </c>
      <c r="AB110" s="196" t="s">
        <v>776</v>
      </c>
      <c r="AC110" s="196" t="s">
        <v>777</v>
      </c>
      <c r="AD110" s="196" t="s">
        <v>778</v>
      </c>
      <c r="AE110" s="196" t="s">
        <v>779</v>
      </c>
      <c r="AF110" s="196" t="s">
        <v>780</v>
      </c>
      <c r="AG110" s="196" t="s">
        <v>781</v>
      </c>
      <c r="AH110" s="196" t="s">
        <v>782</v>
      </c>
      <c r="AI110" s="196" t="s">
        <v>783</v>
      </c>
      <c r="AJ110" s="196" t="s">
        <v>784</v>
      </c>
      <c r="AK110" s="196" t="s">
        <v>785</v>
      </c>
      <c r="AL110" s="196" t="s">
        <v>786</v>
      </c>
      <c r="AM110" s="196" t="s">
        <v>787</v>
      </c>
      <c r="AN110" s="196" t="s">
        <v>788</v>
      </c>
    </row>
    <row r="111" spans="2:40" s="7" customFormat="1" ht="12" hidden="1" customHeight="1" outlineLevel="2">
      <c r="B111" s="239"/>
      <c r="C111" s="247" t="s">
        <v>851</v>
      </c>
      <c r="D111" s="340"/>
      <c r="E111" s="344">
        <v>0.8</v>
      </c>
      <c r="F111" s="344">
        <v>0.75</v>
      </c>
      <c r="G111" s="344">
        <v>0.6</v>
      </c>
      <c r="H111" s="344">
        <v>0.5</v>
      </c>
      <c r="I111" s="344">
        <v>0.3</v>
      </c>
      <c r="J111" s="344">
        <v>0.25</v>
      </c>
      <c r="K111" s="344">
        <v>0.2</v>
      </c>
      <c r="L111" s="344">
        <v>0.18</v>
      </c>
      <c r="M111" s="344">
        <v>0.16</v>
      </c>
      <c r="N111" s="344">
        <v>0.15</v>
      </c>
      <c r="O111" s="344">
        <v>0.14000000000000001</v>
      </c>
      <c r="P111" s="344">
        <v>0.12</v>
      </c>
      <c r="Q111" s="344">
        <v>0.12</v>
      </c>
      <c r="R111" s="344">
        <v>0.12</v>
      </c>
      <c r="S111" s="344">
        <v>0.11</v>
      </c>
      <c r="T111" s="344">
        <v>0.11</v>
      </c>
      <c r="U111" s="344">
        <v>0.1</v>
      </c>
      <c r="V111" s="344">
        <v>0.09</v>
      </c>
      <c r="W111" s="344">
        <v>0.09</v>
      </c>
      <c r="X111" s="344">
        <v>0.08</v>
      </c>
      <c r="Y111" s="344">
        <v>0.08</v>
      </c>
      <c r="Z111" s="344">
        <v>7.0000000000000007E-2</v>
      </c>
      <c r="AA111" s="344">
        <v>7.0000000000000007E-2</v>
      </c>
      <c r="AB111" s="344">
        <v>0.06</v>
      </c>
      <c r="AC111" s="344">
        <v>0.15</v>
      </c>
      <c r="AD111" s="344">
        <v>0.15</v>
      </c>
      <c r="AE111" s="344">
        <v>0.15</v>
      </c>
      <c r="AF111" s="344">
        <v>0.15</v>
      </c>
      <c r="AG111" s="344">
        <v>0.15</v>
      </c>
      <c r="AH111" s="344">
        <v>0.15</v>
      </c>
      <c r="AI111" s="344">
        <v>0.15</v>
      </c>
      <c r="AJ111" s="344">
        <v>0.15</v>
      </c>
      <c r="AK111" s="344">
        <v>0.15</v>
      </c>
      <c r="AL111" s="344">
        <v>0.15</v>
      </c>
      <c r="AM111" s="344">
        <v>0.15</v>
      </c>
      <c r="AN111" s="344">
        <v>0.15</v>
      </c>
    </row>
    <row r="112" spans="2:40" s="7" customFormat="1" ht="12" hidden="1" customHeight="1" outlineLevel="2">
      <c r="B112" s="239"/>
      <c r="C112" s="214" t="s">
        <v>852</v>
      </c>
      <c r="D112" s="212"/>
      <c r="E112" s="211">
        <f>86*33%</f>
        <v>28.380000000000003</v>
      </c>
      <c r="F112" s="211">
        <f>E112*98%</f>
        <v>27.8124</v>
      </c>
      <c r="G112" s="211">
        <f>F112*98%</f>
        <v>27.256152</v>
      </c>
      <c r="H112" s="211">
        <f t="shared" ref="H112:AN112" si="89">G112*98%</f>
        <v>26.71102896</v>
      </c>
      <c r="I112" s="211">
        <f t="shared" si="89"/>
        <v>26.176808380800001</v>
      </c>
      <c r="J112" s="211">
        <f t="shared" si="89"/>
        <v>25.653272213184</v>
      </c>
      <c r="K112" s="211">
        <f t="shared" si="89"/>
        <v>25.140206768920319</v>
      </c>
      <c r="L112" s="211">
        <f t="shared" si="89"/>
        <v>24.63740263354191</v>
      </c>
      <c r="M112" s="211">
        <f t="shared" si="89"/>
        <v>24.144654580871073</v>
      </c>
      <c r="N112" s="211">
        <f t="shared" si="89"/>
        <v>23.661761489253649</v>
      </c>
      <c r="O112" s="211">
        <f t="shared" si="89"/>
        <v>23.188526259468578</v>
      </c>
      <c r="P112" s="211">
        <f t="shared" si="89"/>
        <v>22.724755734279206</v>
      </c>
      <c r="Q112" s="211">
        <f t="shared" si="89"/>
        <v>22.270260619593621</v>
      </c>
      <c r="R112" s="211">
        <f t="shared" si="89"/>
        <v>21.824855407201749</v>
      </c>
      <c r="S112" s="211">
        <f t="shared" si="89"/>
        <v>21.388358299057714</v>
      </c>
      <c r="T112" s="211">
        <f t="shared" si="89"/>
        <v>20.960591133076559</v>
      </c>
      <c r="U112" s="211">
        <f t="shared" si="89"/>
        <v>20.541379310415028</v>
      </c>
      <c r="V112" s="211">
        <f t="shared" si="89"/>
        <v>20.130551724206725</v>
      </c>
      <c r="W112" s="211">
        <f t="shared" si="89"/>
        <v>19.72794068972259</v>
      </c>
      <c r="X112" s="211">
        <f t="shared" si="89"/>
        <v>19.33338187592814</v>
      </c>
      <c r="Y112" s="211">
        <f t="shared" si="89"/>
        <v>18.946714238409577</v>
      </c>
      <c r="Z112" s="211">
        <f t="shared" si="89"/>
        <v>18.567779953641384</v>
      </c>
      <c r="AA112" s="211">
        <f t="shared" si="89"/>
        <v>18.196424354568556</v>
      </c>
      <c r="AB112" s="211">
        <f t="shared" si="89"/>
        <v>17.832495867477185</v>
      </c>
      <c r="AC112" s="211">
        <f t="shared" si="89"/>
        <v>17.475845950127642</v>
      </c>
      <c r="AD112" s="211">
        <f t="shared" si="89"/>
        <v>17.126329031125088</v>
      </c>
      <c r="AE112" s="211">
        <f t="shared" si="89"/>
        <v>16.783802450502588</v>
      </c>
      <c r="AF112" s="211">
        <f t="shared" si="89"/>
        <v>16.448126401492537</v>
      </c>
      <c r="AG112" s="211">
        <f t="shared" si="89"/>
        <v>16.119163873462686</v>
      </c>
      <c r="AH112" s="211">
        <f t="shared" si="89"/>
        <v>15.796780595993432</v>
      </c>
      <c r="AI112" s="211">
        <f t="shared" si="89"/>
        <v>15.480844984073563</v>
      </c>
      <c r="AJ112" s="211">
        <f t="shared" si="89"/>
        <v>15.171228084392093</v>
      </c>
      <c r="AK112" s="211">
        <f t="shared" si="89"/>
        <v>14.86780352270425</v>
      </c>
      <c r="AL112" s="211">
        <f t="shared" si="89"/>
        <v>14.570447452250164</v>
      </c>
      <c r="AM112" s="211">
        <f t="shared" si="89"/>
        <v>14.279038503205161</v>
      </c>
      <c r="AN112" s="211">
        <f t="shared" si="89"/>
        <v>13.993457733141058</v>
      </c>
    </row>
    <row r="113" spans="2:40" s="7" customFormat="1" ht="12" hidden="1" customHeight="1" outlineLevel="2">
      <c r="B113" s="245"/>
      <c r="C113" s="213" t="s">
        <v>753</v>
      </c>
      <c r="D113" s="213"/>
      <c r="E113" s="211">
        <f>INDEX($C$44:$AN$66,MATCH("New Customers 1MS",$C$44:$C$66,0),MATCH($C113,$C$44:$AN$44,0))</f>
        <v>0</v>
      </c>
      <c r="F113" s="211">
        <f t="shared" ref="F113:AN113" si="90">$E$113*(E111)</f>
        <v>0</v>
      </c>
      <c r="G113" s="211">
        <f t="shared" si="90"/>
        <v>0</v>
      </c>
      <c r="H113" s="211">
        <f t="shared" si="90"/>
        <v>0</v>
      </c>
      <c r="I113" s="211">
        <f t="shared" si="90"/>
        <v>0</v>
      </c>
      <c r="J113" s="211">
        <f t="shared" si="90"/>
        <v>0</v>
      </c>
      <c r="K113" s="211">
        <f t="shared" si="90"/>
        <v>0</v>
      </c>
      <c r="L113" s="211">
        <f t="shared" si="90"/>
        <v>0</v>
      </c>
      <c r="M113" s="211">
        <f t="shared" si="90"/>
        <v>0</v>
      </c>
      <c r="N113" s="211">
        <f t="shared" si="90"/>
        <v>0</v>
      </c>
      <c r="O113" s="211">
        <f t="shared" si="90"/>
        <v>0</v>
      </c>
      <c r="P113" s="211">
        <f t="shared" si="90"/>
        <v>0</v>
      </c>
      <c r="Q113" s="211">
        <f t="shared" si="90"/>
        <v>0</v>
      </c>
      <c r="R113" s="211">
        <f t="shared" si="90"/>
        <v>0</v>
      </c>
      <c r="S113" s="211">
        <f t="shared" si="90"/>
        <v>0</v>
      </c>
      <c r="T113" s="211">
        <f t="shared" si="90"/>
        <v>0</v>
      </c>
      <c r="U113" s="211">
        <f t="shared" si="90"/>
        <v>0</v>
      </c>
      <c r="V113" s="211">
        <f t="shared" si="90"/>
        <v>0</v>
      </c>
      <c r="W113" s="211">
        <f t="shared" si="90"/>
        <v>0</v>
      </c>
      <c r="X113" s="211">
        <f t="shared" si="90"/>
        <v>0</v>
      </c>
      <c r="Y113" s="211">
        <f t="shared" si="90"/>
        <v>0</v>
      </c>
      <c r="Z113" s="211">
        <f t="shared" si="90"/>
        <v>0</v>
      </c>
      <c r="AA113" s="211">
        <f t="shared" si="90"/>
        <v>0</v>
      </c>
      <c r="AB113" s="211">
        <f t="shared" si="90"/>
        <v>0</v>
      </c>
      <c r="AC113" s="211">
        <f t="shared" si="90"/>
        <v>0</v>
      </c>
      <c r="AD113" s="211">
        <f t="shared" si="90"/>
        <v>0</v>
      </c>
      <c r="AE113" s="211">
        <f t="shared" si="90"/>
        <v>0</v>
      </c>
      <c r="AF113" s="211">
        <f t="shared" si="90"/>
        <v>0</v>
      </c>
      <c r="AG113" s="211">
        <f t="shared" si="90"/>
        <v>0</v>
      </c>
      <c r="AH113" s="211">
        <f t="shared" si="90"/>
        <v>0</v>
      </c>
      <c r="AI113" s="211">
        <f t="shared" si="90"/>
        <v>0</v>
      </c>
      <c r="AJ113" s="211">
        <f t="shared" si="90"/>
        <v>0</v>
      </c>
      <c r="AK113" s="211">
        <f t="shared" si="90"/>
        <v>0</v>
      </c>
      <c r="AL113" s="211">
        <f t="shared" si="90"/>
        <v>0</v>
      </c>
      <c r="AM113" s="211">
        <f t="shared" si="90"/>
        <v>0</v>
      </c>
      <c r="AN113" s="211">
        <f t="shared" si="90"/>
        <v>0</v>
      </c>
    </row>
    <row r="114" spans="2:40" s="7" customFormat="1" ht="12" hidden="1" customHeight="1" outlineLevel="2">
      <c r="B114" s="245"/>
      <c r="C114" s="213" t="s">
        <v>754</v>
      </c>
      <c r="D114" s="213"/>
      <c r="E114" s="213"/>
      <c r="F114" s="211">
        <f>INDEX($C$44:$AN$66,MATCH("New Customers 1MS",$C$44:$C$66,0),MATCH($C114,$C$44:$AN$44,0))</f>
        <v>0</v>
      </c>
      <c r="G114" s="211">
        <f t="shared" ref="G114:AN114" si="91">$F$114*(E111)</f>
        <v>0</v>
      </c>
      <c r="H114" s="211">
        <f t="shared" si="91"/>
        <v>0</v>
      </c>
      <c r="I114" s="211">
        <f t="shared" si="91"/>
        <v>0</v>
      </c>
      <c r="J114" s="211">
        <f t="shared" si="91"/>
        <v>0</v>
      </c>
      <c r="K114" s="211">
        <f t="shared" si="91"/>
        <v>0</v>
      </c>
      <c r="L114" s="211">
        <f t="shared" si="91"/>
        <v>0</v>
      </c>
      <c r="M114" s="211">
        <f t="shared" si="91"/>
        <v>0</v>
      </c>
      <c r="N114" s="211">
        <f t="shared" si="91"/>
        <v>0</v>
      </c>
      <c r="O114" s="211">
        <f t="shared" si="91"/>
        <v>0</v>
      </c>
      <c r="P114" s="211">
        <f t="shared" si="91"/>
        <v>0</v>
      </c>
      <c r="Q114" s="211">
        <f t="shared" si="91"/>
        <v>0</v>
      </c>
      <c r="R114" s="211">
        <f t="shared" si="91"/>
        <v>0</v>
      </c>
      <c r="S114" s="211">
        <f t="shared" si="91"/>
        <v>0</v>
      </c>
      <c r="T114" s="211">
        <f t="shared" si="91"/>
        <v>0</v>
      </c>
      <c r="U114" s="211">
        <f t="shared" si="91"/>
        <v>0</v>
      </c>
      <c r="V114" s="211">
        <f t="shared" si="91"/>
        <v>0</v>
      </c>
      <c r="W114" s="211">
        <f t="shared" si="91"/>
        <v>0</v>
      </c>
      <c r="X114" s="211">
        <f t="shared" si="91"/>
        <v>0</v>
      </c>
      <c r="Y114" s="211">
        <f t="shared" si="91"/>
        <v>0</v>
      </c>
      <c r="Z114" s="211">
        <f t="shared" si="91"/>
        <v>0</v>
      </c>
      <c r="AA114" s="211">
        <f t="shared" si="91"/>
        <v>0</v>
      </c>
      <c r="AB114" s="211">
        <f t="shared" si="91"/>
        <v>0</v>
      </c>
      <c r="AC114" s="211">
        <f t="shared" si="91"/>
        <v>0</v>
      </c>
      <c r="AD114" s="211">
        <f t="shared" si="91"/>
        <v>0</v>
      </c>
      <c r="AE114" s="211">
        <f t="shared" si="91"/>
        <v>0</v>
      </c>
      <c r="AF114" s="211">
        <f t="shared" si="91"/>
        <v>0</v>
      </c>
      <c r="AG114" s="211">
        <f t="shared" si="91"/>
        <v>0</v>
      </c>
      <c r="AH114" s="211">
        <f t="shared" si="91"/>
        <v>0</v>
      </c>
      <c r="AI114" s="211">
        <f t="shared" si="91"/>
        <v>0</v>
      </c>
      <c r="AJ114" s="211">
        <f t="shared" si="91"/>
        <v>0</v>
      </c>
      <c r="AK114" s="211">
        <f t="shared" si="91"/>
        <v>0</v>
      </c>
      <c r="AL114" s="211">
        <f t="shared" si="91"/>
        <v>0</v>
      </c>
      <c r="AM114" s="211">
        <f t="shared" si="91"/>
        <v>0</v>
      </c>
      <c r="AN114" s="211">
        <f t="shared" si="91"/>
        <v>0</v>
      </c>
    </row>
    <row r="115" spans="2:40" s="7" customFormat="1" ht="12" hidden="1" customHeight="1" outlineLevel="2">
      <c r="B115" s="245"/>
      <c r="C115" s="213" t="s">
        <v>755</v>
      </c>
      <c r="D115" s="213"/>
      <c r="E115" s="213"/>
      <c r="F115" s="213"/>
      <c r="G115" s="211">
        <f>INDEX($C$44:$AN$66,MATCH("New Customers 1MS",$C$44:$C$66,0),MATCH($C115,$C$44:$AN$44,0))</f>
        <v>0</v>
      </c>
      <c r="H115" s="211">
        <f t="shared" ref="H115:AN115" si="92">$G$115*(E111)</f>
        <v>0</v>
      </c>
      <c r="I115" s="211">
        <f t="shared" si="92"/>
        <v>0</v>
      </c>
      <c r="J115" s="211">
        <f t="shared" si="92"/>
        <v>0</v>
      </c>
      <c r="K115" s="211">
        <f t="shared" si="92"/>
        <v>0</v>
      </c>
      <c r="L115" s="211">
        <f t="shared" si="92"/>
        <v>0</v>
      </c>
      <c r="M115" s="211">
        <f t="shared" si="92"/>
        <v>0</v>
      </c>
      <c r="N115" s="211">
        <f t="shared" si="92"/>
        <v>0</v>
      </c>
      <c r="O115" s="211">
        <f t="shared" si="92"/>
        <v>0</v>
      </c>
      <c r="P115" s="211">
        <f t="shared" si="92"/>
        <v>0</v>
      </c>
      <c r="Q115" s="211">
        <f t="shared" si="92"/>
        <v>0</v>
      </c>
      <c r="R115" s="211">
        <f t="shared" si="92"/>
        <v>0</v>
      </c>
      <c r="S115" s="211">
        <f t="shared" si="92"/>
        <v>0</v>
      </c>
      <c r="T115" s="211">
        <f t="shared" si="92"/>
        <v>0</v>
      </c>
      <c r="U115" s="211">
        <f t="shared" si="92"/>
        <v>0</v>
      </c>
      <c r="V115" s="211">
        <f t="shared" si="92"/>
        <v>0</v>
      </c>
      <c r="W115" s="211">
        <f t="shared" si="92"/>
        <v>0</v>
      </c>
      <c r="X115" s="211">
        <f t="shared" si="92"/>
        <v>0</v>
      </c>
      <c r="Y115" s="211">
        <f t="shared" si="92"/>
        <v>0</v>
      </c>
      <c r="Z115" s="211">
        <f t="shared" si="92"/>
        <v>0</v>
      </c>
      <c r="AA115" s="211">
        <f t="shared" si="92"/>
        <v>0</v>
      </c>
      <c r="AB115" s="211">
        <f t="shared" si="92"/>
        <v>0</v>
      </c>
      <c r="AC115" s="211">
        <f t="shared" si="92"/>
        <v>0</v>
      </c>
      <c r="AD115" s="211">
        <f t="shared" si="92"/>
        <v>0</v>
      </c>
      <c r="AE115" s="211">
        <f t="shared" si="92"/>
        <v>0</v>
      </c>
      <c r="AF115" s="211">
        <f t="shared" si="92"/>
        <v>0</v>
      </c>
      <c r="AG115" s="211">
        <f t="shared" si="92"/>
        <v>0</v>
      </c>
      <c r="AH115" s="211">
        <f t="shared" si="92"/>
        <v>0</v>
      </c>
      <c r="AI115" s="211">
        <f t="shared" si="92"/>
        <v>0</v>
      </c>
      <c r="AJ115" s="211">
        <f t="shared" si="92"/>
        <v>0</v>
      </c>
      <c r="AK115" s="211">
        <f t="shared" si="92"/>
        <v>0</v>
      </c>
      <c r="AL115" s="211">
        <f t="shared" si="92"/>
        <v>0</v>
      </c>
      <c r="AM115" s="211">
        <f t="shared" si="92"/>
        <v>0</v>
      </c>
      <c r="AN115" s="211">
        <f t="shared" si="92"/>
        <v>0</v>
      </c>
    </row>
    <row r="116" spans="2:40" s="7" customFormat="1" ht="12" hidden="1" customHeight="1" outlineLevel="2">
      <c r="B116" s="245"/>
      <c r="C116" s="213" t="s">
        <v>756</v>
      </c>
      <c r="D116" s="213"/>
      <c r="E116" s="213"/>
      <c r="F116" s="213"/>
      <c r="G116" s="213"/>
      <c r="H116" s="211">
        <f>INDEX($C$44:$AN$66,MATCH("New Customers 1MS",$C$44:$C$66,0),MATCH($C116,$C$44:$AN$44,0))</f>
        <v>0</v>
      </c>
      <c r="I116" s="211">
        <f t="shared" ref="I116:AN116" si="93">$H$116*(E111)</f>
        <v>0</v>
      </c>
      <c r="J116" s="211">
        <f t="shared" si="93"/>
        <v>0</v>
      </c>
      <c r="K116" s="211">
        <f t="shared" si="93"/>
        <v>0</v>
      </c>
      <c r="L116" s="211">
        <f t="shared" si="93"/>
        <v>0</v>
      </c>
      <c r="M116" s="211">
        <f t="shared" si="93"/>
        <v>0</v>
      </c>
      <c r="N116" s="211">
        <f t="shared" si="93"/>
        <v>0</v>
      </c>
      <c r="O116" s="211">
        <f t="shared" si="93"/>
        <v>0</v>
      </c>
      <c r="P116" s="211">
        <f t="shared" si="93"/>
        <v>0</v>
      </c>
      <c r="Q116" s="211">
        <f t="shared" si="93"/>
        <v>0</v>
      </c>
      <c r="R116" s="211">
        <f t="shared" si="93"/>
        <v>0</v>
      </c>
      <c r="S116" s="211">
        <f t="shared" si="93"/>
        <v>0</v>
      </c>
      <c r="T116" s="211">
        <f t="shared" si="93"/>
        <v>0</v>
      </c>
      <c r="U116" s="211">
        <f t="shared" si="93"/>
        <v>0</v>
      </c>
      <c r="V116" s="211">
        <f t="shared" si="93"/>
        <v>0</v>
      </c>
      <c r="W116" s="211">
        <f t="shared" si="93"/>
        <v>0</v>
      </c>
      <c r="X116" s="211">
        <f t="shared" si="93"/>
        <v>0</v>
      </c>
      <c r="Y116" s="211">
        <f t="shared" si="93"/>
        <v>0</v>
      </c>
      <c r="Z116" s="211">
        <f t="shared" si="93"/>
        <v>0</v>
      </c>
      <c r="AA116" s="211">
        <f t="shared" si="93"/>
        <v>0</v>
      </c>
      <c r="AB116" s="211">
        <f t="shared" si="93"/>
        <v>0</v>
      </c>
      <c r="AC116" s="211">
        <f t="shared" si="93"/>
        <v>0</v>
      </c>
      <c r="AD116" s="211">
        <f t="shared" si="93"/>
        <v>0</v>
      </c>
      <c r="AE116" s="211">
        <f t="shared" si="93"/>
        <v>0</v>
      </c>
      <c r="AF116" s="211">
        <f t="shared" si="93"/>
        <v>0</v>
      </c>
      <c r="AG116" s="211">
        <f t="shared" si="93"/>
        <v>0</v>
      </c>
      <c r="AH116" s="211">
        <f t="shared" si="93"/>
        <v>0</v>
      </c>
      <c r="AI116" s="211">
        <f t="shared" si="93"/>
        <v>0</v>
      </c>
      <c r="AJ116" s="211">
        <f t="shared" si="93"/>
        <v>0</v>
      </c>
      <c r="AK116" s="211">
        <f t="shared" si="93"/>
        <v>0</v>
      </c>
      <c r="AL116" s="211">
        <f t="shared" si="93"/>
        <v>0</v>
      </c>
      <c r="AM116" s="211">
        <f t="shared" si="93"/>
        <v>0</v>
      </c>
      <c r="AN116" s="211">
        <f t="shared" si="93"/>
        <v>0</v>
      </c>
    </row>
    <row r="117" spans="2:40" s="7" customFormat="1" ht="12" hidden="1" customHeight="1" outlineLevel="2">
      <c r="B117" s="245"/>
      <c r="C117" s="213" t="s">
        <v>757</v>
      </c>
      <c r="D117" s="213"/>
      <c r="E117" s="213"/>
      <c r="F117" s="213"/>
      <c r="G117" s="213"/>
      <c r="H117" s="213"/>
      <c r="I117" s="211">
        <f>INDEX($C$44:$AN$66,MATCH("New Customers 1MS",$C$44:$C$66,0),MATCH($C117,$C$44:$AN$44,0))</f>
        <v>0</v>
      </c>
      <c r="J117" s="211">
        <f t="shared" ref="J117:AN117" si="94">$I$117*(E111)</f>
        <v>0</v>
      </c>
      <c r="K117" s="211">
        <f t="shared" si="94"/>
        <v>0</v>
      </c>
      <c r="L117" s="211">
        <f t="shared" si="94"/>
        <v>0</v>
      </c>
      <c r="M117" s="211">
        <f t="shared" si="94"/>
        <v>0</v>
      </c>
      <c r="N117" s="211">
        <f t="shared" si="94"/>
        <v>0</v>
      </c>
      <c r="O117" s="211">
        <f t="shared" si="94"/>
        <v>0</v>
      </c>
      <c r="P117" s="211">
        <f t="shared" si="94"/>
        <v>0</v>
      </c>
      <c r="Q117" s="211">
        <f t="shared" si="94"/>
        <v>0</v>
      </c>
      <c r="R117" s="211">
        <f t="shared" si="94"/>
        <v>0</v>
      </c>
      <c r="S117" s="211">
        <f t="shared" si="94"/>
        <v>0</v>
      </c>
      <c r="T117" s="211">
        <f t="shared" si="94"/>
        <v>0</v>
      </c>
      <c r="U117" s="211">
        <f t="shared" si="94"/>
        <v>0</v>
      </c>
      <c r="V117" s="211">
        <f t="shared" si="94"/>
        <v>0</v>
      </c>
      <c r="W117" s="211">
        <f t="shared" si="94"/>
        <v>0</v>
      </c>
      <c r="X117" s="211">
        <f t="shared" si="94"/>
        <v>0</v>
      </c>
      <c r="Y117" s="211">
        <f t="shared" si="94"/>
        <v>0</v>
      </c>
      <c r="Z117" s="211">
        <f t="shared" si="94"/>
        <v>0</v>
      </c>
      <c r="AA117" s="211">
        <f t="shared" si="94"/>
        <v>0</v>
      </c>
      <c r="AB117" s="211">
        <f t="shared" si="94"/>
        <v>0</v>
      </c>
      <c r="AC117" s="211">
        <f t="shared" si="94"/>
        <v>0</v>
      </c>
      <c r="AD117" s="211">
        <f t="shared" si="94"/>
        <v>0</v>
      </c>
      <c r="AE117" s="211">
        <f t="shared" si="94"/>
        <v>0</v>
      </c>
      <c r="AF117" s="211">
        <f t="shared" si="94"/>
        <v>0</v>
      </c>
      <c r="AG117" s="211">
        <f t="shared" si="94"/>
        <v>0</v>
      </c>
      <c r="AH117" s="211">
        <f t="shared" si="94"/>
        <v>0</v>
      </c>
      <c r="AI117" s="211">
        <f t="shared" si="94"/>
        <v>0</v>
      </c>
      <c r="AJ117" s="211">
        <f t="shared" si="94"/>
        <v>0</v>
      </c>
      <c r="AK117" s="211">
        <f t="shared" si="94"/>
        <v>0</v>
      </c>
      <c r="AL117" s="211">
        <f t="shared" si="94"/>
        <v>0</v>
      </c>
      <c r="AM117" s="211">
        <f t="shared" si="94"/>
        <v>0</v>
      </c>
      <c r="AN117" s="211">
        <f t="shared" si="94"/>
        <v>0</v>
      </c>
    </row>
    <row r="118" spans="2:40" s="7" customFormat="1" ht="12" hidden="1" customHeight="1" outlineLevel="2">
      <c r="B118" s="245"/>
      <c r="C118" s="213" t="s">
        <v>758</v>
      </c>
      <c r="D118" s="213"/>
      <c r="E118" s="213"/>
      <c r="F118" s="213"/>
      <c r="G118" s="213"/>
      <c r="H118" s="213"/>
      <c r="I118" s="213"/>
      <c r="J118" s="211">
        <f>INDEX($C$44:$AN$66,MATCH("New Customers 1MS",$C$44:$C$66,0),MATCH($C118,$C$44:$AN$44,0))</f>
        <v>0.66666666666666663</v>
      </c>
      <c r="K118" s="211">
        <f t="shared" ref="K118:AN118" si="95">$J$118*(E111)</f>
        <v>0.53333333333333333</v>
      </c>
      <c r="L118" s="211">
        <f t="shared" si="95"/>
        <v>0.5</v>
      </c>
      <c r="M118" s="211">
        <f t="shared" si="95"/>
        <v>0.39999999999999997</v>
      </c>
      <c r="N118" s="211">
        <f t="shared" si="95"/>
        <v>0.33333333333333331</v>
      </c>
      <c r="O118" s="211">
        <f t="shared" si="95"/>
        <v>0.19999999999999998</v>
      </c>
      <c r="P118" s="211">
        <f t="shared" si="95"/>
        <v>0.16666666666666666</v>
      </c>
      <c r="Q118" s="211">
        <f t="shared" si="95"/>
        <v>0.13333333333333333</v>
      </c>
      <c r="R118" s="211">
        <f t="shared" si="95"/>
        <v>0.12</v>
      </c>
      <c r="S118" s="211">
        <f t="shared" si="95"/>
        <v>0.10666666666666666</v>
      </c>
      <c r="T118" s="211">
        <f t="shared" si="95"/>
        <v>9.9999999999999992E-2</v>
      </c>
      <c r="U118" s="211">
        <f t="shared" si="95"/>
        <v>9.3333333333333338E-2</v>
      </c>
      <c r="V118" s="211">
        <f t="shared" si="95"/>
        <v>7.9999999999999988E-2</v>
      </c>
      <c r="W118" s="211">
        <f t="shared" si="95"/>
        <v>7.9999999999999988E-2</v>
      </c>
      <c r="X118" s="211">
        <f t="shared" si="95"/>
        <v>7.9999999999999988E-2</v>
      </c>
      <c r="Y118" s="211">
        <f t="shared" si="95"/>
        <v>7.3333333333333334E-2</v>
      </c>
      <c r="Z118" s="211">
        <f t="shared" si="95"/>
        <v>7.3333333333333334E-2</v>
      </c>
      <c r="AA118" s="211">
        <f t="shared" si="95"/>
        <v>6.6666666666666666E-2</v>
      </c>
      <c r="AB118" s="211">
        <f t="shared" si="95"/>
        <v>0.06</v>
      </c>
      <c r="AC118" s="211">
        <f t="shared" si="95"/>
        <v>0.06</v>
      </c>
      <c r="AD118" s="211">
        <f t="shared" si="95"/>
        <v>5.333333333333333E-2</v>
      </c>
      <c r="AE118" s="211">
        <f t="shared" si="95"/>
        <v>5.333333333333333E-2</v>
      </c>
      <c r="AF118" s="211">
        <f t="shared" si="95"/>
        <v>4.6666666666666669E-2</v>
      </c>
      <c r="AG118" s="211">
        <f t="shared" si="95"/>
        <v>4.6666666666666669E-2</v>
      </c>
      <c r="AH118" s="211">
        <f t="shared" si="95"/>
        <v>3.9999999999999994E-2</v>
      </c>
      <c r="AI118" s="211">
        <f t="shared" si="95"/>
        <v>9.9999999999999992E-2</v>
      </c>
      <c r="AJ118" s="211">
        <f t="shared" si="95"/>
        <v>9.9999999999999992E-2</v>
      </c>
      <c r="AK118" s="211">
        <f t="shared" si="95"/>
        <v>9.9999999999999992E-2</v>
      </c>
      <c r="AL118" s="211">
        <f t="shared" si="95"/>
        <v>9.9999999999999992E-2</v>
      </c>
      <c r="AM118" s="211">
        <f t="shared" si="95"/>
        <v>9.9999999999999992E-2</v>
      </c>
      <c r="AN118" s="211">
        <f t="shared" si="95"/>
        <v>9.9999999999999992E-2</v>
      </c>
    </row>
    <row r="119" spans="2:40" s="7" customFormat="1" ht="12" hidden="1" customHeight="1" outlineLevel="2">
      <c r="B119" s="245"/>
      <c r="C119" s="213" t="s">
        <v>759</v>
      </c>
      <c r="D119" s="213"/>
      <c r="E119" s="213"/>
      <c r="F119" s="213"/>
      <c r="G119" s="213"/>
      <c r="H119" s="213"/>
      <c r="I119" s="213"/>
      <c r="J119" s="213"/>
      <c r="K119" s="211">
        <f>INDEX($C$44:$AN$66,MATCH("New Customers 1MS",$C$44:$C$66,0),MATCH($C119,$C$44:$AN$44,0))</f>
        <v>0.66666666666666663</v>
      </c>
      <c r="L119" s="211">
        <f t="shared" ref="L119:AN119" si="96">$K$119*(E111)</f>
        <v>0.53333333333333333</v>
      </c>
      <c r="M119" s="211">
        <f t="shared" si="96"/>
        <v>0.5</v>
      </c>
      <c r="N119" s="211">
        <f t="shared" si="96"/>
        <v>0.39999999999999997</v>
      </c>
      <c r="O119" s="211">
        <f t="shared" si="96"/>
        <v>0.33333333333333331</v>
      </c>
      <c r="P119" s="211">
        <f t="shared" si="96"/>
        <v>0.19999999999999998</v>
      </c>
      <c r="Q119" s="211">
        <f t="shared" si="96"/>
        <v>0.16666666666666666</v>
      </c>
      <c r="R119" s="211">
        <f t="shared" si="96"/>
        <v>0.13333333333333333</v>
      </c>
      <c r="S119" s="211">
        <f t="shared" si="96"/>
        <v>0.12</v>
      </c>
      <c r="T119" s="211">
        <f t="shared" si="96"/>
        <v>0.10666666666666666</v>
      </c>
      <c r="U119" s="211">
        <f t="shared" si="96"/>
        <v>9.9999999999999992E-2</v>
      </c>
      <c r="V119" s="211">
        <f t="shared" si="96"/>
        <v>9.3333333333333338E-2</v>
      </c>
      <c r="W119" s="211">
        <f t="shared" si="96"/>
        <v>7.9999999999999988E-2</v>
      </c>
      <c r="X119" s="211">
        <f t="shared" si="96"/>
        <v>7.9999999999999988E-2</v>
      </c>
      <c r="Y119" s="211">
        <f t="shared" si="96"/>
        <v>7.9999999999999988E-2</v>
      </c>
      <c r="Z119" s="211">
        <f t="shared" si="96"/>
        <v>7.3333333333333334E-2</v>
      </c>
      <c r="AA119" s="211">
        <f t="shared" si="96"/>
        <v>7.3333333333333334E-2</v>
      </c>
      <c r="AB119" s="211">
        <f t="shared" si="96"/>
        <v>6.6666666666666666E-2</v>
      </c>
      <c r="AC119" s="211">
        <f t="shared" si="96"/>
        <v>0.06</v>
      </c>
      <c r="AD119" s="211">
        <f t="shared" si="96"/>
        <v>0.06</v>
      </c>
      <c r="AE119" s="211">
        <f t="shared" si="96"/>
        <v>5.333333333333333E-2</v>
      </c>
      <c r="AF119" s="211">
        <f t="shared" si="96"/>
        <v>5.333333333333333E-2</v>
      </c>
      <c r="AG119" s="211">
        <f t="shared" si="96"/>
        <v>4.6666666666666669E-2</v>
      </c>
      <c r="AH119" s="211">
        <f t="shared" si="96"/>
        <v>4.6666666666666669E-2</v>
      </c>
      <c r="AI119" s="211">
        <f t="shared" si="96"/>
        <v>3.9999999999999994E-2</v>
      </c>
      <c r="AJ119" s="211">
        <f t="shared" si="96"/>
        <v>9.9999999999999992E-2</v>
      </c>
      <c r="AK119" s="211">
        <f t="shared" si="96"/>
        <v>9.9999999999999992E-2</v>
      </c>
      <c r="AL119" s="211">
        <f t="shared" si="96"/>
        <v>9.9999999999999992E-2</v>
      </c>
      <c r="AM119" s="211">
        <f t="shared" si="96"/>
        <v>9.9999999999999992E-2</v>
      </c>
      <c r="AN119" s="211">
        <f t="shared" si="96"/>
        <v>9.9999999999999992E-2</v>
      </c>
    </row>
    <row r="120" spans="2:40" s="7" customFormat="1" ht="12" hidden="1" customHeight="1" outlineLevel="2">
      <c r="B120" s="245"/>
      <c r="C120" s="213" t="s">
        <v>760</v>
      </c>
      <c r="D120" s="213"/>
      <c r="E120" s="213"/>
      <c r="F120" s="213"/>
      <c r="G120" s="213"/>
      <c r="H120" s="213"/>
      <c r="I120" s="213"/>
      <c r="J120" s="213"/>
      <c r="K120" s="213"/>
      <c r="L120" s="211">
        <f>INDEX($C$44:$AN$66,MATCH("New Customers 1MS",$C$44:$C$66,0),MATCH($C120,$C$44:$AN$44,0))</f>
        <v>1</v>
      </c>
      <c r="M120" s="211">
        <f t="shared" ref="M120:AN120" si="97">$L$120*(E111)</f>
        <v>0.8</v>
      </c>
      <c r="N120" s="211">
        <f t="shared" si="97"/>
        <v>0.75</v>
      </c>
      <c r="O120" s="211">
        <f t="shared" si="97"/>
        <v>0.6</v>
      </c>
      <c r="P120" s="211">
        <f t="shared" si="97"/>
        <v>0.5</v>
      </c>
      <c r="Q120" s="211">
        <f t="shared" si="97"/>
        <v>0.3</v>
      </c>
      <c r="R120" s="211">
        <f t="shared" si="97"/>
        <v>0.25</v>
      </c>
      <c r="S120" s="211">
        <f t="shared" si="97"/>
        <v>0.2</v>
      </c>
      <c r="T120" s="211">
        <f t="shared" si="97"/>
        <v>0.18</v>
      </c>
      <c r="U120" s="211">
        <f t="shared" si="97"/>
        <v>0.16</v>
      </c>
      <c r="V120" s="211">
        <f t="shared" si="97"/>
        <v>0.15</v>
      </c>
      <c r="W120" s="211">
        <f t="shared" si="97"/>
        <v>0.14000000000000001</v>
      </c>
      <c r="X120" s="211">
        <f t="shared" si="97"/>
        <v>0.12</v>
      </c>
      <c r="Y120" s="211">
        <f t="shared" si="97"/>
        <v>0.12</v>
      </c>
      <c r="Z120" s="211">
        <f t="shared" si="97"/>
        <v>0.12</v>
      </c>
      <c r="AA120" s="211">
        <f t="shared" si="97"/>
        <v>0.11</v>
      </c>
      <c r="AB120" s="211">
        <f t="shared" si="97"/>
        <v>0.11</v>
      </c>
      <c r="AC120" s="211">
        <f t="shared" si="97"/>
        <v>0.1</v>
      </c>
      <c r="AD120" s="211">
        <f t="shared" si="97"/>
        <v>0.09</v>
      </c>
      <c r="AE120" s="211">
        <f t="shared" si="97"/>
        <v>0.09</v>
      </c>
      <c r="AF120" s="211">
        <f t="shared" si="97"/>
        <v>0.08</v>
      </c>
      <c r="AG120" s="211">
        <f t="shared" si="97"/>
        <v>0.08</v>
      </c>
      <c r="AH120" s="211">
        <f t="shared" si="97"/>
        <v>7.0000000000000007E-2</v>
      </c>
      <c r="AI120" s="211">
        <f t="shared" si="97"/>
        <v>7.0000000000000007E-2</v>
      </c>
      <c r="AJ120" s="211">
        <f t="shared" si="97"/>
        <v>0.06</v>
      </c>
      <c r="AK120" s="211">
        <f t="shared" si="97"/>
        <v>0.15</v>
      </c>
      <c r="AL120" s="211">
        <f t="shared" si="97"/>
        <v>0.15</v>
      </c>
      <c r="AM120" s="211">
        <f t="shared" si="97"/>
        <v>0.15</v>
      </c>
      <c r="AN120" s="211">
        <f t="shared" si="97"/>
        <v>0.15</v>
      </c>
    </row>
    <row r="121" spans="2:40" s="7" customFormat="1" ht="12" hidden="1" customHeight="1" outlineLevel="2">
      <c r="B121" s="245"/>
      <c r="C121" s="213" t="s">
        <v>761</v>
      </c>
      <c r="D121" s="213"/>
      <c r="E121" s="213"/>
      <c r="F121" s="213"/>
      <c r="G121" s="213"/>
      <c r="H121" s="213"/>
      <c r="I121" s="213"/>
      <c r="J121" s="213"/>
      <c r="K121" s="213"/>
      <c r="L121" s="213"/>
      <c r="M121" s="211">
        <f>INDEX($C$44:$AN$66,MATCH("New Customers 1MS",$C$44:$C$66,0),MATCH($C121,$C$44:$AN$44,0))</f>
        <v>3.3333333333333339</v>
      </c>
      <c r="N121" s="211">
        <f t="shared" ref="N121:AN121" si="98">$M$121*(E111)</f>
        <v>2.6666666666666674</v>
      </c>
      <c r="O121" s="211">
        <f t="shared" si="98"/>
        <v>2.5000000000000004</v>
      </c>
      <c r="P121" s="211">
        <f t="shared" si="98"/>
        <v>2.0000000000000004</v>
      </c>
      <c r="Q121" s="211">
        <f t="shared" si="98"/>
        <v>1.666666666666667</v>
      </c>
      <c r="R121" s="211">
        <f t="shared" si="98"/>
        <v>1.0000000000000002</v>
      </c>
      <c r="S121" s="211">
        <f t="shared" si="98"/>
        <v>0.83333333333333348</v>
      </c>
      <c r="T121" s="211">
        <f t="shared" si="98"/>
        <v>0.66666666666666685</v>
      </c>
      <c r="U121" s="211">
        <f t="shared" si="98"/>
        <v>0.60000000000000009</v>
      </c>
      <c r="V121" s="211">
        <f t="shared" si="98"/>
        <v>0.53333333333333344</v>
      </c>
      <c r="W121" s="211">
        <f t="shared" si="98"/>
        <v>0.50000000000000011</v>
      </c>
      <c r="X121" s="211">
        <f t="shared" si="98"/>
        <v>0.46666666666666679</v>
      </c>
      <c r="Y121" s="211">
        <f t="shared" si="98"/>
        <v>0.40000000000000008</v>
      </c>
      <c r="Z121" s="211">
        <f t="shared" si="98"/>
        <v>0.40000000000000008</v>
      </c>
      <c r="AA121" s="211">
        <f t="shared" si="98"/>
        <v>0.40000000000000008</v>
      </c>
      <c r="AB121" s="211">
        <f t="shared" si="98"/>
        <v>0.36666666666666675</v>
      </c>
      <c r="AC121" s="211">
        <f t="shared" si="98"/>
        <v>0.36666666666666675</v>
      </c>
      <c r="AD121" s="211">
        <f t="shared" si="98"/>
        <v>0.33333333333333343</v>
      </c>
      <c r="AE121" s="211">
        <f t="shared" si="98"/>
        <v>0.30000000000000004</v>
      </c>
      <c r="AF121" s="211">
        <f t="shared" si="98"/>
        <v>0.30000000000000004</v>
      </c>
      <c r="AG121" s="211">
        <f t="shared" si="98"/>
        <v>0.26666666666666672</v>
      </c>
      <c r="AH121" s="211">
        <f t="shared" si="98"/>
        <v>0.26666666666666672</v>
      </c>
      <c r="AI121" s="211">
        <f t="shared" si="98"/>
        <v>0.23333333333333339</v>
      </c>
      <c r="AJ121" s="211">
        <f t="shared" si="98"/>
        <v>0.23333333333333339</v>
      </c>
      <c r="AK121" s="211">
        <f t="shared" si="98"/>
        <v>0.20000000000000004</v>
      </c>
      <c r="AL121" s="211">
        <f t="shared" si="98"/>
        <v>0.50000000000000011</v>
      </c>
      <c r="AM121" s="211">
        <f t="shared" si="98"/>
        <v>0.50000000000000011</v>
      </c>
      <c r="AN121" s="211">
        <f t="shared" si="98"/>
        <v>0.50000000000000011</v>
      </c>
    </row>
    <row r="122" spans="2:40" s="7" customFormat="1" ht="12" hidden="1" customHeight="1" outlineLevel="2">
      <c r="B122" s="245"/>
      <c r="C122" s="213" t="s">
        <v>762</v>
      </c>
      <c r="D122" s="213"/>
      <c r="E122" s="213"/>
      <c r="F122" s="213"/>
      <c r="G122" s="213"/>
      <c r="H122" s="213"/>
      <c r="I122" s="213"/>
      <c r="J122" s="213"/>
      <c r="K122" s="213"/>
      <c r="L122" s="213"/>
      <c r="M122" s="213"/>
      <c r="N122" s="211">
        <f>INDEX($C$44:$AN$66,MATCH("New Customers 1MS",$C$44:$C$66,0),MATCH($C122,$C$44:$AN$44,0))</f>
        <v>3.3333333333333339</v>
      </c>
      <c r="O122" s="211">
        <f t="shared" ref="O122:AN122" si="99">$N$122*(E111)</f>
        <v>2.6666666666666674</v>
      </c>
      <c r="P122" s="211">
        <f t="shared" si="99"/>
        <v>2.5000000000000004</v>
      </c>
      <c r="Q122" s="211">
        <f t="shared" si="99"/>
        <v>2.0000000000000004</v>
      </c>
      <c r="R122" s="211">
        <f t="shared" si="99"/>
        <v>1.666666666666667</v>
      </c>
      <c r="S122" s="211">
        <f t="shared" si="99"/>
        <v>1.0000000000000002</v>
      </c>
      <c r="T122" s="211">
        <f t="shared" si="99"/>
        <v>0.83333333333333348</v>
      </c>
      <c r="U122" s="211">
        <f t="shared" si="99"/>
        <v>0.66666666666666685</v>
      </c>
      <c r="V122" s="211">
        <f t="shared" si="99"/>
        <v>0.60000000000000009</v>
      </c>
      <c r="W122" s="211">
        <f t="shared" si="99"/>
        <v>0.53333333333333344</v>
      </c>
      <c r="X122" s="211">
        <f t="shared" si="99"/>
        <v>0.50000000000000011</v>
      </c>
      <c r="Y122" s="211">
        <f t="shared" si="99"/>
        <v>0.46666666666666679</v>
      </c>
      <c r="Z122" s="211">
        <f t="shared" si="99"/>
        <v>0.40000000000000008</v>
      </c>
      <c r="AA122" s="211">
        <f t="shared" si="99"/>
        <v>0.40000000000000008</v>
      </c>
      <c r="AB122" s="211">
        <f t="shared" si="99"/>
        <v>0.40000000000000008</v>
      </c>
      <c r="AC122" s="211">
        <f t="shared" si="99"/>
        <v>0.36666666666666675</v>
      </c>
      <c r="AD122" s="211">
        <f t="shared" si="99"/>
        <v>0.36666666666666675</v>
      </c>
      <c r="AE122" s="211">
        <f t="shared" si="99"/>
        <v>0.33333333333333343</v>
      </c>
      <c r="AF122" s="211">
        <f t="shared" si="99"/>
        <v>0.30000000000000004</v>
      </c>
      <c r="AG122" s="211">
        <f t="shared" si="99"/>
        <v>0.30000000000000004</v>
      </c>
      <c r="AH122" s="211">
        <f t="shared" si="99"/>
        <v>0.26666666666666672</v>
      </c>
      <c r="AI122" s="211">
        <f t="shared" si="99"/>
        <v>0.26666666666666672</v>
      </c>
      <c r="AJ122" s="211">
        <f t="shared" si="99"/>
        <v>0.23333333333333339</v>
      </c>
      <c r="AK122" s="211">
        <f t="shared" si="99"/>
        <v>0.23333333333333339</v>
      </c>
      <c r="AL122" s="211">
        <f t="shared" si="99"/>
        <v>0.20000000000000004</v>
      </c>
      <c r="AM122" s="211">
        <f t="shared" si="99"/>
        <v>0.50000000000000011</v>
      </c>
      <c r="AN122" s="211">
        <f t="shared" si="99"/>
        <v>0.50000000000000011</v>
      </c>
    </row>
    <row r="123" spans="2:40" s="7" customFormat="1" ht="12" hidden="1" customHeight="1" outlineLevel="2">
      <c r="B123" s="245"/>
      <c r="C123" s="213" t="s">
        <v>763</v>
      </c>
      <c r="D123" s="213"/>
      <c r="E123" s="213"/>
      <c r="F123" s="213"/>
      <c r="G123" s="213"/>
      <c r="H123" s="213"/>
      <c r="I123" s="213"/>
      <c r="J123" s="213"/>
      <c r="K123" s="213"/>
      <c r="L123" s="213"/>
      <c r="M123" s="213"/>
      <c r="N123" s="213"/>
      <c r="O123" s="211">
        <f>INDEX($C$44:$AN$66,MATCH("New Customers 1MS",$C$44:$C$66,0),MATCH($C123,$C$44:$AN$44,0))</f>
        <v>1.3333333333333335</v>
      </c>
      <c r="P123" s="211">
        <f t="shared" ref="P123:AN123" si="100">$O$123*(E111)</f>
        <v>1.0666666666666669</v>
      </c>
      <c r="Q123" s="211">
        <f t="shared" si="100"/>
        <v>1</v>
      </c>
      <c r="R123" s="211">
        <f t="shared" si="100"/>
        <v>0.8</v>
      </c>
      <c r="S123" s="211">
        <f t="shared" si="100"/>
        <v>0.66666666666666674</v>
      </c>
      <c r="T123" s="211">
        <f t="shared" si="100"/>
        <v>0.4</v>
      </c>
      <c r="U123" s="211">
        <f t="shared" si="100"/>
        <v>0.33333333333333337</v>
      </c>
      <c r="V123" s="211">
        <f t="shared" si="100"/>
        <v>0.26666666666666672</v>
      </c>
      <c r="W123" s="211">
        <f t="shared" si="100"/>
        <v>0.24000000000000002</v>
      </c>
      <c r="X123" s="211">
        <f t="shared" si="100"/>
        <v>0.21333333333333337</v>
      </c>
      <c r="Y123" s="211">
        <f t="shared" si="100"/>
        <v>0.2</v>
      </c>
      <c r="Z123" s="211">
        <f t="shared" si="100"/>
        <v>0.1866666666666667</v>
      </c>
      <c r="AA123" s="211">
        <f t="shared" si="100"/>
        <v>0.16</v>
      </c>
      <c r="AB123" s="211">
        <f t="shared" si="100"/>
        <v>0.16</v>
      </c>
      <c r="AC123" s="211">
        <f t="shared" si="100"/>
        <v>0.16</v>
      </c>
      <c r="AD123" s="211">
        <f t="shared" si="100"/>
        <v>0.1466666666666667</v>
      </c>
      <c r="AE123" s="211">
        <f t="shared" si="100"/>
        <v>0.1466666666666667</v>
      </c>
      <c r="AF123" s="211">
        <f t="shared" si="100"/>
        <v>0.13333333333333336</v>
      </c>
      <c r="AG123" s="211">
        <f t="shared" si="100"/>
        <v>0.12000000000000001</v>
      </c>
      <c r="AH123" s="211">
        <f t="shared" si="100"/>
        <v>0.12000000000000001</v>
      </c>
      <c r="AI123" s="211">
        <f t="shared" si="100"/>
        <v>0.10666666666666669</v>
      </c>
      <c r="AJ123" s="211">
        <f t="shared" si="100"/>
        <v>0.10666666666666669</v>
      </c>
      <c r="AK123" s="211">
        <f t="shared" si="100"/>
        <v>9.3333333333333351E-2</v>
      </c>
      <c r="AL123" s="211">
        <f t="shared" si="100"/>
        <v>9.3333333333333351E-2</v>
      </c>
      <c r="AM123" s="211">
        <f t="shared" si="100"/>
        <v>0.08</v>
      </c>
      <c r="AN123" s="211">
        <f t="shared" si="100"/>
        <v>0.2</v>
      </c>
    </row>
    <row r="124" spans="2:40" s="7" customFormat="1" ht="12" hidden="1" customHeight="1" outlineLevel="2">
      <c r="B124" s="245"/>
      <c r="C124" s="213" t="s">
        <v>764</v>
      </c>
      <c r="D124" s="213"/>
      <c r="E124" s="213"/>
      <c r="F124" s="213"/>
      <c r="G124" s="213"/>
      <c r="H124" s="213"/>
      <c r="I124" s="213"/>
      <c r="J124" s="213"/>
      <c r="K124" s="213"/>
      <c r="L124" s="213"/>
      <c r="M124" s="213"/>
      <c r="N124" s="213"/>
      <c r="O124" s="213"/>
      <c r="P124" s="211">
        <f>INDEX($C$44:$AN$66,MATCH("New Customers 1MS",$C$44:$C$66,0),MATCH($C124,$C$44:$AN$44,0))</f>
        <v>1.6842105263157894</v>
      </c>
      <c r="Q124" s="211">
        <f t="shared" ref="Q124:AN124" si="101">$P$124*(E111)</f>
        <v>1.3473684210526315</v>
      </c>
      <c r="R124" s="211">
        <f t="shared" si="101"/>
        <v>1.263157894736842</v>
      </c>
      <c r="S124" s="211">
        <f t="shared" si="101"/>
        <v>1.0105263157894735</v>
      </c>
      <c r="T124" s="211">
        <f t="shared" si="101"/>
        <v>0.84210526315789469</v>
      </c>
      <c r="U124" s="211">
        <f t="shared" si="101"/>
        <v>0.50526315789473675</v>
      </c>
      <c r="V124" s="211">
        <f t="shared" si="101"/>
        <v>0.42105263157894735</v>
      </c>
      <c r="W124" s="211">
        <f t="shared" si="101"/>
        <v>0.33684210526315789</v>
      </c>
      <c r="X124" s="211">
        <f t="shared" si="101"/>
        <v>0.30315789473684207</v>
      </c>
      <c r="Y124" s="211">
        <f t="shared" si="101"/>
        <v>0.26947368421052631</v>
      </c>
      <c r="Z124" s="211">
        <f t="shared" si="101"/>
        <v>0.25263157894736837</v>
      </c>
      <c r="AA124" s="211">
        <f t="shared" si="101"/>
        <v>0.23578947368421055</v>
      </c>
      <c r="AB124" s="211">
        <f t="shared" si="101"/>
        <v>0.2021052631578947</v>
      </c>
      <c r="AC124" s="211">
        <f t="shared" si="101"/>
        <v>0.2021052631578947</v>
      </c>
      <c r="AD124" s="211">
        <f t="shared" si="101"/>
        <v>0.2021052631578947</v>
      </c>
      <c r="AE124" s="211">
        <f t="shared" si="101"/>
        <v>0.18526315789473682</v>
      </c>
      <c r="AF124" s="211">
        <f t="shared" si="101"/>
        <v>0.18526315789473682</v>
      </c>
      <c r="AG124" s="211">
        <f t="shared" si="101"/>
        <v>0.16842105263157894</v>
      </c>
      <c r="AH124" s="211">
        <f t="shared" si="101"/>
        <v>0.15157894736842104</v>
      </c>
      <c r="AI124" s="211">
        <f t="shared" si="101"/>
        <v>0.15157894736842104</v>
      </c>
      <c r="AJ124" s="211">
        <f t="shared" si="101"/>
        <v>0.13473684210526315</v>
      </c>
      <c r="AK124" s="211">
        <f t="shared" si="101"/>
        <v>0.13473684210526315</v>
      </c>
      <c r="AL124" s="211">
        <f t="shared" si="101"/>
        <v>0.11789473684210527</v>
      </c>
      <c r="AM124" s="211">
        <f t="shared" si="101"/>
        <v>0.11789473684210527</v>
      </c>
      <c r="AN124" s="211">
        <f t="shared" si="101"/>
        <v>0.10105263157894735</v>
      </c>
    </row>
    <row r="125" spans="2:40" s="7" customFormat="1" ht="12" hidden="1" customHeight="1" outlineLevel="2">
      <c r="B125" s="245"/>
      <c r="C125" s="213" t="s">
        <v>765</v>
      </c>
      <c r="D125" s="213"/>
      <c r="E125" s="213"/>
      <c r="F125" s="213"/>
      <c r="G125" s="213"/>
      <c r="H125" s="213"/>
      <c r="I125" s="213"/>
      <c r="J125" s="213"/>
      <c r="K125" s="213"/>
      <c r="L125" s="213"/>
      <c r="M125" s="213"/>
      <c r="N125" s="213"/>
      <c r="O125" s="213"/>
      <c r="P125" s="213"/>
      <c r="Q125" s="211">
        <f>INDEX($C$44:$AN$66,MATCH("New Customers 1MS",$C$44:$C$66,0),MATCH($C125,$C$44:$AN$44,0))</f>
        <v>3.9674105263157902</v>
      </c>
      <c r="R125" s="211">
        <f t="shared" ref="R125:AN125" si="102">$Q$125*(E111)</f>
        <v>3.1739284210526324</v>
      </c>
      <c r="S125" s="211">
        <f t="shared" si="102"/>
        <v>2.9755578947368426</v>
      </c>
      <c r="T125" s="211">
        <f t="shared" si="102"/>
        <v>2.3804463157894742</v>
      </c>
      <c r="U125" s="211">
        <f t="shared" si="102"/>
        <v>1.9837052631578951</v>
      </c>
      <c r="V125" s="211">
        <f t="shared" si="102"/>
        <v>1.1902231578947371</v>
      </c>
      <c r="W125" s="211">
        <f t="shared" si="102"/>
        <v>0.99185263157894754</v>
      </c>
      <c r="X125" s="211">
        <f t="shared" si="102"/>
        <v>0.7934821052631581</v>
      </c>
      <c r="Y125" s="211">
        <f t="shared" si="102"/>
        <v>0.71413389473684219</v>
      </c>
      <c r="Z125" s="211">
        <f t="shared" si="102"/>
        <v>0.63478568421052639</v>
      </c>
      <c r="AA125" s="211">
        <f t="shared" si="102"/>
        <v>0.59511157894736855</v>
      </c>
      <c r="AB125" s="211">
        <f t="shared" si="102"/>
        <v>0.5554374736842107</v>
      </c>
      <c r="AC125" s="211">
        <f t="shared" si="102"/>
        <v>0.47608926315789479</v>
      </c>
      <c r="AD125" s="211">
        <f t="shared" si="102"/>
        <v>0.47608926315789479</v>
      </c>
      <c r="AE125" s="211">
        <f t="shared" si="102"/>
        <v>0.47608926315789479</v>
      </c>
      <c r="AF125" s="211">
        <f t="shared" si="102"/>
        <v>0.43641515789473689</v>
      </c>
      <c r="AG125" s="211">
        <f t="shared" si="102"/>
        <v>0.43641515789473689</v>
      </c>
      <c r="AH125" s="211">
        <f t="shared" si="102"/>
        <v>0.39674105263157905</v>
      </c>
      <c r="AI125" s="211">
        <f t="shared" si="102"/>
        <v>0.35706694736842109</v>
      </c>
      <c r="AJ125" s="211">
        <f t="shared" si="102"/>
        <v>0.35706694736842109</v>
      </c>
      <c r="AK125" s="211">
        <f t="shared" si="102"/>
        <v>0.3173928421052632</v>
      </c>
      <c r="AL125" s="211">
        <f t="shared" si="102"/>
        <v>0.3173928421052632</v>
      </c>
      <c r="AM125" s="211">
        <f t="shared" si="102"/>
        <v>0.27771873684210535</v>
      </c>
      <c r="AN125" s="211">
        <f t="shared" si="102"/>
        <v>0.27771873684210535</v>
      </c>
    </row>
    <row r="126" spans="2:40" s="7" customFormat="1" ht="12" hidden="1" customHeight="1" outlineLevel="2">
      <c r="B126" s="245"/>
      <c r="C126" s="213" t="s">
        <v>766</v>
      </c>
      <c r="D126" s="213"/>
      <c r="E126" s="213"/>
      <c r="F126" s="213"/>
      <c r="G126" s="213"/>
      <c r="H126" s="213"/>
      <c r="I126" s="213"/>
      <c r="J126" s="213"/>
      <c r="K126" s="213"/>
      <c r="L126" s="213"/>
      <c r="M126" s="213"/>
      <c r="N126" s="213"/>
      <c r="O126" s="213"/>
      <c r="P126" s="213"/>
      <c r="Q126" s="213"/>
      <c r="R126" s="211">
        <f>INDEX($C$44:$AN$66,MATCH("New Customers 1MS",$C$44:$C$66,0),MATCH($C126,$C$44:$AN$44,0))</f>
        <v>18.565894736842107</v>
      </c>
      <c r="S126" s="211">
        <f t="shared" ref="S126:AN126" si="103">$R$126*(E111)</f>
        <v>14.852715789473686</v>
      </c>
      <c r="T126" s="211">
        <f t="shared" si="103"/>
        <v>13.92442105263158</v>
      </c>
      <c r="U126" s="211">
        <f t="shared" si="103"/>
        <v>11.139536842105263</v>
      </c>
      <c r="V126" s="211">
        <f t="shared" si="103"/>
        <v>9.2829473684210537</v>
      </c>
      <c r="W126" s="211">
        <f t="shared" si="103"/>
        <v>5.5697684210526317</v>
      </c>
      <c r="X126" s="211">
        <f t="shared" si="103"/>
        <v>4.6414736842105269</v>
      </c>
      <c r="Y126" s="211">
        <f t="shared" si="103"/>
        <v>3.7131789473684216</v>
      </c>
      <c r="Z126" s="211">
        <f t="shared" si="103"/>
        <v>3.3418610526315793</v>
      </c>
      <c r="AA126" s="211">
        <f t="shared" si="103"/>
        <v>2.9705431578947374</v>
      </c>
      <c r="AB126" s="211">
        <f t="shared" si="103"/>
        <v>2.7848842105263159</v>
      </c>
      <c r="AC126" s="211">
        <f t="shared" si="103"/>
        <v>2.5992252631578951</v>
      </c>
      <c r="AD126" s="211">
        <f t="shared" si="103"/>
        <v>2.2279073684210529</v>
      </c>
      <c r="AE126" s="211">
        <f t="shared" si="103"/>
        <v>2.2279073684210529</v>
      </c>
      <c r="AF126" s="211">
        <f t="shared" si="103"/>
        <v>2.2279073684210529</v>
      </c>
      <c r="AG126" s="211">
        <f t="shared" si="103"/>
        <v>2.0422484210526317</v>
      </c>
      <c r="AH126" s="211">
        <f t="shared" si="103"/>
        <v>2.0422484210526317</v>
      </c>
      <c r="AI126" s="211">
        <f t="shared" si="103"/>
        <v>1.8565894736842108</v>
      </c>
      <c r="AJ126" s="211">
        <f t="shared" si="103"/>
        <v>1.6709305263157896</v>
      </c>
      <c r="AK126" s="211">
        <f t="shared" si="103"/>
        <v>1.6709305263157896</v>
      </c>
      <c r="AL126" s="211">
        <f t="shared" si="103"/>
        <v>1.4852715789473687</v>
      </c>
      <c r="AM126" s="211">
        <f t="shared" si="103"/>
        <v>1.4852715789473687</v>
      </c>
      <c r="AN126" s="211">
        <f t="shared" si="103"/>
        <v>1.2996126315789476</v>
      </c>
    </row>
    <row r="127" spans="2:40" s="7" customFormat="1" ht="12" hidden="1" customHeight="1" outlineLevel="2">
      <c r="B127" s="245"/>
      <c r="C127" s="213" t="s">
        <v>767</v>
      </c>
      <c r="D127" s="213"/>
      <c r="E127" s="213"/>
      <c r="F127" s="213"/>
      <c r="G127" s="213"/>
      <c r="H127" s="213"/>
      <c r="I127" s="213"/>
      <c r="J127" s="213"/>
      <c r="K127" s="213"/>
      <c r="L127" s="213"/>
      <c r="M127" s="213"/>
      <c r="N127" s="213"/>
      <c r="O127" s="213"/>
      <c r="P127" s="213"/>
      <c r="Q127" s="213"/>
      <c r="R127" s="213"/>
      <c r="S127" s="211">
        <f>INDEX($C$44:$AN$66,MATCH("New Customers 1MS",$C$44:$C$66,0),MATCH($C127,$C$44:$AN$44,0))</f>
        <v>15.478484210526318</v>
      </c>
      <c r="T127" s="211">
        <f t="shared" ref="T127:AN127" si="104">$S$127*(E111)</f>
        <v>12.382787368421056</v>
      </c>
      <c r="U127" s="211">
        <f t="shared" si="104"/>
        <v>11.608863157894739</v>
      </c>
      <c r="V127" s="211">
        <f t="shared" si="104"/>
        <v>9.2870905263157901</v>
      </c>
      <c r="W127" s="211">
        <f t="shared" si="104"/>
        <v>7.739242105263159</v>
      </c>
      <c r="X127" s="211">
        <f t="shared" si="104"/>
        <v>4.6435452631578951</v>
      </c>
      <c r="Y127" s="211">
        <f t="shared" si="104"/>
        <v>3.8696210526315795</v>
      </c>
      <c r="Z127" s="211">
        <f t="shared" si="104"/>
        <v>3.095696842105264</v>
      </c>
      <c r="AA127" s="211">
        <f t="shared" si="104"/>
        <v>2.7861271578947373</v>
      </c>
      <c r="AB127" s="211">
        <f t="shared" si="104"/>
        <v>2.4765574736842111</v>
      </c>
      <c r="AC127" s="211">
        <f t="shared" si="104"/>
        <v>2.3217726315789475</v>
      </c>
      <c r="AD127" s="211">
        <f t="shared" si="104"/>
        <v>2.1669877894736849</v>
      </c>
      <c r="AE127" s="211">
        <f t="shared" si="104"/>
        <v>1.8574181052631582</v>
      </c>
      <c r="AF127" s="211">
        <f t="shared" si="104"/>
        <v>1.8574181052631582</v>
      </c>
      <c r="AG127" s="211">
        <f t="shared" si="104"/>
        <v>1.8574181052631582</v>
      </c>
      <c r="AH127" s="211">
        <f t="shared" si="104"/>
        <v>1.7026332631578951</v>
      </c>
      <c r="AI127" s="211">
        <f t="shared" si="104"/>
        <v>1.7026332631578951</v>
      </c>
      <c r="AJ127" s="211">
        <f t="shared" si="104"/>
        <v>1.547848421052632</v>
      </c>
      <c r="AK127" s="211">
        <f t="shared" si="104"/>
        <v>1.3930635789473687</v>
      </c>
      <c r="AL127" s="211">
        <f t="shared" si="104"/>
        <v>1.3930635789473687</v>
      </c>
      <c r="AM127" s="211">
        <f t="shared" si="104"/>
        <v>1.2382787368421055</v>
      </c>
      <c r="AN127" s="211">
        <f t="shared" si="104"/>
        <v>1.2382787368421055</v>
      </c>
    </row>
    <row r="128" spans="2:40" s="7" customFormat="1" ht="12" hidden="1" customHeight="1" outlineLevel="2">
      <c r="B128" s="245"/>
      <c r="C128" s="213" t="s">
        <v>768</v>
      </c>
      <c r="D128" s="213"/>
      <c r="E128" s="213"/>
      <c r="F128" s="213"/>
      <c r="G128" s="213"/>
      <c r="H128" s="213"/>
      <c r="I128" s="213"/>
      <c r="J128" s="213"/>
      <c r="K128" s="213"/>
      <c r="L128" s="213"/>
      <c r="M128" s="213"/>
      <c r="N128" s="213"/>
      <c r="O128" s="213"/>
      <c r="P128" s="213"/>
      <c r="Q128" s="213"/>
      <c r="R128" s="213"/>
      <c r="S128" s="213"/>
      <c r="T128" s="211">
        <f>INDEX($C$44:$AN$66,MATCH("New Customers 1MS",$C$44:$C$66,0),MATCH($C128,$C$44:$AN$44,0))</f>
        <v>39.667157894736846</v>
      </c>
      <c r="U128" s="211">
        <f t="shared" ref="U128:AN128" si="105">$T$128*(E111)</f>
        <v>31.733726315789479</v>
      </c>
      <c r="V128" s="211">
        <f t="shared" si="105"/>
        <v>29.750368421052634</v>
      </c>
      <c r="W128" s="211">
        <f t="shared" si="105"/>
        <v>23.800294736842108</v>
      </c>
      <c r="X128" s="211">
        <f t="shared" si="105"/>
        <v>19.833578947368423</v>
      </c>
      <c r="Y128" s="211">
        <f t="shared" si="105"/>
        <v>11.900147368421054</v>
      </c>
      <c r="Z128" s="211">
        <f t="shared" si="105"/>
        <v>9.9167894736842115</v>
      </c>
      <c r="AA128" s="211">
        <f t="shared" si="105"/>
        <v>7.9334315789473697</v>
      </c>
      <c r="AB128" s="211">
        <f t="shared" si="105"/>
        <v>7.1400884210526323</v>
      </c>
      <c r="AC128" s="211">
        <f t="shared" si="105"/>
        <v>6.3467452631578958</v>
      </c>
      <c r="AD128" s="211">
        <f t="shared" si="105"/>
        <v>5.9500736842105271</v>
      </c>
      <c r="AE128" s="211">
        <f t="shared" si="105"/>
        <v>5.5534021052631592</v>
      </c>
      <c r="AF128" s="211">
        <f t="shared" si="105"/>
        <v>4.7600589473684209</v>
      </c>
      <c r="AG128" s="211">
        <f t="shared" si="105"/>
        <v>4.7600589473684209</v>
      </c>
      <c r="AH128" s="211">
        <f t="shared" si="105"/>
        <v>4.7600589473684209</v>
      </c>
      <c r="AI128" s="211">
        <f t="shared" si="105"/>
        <v>4.3633873684210531</v>
      </c>
      <c r="AJ128" s="211">
        <f t="shared" si="105"/>
        <v>4.3633873684210531</v>
      </c>
      <c r="AK128" s="211">
        <f t="shared" si="105"/>
        <v>3.9667157894736849</v>
      </c>
      <c r="AL128" s="211">
        <f t="shared" si="105"/>
        <v>3.5700442105263162</v>
      </c>
      <c r="AM128" s="211">
        <f t="shared" si="105"/>
        <v>3.5700442105263162</v>
      </c>
      <c r="AN128" s="211">
        <f t="shared" si="105"/>
        <v>3.1733726315789479</v>
      </c>
    </row>
    <row r="129" spans="2:40" s="7" customFormat="1" ht="12" hidden="1" customHeight="1" outlineLevel="2">
      <c r="B129" s="245"/>
      <c r="C129" s="213" t="s">
        <v>769</v>
      </c>
      <c r="D129" s="213"/>
      <c r="E129" s="213"/>
      <c r="F129" s="213"/>
      <c r="G129" s="213"/>
      <c r="H129" s="213"/>
      <c r="I129" s="213"/>
      <c r="J129" s="213"/>
      <c r="K129" s="213"/>
      <c r="L129" s="213"/>
      <c r="M129" s="213"/>
      <c r="N129" s="213"/>
      <c r="O129" s="213"/>
      <c r="P129" s="213"/>
      <c r="Q129" s="213"/>
      <c r="R129" s="213"/>
      <c r="S129" s="213"/>
      <c r="T129" s="213"/>
      <c r="U129" s="211">
        <f>INDEX($C$44:$AN$66,MATCH("New Customers 1MS",$C$44:$C$66,0),MATCH($C129,$C$44:$AN$44,0))</f>
        <v>77.636101052631588</v>
      </c>
      <c r="V129" s="211">
        <f t="shared" ref="V129:AN129" si="106">$U$129*(E111)</f>
        <v>62.108880842105272</v>
      </c>
      <c r="W129" s="211">
        <f t="shared" si="106"/>
        <v>58.227075789473687</v>
      </c>
      <c r="X129" s="211">
        <f t="shared" si="106"/>
        <v>46.581660631578949</v>
      </c>
      <c r="Y129" s="211">
        <f t="shared" si="106"/>
        <v>38.818050526315794</v>
      </c>
      <c r="Z129" s="211">
        <f t="shared" si="106"/>
        <v>23.290830315789474</v>
      </c>
      <c r="AA129" s="211">
        <f t="shared" si="106"/>
        <v>19.409025263157897</v>
      </c>
      <c r="AB129" s="211">
        <f t="shared" si="106"/>
        <v>15.527220210526318</v>
      </c>
      <c r="AC129" s="211">
        <f t="shared" si="106"/>
        <v>13.974498189473685</v>
      </c>
      <c r="AD129" s="211">
        <f t="shared" si="106"/>
        <v>12.421776168421054</v>
      </c>
      <c r="AE129" s="211">
        <f t="shared" si="106"/>
        <v>11.645415157894737</v>
      </c>
      <c r="AF129" s="211">
        <f t="shared" si="106"/>
        <v>10.869054147368423</v>
      </c>
      <c r="AG129" s="211">
        <f t="shared" si="106"/>
        <v>9.3163321263157908</v>
      </c>
      <c r="AH129" s="211">
        <f t="shared" si="106"/>
        <v>9.3163321263157908</v>
      </c>
      <c r="AI129" s="211">
        <f t="shared" si="106"/>
        <v>9.3163321263157908</v>
      </c>
      <c r="AJ129" s="211">
        <f t="shared" si="106"/>
        <v>8.5399711157894753</v>
      </c>
      <c r="AK129" s="211">
        <f t="shared" si="106"/>
        <v>8.5399711157894753</v>
      </c>
      <c r="AL129" s="211">
        <f t="shared" si="106"/>
        <v>7.763610105263159</v>
      </c>
      <c r="AM129" s="211">
        <f t="shared" si="106"/>
        <v>6.9872490947368426</v>
      </c>
      <c r="AN129" s="211">
        <f t="shared" si="106"/>
        <v>6.9872490947368426</v>
      </c>
    </row>
    <row r="130" spans="2:40" s="7" customFormat="1" ht="12" hidden="1" customHeight="1" outlineLevel="2">
      <c r="B130" s="245"/>
      <c r="C130" s="213" t="s">
        <v>770</v>
      </c>
      <c r="D130" s="213"/>
      <c r="E130" s="213"/>
      <c r="F130" s="213"/>
      <c r="G130" s="213"/>
      <c r="H130" s="213"/>
      <c r="I130" s="213"/>
      <c r="J130" s="213"/>
      <c r="K130" s="213"/>
      <c r="L130" s="213"/>
      <c r="M130" s="213"/>
      <c r="N130" s="213"/>
      <c r="O130" s="213"/>
      <c r="P130" s="213"/>
      <c r="Q130" s="213"/>
      <c r="R130" s="213"/>
      <c r="S130" s="213"/>
      <c r="T130" s="213"/>
      <c r="U130" s="213"/>
      <c r="V130" s="211">
        <f>INDEX($C$44:$AN$66,MATCH("New Customers 1MS",$C$44:$C$66,0),MATCH($C130,$C$44:$AN$44,0))</f>
        <v>102.80067368421054</v>
      </c>
      <c r="W130" s="211">
        <f t="shared" ref="W130:AN130" si="107">$V$130*(E111)</f>
        <v>82.240538947368435</v>
      </c>
      <c r="X130" s="211">
        <f t="shared" si="107"/>
        <v>77.100505263157899</v>
      </c>
      <c r="Y130" s="211">
        <f t="shared" si="107"/>
        <v>61.680404210526319</v>
      </c>
      <c r="Z130" s="211">
        <f t="shared" si="107"/>
        <v>51.400336842105268</v>
      </c>
      <c r="AA130" s="211">
        <f t="shared" si="107"/>
        <v>30.84020210526316</v>
      </c>
      <c r="AB130" s="211">
        <f t="shared" si="107"/>
        <v>25.700168421052634</v>
      </c>
      <c r="AC130" s="211">
        <f t="shared" si="107"/>
        <v>20.560134736842109</v>
      </c>
      <c r="AD130" s="211">
        <f t="shared" si="107"/>
        <v>18.504121263157895</v>
      </c>
      <c r="AE130" s="211">
        <f t="shared" si="107"/>
        <v>16.448107789473685</v>
      </c>
      <c r="AF130" s="211">
        <f t="shared" si="107"/>
        <v>15.42010105263158</v>
      </c>
      <c r="AG130" s="211">
        <f t="shared" si="107"/>
        <v>14.392094315789477</v>
      </c>
      <c r="AH130" s="211">
        <f t="shared" si="107"/>
        <v>12.336080842105265</v>
      </c>
      <c r="AI130" s="211">
        <f t="shared" si="107"/>
        <v>12.336080842105265</v>
      </c>
      <c r="AJ130" s="211">
        <f t="shared" si="107"/>
        <v>12.336080842105265</v>
      </c>
      <c r="AK130" s="211">
        <f t="shared" si="107"/>
        <v>11.308074105263159</v>
      </c>
      <c r="AL130" s="211">
        <f t="shared" si="107"/>
        <v>11.308074105263159</v>
      </c>
      <c r="AM130" s="211">
        <f t="shared" si="107"/>
        <v>10.280067368421054</v>
      </c>
      <c r="AN130" s="211">
        <f t="shared" si="107"/>
        <v>9.2520606315789475</v>
      </c>
    </row>
    <row r="131" spans="2:40" s="7" customFormat="1" ht="12" hidden="1" customHeight="1" outlineLevel="2">
      <c r="B131" s="245"/>
      <c r="C131" s="213" t="s">
        <v>771</v>
      </c>
      <c r="D131" s="213"/>
      <c r="E131" s="213"/>
      <c r="F131" s="213"/>
      <c r="G131" s="213"/>
      <c r="H131" s="213"/>
      <c r="I131" s="213"/>
      <c r="J131" s="213"/>
      <c r="K131" s="213"/>
      <c r="L131" s="213"/>
      <c r="M131" s="213"/>
      <c r="N131" s="213"/>
      <c r="O131" s="213"/>
      <c r="P131" s="213"/>
      <c r="Q131" s="213"/>
      <c r="R131" s="213"/>
      <c r="S131" s="213"/>
      <c r="T131" s="213"/>
      <c r="U131" s="213"/>
      <c r="V131" s="213"/>
      <c r="W131" s="211">
        <f>INDEX($C$44:$AN$66,MATCH("New Customers 1MS",$C$44:$C$66,0),MATCH($C131,$C$44:$AN$44,0))</f>
        <v>54.739705263157887</v>
      </c>
      <c r="X131" s="211">
        <f t="shared" ref="X131:AN131" si="108">$W$131*(E111)</f>
        <v>43.79176421052631</v>
      </c>
      <c r="Y131" s="211">
        <f t="shared" si="108"/>
        <v>41.054778947368419</v>
      </c>
      <c r="Z131" s="211">
        <f t="shared" si="108"/>
        <v>32.843823157894732</v>
      </c>
      <c r="AA131" s="211">
        <f t="shared" si="108"/>
        <v>27.369852631578944</v>
      </c>
      <c r="AB131" s="211">
        <f t="shared" si="108"/>
        <v>16.421911578947366</v>
      </c>
      <c r="AC131" s="211">
        <f t="shared" si="108"/>
        <v>13.684926315789472</v>
      </c>
      <c r="AD131" s="211">
        <f t="shared" si="108"/>
        <v>10.947941052631577</v>
      </c>
      <c r="AE131" s="211">
        <f t="shared" si="108"/>
        <v>9.853146947368419</v>
      </c>
      <c r="AF131" s="211">
        <f t="shared" si="108"/>
        <v>8.7583528421052623</v>
      </c>
      <c r="AG131" s="211">
        <f t="shared" si="108"/>
        <v>8.2109557894736831</v>
      </c>
      <c r="AH131" s="211">
        <f t="shared" si="108"/>
        <v>7.6635587368421048</v>
      </c>
      <c r="AI131" s="211">
        <f t="shared" si="108"/>
        <v>6.5687646315789463</v>
      </c>
      <c r="AJ131" s="211">
        <f t="shared" si="108"/>
        <v>6.5687646315789463</v>
      </c>
      <c r="AK131" s="211">
        <f t="shared" si="108"/>
        <v>6.5687646315789463</v>
      </c>
      <c r="AL131" s="211">
        <f t="shared" si="108"/>
        <v>6.021367578947368</v>
      </c>
      <c r="AM131" s="211">
        <f t="shared" si="108"/>
        <v>6.021367578947368</v>
      </c>
      <c r="AN131" s="211">
        <f t="shared" si="108"/>
        <v>5.4739705263157887</v>
      </c>
    </row>
    <row r="132" spans="2:40" s="7" customFormat="1" ht="12" hidden="1" customHeight="1" outlineLevel="2">
      <c r="B132" s="245"/>
      <c r="C132" s="213" t="s">
        <v>772</v>
      </c>
      <c r="D132" s="213"/>
      <c r="E132" s="213"/>
      <c r="F132" s="213"/>
      <c r="G132" s="213"/>
      <c r="H132" s="213"/>
      <c r="I132" s="213"/>
      <c r="J132" s="213"/>
      <c r="K132" s="213"/>
      <c r="L132" s="213"/>
      <c r="M132" s="213"/>
      <c r="N132" s="213"/>
      <c r="O132" s="213"/>
      <c r="P132" s="213"/>
      <c r="Q132" s="213"/>
      <c r="R132" s="213"/>
      <c r="S132" s="213"/>
      <c r="T132" s="213"/>
      <c r="U132" s="213"/>
      <c r="V132" s="213"/>
      <c r="W132" s="213"/>
      <c r="X132" s="211">
        <f>INDEX($C$44:$AN$66,MATCH("New Customers 1MS",$C$44:$C$66,0),MATCH($C132,$C$44:$AN$44,0))</f>
        <v>37.990989473684216</v>
      </c>
      <c r="Y132" s="211">
        <f t="shared" ref="Y132:AN132" si="109">$X$132*(E111)</f>
        <v>30.392791578947374</v>
      </c>
      <c r="Z132" s="211">
        <f t="shared" si="109"/>
        <v>28.493242105263164</v>
      </c>
      <c r="AA132" s="211">
        <f t="shared" si="109"/>
        <v>22.794593684210529</v>
      </c>
      <c r="AB132" s="211">
        <f t="shared" si="109"/>
        <v>18.995494736842108</v>
      </c>
      <c r="AC132" s="211">
        <f t="shared" si="109"/>
        <v>11.397296842105265</v>
      </c>
      <c r="AD132" s="211">
        <f t="shared" si="109"/>
        <v>9.497747368421054</v>
      </c>
      <c r="AE132" s="211">
        <f t="shared" si="109"/>
        <v>7.5981978947368436</v>
      </c>
      <c r="AF132" s="211">
        <f t="shared" si="109"/>
        <v>6.8383781052631587</v>
      </c>
      <c r="AG132" s="211">
        <f t="shared" si="109"/>
        <v>6.0785583157894747</v>
      </c>
      <c r="AH132" s="211">
        <f t="shared" si="109"/>
        <v>5.6986484210526323</v>
      </c>
      <c r="AI132" s="211">
        <f t="shared" si="109"/>
        <v>5.3187385263157907</v>
      </c>
      <c r="AJ132" s="211">
        <f t="shared" si="109"/>
        <v>4.5589187368421058</v>
      </c>
      <c r="AK132" s="211">
        <f t="shared" si="109"/>
        <v>4.5589187368421058</v>
      </c>
      <c r="AL132" s="211">
        <f t="shared" si="109"/>
        <v>4.5589187368421058</v>
      </c>
      <c r="AM132" s="211">
        <f t="shared" si="109"/>
        <v>4.1790088421052642</v>
      </c>
      <c r="AN132" s="211">
        <f t="shared" si="109"/>
        <v>4.1790088421052642</v>
      </c>
    </row>
    <row r="133" spans="2:40" s="7" customFormat="1" ht="12" hidden="1" customHeight="1" outlineLevel="2">
      <c r="B133" s="245"/>
      <c r="C133" s="213" t="s">
        <v>773</v>
      </c>
      <c r="D133" s="213"/>
      <c r="E133" s="213"/>
      <c r="F133" s="213"/>
      <c r="G133" s="213"/>
      <c r="H133" s="213"/>
      <c r="I133" s="213"/>
      <c r="J133" s="213"/>
      <c r="K133" s="213"/>
      <c r="L133" s="213"/>
      <c r="M133" s="213"/>
      <c r="N133" s="213"/>
      <c r="O133" s="213"/>
      <c r="P133" s="213"/>
      <c r="Q133" s="213"/>
      <c r="R133" s="213"/>
      <c r="S133" s="213"/>
      <c r="T133" s="213"/>
      <c r="U133" s="213"/>
      <c r="V133" s="213"/>
      <c r="W133" s="213"/>
      <c r="X133" s="213"/>
      <c r="Y133" s="211">
        <f>INDEX($C$44:$AN$66,MATCH("New Customers 1MS",$C$44:$C$66,0),MATCH($C133,$C$44:$AN$44,0))</f>
        <v>88.421052631578959</v>
      </c>
      <c r="Z133" s="211">
        <f t="shared" ref="Z133:AN133" si="110">$Y$133*(E111)</f>
        <v>70.736842105263165</v>
      </c>
      <c r="AA133" s="211">
        <f t="shared" si="110"/>
        <v>66.31578947368422</v>
      </c>
      <c r="AB133" s="211">
        <f t="shared" si="110"/>
        <v>53.052631578947377</v>
      </c>
      <c r="AC133" s="211">
        <f t="shared" si="110"/>
        <v>44.21052631578948</v>
      </c>
      <c r="AD133" s="211">
        <f t="shared" si="110"/>
        <v>26.526315789473689</v>
      </c>
      <c r="AE133" s="211">
        <f t="shared" si="110"/>
        <v>22.10526315789474</v>
      </c>
      <c r="AF133" s="211">
        <f t="shared" si="110"/>
        <v>17.684210526315791</v>
      </c>
      <c r="AG133" s="211">
        <f t="shared" si="110"/>
        <v>15.915789473684212</v>
      </c>
      <c r="AH133" s="211">
        <f t="shared" si="110"/>
        <v>14.147368421052633</v>
      </c>
      <c r="AI133" s="211">
        <f t="shared" si="110"/>
        <v>13.263157894736844</v>
      </c>
      <c r="AJ133" s="211">
        <f t="shared" si="110"/>
        <v>12.378947368421056</v>
      </c>
      <c r="AK133" s="211">
        <f t="shared" si="110"/>
        <v>10.610526315789475</v>
      </c>
      <c r="AL133" s="211">
        <f t="shared" si="110"/>
        <v>10.610526315789475</v>
      </c>
      <c r="AM133" s="211">
        <f t="shared" si="110"/>
        <v>10.610526315789475</v>
      </c>
      <c r="AN133" s="211">
        <f t="shared" si="110"/>
        <v>9.726315789473686</v>
      </c>
    </row>
    <row r="134" spans="2:40" s="7" customFormat="1" ht="12" hidden="1" customHeight="1" outlineLevel="2">
      <c r="B134" s="245"/>
      <c r="C134" s="213" t="s">
        <v>774</v>
      </c>
      <c r="D134" s="213"/>
      <c r="E134" s="213"/>
      <c r="F134" s="213"/>
      <c r="G134" s="213"/>
      <c r="H134" s="213"/>
      <c r="I134" s="213"/>
      <c r="J134" s="213"/>
      <c r="K134" s="213"/>
      <c r="L134" s="213"/>
      <c r="M134" s="213"/>
      <c r="N134" s="213"/>
      <c r="O134" s="213"/>
      <c r="P134" s="213"/>
      <c r="Q134" s="213"/>
      <c r="R134" s="213"/>
      <c r="S134" s="213"/>
      <c r="T134" s="213"/>
      <c r="U134" s="213"/>
      <c r="V134" s="213"/>
      <c r="W134" s="213"/>
      <c r="X134" s="213"/>
      <c r="Y134" s="213"/>
      <c r="Z134" s="211">
        <f>INDEX($C$44:$AN$66,MATCH("New Customers 1MS",$C$44:$C$66,0),MATCH($C134,$C$44:$AN$44,0))</f>
        <v>88.421052631578959</v>
      </c>
      <c r="AA134" s="211">
        <f t="shared" ref="AA134:AN134" si="111">$Z$134*(E111)</f>
        <v>70.736842105263165</v>
      </c>
      <c r="AB134" s="211">
        <f t="shared" si="111"/>
        <v>66.31578947368422</v>
      </c>
      <c r="AC134" s="211">
        <f t="shared" si="111"/>
        <v>53.052631578947377</v>
      </c>
      <c r="AD134" s="211">
        <f t="shared" si="111"/>
        <v>44.21052631578948</v>
      </c>
      <c r="AE134" s="211">
        <f t="shared" si="111"/>
        <v>26.526315789473689</v>
      </c>
      <c r="AF134" s="211">
        <f t="shared" si="111"/>
        <v>22.10526315789474</v>
      </c>
      <c r="AG134" s="211">
        <f t="shared" si="111"/>
        <v>17.684210526315791</v>
      </c>
      <c r="AH134" s="211">
        <f t="shared" si="111"/>
        <v>15.915789473684212</v>
      </c>
      <c r="AI134" s="211">
        <f t="shared" si="111"/>
        <v>14.147368421052633</v>
      </c>
      <c r="AJ134" s="211">
        <f t="shared" si="111"/>
        <v>13.263157894736844</v>
      </c>
      <c r="AK134" s="211">
        <f t="shared" si="111"/>
        <v>12.378947368421056</v>
      </c>
      <c r="AL134" s="211">
        <f t="shared" si="111"/>
        <v>10.610526315789475</v>
      </c>
      <c r="AM134" s="211">
        <f t="shared" si="111"/>
        <v>10.610526315789475</v>
      </c>
      <c r="AN134" s="211">
        <f t="shared" si="111"/>
        <v>10.610526315789475</v>
      </c>
    </row>
    <row r="135" spans="2:40" s="7" customFormat="1" ht="12" hidden="1" customHeight="1" outlineLevel="2">
      <c r="B135" s="245"/>
      <c r="C135" s="213" t="s">
        <v>775</v>
      </c>
      <c r="D135" s="213"/>
      <c r="E135" s="213"/>
      <c r="F135" s="213"/>
      <c r="G135" s="213"/>
      <c r="H135" s="213"/>
      <c r="I135" s="213"/>
      <c r="J135" s="213"/>
      <c r="K135" s="213"/>
      <c r="L135" s="213"/>
      <c r="M135" s="213"/>
      <c r="N135" s="213"/>
      <c r="O135" s="213"/>
      <c r="P135" s="213"/>
      <c r="Q135" s="213"/>
      <c r="R135" s="213"/>
      <c r="S135" s="213"/>
      <c r="T135" s="213"/>
      <c r="U135" s="213"/>
      <c r="V135" s="213"/>
      <c r="W135" s="213"/>
      <c r="X135" s="213"/>
      <c r="Y135" s="213"/>
      <c r="Z135" s="213"/>
      <c r="AA135" s="211">
        <f>INDEX($C$44:$AN$66,MATCH("New Customers 1MS",$C$44:$C$66,0),MATCH($C135,$C$44:$AN$44,0))</f>
        <v>47.15789473684211</v>
      </c>
      <c r="AB135" s="211">
        <f t="shared" ref="AB135:AN135" si="112">$AA$135*(E111)</f>
        <v>37.726315789473688</v>
      </c>
      <c r="AC135" s="211">
        <f t="shared" si="112"/>
        <v>35.368421052631582</v>
      </c>
      <c r="AD135" s="211">
        <f t="shared" si="112"/>
        <v>28.294736842105266</v>
      </c>
      <c r="AE135" s="211">
        <f t="shared" si="112"/>
        <v>23.578947368421055</v>
      </c>
      <c r="AF135" s="211">
        <f t="shared" si="112"/>
        <v>14.147368421052633</v>
      </c>
      <c r="AG135" s="211">
        <f t="shared" si="112"/>
        <v>11.789473684210527</v>
      </c>
      <c r="AH135" s="211">
        <f t="shared" si="112"/>
        <v>9.431578947368422</v>
      </c>
      <c r="AI135" s="211">
        <f t="shared" si="112"/>
        <v>8.4884210526315798</v>
      </c>
      <c r="AJ135" s="211">
        <f t="shared" si="112"/>
        <v>7.5452631578947376</v>
      </c>
      <c r="AK135" s="211">
        <f t="shared" si="112"/>
        <v>7.0736842105263165</v>
      </c>
      <c r="AL135" s="211">
        <f t="shared" si="112"/>
        <v>6.6021052631578963</v>
      </c>
      <c r="AM135" s="211">
        <f t="shared" si="112"/>
        <v>5.6589473684210532</v>
      </c>
      <c r="AN135" s="211">
        <f t="shared" si="112"/>
        <v>5.6589473684210532</v>
      </c>
    </row>
    <row r="136" spans="2:40" s="7" customFormat="1" ht="12" hidden="1" customHeight="1" outlineLevel="2">
      <c r="B136" s="245"/>
      <c r="C136" s="213" t="s">
        <v>776</v>
      </c>
      <c r="D136" s="213"/>
      <c r="E136" s="213"/>
      <c r="F136" s="213"/>
      <c r="G136" s="213"/>
      <c r="H136" s="213"/>
      <c r="I136" s="213"/>
      <c r="J136" s="213"/>
      <c r="K136" s="213"/>
      <c r="L136" s="213"/>
      <c r="M136" s="213"/>
      <c r="N136" s="213"/>
      <c r="O136" s="213"/>
      <c r="P136" s="213"/>
      <c r="Q136" s="213"/>
      <c r="R136" s="213"/>
      <c r="S136" s="213"/>
      <c r="T136" s="213"/>
      <c r="U136" s="213"/>
      <c r="V136" s="213"/>
      <c r="W136" s="213"/>
      <c r="X136" s="213"/>
      <c r="Y136" s="213"/>
      <c r="Z136" s="213"/>
      <c r="AA136" s="213"/>
      <c r="AB136" s="211">
        <f>INDEX($C$44:$AN$66,MATCH("New Customers 1MS",$C$44:$C$66,0),MATCH($C136,$C$44:$AN$44,0))</f>
        <v>47.15789473684211</v>
      </c>
      <c r="AC136" s="211">
        <f t="shared" ref="AC136:AN136" si="113">$AB$136*(E111)</f>
        <v>37.726315789473688</v>
      </c>
      <c r="AD136" s="211">
        <f t="shared" si="113"/>
        <v>35.368421052631582</v>
      </c>
      <c r="AE136" s="211">
        <f t="shared" si="113"/>
        <v>28.294736842105266</v>
      </c>
      <c r="AF136" s="211">
        <f t="shared" si="113"/>
        <v>23.578947368421055</v>
      </c>
      <c r="AG136" s="211">
        <f t="shared" si="113"/>
        <v>14.147368421052633</v>
      </c>
      <c r="AH136" s="211">
        <f t="shared" si="113"/>
        <v>11.789473684210527</v>
      </c>
      <c r="AI136" s="211">
        <f t="shared" si="113"/>
        <v>9.431578947368422</v>
      </c>
      <c r="AJ136" s="211">
        <f t="shared" si="113"/>
        <v>8.4884210526315798</v>
      </c>
      <c r="AK136" s="211">
        <f t="shared" si="113"/>
        <v>7.5452631578947376</v>
      </c>
      <c r="AL136" s="211">
        <f t="shared" si="113"/>
        <v>7.0736842105263165</v>
      </c>
      <c r="AM136" s="211">
        <f t="shared" si="113"/>
        <v>6.6021052631578963</v>
      </c>
      <c r="AN136" s="211">
        <f t="shared" si="113"/>
        <v>5.6589473684210532</v>
      </c>
    </row>
    <row r="137" spans="2:40" s="7" customFormat="1" ht="12" hidden="1" customHeight="1" outlineLevel="2">
      <c r="B137" s="245"/>
      <c r="C137" s="213" t="s">
        <v>777</v>
      </c>
      <c r="D137" s="213"/>
      <c r="E137" s="213"/>
      <c r="F137" s="213"/>
      <c r="G137" s="213"/>
      <c r="H137" s="213"/>
      <c r="I137" s="213"/>
      <c r="J137" s="213"/>
      <c r="K137" s="213"/>
      <c r="L137" s="213"/>
      <c r="M137" s="213"/>
      <c r="N137" s="213"/>
      <c r="O137" s="213"/>
      <c r="P137" s="213"/>
      <c r="Q137" s="213"/>
      <c r="R137" s="213"/>
      <c r="S137" s="213"/>
      <c r="T137" s="213"/>
      <c r="U137" s="213"/>
      <c r="V137" s="213"/>
      <c r="W137" s="213"/>
      <c r="X137" s="213"/>
      <c r="Y137" s="213"/>
      <c r="Z137" s="213"/>
      <c r="AA137" s="213"/>
      <c r="AB137" s="211"/>
      <c r="AC137" s="211">
        <f>INDEX($C$44:$AN$66,MATCH("New Customers 1MS",$C$44:$C$66,0),MATCH($C137,$C$44:$AN$44,0))</f>
        <v>47.608926315789475</v>
      </c>
      <c r="AD137" s="211">
        <f t="shared" ref="AD137:AN137" si="114">$AC$137*(E111)</f>
        <v>38.08714105263158</v>
      </c>
      <c r="AE137" s="211">
        <f t="shared" si="114"/>
        <v>35.70669473684211</v>
      </c>
      <c r="AF137" s="211">
        <f t="shared" si="114"/>
        <v>28.565355789473685</v>
      </c>
      <c r="AG137" s="211">
        <f t="shared" si="114"/>
        <v>23.804463157894737</v>
      </c>
      <c r="AH137" s="211">
        <f t="shared" si="114"/>
        <v>14.282677894736842</v>
      </c>
      <c r="AI137" s="211">
        <f t="shared" si="114"/>
        <v>11.902231578947369</v>
      </c>
      <c r="AJ137" s="211">
        <f t="shared" si="114"/>
        <v>9.521785263157895</v>
      </c>
      <c r="AK137" s="211">
        <f t="shared" si="114"/>
        <v>8.5696067368421058</v>
      </c>
      <c r="AL137" s="211">
        <f t="shared" si="114"/>
        <v>7.6174282105263158</v>
      </c>
      <c r="AM137" s="211">
        <f t="shared" si="114"/>
        <v>7.1413389473684212</v>
      </c>
      <c r="AN137" s="211">
        <f t="shared" si="114"/>
        <v>6.6652496842105275</v>
      </c>
    </row>
    <row r="138" spans="2:40" s="7" customFormat="1" ht="12" hidden="1" customHeight="1" outlineLevel="2">
      <c r="B138" s="245"/>
      <c r="C138" s="213" t="s">
        <v>778</v>
      </c>
      <c r="D138" s="213"/>
      <c r="E138" s="213"/>
      <c r="F138" s="213"/>
      <c r="G138" s="213"/>
      <c r="H138" s="213"/>
      <c r="I138" s="213"/>
      <c r="J138" s="213"/>
      <c r="K138" s="213"/>
      <c r="L138" s="213"/>
      <c r="M138" s="213"/>
      <c r="N138" s="213"/>
      <c r="O138" s="213"/>
      <c r="P138" s="213"/>
      <c r="Q138" s="213"/>
      <c r="R138" s="213"/>
      <c r="S138" s="213"/>
      <c r="T138" s="213"/>
      <c r="U138" s="213"/>
      <c r="V138" s="213"/>
      <c r="W138" s="213"/>
      <c r="X138" s="213"/>
      <c r="Y138" s="213"/>
      <c r="Z138" s="213"/>
      <c r="AA138" s="213"/>
      <c r="AB138" s="211"/>
      <c r="AC138" s="211"/>
      <c r="AD138" s="211">
        <f>INDEX($C$44:$AN$66,MATCH("New Customers 1MS",$C$44:$C$66,0),MATCH($C138,$C$44:$AN$44,0))</f>
        <v>222.7907368421053</v>
      </c>
      <c r="AE138" s="211">
        <f t="shared" ref="AE138:AN138" si="115">$AD$138*(E111)</f>
        <v>178.23258947368424</v>
      </c>
      <c r="AF138" s="211">
        <f t="shared" si="115"/>
        <v>167.09305263157898</v>
      </c>
      <c r="AG138" s="211">
        <f t="shared" si="115"/>
        <v>133.67444210526318</v>
      </c>
      <c r="AH138" s="211">
        <f t="shared" si="115"/>
        <v>111.39536842105265</v>
      </c>
      <c r="AI138" s="211">
        <f t="shared" si="115"/>
        <v>66.837221052631591</v>
      </c>
      <c r="AJ138" s="211">
        <f t="shared" si="115"/>
        <v>55.697684210526326</v>
      </c>
      <c r="AK138" s="211">
        <f t="shared" si="115"/>
        <v>44.558147368421061</v>
      </c>
      <c r="AL138" s="211">
        <f t="shared" si="115"/>
        <v>40.102332631578953</v>
      </c>
      <c r="AM138" s="211">
        <f t="shared" si="115"/>
        <v>35.646517894736853</v>
      </c>
      <c r="AN138" s="211">
        <f t="shared" si="115"/>
        <v>33.418610526315796</v>
      </c>
    </row>
    <row r="139" spans="2:40" s="7" customFormat="1" ht="12" hidden="1" customHeight="1" outlineLevel="2">
      <c r="B139" s="245"/>
      <c r="C139" s="213" t="s">
        <v>779</v>
      </c>
      <c r="D139" s="213"/>
      <c r="E139" s="213"/>
      <c r="F139" s="213"/>
      <c r="G139" s="213"/>
      <c r="H139" s="213"/>
      <c r="I139" s="213"/>
      <c r="J139" s="213"/>
      <c r="K139" s="213"/>
      <c r="L139" s="213"/>
      <c r="M139" s="213"/>
      <c r="N139" s="213"/>
      <c r="O139" s="213"/>
      <c r="P139" s="213"/>
      <c r="Q139" s="213"/>
      <c r="R139" s="213"/>
      <c r="S139" s="213"/>
      <c r="T139" s="213"/>
      <c r="U139" s="213"/>
      <c r="V139" s="213"/>
      <c r="W139" s="213"/>
      <c r="X139" s="213"/>
      <c r="Y139" s="213"/>
      <c r="Z139" s="213"/>
      <c r="AA139" s="213"/>
      <c r="AB139" s="211"/>
      <c r="AC139" s="211"/>
      <c r="AD139" s="211"/>
      <c r="AE139" s="211">
        <f>INDEX($C$44:$AN$66,MATCH("New Customers 1MS",$C$44:$C$66,0),MATCH($C139,$C$44:$AN$44,0))</f>
        <v>185.74181052631582</v>
      </c>
      <c r="AF139" s="211">
        <f t="shared" ref="AF139:AM139" si="116">$AE$139*(E111)</f>
        <v>148.59344842105267</v>
      </c>
      <c r="AG139" s="211">
        <f t="shared" si="116"/>
        <v>139.30635789473686</v>
      </c>
      <c r="AH139" s="211">
        <f t="shared" si="116"/>
        <v>111.44508631578948</v>
      </c>
      <c r="AI139" s="211">
        <f t="shared" si="116"/>
        <v>92.870905263157908</v>
      </c>
      <c r="AJ139" s="211">
        <f t="shared" si="116"/>
        <v>55.722543157894741</v>
      </c>
      <c r="AK139" s="211">
        <f t="shared" si="116"/>
        <v>46.435452631578954</v>
      </c>
      <c r="AL139" s="211">
        <f t="shared" si="116"/>
        <v>37.148362105263168</v>
      </c>
      <c r="AM139" s="211">
        <f t="shared" si="116"/>
        <v>33.433525894736846</v>
      </c>
      <c r="AN139" s="211">
        <f>AM139*(M111)</f>
        <v>5.3493641431578958</v>
      </c>
    </row>
    <row r="140" spans="2:40" s="7" customFormat="1" ht="12" hidden="1" customHeight="1" outlineLevel="2">
      <c r="B140" s="245"/>
      <c r="C140" s="213" t="s">
        <v>780</v>
      </c>
      <c r="D140" s="213"/>
      <c r="E140" s="213"/>
      <c r="F140" s="213"/>
      <c r="G140" s="213"/>
      <c r="H140" s="213"/>
      <c r="I140" s="213"/>
      <c r="J140" s="213"/>
      <c r="K140" s="213"/>
      <c r="L140" s="213"/>
      <c r="M140" s="213"/>
      <c r="N140" s="213"/>
      <c r="O140" s="213"/>
      <c r="P140" s="213"/>
      <c r="Q140" s="213"/>
      <c r="R140" s="213"/>
      <c r="S140" s="213"/>
      <c r="T140" s="213"/>
      <c r="U140" s="213"/>
      <c r="V140" s="213"/>
      <c r="W140" s="213"/>
      <c r="X140" s="213"/>
      <c r="Y140" s="213"/>
      <c r="Z140" s="213"/>
      <c r="AA140" s="213"/>
      <c r="AB140" s="211"/>
      <c r="AC140" s="211"/>
      <c r="AD140" s="211"/>
      <c r="AE140" s="211"/>
      <c r="AF140" s="211">
        <f>INDEX($C$44:$AN$66,MATCH("New Customers 1MS",$C$44:$C$66,0),MATCH($C140,$C$44:$AN$44,0))</f>
        <v>68.000842105263175</v>
      </c>
      <c r="AG140" s="211">
        <f t="shared" ref="AG140:AM140" si="117">$AF$140*(E111)</f>
        <v>54.400673684210545</v>
      </c>
      <c r="AH140" s="211">
        <f t="shared" si="117"/>
        <v>51.000631578947377</v>
      </c>
      <c r="AI140" s="211">
        <f t="shared" si="117"/>
        <v>40.800505263157902</v>
      </c>
      <c r="AJ140" s="211">
        <f t="shared" si="117"/>
        <v>34.000421052631587</v>
      </c>
      <c r="AK140" s="211">
        <f t="shared" si="117"/>
        <v>20.400252631578951</v>
      </c>
      <c r="AL140" s="211">
        <f t="shared" si="117"/>
        <v>17.000210526315794</v>
      </c>
      <c r="AM140" s="211">
        <f t="shared" si="117"/>
        <v>13.600168421052636</v>
      </c>
      <c r="AN140" s="211">
        <f>AM140*(L111)</f>
        <v>2.4480303157894743</v>
      </c>
    </row>
    <row r="141" spans="2:40" s="7" customFormat="1" ht="12" hidden="1" customHeight="1" outlineLevel="2">
      <c r="B141" s="245"/>
      <c r="C141" s="213" t="s">
        <v>781</v>
      </c>
      <c r="D141" s="213"/>
      <c r="E141" s="213"/>
      <c r="F141" s="213"/>
      <c r="G141" s="213"/>
      <c r="H141" s="213"/>
      <c r="I141" s="213"/>
      <c r="J141" s="213"/>
      <c r="K141" s="213"/>
      <c r="L141" s="213"/>
      <c r="M141" s="213"/>
      <c r="N141" s="213"/>
      <c r="O141" s="213"/>
      <c r="P141" s="213"/>
      <c r="Q141" s="213"/>
      <c r="R141" s="213"/>
      <c r="S141" s="213"/>
      <c r="T141" s="213"/>
      <c r="U141" s="213"/>
      <c r="V141" s="213"/>
      <c r="W141" s="213"/>
      <c r="X141" s="213"/>
      <c r="Y141" s="213"/>
      <c r="Z141" s="213"/>
      <c r="AA141" s="213"/>
      <c r="AB141" s="211"/>
      <c r="AC141" s="211"/>
      <c r="AD141" s="211"/>
      <c r="AE141" s="211"/>
      <c r="AF141" s="211"/>
      <c r="AG141" s="211">
        <f>INDEX($C$44:$AN$66,MATCH("New Customers 1MS",$C$44:$C$66,0),MATCH($C141,$C$44:$AN$44,0))</f>
        <v>120.99132631578949</v>
      </c>
      <c r="AH141" s="211">
        <f t="shared" ref="AH141:AN141" si="118">$AG$141*(E111)</f>
        <v>96.7930610526316</v>
      </c>
      <c r="AI141" s="211">
        <f t="shared" si="118"/>
        <v>90.743494736842123</v>
      </c>
      <c r="AJ141" s="211">
        <f t="shared" si="118"/>
        <v>72.594795789473693</v>
      </c>
      <c r="AK141" s="211">
        <f t="shared" si="118"/>
        <v>60.495663157894747</v>
      </c>
      <c r="AL141" s="211">
        <f t="shared" si="118"/>
        <v>36.297397894736847</v>
      </c>
      <c r="AM141" s="211">
        <f t="shared" si="118"/>
        <v>30.247831578947373</v>
      </c>
      <c r="AN141" s="211">
        <f t="shared" si="118"/>
        <v>24.1982652631579</v>
      </c>
    </row>
    <row r="142" spans="2:40" s="7" customFormat="1" ht="12" hidden="1" customHeight="1" outlineLevel="2">
      <c r="B142" s="245"/>
      <c r="C142" s="213" t="s">
        <v>782</v>
      </c>
      <c r="D142" s="213"/>
      <c r="E142" s="213"/>
      <c r="F142" s="213"/>
      <c r="G142" s="213"/>
      <c r="H142" s="213"/>
      <c r="I142" s="213"/>
      <c r="J142" s="213"/>
      <c r="K142" s="213"/>
      <c r="L142" s="213"/>
      <c r="M142" s="213"/>
      <c r="N142" s="213"/>
      <c r="O142" s="213"/>
      <c r="P142" s="213"/>
      <c r="Q142" s="213"/>
      <c r="R142" s="213"/>
      <c r="S142" s="213"/>
      <c r="T142" s="213"/>
      <c r="U142" s="213"/>
      <c r="V142" s="213"/>
      <c r="W142" s="213"/>
      <c r="X142" s="213"/>
      <c r="Y142" s="213"/>
      <c r="Z142" s="213"/>
      <c r="AA142" s="213"/>
      <c r="AB142" s="211"/>
      <c r="AC142" s="211"/>
      <c r="AD142" s="211"/>
      <c r="AE142" s="211"/>
      <c r="AF142" s="211"/>
      <c r="AG142" s="211"/>
      <c r="AH142" s="211">
        <f>INDEX($C$44:$AN$66,MATCH("New Customers 1MS",$C$44:$C$66,0),MATCH($C142,$C$44:$AN$44,0))</f>
        <v>160.20884210526316</v>
      </c>
      <c r="AI142" s="211">
        <f t="shared" ref="AI142:AN142" si="119">$AH$142*(E111)</f>
        <v>128.16707368421052</v>
      </c>
      <c r="AJ142" s="211">
        <f t="shared" si="119"/>
        <v>120.15663157894737</v>
      </c>
      <c r="AK142" s="211">
        <f t="shared" si="119"/>
        <v>96.125305263157898</v>
      </c>
      <c r="AL142" s="211">
        <f t="shared" si="119"/>
        <v>80.104421052631579</v>
      </c>
      <c r="AM142" s="211">
        <f t="shared" si="119"/>
        <v>48.062652631578949</v>
      </c>
      <c r="AN142" s="211">
        <f t="shared" si="119"/>
        <v>40.05221052631579</v>
      </c>
    </row>
    <row r="143" spans="2:40" s="7" customFormat="1" ht="12" hidden="1" customHeight="1" outlineLevel="2">
      <c r="B143" s="245"/>
      <c r="C143" s="213" t="s">
        <v>783</v>
      </c>
      <c r="D143" s="213"/>
      <c r="E143" s="213"/>
      <c r="F143" s="213"/>
      <c r="G143" s="213"/>
      <c r="H143" s="213"/>
      <c r="I143" s="213"/>
      <c r="J143" s="213"/>
      <c r="K143" s="213"/>
      <c r="L143" s="213"/>
      <c r="M143" s="213"/>
      <c r="N143" s="213"/>
      <c r="O143" s="213"/>
      <c r="P143" s="213"/>
      <c r="Q143" s="213"/>
      <c r="R143" s="213"/>
      <c r="S143" s="213"/>
      <c r="T143" s="213"/>
      <c r="U143" s="213"/>
      <c r="V143" s="213"/>
      <c r="W143" s="213"/>
      <c r="X143" s="213"/>
      <c r="Y143" s="213"/>
      <c r="Z143" s="213"/>
      <c r="AA143" s="213"/>
      <c r="AB143" s="211"/>
      <c r="AC143" s="211"/>
      <c r="AD143" s="211"/>
      <c r="AE143" s="211"/>
      <c r="AF143" s="211"/>
      <c r="AG143" s="211"/>
      <c r="AH143" s="211"/>
      <c r="AI143" s="211">
        <f>INDEX($C$44:$AN$66,MATCH("New Customers 1MS",$C$44:$C$66,0),MATCH($C143,$C$44:$AN$44,0))</f>
        <v>85.30863157894737</v>
      </c>
      <c r="AJ143" s="211">
        <f>$AI$143*(E111)</f>
        <v>68.246905263157899</v>
      </c>
      <c r="AK143" s="211">
        <f>$AI$143*(F111)</f>
        <v>63.981473684210528</v>
      </c>
      <c r="AL143" s="211">
        <f>$AI$143*(G111)</f>
        <v>51.185178947368421</v>
      </c>
      <c r="AM143" s="211">
        <f>$AI$143*(H111)</f>
        <v>42.654315789473685</v>
      </c>
      <c r="AN143" s="211">
        <f>$AI$143*(I111)</f>
        <v>25.59258947368421</v>
      </c>
    </row>
    <row r="144" spans="2:40" s="7" customFormat="1" ht="12" hidden="1" customHeight="1" outlineLevel="2">
      <c r="B144" s="245"/>
      <c r="C144" s="213" t="s">
        <v>784</v>
      </c>
      <c r="D144" s="213"/>
      <c r="E144" s="213"/>
      <c r="F144" s="213"/>
      <c r="G144" s="213"/>
      <c r="H144" s="213"/>
      <c r="I144" s="213"/>
      <c r="J144" s="213"/>
      <c r="K144" s="213"/>
      <c r="L144" s="213"/>
      <c r="M144" s="213"/>
      <c r="N144" s="213"/>
      <c r="O144" s="213"/>
      <c r="P144" s="213"/>
      <c r="Q144" s="213"/>
      <c r="R144" s="213"/>
      <c r="S144" s="213"/>
      <c r="T144" s="213"/>
      <c r="U144" s="213"/>
      <c r="V144" s="213"/>
      <c r="W144" s="213"/>
      <c r="X144" s="213"/>
      <c r="Y144" s="213"/>
      <c r="Z144" s="213"/>
      <c r="AA144" s="213"/>
      <c r="AB144" s="211"/>
      <c r="AC144" s="211"/>
      <c r="AD144" s="211"/>
      <c r="AE144" s="211"/>
      <c r="AF144" s="211"/>
      <c r="AG144" s="211"/>
      <c r="AH144" s="211"/>
      <c r="AI144" s="211"/>
      <c r="AJ144" s="211">
        <f>INDEX($C$44:$AN$66,MATCH("New Customers 1MS",$C$44:$C$66,0),MATCH($C144,$C$44:$AN$44,0))</f>
        <v>59.206736842105258</v>
      </c>
      <c r="AK144" s="211">
        <f>$AJ$144*(E111)</f>
        <v>47.36538947368421</v>
      </c>
      <c r="AL144" s="211">
        <f>$AJ$144*(F111)</f>
        <v>44.40505263157894</v>
      </c>
      <c r="AM144" s="211">
        <f>$AJ$144*(G111)</f>
        <v>35.524042105263156</v>
      </c>
      <c r="AN144" s="211">
        <f>$AJ$144*(H111)</f>
        <v>29.603368421052629</v>
      </c>
    </row>
    <row r="145" spans="2:41" s="7" customFormat="1" ht="12" hidden="1" customHeight="1" outlineLevel="2">
      <c r="B145" s="245"/>
      <c r="C145" s="213" t="s">
        <v>785</v>
      </c>
      <c r="D145" s="213"/>
      <c r="E145" s="213"/>
      <c r="F145" s="213"/>
      <c r="G145" s="213"/>
      <c r="H145" s="213"/>
      <c r="I145" s="213"/>
      <c r="J145" s="213"/>
      <c r="K145" s="213"/>
      <c r="L145" s="213"/>
      <c r="M145" s="213"/>
      <c r="N145" s="213"/>
      <c r="O145" s="213"/>
      <c r="P145" s="213"/>
      <c r="Q145" s="213"/>
      <c r="R145" s="213"/>
      <c r="S145" s="213"/>
      <c r="T145" s="213"/>
      <c r="U145" s="213"/>
      <c r="V145" s="213"/>
      <c r="W145" s="213"/>
      <c r="X145" s="213"/>
      <c r="Y145" s="213"/>
      <c r="Z145" s="213"/>
      <c r="AA145" s="213"/>
      <c r="AB145" s="211"/>
      <c r="AC145" s="211"/>
      <c r="AD145" s="211"/>
      <c r="AE145" s="211"/>
      <c r="AF145" s="211"/>
      <c r="AG145" s="211"/>
      <c r="AH145" s="211"/>
      <c r="AI145" s="211"/>
      <c r="AJ145" s="211"/>
      <c r="AK145" s="211">
        <f>INDEX($C$44:$AN$66,MATCH("New Customers 1MS",$C$44:$C$66,0),MATCH($C145,$C$44:$AN$44,0))</f>
        <v>151.57894736842104</v>
      </c>
      <c r="AL145" s="211">
        <f>$AK$145*(E111)</f>
        <v>121.26315789473684</v>
      </c>
      <c r="AM145" s="211">
        <f>$AK$145*(F111)</f>
        <v>113.68421052631578</v>
      </c>
      <c r="AN145" s="211">
        <f>$AK$145*(G111)</f>
        <v>90.947368421052616</v>
      </c>
    </row>
    <row r="146" spans="2:41" s="7" customFormat="1" ht="12" hidden="1" customHeight="1" outlineLevel="2">
      <c r="B146" s="245"/>
      <c r="C146" s="213" t="s">
        <v>786</v>
      </c>
      <c r="D146" s="213"/>
      <c r="E146" s="213"/>
      <c r="F146" s="213"/>
      <c r="G146" s="213"/>
      <c r="H146" s="213"/>
      <c r="I146" s="213"/>
      <c r="J146" s="213"/>
      <c r="K146" s="213"/>
      <c r="L146" s="213"/>
      <c r="M146" s="213"/>
      <c r="N146" s="213"/>
      <c r="O146" s="213"/>
      <c r="P146" s="213"/>
      <c r="Q146" s="213"/>
      <c r="R146" s="213"/>
      <c r="S146" s="213"/>
      <c r="T146" s="213"/>
      <c r="U146" s="213"/>
      <c r="V146" s="213"/>
      <c r="W146" s="213"/>
      <c r="X146" s="213"/>
      <c r="Y146" s="213"/>
      <c r="Z146" s="213"/>
      <c r="AA146" s="213"/>
      <c r="AB146" s="211"/>
      <c r="AC146" s="211"/>
      <c r="AD146" s="211"/>
      <c r="AE146" s="211"/>
      <c r="AF146" s="211"/>
      <c r="AG146" s="211"/>
      <c r="AH146" s="211"/>
      <c r="AI146" s="211"/>
      <c r="AJ146" s="211"/>
      <c r="AK146" s="211"/>
      <c r="AL146" s="211">
        <f>INDEX($C$44:$AN$66,MATCH("New Customers 1MS",$C$44:$C$66,0),MATCH($C146,$C$44:$AN$44,0))</f>
        <v>151.57894736842104</v>
      </c>
      <c r="AM146" s="211">
        <f>$AL$146*(E111)</f>
        <v>121.26315789473684</v>
      </c>
      <c r="AN146" s="211">
        <f>$AL$146*(F111)</f>
        <v>113.68421052631578</v>
      </c>
    </row>
    <row r="147" spans="2:41" s="7" customFormat="1" ht="12" hidden="1" customHeight="1" outlineLevel="2">
      <c r="B147" s="245"/>
      <c r="C147" s="213" t="s">
        <v>787</v>
      </c>
      <c r="D147" s="213"/>
      <c r="E147" s="213"/>
      <c r="F147" s="213"/>
      <c r="G147" s="213"/>
      <c r="H147" s="213"/>
      <c r="I147" s="213"/>
      <c r="J147" s="213"/>
      <c r="K147" s="213"/>
      <c r="L147" s="213"/>
      <c r="M147" s="213"/>
      <c r="N147" s="213"/>
      <c r="O147" s="213"/>
      <c r="P147" s="213"/>
      <c r="Q147" s="213"/>
      <c r="R147" s="213"/>
      <c r="S147" s="213"/>
      <c r="T147" s="213"/>
      <c r="U147" s="213"/>
      <c r="V147" s="213"/>
      <c r="W147" s="213"/>
      <c r="X147" s="213"/>
      <c r="Y147" s="213"/>
      <c r="Z147" s="213"/>
      <c r="AA147" s="213"/>
      <c r="AB147" s="211"/>
      <c r="AC147" s="211"/>
      <c r="AD147" s="211"/>
      <c r="AE147" s="211"/>
      <c r="AF147" s="211"/>
      <c r="AG147" s="211"/>
      <c r="AH147" s="211"/>
      <c r="AI147" s="211"/>
      <c r="AJ147" s="211"/>
      <c r="AK147" s="211"/>
      <c r="AL147" s="211"/>
      <c r="AM147" s="211">
        <f>INDEX($C$44:$AN$66,MATCH("New Customers 1MS",$C$44:$C$66,0),MATCH($C147,$C$44:$AN$44,0))</f>
        <v>80.84210526315789</v>
      </c>
      <c r="AN147" s="211">
        <f>$AM$147*(E111)</f>
        <v>64.673684210526318</v>
      </c>
    </row>
    <row r="148" spans="2:41" s="7" customFormat="1" ht="12" hidden="1" customHeight="1" outlineLevel="2">
      <c r="B148" s="245"/>
      <c r="C148" s="213" t="s">
        <v>788</v>
      </c>
      <c r="D148" s="213"/>
      <c r="E148" s="213"/>
      <c r="F148" s="213"/>
      <c r="G148" s="213"/>
      <c r="H148" s="213"/>
      <c r="I148" s="213"/>
      <c r="J148" s="213"/>
      <c r="K148" s="213"/>
      <c r="L148" s="213"/>
      <c r="M148" s="213"/>
      <c r="N148" s="213"/>
      <c r="O148" s="213"/>
      <c r="P148" s="213"/>
      <c r="Q148" s="213"/>
      <c r="R148" s="213"/>
      <c r="S148" s="213"/>
      <c r="T148" s="213"/>
      <c r="U148" s="213"/>
      <c r="V148" s="213"/>
      <c r="W148" s="213"/>
      <c r="X148" s="213"/>
      <c r="Y148" s="213"/>
      <c r="Z148" s="213"/>
      <c r="AA148" s="213"/>
      <c r="AB148" s="211"/>
      <c r="AC148" s="211"/>
      <c r="AD148" s="211"/>
      <c r="AE148" s="211"/>
      <c r="AF148" s="211"/>
      <c r="AG148" s="211"/>
      <c r="AH148" s="211"/>
      <c r="AI148" s="211"/>
      <c r="AJ148" s="211"/>
      <c r="AK148" s="211"/>
      <c r="AL148" s="211"/>
      <c r="AM148" s="211"/>
      <c r="AN148" s="211">
        <f>INDEX($C$44:$AN$66,MATCH("New Customers 1MS",$C$44:$C$66,0),MATCH($C148,$C$44:$AN$44,0))</f>
        <v>80.84210526315789</v>
      </c>
    </row>
    <row r="149" spans="2:41" s="7" customFormat="1" ht="12" hidden="1" customHeight="1" outlineLevel="2">
      <c r="B149" s="245"/>
      <c r="C149" s="213"/>
      <c r="D149" s="213"/>
      <c r="E149" s="213"/>
      <c r="F149" s="213"/>
      <c r="G149" s="213"/>
      <c r="H149" s="213"/>
      <c r="I149" s="213"/>
      <c r="J149" s="213"/>
      <c r="K149" s="213"/>
      <c r="L149" s="213"/>
      <c r="M149" s="213"/>
      <c r="N149" s="213"/>
      <c r="O149" s="213"/>
      <c r="P149" s="213"/>
      <c r="Q149" s="213"/>
      <c r="R149" s="213"/>
      <c r="S149" s="213"/>
      <c r="T149" s="213"/>
      <c r="U149" s="213"/>
      <c r="V149" s="213"/>
      <c r="W149" s="213"/>
      <c r="X149" s="213"/>
      <c r="Y149" s="213"/>
      <c r="Z149" s="213"/>
      <c r="AA149" s="213"/>
      <c r="AB149" s="211"/>
      <c r="AC149" s="211"/>
      <c r="AD149" s="211"/>
      <c r="AE149" s="211"/>
      <c r="AF149" s="211"/>
      <c r="AG149" s="211"/>
      <c r="AH149" s="211"/>
      <c r="AI149" s="211"/>
      <c r="AJ149" s="211"/>
      <c r="AK149" s="211"/>
      <c r="AL149" s="211"/>
      <c r="AM149" s="211"/>
      <c r="AN149" s="211"/>
    </row>
    <row r="150" spans="2:41" s="7" customFormat="1" ht="12" hidden="1" customHeight="1" outlineLevel="2">
      <c r="B150" s="245"/>
      <c r="C150" s="213"/>
      <c r="D150" s="213"/>
      <c r="E150" s="213"/>
      <c r="F150" s="213"/>
      <c r="G150" s="213"/>
      <c r="H150" s="213"/>
      <c r="I150" s="213"/>
      <c r="J150" s="213"/>
      <c r="K150" s="213"/>
      <c r="L150" s="213"/>
      <c r="M150" s="213"/>
      <c r="N150" s="213"/>
      <c r="O150" s="213"/>
      <c r="P150" s="213"/>
      <c r="Q150" s="213"/>
      <c r="R150" s="213"/>
      <c r="S150" s="213"/>
      <c r="T150" s="213"/>
      <c r="U150" s="213"/>
      <c r="V150" s="213"/>
      <c r="W150" s="213"/>
      <c r="X150" s="213"/>
      <c r="Y150" s="213"/>
      <c r="Z150" s="213"/>
      <c r="AA150" s="213"/>
      <c r="AB150" s="211"/>
      <c r="AC150" s="211"/>
      <c r="AD150" s="211"/>
      <c r="AE150" s="211"/>
      <c r="AF150" s="211"/>
      <c r="AG150" s="211"/>
      <c r="AH150" s="211"/>
      <c r="AI150" s="211"/>
      <c r="AJ150" s="211"/>
      <c r="AK150" s="211"/>
      <c r="AL150" s="211"/>
      <c r="AM150" s="211"/>
      <c r="AN150" s="211"/>
    </row>
    <row r="151" spans="2:41" s="7" customFormat="1" ht="12" hidden="1" customHeight="1" outlineLevel="2">
      <c r="B151" s="245"/>
      <c r="C151" s="243" t="s">
        <v>854</v>
      </c>
      <c r="D151" s="213"/>
      <c r="E151" s="213"/>
      <c r="F151" s="213"/>
      <c r="G151" s="213"/>
      <c r="H151" s="213"/>
      <c r="I151" s="213"/>
      <c r="J151" s="213"/>
      <c r="K151" s="213"/>
      <c r="L151" s="213"/>
      <c r="M151" s="213"/>
      <c r="N151" s="213"/>
      <c r="O151" s="213"/>
      <c r="P151" s="213"/>
      <c r="Q151" s="213"/>
      <c r="R151" s="213"/>
      <c r="S151" s="213"/>
      <c r="T151" s="213"/>
      <c r="U151" s="213"/>
      <c r="V151" s="213"/>
      <c r="W151" s="213"/>
      <c r="X151" s="213"/>
      <c r="Y151" s="213"/>
      <c r="Z151" s="213"/>
      <c r="AA151" s="213"/>
      <c r="AB151" s="213"/>
      <c r="AC151" s="211"/>
    </row>
    <row r="152" spans="2:41" s="7" customFormat="1" ht="12" hidden="1" customHeight="1" outlineLevel="2">
      <c r="B152" s="239"/>
      <c r="C152" s="214" t="s">
        <v>850</v>
      </c>
      <c r="D152" s="214"/>
      <c r="E152" s="196" t="s">
        <v>753</v>
      </c>
      <c r="F152" s="196" t="s">
        <v>754</v>
      </c>
      <c r="G152" s="196" t="s">
        <v>755</v>
      </c>
      <c r="H152" s="196" t="s">
        <v>756</v>
      </c>
      <c r="I152" s="196" t="s">
        <v>757</v>
      </c>
      <c r="J152" s="196" t="s">
        <v>758</v>
      </c>
      <c r="K152" s="196" t="s">
        <v>759</v>
      </c>
      <c r="L152" s="196" t="s">
        <v>760</v>
      </c>
      <c r="M152" s="196" t="s">
        <v>761</v>
      </c>
      <c r="N152" s="196" t="s">
        <v>762</v>
      </c>
      <c r="O152" s="196" t="s">
        <v>763</v>
      </c>
      <c r="P152" s="196" t="s">
        <v>764</v>
      </c>
      <c r="Q152" s="196" t="s">
        <v>765</v>
      </c>
      <c r="R152" s="196" t="s">
        <v>766</v>
      </c>
      <c r="S152" s="196" t="s">
        <v>767</v>
      </c>
      <c r="T152" s="196" t="s">
        <v>768</v>
      </c>
      <c r="U152" s="196" t="s">
        <v>769</v>
      </c>
      <c r="V152" s="196" t="s">
        <v>770</v>
      </c>
      <c r="W152" s="196" t="s">
        <v>771</v>
      </c>
      <c r="X152" s="196" t="s">
        <v>772</v>
      </c>
      <c r="Y152" s="196" t="s">
        <v>773</v>
      </c>
      <c r="Z152" s="196" t="s">
        <v>774</v>
      </c>
      <c r="AA152" s="196" t="s">
        <v>775</v>
      </c>
      <c r="AB152" s="196" t="s">
        <v>776</v>
      </c>
      <c r="AC152" s="196" t="s">
        <v>777</v>
      </c>
      <c r="AD152" s="196" t="s">
        <v>778</v>
      </c>
      <c r="AE152" s="196" t="s">
        <v>779</v>
      </c>
      <c r="AF152" s="196" t="s">
        <v>780</v>
      </c>
      <c r="AG152" s="196" t="s">
        <v>781</v>
      </c>
      <c r="AH152" s="196" t="s">
        <v>782</v>
      </c>
      <c r="AI152" s="196" t="s">
        <v>783</v>
      </c>
      <c r="AJ152" s="196" t="s">
        <v>784</v>
      </c>
      <c r="AK152" s="196" t="s">
        <v>785</v>
      </c>
      <c r="AL152" s="196" t="s">
        <v>786</v>
      </c>
      <c r="AM152" s="196" t="s">
        <v>787</v>
      </c>
      <c r="AN152" s="196" t="s">
        <v>788</v>
      </c>
    </row>
    <row r="153" spans="2:41" s="7" customFormat="1" ht="12" hidden="1" customHeight="1" outlineLevel="2">
      <c r="B153" s="239"/>
      <c r="C153" s="247" t="s">
        <v>851</v>
      </c>
      <c r="D153" s="212"/>
      <c r="E153" s="345">
        <v>0.9</v>
      </c>
      <c r="F153" s="342"/>
      <c r="G153" s="342"/>
      <c r="H153" s="345">
        <v>0.6</v>
      </c>
      <c r="I153" s="342"/>
      <c r="J153" s="342"/>
      <c r="K153" s="345">
        <v>0.4</v>
      </c>
      <c r="L153" s="342"/>
      <c r="M153" s="342"/>
      <c r="N153" s="345">
        <v>0.2</v>
      </c>
      <c r="O153" s="342"/>
      <c r="P153" s="342"/>
      <c r="Q153" s="345">
        <v>0.15</v>
      </c>
      <c r="R153" s="342"/>
      <c r="S153" s="342"/>
      <c r="T153" s="345">
        <v>0.1</v>
      </c>
      <c r="U153" s="342"/>
      <c r="V153" s="342"/>
      <c r="W153" s="345">
        <v>0.08</v>
      </c>
      <c r="X153" s="342"/>
      <c r="Y153" s="342"/>
      <c r="Z153" s="345">
        <v>7.0000000000000007E-2</v>
      </c>
      <c r="AA153" s="342"/>
      <c r="AB153" s="342"/>
      <c r="AC153" s="345">
        <v>0.05</v>
      </c>
      <c r="AD153" s="342"/>
      <c r="AE153" s="342"/>
      <c r="AF153" s="345">
        <v>0.04</v>
      </c>
      <c r="AG153" s="342"/>
      <c r="AH153" s="342"/>
      <c r="AI153" s="345">
        <v>0.02</v>
      </c>
      <c r="AJ153" s="342"/>
      <c r="AK153" s="342"/>
      <c r="AL153" s="345">
        <v>0.01</v>
      </c>
      <c r="AM153" s="342"/>
      <c r="AN153" s="342"/>
    </row>
    <row r="154" spans="2:41" s="7" customFormat="1" ht="12" hidden="1" customHeight="1" outlineLevel="2">
      <c r="B154" s="239"/>
      <c r="C154" s="214" t="s">
        <v>852</v>
      </c>
      <c r="D154" s="212"/>
      <c r="E154" s="211">
        <f>86*66%</f>
        <v>56.760000000000005</v>
      </c>
      <c r="F154" s="211">
        <f>69-28</f>
        <v>41</v>
      </c>
      <c r="G154" s="211">
        <f>111-28</f>
        <v>83</v>
      </c>
      <c r="H154" s="211">
        <f>E154*0.98-27</f>
        <v>28.6248</v>
      </c>
      <c r="I154" s="211">
        <f>F154*0.98-40</f>
        <v>0.17999999999999972</v>
      </c>
      <c r="J154" s="211">
        <f t="shared" ref="J154:AN154" si="120">G154*0.98</f>
        <v>81.34</v>
      </c>
      <c r="K154" s="211">
        <f t="shared" si="120"/>
        <v>28.052303999999999</v>
      </c>
      <c r="L154" s="211">
        <f t="shared" si="120"/>
        <v>0.17639999999999972</v>
      </c>
      <c r="M154" s="211">
        <f t="shared" si="120"/>
        <v>79.713200000000001</v>
      </c>
      <c r="N154" s="211">
        <f t="shared" si="120"/>
        <v>27.491257919999999</v>
      </c>
      <c r="O154" s="211">
        <f t="shared" si="120"/>
        <v>0.17287199999999972</v>
      </c>
      <c r="P154" s="211">
        <f t="shared" si="120"/>
        <v>78.118936000000005</v>
      </c>
      <c r="Q154" s="211">
        <f t="shared" si="120"/>
        <v>26.941432761599998</v>
      </c>
      <c r="R154" s="211">
        <f t="shared" si="120"/>
        <v>0.16941455999999971</v>
      </c>
      <c r="S154" s="211">
        <f t="shared" si="120"/>
        <v>76.556557280000007</v>
      </c>
      <c r="T154" s="211">
        <f t="shared" si="120"/>
        <v>26.402604106367999</v>
      </c>
      <c r="U154" s="211">
        <f t="shared" si="120"/>
        <v>0.16602626879999971</v>
      </c>
      <c r="V154" s="211">
        <f t="shared" si="120"/>
        <v>75.025426134400007</v>
      </c>
      <c r="W154" s="211">
        <f t="shared" si="120"/>
        <v>25.874552024240639</v>
      </c>
      <c r="X154" s="211">
        <f t="shared" si="120"/>
        <v>0.16270574342399971</v>
      </c>
      <c r="Y154" s="211">
        <f t="shared" si="120"/>
        <v>73.524917611711999</v>
      </c>
      <c r="Z154" s="211">
        <f t="shared" si="120"/>
        <v>25.357060983755826</v>
      </c>
      <c r="AA154" s="211">
        <f t="shared" si="120"/>
        <v>0.15945162855551973</v>
      </c>
      <c r="AB154" s="211">
        <f t="shared" si="120"/>
        <v>72.054419259477754</v>
      </c>
      <c r="AC154" s="211">
        <f t="shared" si="120"/>
        <v>24.84991976408071</v>
      </c>
      <c r="AD154" s="211">
        <f t="shared" si="120"/>
        <v>0.15626259598440934</v>
      </c>
      <c r="AE154" s="211">
        <f t="shared" si="120"/>
        <v>70.613330874288195</v>
      </c>
      <c r="AF154" s="211">
        <f t="shared" si="120"/>
        <v>24.352921368799095</v>
      </c>
      <c r="AG154" s="211">
        <f t="shared" si="120"/>
        <v>0.15313734406472115</v>
      </c>
      <c r="AH154" s="211">
        <f t="shared" si="120"/>
        <v>69.201064256802425</v>
      </c>
      <c r="AI154" s="211">
        <f t="shared" si="120"/>
        <v>23.865862941423114</v>
      </c>
      <c r="AJ154" s="211">
        <f t="shared" si="120"/>
        <v>0.15007459718342672</v>
      </c>
      <c r="AK154" s="211">
        <f t="shared" si="120"/>
        <v>67.817042971666382</v>
      </c>
      <c r="AL154" s="211">
        <f t="shared" si="120"/>
        <v>23.38854568259465</v>
      </c>
      <c r="AM154" s="211">
        <f t="shared" si="120"/>
        <v>0.1470731052397582</v>
      </c>
      <c r="AN154" s="211">
        <f t="shared" si="120"/>
        <v>66.460702112233051</v>
      </c>
      <c r="AO154" s="211"/>
    </row>
    <row r="155" spans="2:41" s="7" customFormat="1" ht="12" hidden="1" customHeight="1" outlineLevel="2">
      <c r="B155" s="245"/>
      <c r="C155" s="213" t="s">
        <v>753</v>
      </c>
      <c r="D155" s="213"/>
      <c r="E155" s="211">
        <f>INDEX($C$44:$AN$66,MATCH("New Customers 3MS",$C$44:$C$66,0),MATCH($C155,$C$44:$AN$44,0))</f>
        <v>0</v>
      </c>
      <c r="F155" s="211"/>
      <c r="G155" s="211"/>
      <c r="H155" s="211">
        <f>E155*(E153)</f>
        <v>0</v>
      </c>
      <c r="I155" s="211"/>
      <c r="J155" s="211"/>
      <c r="K155" s="211">
        <f>$E$155*(H153)</f>
        <v>0</v>
      </c>
      <c r="L155" s="211"/>
      <c r="M155" s="211"/>
      <c r="N155" s="211">
        <f>$E$155*(K153)</f>
        <v>0</v>
      </c>
      <c r="O155" s="211"/>
      <c r="P155" s="211"/>
      <c r="Q155" s="211">
        <f>$E$155*(N153)</f>
        <v>0</v>
      </c>
      <c r="R155" s="211"/>
      <c r="S155" s="211"/>
      <c r="T155" s="211">
        <f>$E$155*(Q153)</f>
        <v>0</v>
      </c>
      <c r="U155" s="211"/>
      <c r="V155" s="211"/>
      <c r="W155" s="211">
        <f>$E$155*(T153)</f>
        <v>0</v>
      </c>
      <c r="X155" s="211"/>
      <c r="Y155" s="211"/>
      <c r="Z155" s="211">
        <f>$E$155*(W153)</f>
        <v>0</v>
      </c>
      <c r="AA155" s="211"/>
      <c r="AB155" s="211"/>
      <c r="AC155" s="211">
        <f>$E$155*(Z153)</f>
        <v>0</v>
      </c>
      <c r="AD155" s="211"/>
      <c r="AE155" s="211"/>
      <c r="AF155" s="211">
        <f>$E$155*(AC153)</f>
        <v>0</v>
      </c>
      <c r="AG155" s="211"/>
      <c r="AH155" s="211"/>
      <c r="AI155" s="211">
        <f>$E$155*(AF153)</f>
        <v>0</v>
      </c>
      <c r="AJ155" s="211"/>
      <c r="AK155" s="211"/>
      <c r="AL155" s="211">
        <f>$E$155*(AI153)</f>
        <v>0</v>
      </c>
      <c r="AM155" s="211"/>
      <c r="AN155" s="211"/>
    </row>
    <row r="156" spans="2:41" s="7" customFormat="1" ht="12" hidden="1" customHeight="1" outlineLevel="2">
      <c r="B156" s="245"/>
      <c r="C156" s="213" t="s">
        <v>754</v>
      </c>
      <c r="D156" s="213"/>
      <c r="E156" s="213"/>
      <c r="F156" s="211">
        <f>INDEX($C$44:$AN$66,MATCH("New Customers 3MS",$C$44:$C$66,0),MATCH($C156,$C$44:$AN$44,0))</f>
        <v>0</v>
      </c>
      <c r="G156" s="211"/>
      <c r="H156" s="211"/>
      <c r="I156" s="211">
        <f>$F$156*(E153)</f>
        <v>0</v>
      </c>
      <c r="J156" s="211"/>
      <c r="K156" s="211"/>
      <c r="L156" s="211">
        <f>$F$156*(H153)</f>
        <v>0</v>
      </c>
      <c r="M156" s="211"/>
      <c r="N156" s="211"/>
      <c r="O156" s="211">
        <f>$F$156*(K153)</f>
        <v>0</v>
      </c>
      <c r="P156" s="211"/>
      <c r="Q156" s="211"/>
      <c r="R156" s="211">
        <f>$F$156*(N153)</f>
        <v>0</v>
      </c>
      <c r="S156" s="211"/>
      <c r="T156" s="211"/>
      <c r="U156" s="211">
        <f>$F$156*(Q153)</f>
        <v>0</v>
      </c>
      <c r="V156" s="211"/>
      <c r="W156" s="211"/>
      <c r="X156" s="211">
        <f>$F$156*(T153)</f>
        <v>0</v>
      </c>
      <c r="Y156" s="211"/>
      <c r="Z156" s="211"/>
      <c r="AA156" s="211">
        <f>$F$156*(W153)</f>
        <v>0</v>
      </c>
      <c r="AB156" s="211"/>
      <c r="AC156" s="211"/>
      <c r="AD156" s="211">
        <f>$F$156*(Z153)</f>
        <v>0</v>
      </c>
      <c r="AE156" s="211"/>
      <c r="AF156" s="211"/>
      <c r="AG156" s="211">
        <f>$F$156*(AC153)</f>
        <v>0</v>
      </c>
      <c r="AH156" s="211"/>
      <c r="AI156" s="211"/>
      <c r="AJ156" s="211">
        <f>$F$156*(AF153)</f>
        <v>0</v>
      </c>
      <c r="AK156" s="211"/>
      <c r="AL156" s="211"/>
      <c r="AM156" s="211">
        <f>$F$156*(AI153)</f>
        <v>0</v>
      </c>
      <c r="AN156" s="211"/>
    </row>
    <row r="157" spans="2:41" s="7" customFormat="1" ht="12" hidden="1" customHeight="1" outlineLevel="2">
      <c r="B157" s="245"/>
      <c r="C157" s="213" t="s">
        <v>755</v>
      </c>
      <c r="D157" s="213"/>
      <c r="E157" s="213"/>
      <c r="F157" s="213"/>
      <c r="G157" s="211">
        <f>INDEX($C$44:$AN$66,MATCH("New Customers 3MS",$C$44:$C$66,0),MATCH($C157,$C$44:$AN$44,0))</f>
        <v>0</v>
      </c>
      <c r="H157" s="211"/>
      <c r="I157" s="211"/>
      <c r="J157" s="211">
        <f>$G$157*(E153)</f>
        <v>0</v>
      </c>
      <c r="K157" s="211"/>
      <c r="L157" s="211"/>
      <c r="M157" s="211">
        <f>$G$157*(H153)</f>
        <v>0</v>
      </c>
      <c r="N157" s="211"/>
      <c r="O157" s="211"/>
      <c r="P157" s="211">
        <f>$G$157*(K153)</f>
        <v>0</v>
      </c>
      <c r="Q157" s="211"/>
      <c r="R157" s="211"/>
      <c r="S157" s="211">
        <f>$G$157*(N153)</f>
        <v>0</v>
      </c>
      <c r="T157" s="211"/>
      <c r="U157" s="211"/>
      <c r="V157" s="211">
        <f>$G$157*(Q153)</f>
        <v>0</v>
      </c>
      <c r="W157" s="211"/>
      <c r="X157" s="211"/>
      <c r="Y157" s="211">
        <f>$G$157*(T153)</f>
        <v>0</v>
      </c>
      <c r="Z157" s="211"/>
      <c r="AA157" s="211"/>
      <c r="AB157" s="211">
        <f>$G$157*(W153)</f>
        <v>0</v>
      </c>
      <c r="AC157" s="211"/>
      <c r="AD157" s="211"/>
      <c r="AE157" s="211">
        <f>$G$157*(Z153)</f>
        <v>0</v>
      </c>
      <c r="AF157" s="211"/>
      <c r="AG157" s="211"/>
      <c r="AH157" s="211">
        <f>$G$157*(AC153)</f>
        <v>0</v>
      </c>
      <c r="AI157" s="211"/>
      <c r="AJ157" s="211"/>
      <c r="AK157" s="211">
        <f>$G$157*(AF153)</f>
        <v>0</v>
      </c>
      <c r="AL157" s="211"/>
      <c r="AM157" s="211"/>
      <c r="AN157" s="211">
        <f>$G$157*(AI153)</f>
        <v>0</v>
      </c>
    </row>
    <row r="158" spans="2:41" s="7" customFormat="1" ht="12" hidden="1" customHeight="1" outlineLevel="2">
      <c r="B158" s="245"/>
      <c r="C158" s="213" t="s">
        <v>756</v>
      </c>
      <c r="D158" s="213"/>
      <c r="E158" s="213"/>
      <c r="F158" s="213"/>
      <c r="G158" s="213"/>
      <c r="H158" s="211">
        <f>INDEX($C$44:$AN$66,MATCH("New Customers 3MS",$C$44:$C$66,0),MATCH($C158,$C$44:$AN$44,0))</f>
        <v>0</v>
      </c>
      <c r="I158" s="211"/>
      <c r="J158" s="211"/>
      <c r="K158" s="211">
        <f>$H$158*(E153)</f>
        <v>0</v>
      </c>
      <c r="L158" s="211"/>
      <c r="M158" s="211"/>
      <c r="N158" s="211">
        <f>$H$158*(H153)</f>
        <v>0</v>
      </c>
      <c r="O158" s="211"/>
      <c r="P158" s="211"/>
      <c r="Q158" s="211">
        <f>$H$158*(K153)</f>
        <v>0</v>
      </c>
      <c r="R158" s="211"/>
      <c r="S158" s="211"/>
      <c r="T158" s="211">
        <f>$H$158*(N153)</f>
        <v>0</v>
      </c>
      <c r="U158" s="211"/>
      <c r="V158" s="211"/>
      <c r="W158" s="211">
        <f>$H$158*(Q153)</f>
        <v>0</v>
      </c>
      <c r="X158" s="211"/>
      <c r="Y158" s="211"/>
      <c r="Z158" s="211">
        <f>$H$158*(T153)</f>
        <v>0</v>
      </c>
      <c r="AA158" s="211"/>
      <c r="AB158" s="211"/>
      <c r="AC158" s="211">
        <f>$H$158*(W153)</f>
        <v>0</v>
      </c>
      <c r="AD158" s="211"/>
      <c r="AE158" s="211"/>
      <c r="AF158" s="211">
        <f>$H$158*(Z153)</f>
        <v>0</v>
      </c>
      <c r="AG158" s="211"/>
      <c r="AH158" s="211"/>
      <c r="AI158" s="211">
        <f>$H$158*(AC153)</f>
        <v>0</v>
      </c>
      <c r="AJ158" s="211"/>
      <c r="AK158" s="211"/>
      <c r="AL158" s="211">
        <f>$H$158*(AF153)</f>
        <v>0</v>
      </c>
      <c r="AM158" s="211"/>
      <c r="AN158" s="211"/>
    </row>
    <row r="159" spans="2:41" s="7" customFormat="1" ht="12" hidden="1" customHeight="1" outlineLevel="2">
      <c r="B159" s="245"/>
      <c r="C159" s="213" t="s">
        <v>757</v>
      </c>
      <c r="D159" s="213"/>
      <c r="E159" s="213"/>
      <c r="F159" s="213"/>
      <c r="G159" s="213"/>
      <c r="H159" s="213"/>
      <c r="I159" s="211">
        <f>INDEX($C$44:$AN$66,MATCH("New Customers 3MS",$C$44:$C$66,0),MATCH($C159,$C$44:$AN$44,0))</f>
        <v>0</v>
      </c>
      <c r="J159" s="211"/>
      <c r="K159" s="211"/>
      <c r="L159" s="211">
        <f>$I$159*(E153)</f>
        <v>0</v>
      </c>
      <c r="M159" s="211"/>
      <c r="N159" s="211"/>
      <c r="O159" s="211">
        <f>$I$159*(H153)</f>
        <v>0</v>
      </c>
      <c r="P159" s="211"/>
      <c r="Q159" s="211"/>
      <c r="R159" s="211">
        <f>$I$159*(K153)</f>
        <v>0</v>
      </c>
      <c r="S159" s="211"/>
      <c r="T159" s="211"/>
      <c r="U159" s="211">
        <f>$I$159*(N153)</f>
        <v>0</v>
      </c>
      <c r="V159" s="211"/>
      <c r="W159" s="211"/>
      <c r="X159" s="211">
        <f>$I$159*(Q153)</f>
        <v>0</v>
      </c>
      <c r="Y159" s="211"/>
      <c r="Z159" s="211"/>
      <c r="AA159" s="211">
        <f>$I$159*(T153)</f>
        <v>0</v>
      </c>
      <c r="AB159" s="211"/>
      <c r="AC159" s="211"/>
      <c r="AD159" s="211">
        <f>$I$159*(W153)</f>
        <v>0</v>
      </c>
      <c r="AE159" s="211"/>
      <c r="AF159" s="211"/>
      <c r="AG159" s="211">
        <f>$I$159*(Z153)</f>
        <v>0</v>
      </c>
      <c r="AH159" s="211"/>
      <c r="AI159" s="211"/>
      <c r="AJ159" s="211">
        <f>$I$159*(AC153)</f>
        <v>0</v>
      </c>
      <c r="AK159" s="211"/>
      <c r="AL159" s="211"/>
      <c r="AM159" s="211">
        <f>$I$159*(AF153)</f>
        <v>0</v>
      </c>
      <c r="AN159" s="211"/>
    </row>
    <row r="160" spans="2:41" s="7" customFormat="1" ht="12" hidden="1" customHeight="1" outlineLevel="2">
      <c r="B160" s="245"/>
      <c r="C160" s="213" t="s">
        <v>758</v>
      </c>
      <c r="D160" s="213"/>
      <c r="E160" s="213"/>
      <c r="F160" s="213"/>
      <c r="G160" s="213"/>
      <c r="H160" s="213"/>
      <c r="I160" s="213"/>
      <c r="J160" s="211">
        <f>INDEX($C$44:$AN$66,MATCH("New Customers 3MS",$C$44:$C$66,0),MATCH($C160,$C$44:$AN$44,0))</f>
        <v>2.0000000000000004</v>
      </c>
      <c r="K160" s="211"/>
      <c r="L160" s="211"/>
      <c r="M160" s="211">
        <f>$J$160*(E153)</f>
        <v>1.8000000000000005</v>
      </c>
      <c r="N160" s="211"/>
      <c r="O160" s="211"/>
      <c r="P160" s="211">
        <f>$J$160*(H153)</f>
        <v>1.2000000000000002</v>
      </c>
      <c r="Q160" s="211"/>
      <c r="R160" s="211"/>
      <c r="S160" s="211">
        <f>$J$160*(K153)</f>
        <v>0.80000000000000027</v>
      </c>
      <c r="T160" s="211"/>
      <c r="U160" s="211"/>
      <c r="V160" s="211">
        <f>$J$160*(N153)</f>
        <v>0.40000000000000013</v>
      </c>
      <c r="W160" s="211"/>
      <c r="X160" s="211"/>
      <c r="Y160" s="211">
        <f>$J$160*(Q153)</f>
        <v>0.30000000000000004</v>
      </c>
      <c r="Z160" s="211"/>
      <c r="AA160" s="211"/>
      <c r="AB160" s="211">
        <f>$J$160*(T153)</f>
        <v>0.20000000000000007</v>
      </c>
      <c r="AC160" s="211"/>
      <c r="AD160" s="211"/>
      <c r="AE160" s="211">
        <f>$J$160*(W153)</f>
        <v>0.16000000000000003</v>
      </c>
      <c r="AF160" s="211"/>
      <c r="AG160" s="211"/>
      <c r="AH160" s="211">
        <f>$J$160*(Z153)</f>
        <v>0.14000000000000004</v>
      </c>
      <c r="AI160" s="211"/>
      <c r="AJ160" s="211"/>
      <c r="AK160" s="211">
        <f>$J$160*(AC153)</f>
        <v>0.10000000000000003</v>
      </c>
      <c r="AL160" s="211"/>
      <c r="AM160" s="211"/>
      <c r="AN160" s="211">
        <f>$J$160*(AF153)</f>
        <v>8.0000000000000016E-2</v>
      </c>
    </row>
    <row r="161" spans="2:42" s="7" customFormat="1" ht="12" hidden="1" customHeight="1" outlineLevel="2">
      <c r="B161" s="245"/>
      <c r="C161" s="213" t="s">
        <v>759</v>
      </c>
      <c r="D161" s="213"/>
      <c r="E161" s="213"/>
      <c r="F161" s="213"/>
      <c r="G161" s="213"/>
      <c r="H161" s="213"/>
      <c r="I161" s="213"/>
      <c r="J161" s="213"/>
      <c r="K161" s="211">
        <f>INDEX($C$44:$AN$66,MATCH("New Customers 3MS",$C$44:$C$66,0),MATCH($C161,$C$44:$AN$44,0))</f>
        <v>3.3333333333333335</v>
      </c>
      <c r="L161" s="211"/>
      <c r="M161" s="211"/>
      <c r="N161" s="211">
        <f>$K$161*(E153)</f>
        <v>3</v>
      </c>
      <c r="O161" s="211"/>
      <c r="P161" s="211"/>
      <c r="Q161" s="211">
        <f>$K$161*(H153)</f>
        <v>2</v>
      </c>
      <c r="R161" s="211"/>
      <c r="S161" s="211"/>
      <c r="T161" s="211">
        <f>$K$161*(K153)</f>
        <v>1.3333333333333335</v>
      </c>
      <c r="U161" s="211"/>
      <c r="V161" s="211"/>
      <c r="W161" s="211">
        <f>$K$161*(N153)</f>
        <v>0.66666666666666674</v>
      </c>
      <c r="X161" s="211"/>
      <c r="Y161" s="211"/>
      <c r="Z161" s="211">
        <f>$K$161*(Q153)</f>
        <v>0.5</v>
      </c>
      <c r="AA161" s="211"/>
      <c r="AB161" s="211"/>
      <c r="AC161" s="211">
        <f>$K$161*(T153)</f>
        <v>0.33333333333333337</v>
      </c>
      <c r="AD161" s="211"/>
      <c r="AE161" s="211"/>
      <c r="AF161" s="211">
        <f>$K$161*(W153)</f>
        <v>0.26666666666666666</v>
      </c>
      <c r="AG161" s="211"/>
      <c r="AH161" s="211"/>
      <c r="AI161" s="211">
        <f>$K$161*(Z153)</f>
        <v>0.23333333333333336</v>
      </c>
      <c r="AJ161" s="211"/>
      <c r="AK161" s="211"/>
      <c r="AL161" s="211">
        <f>$K$161*(AC153)</f>
        <v>0.16666666666666669</v>
      </c>
      <c r="AM161" s="211"/>
      <c r="AN161" s="211"/>
    </row>
    <row r="162" spans="2:42" s="7" customFormat="1" ht="12" hidden="1" customHeight="1" outlineLevel="2">
      <c r="B162" s="245"/>
      <c r="C162" s="213" t="s">
        <v>760</v>
      </c>
      <c r="D162" s="213"/>
      <c r="E162" s="213"/>
      <c r="F162" s="213"/>
      <c r="G162" s="213"/>
      <c r="H162" s="213"/>
      <c r="I162" s="213"/>
      <c r="J162" s="213"/>
      <c r="K162" s="213"/>
      <c r="L162" s="211">
        <f>INDEX($C$44:$AN$66,MATCH("New Customers 3MS",$C$44:$C$66,0),MATCH($C162,$C$44:$AN$44,0))</f>
        <v>0</v>
      </c>
      <c r="M162" s="211"/>
      <c r="N162" s="211"/>
      <c r="O162" s="211">
        <f>$L$162*(E153)</f>
        <v>0</v>
      </c>
      <c r="P162" s="211"/>
      <c r="Q162" s="211"/>
      <c r="R162" s="211">
        <f>$L$162*(H153)</f>
        <v>0</v>
      </c>
      <c r="S162" s="211"/>
      <c r="T162" s="211"/>
      <c r="U162" s="211">
        <f>$L$162*(K153)</f>
        <v>0</v>
      </c>
      <c r="V162" s="211"/>
      <c r="W162" s="211"/>
      <c r="X162" s="211">
        <f>$L$162*(N153)</f>
        <v>0</v>
      </c>
      <c r="Y162" s="211"/>
      <c r="Z162" s="211"/>
      <c r="AA162" s="211">
        <f>$L$162*(Q153)</f>
        <v>0</v>
      </c>
      <c r="AB162" s="211"/>
      <c r="AC162" s="211"/>
      <c r="AD162" s="211">
        <f>$L$162*(T153)</f>
        <v>0</v>
      </c>
      <c r="AE162" s="211"/>
      <c r="AF162" s="211"/>
      <c r="AG162" s="211">
        <f>$L$162*(W153)</f>
        <v>0</v>
      </c>
      <c r="AH162" s="211"/>
      <c r="AI162" s="211"/>
      <c r="AJ162" s="211">
        <f>$L$162*(Z153)</f>
        <v>0</v>
      </c>
      <c r="AK162" s="211"/>
      <c r="AL162" s="211"/>
      <c r="AM162" s="211">
        <f>$L$162*(AC153)</f>
        <v>0</v>
      </c>
      <c r="AN162" s="211"/>
    </row>
    <row r="163" spans="2:42" s="7" customFormat="1" ht="12" hidden="1" customHeight="1" outlineLevel="2">
      <c r="B163" s="245"/>
      <c r="C163" s="213" t="s">
        <v>761</v>
      </c>
      <c r="D163" s="213"/>
      <c r="E163" s="213"/>
      <c r="F163" s="213"/>
      <c r="G163" s="213"/>
      <c r="H163" s="213"/>
      <c r="I163" s="213"/>
      <c r="J163" s="213"/>
      <c r="K163" s="213"/>
      <c r="L163" s="213"/>
      <c r="M163" s="211">
        <f>INDEX($C$44:$AN$64,MATCH("New Customers 3MS",$C$44:$C$64,0),MATCH($C163,$C$44:$AN$44,0))</f>
        <v>5</v>
      </c>
      <c r="N163" s="211"/>
      <c r="O163" s="211"/>
      <c r="P163" s="211">
        <f>$M$163*(E153)</f>
        <v>4.5</v>
      </c>
      <c r="Q163" s="211"/>
      <c r="R163" s="211"/>
      <c r="S163" s="211">
        <f>$M$163*(H153)</f>
        <v>3</v>
      </c>
      <c r="T163" s="211"/>
      <c r="U163" s="211"/>
      <c r="V163" s="211">
        <f>$M$163*(K153)</f>
        <v>2</v>
      </c>
      <c r="W163" s="211"/>
      <c r="X163" s="211"/>
      <c r="Y163" s="211">
        <f>$M$163*(N153)</f>
        <v>1</v>
      </c>
      <c r="Z163" s="211"/>
      <c r="AA163" s="211"/>
      <c r="AB163" s="211">
        <f>$M$163*(Q153)</f>
        <v>0.75</v>
      </c>
      <c r="AC163" s="211"/>
      <c r="AD163" s="211"/>
      <c r="AE163" s="211">
        <f>$M$163*(T153)</f>
        <v>0.5</v>
      </c>
      <c r="AF163" s="211"/>
      <c r="AG163" s="211"/>
      <c r="AH163" s="211">
        <f>$M$163*(W153)</f>
        <v>0.4</v>
      </c>
      <c r="AI163" s="211"/>
      <c r="AJ163" s="211"/>
      <c r="AK163" s="211">
        <f>$M$163*(Z153)</f>
        <v>0.35000000000000003</v>
      </c>
      <c r="AL163" s="211"/>
      <c r="AM163" s="211"/>
      <c r="AN163" s="211">
        <f>$M$163*(AC153)</f>
        <v>0.25</v>
      </c>
    </row>
    <row r="164" spans="2:42" s="7" customFormat="1" ht="12" hidden="1" customHeight="1" outlineLevel="2">
      <c r="B164" s="245"/>
      <c r="C164" s="213" t="s">
        <v>762</v>
      </c>
      <c r="D164" s="213"/>
      <c r="E164" s="213"/>
      <c r="F164" s="213"/>
      <c r="G164" s="213"/>
      <c r="H164" s="213"/>
      <c r="I164" s="213"/>
      <c r="J164" s="213"/>
      <c r="K164" s="213"/>
      <c r="L164" s="213"/>
      <c r="M164" s="213"/>
      <c r="N164" s="211">
        <f>INDEX($C$44:$AN$66,MATCH("New Customers 3MS",$C$44:$C$66,0),MATCH($C164,$C$44:$AN$44,0))</f>
        <v>5</v>
      </c>
      <c r="O164" s="211"/>
      <c r="P164" s="211"/>
      <c r="Q164" s="211">
        <f>$N$164*(E153)</f>
        <v>4.5</v>
      </c>
      <c r="R164" s="211"/>
      <c r="S164" s="211"/>
      <c r="T164" s="211">
        <f>$N$164*(H153)</f>
        <v>3</v>
      </c>
      <c r="U164" s="211"/>
      <c r="V164" s="211"/>
      <c r="W164" s="211">
        <f>$N$164*(K153)</f>
        <v>2</v>
      </c>
      <c r="X164" s="211"/>
      <c r="Y164" s="211"/>
      <c r="Z164" s="211">
        <f>$N$164*(N153)</f>
        <v>1</v>
      </c>
      <c r="AA164" s="211"/>
      <c r="AB164" s="211"/>
      <c r="AC164" s="211">
        <f>$N$164*(Q153)</f>
        <v>0.75</v>
      </c>
      <c r="AD164" s="211"/>
      <c r="AE164" s="211"/>
      <c r="AF164" s="211">
        <f>$N$164*(T153)</f>
        <v>0.5</v>
      </c>
      <c r="AG164" s="211"/>
      <c r="AH164" s="211"/>
      <c r="AI164" s="211">
        <f>$N$164*(W153)</f>
        <v>0.4</v>
      </c>
      <c r="AJ164" s="211"/>
      <c r="AK164" s="211"/>
      <c r="AL164" s="211">
        <f>$N$164*(Z153)</f>
        <v>0.35000000000000003</v>
      </c>
      <c r="AM164" s="211"/>
      <c r="AN164" s="211"/>
      <c r="AO164" s="211"/>
    </row>
    <row r="165" spans="2:42" s="7" customFormat="1" ht="12" hidden="1" customHeight="1" outlineLevel="2">
      <c r="B165" s="245"/>
      <c r="C165" s="213" t="s">
        <v>763</v>
      </c>
      <c r="D165" s="213"/>
      <c r="E165" s="213"/>
      <c r="F165" s="213"/>
      <c r="G165" s="213"/>
      <c r="H165" s="213"/>
      <c r="I165" s="213"/>
      <c r="J165" s="213"/>
      <c r="K165" s="213"/>
      <c r="L165" s="213"/>
      <c r="M165" s="213"/>
      <c r="N165" s="213"/>
      <c r="O165" s="211">
        <f>INDEX($C$44:$AN$66,MATCH("New Customers 3MS",$C$44:$C$66,0),MATCH($C165,$C$44:$AN$44,0))</f>
        <v>2</v>
      </c>
      <c r="P165" s="211"/>
      <c r="Q165" s="211"/>
      <c r="R165" s="211">
        <f>$N$164*(E153)</f>
        <v>4.5</v>
      </c>
      <c r="S165" s="211"/>
      <c r="T165" s="211"/>
      <c r="U165" s="211">
        <f>$N$164*(H153)</f>
        <v>3</v>
      </c>
      <c r="V165" s="211"/>
      <c r="W165" s="211"/>
      <c r="X165" s="211">
        <f>$N$164*(K153)</f>
        <v>2</v>
      </c>
      <c r="Y165" s="211"/>
      <c r="Z165" s="211"/>
      <c r="AA165" s="211">
        <f>$N$164*(N153)</f>
        <v>1</v>
      </c>
      <c r="AB165" s="211"/>
      <c r="AC165" s="211"/>
      <c r="AD165" s="211">
        <f>$N$164*(Q153)</f>
        <v>0.75</v>
      </c>
      <c r="AE165" s="211"/>
      <c r="AF165" s="211"/>
      <c r="AG165" s="211">
        <f>$N$164*(T153)</f>
        <v>0.5</v>
      </c>
      <c r="AH165" s="211"/>
      <c r="AI165" s="211"/>
      <c r="AJ165" s="211">
        <f>$N$164*(W153)</f>
        <v>0.4</v>
      </c>
      <c r="AK165" s="211"/>
      <c r="AL165" s="211"/>
      <c r="AM165" s="211">
        <f>$N$164*(Z153)</f>
        <v>0.35000000000000003</v>
      </c>
      <c r="AN165" s="211"/>
    </row>
    <row r="166" spans="2:42" s="7" customFormat="1" ht="12" hidden="1" customHeight="1" outlineLevel="2">
      <c r="B166" s="245"/>
      <c r="C166" s="213" t="s">
        <v>764</v>
      </c>
      <c r="D166" s="213"/>
      <c r="E166" s="213"/>
      <c r="F166" s="213"/>
      <c r="G166" s="213"/>
      <c r="H166" s="213"/>
      <c r="I166" s="213"/>
      <c r="J166" s="213"/>
      <c r="K166" s="213"/>
      <c r="L166" s="213"/>
      <c r="M166" s="213"/>
      <c r="N166" s="213"/>
      <c r="O166" s="213"/>
      <c r="P166" s="211">
        <f>INDEX($C$44:$AN$66,MATCH("New Customers 3MS",$C$44:$C$66,0),MATCH($C166,$C$44:$AN$44,0))</f>
        <v>2.5263157894736841</v>
      </c>
      <c r="Q166" s="211"/>
      <c r="R166" s="211"/>
      <c r="S166" s="211">
        <f>$P$166*(E153)</f>
        <v>2.2736842105263158</v>
      </c>
      <c r="T166" s="211"/>
      <c r="U166" s="211"/>
      <c r="V166" s="211">
        <f>$P$166*(H153)</f>
        <v>1.5157894736842104</v>
      </c>
      <c r="W166" s="211"/>
      <c r="X166" s="211"/>
      <c r="Y166" s="211">
        <f>$P$166*(K153)</f>
        <v>1.0105263157894737</v>
      </c>
      <c r="Z166" s="211"/>
      <c r="AA166" s="211"/>
      <c r="AB166" s="211">
        <f>$P$166*(N153)</f>
        <v>0.50526315789473686</v>
      </c>
      <c r="AC166" s="211"/>
      <c r="AD166" s="211"/>
      <c r="AE166" s="211">
        <f>$P$166*(Q153)</f>
        <v>0.37894736842105259</v>
      </c>
      <c r="AF166" s="211"/>
      <c r="AG166" s="211"/>
      <c r="AH166" s="211">
        <f>$P$166*(T153)</f>
        <v>0.25263157894736843</v>
      </c>
      <c r="AI166" s="211"/>
      <c r="AJ166" s="211"/>
      <c r="AK166" s="211">
        <f>$P$166*(W153)</f>
        <v>0.20210526315789473</v>
      </c>
      <c r="AL166" s="211"/>
      <c r="AM166" s="211"/>
      <c r="AN166" s="211">
        <f>$P$166*(Z153)</f>
        <v>0.17684210526315791</v>
      </c>
    </row>
    <row r="167" spans="2:42" s="7" customFormat="1" ht="12" hidden="1" customHeight="1" outlineLevel="2">
      <c r="B167" s="245"/>
      <c r="C167" s="213" t="s">
        <v>765</v>
      </c>
      <c r="D167" s="213"/>
      <c r="E167" s="213"/>
      <c r="F167" s="213"/>
      <c r="G167" s="213"/>
      <c r="H167" s="213"/>
      <c r="I167" s="213"/>
      <c r="J167" s="213"/>
      <c r="K167" s="213"/>
      <c r="L167" s="213"/>
      <c r="M167" s="213"/>
      <c r="N167" s="213"/>
      <c r="O167" s="213"/>
      <c r="P167" s="213"/>
      <c r="Q167" s="211">
        <f>INDEX($C$44:$AN$66,MATCH("New Customers 3MS",$C$44:$C$66,0),MATCH($C167,$C$44:$AN$44,0))</f>
        <v>5.9511157894736844</v>
      </c>
      <c r="R167" s="211"/>
      <c r="S167" s="211"/>
      <c r="T167" s="211">
        <f>$Q$167*(E153)</f>
        <v>5.3560042105263159</v>
      </c>
      <c r="U167" s="211"/>
      <c r="V167" s="211"/>
      <c r="W167" s="211">
        <f>$Q$167*(H153)</f>
        <v>3.5706694736842106</v>
      </c>
      <c r="X167" s="211"/>
      <c r="Y167" s="211"/>
      <c r="Z167" s="211">
        <f>$Q$167*(K153)</f>
        <v>2.3804463157894737</v>
      </c>
      <c r="AA167" s="211"/>
      <c r="AB167" s="211"/>
      <c r="AC167" s="211">
        <f>$Q$167*(N153)</f>
        <v>1.1902231578947369</v>
      </c>
      <c r="AD167" s="211"/>
      <c r="AE167" s="211"/>
      <c r="AF167" s="211">
        <f>$Q$167*(Q153)</f>
        <v>0.89266736842105265</v>
      </c>
      <c r="AG167" s="211"/>
      <c r="AH167" s="211"/>
      <c r="AI167" s="211">
        <f>$Q$167*(T153)</f>
        <v>0.59511157894736844</v>
      </c>
      <c r="AJ167" s="211"/>
      <c r="AK167" s="211"/>
      <c r="AL167" s="211">
        <f>$Q$167*(W153)</f>
        <v>0.47608926315789474</v>
      </c>
      <c r="AM167" s="211"/>
      <c r="AN167" s="211"/>
      <c r="AO167" s="211"/>
    </row>
    <row r="168" spans="2:42" s="7" customFormat="1" ht="12" hidden="1" customHeight="1" outlineLevel="2">
      <c r="B168" s="245"/>
      <c r="C168" s="213" t="s">
        <v>766</v>
      </c>
      <c r="D168" s="213"/>
      <c r="E168" s="213"/>
      <c r="F168" s="213"/>
      <c r="G168" s="213"/>
      <c r="H168" s="213"/>
      <c r="I168" s="213"/>
      <c r="J168" s="213"/>
      <c r="K168" s="213"/>
      <c r="L168" s="213"/>
      <c r="M168" s="213"/>
      <c r="N168" s="213"/>
      <c r="O168" s="213"/>
      <c r="P168" s="213"/>
      <c r="Q168" s="213"/>
      <c r="R168" s="211">
        <f>INDEX($C$44:$AN$66,MATCH("New Customers 3MS",$C$44:$C$66,0),MATCH($C168,$C$44:$AN$44,0))</f>
        <v>27.848842105263163</v>
      </c>
      <c r="S168" s="211"/>
      <c r="T168" s="211"/>
      <c r="U168" s="211">
        <f>$R$168*(E153)</f>
        <v>25.063957894736848</v>
      </c>
      <c r="V168" s="211"/>
      <c r="W168" s="211"/>
      <c r="X168" s="211">
        <f>$R$168*(H153)</f>
        <v>16.709305263157898</v>
      </c>
      <c r="Y168" s="211"/>
      <c r="Z168" s="211"/>
      <c r="AA168" s="211">
        <f>$R$168*(K153)</f>
        <v>11.139536842105265</v>
      </c>
      <c r="AB168" s="211"/>
      <c r="AC168" s="211"/>
      <c r="AD168" s="211">
        <f>$R$168*(N153)</f>
        <v>5.5697684210526326</v>
      </c>
      <c r="AE168" s="211"/>
      <c r="AF168" s="211"/>
      <c r="AG168" s="211">
        <f>$R$168*(Q153)</f>
        <v>4.1773263157894744</v>
      </c>
      <c r="AH168" s="211"/>
      <c r="AI168" s="211"/>
      <c r="AJ168" s="211">
        <f>$R$168*(T153)</f>
        <v>2.7848842105263163</v>
      </c>
      <c r="AK168" s="211"/>
      <c r="AL168" s="211"/>
      <c r="AM168" s="211">
        <f>$R$168*(W153)</f>
        <v>2.2279073684210533</v>
      </c>
      <c r="AN168" s="211"/>
    </row>
    <row r="169" spans="2:42" s="7" customFormat="1" ht="12" hidden="1" customHeight="1" outlineLevel="2">
      <c r="B169" s="245"/>
      <c r="C169" s="213" t="s">
        <v>767</v>
      </c>
      <c r="D169" s="213"/>
      <c r="E169" s="213"/>
      <c r="F169" s="213"/>
      <c r="G169" s="213"/>
      <c r="H169" s="213"/>
      <c r="I169" s="213"/>
      <c r="J169" s="213"/>
      <c r="K169" s="213"/>
      <c r="L169" s="213"/>
      <c r="M169" s="213"/>
      <c r="N169" s="213"/>
      <c r="O169" s="213"/>
      <c r="P169" s="213"/>
      <c r="Q169" s="213"/>
      <c r="R169" s="213"/>
      <c r="S169" s="211">
        <f>INDEX($C$44:$AN$66,MATCH("New Customers 3MS",$C$44:$C$66,0),MATCH($C169,$C$44:$AN$44,0))</f>
        <v>23.217726315789477</v>
      </c>
      <c r="T169" s="211"/>
      <c r="U169" s="211"/>
      <c r="V169" s="211">
        <f>$S$169*(E153)</f>
        <v>20.895953684210529</v>
      </c>
      <c r="W169" s="211"/>
      <c r="X169" s="211"/>
      <c r="Y169" s="211">
        <f>$S$169*(H153)</f>
        <v>13.930635789473685</v>
      </c>
      <c r="Z169" s="211"/>
      <c r="AA169" s="211"/>
      <c r="AB169" s="211">
        <f>$S$169*(K153)</f>
        <v>9.2870905263157919</v>
      </c>
      <c r="AC169" s="211"/>
      <c r="AD169" s="211"/>
      <c r="AE169" s="211">
        <f>$S$169*(N153)</f>
        <v>4.643545263157896</v>
      </c>
      <c r="AF169" s="211"/>
      <c r="AG169" s="211"/>
      <c r="AH169" s="211">
        <f>$S$169*(Q153)</f>
        <v>3.4826589473684213</v>
      </c>
      <c r="AI169" s="211"/>
      <c r="AJ169" s="211"/>
      <c r="AK169" s="211">
        <f>$S$169*(T153)</f>
        <v>2.321772631578948</v>
      </c>
      <c r="AL169" s="211"/>
      <c r="AM169" s="211"/>
      <c r="AN169" s="211">
        <f>$S$169*(W153)</f>
        <v>1.8574181052631582</v>
      </c>
    </row>
    <row r="170" spans="2:42" s="7" customFormat="1" ht="12" hidden="1" customHeight="1" outlineLevel="2">
      <c r="B170" s="245"/>
      <c r="C170" s="213" t="s">
        <v>768</v>
      </c>
      <c r="D170" s="213"/>
      <c r="E170" s="213"/>
      <c r="F170" s="213"/>
      <c r="G170" s="213"/>
      <c r="H170" s="213"/>
      <c r="I170" s="213"/>
      <c r="J170" s="213"/>
      <c r="K170" s="213"/>
      <c r="L170" s="213"/>
      <c r="M170" s="213"/>
      <c r="N170" s="213"/>
      <c r="O170" s="213"/>
      <c r="P170" s="213"/>
      <c r="Q170" s="213"/>
      <c r="R170" s="213"/>
      <c r="S170" s="213"/>
      <c r="T170" s="211">
        <f>INDEX($C$44:$AN$66,MATCH("New Customers 3MS",$C$44:$C$66,0),MATCH($C170,$C$44:$AN$44,0))</f>
        <v>39.667157894736846</v>
      </c>
      <c r="U170" s="211"/>
      <c r="V170" s="211"/>
      <c r="W170" s="211">
        <f>$T$170*(E153)</f>
        <v>35.700442105263164</v>
      </c>
      <c r="X170" s="211"/>
      <c r="Y170" s="211"/>
      <c r="Z170" s="211">
        <f>$T$170*(H153)</f>
        <v>23.800294736842108</v>
      </c>
      <c r="AA170" s="211"/>
      <c r="AB170" s="211"/>
      <c r="AC170" s="211">
        <f>$T$170*(K153)</f>
        <v>15.866863157894739</v>
      </c>
      <c r="AD170" s="211"/>
      <c r="AE170" s="211"/>
      <c r="AF170" s="211">
        <f>$T$170*(N153)</f>
        <v>7.9334315789473697</v>
      </c>
      <c r="AG170" s="211"/>
      <c r="AH170" s="211"/>
      <c r="AI170" s="211">
        <f>$T$170*(Q153)</f>
        <v>5.9500736842105271</v>
      </c>
      <c r="AJ170" s="211"/>
      <c r="AK170" s="211"/>
      <c r="AL170" s="211">
        <f>$T$170*(T153)</f>
        <v>3.9667157894736849</v>
      </c>
      <c r="AM170" s="211"/>
      <c r="AN170" s="211"/>
      <c r="AO170" s="211"/>
    </row>
    <row r="171" spans="2:42" s="7" customFormat="1" ht="12" hidden="1" customHeight="1" outlineLevel="2">
      <c r="B171" s="245"/>
      <c r="C171" s="213" t="s">
        <v>769</v>
      </c>
      <c r="D171" s="213"/>
      <c r="E171" s="213"/>
      <c r="F171" s="213"/>
      <c r="G171" s="213"/>
      <c r="H171" s="213"/>
      <c r="I171" s="213"/>
      <c r="J171" s="213"/>
      <c r="K171" s="213"/>
      <c r="L171" s="213"/>
      <c r="M171" s="213"/>
      <c r="N171" s="213"/>
      <c r="O171" s="213"/>
      <c r="P171" s="213"/>
      <c r="Q171" s="213"/>
      <c r="R171" s="213"/>
      <c r="S171" s="213"/>
      <c r="T171" s="213"/>
      <c r="U171" s="211">
        <f>INDEX($C$44:$AN$66,MATCH("New Customers 3MS",$C$44:$C$66,0),MATCH($C171,$C$44:$AN$44,0))</f>
        <v>77.636101052631588</v>
      </c>
      <c r="V171" s="211"/>
      <c r="W171" s="211"/>
      <c r="X171" s="211">
        <f>$U$171*(E153)</f>
        <v>69.872490947368433</v>
      </c>
      <c r="Y171" s="211"/>
      <c r="Z171" s="211"/>
      <c r="AA171" s="211">
        <f>$U$171*(H153)</f>
        <v>46.581660631578949</v>
      </c>
      <c r="AB171" s="211"/>
      <c r="AC171" s="211"/>
      <c r="AD171" s="211">
        <f>$U$171*(K153)</f>
        <v>31.054440421052636</v>
      </c>
      <c r="AE171" s="211"/>
      <c r="AF171" s="211"/>
      <c r="AG171" s="211">
        <f>$U$171*(N153)</f>
        <v>15.527220210526318</v>
      </c>
      <c r="AH171" s="211"/>
      <c r="AI171" s="211"/>
      <c r="AJ171" s="211">
        <f>$U$171*(Q153)</f>
        <v>11.645415157894737</v>
      </c>
      <c r="AK171" s="211"/>
      <c r="AL171" s="211"/>
      <c r="AM171" s="211">
        <f>$U$171*(T153)</f>
        <v>7.763610105263159</v>
      </c>
      <c r="AN171" s="211"/>
      <c r="AP171" s="211"/>
    </row>
    <row r="172" spans="2:42" s="7" customFormat="1" ht="12" hidden="1" customHeight="1" outlineLevel="2">
      <c r="B172" s="245"/>
      <c r="C172" s="213" t="s">
        <v>770</v>
      </c>
      <c r="D172" s="213"/>
      <c r="E172" s="213"/>
      <c r="F172" s="213"/>
      <c r="G172" s="213"/>
      <c r="H172" s="213"/>
      <c r="I172" s="213"/>
      <c r="J172" s="213"/>
      <c r="K172" s="213"/>
      <c r="L172" s="213"/>
      <c r="M172" s="213"/>
      <c r="N172" s="213"/>
      <c r="O172" s="213"/>
      <c r="P172" s="213"/>
      <c r="Q172" s="213"/>
      <c r="R172" s="213"/>
      <c r="S172" s="213"/>
      <c r="T172" s="213"/>
      <c r="U172" s="213"/>
      <c r="V172" s="211">
        <f>INDEX($C$44:$AN$66,MATCH("New Customers 3MS",$C$44:$C$66,0),MATCH($C172,$C$44:$AN$44,0))</f>
        <v>102.80067368421054</v>
      </c>
      <c r="W172" s="211"/>
      <c r="X172" s="211"/>
      <c r="Y172" s="211">
        <f>$V$172*(E153)</f>
        <v>92.520606315789479</v>
      </c>
      <c r="Z172" s="211"/>
      <c r="AA172" s="211"/>
      <c r="AB172" s="211">
        <f>$V$172*(H153)</f>
        <v>61.680404210526319</v>
      </c>
      <c r="AC172" s="211"/>
      <c r="AD172" s="211"/>
      <c r="AE172" s="211">
        <f>$V$172*(K153)</f>
        <v>41.120269473684218</v>
      </c>
      <c r="AF172" s="211"/>
      <c r="AG172" s="211"/>
      <c r="AH172" s="211">
        <f>$V$172*(N153)</f>
        <v>20.560134736842109</v>
      </c>
      <c r="AI172" s="211"/>
      <c r="AJ172" s="211"/>
      <c r="AK172" s="211">
        <f>$V$172*(Q153)</f>
        <v>15.42010105263158</v>
      </c>
      <c r="AL172" s="211"/>
      <c r="AM172" s="211"/>
      <c r="AN172" s="211">
        <f>$V$172*(T153)</f>
        <v>10.280067368421054</v>
      </c>
    </row>
    <row r="173" spans="2:42" s="7" customFormat="1" ht="12" hidden="1" customHeight="1" outlineLevel="2">
      <c r="B173" s="245"/>
      <c r="C173" s="213" t="s">
        <v>771</v>
      </c>
      <c r="D173" s="213"/>
      <c r="E173" s="213"/>
      <c r="F173" s="213"/>
      <c r="G173" s="213"/>
      <c r="H173" s="213"/>
      <c r="I173" s="213"/>
      <c r="J173" s="213"/>
      <c r="K173" s="213"/>
      <c r="L173" s="213"/>
      <c r="M173" s="213"/>
      <c r="N173" s="213"/>
      <c r="O173" s="213"/>
      <c r="P173" s="213"/>
      <c r="Q173" s="213"/>
      <c r="R173" s="213"/>
      <c r="S173" s="213"/>
      <c r="T173" s="213"/>
      <c r="U173" s="213"/>
      <c r="V173" s="213"/>
      <c r="W173" s="211">
        <f>INDEX($C$44:$AN$66,MATCH("New Customers 3MS",$C$44:$C$66,0),MATCH($C173,$C$44:$AN$44,0))</f>
        <v>54.739705263157887</v>
      </c>
      <c r="X173" s="211"/>
      <c r="Y173" s="211"/>
      <c r="Z173" s="211">
        <f>$W$173*(E153)</f>
        <v>49.265734736842099</v>
      </c>
      <c r="AA173" s="211"/>
      <c r="AB173" s="211"/>
      <c r="AC173" s="211">
        <f>$W$173*(H153)</f>
        <v>32.843823157894732</v>
      </c>
      <c r="AD173" s="211"/>
      <c r="AE173" s="211"/>
      <c r="AF173" s="211">
        <f>$W$173*(K153)</f>
        <v>21.895882105263155</v>
      </c>
      <c r="AG173" s="211"/>
      <c r="AH173" s="211"/>
      <c r="AI173" s="211">
        <f>$W$173*(N153)</f>
        <v>10.947941052631577</v>
      </c>
      <c r="AJ173" s="211"/>
      <c r="AK173" s="211"/>
      <c r="AL173" s="211">
        <f>$W$173*(Q153)</f>
        <v>8.2109557894736831</v>
      </c>
      <c r="AM173" s="211"/>
      <c r="AN173" s="211"/>
    </row>
    <row r="174" spans="2:42" s="7" customFormat="1" ht="12" hidden="1" customHeight="1" outlineLevel="2">
      <c r="B174" s="245"/>
      <c r="C174" s="213" t="s">
        <v>772</v>
      </c>
      <c r="D174" s="213"/>
      <c r="E174" s="213"/>
      <c r="F174" s="213"/>
      <c r="G174" s="213"/>
      <c r="H174" s="213"/>
      <c r="I174" s="213"/>
      <c r="J174" s="213"/>
      <c r="K174" s="213"/>
      <c r="L174" s="213"/>
      <c r="M174" s="213"/>
      <c r="N174" s="213"/>
      <c r="O174" s="213"/>
      <c r="P174" s="213"/>
      <c r="Q174" s="213"/>
      <c r="R174" s="213"/>
      <c r="S174" s="213"/>
      <c r="T174" s="213"/>
      <c r="U174" s="213"/>
      <c r="V174" s="213"/>
      <c r="W174" s="213"/>
      <c r="X174" s="211">
        <f>INDEX($C$44:$AN$66,MATCH("New Customers 3MS",$C$44:$C$66,0),MATCH($C174,$C$44:$AN$44,0))</f>
        <v>37.990989473684216</v>
      </c>
      <c r="Y174" s="211"/>
      <c r="Z174" s="211"/>
      <c r="AA174" s="211">
        <f>$X$174*(E153)</f>
        <v>34.191890526315795</v>
      </c>
      <c r="AB174" s="211"/>
      <c r="AC174" s="211"/>
      <c r="AD174" s="211">
        <f>$X$174*(H153)</f>
        <v>22.794593684210529</v>
      </c>
      <c r="AE174" s="211"/>
      <c r="AF174" s="211"/>
      <c r="AG174" s="211">
        <f>$X$174*(K153)</f>
        <v>15.196395789473687</v>
      </c>
      <c r="AH174" s="211"/>
      <c r="AI174" s="211"/>
      <c r="AJ174" s="211">
        <f>$X$174*(N153)</f>
        <v>7.5981978947368436</v>
      </c>
      <c r="AK174" s="211"/>
      <c r="AL174" s="211"/>
      <c r="AM174" s="211">
        <f>$X$174*(Q153)</f>
        <v>5.6986484210526323</v>
      </c>
      <c r="AN174" s="211"/>
    </row>
    <row r="175" spans="2:42" s="7" customFormat="1" ht="12" hidden="1" customHeight="1" outlineLevel="2">
      <c r="B175" s="245"/>
      <c r="C175" s="213" t="s">
        <v>773</v>
      </c>
      <c r="D175" s="213"/>
      <c r="E175" s="213"/>
      <c r="F175" s="213"/>
      <c r="G175" s="213"/>
      <c r="H175" s="213"/>
      <c r="I175" s="213"/>
      <c r="J175" s="213"/>
      <c r="K175" s="213"/>
      <c r="L175" s="213"/>
      <c r="M175" s="213"/>
      <c r="N175" s="213"/>
      <c r="O175" s="213"/>
      <c r="P175" s="213"/>
      <c r="Q175" s="213"/>
      <c r="R175" s="213"/>
      <c r="S175" s="213"/>
      <c r="T175" s="213"/>
      <c r="U175" s="213"/>
      <c r="V175" s="213"/>
      <c r="W175" s="213"/>
      <c r="X175" s="213"/>
      <c r="Y175" s="211">
        <f>INDEX($C$44:$AN$66,MATCH("New Customers 3MS",$C$44:$C$66,0),MATCH($C175,$C$44:$AN$44,0))</f>
        <v>88.421052631578959</v>
      </c>
      <c r="Z175" s="211"/>
      <c r="AA175" s="211"/>
      <c r="AB175" s="211">
        <f>$Y$175*(E153)</f>
        <v>79.578947368421069</v>
      </c>
      <c r="AC175" s="211"/>
      <c r="AD175" s="211"/>
      <c r="AE175" s="211">
        <f>$Y$175*(H153)</f>
        <v>53.052631578947377</v>
      </c>
      <c r="AF175" s="211"/>
      <c r="AG175" s="211"/>
      <c r="AH175" s="211">
        <f>$Y$175*(K153)</f>
        <v>35.368421052631582</v>
      </c>
      <c r="AI175" s="211"/>
      <c r="AJ175" s="211"/>
      <c r="AK175" s="211">
        <f>$Y$175*(N153)</f>
        <v>17.684210526315791</v>
      </c>
      <c r="AL175" s="211"/>
      <c r="AM175" s="211"/>
      <c r="AN175" s="211">
        <f>$Y$175*(Q153)</f>
        <v>13.263157894736844</v>
      </c>
    </row>
    <row r="176" spans="2:42" s="7" customFormat="1" ht="12" hidden="1" customHeight="1" outlineLevel="2">
      <c r="B176" s="245"/>
      <c r="C176" s="213" t="s">
        <v>774</v>
      </c>
      <c r="D176" s="213"/>
      <c r="E176" s="213"/>
      <c r="F176" s="213"/>
      <c r="G176" s="213"/>
      <c r="H176" s="213"/>
      <c r="I176" s="213"/>
      <c r="J176" s="213"/>
      <c r="K176" s="213"/>
      <c r="L176" s="213"/>
      <c r="M176" s="213"/>
      <c r="N176" s="213"/>
      <c r="O176" s="213"/>
      <c r="P176" s="213"/>
      <c r="Q176" s="213"/>
      <c r="R176" s="213"/>
      <c r="S176" s="213"/>
      <c r="T176" s="213"/>
      <c r="U176" s="213"/>
      <c r="V176" s="213"/>
      <c r="W176" s="213"/>
      <c r="X176" s="213"/>
      <c r="Y176" s="213"/>
      <c r="Z176" s="211">
        <f>INDEX($C$44:$AN$66,MATCH("New Customers 3MS",$C$44:$C$66,0),MATCH($C176,$C$44:$AN$44,0))</f>
        <v>88.421052631578959</v>
      </c>
      <c r="AA176" s="211"/>
      <c r="AB176" s="211"/>
      <c r="AC176" s="211">
        <f>$Z$176*(E153)</f>
        <v>79.578947368421069</v>
      </c>
      <c r="AD176" s="211"/>
      <c r="AE176" s="211"/>
      <c r="AF176" s="211">
        <f>$Z$176*(H153)</f>
        <v>53.052631578947377</v>
      </c>
      <c r="AG176" s="211"/>
      <c r="AH176" s="211"/>
      <c r="AI176" s="211">
        <f>$Z$176*(K153)</f>
        <v>35.368421052631582</v>
      </c>
      <c r="AJ176" s="211"/>
      <c r="AK176" s="211"/>
      <c r="AL176" s="211">
        <f>$Z$176*(N153)</f>
        <v>17.684210526315791</v>
      </c>
      <c r="AM176" s="211"/>
      <c r="AN176" s="211"/>
    </row>
    <row r="177" spans="2:41" s="7" customFormat="1" ht="12" hidden="1" customHeight="1" outlineLevel="2">
      <c r="B177" s="245"/>
      <c r="C177" s="213" t="s">
        <v>775</v>
      </c>
      <c r="D177" s="213"/>
      <c r="E177" s="213"/>
      <c r="F177" s="213"/>
      <c r="G177" s="213"/>
      <c r="H177" s="213"/>
      <c r="I177" s="213"/>
      <c r="J177" s="213"/>
      <c r="K177" s="213"/>
      <c r="L177" s="213"/>
      <c r="M177" s="213"/>
      <c r="N177" s="213"/>
      <c r="O177" s="213"/>
      <c r="P177" s="213"/>
      <c r="Q177" s="213"/>
      <c r="R177" s="213"/>
      <c r="S177" s="213"/>
      <c r="T177" s="213"/>
      <c r="U177" s="213"/>
      <c r="V177" s="213"/>
      <c r="W177" s="213"/>
      <c r="X177" s="213"/>
      <c r="Y177" s="213"/>
      <c r="Z177" s="213"/>
      <c r="AA177" s="211">
        <f>INDEX($C$44:$AN$66,MATCH("New Customers 3MS",$C$44:$C$66,0),MATCH($C177,$C$44:$AN$44,0))</f>
        <v>47.15789473684211</v>
      </c>
      <c r="AB177" s="211"/>
      <c r="AC177" s="211"/>
      <c r="AD177" s="211">
        <f>$AA$177*(E153)</f>
        <v>42.442105263157899</v>
      </c>
      <c r="AE177" s="211"/>
      <c r="AF177" s="211"/>
      <c r="AG177" s="211">
        <f>$AA$177*(H153)</f>
        <v>28.294736842105266</v>
      </c>
      <c r="AH177" s="211"/>
      <c r="AI177" s="211"/>
      <c r="AJ177" s="211">
        <f>$AA$177*(K153)</f>
        <v>18.863157894736844</v>
      </c>
      <c r="AK177" s="211"/>
      <c r="AL177" s="211"/>
      <c r="AM177" s="211">
        <f>$AA$177*(N153)</f>
        <v>9.431578947368422</v>
      </c>
      <c r="AN177" s="211"/>
    </row>
    <row r="178" spans="2:41" s="7" customFormat="1" ht="12" hidden="1" customHeight="1" outlineLevel="2">
      <c r="B178" s="245"/>
      <c r="C178" s="213" t="s">
        <v>776</v>
      </c>
      <c r="D178" s="213"/>
      <c r="E178" s="213"/>
      <c r="F178" s="213"/>
      <c r="G178" s="213"/>
      <c r="H178" s="213"/>
      <c r="I178" s="213"/>
      <c r="J178" s="213"/>
      <c r="K178" s="213"/>
      <c r="L178" s="213"/>
      <c r="M178" s="213"/>
      <c r="N178" s="213"/>
      <c r="O178" s="213"/>
      <c r="P178" s="213"/>
      <c r="Q178" s="213"/>
      <c r="R178" s="213"/>
      <c r="S178" s="213"/>
      <c r="T178" s="213"/>
      <c r="U178" s="213"/>
      <c r="V178" s="213"/>
      <c r="W178" s="213"/>
      <c r="X178" s="213"/>
      <c r="Y178" s="213"/>
      <c r="Z178" s="213"/>
      <c r="AA178" s="213"/>
      <c r="AB178" s="211">
        <f>INDEX($C$44:$AN$66,MATCH("New Customers 3MS",$C$44:$C$66,0),MATCH($C178,$C$44:$AN$44,0))</f>
        <v>47.15789473684211</v>
      </c>
      <c r="AC178" s="211"/>
      <c r="AD178" s="211"/>
      <c r="AE178" s="211">
        <f>$AB$178*(E153)</f>
        <v>42.442105263157899</v>
      </c>
      <c r="AF178" s="211"/>
      <c r="AG178" s="211"/>
      <c r="AH178" s="211">
        <f>$AB$178*(H153)</f>
        <v>28.294736842105266</v>
      </c>
      <c r="AI178" s="211"/>
      <c r="AJ178" s="211"/>
      <c r="AK178" s="211">
        <f>$AB$178*(K153)</f>
        <v>18.863157894736844</v>
      </c>
      <c r="AL178" s="211"/>
      <c r="AM178" s="211"/>
      <c r="AN178" s="211">
        <f>$AB$178*(N153)</f>
        <v>9.431578947368422</v>
      </c>
    </row>
    <row r="179" spans="2:41" s="7" customFormat="1" ht="12" hidden="1" customHeight="1" outlineLevel="2">
      <c r="B179" s="245"/>
      <c r="C179" s="213" t="s">
        <v>777</v>
      </c>
      <c r="D179" s="213"/>
      <c r="E179" s="213"/>
      <c r="F179" s="213"/>
      <c r="G179" s="213"/>
      <c r="H179" s="213"/>
      <c r="I179" s="213"/>
      <c r="J179" s="213"/>
      <c r="K179" s="213"/>
      <c r="L179" s="213"/>
      <c r="M179" s="213"/>
      <c r="N179" s="213"/>
      <c r="O179" s="213"/>
      <c r="P179" s="213"/>
      <c r="Q179" s="213"/>
      <c r="R179" s="213"/>
      <c r="S179" s="213"/>
      <c r="T179" s="213"/>
      <c r="U179" s="213"/>
      <c r="V179" s="213"/>
      <c r="W179" s="213"/>
      <c r="X179" s="213"/>
      <c r="Y179" s="213"/>
      <c r="Z179" s="213"/>
      <c r="AA179" s="213"/>
      <c r="AB179" s="211"/>
      <c r="AC179" s="211">
        <f>INDEX($C$44:$AN$66,MATCH("New Customers 3MS",$C$44:$C$66,0),MATCH($C179,$C$44:$AN$44,0))</f>
        <v>95.21785263157895</v>
      </c>
      <c r="AD179" s="211"/>
      <c r="AE179" s="211"/>
      <c r="AF179" s="211">
        <f>$AC$179*(E153)</f>
        <v>85.696067368421055</v>
      </c>
      <c r="AG179" s="211"/>
      <c r="AH179" s="211"/>
      <c r="AI179" s="211">
        <f>$AC$179*(H153)</f>
        <v>57.13071157894737</v>
      </c>
      <c r="AJ179" s="211"/>
      <c r="AK179" s="211"/>
      <c r="AL179" s="211">
        <f>$AC$179*(K153)</f>
        <v>38.08714105263158</v>
      </c>
      <c r="AM179" s="211"/>
      <c r="AN179" s="211"/>
      <c r="AO179" s="211"/>
    </row>
    <row r="180" spans="2:41" s="7" customFormat="1" ht="12" hidden="1" customHeight="1" outlineLevel="2">
      <c r="B180" s="245"/>
      <c r="C180" s="213" t="s">
        <v>778</v>
      </c>
      <c r="D180" s="213"/>
      <c r="E180" s="213"/>
      <c r="F180" s="213"/>
      <c r="G180" s="213"/>
      <c r="H180" s="213"/>
      <c r="I180" s="213"/>
      <c r="J180" s="213"/>
      <c r="K180" s="213"/>
      <c r="L180" s="213"/>
      <c r="M180" s="213"/>
      <c r="N180" s="213"/>
      <c r="O180" s="213"/>
      <c r="P180" s="213"/>
      <c r="Q180" s="213"/>
      <c r="R180" s="213"/>
      <c r="S180" s="213"/>
      <c r="T180" s="213"/>
      <c r="U180" s="213"/>
      <c r="V180" s="213"/>
      <c r="W180" s="213"/>
      <c r="X180" s="213"/>
      <c r="Y180" s="213"/>
      <c r="Z180" s="213"/>
      <c r="AA180" s="213"/>
      <c r="AB180" s="211"/>
      <c r="AC180" s="211"/>
      <c r="AD180" s="211">
        <f>INDEX($C$44:$AN$66,MATCH("New Customers 3MS",$C$44:$C$66,0),MATCH($C180,$C$44:$AN$44,0))</f>
        <v>445.58147368421061</v>
      </c>
      <c r="AE180" s="211"/>
      <c r="AF180" s="211"/>
      <c r="AG180" s="211">
        <f>$AD$180*(E153)</f>
        <v>401.02332631578957</v>
      </c>
      <c r="AH180" s="211"/>
      <c r="AI180" s="211"/>
      <c r="AJ180" s="211">
        <f>$AD$180*(H153)</f>
        <v>267.34888421052636</v>
      </c>
      <c r="AK180" s="211"/>
      <c r="AL180" s="211"/>
      <c r="AM180" s="211">
        <f>$AD$180*(K153)</f>
        <v>178.23258947368424</v>
      </c>
      <c r="AN180" s="211"/>
    </row>
    <row r="181" spans="2:41" s="7" customFormat="1" ht="12" hidden="1" customHeight="1" outlineLevel="2">
      <c r="B181" s="245"/>
      <c r="C181" s="213" t="s">
        <v>779</v>
      </c>
      <c r="D181" s="213"/>
      <c r="E181" s="213"/>
      <c r="F181" s="213"/>
      <c r="G181" s="213"/>
      <c r="H181" s="213"/>
      <c r="I181" s="213"/>
      <c r="J181" s="213"/>
      <c r="K181" s="213"/>
      <c r="L181" s="213"/>
      <c r="M181" s="213"/>
      <c r="N181" s="213"/>
      <c r="O181" s="213"/>
      <c r="P181" s="213"/>
      <c r="Q181" s="213"/>
      <c r="R181" s="213"/>
      <c r="S181" s="213"/>
      <c r="T181" s="213"/>
      <c r="U181" s="213"/>
      <c r="V181" s="213"/>
      <c r="W181" s="213"/>
      <c r="X181" s="213"/>
      <c r="Y181" s="213"/>
      <c r="Z181" s="213"/>
      <c r="AA181" s="213"/>
      <c r="AB181" s="211"/>
      <c r="AC181" s="211"/>
      <c r="AD181" s="211"/>
      <c r="AE181" s="211">
        <f>INDEX($C$44:$AN$66,MATCH("New Customers 3MS",$C$44:$C$66,0),MATCH($C181,$C$44:$AN$44,0))</f>
        <v>371.48362105263163</v>
      </c>
      <c r="AF181" s="211"/>
      <c r="AG181" s="211"/>
      <c r="AH181" s="211">
        <f>$AE$181*(E153)</f>
        <v>334.33525894736846</v>
      </c>
      <c r="AI181" s="211"/>
      <c r="AJ181" s="211"/>
      <c r="AK181" s="211">
        <f>$AE$181*(H153)</f>
        <v>222.89017263157896</v>
      </c>
      <c r="AL181" s="211"/>
      <c r="AM181" s="211"/>
      <c r="AN181" s="211">
        <f>$AE$181*(K153)</f>
        <v>148.59344842105267</v>
      </c>
    </row>
    <row r="182" spans="2:41" s="7" customFormat="1" ht="12" hidden="1" customHeight="1" outlineLevel="2">
      <c r="B182" s="245"/>
      <c r="C182" s="213" t="s">
        <v>780</v>
      </c>
      <c r="D182" s="213"/>
      <c r="E182" s="213"/>
      <c r="F182" s="213"/>
      <c r="G182" s="213"/>
      <c r="H182" s="213"/>
      <c r="I182" s="213"/>
      <c r="J182" s="213"/>
      <c r="K182" s="213"/>
      <c r="L182" s="213"/>
      <c r="M182" s="213"/>
      <c r="N182" s="213"/>
      <c r="O182" s="213"/>
      <c r="P182" s="213"/>
      <c r="Q182" s="213"/>
      <c r="R182" s="213"/>
      <c r="S182" s="213"/>
      <c r="T182" s="213"/>
      <c r="U182" s="213"/>
      <c r="V182" s="213"/>
      <c r="W182" s="213"/>
      <c r="X182" s="213"/>
      <c r="Y182" s="213"/>
      <c r="Z182" s="213"/>
      <c r="AA182" s="213"/>
      <c r="AB182" s="211"/>
      <c r="AC182" s="211"/>
      <c r="AD182" s="211"/>
      <c r="AE182" s="211"/>
      <c r="AF182" s="211">
        <f>INDEX($C$44:$AN$66,MATCH("New Customers 3MS",$C$44:$C$66,0),MATCH($C182,$C$44:$AN$44,0))</f>
        <v>136.00168421052635</v>
      </c>
      <c r="AG182" s="211"/>
      <c r="AH182" s="211"/>
      <c r="AI182" s="211">
        <f>$AF$182*(E153)</f>
        <v>122.40151578947372</v>
      </c>
      <c r="AJ182" s="211"/>
      <c r="AK182" s="211"/>
      <c r="AL182" s="211">
        <f>$AF$182*(H153)</f>
        <v>81.601010526315804</v>
      </c>
      <c r="AM182" s="211"/>
      <c r="AN182" s="211"/>
    </row>
    <row r="183" spans="2:41" s="7" customFormat="1" ht="12" hidden="1" customHeight="1" outlineLevel="2">
      <c r="B183" s="245"/>
      <c r="C183" s="213" t="s">
        <v>781</v>
      </c>
      <c r="D183" s="213"/>
      <c r="E183" s="213"/>
      <c r="F183" s="213"/>
      <c r="G183" s="213"/>
      <c r="H183" s="213"/>
      <c r="I183" s="213"/>
      <c r="J183" s="213"/>
      <c r="K183" s="213"/>
      <c r="L183" s="213"/>
      <c r="M183" s="213"/>
      <c r="N183" s="213"/>
      <c r="O183" s="213"/>
      <c r="P183" s="213"/>
      <c r="Q183" s="213"/>
      <c r="R183" s="213"/>
      <c r="S183" s="213"/>
      <c r="T183" s="213"/>
      <c r="U183" s="213"/>
      <c r="V183" s="213"/>
      <c r="W183" s="213"/>
      <c r="X183" s="213"/>
      <c r="Y183" s="213"/>
      <c r="Z183" s="213"/>
      <c r="AA183" s="213"/>
      <c r="AB183" s="211"/>
      <c r="AC183" s="211"/>
      <c r="AD183" s="211"/>
      <c r="AE183" s="211"/>
      <c r="AF183" s="211"/>
      <c r="AG183" s="211">
        <f>INDEX($C$44:$AN$66,MATCH("New Customers 3MS",$C$44:$C$66,0),MATCH($C183,$C$44:$AN$44,0))</f>
        <v>241.98265263157899</v>
      </c>
      <c r="AH183" s="211"/>
      <c r="AI183" s="211"/>
      <c r="AJ183" s="211">
        <f>$AG$183*(E153)</f>
        <v>217.78438736842108</v>
      </c>
      <c r="AK183" s="211"/>
      <c r="AL183" s="211"/>
      <c r="AM183" s="211">
        <f>$AG$183*(H153)</f>
        <v>145.18959157894739</v>
      </c>
      <c r="AN183" s="211"/>
    </row>
    <row r="184" spans="2:41" s="7" customFormat="1" ht="12" hidden="1" customHeight="1" outlineLevel="2">
      <c r="B184" s="245"/>
      <c r="C184" s="213" t="s">
        <v>782</v>
      </c>
      <c r="D184" s="213"/>
      <c r="E184" s="213"/>
      <c r="F184" s="213"/>
      <c r="G184" s="213"/>
      <c r="H184" s="213"/>
      <c r="I184" s="213"/>
      <c r="J184" s="213"/>
      <c r="K184" s="213"/>
      <c r="L184" s="213"/>
      <c r="M184" s="213"/>
      <c r="N184" s="213"/>
      <c r="O184" s="213"/>
      <c r="P184" s="213"/>
      <c r="Q184" s="213"/>
      <c r="R184" s="213"/>
      <c r="S184" s="213"/>
      <c r="T184" s="213"/>
      <c r="U184" s="213"/>
      <c r="V184" s="213"/>
      <c r="W184" s="213"/>
      <c r="X184" s="213"/>
      <c r="Y184" s="213"/>
      <c r="Z184" s="213"/>
      <c r="AA184" s="213"/>
      <c r="AB184" s="211"/>
      <c r="AC184" s="211"/>
      <c r="AD184" s="211"/>
      <c r="AE184" s="211"/>
      <c r="AF184" s="211"/>
      <c r="AG184" s="211"/>
      <c r="AH184" s="211">
        <f>INDEX($C$44:$AN$66,MATCH("New Customers 3MS",$C$44:$C$66,0),MATCH($C184,$C$44:$AN$44,0))</f>
        <v>320.41768421052632</v>
      </c>
      <c r="AI184" s="211"/>
      <c r="AJ184" s="211"/>
      <c r="AK184" s="211">
        <f>$AH$184*(E153)</f>
        <v>288.37591578947371</v>
      </c>
      <c r="AL184" s="211"/>
      <c r="AM184" s="211"/>
      <c r="AN184" s="211">
        <f>$AH$184*(H153)</f>
        <v>192.2506105263158</v>
      </c>
    </row>
    <row r="185" spans="2:41" s="7" customFormat="1" ht="12" hidden="1" customHeight="1" outlineLevel="2">
      <c r="B185" s="245"/>
      <c r="C185" s="213" t="s">
        <v>783</v>
      </c>
      <c r="D185" s="213"/>
      <c r="E185" s="213"/>
      <c r="F185" s="213"/>
      <c r="G185" s="213"/>
      <c r="H185" s="213"/>
      <c r="I185" s="213"/>
      <c r="J185" s="213"/>
      <c r="K185" s="213"/>
      <c r="L185" s="213"/>
      <c r="M185" s="213"/>
      <c r="N185" s="213"/>
      <c r="O185" s="213"/>
      <c r="P185" s="213"/>
      <c r="Q185" s="213"/>
      <c r="R185" s="213"/>
      <c r="S185" s="213"/>
      <c r="T185" s="213"/>
      <c r="U185" s="213"/>
      <c r="V185" s="213"/>
      <c r="W185" s="213"/>
      <c r="X185" s="213"/>
      <c r="Y185" s="213"/>
      <c r="Z185" s="213"/>
      <c r="AA185" s="213"/>
      <c r="AB185" s="211"/>
      <c r="AC185" s="211"/>
      <c r="AD185" s="211"/>
      <c r="AE185" s="211"/>
      <c r="AF185" s="211"/>
      <c r="AG185" s="211"/>
      <c r="AH185" s="211"/>
      <c r="AI185" s="211">
        <f>INDEX($C$44:$AN$66,MATCH("New Customers 3MS",$C$44:$C$66,0),MATCH($C185,$C$44:$AN$44,0))</f>
        <v>170.61726315789474</v>
      </c>
      <c r="AJ185" s="211"/>
      <c r="AK185" s="211"/>
      <c r="AL185" s="211">
        <f>$AI$185*(E153)</f>
        <v>153.55553684210528</v>
      </c>
      <c r="AM185" s="211"/>
      <c r="AN185" s="211"/>
    </row>
    <row r="186" spans="2:41" s="7" customFormat="1" ht="12" hidden="1" customHeight="1" outlineLevel="2">
      <c r="B186" s="245"/>
      <c r="C186" s="213" t="s">
        <v>784</v>
      </c>
      <c r="D186" s="213"/>
      <c r="E186" s="213"/>
      <c r="F186" s="213"/>
      <c r="G186" s="213"/>
      <c r="H186" s="213"/>
      <c r="I186" s="213"/>
      <c r="J186" s="213"/>
      <c r="K186" s="213"/>
      <c r="L186" s="213"/>
      <c r="M186" s="213"/>
      <c r="N186" s="213"/>
      <c r="O186" s="213"/>
      <c r="P186" s="213"/>
      <c r="Q186" s="213"/>
      <c r="R186" s="213"/>
      <c r="S186" s="213"/>
      <c r="T186" s="213"/>
      <c r="U186" s="213"/>
      <c r="V186" s="213"/>
      <c r="W186" s="213"/>
      <c r="X186" s="213"/>
      <c r="Y186" s="213"/>
      <c r="Z186" s="213"/>
      <c r="AA186" s="213"/>
      <c r="AB186" s="211"/>
      <c r="AC186" s="211"/>
      <c r="AD186" s="211"/>
      <c r="AE186" s="211"/>
      <c r="AF186" s="211"/>
      <c r="AG186" s="211"/>
      <c r="AH186" s="211"/>
      <c r="AI186" s="211"/>
      <c r="AJ186" s="211">
        <f>INDEX($C$44:$AN$66,MATCH("New Customers 3MS",$C$44:$C$66,0),MATCH($C186,$C$44:$AN$44,0))</f>
        <v>118.41347368421052</v>
      </c>
      <c r="AK186" s="211"/>
      <c r="AL186" s="211"/>
      <c r="AM186" s="211">
        <f>$AJ$186*(E153)</f>
        <v>106.57212631578946</v>
      </c>
      <c r="AN186" s="211"/>
    </row>
    <row r="187" spans="2:41" s="7" customFormat="1" ht="12" hidden="1" customHeight="1" outlineLevel="2">
      <c r="B187" s="245"/>
      <c r="C187" s="213" t="s">
        <v>785</v>
      </c>
      <c r="D187" s="213"/>
      <c r="E187" s="213"/>
      <c r="F187" s="213"/>
      <c r="G187" s="213"/>
      <c r="H187" s="213"/>
      <c r="I187" s="213"/>
      <c r="J187" s="213"/>
      <c r="K187" s="213"/>
      <c r="L187" s="213"/>
      <c r="M187" s="213"/>
      <c r="N187" s="213"/>
      <c r="O187" s="213"/>
      <c r="P187" s="213"/>
      <c r="Q187" s="213"/>
      <c r="R187" s="213"/>
      <c r="S187" s="213"/>
      <c r="T187" s="213"/>
      <c r="U187" s="213"/>
      <c r="V187" s="213"/>
      <c r="W187" s="213"/>
      <c r="X187" s="213"/>
      <c r="Y187" s="213"/>
      <c r="Z187" s="213"/>
      <c r="AA187" s="213"/>
      <c r="AB187" s="211"/>
      <c r="AC187" s="211"/>
      <c r="AD187" s="211"/>
      <c r="AE187" s="211"/>
      <c r="AF187" s="211"/>
      <c r="AG187" s="211"/>
      <c r="AH187" s="211"/>
      <c r="AI187" s="211"/>
      <c r="AJ187" s="211"/>
      <c r="AK187" s="211">
        <f>INDEX($C$44:$AN$66,MATCH("New Customers 3MS",$C$44:$C$66,0),MATCH($C187,$C$44:$AN$44,0))</f>
        <v>303.15789473684208</v>
      </c>
      <c r="AL187" s="211"/>
      <c r="AM187" s="211"/>
      <c r="AN187" s="211">
        <f>$AK$187*(E153)</f>
        <v>272.84210526315786</v>
      </c>
    </row>
    <row r="188" spans="2:41" s="7" customFormat="1" ht="12" hidden="1" customHeight="1" outlineLevel="2">
      <c r="B188" s="245"/>
      <c r="C188" s="213" t="s">
        <v>786</v>
      </c>
      <c r="D188" s="213"/>
      <c r="E188" s="213"/>
      <c r="F188" s="213"/>
      <c r="G188" s="213"/>
      <c r="H188" s="213"/>
      <c r="I188" s="213"/>
      <c r="J188" s="213"/>
      <c r="K188" s="213"/>
      <c r="L188" s="213"/>
      <c r="M188" s="213"/>
      <c r="N188" s="213"/>
      <c r="O188" s="213"/>
      <c r="P188" s="213"/>
      <c r="Q188" s="213"/>
      <c r="R188" s="213"/>
      <c r="S188" s="213"/>
      <c r="T188" s="213"/>
      <c r="U188" s="213"/>
      <c r="V188" s="213"/>
      <c r="W188" s="213"/>
      <c r="X188" s="213"/>
      <c r="Y188" s="213"/>
      <c r="Z188" s="213"/>
      <c r="AA188" s="213"/>
      <c r="AB188" s="211"/>
      <c r="AC188" s="211"/>
      <c r="AD188" s="211"/>
      <c r="AE188" s="211"/>
      <c r="AF188" s="211"/>
      <c r="AG188" s="211"/>
      <c r="AH188" s="211"/>
      <c r="AI188" s="211"/>
      <c r="AJ188" s="211"/>
      <c r="AK188" s="211"/>
      <c r="AL188" s="211">
        <f>INDEX($C$44:$AN$66,MATCH("New Customers 3MS",$C$44:$C$66,0),MATCH($C188,$C$44:$AN$44,0))</f>
        <v>303.15789473684208</v>
      </c>
      <c r="AM188" s="211"/>
      <c r="AN188" s="211"/>
    </row>
    <row r="189" spans="2:41" s="7" customFormat="1" ht="12" hidden="1" customHeight="1" outlineLevel="2">
      <c r="B189" s="245"/>
      <c r="C189" s="213" t="s">
        <v>787</v>
      </c>
      <c r="D189" s="213"/>
      <c r="E189" s="213"/>
      <c r="F189" s="213"/>
      <c r="G189" s="213"/>
      <c r="H189" s="213"/>
      <c r="I189" s="213"/>
      <c r="J189" s="213"/>
      <c r="K189" s="213"/>
      <c r="L189" s="213"/>
      <c r="M189" s="213"/>
      <c r="N189" s="213"/>
      <c r="O189" s="213"/>
      <c r="P189" s="213"/>
      <c r="Q189" s="213"/>
      <c r="R189" s="213"/>
      <c r="S189" s="213"/>
      <c r="T189" s="213"/>
      <c r="U189" s="213"/>
      <c r="V189" s="213"/>
      <c r="W189" s="213"/>
      <c r="X189" s="213"/>
      <c r="Y189" s="213"/>
      <c r="Z189" s="213"/>
      <c r="AA189" s="213"/>
      <c r="AB189" s="211"/>
      <c r="AC189" s="211"/>
      <c r="AD189" s="211"/>
      <c r="AE189" s="211"/>
      <c r="AF189" s="211"/>
      <c r="AG189" s="211"/>
      <c r="AH189" s="211"/>
      <c r="AI189" s="211"/>
      <c r="AJ189" s="211"/>
      <c r="AK189" s="211"/>
      <c r="AL189" s="211"/>
      <c r="AM189" s="211">
        <f>INDEX($C$44:$AN$66,MATCH("New Customers 3MS",$C$44:$C$66,0),MATCH($C189,$C$44:$AN$44,0))</f>
        <v>161.68421052631578</v>
      </c>
      <c r="AN189" s="211"/>
    </row>
    <row r="190" spans="2:41" s="7" customFormat="1" ht="12" hidden="1" customHeight="1" outlineLevel="2">
      <c r="B190" s="245"/>
      <c r="C190" s="213" t="s">
        <v>788</v>
      </c>
      <c r="D190" s="213"/>
      <c r="E190" s="213"/>
      <c r="F190" s="213"/>
      <c r="G190" s="213"/>
      <c r="H190" s="213"/>
      <c r="I190" s="213"/>
      <c r="J190" s="213"/>
      <c r="K190" s="213"/>
      <c r="L190" s="213"/>
      <c r="M190" s="213"/>
      <c r="N190" s="213"/>
      <c r="O190" s="213"/>
      <c r="P190" s="213"/>
      <c r="Q190" s="213"/>
      <c r="R190" s="213"/>
      <c r="S190" s="213"/>
      <c r="T190" s="213"/>
      <c r="U190" s="213"/>
      <c r="V190" s="213"/>
      <c r="W190" s="213"/>
      <c r="X190" s="213"/>
      <c r="Y190" s="213"/>
      <c r="Z190" s="213"/>
      <c r="AA190" s="213"/>
      <c r="AB190" s="211"/>
      <c r="AC190" s="211"/>
      <c r="AD190" s="211"/>
      <c r="AE190" s="211"/>
      <c r="AF190" s="211"/>
      <c r="AG190" s="211"/>
      <c r="AH190" s="211"/>
      <c r="AI190" s="211"/>
      <c r="AJ190" s="211"/>
      <c r="AK190" s="211"/>
      <c r="AL190" s="211"/>
      <c r="AM190" s="211"/>
      <c r="AN190" s="211">
        <f>INDEX($C$44:$AN$66,MATCH("New Customers 3MS",$C$44:$C$66,0),MATCH($C190,$C$44:$AN$44,0))</f>
        <v>161.68421052631578</v>
      </c>
    </row>
    <row r="191" spans="2:41" s="7" customFormat="1" ht="12" hidden="1" customHeight="1" outlineLevel="2">
      <c r="B191" s="245"/>
      <c r="C191" s="213"/>
      <c r="D191" s="213"/>
      <c r="E191" s="213"/>
      <c r="F191" s="213"/>
      <c r="G191" s="213"/>
      <c r="H191" s="213"/>
      <c r="I191" s="213"/>
      <c r="J191" s="213"/>
      <c r="K191" s="213"/>
      <c r="L191" s="213"/>
      <c r="M191" s="213"/>
      <c r="N191" s="213"/>
      <c r="O191" s="213"/>
      <c r="P191" s="213"/>
      <c r="Q191" s="213"/>
      <c r="R191" s="213"/>
      <c r="S191" s="213"/>
      <c r="T191" s="213"/>
      <c r="U191" s="213"/>
      <c r="V191" s="213"/>
      <c r="W191" s="213"/>
      <c r="X191" s="213"/>
      <c r="Y191" s="213"/>
      <c r="Z191" s="213"/>
      <c r="AA191" s="213"/>
      <c r="AB191" s="211"/>
      <c r="AC191" s="211"/>
      <c r="AD191" s="211"/>
      <c r="AE191" s="211"/>
      <c r="AF191" s="211"/>
      <c r="AG191" s="211"/>
      <c r="AH191" s="211"/>
      <c r="AI191" s="211"/>
      <c r="AJ191" s="211"/>
      <c r="AK191" s="211"/>
      <c r="AL191" s="211"/>
      <c r="AM191" s="211"/>
      <c r="AN191" s="211"/>
    </row>
    <row r="192" spans="2:41" s="7" customFormat="1" ht="12" hidden="1" customHeight="1" outlineLevel="2">
      <c r="B192" s="245"/>
      <c r="C192" s="213"/>
      <c r="D192" s="213"/>
      <c r="E192" s="213"/>
      <c r="F192" s="213"/>
      <c r="G192" s="213"/>
      <c r="H192" s="213"/>
      <c r="I192" s="213"/>
      <c r="J192" s="213"/>
      <c r="K192" s="213"/>
      <c r="L192" s="213"/>
      <c r="M192" s="213"/>
      <c r="N192" s="213"/>
      <c r="O192" s="213"/>
      <c r="P192" s="213"/>
      <c r="Q192" s="213"/>
      <c r="R192" s="213"/>
      <c r="S192" s="213"/>
      <c r="T192" s="213"/>
      <c r="U192" s="213"/>
      <c r="V192" s="213"/>
      <c r="W192" s="213"/>
      <c r="X192" s="213"/>
      <c r="Y192" s="213"/>
      <c r="Z192" s="213"/>
      <c r="AA192" s="213"/>
      <c r="AB192" s="211"/>
      <c r="AC192" s="211"/>
      <c r="AD192" s="211"/>
      <c r="AE192" s="211"/>
      <c r="AF192" s="211"/>
      <c r="AG192" s="211"/>
      <c r="AH192" s="211"/>
      <c r="AI192" s="211"/>
      <c r="AJ192" s="211"/>
      <c r="AK192" s="211"/>
      <c r="AL192" s="211"/>
      <c r="AM192" s="211"/>
      <c r="AN192" s="211"/>
    </row>
    <row r="193" spans="2:40" s="7" customFormat="1" ht="12" hidden="1" customHeight="1" outlineLevel="2">
      <c r="B193" s="245"/>
      <c r="C193" s="213"/>
      <c r="D193" s="213"/>
      <c r="E193" s="213"/>
      <c r="F193" s="213"/>
      <c r="G193" s="213"/>
      <c r="H193" s="213"/>
      <c r="I193" s="213"/>
      <c r="J193" s="213"/>
      <c r="K193" s="213"/>
      <c r="L193" s="213"/>
      <c r="M193" s="213"/>
      <c r="N193" s="213"/>
      <c r="O193" s="213"/>
      <c r="P193" s="213"/>
      <c r="Q193" s="213"/>
      <c r="R193" s="213"/>
      <c r="S193" s="213"/>
      <c r="T193" s="213"/>
      <c r="U193" s="213"/>
      <c r="V193" s="213"/>
      <c r="W193" s="213"/>
      <c r="X193" s="213"/>
      <c r="Y193" s="213"/>
      <c r="Z193" s="213"/>
      <c r="AA193" s="213"/>
      <c r="AB193" s="211"/>
      <c r="AC193" s="211"/>
      <c r="AD193" s="211"/>
      <c r="AE193" s="211"/>
      <c r="AF193" s="211"/>
      <c r="AG193" s="211"/>
      <c r="AH193" s="211"/>
      <c r="AI193" s="211"/>
      <c r="AJ193" s="211"/>
      <c r="AK193" s="211"/>
      <c r="AL193" s="211"/>
      <c r="AM193" s="211"/>
      <c r="AN193" s="211"/>
    </row>
    <row r="194" spans="2:40" s="7" customFormat="1" ht="12" hidden="1" customHeight="1" outlineLevel="2">
      <c r="B194" s="245"/>
      <c r="C194" s="213"/>
      <c r="D194" s="213"/>
      <c r="E194" s="213"/>
      <c r="F194" s="213"/>
      <c r="G194" s="213"/>
      <c r="H194" s="213"/>
      <c r="I194" s="213"/>
      <c r="J194" s="213"/>
      <c r="K194" s="213"/>
      <c r="L194" s="213"/>
      <c r="M194" s="213"/>
      <c r="N194" s="213"/>
      <c r="O194" s="213"/>
      <c r="P194" s="213"/>
      <c r="Q194" s="213"/>
      <c r="R194" s="213"/>
      <c r="S194" s="213"/>
      <c r="T194" s="213"/>
      <c r="U194" s="213"/>
      <c r="V194" s="213"/>
      <c r="W194" s="213"/>
      <c r="X194" s="213"/>
      <c r="Y194" s="213"/>
      <c r="Z194" s="213"/>
      <c r="AA194" s="213"/>
      <c r="AB194" s="211"/>
      <c r="AC194" s="211"/>
      <c r="AD194" s="211"/>
      <c r="AE194" s="211"/>
      <c r="AF194" s="211"/>
      <c r="AG194" s="211"/>
      <c r="AH194" s="211"/>
      <c r="AI194" s="211"/>
      <c r="AJ194" s="211"/>
      <c r="AK194" s="211"/>
      <c r="AL194" s="211"/>
      <c r="AM194" s="211"/>
      <c r="AN194" s="211"/>
    </row>
    <row r="195" spans="2:40" s="7" customFormat="1" ht="12" customHeight="1" outlineLevel="1" collapsed="1">
      <c r="B195" s="245"/>
      <c r="C195" s="243" t="s">
        <v>855</v>
      </c>
      <c r="D195" s="214"/>
      <c r="E195" s="214"/>
      <c r="F195" s="214"/>
      <c r="G195" s="214"/>
      <c r="H195" s="214"/>
      <c r="I195" s="214"/>
      <c r="J195" s="214"/>
      <c r="K195" s="214"/>
      <c r="L195" s="214"/>
      <c r="M195" s="214"/>
      <c r="N195" s="214"/>
      <c r="O195" s="214"/>
      <c r="P195" s="214"/>
      <c r="Q195" s="214"/>
      <c r="R195" s="214"/>
      <c r="S195" s="214"/>
      <c r="T195" s="214"/>
      <c r="U195" s="214"/>
      <c r="V195" s="214"/>
      <c r="W195" s="214"/>
      <c r="X195" s="214"/>
      <c r="Y195" s="214"/>
      <c r="Z195" s="214"/>
      <c r="AA195" s="214"/>
      <c r="AB195" s="214"/>
      <c r="AC195" s="211"/>
    </row>
    <row r="196" spans="2:40" s="7" customFormat="1" ht="12" customHeight="1" outlineLevel="1">
      <c r="B196" s="239"/>
      <c r="C196" s="214"/>
      <c r="D196" s="214"/>
      <c r="E196" s="214"/>
      <c r="F196" s="214"/>
      <c r="G196" s="214"/>
      <c r="H196" s="214"/>
      <c r="I196" s="214"/>
      <c r="J196" s="214"/>
      <c r="K196" s="214"/>
      <c r="L196" s="214"/>
      <c r="M196" s="214"/>
      <c r="N196" s="214"/>
      <c r="O196" s="214"/>
      <c r="P196" s="214"/>
      <c r="Q196" s="214"/>
      <c r="R196" s="214"/>
      <c r="S196" s="214"/>
      <c r="T196" s="214"/>
      <c r="U196" s="214"/>
      <c r="V196" s="214"/>
      <c r="W196" s="214"/>
      <c r="X196" s="214"/>
      <c r="Y196" s="214"/>
      <c r="Z196" s="214"/>
      <c r="AA196" s="214"/>
      <c r="AB196" s="214"/>
      <c r="AC196" s="215"/>
    </row>
    <row r="197" spans="2:40" s="7" customFormat="1" outlineLevel="1">
      <c r="B197" s="235"/>
    </row>
    <row r="198" spans="2:40" s="207" customFormat="1">
      <c r="C198" s="248" t="s">
        <v>823</v>
      </c>
    </row>
    <row r="199" spans="2:40" s="7" customFormat="1" ht="12" customHeight="1" outlineLevel="1">
      <c r="B199" s="237"/>
      <c r="C199" s="208"/>
      <c r="D199" s="208"/>
      <c r="E199" s="196" t="s">
        <v>753</v>
      </c>
      <c r="F199" s="196" t="s">
        <v>754</v>
      </c>
      <c r="G199" s="196" t="s">
        <v>755</v>
      </c>
      <c r="H199" s="196" t="s">
        <v>756</v>
      </c>
      <c r="I199" s="196" t="s">
        <v>757</v>
      </c>
      <c r="J199" s="196" t="s">
        <v>758</v>
      </c>
      <c r="K199" s="196" t="s">
        <v>759</v>
      </c>
      <c r="L199" s="196" t="s">
        <v>760</v>
      </c>
      <c r="M199" s="196" t="s">
        <v>761</v>
      </c>
      <c r="N199" s="196" t="s">
        <v>762</v>
      </c>
      <c r="O199" s="196" t="s">
        <v>763</v>
      </c>
      <c r="P199" s="196" t="s">
        <v>764</v>
      </c>
      <c r="Q199" s="196" t="s">
        <v>765</v>
      </c>
      <c r="R199" s="196" t="s">
        <v>766</v>
      </c>
      <c r="S199" s="196" t="s">
        <v>767</v>
      </c>
      <c r="T199" s="196" t="s">
        <v>768</v>
      </c>
      <c r="U199" s="196" t="s">
        <v>769</v>
      </c>
      <c r="V199" s="196" t="s">
        <v>770</v>
      </c>
      <c r="W199" s="196" t="s">
        <v>771</v>
      </c>
      <c r="X199" s="196" t="s">
        <v>772</v>
      </c>
      <c r="Y199" s="196" t="s">
        <v>773</v>
      </c>
      <c r="Z199" s="196" t="s">
        <v>774</v>
      </c>
      <c r="AA199" s="196" t="s">
        <v>775</v>
      </c>
      <c r="AB199" s="196" t="s">
        <v>776</v>
      </c>
      <c r="AC199" s="196" t="s">
        <v>777</v>
      </c>
      <c r="AD199" s="196" t="s">
        <v>778</v>
      </c>
      <c r="AE199" s="196" t="s">
        <v>779</v>
      </c>
      <c r="AF199" s="196" t="s">
        <v>780</v>
      </c>
      <c r="AG199" s="196" t="s">
        <v>781</v>
      </c>
      <c r="AH199" s="196" t="s">
        <v>782</v>
      </c>
      <c r="AI199" s="196" t="s">
        <v>783</v>
      </c>
      <c r="AJ199" s="196" t="s">
        <v>784</v>
      </c>
      <c r="AK199" s="196" t="s">
        <v>785</v>
      </c>
      <c r="AL199" s="196" t="s">
        <v>786</v>
      </c>
      <c r="AM199" s="196" t="s">
        <v>787</v>
      </c>
      <c r="AN199" s="196" t="s">
        <v>788</v>
      </c>
    </row>
    <row r="200" spans="2:40" s="7" customFormat="1" ht="12" customHeight="1" outlineLevel="1">
      <c r="B200" s="239"/>
      <c r="C200" s="214" t="s">
        <v>821</v>
      </c>
      <c r="D200" s="212"/>
      <c r="E200" s="337"/>
      <c r="F200" s="337"/>
      <c r="G200" s="337"/>
      <c r="H200" s="337"/>
      <c r="I200" s="337"/>
      <c r="J200" s="337">
        <f t="shared" ref="J200:AN200" si="121">J36*J40</f>
        <v>0</v>
      </c>
      <c r="K200" s="337">
        <f t="shared" si="121"/>
        <v>0</v>
      </c>
      <c r="L200" s="337">
        <f t="shared" si="121"/>
        <v>0</v>
      </c>
      <c r="M200" s="337">
        <f t="shared" si="121"/>
        <v>2000</v>
      </c>
      <c r="N200" s="337">
        <f t="shared" si="121"/>
        <v>2000</v>
      </c>
      <c r="O200" s="337">
        <f t="shared" si="121"/>
        <v>800</v>
      </c>
      <c r="P200" s="337">
        <f t="shared" si="121"/>
        <v>800</v>
      </c>
      <c r="Q200" s="337">
        <f t="shared" si="121"/>
        <v>1884.5200000000002</v>
      </c>
      <c r="R200" s="337">
        <f t="shared" si="121"/>
        <v>8818.8000000000011</v>
      </c>
      <c r="S200" s="337">
        <f t="shared" si="121"/>
        <v>7352.2800000000007</v>
      </c>
      <c r="T200" s="337">
        <f t="shared" si="121"/>
        <v>1345.8500000000004</v>
      </c>
      <c r="U200" s="337">
        <f t="shared" si="121"/>
        <v>2394.6200000000003</v>
      </c>
      <c r="V200" s="337">
        <f t="shared" si="121"/>
        <v>3170.8</v>
      </c>
      <c r="W200" s="337">
        <f t="shared" si="121"/>
        <v>1688.4</v>
      </c>
      <c r="X200" s="337">
        <f t="shared" si="121"/>
        <v>1171.8</v>
      </c>
      <c r="Y200" s="337">
        <f t="shared" si="121"/>
        <v>3000</v>
      </c>
      <c r="Z200" s="337">
        <f t="shared" si="121"/>
        <v>3000</v>
      </c>
      <c r="AA200" s="337">
        <f t="shared" si="121"/>
        <v>1600</v>
      </c>
      <c r="AB200" s="337">
        <f t="shared" si="121"/>
        <v>1600</v>
      </c>
      <c r="AC200" s="337">
        <f t="shared" si="121"/>
        <v>1884.5200000000002</v>
      </c>
      <c r="AD200" s="337">
        <f t="shared" si="121"/>
        <v>8818.8000000000011</v>
      </c>
      <c r="AE200" s="337">
        <f t="shared" si="121"/>
        <v>7352.2800000000007</v>
      </c>
      <c r="AF200" s="337">
        <f t="shared" si="121"/>
        <v>2691.7000000000007</v>
      </c>
      <c r="AG200" s="337">
        <f t="shared" si="121"/>
        <v>4789.2400000000007</v>
      </c>
      <c r="AH200" s="337">
        <f t="shared" si="121"/>
        <v>6341.6</v>
      </c>
      <c r="AI200" s="337">
        <f t="shared" si="121"/>
        <v>3376.8</v>
      </c>
      <c r="AJ200" s="337">
        <f t="shared" si="121"/>
        <v>2343.6</v>
      </c>
      <c r="AK200" s="337">
        <f t="shared" si="121"/>
        <v>6000</v>
      </c>
      <c r="AL200" s="337">
        <f t="shared" si="121"/>
        <v>6000</v>
      </c>
      <c r="AM200" s="337">
        <f t="shared" si="121"/>
        <v>3200</v>
      </c>
      <c r="AN200" s="337">
        <f t="shared" si="121"/>
        <v>3200</v>
      </c>
    </row>
    <row r="201" spans="2:40" ht="12" customHeight="1" outlineLevel="1">
      <c r="B201" s="301" t="s">
        <v>856</v>
      </c>
      <c r="C201" s="303" t="s">
        <v>827</v>
      </c>
      <c r="D201" s="302"/>
      <c r="E201" s="312"/>
      <c r="F201" s="312"/>
      <c r="G201" s="312"/>
      <c r="H201" s="312"/>
      <c r="I201" s="312"/>
      <c r="J201" s="312"/>
      <c r="K201" s="312"/>
      <c r="L201" s="312"/>
      <c r="M201" s="313">
        <v>90</v>
      </c>
      <c r="N201" s="313">
        <v>90</v>
      </c>
      <c r="O201" s="313">
        <v>90</v>
      </c>
      <c r="P201" s="313">
        <v>90</v>
      </c>
      <c r="Q201" s="313">
        <v>90</v>
      </c>
      <c r="R201" s="313">
        <v>90</v>
      </c>
      <c r="S201" s="313">
        <v>90</v>
      </c>
      <c r="T201" s="313">
        <v>90</v>
      </c>
      <c r="U201" s="313">
        <v>90</v>
      </c>
      <c r="V201" s="313">
        <v>90</v>
      </c>
      <c r="W201" s="313">
        <v>90</v>
      </c>
      <c r="X201" s="313">
        <v>90</v>
      </c>
      <c r="Y201" s="313">
        <v>90</v>
      </c>
      <c r="Z201" s="313">
        <v>90</v>
      </c>
      <c r="AA201" s="313">
        <v>90</v>
      </c>
      <c r="AB201" s="313">
        <v>90</v>
      </c>
      <c r="AC201" s="313">
        <v>90</v>
      </c>
      <c r="AD201" s="313">
        <v>90</v>
      </c>
      <c r="AE201" s="313">
        <v>90</v>
      </c>
      <c r="AF201" s="313">
        <v>90</v>
      </c>
      <c r="AG201" s="313">
        <v>90</v>
      </c>
      <c r="AH201" s="313">
        <v>90</v>
      </c>
      <c r="AI201" s="313">
        <v>90</v>
      </c>
      <c r="AJ201" s="313">
        <v>90</v>
      </c>
      <c r="AK201" s="313">
        <v>90</v>
      </c>
      <c r="AL201" s="313">
        <v>90</v>
      </c>
      <c r="AM201" s="313">
        <v>90</v>
      </c>
      <c r="AN201" s="313">
        <v>90</v>
      </c>
    </row>
    <row r="202" spans="2:40" s="7" customFormat="1" ht="12" customHeight="1" outlineLevel="1">
      <c r="B202" s="239" t="s">
        <v>828</v>
      </c>
      <c r="C202" s="214" t="s">
        <v>829</v>
      </c>
      <c r="D202" s="212"/>
      <c r="E202" s="232"/>
      <c r="F202" s="232"/>
      <c r="G202" s="232"/>
      <c r="H202" s="232"/>
      <c r="I202" s="232"/>
      <c r="J202" s="232"/>
      <c r="K202" s="232"/>
      <c r="L202" s="232"/>
      <c r="M202" s="205">
        <f t="shared" ref="M202:AN202" si="122">M200/M201</f>
        <v>22.222222222222221</v>
      </c>
      <c r="N202" s="205">
        <f t="shared" si="122"/>
        <v>22.222222222222221</v>
      </c>
      <c r="O202" s="205">
        <f t="shared" si="122"/>
        <v>8.8888888888888893</v>
      </c>
      <c r="P202" s="205">
        <f t="shared" si="122"/>
        <v>8.8888888888888893</v>
      </c>
      <c r="Q202" s="205">
        <f t="shared" si="122"/>
        <v>20.939111111111114</v>
      </c>
      <c r="R202" s="205">
        <f t="shared" si="122"/>
        <v>97.986666666666679</v>
      </c>
      <c r="S202" s="205">
        <f t="shared" si="122"/>
        <v>81.692000000000007</v>
      </c>
      <c r="T202" s="205">
        <f t="shared" si="122"/>
        <v>14.953888888888892</v>
      </c>
      <c r="U202" s="205">
        <f t="shared" si="122"/>
        <v>26.606888888888893</v>
      </c>
      <c r="V202" s="205">
        <f t="shared" si="122"/>
        <v>35.231111111111112</v>
      </c>
      <c r="W202" s="205">
        <f t="shared" si="122"/>
        <v>18.760000000000002</v>
      </c>
      <c r="X202" s="205">
        <f t="shared" si="122"/>
        <v>13.02</v>
      </c>
      <c r="Y202" s="205">
        <f t="shared" si="122"/>
        <v>33.333333333333336</v>
      </c>
      <c r="Z202" s="205">
        <f t="shared" si="122"/>
        <v>33.333333333333336</v>
      </c>
      <c r="AA202" s="205">
        <f t="shared" si="122"/>
        <v>17.777777777777779</v>
      </c>
      <c r="AB202" s="205">
        <f t="shared" si="122"/>
        <v>17.777777777777779</v>
      </c>
      <c r="AC202" s="205">
        <f t="shared" si="122"/>
        <v>20.939111111111114</v>
      </c>
      <c r="AD202" s="205">
        <f t="shared" si="122"/>
        <v>97.986666666666679</v>
      </c>
      <c r="AE202" s="205">
        <f t="shared" si="122"/>
        <v>81.692000000000007</v>
      </c>
      <c r="AF202" s="205">
        <f t="shared" si="122"/>
        <v>29.907777777777785</v>
      </c>
      <c r="AG202" s="205">
        <f t="shared" si="122"/>
        <v>53.213777777777786</v>
      </c>
      <c r="AH202" s="205">
        <f t="shared" si="122"/>
        <v>70.462222222222223</v>
      </c>
      <c r="AI202" s="205">
        <f t="shared" si="122"/>
        <v>37.520000000000003</v>
      </c>
      <c r="AJ202" s="205">
        <f t="shared" si="122"/>
        <v>26.04</v>
      </c>
      <c r="AK202" s="205">
        <f t="shared" si="122"/>
        <v>66.666666666666671</v>
      </c>
      <c r="AL202" s="205">
        <f t="shared" si="122"/>
        <v>66.666666666666671</v>
      </c>
      <c r="AM202" s="205">
        <f t="shared" si="122"/>
        <v>35.555555555555557</v>
      </c>
      <c r="AN202" s="205">
        <f t="shared" si="122"/>
        <v>35.555555555555557</v>
      </c>
    </row>
    <row r="203" spans="2:40" ht="12" customHeight="1" outlineLevel="1">
      <c r="B203" s="301"/>
      <c r="C203" s="303" t="s">
        <v>830</v>
      </c>
      <c r="D203" s="302"/>
      <c r="E203" s="314"/>
      <c r="F203" s="314"/>
      <c r="G203" s="314"/>
      <c r="H203" s="314"/>
      <c r="I203" s="314"/>
      <c r="J203" s="314"/>
      <c r="K203" s="314"/>
      <c r="L203" s="314"/>
      <c r="M203" s="315">
        <v>0</v>
      </c>
      <c r="N203" s="315">
        <v>0</v>
      </c>
      <c r="O203" s="315">
        <v>0</v>
      </c>
      <c r="P203" s="315">
        <v>0</v>
      </c>
      <c r="Q203" s="315">
        <v>0</v>
      </c>
      <c r="R203" s="315">
        <v>0</v>
      </c>
      <c r="S203" s="315">
        <v>0</v>
      </c>
      <c r="T203" s="315">
        <v>0</v>
      </c>
      <c r="U203" s="315">
        <v>0</v>
      </c>
      <c r="V203" s="315">
        <v>0</v>
      </c>
      <c r="W203" s="315">
        <v>0</v>
      </c>
      <c r="X203" s="315">
        <v>0</v>
      </c>
      <c r="Y203" s="315">
        <v>0</v>
      </c>
      <c r="Z203" s="315">
        <v>0</v>
      </c>
      <c r="AA203" s="315">
        <v>0</v>
      </c>
      <c r="AB203" s="315">
        <v>0</v>
      </c>
      <c r="AC203" s="315">
        <v>0</v>
      </c>
      <c r="AD203" s="315">
        <v>0</v>
      </c>
      <c r="AE203" s="315">
        <v>0</v>
      </c>
      <c r="AF203" s="315">
        <v>0</v>
      </c>
      <c r="AG203" s="315">
        <v>0</v>
      </c>
      <c r="AH203" s="315">
        <v>0</v>
      </c>
      <c r="AI203" s="315">
        <v>0</v>
      </c>
      <c r="AJ203" s="315">
        <v>0</v>
      </c>
      <c r="AK203" s="315">
        <v>0</v>
      </c>
      <c r="AL203" s="315">
        <v>0</v>
      </c>
      <c r="AM203" s="315">
        <v>0</v>
      </c>
      <c r="AN203" s="315">
        <v>0</v>
      </c>
    </row>
    <row r="204" spans="2:40" s="7" customFormat="1" ht="12" customHeight="1" outlineLevel="1">
      <c r="B204" s="239"/>
      <c r="C204" s="214" t="s">
        <v>831</v>
      </c>
      <c r="D204" s="212"/>
      <c r="E204" s="232"/>
      <c r="F204" s="232"/>
      <c r="G204" s="232"/>
      <c r="H204" s="232"/>
      <c r="I204" s="232"/>
      <c r="J204" s="232"/>
      <c r="K204" s="232"/>
      <c r="L204" s="232"/>
      <c r="M204" s="205">
        <f t="shared" ref="M204:AN204" si="123">M202*M203</f>
        <v>0</v>
      </c>
      <c r="N204" s="205">
        <f t="shared" si="123"/>
        <v>0</v>
      </c>
      <c r="O204" s="205">
        <f t="shared" si="123"/>
        <v>0</v>
      </c>
      <c r="P204" s="205">
        <f t="shared" si="123"/>
        <v>0</v>
      </c>
      <c r="Q204" s="205">
        <f t="shared" si="123"/>
        <v>0</v>
      </c>
      <c r="R204" s="205">
        <f t="shared" si="123"/>
        <v>0</v>
      </c>
      <c r="S204" s="205">
        <f t="shared" si="123"/>
        <v>0</v>
      </c>
      <c r="T204" s="205">
        <f t="shared" si="123"/>
        <v>0</v>
      </c>
      <c r="U204" s="205">
        <f t="shared" si="123"/>
        <v>0</v>
      </c>
      <c r="V204" s="205">
        <f t="shared" si="123"/>
        <v>0</v>
      </c>
      <c r="W204" s="205">
        <f t="shared" si="123"/>
        <v>0</v>
      </c>
      <c r="X204" s="205">
        <f t="shared" si="123"/>
        <v>0</v>
      </c>
      <c r="Y204" s="205">
        <f t="shared" si="123"/>
        <v>0</v>
      </c>
      <c r="Z204" s="205">
        <f t="shared" si="123"/>
        <v>0</v>
      </c>
      <c r="AA204" s="205">
        <f t="shared" si="123"/>
        <v>0</v>
      </c>
      <c r="AB204" s="205">
        <f t="shared" si="123"/>
        <v>0</v>
      </c>
      <c r="AC204" s="205">
        <f t="shared" si="123"/>
        <v>0</v>
      </c>
      <c r="AD204" s="205">
        <f t="shared" si="123"/>
        <v>0</v>
      </c>
      <c r="AE204" s="205">
        <f t="shared" si="123"/>
        <v>0</v>
      </c>
      <c r="AF204" s="205">
        <f t="shared" si="123"/>
        <v>0</v>
      </c>
      <c r="AG204" s="205">
        <f t="shared" si="123"/>
        <v>0</v>
      </c>
      <c r="AH204" s="205">
        <f t="shared" si="123"/>
        <v>0</v>
      </c>
      <c r="AI204" s="205">
        <f t="shared" si="123"/>
        <v>0</v>
      </c>
      <c r="AJ204" s="205">
        <f t="shared" si="123"/>
        <v>0</v>
      </c>
      <c r="AK204" s="205">
        <f t="shared" si="123"/>
        <v>0</v>
      </c>
      <c r="AL204" s="205">
        <f t="shared" si="123"/>
        <v>0</v>
      </c>
      <c r="AM204" s="205">
        <f t="shared" si="123"/>
        <v>0</v>
      </c>
      <c r="AN204" s="205">
        <f t="shared" si="123"/>
        <v>0</v>
      </c>
    </row>
    <row r="205" spans="2:40" s="7" customFormat="1" ht="12" customHeight="1" outlineLevel="1">
      <c r="B205" s="239" t="s">
        <v>828</v>
      </c>
      <c r="C205" s="214" t="s">
        <v>833</v>
      </c>
      <c r="D205" s="212"/>
      <c r="E205" s="232">
        <v>14</v>
      </c>
      <c r="F205" s="232">
        <v>23</v>
      </c>
      <c r="G205" s="232">
        <v>3</v>
      </c>
      <c r="H205" s="232">
        <v>53</v>
      </c>
      <c r="I205" s="232">
        <v>8</v>
      </c>
      <c r="J205" s="232">
        <v>5</v>
      </c>
      <c r="K205" s="232">
        <f>17+1</f>
        <v>18</v>
      </c>
      <c r="L205" s="232">
        <v>2</v>
      </c>
      <c r="M205" s="205">
        <f t="shared" ref="M205:AN205" si="124">M202+M204</f>
        <v>22.222222222222221</v>
      </c>
      <c r="N205" s="205">
        <f t="shared" si="124"/>
        <v>22.222222222222221</v>
      </c>
      <c r="O205" s="205">
        <f t="shared" si="124"/>
        <v>8.8888888888888893</v>
      </c>
      <c r="P205" s="205">
        <f t="shared" si="124"/>
        <v>8.8888888888888893</v>
      </c>
      <c r="Q205" s="205">
        <f t="shared" si="124"/>
        <v>20.939111111111114</v>
      </c>
      <c r="R205" s="205">
        <f t="shared" si="124"/>
        <v>97.986666666666679</v>
      </c>
      <c r="S205" s="205">
        <f t="shared" si="124"/>
        <v>81.692000000000007</v>
      </c>
      <c r="T205" s="205">
        <f t="shared" si="124"/>
        <v>14.953888888888892</v>
      </c>
      <c r="U205" s="205">
        <f t="shared" si="124"/>
        <v>26.606888888888893</v>
      </c>
      <c r="V205" s="205">
        <f t="shared" si="124"/>
        <v>35.231111111111112</v>
      </c>
      <c r="W205" s="205">
        <f t="shared" si="124"/>
        <v>18.760000000000002</v>
      </c>
      <c r="X205" s="205">
        <f t="shared" si="124"/>
        <v>13.02</v>
      </c>
      <c r="Y205" s="205">
        <f t="shared" si="124"/>
        <v>33.333333333333336</v>
      </c>
      <c r="Z205" s="205">
        <f t="shared" si="124"/>
        <v>33.333333333333336</v>
      </c>
      <c r="AA205" s="205">
        <f t="shared" si="124"/>
        <v>17.777777777777779</v>
      </c>
      <c r="AB205" s="205">
        <f t="shared" si="124"/>
        <v>17.777777777777779</v>
      </c>
      <c r="AC205" s="205">
        <f t="shared" si="124"/>
        <v>20.939111111111114</v>
      </c>
      <c r="AD205" s="205">
        <f t="shared" si="124"/>
        <v>97.986666666666679</v>
      </c>
      <c r="AE205" s="205">
        <f t="shared" si="124"/>
        <v>81.692000000000007</v>
      </c>
      <c r="AF205" s="205">
        <f t="shared" si="124"/>
        <v>29.907777777777785</v>
      </c>
      <c r="AG205" s="205">
        <f t="shared" si="124"/>
        <v>53.213777777777786</v>
      </c>
      <c r="AH205" s="205">
        <f t="shared" si="124"/>
        <v>70.462222222222223</v>
      </c>
      <c r="AI205" s="205">
        <f t="shared" si="124"/>
        <v>37.520000000000003</v>
      </c>
      <c r="AJ205" s="205">
        <f t="shared" si="124"/>
        <v>26.04</v>
      </c>
      <c r="AK205" s="205">
        <f t="shared" si="124"/>
        <v>66.666666666666671</v>
      </c>
      <c r="AL205" s="205">
        <f t="shared" si="124"/>
        <v>66.666666666666671</v>
      </c>
      <c r="AM205" s="205">
        <f t="shared" si="124"/>
        <v>35.555555555555557</v>
      </c>
      <c r="AN205" s="205">
        <f t="shared" si="124"/>
        <v>35.555555555555557</v>
      </c>
    </row>
    <row r="206" spans="2:40" s="7" customFormat="1" ht="12" customHeight="1" outlineLevel="1">
      <c r="B206" s="239" t="s">
        <v>857</v>
      </c>
      <c r="C206" s="214" t="s">
        <v>834</v>
      </c>
      <c r="D206" s="212"/>
      <c r="E206" s="232">
        <v>0</v>
      </c>
      <c r="F206" s="232">
        <v>2</v>
      </c>
      <c r="G206" s="232">
        <v>0</v>
      </c>
      <c r="H206" s="232">
        <v>2</v>
      </c>
      <c r="I206" s="232">
        <v>0</v>
      </c>
      <c r="J206" s="232">
        <f t="shared" ref="J206:AN206" si="125">J214+J215</f>
        <v>0</v>
      </c>
      <c r="K206" s="232">
        <f t="shared" si="125"/>
        <v>1</v>
      </c>
      <c r="L206" s="232">
        <v>0</v>
      </c>
      <c r="M206" s="205">
        <f t="shared" si="125"/>
        <v>0.43438155136268364</v>
      </c>
      <c r="N206" s="205">
        <f t="shared" si="125"/>
        <v>0.35354297693920167</v>
      </c>
      <c r="O206" s="205">
        <f t="shared" si="125"/>
        <v>0.16970062893081661</v>
      </c>
      <c r="P206" s="205">
        <f t="shared" si="125"/>
        <v>0.20364075471698151</v>
      </c>
      <c r="Q206" s="205">
        <f t="shared" si="125"/>
        <v>0.32437827928553542</v>
      </c>
      <c r="R206" s="205">
        <f t="shared" si="125"/>
        <v>1.8215527578566064</v>
      </c>
      <c r="S206" s="205">
        <f t="shared" si="125"/>
        <v>1.5029962726303348</v>
      </c>
      <c r="T206" s="205">
        <f t="shared" si="125"/>
        <v>0.2825702951757828</v>
      </c>
      <c r="U206" s="205">
        <f t="shared" si="125"/>
        <v>0.50172783601676996</v>
      </c>
      <c r="V206" s="205">
        <f t="shared" si="125"/>
        <v>0.63580040086431233</v>
      </c>
      <c r="W206" s="205">
        <f t="shared" si="125"/>
        <v>0.3481400694114713</v>
      </c>
      <c r="X206" s="205">
        <f t="shared" si="125"/>
        <v>0.24153567539907742</v>
      </c>
      <c r="Y206" s="205">
        <f t="shared" si="125"/>
        <v>0.61938956068000595</v>
      </c>
      <c r="Z206" s="205">
        <f t="shared" si="125"/>
        <v>0.61729342139462684</v>
      </c>
      <c r="AA206" s="205">
        <f t="shared" si="125"/>
        <v>0.32802044709734213</v>
      </c>
      <c r="AB206" s="205">
        <f t="shared" si="125"/>
        <v>0.32945898577990268</v>
      </c>
      <c r="AC206" s="205">
        <f t="shared" si="125"/>
        <v>0.38793821932684236</v>
      </c>
      <c r="AD206" s="205">
        <f t="shared" si="125"/>
        <v>1.8149222584495033</v>
      </c>
      <c r="AE206" s="205">
        <f t="shared" si="125"/>
        <v>1.5121372612027142</v>
      </c>
      <c r="AF206" s="205">
        <f t="shared" si="125"/>
        <v>0.55354837092333331</v>
      </c>
      <c r="AG206" s="205">
        <f t="shared" si="125"/>
        <v>0.98551813421973034</v>
      </c>
      <c r="AH206" s="205">
        <f t="shared" si="125"/>
        <v>1.3047886516511136</v>
      </c>
      <c r="AI206" s="205">
        <f t="shared" si="125"/>
        <v>0.69470840459481487</v>
      </c>
      <c r="AJ206" s="205">
        <f t="shared" si="125"/>
        <v>0.48211476586198276</v>
      </c>
      <c r="AK206" s="205">
        <f t="shared" si="125"/>
        <v>1.234348360861226</v>
      </c>
      <c r="AL206" s="205">
        <f t="shared" si="125"/>
        <v>1.2344379144808793</v>
      </c>
      <c r="AM206" s="205">
        <f t="shared" si="125"/>
        <v>0.65834262516189945</v>
      </c>
      <c r="AN206" s="205">
        <f t="shared" si="125"/>
        <v>0.65833070092962731</v>
      </c>
    </row>
    <row r="207" spans="2:40" s="7" customFormat="1" ht="12" customHeight="1" outlineLevel="1">
      <c r="B207" s="239"/>
      <c r="C207" s="214" t="s">
        <v>835</v>
      </c>
      <c r="D207" s="212"/>
      <c r="E207" s="232">
        <f>E200/E205</f>
        <v>0</v>
      </c>
      <c r="F207" s="232">
        <f t="shared" ref="F207:I207" si="126">F200/F205</f>
        <v>0</v>
      </c>
      <c r="G207" s="232">
        <f t="shared" si="126"/>
        <v>0</v>
      </c>
      <c r="H207" s="232">
        <f t="shared" si="126"/>
        <v>0</v>
      </c>
      <c r="I207" s="232">
        <f t="shared" si="126"/>
        <v>0</v>
      </c>
      <c r="J207" s="232">
        <f t="shared" ref="J207:AN207" si="127">J200/J205</f>
        <v>0</v>
      </c>
      <c r="K207" s="232">
        <f t="shared" si="127"/>
        <v>0</v>
      </c>
      <c r="L207" s="232">
        <f t="shared" si="127"/>
        <v>0</v>
      </c>
      <c r="M207" s="205">
        <f t="shared" si="127"/>
        <v>90</v>
      </c>
      <c r="N207" s="205">
        <f t="shared" si="127"/>
        <v>90</v>
      </c>
      <c r="O207" s="205">
        <f t="shared" si="127"/>
        <v>90</v>
      </c>
      <c r="P207" s="205">
        <f t="shared" si="127"/>
        <v>90</v>
      </c>
      <c r="Q207" s="205">
        <f t="shared" si="127"/>
        <v>90</v>
      </c>
      <c r="R207" s="205">
        <f t="shared" si="127"/>
        <v>90</v>
      </c>
      <c r="S207" s="205">
        <f t="shared" si="127"/>
        <v>90</v>
      </c>
      <c r="T207" s="205">
        <f t="shared" si="127"/>
        <v>90</v>
      </c>
      <c r="U207" s="205">
        <f t="shared" si="127"/>
        <v>90</v>
      </c>
      <c r="V207" s="205">
        <f t="shared" si="127"/>
        <v>90</v>
      </c>
      <c r="W207" s="205">
        <f t="shared" si="127"/>
        <v>90</v>
      </c>
      <c r="X207" s="205">
        <f t="shared" si="127"/>
        <v>90</v>
      </c>
      <c r="Y207" s="205">
        <f t="shared" si="127"/>
        <v>90</v>
      </c>
      <c r="Z207" s="205">
        <f t="shared" si="127"/>
        <v>90</v>
      </c>
      <c r="AA207" s="205">
        <f t="shared" si="127"/>
        <v>90</v>
      </c>
      <c r="AB207" s="205">
        <f t="shared" si="127"/>
        <v>90</v>
      </c>
      <c r="AC207" s="205">
        <f t="shared" si="127"/>
        <v>90</v>
      </c>
      <c r="AD207" s="205">
        <f t="shared" si="127"/>
        <v>90</v>
      </c>
      <c r="AE207" s="205">
        <f t="shared" si="127"/>
        <v>90</v>
      </c>
      <c r="AF207" s="205">
        <f t="shared" si="127"/>
        <v>90</v>
      </c>
      <c r="AG207" s="205">
        <f t="shared" si="127"/>
        <v>90</v>
      </c>
      <c r="AH207" s="205">
        <f t="shared" si="127"/>
        <v>90</v>
      </c>
      <c r="AI207" s="205">
        <f t="shared" si="127"/>
        <v>90</v>
      </c>
      <c r="AJ207" s="205">
        <f t="shared" si="127"/>
        <v>90</v>
      </c>
      <c r="AK207" s="205">
        <f t="shared" si="127"/>
        <v>90</v>
      </c>
      <c r="AL207" s="205">
        <f t="shared" si="127"/>
        <v>90</v>
      </c>
      <c r="AM207" s="205">
        <f t="shared" si="127"/>
        <v>90</v>
      </c>
      <c r="AN207" s="205">
        <f t="shared" si="127"/>
        <v>90</v>
      </c>
    </row>
    <row r="208" spans="2:40" s="7" customFormat="1" ht="12" customHeight="1" outlineLevel="1">
      <c r="B208" s="239"/>
      <c r="C208" s="214" t="s">
        <v>836</v>
      </c>
      <c r="D208" s="212"/>
      <c r="E208" s="232"/>
      <c r="F208" s="232"/>
      <c r="G208" s="232"/>
      <c r="H208" s="232"/>
      <c r="I208" s="232"/>
      <c r="J208" s="232"/>
      <c r="K208" s="232"/>
      <c r="L208" s="232"/>
      <c r="M208" s="205"/>
      <c r="N208" s="205"/>
      <c r="O208" s="205"/>
      <c r="P208" s="205"/>
      <c r="Q208" s="205"/>
      <c r="R208" s="205"/>
      <c r="S208" s="205"/>
      <c r="T208" s="205"/>
      <c r="U208" s="205"/>
      <c r="V208" s="205"/>
      <c r="W208" s="205"/>
      <c r="X208" s="205"/>
      <c r="Y208" s="205"/>
      <c r="Z208" s="205"/>
      <c r="AA208" s="205"/>
      <c r="AB208" s="205"/>
      <c r="AC208" s="205"/>
      <c r="AD208" s="205"/>
      <c r="AE208" s="205"/>
      <c r="AF208" s="205"/>
      <c r="AG208" s="205"/>
      <c r="AH208" s="205"/>
      <c r="AI208" s="205"/>
      <c r="AJ208" s="205"/>
      <c r="AK208" s="205"/>
      <c r="AL208" s="205"/>
      <c r="AM208" s="205"/>
      <c r="AN208" s="205"/>
    </row>
    <row r="209" spans="2:40" ht="12" customHeight="1" outlineLevel="1">
      <c r="B209" s="316" t="s">
        <v>879</v>
      </c>
      <c r="C209" s="303" t="s">
        <v>837</v>
      </c>
      <c r="D209" s="302"/>
      <c r="E209" s="317">
        <f t="shared" ref="E209:I209" si="128">1-(E206/E205)</f>
        <v>1</v>
      </c>
      <c r="F209" s="317">
        <f t="shared" si="128"/>
        <v>0.91304347826086962</v>
      </c>
      <c r="G209" s="317">
        <f t="shared" si="128"/>
        <v>1</v>
      </c>
      <c r="H209" s="317">
        <f t="shared" si="128"/>
        <v>0.96226415094339623</v>
      </c>
      <c r="I209" s="317">
        <f t="shared" si="128"/>
        <v>1</v>
      </c>
      <c r="J209" s="317">
        <v>1</v>
      </c>
      <c r="K209" s="317">
        <v>0.94</v>
      </c>
      <c r="L209" s="317">
        <v>1</v>
      </c>
      <c r="M209" s="318">
        <f t="shared" ref="M209:AN209" si="129">AVERAGE(H209:L209)</f>
        <v>0.98045283018867924</v>
      </c>
      <c r="N209" s="318">
        <f t="shared" si="129"/>
        <v>0.98409056603773593</v>
      </c>
      <c r="O209" s="318">
        <f t="shared" si="129"/>
        <v>0.98090867924528313</v>
      </c>
      <c r="P209" s="318">
        <f t="shared" si="129"/>
        <v>0.97709041509433958</v>
      </c>
      <c r="Q209" s="318">
        <f t="shared" si="129"/>
        <v>0.98450849811320751</v>
      </c>
      <c r="R209" s="318">
        <f t="shared" si="129"/>
        <v>0.98141019773584903</v>
      </c>
      <c r="S209" s="318">
        <f t="shared" si="129"/>
        <v>0.98160167124528308</v>
      </c>
      <c r="T209" s="318">
        <f t="shared" si="129"/>
        <v>0.9811038922867924</v>
      </c>
      <c r="U209" s="318">
        <f t="shared" si="129"/>
        <v>0.9811429348950943</v>
      </c>
      <c r="V209" s="318">
        <f t="shared" si="129"/>
        <v>0.98195343885524533</v>
      </c>
      <c r="W209" s="318">
        <f t="shared" si="129"/>
        <v>0.98144242700365292</v>
      </c>
      <c r="X209" s="318">
        <f t="shared" si="129"/>
        <v>0.98144887285721372</v>
      </c>
      <c r="Y209" s="318">
        <f t="shared" si="129"/>
        <v>0.98141831317959982</v>
      </c>
      <c r="Z209" s="318">
        <f t="shared" si="129"/>
        <v>0.98148119735816119</v>
      </c>
      <c r="AA209" s="318">
        <f t="shared" si="129"/>
        <v>0.98154884985077451</v>
      </c>
      <c r="AB209" s="318">
        <f t="shared" si="129"/>
        <v>0.98146793204988048</v>
      </c>
      <c r="AC209" s="318">
        <f t="shared" si="129"/>
        <v>0.98147303305912603</v>
      </c>
      <c r="AD209" s="318">
        <f t="shared" si="129"/>
        <v>0.98147786509950841</v>
      </c>
      <c r="AE209" s="318">
        <f t="shared" si="129"/>
        <v>0.98148977548349026</v>
      </c>
      <c r="AF209" s="318">
        <f t="shared" si="129"/>
        <v>0.98149149110855594</v>
      </c>
      <c r="AG209" s="318">
        <f t="shared" si="129"/>
        <v>0.98148001936011231</v>
      </c>
      <c r="AH209" s="318">
        <f t="shared" si="129"/>
        <v>0.98148243682215841</v>
      </c>
      <c r="AI209" s="318">
        <f t="shared" si="129"/>
        <v>0.98148431757476506</v>
      </c>
      <c r="AJ209" s="318">
        <f t="shared" si="129"/>
        <v>0.98148560806981633</v>
      </c>
      <c r="AK209" s="318">
        <f t="shared" si="129"/>
        <v>0.98148477458708161</v>
      </c>
      <c r="AL209" s="318">
        <f t="shared" si="129"/>
        <v>0.98148343128278681</v>
      </c>
      <c r="AM209" s="318">
        <f t="shared" si="129"/>
        <v>0.98148411366732158</v>
      </c>
      <c r="AN209" s="318">
        <f t="shared" si="129"/>
        <v>0.98148444903635423</v>
      </c>
    </row>
    <row r="210" spans="2:40" ht="12" customHeight="1" outlineLevel="1">
      <c r="B210" s="301"/>
      <c r="C210" s="303" t="s">
        <v>839</v>
      </c>
      <c r="D210" s="302"/>
      <c r="E210" s="317">
        <f t="shared" ref="E210:I210" si="130">1-E209</f>
        <v>0</v>
      </c>
      <c r="F210" s="317">
        <f t="shared" si="130"/>
        <v>8.6956521739130377E-2</v>
      </c>
      <c r="G210" s="317">
        <f t="shared" si="130"/>
        <v>0</v>
      </c>
      <c r="H210" s="317">
        <f t="shared" si="130"/>
        <v>3.7735849056603765E-2</v>
      </c>
      <c r="I210" s="317">
        <f t="shared" si="130"/>
        <v>0</v>
      </c>
      <c r="J210" s="317">
        <f t="shared" ref="J210:AN210" si="131">1-J209</f>
        <v>0</v>
      </c>
      <c r="K210" s="317">
        <f>1/18</f>
        <v>5.5555555555555552E-2</v>
      </c>
      <c r="L210" s="317">
        <f t="shared" si="131"/>
        <v>0</v>
      </c>
      <c r="M210" s="318">
        <f t="shared" si="131"/>
        <v>1.9547169811320764E-2</v>
      </c>
      <c r="N210" s="318">
        <f t="shared" si="131"/>
        <v>1.5909433962264075E-2</v>
      </c>
      <c r="O210" s="318">
        <f t="shared" si="131"/>
        <v>1.9091320754716867E-2</v>
      </c>
      <c r="P210" s="318">
        <f t="shared" si="131"/>
        <v>2.2909584905660418E-2</v>
      </c>
      <c r="Q210" s="318">
        <f t="shared" si="131"/>
        <v>1.5491501886792491E-2</v>
      </c>
      <c r="R210" s="318">
        <f t="shared" si="131"/>
        <v>1.8589802264150967E-2</v>
      </c>
      <c r="S210" s="318">
        <f t="shared" si="131"/>
        <v>1.8398328754716919E-2</v>
      </c>
      <c r="T210" s="318">
        <f t="shared" si="131"/>
        <v>1.8896107713207599E-2</v>
      </c>
      <c r="U210" s="318">
        <f t="shared" si="131"/>
        <v>1.8857065104905701E-2</v>
      </c>
      <c r="V210" s="318">
        <f t="shared" si="131"/>
        <v>1.8046561144754669E-2</v>
      </c>
      <c r="W210" s="318">
        <f t="shared" si="131"/>
        <v>1.8557572996347083E-2</v>
      </c>
      <c r="X210" s="318">
        <f t="shared" si="131"/>
        <v>1.8551127142786283E-2</v>
      </c>
      <c r="Y210" s="318">
        <f t="shared" si="131"/>
        <v>1.8581686820400178E-2</v>
      </c>
      <c r="Z210" s="318">
        <f t="shared" si="131"/>
        <v>1.8518802641838805E-2</v>
      </c>
      <c r="AA210" s="318">
        <f t="shared" si="131"/>
        <v>1.8451150149225493E-2</v>
      </c>
      <c r="AB210" s="318">
        <f t="shared" si="131"/>
        <v>1.8532067950119524E-2</v>
      </c>
      <c r="AC210" s="318">
        <f t="shared" si="131"/>
        <v>1.8526966940873968E-2</v>
      </c>
      <c r="AD210" s="318">
        <f t="shared" si="131"/>
        <v>1.8522134900491594E-2</v>
      </c>
      <c r="AE210" s="318">
        <f t="shared" si="131"/>
        <v>1.8510224516509743E-2</v>
      </c>
      <c r="AF210" s="318">
        <f t="shared" si="131"/>
        <v>1.8508508891444064E-2</v>
      </c>
      <c r="AG210" s="318">
        <f t="shared" si="131"/>
        <v>1.851998063988769E-2</v>
      </c>
      <c r="AH210" s="318">
        <f t="shared" si="131"/>
        <v>1.8517563177841589E-2</v>
      </c>
      <c r="AI210" s="318">
        <f t="shared" si="131"/>
        <v>1.8515682425234936E-2</v>
      </c>
      <c r="AJ210" s="318">
        <f t="shared" si="131"/>
        <v>1.8514391930183671E-2</v>
      </c>
      <c r="AK210" s="318">
        <f t="shared" si="131"/>
        <v>1.851522541291839E-2</v>
      </c>
      <c r="AL210" s="318">
        <f t="shared" si="131"/>
        <v>1.8516568717213189E-2</v>
      </c>
      <c r="AM210" s="318">
        <f t="shared" si="131"/>
        <v>1.8515886332678422E-2</v>
      </c>
      <c r="AN210" s="318">
        <f t="shared" si="131"/>
        <v>1.8515550963645766E-2</v>
      </c>
    </row>
    <row r="211" spans="2:40" ht="12" customHeight="1" outlineLevel="1">
      <c r="B211" s="301"/>
      <c r="C211" s="303" t="s">
        <v>840</v>
      </c>
      <c r="D211" s="302"/>
      <c r="E211" s="317">
        <v>0</v>
      </c>
      <c r="F211" s="317">
        <v>0</v>
      </c>
      <c r="G211" s="317">
        <v>0</v>
      </c>
      <c r="H211" s="317">
        <v>0</v>
      </c>
      <c r="I211" s="317">
        <v>0</v>
      </c>
      <c r="J211" s="317">
        <v>0</v>
      </c>
      <c r="K211" s="317">
        <v>0</v>
      </c>
      <c r="L211" s="317">
        <v>0</v>
      </c>
      <c r="M211" s="318">
        <v>0</v>
      </c>
      <c r="N211" s="318">
        <v>0</v>
      </c>
      <c r="O211" s="318">
        <v>0</v>
      </c>
      <c r="P211" s="318">
        <v>0</v>
      </c>
      <c r="Q211" s="318">
        <v>0</v>
      </c>
      <c r="R211" s="318">
        <v>0</v>
      </c>
      <c r="S211" s="318">
        <v>0</v>
      </c>
      <c r="T211" s="318">
        <v>0</v>
      </c>
      <c r="U211" s="318">
        <v>0</v>
      </c>
      <c r="V211" s="318">
        <v>0</v>
      </c>
      <c r="W211" s="318">
        <v>0</v>
      </c>
      <c r="X211" s="318">
        <v>0</v>
      </c>
      <c r="Y211" s="318">
        <v>0</v>
      </c>
      <c r="Z211" s="318">
        <v>0</v>
      </c>
      <c r="AA211" s="318">
        <v>0</v>
      </c>
      <c r="AB211" s="318">
        <v>0</v>
      </c>
      <c r="AC211" s="318">
        <v>0</v>
      </c>
      <c r="AD211" s="318">
        <v>0</v>
      </c>
      <c r="AE211" s="318">
        <v>0</v>
      </c>
      <c r="AF211" s="318">
        <v>0</v>
      </c>
      <c r="AG211" s="318">
        <v>0</v>
      </c>
      <c r="AH211" s="318">
        <v>0</v>
      </c>
      <c r="AI211" s="318">
        <v>0</v>
      </c>
      <c r="AJ211" s="318">
        <v>0</v>
      </c>
      <c r="AK211" s="318">
        <v>0</v>
      </c>
      <c r="AL211" s="318">
        <v>0</v>
      </c>
      <c r="AM211" s="318">
        <v>0</v>
      </c>
      <c r="AN211" s="318">
        <v>0</v>
      </c>
    </row>
    <row r="212" spans="2:40" s="7" customFormat="1" ht="12" customHeight="1" outlineLevel="1">
      <c r="B212" s="237"/>
      <c r="C212" s="208"/>
      <c r="D212" s="208"/>
      <c r="E212" s="216"/>
      <c r="F212" s="208"/>
      <c r="G212" s="208"/>
      <c r="H212" s="208"/>
      <c r="I212" s="208"/>
      <c r="J212" s="208"/>
      <c r="K212" s="208"/>
      <c r="L212" s="208"/>
      <c r="M212" s="208"/>
      <c r="N212" s="208"/>
      <c r="O212" s="208"/>
      <c r="P212" s="208"/>
      <c r="Q212" s="208"/>
      <c r="R212" s="208"/>
      <c r="S212" s="208"/>
      <c r="T212" s="208"/>
      <c r="U212" s="208"/>
      <c r="V212" s="208"/>
      <c r="W212" s="208"/>
      <c r="X212" s="208"/>
      <c r="Y212" s="208"/>
      <c r="Z212" s="208"/>
      <c r="AA212" s="208"/>
      <c r="AB212" s="208"/>
      <c r="AC212" s="208"/>
      <c r="AD212" s="208"/>
      <c r="AE212" s="208"/>
      <c r="AF212" s="208"/>
      <c r="AG212" s="208"/>
      <c r="AH212" s="208"/>
      <c r="AI212" s="208"/>
      <c r="AJ212" s="208"/>
      <c r="AK212" s="208"/>
      <c r="AL212" s="208"/>
      <c r="AM212" s="208"/>
      <c r="AN212" s="208"/>
    </row>
    <row r="213" spans="2:40" s="7" customFormat="1" ht="12" customHeight="1" outlineLevel="1">
      <c r="B213" s="239"/>
      <c r="C213" s="214" t="s">
        <v>841</v>
      </c>
      <c r="D213" s="214"/>
      <c r="E213" s="209">
        <f>E205*E209</f>
        <v>14</v>
      </c>
      <c r="F213" s="209">
        <f>F205*F209</f>
        <v>21</v>
      </c>
      <c r="G213" s="209">
        <f t="shared" ref="G213:I213" si="132">G205*G209</f>
        <v>3</v>
      </c>
      <c r="H213" s="209">
        <f>H205*H209</f>
        <v>51</v>
      </c>
      <c r="I213" s="209">
        <f t="shared" si="132"/>
        <v>8</v>
      </c>
      <c r="J213" s="209">
        <f t="shared" ref="J213:AN213" si="133">J205*J209</f>
        <v>5</v>
      </c>
      <c r="K213" s="209">
        <f t="shared" si="133"/>
        <v>16.919999999999998</v>
      </c>
      <c r="L213" s="209">
        <f t="shared" si="133"/>
        <v>2</v>
      </c>
      <c r="M213" s="209">
        <f t="shared" si="133"/>
        <v>21.787840670859538</v>
      </c>
      <c r="N213" s="209">
        <f t="shared" si="133"/>
        <v>21.868679245283019</v>
      </c>
      <c r="O213" s="209">
        <f t="shared" si="133"/>
        <v>8.7191882599580719</v>
      </c>
      <c r="P213" s="209">
        <f t="shared" si="133"/>
        <v>8.685248134171907</v>
      </c>
      <c r="Q213" s="209">
        <f t="shared" si="133"/>
        <v>20.614732831825577</v>
      </c>
      <c r="R213" s="209">
        <f t="shared" si="133"/>
        <v>96.165113908810071</v>
      </c>
      <c r="S213" s="209">
        <f t="shared" si="133"/>
        <v>80.189003727369666</v>
      </c>
      <c r="T213" s="209">
        <f t="shared" si="133"/>
        <v>14.67131859371311</v>
      </c>
      <c r="U213" s="209">
        <f t="shared" si="133"/>
        <v>26.105161052872123</v>
      </c>
      <c r="V213" s="209">
        <f t="shared" si="133"/>
        <v>34.5953107102468</v>
      </c>
      <c r="W213" s="209">
        <f t="shared" si="133"/>
        <v>18.41185993058853</v>
      </c>
      <c r="X213" s="209">
        <f t="shared" si="133"/>
        <v>12.778464324600922</v>
      </c>
      <c r="Y213" s="209">
        <f t="shared" si="133"/>
        <v>32.71394377265333</v>
      </c>
      <c r="Z213" s="209">
        <f t="shared" si="133"/>
        <v>32.716039911938708</v>
      </c>
      <c r="AA213" s="209">
        <f t="shared" si="133"/>
        <v>17.449757330680438</v>
      </c>
      <c r="AB213" s="209">
        <f t="shared" si="133"/>
        <v>17.448318791997877</v>
      </c>
      <c r="AC213" s="209">
        <f t="shared" si="133"/>
        <v>20.551172891784272</v>
      </c>
      <c r="AD213" s="209">
        <f t="shared" si="133"/>
        <v>96.17174440821718</v>
      </c>
      <c r="AE213" s="209">
        <f t="shared" si="133"/>
        <v>80.179862738797297</v>
      </c>
      <c r="AF213" s="209">
        <f t="shared" si="133"/>
        <v>29.354229406854451</v>
      </c>
      <c r="AG213" s="209">
        <f t="shared" si="133"/>
        <v>52.228259643558054</v>
      </c>
      <c r="AH213" s="209">
        <f t="shared" si="133"/>
        <v>69.157433570571115</v>
      </c>
      <c r="AI213" s="209">
        <f>AI205*AI209</f>
        <v>36.82529159540519</v>
      </c>
      <c r="AJ213" s="209">
        <f t="shared" si="133"/>
        <v>25.557885234138016</v>
      </c>
      <c r="AK213" s="209">
        <f t="shared" si="133"/>
        <v>65.432318305805438</v>
      </c>
      <c r="AL213" s="209">
        <f t="shared" si="133"/>
        <v>65.432228752185793</v>
      </c>
      <c r="AM213" s="209">
        <f t="shared" si="133"/>
        <v>34.897212930393657</v>
      </c>
      <c r="AN213" s="209">
        <f t="shared" si="133"/>
        <v>34.897224854625932</v>
      </c>
    </row>
    <row r="214" spans="2:40" s="7" customFormat="1" ht="12" customHeight="1" outlineLevel="1">
      <c r="B214" s="239"/>
      <c r="C214" s="214" t="s">
        <v>842</v>
      </c>
      <c r="D214" s="214"/>
      <c r="E214" s="209">
        <f>E205*E210</f>
        <v>0</v>
      </c>
      <c r="F214" s="209">
        <f>F205*F210</f>
        <v>1.9999999999999987</v>
      </c>
      <c r="G214" s="209">
        <f>G205*G210</f>
        <v>0</v>
      </c>
      <c r="H214" s="209">
        <f t="shared" ref="H214:I214" si="134">H205*H210</f>
        <v>1.9999999999999996</v>
      </c>
      <c r="I214" s="209">
        <f t="shared" si="134"/>
        <v>0</v>
      </c>
      <c r="J214" s="209">
        <f t="shared" ref="J214:AN214" si="135">J205*J210</f>
        <v>0</v>
      </c>
      <c r="K214" s="209">
        <f t="shared" si="135"/>
        <v>1</v>
      </c>
      <c r="L214" s="209">
        <f t="shared" si="135"/>
        <v>0</v>
      </c>
      <c r="M214" s="209">
        <f t="shared" si="135"/>
        <v>0.43438155136268364</v>
      </c>
      <c r="N214" s="209">
        <f t="shared" si="135"/>
        <v>0.35354297693920167</v>
      </c>
      <c r="O214" s="209">
        <f t="shared" si="135"/>
        <v>0.16970062893081661</v>
      </c>
      <c r="P214" s="209">
        <f t="shared" si="135"/>
        <v>0.20364075471698151</v>
      </c>
      <c r="Q214" s="209">
        <f t="shared" si="135"/>
        <v>0.32437827928553542</v>
      </c>
      <c r="R214" s="209">
        <f t="shared" si="135"/>
        <v>1.8215527578566064</v>
      </c>
      <c r="S214" s="209">
        <f t="shared" si="135"/>
        <v>1.5029962726303348</v>
      </c>
      <c r="T214" s="209">
        <f t="shared" si="135"/>
        <v>0.2825702951757828</v>
      </c>
      <c r="U214" s="209">
        <f t="shared" si="135"/>
        <v>0.50172783601676996</v>
      </c>
      <c r="V214" s="209">
        <f t="shared" si="135"/>
        <v>0.63580040086431233</v>
      </c>
      <c r="W214" s="209">
        <f t="shared" si="135"/>
        <v>0.3481400694114713</v>
      </c>
      <c r="X214" s="209">
        <f t="shared" si="135"/>
        <v>0.24153567539907742</v>
      </c>
      <c r="Y214" s="209">
        <f t="shared" si="135"/>
        <v>0.61938956068000595</v>
      </c>
      <c r="Z214" s="209">
        <f t="shared" si="135"/>
        <v>0.61729342139462684</v>
      </c>
      <c r="AA214" s="209">
        <f t="shared" si="135"/>
        <v>0.32802044709734213</v>
      </c>
      <c r="AB214" s="209">
        <f t="shared" si="135"/>
        <v>0.32945898577990268</v>
      </c>
      <c r="AC214" s="209">
        <f t="shared" si="135"/>
        <v>0.38793821932684236</v>
      </c>
      <c r="AD214" s="209">
        <f t="shared" si="135"/>
        <v>1.8149222584495033</v>
      </c>
      <c r="AE214" s="209">
        <f t="shared" si="135"/>
        <v>1.5121372612027142</v>
      </c>
      <c r="AF214" s="209">
        <f t="shared" si="135"/>
        <v>0.55354837092333331</v>
      </c>
      <c r="AG214" s="209">
        <f t="shared" si="135"/>
        <v>0.98551813421973034</v>
      </c>
      <c r="AH214" s="209">
        <f t="shared" si="135"/>
        <v>1.3047886516511136</v>
      </c>
      <c r="AI214" s="209">
        <f t="shared" si="135"/>
        <v>0.69470840459481487</v>
      </c>
      <c r="AJ214" s="209">
        <f t="shared" si="135"/>
        <v>0.48211476586198276</v>
      </c>
      <c r="AK214" s="209">
        <f t="shared" si="135"/>
        <v>1.234348360861226</v>
      </c>
      <c r="AL214" s="209">
        <f t="shared" si="135"/>
        <v>1.2344379144808793</v>
      </c>
      <c r="AM214" s="209">
        <f t="shared" si="135"/>
        <v>0.65834262516189945</v>
      </c>
      <c r="AN214" s="209">
        <f t="shared" si="135"/>
        <v>0.65833070092962731</v>
      </c>
    </row>
    <row r="215" spans="2:40" s="7" customFormat="1" ht="12" customHeight="1" outlineLevel="1">
      <c r="B215" s="239"/>
      <c r="C215" s="214" t="s">
        <v>843</v>
      </c>
      <c r="D215" s="214"/>
      <c r="E215" s="209">
        <f>E205*E211</f>
        <v>0</v>
      </c>
      <c r="F215" s="209">
        <f t="shared" ref="F215:I215" si="136">F205*F211</f>
        <v>0</v>
      </c>
      <c r="G215" s="209">
        <f t="shared" si="136"/>
        <v>0</v>
      </c>
      <c r="H215" s="209">
        <f t="shared" si="136"/>
        <v>0</v>
      </c>
      <c r="I215" s="209">
        <f t="shared" si="136"/>
        <v>0</v>
      </c>
      <c r="J215" s="209">
        <f t="shared" ref="J215:AN215" si="137">J205*J211</f>
        <v>0</v>
      </c>
      <c r="K215" s="209">
        <f t="shared" si="137"/>
        <v>0</v>
      </c>
      <c r="L215" s="209">
        <f t="shared" si="137"/>
        <v>0</v>
      </c>
      <c r="M215" s="209">
        <f t="shared" si="137"/>
        <v>0</v>
      </c>
      <c r="N215" s="209">
        <f t="shared" si="137"/>
        <v>0</v>
      </c>
      <c r="O215" s="209">
        <f t="shared" si="137"/>
        <v>0</v>
      </c>
      <c r="P215" s="209">
        <f t="shared" si="137"/>
        <v>0</v>
      </c>
      <c r="Q215" s="209">
        <f t="shared" si="137"/>
        <v>0</v>
      </c>
      <c r="R215" s="209">
        <f t="shared" si="137"/>
        <v>0</v>
      </c>
      <c r="S215" s="209">
        <f t="shared" si="137"/>
        <v>0</v>
      </c>
      <c r="T215" s="209">
        <f t="shared" si="137"/>
        <v>0</v>
      </c>
      <c r="U215" s="209">
        <f t="shared" si="137"/>
        <v>0</v>
      </c>
      <c r="V215" s="209">
        <f t="shared" si="137"/>
        <v>0</v>
      </c>
      <c r="W215" s="209">
        <f t="shared" si="137"/>
        <v>0</v>
      </c>
      <c r="X215" s="209">
        <f t="shared" si="137"/>
        <v>0</v>
      </c>
      <c r="Y215" s="209">
        <f t="shared" si="137"/>
        <v>0</v>
      </c>
      <c r="Z215" s="209">
        <f t="shared" si="137"/>
        <v>0</v>
      </c>
      <c r="AA215" s="209">
        <f t="shared" si="137"/>
        <v>0</v>
      </c>
      <c r="AB215" s="209">
        <f t="shared" si="137"/>
        <v>0</v>
      </c>
      <c r="AC215" s="209">
        <f t="shared" si="137"/>
        <v>0</v>
      </c>
      <c r="AD215" s="209">
        <f t="shared" si="137"/>
        <v>0</v>
      </c>
      <c r="AE215" s="209">
        <f t="shared" si="137"/>
        <v>0</v>
      </c>
      <c r="AF215" s="209">
        <f t="shared" si="137"/>
        <v>0</v>
      </c>
      <c r="AG215" s="209">
        <f t="shared" si="137"/>
        <v>0</v>
      </c>
      <c r="AH215" s="209">
        <f t="shared" si="137"/>
        <v>0</v>
      </c>
      <c r="AI215" s="209">
        <f t="shared" si="137"/>
        <v>0</v>
      </c>
      <c r="AJ215" s="209">
        <f t="shared" si="137"/>
        <v>0</v>
      </c>
      <c r="AK215" s="209">
        <f t="shared" si="137"/>
        <v>0</v>
      </c>
      <c r="AL215" s="209">
        <f t="shared" si="137"/>
        <v>0</v>
      </c>
      <c r="AM215" s="209">
        <f t="shared" si="137"/>
        <v>0</v>
      </c>
      <c r="AN215" s="209">
        <f t="shared" si="137"/>
        <v>0</v>
      </c>
    </row>
    <row r="216" spans="2:40" s="7" customFormat="1" ht="12" customHeight="1" outlineLevel="1">
      <c r="B216" s="239"/>
      <c r="C216" s="214" t="s">
        <v>844</v>
      </c>
      <c r="D216" s="214"/>
      <c r="E216" s="209">
        <f>IF((SUM(E226:E262)-E213)&lt;2,ROUNDUP(SUM(E226:E262),0)-E213,ROUNDDOWN(SUM(E226:E262),0)-E213)</f>
        <v>33</v>
      </c>
      <c r="F216" s="209">
        <f t="shared" ref="F216" si="138">IF((SUM(F226:F262)-F213)&lt;2,ROUNDUP(SUM(F226:F262),0)-F213,ROUNDDOWN(SUM(F226:F262),0)-F213)</f>
        <v>90</v>
      </c>
      <c r="G216" s="209">
        <f>IF((SUM(G226:G262)-G213)&lt;2,ROUNDUP(SUM(G226:G262),0)-G213,ROUNDDOWN(SUM(G226:G262),0)-G213)</f>
        <v>6</v>
      </c>
      <c r="H216" s="209">
        <f>IF((SUM(H226:H262)-H213)&lt;2,ROUNDUP(SUM(H226:H262),0)-H213,ROUNDDOWN(SUM(H226:H262),0)-H213)</f>
        <v>178</v>
      </c>
      <c r="I216" s="209">
        <f>IF((SUM(I226:I262)-I213)&lt;2,ROUNDUP(SUM(I226:I262),0)-I213,ROUNDDOWN(SUM(I226:I262),0)-I213)</f>
        <v>8</v>
      </c>
      <c r="J216" s="209">
        <f t="shared" ref="J216:AN216" si="139">IF((SUM(J226:J262)-J213)&lt;2,ROUNDUP(SUM(J226:J262),0)-J213,ROUNDDOWN(SUM(J226:J262),0)-J213)</f>
        <v>7</v>
      </c>
      <c r="K216" s="209">
        <f t="shared" si="139"/>
        <v>7.0800000000000018</v>
      </c>
      <c r="L216" s="209">
        <f t="shared" si="139"/>
        <v>7</v>
      </c>
      <c r="M216" s="209">
        <f t="shared" si="139"/>
        <v>7.2121593291404622</v>
      </c>
      <c r="N216" s="209">
        <f t="shared" si="139"/>
        <v>7.131320754716981</v>
      </c>
      <c r="O216" s="209">
        <f t="shared" si="139"/>
        <v>6.2808117400419281</v>
      </c>
      <c r="P216" s="209">
        <f t="shared" si="139"/>
        <v>6.314751865828093</v>
      </c>
      <c r="Q216" s="209">
        <f t="shared" si="139"/>
        <v>6.3852671681744226</v>
      </c>
      <c r="R216" s="209">
        <f t="shared" si="139"/>
        <v>5.8348860911899294</v>
      </c>
      <c r="S216" s="209">
        <f t="shared" si="139"/>
        <v>5.8109962726303337</v>
      </c>
      <c r="T216" s="209">
        <f t="shared" si="139"/>
        <v>6.3286814062868899</v>
      </c>
      <c r="U216" s="209">
        <f t="shared" si="139"/>
        <v>5.8948389471278766</v>
      </c>
      <c r="V216" s="209">
        <f t="shared" si="139"/>
        <v>5.4046892897532004</v>
      </c>
      <c r="W216" s="209">
        <f t="shared" si="139"/>
        <v>5.5881400694114696</v>
      </c>
      <c r="X216" s="209">
        <f t="shared" si="139"/>
        <v>5.2215356753990783</v>
      </c>
      <c r="Y216" s="209">
        <f t="shared" si="139"/>
        <v>5.2860562273466698</v>
      </c>
      <c r="Z216" s="209">
        <f t="shared" si="139"/>
        <v>5.283960088061292</v>
      </c>
      <c r="AA216" s="209">
        <f t="shared" si="139"/>
        <v>5.5502426693195623</v>
      </c>
      <c r="AB216" s="209">
        <f t="shared" si="139"/>
        <v>4.5516812080021225</v>
      </c>
      <c r="AC216" s="209">
        <f t="shared" si="139"/>
        <v>4.4488271082157276</v>
      </c>
      <c r="AD216" s="209">
        <f t="shared" si="139"/>
        <v>4.8282555917828205</v>
      </c>
      <c r="AE216" s="209">
        <f t="shared" si="139"/>
        <v>4.8201372612027029</v>
      </c>
      <c r="AF216" s="209">
        <f t="shared" si="139"/>
        <v>4.6457705931455493</v>
      </c>
      <c r="AG216" s="209">
        <f t="shared" si="139"/>
        <v>4.7717403564419456</v>
      </c>
      <c r="AH216" s="209">
        <f t="shared" si="139"/>
        <v>3.842566429428885</v>
      </c>
      <c r="AI216" s="209">
        <f t="shared" si="139"/>
        <v>4.17470840459481</v>
      </c>
      <c r="AJ216" s="209">
        <f t="shared" si="139"/>
        <v>4.4421147658619837</v>
      </c>
      <c r="AK216" s="209">
        <f t="shared" si="139"/>
        <v>3.5676816941945617</v>
      </c>
      <c r="AL216" s="209">
        <f t="shared" si="139"/>
        <v>3.567771247814207</v>
      </c>
      <c r="AM216" s="209">
        <f t="shared" si="139"/>
        <v>4.1027870696063431</v>
      </c>
      <c r="AN216" s="209">
        <f t="shared" si="139"/>
        <v>4.1027751453740677</v>
      </c>
    </row>
    <row r="217" spans="2:40" s="7" customFormat="1" ht="12" customHeight="1" outlineLevel="1">
      <c r="B217" s="239"/>
      <c r="C217" s="214" t="s">
        <v>845</v>
      </c>
      <c r="D217" s="214"/>
      <c r="E217" s="209">
        <f>IF((SUM(E267:E303)-E214)&lt;2,ROUNDUP(SUM(E267:E303),0)-E214,ROUNDDOWN(SUM(E267:E303),0)-E214)</f>
        <v>0</v>
      </c>
      <c r="F217" s="209">
        <f>IF((SUM(F267:F303)-F214)&lt;2,ROUND(SUM(F267:F303),0)-F214,ROUNDDOWN(SUM(F267:F303),0)-F214)</f>
        <v>1.3322676295501878E-15</v>
      </c>
      <c r="G217" s="209">
        <f>IF((SUM(G267:G303)-G214)&lt;2,ROUND(SUM(G267:G303),0)-G214,ROUNDDOWN(SUM(G267:G303),0)-G214)</f>
        <v>0</v>
      </c>
      <c r="H217" s="209">
        <f t="shared" ref="H217:I217" si="140">IF((SUM(H267:H303)-H214)&lt;2,ROUND(SUM(H267:H303),0)-H214,ROUNDDOWN(SUM(H267:H303),0)-H214)</f>
        <v>4.4408920985006262E-16</v>
      </c>
      <c r="I217" s="209">
        <f t="shared" si="140"/>
        <v>0</v>
      </c>
      <c r="J217" s="209">
        <f t="shared" ref="J217:AN217" si="141">IF((SUM(J267:J303)-J214)&lt;2,ROUNDUP(SUM(J267:J303),0)-J214,ROUNDDOWN(SUM(J267:J303),0)-J214)</f>
        <v>1</v>
      </c>
      <c r="K217" s="209">
        <f t="shared" si="141"/>
        <v>1</v>
      </c>
      <c r="L217" s="209">
        <f t="shared" si="141"/>
        <v>1</v>
      </c>
      <c r="M217" s="209">
        <f t="shared" si="141"/>
        <v>0.56561844863731636</v>
      </c>
      <c r="N217" s="209">
        <f t="shared" si="141"/>
        <v>0.64645702306079833</v>
      </c>
      <c r="O217" s="209">
        <f t="shared" si="141"/>
        <v>0.83029937106918339</v>
      </c>
      <c r="P217" s="209">
        <f t="shared" si="141"/>
        <v>0.79635924528301849</v>
      </c>
      <c r="Q217" s="209">
        <f t="shared" si="141"/>
        <v>0.67562172071446458</v>
      </c>
      <c r="R217" s="209">
        <f t="shared" si="141"/>
        <v>1.1784472421433936</v>
      </c>
      <c r="S217" s="209">
        <f t="shared" si="141"/>
        <v>0.49700372736966525</v>
      </c>
      <c r="T217" s="209">
        <f t="shared" si="141"/>
        <v>0.7174297048242172</v>
      </c>
      <c r="U217" s="209">
        <f t="shared" si="141"/>
        <v>0.49827216398323004</v>
      </c>
      <c r="V217" s="209">
        <f t="shared" si="141"/>
        <v>1.3641995991356877</v>
      </c>
      <c r="W217" s="209">
        <f t="shared" si="141"/>
        <v>0.65185993058852865</v>
      </c>
      <c r="X217" s="209">
        <f t="shared" si="141"/>
        <v>0.75846432460092261</v>
      </c>
      <c r="Y217" s="209">
        <f t="shared" si="141"/>
        <v>1.3806104393199941</v>
      </c>
      <c r="Z217" s="209">
        <f t="shared" si="141"/>
        <v>1.3827065786053732</v>
      </c>
      <c r="AA217" s="209">
        <f t="shared" si="141"/>
        <v>0.67197955290265787</v>
      </c>
      <c r="AB217" s="209">
        <f t="shared" si="141"/>
        <v>0.67054101422009738</v>
      </c>
      <c r="AC217" s="209">
        <f t="shared" si="141"/>
        <v>0.61206178067315764</v>
      </c>
      <c r="AD217" s="209">
        <f t="shared" si="141"/>
        <v>1.1850777415504967</v>
      </c>
      <c r="AE217" s="209">
        <f t="shared" si="141"/>
        <v>1.4878627387972858</v>
      </c>
      <c r="AF217" s="209">
        <f t="shared" si="141"/>
        <v>1.4464516290766667</v>
      </c>
      <c r="AG217" s="209">
        <f t="shared" si="141"/>
        <v>1.0144818657802697</v>
      </c>
      <c r="AH217" s="209">
        <f t="shared" si="141"/>
        <v>0.69521134834888643</v>
      </c>
      <c r="AI217" s="209">
        <f t="shared" si="141"/>
        <v>1.3052915954051851</v>
      </c>
      <c r="AJ217" s="209">
        <f t="shared" si="141"/>
        <v>1.5178852341380171</v>
      </c>
      <c r="AK217" s="209">
        <f t="shared" si="141"/>
        <v>0.76565163913877399</v>
      </c>
      <c r="AL217" s="209">
        <f t="shared" si="141"/>
        <v>0.76556208551912075</v>
      </c>
      <c r="AM217" s="209">
        <f t="shared" si="141"/>
        <v>1.3416573748381007</v>
      </c>
      <c r="AN217" s="209">
        <f t="shared" si="141"/>
        <v>1.3416692990703727</v>
      </c>
    </row>
    <row r="218" spans="2:40" s="7" customFormat="1" ht="12" customHeight="1" outlineLevel="1">
      <c r="B218" s="239"/>
      <c r="C218" s="214" t="s">
        <v>846</v>
      </c>
      <c r="D218" s="214"/>
      <c r="E218" s="209">
        <f>IF((SUM(E308:E343)-E215)&lt;1,ROUNDUP(SUM(E308:E343),0)-E215,ROUNDDOWN(SUM(E308:E343),0)-E215)</f>
        <v>0</v>
      </c>
      <c r="F218" s="209">
        <f t="shared" ref="F218:I218" si="142">IF((SUM(F308:F343)-F215)&lt;1,ROUNDUP(SUM(F308:F343),0)-F215,ROUNDDOWN(SUM(F308:F343),0)-F215)</f>
        <v>0</v>
      </c>
      <c r="G218" s="209">
        <f t="shared" si="142"/>
        <v>0</v>
      </c>
      <c r="H218" s="209">
        <f t="shared" si="142"/>
        <v>0</v>
      </c>
      <c r="I218" s="209">
        <f t="shared" si="142"/>
        <v>0</v>
      </c>
      <c r="J218" s="209">
        <f t="shared" ref="J218:AN218" si="143">IF((SUM(J308:J343)-J215)&lt;1,ROUNDUP(SUM(J308:J343),0)-J215,ROUNDDOWN(SUM(J308:J343),0)-J215)</f>
        <v>0</v>
      </c>
      <c r="K218" s="209">
        <f t="shared" si="143"/>
        <v>0</v>
      </c>
      <c r="L218" s="209">
        <f t="shared" si="143"/>
        <v>0</v>
      </c>
      <c r="M218" s="209">
        <f t="shared" si="143"/>
        <v>0</v>
      </c>
      <c r="N218" s="209">
        <f t="shared" si="143"/>
        <v>0</v>
      </c>
      <c r="O218" s="209">
        <f t="shared" si="143"/>
        <v>0</v>
      </c>
      <c r="P218" s="209">
        <f t="shared" si="143"/>
        <v>0</v>
      </c>
      <c r="Q218" s="209">
        <f t="shared" si="143"/>
        <v>0</v>
      </c>
      <c r="R218" s="209">
        <f t="shared" si="143"/>
        <v>0</v>
      </c>
      <c r="S218" s="209">
        <f t="shared" si="143"/>
        <v>0</v>
      </c>
      <c r="T218" s="209">
        <f t="shared" si="143"/>
        <v>0</v>
      </c>
      <c r="U218" s="209">
        <f t="shared" si="143"/>
        <v>0</v>
      </c>
      <c r="V218" s="209">
        <f t="shared" si="143"/>
        <v>0</v>
      </c>
      <c r="W218" s="209">
        <f t="shared" si="143"/>
        <v>0</v>
      </c>
      <c r="X218" s="209">
        <f t="shared" si="143"/>
        <v>0</v>
      </c>
      <c r="Y218" s="209">
        <f t="shared" si="143"/>
        <v>0</v>
      </c>
      <c r="Z218" s="209">
        <f t="shared" si="143"/>
        <v>0</v>
      </c>
      <c r="AA218" s="209">
        <f t="shared" si="143"/>
        <v>0</v>
      </c>
      <c r="AB218" s="209">
        <f t="shared" si="143"/>
        <v>0</v>
      </c>
      <c r="AC218" s="209">
        <f t="shared" si="143"/>
        <v>0</v>
      </c>
      <c r="AD218" s="209">
        <f t="shared" si="143"/>
        <v>0</v>
      </c>
      <c r="AE218" s="209">
        <f t="shared" si="143"/>
        <v>0</v>
      </c>
      <c r="AF218" s="209">
        <f t="shared" si="143"/>
        <v>0</v>
      </c>
      <c r="AG218" s="209">
        <f t="shared" si="143"/>
        <v>0</v>
      </c>
      <c r="AH218" s="209">
        <f t="shared" si="143"/>
        <v>0</v>
      </c>
      <c r="AI218" s="209">
        <f t="shared" si="143"/>
        <v>0</v>
      </c>
      <c r="AJ218" s="209">
        <f t="shared" si="143"/>
        <v>0</v>
      </c>
      <c r="AK218" s="209">
        <f t="shared" si="143"/>
        <v>0</v>
      </c>
      <c r="AL218" s="209">
        <f t="shared" si="143"/>
        <v>0</v>
      </c>
      <c r="AM218" s="209">
        <f t="shared" si="143"/>
        <v>0</v>
      </c>
      <c r="AN218" s="209">
        <f t="shared" si="143"/>
        <v>0</v>
      </c>
    </row>
    <row r="219" spans="2:40" s="7" customFormat="1" ht="12" customHeight="1" outlineLevel="1">
      <c r="B219" s="237"/>
      <c r="C219" s="214" t="s">
        <v>833</v>
      </c>
      <c r="D219" s="214"/>
      <c r="E219" s="210">
        <f t="shared" ref="E219:I219" si="144">SUM(E213:E215)</f>
        <v>14</v>
      </c>
      <c r="F219" s="210">
        <f t="shared" si="144"/>
        <v>23</v>
      </c>
      <c r="G219" s="210">
        <f t="shared" si="144"/>
        <v>3</v>
      </c>
      <c r="H219" s="210">
        <f>SUM(H213:H215)</f>
        <v>53</v>
      </c>
      <c r="I219" s="210">
        <f t="shared" si="144"/>
        <v>8</v>
      </c>
      <c r="J219" s="210">
        <f t="shared" ref="J219:P219" si="145">SUM(J213:J215)</f>
        <v>5</v>
      </c>
      <c r="K219" s="210">
        <f t="shared" si="145"/>
        <v>17.919999999999998</v>
      </c>
      <c r="L219" s="210">
        <f t="shared" si="145"/>
        <v>2</v>
      </c>
      <c r="M219" s="210">
        <f t="shared" si="145"/>
        <v>22.222222222222221</v>
      </c>
      <c r="N219" s="210">
        <f t="shared" si="145"/>
        <v>22.222222222222221</v>
      </c>
      <c r="O219" s="210">
        <f t="shared" si="145"/>
        <v>8.8888888888888893</v>
      </c>
      <c r="P219" s="210">
        <f t="shared" si="145"/>
        <v>8.8888888888888893</v>
      </c>
      <c r="Q219" s="210">
        <f t="shared" ref="Q219:AN219" si="146">SUM(Q213:Q215)</f>
        <v>20.939111111111114</v>
      </c>
      <c r="R219" s="210">
        <f t="shared" si="146"/>
        <v>97.986666666666679</v>
      </c>
      <c r="S219" s="210">
        <f t="shared" si="146"/>
        <v>81.692000000000007</v>
      </c>
      <c r="T219" s="210">
        <f t="shared" si="146"/>
        <v>14.953888888888892</v>
      </c>
      <c r="U219" s="210">
        <f t="shared" si="146"/>
        <v>26.606888888888893</v>
      </c>
      <c r="V219" s="210">
        <f t="shared" si="146"/>
        <v>35.231111111111112</v>
      </c>
      <c r="W219" s="210">
        <f t="shared" si="146"/>
        <v>18.760000000000002</v>
      </c>
      <c r="X219" s="210">
        <f t="shared" si="146"/>
        <v>13.02</v>
      </c>
      <c r="Y219" s="210">
        <f t="shared" si="146"/>
        <v>33.333333333333336</v>
      </c>
      <c r="Z219" s="210">
        <f t="shared" si="146"/>
        <v>33.333333333333336</v>
      </c>
      <c r="AA219" s="210">
        <f t="shared" si="146"/>
        <v>17.777777777777779</v>
      </c>
      <c r="AB219" s="210">
        <f t="shared" si="146"/>
        <v>17.777777777777779</v>
      </c>
      <c r="AC219" s="210">
        <f t="shared" si="146"/>
        <v>20.939111111111114</v>
      </c>
      <c r="AD219" s="210">
        <f t="shared" si="146"/>
        <v>97.986666666666679</v>
      </c>
      <c r="AE219" s="210">
        <f t="shared" si="146"/>
        <v>81.692000000000007</v>
      </c>
      <c r="AF219" s="210">
        <f t="shared" si="146"/>
        <v>29.907777777777785</v>
      </c>
      <c r="AG219" s="210">
        <f t="shared" si="146"/>
        <v>53.213777777777786</v>
      </c>
      <c r="AH219" s="210">
        <f t="shared" si="146"/>
        <v>70.462222222222223</v>
      </c>
      <c r="AI219" s="210">
        <f t="shared" si="146"/>
        <v>37.520000000000003</v>
      </c>
      <c r="AJ219" s="210">
        <f t="shared" si="146"/>
        <v>26.04</v>
      </c>
      <c r="AK219" s="210">
        <f t="shared" si="146"/>
        <v>66.666666666666657</v>
      </c>
      <c r="AL219" s="210">
        <f t="shared" si="146"/>
        <v>66.666666666666671</v>
      </c>
      <c r="AM219" s="210">
        <f t="shared" si="146"/>
        <v>35.555555555555557</v>
      </c>
      <c r="AN219" s="210">
        <f t="shared" si="146"/>
        <v>35.555555555555557</v>
      </c>
    </row>
    <row r="220" spans="2:40" s="7" customFormat="1" ht="12" customHeight="1" outlineLevel="1">
      <c r="B220" s="237"/>
      <c r="C220" s="214" t="s">
        <v>847</v>
      </c>
      <c r="D220" s="214"/>
      <c r="E220" s="210">
        <f>SUM(E216:E218)</f>
        <v>33</v>
      </c>
      <c r="F220" s="210">
        <f t="shared" ref="F220:I220" si="147">SUM(F216:F218)</f>
        <v>90</v>
      </c>
      <c r="G220" s="210">
        <f t="shared" si="147"/>
        <v>6</v>
      </c>
      <c r="H220" s="210">
        <f t="shared" si="147"/>
        <v>178</v>
      </c>
      <c r="I220" s="210">
        <f t="shared" si="147"/>
        <v>8</v>
      </c>
      <c r="J220" s="210">
        <f t="shared" ref="J220:AN220" si="148">SUM(J216:J218)</f>
        <v>8</v>
      </c>
      <c r="K220" s="210">
        <f t="shared" si="148"/>
        <v>8.0800000000000018</v>
      </c>
      <c r="L220" s="210">
        <f t="shared" si="148"/>
        <v>8</v>
      </c>
      <c r="M220" s="210">
        <f t="shared" si="148"/>
        <v>7.7777777777777786</v>
      </c>
      <c r="N220" s="210">
        <f t="shared" si="148"/>
        <v>7.7777777777777795</v>
      </c>
      <c r="O220" s="210">
        <f t="shared" si="148"/>
        <v>7.1111111111111116</v>
      </c>
      <c r="P220" s="210">
        <f t="shared" si="148"/>
        <v>7.1111111111111116</v>
      </c>
      <c r="Q220" s="210">
        <f t="shared" si="148"/>
        <v>7.0608888888888872</v>
      </c>
      <c r="R220" s="210">
        <f t="shared" si="148"/>
        <v>7.013333333333323</v>
      </c>
      <c r="S220" s="210">
        <f t="shared" si="148"/>
        <v>6.3079999999999989</v>
      </c>
      <c r="T220" s="210">
        <f t="shared" si="148"/>
        <v>7.0461111111111068</v>
      </c>
      <c r="U220" s="210">
        <f t="shared" si="148"/>
        <v>6.3931111111111063</v>
      </c>
      <c r="V220" s="210">
        <f t="shared" si="148"/>
        <v>6.7688888888888883</v>
      </c>
      <c r="W220" s="210">
        <f t="shared" si="148"/>
        <v>6.2399999999999984</v>
      </c>
      <c r="X220" s="210">
        <f t="shared" si="148"/>
        <v>5.98</v>
      </c>
      <c r="Y220" s="210">
        <f t="shared" si="148"/>
        <v>6.6666666666666643</v>
      </c>
      <c r="Z220" s="210">
        <f t="shared" si="148"/>
        <v>6.6666666666666652</v>
      </c>
      <c r="AA220" s="210">
        <f t="shared" si="148"/>
        <v>6.2222222222222205</v>
      </c>
      <c r="AB220" s="210">
        <f t="shared" si="148"/>
        <v>5.2222222222222197</v>
      </c>
      <c r="AC220" s="210">
        <f t="shared" si="148"/>
        <v>5.0608888888888854</v>
      </c>
      <c r="AD220" s="210">
        <f t="shared" si="148"/>
        <v>6.0133333333333177</v>
      </c>
      <c r="AE220" s="210">
        <f t="shared" si="148"/>
        <v>6.3079999999999892</v>
      </c>
      <c r="AF220" s="210">
        <f t="shared" si="148"/>
        <v>6.0922222222222162</v>
      </c>
      <c r="AG220" s="210">
        <f t="shared" si="148"/>
        <v>5.7862222222222153</v>
      </c>
      <c r="AH220" s="210">
        <f t="shared" si="148"/>
        <v>4.5377777777777712</v>
      </c>
      <c r="AI220" s="210">
        <f t="shared" si="148"/>
        <v>5.4799999999999951</v>
      </c>
      <c r="AJ220" s="210">
        <f t="shared" si="148"/>
        <v>5.9600000000000009</v>
      </c>
      <c r="AK220" s="210">
        <f t="shared" si="148"/>
        <v>4.3333333333333357</v>
      </c>
      <c r="AL220" s="210">
        <f t="shared" si="148"/>
        <v>4.3333333333333277</v>
      </c>
      <c r="AM220" s="210">
        <f t="shared" si="148"/>
        <v>5.4444444444444438</v>
      </c>
      <c r="AN220" s="210">
        <f t="shared" si="148"/>
        <v>5.4444444444444402</v>
      </c>
    </row>
    <row r="221" spans="2:40" s="7" customFormat="1" ht="12" customHeight="1" outlineLevel="1">
      <c r="B221" s="237"/>
      <c r="C221" s="214" t="s">
        <v>848</v>
      </c>
      <c r="D221" s="214"/>
      <c r="E221" s="205">
        <f>SUM(E219:E220)</f>
        <v>47</v>
      </c>
      <c r="F221" s="205">
        <f t="shared" ref="F221:I221" si="149">SUM(F219:F220)</f>
        <v>113</v>
      </c>
      <c r="G221" s="205">
        <f t="shared" si="149"/>
        <v>9</v>
      </c>
      <c r="H221" s="205">
        <f t="shared" si="149"/>
        <v>231</v>
      </c>
      <c r="I221" s="205">
        <f t="shared" si="149"/>
        <v>16</v>
      </c>
      <c r="J221" s="205">
        <f t="shared" ref="J221:AN221" si="150">SUM(J219:J220)</f>
        <v>13</v>
      </c>
      <c r="K221" s="205">
        <f t="shared" si="150"/>
        <v>26</v>
      </c>
      <c r="L221" s="205">
        <f t="shared" si="150"/>
        <v>10</v>
      </c>
      <c r="M221" s="205">
        <f t="shared" si="150"/>
        <v>30</v>
      </c>
      <c r="N221" s="205">
        <f t="shared" si="150"/>
        <v>30</v>
      </c>
      <c r="O221" s="205">
        <f t="shared" si="150"/>
        <v>16</v>
      </c>
      <c r="P221" s="205">
        <f t="shared" si="150"/>
        <v>16</v>
      </c>
      <c r="Q221" s="205">
        <f t="shared" si="150"/>
        <v>28</v>
      </c>
      <c r="R221" s="205">
        <f t="shared" si="150"/>
        <v>105</v>
      </c>
      <c r="S221" s="205">
        <f t="shared" si="150"/>
        <v>88</v>
      </c>
      <c r="T221" s="205">
        <f t="shared" si="150"/>
        <v>22</v>
      </c>
      <c r="U221" s="205">
        <f t="shared" si="150"/>
        <v>33</v>
      </c>
      <c r="V221" s="205">
        <f t="shared" si="150"/>
        <v>42</v>
      </c>
      <c r="W221" s="205">
        <f t="shared" si="150"/>
        <v>25</v>
      </c>
      <c r="X221" s="205">
        <f t="shared" si="150"/>
        <v>19</v>
      </c>
      <c r="Y221" s="205">
        <f t="shared" si="150"/>
        <v>40</v>
      </c>
      <c r="Z221" s="205">
        <f t="shared" si="150"/>
        <v>40</v>
      </c>
      <c r="AA221" s="205">
        <f t="shared" si="150"/>
        <v>24</v>
      </c>
      <c r="AB221" s="205">
        <f t="shared" si="150"/>
        <v>23</v>
      </c>
      <c r="AC221" s="205">
        <f t="shared" si="150"/>
        <v>26</v>
      </c>
      <c r="AD221" s="205">
        <f t="shared" si="150"/>
        <v>104</v>
      </c>
      <c r="AE221" s="205">
        <f t="shared" si="150"/>
        <v>88</v>
      </c>
      <c r="AF221" s="205">
        <f t="shared" si="150"/>
        <v>36</v>
      </c>
      <c r="AG221" s="205">
        <f t="shared" si="150"/>
        <v>59</v>
      </c>
      <c r="AH221" s="205">
        <f t="shared" si="150"/>
        <v>75</v>
      </c>
      <c r="AI221" s="205">
        <f t="shared" si="150"/>
        <v>43</v>
      </c>
      <c r="AJ221" s="205">
        <f t="shared" si="150"/>
        <v>32</v>
      </c>
      <c r="AK221" s="205">
        <f t="shared" si="150"/>
        <v>71</v>
      </c>
      <c r="AL221" s="205">
        <f t="shared" si="150"/>
        <v>71</v>
      </c>
      <c r="AM221" s="205">
        <f t="shared" si="150"/>
        <v>41</v>
      </c>
      <c r="AN221" s="205">
        <f t="shared" si="150"/>
        <v>41</v>
      </c>
    </row>
    <row r="222" spans="2:40" s="7" customFormat="1" ht="12" customHeight="1" outlineLevel="1">
      <c r="B222" s="239"/>
      <c r="C222" s="212"/>
      <c r="D222" s="212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</row>
    <row r="223" spans="2:40" s="7" customFormat="1" ht="12" hidden="1" customHeight="1" outlineLevel="2">
      <c r="B223" s="239"/>
      <c r="C223" s="249" t="s">
        <v>849</v>
      </c>
      <c r="D223" s="212"/>
      <c r="O223" s="212"/>
      <c r="P223" s="212"/>
      <c r="Q223" s="212"/>
      <c r="R223" s="212"/>
      <c r="S223" s="212"/>
      <c r="T223" s="212"/>
      <c r="U223" s="212"/>
      <c r="V223" s="212"/>
      <c r="W223" s="212"/>
      <c r="X223" s="212"/>
      <c r="Y223" s="212"/>
      <c r="Z223" s="212"/>
      <c r="AA223" s="212"/>
      <c r="AB223" s="212"/>
      <c r="AC223" s="212"/>
      <c r="AD223" s="212"/>
      <c r="AE223" s="212"/>
      <c r="AF223" s="212"/>
      <c r="AG223" s="212"/>
      <c r="AH223" s="212"/>
      <c r="AI223" s="212"/>
      <c r="AJ223" s="212"/>
      <c r="AK223" s="212"/>
      <c r="AL223" s="212"/>
      <c r="AM223" s="212"/>
      <c r="AN223" s="212"/>
    </row>
    <row r="224" spans="2:40" s="7" customFormat="1" ht="12" hidden="1" customHeight="1" outlineLevel="2">
      <c r="B224" s="239"/>
      <c r="C224" s="212" t="s">
        <v>850</v>
      </c>
      <c r="D224" s="212"/>
      <c r="E224" s="196" t="s">
        <v>753</v>
      </c>
      <c r="F224" s="196" t="s">
        <v>754</v>
      </c>
      <c r="G224" s="196" t="s">
        <v>755</v>
      </c>
      <c r="H224" s="196" t="s">
        <v>756</v>
      </c>
      <c r="I224" s="196" t="s">
        <v>757</v>
      </c>
      <c r="J224" s="196" t="s">
        <v>758</v>
      </c>
      <c r="K224" s="196" t="s">
        <v>759</v>
      </c>
      <c r="L224" s="196" t="s">
        <v>760</v>
      </c>
      <c r="M224" s="196" t="s">
        <v>761</v>
      </c>
      <c r="N224" s="196" t="s">
        <v>762</v>
      </c>
      <c r="O224" s="196" t="s">
        <v>763</v>
      </c>
      <c r="P224" s="196" t="s">
        <v>764</v>
      </c>
      <c r="Q224" s="196" t="s">
        <v>765</v>
      </c>
      <c r="R224" s="196" t="s">
        <v>766</v>
      </c>
      <c r="S224" s="196" t="s">
        <v>767</v>
      </c>
      <c r="T224" s="196" t="s">
        <v>768</v>
      </c>
      <c r="U224" s="196" t="s">
        <v>769</v>
      </c>
      <c r="V224" s="196" t="s">
        <v>770</v>
      </c>
      <c r="W224" s="196" t="s">
        <v>771</v>
      </c>
      <c r="X224" s="196" t="s">
        <v>772</v>
      </c>
      <c r="Y224" s="196" t="s">
        <v>773</v>
      </c>
      <c r="Z224" s="196" t="s">
        <v>774</v>
      </c>
      <c r="AA224" s="196" t="s">
        <v>775</v>
      </c>
      <c r="AB224" s="196" t="s">
        <v>776</v>
      </c>
      <c r="AC224" s="196" t="s">
        <v>777</v>
      </c>
      <c r="AD224" s="196" t="s">
        <v>778</v>
      </c>
      <c r="AE224" s="196" t="s">
        <v>779</v>
      </c>
      <c r="AF224" s="196" t="s">
        <v>780</v>
      </c>
      <c r="AG224" s="196" t="s">
        <v>781</v>
      </c>
      <c r="AH224" s="196" t="s">
        <v>782</v>
      </c>
      <c r="AI224" s="196" t="s">
        <v>783</v>
      </c>
      <c r="AJ224" s="196" t="s">
        <v>784</v>
      </c>
      <c r="AK224" s="196" t="s">
        <v>785</v>
      </c>
      <c r="AL224" s="196" t="s">
        <v>786</v>
      </c>
      <c r="AM224" s="196" t="s">
        <v>787</v>
      </c>
      <c r="AN224" s="196" t="s">
        <v>788</v>
      </c>
    </row>
    <row r="225" spans="2:40" s="7" customFormat="1" ht="12" hidden="1" customHeight="1" outlineLevel="2">
      <c r="B225" s="239"/>
      <c r="C225" s="212" t="s">
        <v>851</v>
      </c>
      <c r="D225" s="212"/>
      <c r="E225" s="344">
        <v>0</v>
      </c>
      <c r="F225" s="344">
        <v>0</v>
      </c>
      <c r="G225" s="344">
        <v>0</v>
      </c>
      <c r="H225" s="344">
        <v>0</v>
      </c>
      <c r="I225" s="344">
        <v>0</v>
      </c>
      <c r="J225" s="344">
        <v>0</v>
      </c>
      <c r="K225" s="344">
        <v>0</v>
      </c>
      <c r="L225" s="344">
        <v>0</v>
      </c>
      <c r="M225" s="344">
        <v>0</v>
      </c>
      <c r="N225" s="344">
        <v>0</v>
      </c>
      <c r="O225" s="344">
        <v>0</v>
      </c>
      <c r="P225" s="344">
        <v>0</v>
      </c>
      <c r="Q225" s="344">
        <v>0</v>
      </c>
      <c r="R225" s="344">
        <v>0</v>
      </c>
      <c r="S225" s="344">
        <v>0</v>
      </c>
      <c r="T225" s="344">
        <v>0</v>
      </c>
      <c r="U225" s="344">
        <v>0</v>
      </c>
      <c r="V225" s="344">
        <v>0</v>
      </c>
      <c r="W225" s="344">
        <v>0</v>
      </c>
      <c r="X225" s="344">
        <v>0</v>
      </c>
      <c r="Y225" s="344">
        <v>0</v>
      </c>
      <c r="Z225" s="344">
        <v>0</v>
      </c>
      <c r="AA225" s="344">
        <v>0</v>
      </c>
      <c r="AB225" s="344">
        <v>0</v>
      </c>
      <c r="AC225" s="344">
        <v>0</v>
      </c>
      <c r="AD225" s="344">
        <v>0</v>
      </c>
      <c r="AE225" s="344">
        <v>0</v>
      </c>
      <c r="AF225" s="344">
        <v>0</v>
      </c>
      <c r="AG225" s="344">
        <v>0</v>
      </c>
      <c r="AH225" s="344">
        <v>0</v>
      </c>
      <c r="AI225" s="344">
        <v>0</v>
      </c>
      <c r="AJ225" s="344">
        <v>0</v>
      </c>
      <c r="AK225" s="344">
        <v>0</v>
      </c>
      <c r="AL225" s="344">
        <v>0</v>
      </c>
      <c r="AM225" s="344">
        <v>0</v>
      </c>
      <c r="AN225" s="344">
        <v>0</v>
      </c>
    </row>
    <row r="226" spans="2:40" s="7" customFormat="1" ht="12" hidden="1" customHeight="1" outlineLevel="2">
      <c r="B226" s="239"/>
      <c r="C226" s="212" t="s">
        <v>861</v>
      </c>
      <c r="D226" s="212"/>
      <c r="E226" s="211">
        <v>33</v>
      </c>
      <c r="F226" s="211">
        <v>90</v>
      </c>
      <c r="G226" s="211">
        <v>6</v>
      </c>
      <c r="H226" s="211">
        <v>178</v>
      </c>
      <c r="I226" s="211">
        <v>8</v>
      </c>
      <c r="J226" s="211">
        <f t="shared" ref="J226:AN226" si="151">I226*98%</f>
        <v>7.84</v>
      </c>
      <c r="K226" s="211">
        <f t="shared" si="151"/>
        <v>7.6831999999999994</v>
      </c>
      <c r="L226" s="211">
        <f t="shared" si="151"/>
        <v>7.5295359999999993</v>
      </c>
      <c r="M226" s="211">
        <f t="shared" si="151"/>
        <v>7.3789452799999991</v>
      </c>
      <c r="N226" s="211">
        <f t="shared" si="151"/>
        <v>7.2313663743999985</v>
      </c>
      <c r="O226" s="211">
        <f t="shared" si="151"/>
        <v>7.0867390469119984</v>
      </c>
      <c r="P226" s="211">
        <f t="shared" si="151"/>
        <v>6.9450042659737585</v>
      </c>
      <c r="Q226" s="211">
        <f t="shared" si="151"/>
        <v>6.806104180654283</v>
      </c>
      <c r="R226" s="211">
        <f t="shared" si="151"/>
        <v>6.6699820970411974</v>
      </c>
      <c r="S226" s="211">
        <f t="shared" si="151"/>
        <v>6.5365824551003735</v>
      </c>
      <c r="T226" s="211">
        <f t="shared" si="151"/>
        <v>6.4058508059983659</v>
      </c>
      <c r="U226" s="211">
        <f t="shared" si="151"/>
        <v>6.2777337898783987</v>
      </c>
      <c r="V226" s="211">
        <f t="shared" si="151"/>
        <v>6.1521791140808304</v>
      </c>
      <c r="W226" s="211">
        <f t="shared" si="151"/>
        <v>6.0291355317992137</v>
      </c>
      <c r="X226" s="211">
        <f t="shared" si="151"/>
        <v>5.9085528211632292</v>
      </c>
      <c r="Y226" s="211">
        <f t="shared" si="151"/>
        <v>5.7903817647399647</v>
      </c>
      <c r="Z226" s="211">
        <f t="shared" si="151"/>
        <v>5.6745741294451655</v>
      </c>
      <c r="AA226" s="211">
        <f t="shared" si="151"/>
        <v>5.5610826468562617</v>
      </c>
      <c r="AB226" s="211">
        <f t="shared" si="151"/>
        <v>5.4498609939191365</v>
      </c>
      <c r="AC226" s="211">
        <f t="shared" si="151"/>
        <v>5.3408637740407539</v>
      </c>
      <c r="AD226" s="211">
        <f t="shared" si="151"/>
        <v>5.2340464985599384</v>
      </c>
      <c r="AE226" s="211">
        <f t="shared" si="151"/>
        <v>5.1293655685887396</v>
      </c>
      <c r="AF226" s="211">
        <f t="shared" si="151"/>
        <v>5.0267782572169644</v>
      </c>
      <c r="AG226" s="211">
        <f t="shared" si="151"/>
        <v>4.9262426920726252</v>
      </c>
      <c r="AH226" s="211">
        <f t="shared" si="151"/>
        <v>4.8277178382311723</v>
      </c>
      <c r="AI226" s="211">
        <f t="shared" si="151"/>
        <v>4.7311634814665489</v>
      </c>
      <c r="AJ226" s="211">
        <f t="shared" si="151"/>
        <v>4.6365402118372181</v>
      </c>
      <c r="AK226" s="211">
        <f t="shared" si="151"/>
        <v>4.5438094076004738</v>
      </c>
      <c r="AL226" s="211">
        <f t="shared" si="151"/>
        <v>4.4529332194484645</v>
      </c>
      <c r="AM226" s="211">
        <f t="shared" si="151"/>
        <v>4.3638745550594953</v>
      </c>
      <c r="AN226" s="211">
        <f t="shared" si="151"/>
        <v>4.2765970639583051</v>
      </c>
    </row>
    <row r="227" spans="2:40" s="7" customFormat="1" ht="12" hidden="1" customHeight="1" outlineLevel="2">
      <c r="B227" s="245"/>
      <c r="C227" s="250" t="s">
        <v>753</v>
      </c>
      <c r="D227" s="250"/>
      <c r="E227" s="211">
        <f>INDEX($C$199:$AN$221,MATCH("New Customers One-Time",$C$199:$C$221,0),MATCH($C227,$C$199:$AN$199,0))</f>
        <v>14</v>
      </c>
      <c r="F227" s="211">
        <f t="shared" ref="F227:AN227" si="152">$E$227*(E225)</f>
        <v>0</v>
      </c>
      <c r="G227" s="211">
        <f t="shared" si="152"/>
        <v>0</v>
      </c>
      <c r="H227" s="211">
        <f t="shared" si="152"/>
        <v>0</v>
      </c>
      <c r="I227" s="211">
        <f t="shared" si="152"/>
        <v>0</v>
      </c>
      <c r="J227" s="211">
        <f t="shared" si="152"/>
        <v>0</v>
      </c>
      <c r="K227" s="211">
        <f t="shared" si="152"/>
        <v>0</v>
      </c>
      <c r="L227" s="211">
        <f t="shared" si="152"/>
        <v>0</v>
      </c>
      <c r="M227" s="211">
        <f t="shared" si="152"/>
        <v>0</v>
      </c>
      <c r="N227" s="211">
        <f t="shared" si="152"/>
        <v>0</v>
      </c>
      <c r="O227" s="211">
        <f t="shared" si="152"/>
        <v>0</v>
      </c>
      <c r="P227" s="211">
        <f t="shared" si="152"/>
        <v>0</v>
      </c>
      <c r="Q227" s="211">
        <f t="shared" si="152"/>
        <v>0</v>
      </c>
      <c r="R227" s="211">
        <f t="shared" si="152"/>
        <v>0</v>
      </c>
      <c r="S227" s="211">
        <f t="shared" si="152"/>
        <v>0</v>
      </c>
      <c r="T227" s="211">
        <f t="shared" si="152"/>
        <v>0</v>
      </c>
      <c r="U227" s="211">
        <f t="shared" si="152"/>
        <v>0</v>
      </c>
      <c r="V227" s="211">
        <f t="shared" si="152"/>
        <v>0</v>
      </c>
      <c r="W227" s="211">
        <f t="shared" si="152"/>
        <v>0</v>
      </c>
      <c r="X227" s="211">
        <f t="shared" si="152"/>
        <v>0</v>
      </c>
      <c r="Y227" s="211">
        <f t="shared" si="152"/>
        <v>0</v>
      </c>
      <c r="Z227" s="211">
        <f t="shared" si="152"/>
        <v>0</v>
      </c>
      <c r="AA227" s="211">
        <f t="shared" si="152"/>
        <v>0</v>
      </c>
      <c r="AB227" s="211">
        <f t="shared" si="152"/>
        <v>0</v>
      </c>
      <c r="AC227" s="211">
        <f t="shared" si="152"/>
        <v>0</v>
      </c>
      <c r="AD227" s="211">
        <f t="shared" si="152"/>
        <v>0</v>
      </c>
      <c r="AE227" s="211">
        <f t="shared" si="152"/>
        <v>0</v>
      </c>
      <c r="AF227" s="211">
        <f t="shared" si="152"/>
        <v>0</v>
      </c>
      <c r="AG227" s="211">
        <f t="shared" si="152"/>
        <v>0</v>
      </c>
      <c r="AH227" s="211">
        <f t="shared" si="152"/>
        <v>0</v>
      </c>
      <c r="AI227" s="211">
        <f t="shared" si="152"/>
        <v>0</v>
      </c>
      <c r="AJ227" s="211">
        <f t="shared" si="152"/>
        <v>0</v>
      </c>
      <c r="AK227" s="211">
        <f t="shared" si="152"/>
        <v>0</v>
      </c>
      <c r="AL227" s="211">
        <f t="shared" si="152"/>
        <v>0</v>
      </c>
      <c r="AM227" s="211">
        <f t="shared" si="152"/>
        <v>0</v>
      </c>
      <c r="AN227" s="211">
        <f t="shared" si="152"/>
        <v>0</v>
      </c>
    </row>
    <row r="228" spans="2:40" s="7" customFormat="1" ht="12" hidden="1" customHeight="1" outlineLevel="2">
      <c r="B228" s="245"/>
      <c r="C228" s="250" t="s">
        <v>754</v>
      </c>
      <c r="D228" s="250"/>
      <c r="E228" s="213"/>
      <c r="F228" s="211">
        <f>INDEX($C$199:$AN$221,MATCH("New Customers One-Time",$C$199:$C$221,0),MATCH($C228,$C$199:$AN$199,0))</f>
        <v>21</v>
      </c>
      <c r="G228" s="211">
        <f t="shared" ref="G228:AN228" si="153">$F$228*(E225)</f>
        <v>0</v>
      </c>
      <c r="H228" s="211">
        <f t="shared" si="153"/>
        <v>0</v>
      </c>
      <c r="I228" s="211">
        <f t="shared" si="153"/>
        <v>0</v>
      </c>
      <c r="J228" s="211">
        <f t="shared" si="153"/>
        <v>0</v>
      </c>
      <c r="K228" s="211">
        <f t="shared" si="153"/>
        <v>0</v>
      </c>
      <c r="L228" s="211">
        <f t="shared" si="153"/>
        <v>0</v>
      </c>
      <c r="M228" s="211">
        <f t="shared" si="153"/>
        <v>0</v>
      </c>
      <c r="N228" s="211">
        <f t="shared" si="153"/>
        <v>0</v>
      </c>
      <c r="O228" s="211">
        <f t="shared" si="153"/>
        <v>0</v>
      </c>
      <c r="P228" s="211">
        <f t="shared" si="153"/>
        <v>0</v>
      </c>
      <c r="Q228" s="211">
        <f t="shared" si="153"/>
        <v>0</v>
      </c>
      <c r="R228" s="211">
        <f t="shared" si="153"/>
        <v>0</v>
      </c>
      <c r="S228" s="211">
        <f t="shared" si="153"/>
        <v>0</v>
      </c>
      <c r="T228" s="211">
        <f t="shared" si="153"/>
        <v>0</v>
      </c>
      <c r="U228" s="211">
        <f t="shared" si="153"/>
        <v>0</v>
      </c>
      <c r="V228" s="211">
        <f t="shared" si="153"/>
        <v>0</v>
      </c>
      <c r="W228" s="211">
        <f t="shared" si="153"/>
        <v>0</v>
      </c>
      <c r="X228" s="211">
        <f t="shared" si="153"/>
        <v>0</v>
      </c>
      <c r="Y228" s="211">
        <f t="shared" si="153"/>
        <v>0</v>
      </c>
      <c r="Z228" s="211">
        <f t="shared" si="153"/>
        <v>0</v>
      </c>
      <c r="AA228" s="211">
        <f t="shared" si="153"/>
        <v>0</v>
      </c>
      <c r="AB228" s="211">
        <f t="shared" si="153"/>
        <v>0</v>
      </c>
      <c r="AC228" s="211">
        <f t="shared" si="153"/>
        <v>0</v>
      </c>
      <c r="AD228" s="211">
        <f t="shared" si="153"/>
        <v>0</v>
      </c>
      <c r="AE228" s="211">
        <f t="shared" si="153"/>
        <v>0</v>
      </c>
      <c r="AF228" s="211">
        <f t="shared" si="153"/>
        <v>0</v>
      </c>
      <c r="AG228" s="211">
        <f t="shared" si="153"/>
        <v>0</v>
      </c>
      <c r="AH228" s="211">
        <f t="shared" si="153"/>
        <v>0</v>
      </c>
      <c r="AI228" s="211">
        <f t="shared" si="153"/>
        <v>0</v>
      </c>
      <c r="AJ228" s="211">
        <f t="shared" si="153"/>
        <v>0</v>
      </c>
      <c r="AK228" s="211">
        <f t="shared" si="153"/>
        <v>0</v>
      </c>
      <c r="AL228" s="211">
        <f t="shared" si="153"/>
        <v>0</v>
      </c>
      <c r="AM228" s="211">
        <f t="shared" si="153"/>
        <v>0</v>
      </c>
      <c r="AN228" s="211">
        <f t="shared" si="153"/>
        <v>0</v>
      </c>
    </row>
    <row r="229" spans="2:40" s="7" customFormat="1" ht="12" hidden="1" customHeight="1" outlineLevel="2">
      <c r="B229" s="245"/>
      <c r="C229" s="250" t="s">
        <v>755</v>
      </c>
      <c r="D229" s="250"/>
      <c r="E229" s="213"/>
      <c r="G229" s="211">
        <f>INDEX($C$199:$AN$221,MATCH("New Customers One-Time",$C$199:$C$221,0),MATCH($C229,$C$199:$AN$199,0))</f>
        <v>3</v>
      </c>
      <c r="H229" s="211">
        <f t="shared" ref="H229:AN229" si="154">$G$229*(E225)</f>
        <v>0</v>
      </c>
      <c r="I229" s="211">
        <f t="shared" si="154"/>
        <v>0</v>
      </c>
      <c r="J229" s="211">
        <f t="shared" si="154"/>
        <v>0</v>
      </c>
      <c r="K229" s="211">
        <f t="shared" si="154"/>
        <v>0</v>
      </c>
      <c r="L229" s="211">
        <f t="shared" si="154"/>
        <v>0</v>
      </c>
      <c r="M229" s="211">
        <f t="shared" si="154"/>
        <v>0</v>
      </c>
      <c r="N229" s="211">
        <f t="shared" si="154"/>
        <v>0</v>
      </c>
      <c r="O229" s="211">
        <f t="shared" si="154"/>
        <v>0</v>
      </c>
      <c r="P229" s="211">
        <f t="shared" si="154"/>
        <v>0</v>
      </c>
      <c r="Q229" s="211">
        <f t="shared" si="154"/>
        <v>0</v>
      </c>
      <c r="R229" s="211">
        <f t="shared" si="154"/>
        <v>0</v>
      </c>
      <c r="S229" s="211">
        <f t="shared" si="154"/>
        <v>0</v>
      </c>
      <c r="T229" s="211">
        <f t="shared" si="154"/>
        <v>0</v>
      </c>
      <c r="U229" s="211">
        <f t="shared" si="154"/>
        <v>0</v>
      </c>
      <c r="V229" s="211">
        <f t="shared" si="154"/>
        <v>0</v>
      </c>
      <c r="W229" s="211">
        <f t="shared" si="154"/>
        <v>0</v>
      </c>
      <c r="X229" s="211">
        <f t="shared" si="154"/>
        <v>0</v>
      </c>
      <c r="Y229" s="211">
        <f t="shared" si="154"/>
        <v>0</v>
      </c>
      <c r="Z229" s="211">
        <f t="shared" si="154"/>
        <v>0</v>
      </c>
      <c r="AA229" s="211">
        <f t="shared" si="154"/>
        <v>0</v>
      </c>
      <c r="AB229" s="211">
        <f t="shared" si="154"/>
        <v>0</v>
      </c>
      <c r="AC229" s="211">
        <f t="shared" si="154"/>
        <v>0</v>
      </c>
      <c r="AD229" s="211">
        <f t="shared" si="154"/>
        <v>0</v>
      </c>
      <c r="AE229" s="211">
        <f t="shared" si="154"/>
        <v>0</v>
      </c>
      <c r="AF229" s="211">
        <f t="shared" si="154"/>
        <v>0</v>
      </c>
      <c r="AG229" s="211">
        <f t="shared" si="154"/>
        <v>0</v>
      </c>
      <c r="AH229" s="211">
        <f t="shared" si="154"/>
        <v>0</v>
      </c>
      <c r="AI229" s="211">
        <f t="shared" si="154"/>
        <v>0</v>
      </c>
      <c r="AJ229" s="211">
        <f t="shared" si="154"/>
        <v>0</v>
      </c>
      <c r="AK229" s="211">
        <f t="shared" si="154"/>
        <v>0</v>
      </c>
      <c r="AL229" s="211">
        <f t="shared" si="154"/>
        <v>0</v>
      </c>
      <c r="AM229" s="211">
        <f t="shared" si="154"/>
        <v>0</v>
      </c>
      <c r="AN229" s="211">
        <f t="shared" si="154"/>
        <v>0</v>
      </c>
    </row>
    <row r="230" spans="2:40" s="7" customFormat="1" ht="12" hidden="1" customHeight="1" outlineLevel="2">
      <c r="B230" s="245"/>
      <c r="C230" s="250" t="s">
        <v>756</v>
      </c>
      <c r="D230" s="250"/>
      <c r="E230" s="213"/>
      <c r="F230" s="213"/>
      <c r="G230" s="213"/>
      <c r="H230" s="211">
        <f>INDEX($C$199:$AN$221,MATCH("New Customers One-Time",$C$199:$C$221,0),MATCH($C230,$C$199:$AN$199,0))</f>
        <v>51</v>
      </c>
      <c r="I230" s="211">
        <f t="shared" ref="I230:AN230" si="155">$H$230*(E225)</f>
        <v>0</v>
      </c>
      <c r="J230" s="211">
        <f t="shared" si="155"/>
        <v>0</v>
      </c>
      <c r="K230" s="211">
        <f t="shared" si="155"/>
        <v>0</v>
      </c>
      <c r="L230" s="211">
        <f t="shared" si="155"/>
        <v>0</v>
      </c>
      <c r="M230" s="211">
        <f t="shared" si="155"/>
        <v>0</v>
      </c>
      <c r="N230" s="211">
        <f t="shared" si="155"/>
        <v>0</v>
      </c>
      <c r="O230" s="211">
        <f t="shared" si="155"/>
        <v>0</v>
      </c>
      <c r="P230" s="211">
        <f t="shared" si="155"/>
        <v>0</v>
      </c>
      <c r="Q230" s="211">
        <f t="shared" si="155"/>
        <v>0</v>
      </c>
      <c r="R230" s="211">
        <f t="shared" si="155"/>
        <v>0</v>
      </c>
      <c r="S230" s="211">
        <f t="shared" si="155"/>
        <v>0</v>
      </c>
      <c r="T230" s="211">
        <f t="shared" si="155"/>
        <v>0</v>
      </c>
      <c r="U230" s="211">
        <f t="shared" si="155"/>
        <v>0</v>
      </c>
      <c r="V230" s="211">
        <f t="shared" si="155"/>
        <v>0</v>
      </c>
      <c r="W230" s="211">
        <f t="shared" si="155"/>
        <v>0</v>
      </c>
      <c r="X230" s="211">
        <f t="shared" si="155"/>
        <v>0</v>
      </c>
      <c r="Y230" s="211">
        <f t="shared" si="155"/>
        <v>0</v>
      </c>
      <c r="Z230" s="211">
        <f t="shared" si="155"/>
        <v>0</v>
      </c>
      <c r="AA230" s="211">
        <f t="shared" si="155"/>
        <v>0</v>
      </c>
      <c r="AB230" s="211">
        <f t="shared" si="155"/>
        <v>0</v>
      </c>
      <c r="AC230" s="211">
        <f t="shared" si="155"/>
        <v>0</v>
      </c>
      <c r="AD230" s="211">
        <f t="shared" si="155"/>
        <v>0</v>
      </c>
      <c r="AE230" s="211">
        <f t="shared" si="155"/>
        <v>0</v>
      </c>
      <c r="AF230" s="211">
        <f t="shared" si="155"/>
        <v>0</v>
      </c>
      <c r="AG230" s="211">
        <f t="shared" si="155"/>
        <v>0</v>
      </c>
      <c r="AH230" s="211">
        <f t="shared" si="155"/>
        <v>0</v>
      </c>
      <c r="AI230" s="211">
        <f t="shared" si="155"/>
        <v>0</v>
      </c>
      <c r="AJ230" s="211">
        <f t="shared" si="155"/>
        <v>0</v>
      </c>
      <c r="AK230" s="211">
        <f t="shared" si="155"/>
        <v>0</v>
      </c>
      <c r="AL230" s="211">
        <f t="shared" si="155"/>
        <v>0</v>
      </c>
      <c r="AM230" s="211">
        <f t="shared" si="155"/>
        <v>0</v>
      </c>
      <c r="AN230" s="211">
        <f t="shared" si="155"/>
        <v>0</v>
      </c>
    </row>
    <row r="231" spans="2:40" s="7" customFormat="1" ht="12" hidden="1" customHeight="1" outlineLevel="2">
      <c r="B231" s="245"/>
      <c r="C231" s="250" t="s">
        <v>757</v>
      </c>
      <c r="D231" s="250"/>
      <c r="E231" s="213"/>
      <c r="F231" s="213"/>
      <c r="G231" s="213"/>
      <c r="H231" s="213"/>
      <c r="I231" s="211">
        <f>INDEX($C$199:$AN$221,MATCH("New Customers One-Time",$C$199:$C$221,0),MATCH($C231,$C$199:$AN$199,0))</f>
        <v>8</v>
      </c>
      <c r="J231" s="211">
        <f t="shared" ref="J231:AN231" si="156">$I$231*(E225)</f>
        <v>0</v>
      </c>
      <c r="K231" s="211">
        <f t="shared" si="156"/>
        <v>0</v>
      </c>
      <c r="L231" s="211">
        <f t="shared" si="156"/>
        <v>0</v>
      </c>
      <c r="M231" s="211">
        <f t="shared" si="156"/>
        <v>0</v>
      </c>
      <c r="N231" s="211">
        <f t="shared" si="156"/>
        <v>0</v>
      </c>
      <c r="O231" s="211">
        <f t="shared" si="156"/>
        <v>0</v>
      </c>
      <c r="P231" s="211">
        <f t="shared" si="156"/>
        <v>0</v>
      </c>
      <c r="Q231" s="211">
        <f t="shared" si="156"/>
        <v>0</v>
      </c>
      <c r="R231" s="211">
        <f t="shared" si="156"/>
        <v>0</v>
      </c>
      <c r="S231" s="211">
        <f t="shared" si="156"/>
        <v>0</v>
      </c>
      <c r="T231" s="211">
        <f t="shared" si="156"/>
        <v>0</v>
      </c>
      <c r="U231" s="211">
        <f t="shared" si="156"/>
        <v>0</v>
      </c>
      <c r="V231" s="211">
        <f t="shared" si="156"/>
        <v>0</v>
      </c>
      <c r="W231" s="211">
        <f t="shared" si="156"/>
        <v>0</v>
      </c>
      <c r="X231" s="211">
        <f t="shared" si="156"/>
        <v>0</v>
      </c>
      <c r="Y231" s="211">
        <f t="shared" si="156"/>
        <v>0</v>
      </c>
      <c r="Z231" s="211">
        <f t="shared" si="156"/>
        <v>0</v>
      </c>
      <c r="AA231" s="211">
        <f t="shared" si="156"/>
        <v>0</v>
      </c>
      <c r="AB231" s="211">
        <f t="shared" si="156"/>
        <v>0</v>
      </c>
      <c r="AC231" s="211">
        <f t="shared" si="156"/>
        <v>0</v>
      </c>
      <c r="AD231" s="211">
        <f t="shared" si="156"/>
        <v>0</v>
      </c>
      <c r="AE231" s="211">
        <f t="shared" si="156"/>
        <v>0</v>
      </c>
      <c r="AF231" s="211">
        <f t="shared" si="156"/>
        <v>0</v>
      </c>
      <c r="AG231" s="211">
        <f t="shared" si="156"/>
        <v>0</v>
      </c>
      <c r="AH231" s="211">
        <f t="shared" si="156"/>
        <v>0</v>
      </c>
      <c r="AI231" s="211">
        <f t="shared" si="156"/>
        <v>0</v>
      </c>
      <c r="AJ231" s="211">
        <f t="shared" si="156"/>
        <v>0</v>
      </c>
      <c r="AK231" s="211">
        <f t="shared" si="156"/>
        <v>0</v>
      </c>
      <c r="AL231" s="211">
        <f t="shared" si="156"/>
        <v>0</v>
      </c>
      <c r="AM231" s="211">
        <f t="shared" si="156"/>
        <v>0</v>
      </c>
      <c r="AN231" s="211">
        <f t="shared" si="156"/>
        <v>0</v>
      </c>
    </row>
    <row r="232" spans="2:40" s="7" customFormat="1" ht="12" hidden="1" customHeight="1" outlineLevel="2">
      <c r="B232" s="245"/>
      <c r="C232" s="250" t="s">
        <v>758</v>
      </c>
      <c r="D232" s="250"/>
      <c r="E232" s="213"/>
      <c r="F232" s="213"/>
      <c r="G232" s="213"/>
      <c r="H232" s="213"/>
      <c r="I232" s="213"/>
      <c r="J232" s="211">
        <f>INDEX($C$199:$AN$221,MATCH("New Customers One-Time",$C$199:$C$221,0),MATCH($C232,$C$199:$AN$199,0))</f>
        <v>5</v>
      </c>
      <c r="K232" s="211">
        <f t="shared" ref="K232:AN232" si="157">$J$232*(E225)</f>
        <v>0</v>
      </c>
      <c r="L232" s="211">
        <f t="shared" si="157"/>
        <v>0</v>
      </c>
      <c r="M232" s="211">
        <f t="shared" si="157"/>
        <v>0</v>
      </c>
      <c r="N232" s="211">
        <f t="shared" si="157"/>
        <v>0</v>
      </c>
      <c r="O232" s="211">
        <f t="shared" si="157"/>
        <v>0</v>
      </c>
      <c r="P232" s="211">
        <f t="shared" si="157"/>
        <v>0</v>
      </c>
      <c r="Q232" s="211">
        <f t="shared" si="157"/>
        <v>0</v>
      </c>
      <c r="R232" s="211">
        <f t="shared" si="157"/>
        <v>0</v>
      </c>
      <c r="S232" s="211">
        <f t="shared" si="157"/>
        <v>0</v>
      </c>
      <c r="T232" s="211">
        <f t="shared" si="157"/>
        <v>0</v>
      </c>
      <c r="U232" s="211">
        <f t="shared" si="157"/>
        <v>0</v>
      </c>
      <c r="V232" s="211">
        <f t="shared" si="157"/>
        <v>0</v>
      </c>
      <c r="W232" s="211">
        <f t="shared" si="157"/>
        <v>0</v>
      </c>
      <c r="X232" s="211">
        <f t="shared" si="157"/>
        <v>0</v>
      </c>
      <c r="Y232" s="211">
        <f t="shared" si="157"/>
        <v>0</v>
      </c>
      <c r="Z232" s="211">
        <f t="shared" si="157"/>
        <v>0</v>
      </c>
      <c r="AA232" s="211">
        <f t="shared" si="157"/>
        <v>0</v>
      </c>
      <c r="AB232" s="211">
        <f t="shared" si="157"/>
        <v>0</v>
      </c>
      <c r="AC232" s="211">
        <f t="shared" si="157"/>
        <v>0</v>
      </c>
      <c r="AD232" s="211">
        <f t="shared" si="157"/>
        <v>0</v>
      </c>
      <c r="AE232" s="211">
        <f t="shared" si="157"/>
        <v>0</v>
      </c>
      <c r="AF232" s="211">
        <f t="shared" si="157"/>
        <v>0</v>
      </c>
      <c r="AG232" s="211">
        <f t="shared" si="157"/>
        <v>0</v>
      </c>
      <c r="AH232" s="211">
        <f t="shared" si="157"/>
        <v>0</v>
      </c>
      <c r="AI232" s="211">
        <f t="shared" si="157"/>
        <v>0</v>
      </c>
      <c r="AJ232" s="211">
        <f t="shared" si="157"/>
        <v>0</v>
      </c>
      <c r="AK232" s="211">
        <f t="shared" si="157"/>
        <v>0</v>
      </c>
      <c r="AL232" s="211">
        <f t="shared" si="157"/>
        <v>0</v>
      </c>
      <c r="AM232" s="211">
        <f t="shared" si="157"/>
        <v>0</v>
      </c>
      <c r="AN232" s="211">
        <f t="shared" si="157"/>
        <v>0</v>
      </c>
    </row>
    <row r="233" spans="2:40" s="7" customFormat="1" ht="12" hidden="1" customHeight="1" outlineLevel="2">
      <c r="B233" s="245"/>
      <c r="C233" s="250" t="s">
        <v>759</v>
      </c>
      <c r="D233" s="250"/>
      <c r="E233" s="213"/>
      <c r="F233" s="213"/>
      <c r="G233" s="213"/>
      <c r="H233" s="213"/>
      <c r="I233" s="213"/>
      <c r="J233" s="213"/>
      <c r="K233" s="211">
        <f>INDEX($C$199:$AN$221,MATCH("New Customers One-Time",$C$199:$C$221,0),MATCH($C233,$C$199:$AN$199,0))</f>
        <v>16.919999999999998</v>
      </c>
      <c r="L233" s="211">
        <f t="shared" ref="L233:AN233" si="158">$K$233*(E225)</f>
        <v>0</v>
      </c>
      <c r="M233" s="211">
        <f t="shared" si="158"/>
        <v>0</v>
      </c>
      <c r="N233" s="211">
        <f t="shared" si="158"/>
        <v>0</v>
      </c>
      <c r="O233" s="211">
        <f t="shared" si="158"/>
        <v>0</v>
      </c>
      <c r="P233" s="211">
        <f t="shared" si="158"/>
        <v>0</v>
      </c>
      <c r="Q233" s="211">
        <f t="shared" si="158"/>
        <v>0</v>
      </c>
      <c r="R233" s="211">
        <f t="shared" si="158"/>
        <v>0</v>
      </c>
      <c r="S233" s="211">
        <f t="shared" si="158"/>
        <v>0</v>
      </c>
      <c r="T233" s="211">
        <f t="shared" si="158"/>
        <v>0</v>
      </c>
      <c r="U233" s="211">
        <f t="shared" si="158"/>
        <v>0</v>
      </c>
      <c r="V233" s="211">
        <f t="shared" si="158"/>
        <v>0</v>
      </c>
      <c r="W233" s="211">
        <f t="shared" si="158"/>
        <v>0</v>
      </c>
      <c r="X233" s="211">
        <f t="shared" si="158"/>
        <v>0</v>
      </c>
      <c r="Y233" s="211">
        <f t="shared" si="158"/>
        <v>0</v>
      </c>
      <c r="Z233" s="211">
        <f t="shared" si="158"/>
        <v>0</v>
      </c>
      <c r="AA233" s="211">
        <f t="shared" si="158"/>
        <v>0</v>
      </c>
      <c r="AB233" s="211">
        <f t="shared" si="158"/>
        <v>0</v>
      </c>
      <c r="AC233" s="211">
        <f t="shared" si="158"/>
        <v>0</v>
      </c>
      <c r="AD233" s="211">
        <f t="shared" si="158"/>
        <v>0</v>
      </c>
      <c r="AE233" s="211">
        <f t="shared" si="158"/>
        <v>0</v>
      </c>
      <c r="AF233" s="211">
        <f t="shared" si="158"/>
        <v>0</v>
      </c>
      <c r="AG233" s="211">
        <f t="shared" si="158"/>
        <v>0</v>
      </c>
      <c r="AH233" s="211">
        <f t="shared" si="158"/>
        <v>0</v>
      </c>
      <c r="AI233" s="211">
        <f t="shared" si="158"/>
        <v>0</v>
      </c>
      <c r="AJ233" s="211">
        <f t="shared" si="158"/>
        <v>0</v>
      </c>
      <c r="AK233" s="211">
        <f t="shared" si="158"/>
        <v>0</v>
      </c>
      <c r="AL233" s="211">
        <f t="shared" si="158"/>
        <v>0</v>
      </c>
      <c r="AM233" s="211">
        <f t="shared" si="158"/>
        <v>0</v>
      </c>
      <c r="AN233" s="211">
        <f t="shared" si="158"/>
        <v>0</v>
      </c>
    </row>
    <row r="234" spans="2:40" s="7" customFormat="1" ht="12" hidden="1" customHeight="1" outlineLevel="2">
      <c r="B234" s="245"/>
      <c r="C234" s="250" t="s">
        <v>760</v>
      </c>
      <c r="D234" s="250"/>
      <c r="E234" s="213"/>
      <c r="F234" s="213"/>
      <c r="G234" s="213"/>
      <c r="H234" s="213"/>
      <c r="I234" s="213"/>
      <c r="J234" s="213"/>
      <c r="K234" s="213"/>
      <c r="L234" s="211">
        <f>INDEX($C$199:$AN$221,MATCH("New Customers One-Time",$C$199:$C$221,0),MATCH($C234,$C$199:$AN$199,0))</f>
        <v>2</v>
      </c>
      <c r="M234" s="211">
        <f t="shared" ref="M234:AN234" si="159">$L$234*(E225)</f>
        <v>0</v>
      </c>
      <c r="N234" s="211">
        <f t="shared" si="159"/>
        <v>0</v>
      </c>
      <c r="O234" s="211">
        <f t="shared" si="159"/>
        <v>0</v>
      </c>
      <c r="P234" s="211">
        <f t="shared" si="159"/>
        <v>0</v>
      </c>
      <c r="Q234" s="211">
        <f t="shared" si="159"/>
        <v>0</v>
      </c>
      <c r="R234" s="211">
        <f t="shared" si="159"/>
        <v>0</v>
      </c>
      <c r="S234" s="211">
        <f t="shared" si="159"/>
        <v>0</v>
      </c>
      <c r="T234" s="211">
        <f t="shared" si="159"/>
        <v>0</v>
      </c>
      <c r="U234" s="211">
        <f t="shared" si="159"/>
        <v>0</v>
      </c>
      <c r="V234" s="211">
        <f t="shared" si="159"/>
        <v>0</v>
      </c>
      <c r="W234" s="211">
        <f t="shared" si="159"/>
        <v>0</v>
      </c>
      <c r="X234" s="211">
        <f t="shared" si="159"/>
        <v>0</v>
      </c>
      <c r="Y234" s="211">
        <f t="shared" si="159"/>
        <v>0</v>
      </c>
      <c r="Z234" s="211">
        <f t="shared" si="159"/>
        <v>0</v>
      </c>
      <c r="AA234" s="211">
        <f t="shared" si="159"/>
        <v>0</v>
      </c>
      <c r="AB234" s="211">
        <f t="shared" si="159"/>
        <v>0</v>
      </c>
      <c r="AC234" s="211">
        <f t="shared" si="159"/>
        <v>0</v>
      </c>
      <c r="AD234" s="211">
        <f t="shared" si="159"/>
        <v>0</v>
      </c>
      <c r="AE234" s="211">
        <f t="shared" si="159"/>
        <v>0</v>
      </c>
      <c r="AF234" s="211">
        <f t="shared" si="159"/>
        <v>0</v>
      </c>
      <c r="AG234" s="211">
        <f t="shared" si="159"/>
        <v>0</v>
      </c>
      <c r="AH234" s="211">
        <f t="shared" si="159"/>
        <v>0</v>
      </c>
      <c r="AI234" s="211">
        <f t="shared" si="159"/>
        <v>0</v>
      </c>
      <c r="AJ234" s="211">
        <f t="shared" si="159"/>
        <v>0</v>
      </c>
      <c r="AK234" s="211">
        <f t="shared" si="159"/>
        <v>0</v>
      </c>
      <c r="AL234" s="211">
        <f t="shared" si="159"/>
        <v>0</v>
      </c>
      <c r="AM234" s="211">
        <f t="shared" si="159"/>
        <v>0</v>
      </c>
      <c r="AN234" s="211">
        <f t="shared" si="159"/>
        <v>0</v>
      </c>
    </row>
    <row r="235" spans="2:40" s="7" customFormat="1" ht="12" hidden="1" customHeight="1" outlineLevel="2">
      <c r="B235" s="245"/>
      <c r="C235" s="250" t="s">
        <v>761</v>
      </c>
      <c r="D235" s="250"/>
      <c r="E235" s="213"/>
      <c r="F235" s="213"/>
      <c r="G235" s="213"/>
      <c r="H235" s="213"/>
      <c r="I235" s="213"/>
      <c r="J235" s="213"/>
      <c r="K235" s="213"/>
      <c r="L235" s="213"/>
      <c r="M235" s="211">
        <f>INDEX($C$199:$AN$221,MATCH("New Customers One-Time",$C$199:$C$221,0),MATCH($C235,$C$199:$AN$199,0))</f>
        <v>21.787840670859538</v>
      </c>
      <c r="N235" s="211">
        <f t="shared" ref="N235:AN235" si="160">$M$235*(E225)</f>
        <v>0</v>
      </c>
      <c r="O235" s="211">
        <f t="shared" si="160"/>
        <v>0</v>
      </c>
      <c r="P235" s="211">
        <f t="shared" si="160"/>
        <v>0</v>
      </c>
      <c r="Q235" s="211">
        <f t="shared" si="160"/>
        <v>0</v>
      </c>
      <c r="R235" s="211">
        <f t="shared" si="160"/>
        <v>0</v>
      </c>
      <c r="S235" s="211">
        <f t="shared" si="160"/>
        <v>0</v>
      </c>
      <c r="T235" s="211">
        <f t="shared" si="160"/>
        <v>0</v>
      </c>
      <c r="U235" s="211">
        <f t="shared" si="160"/>
        <v>0</v>
      </c>
      <c r="V235" s="211">
        <f t="shared" si="160"/>
        <v>0</v>
      </c>
      <c r="W235" s="211">
        <f t="shared" si="160"/>
        <v>0</v>
      </c>
      <c r="X235" s="211">
        <f t="shared" si="160"/>
        <v>0</v>
      </c>
      <c r="Y235" s="211">
        <f t="shared" si="160"/>
        <v>0</v>
      </c>
      <c r="Z235" s="211">
        <f t="shared" si="160"/>
        <v>0</v>
      </c>
      <c r="AA235" s="211">
        <f t="shared" si="160"/>
        <v>0</v>
      </c>
      <c r="AB235" s="211">
        <f t="shared" si="160"/>
        <v>0</v>
      </c>
      <c r="AC235" s="211">
        <f t="shared" si="160"/>
        <v>0</v>
      </c>
      <c r="AD235" s="211">
        <f t="shared" si="160"/>
        <v>0</v>
      </c>
      <c r="AE235" s="211">
        <f t="shared" si="160"/>
        <v>0</v>
      </c>
      <c r="AF235" s="211">
        <f t="shared" si="160"/>
        <v>0</v>
      </c>
      <c r="AG235" s="211">
        <f t="shared" si="160"/>
        <v>0</v>
      </c>
      <c r="AH235" s="211">
        <f t="shared" si="160"/>
        <v>0</v>
      </c>
      <c r="AI235" s="211">
        <f t="shared" si="160"/>
        <v>0</v>
      </c>
      <c r="AJ235" s="211">
        <f t="shared" si="160"/>
        <v>0</v>
      </c>
      <c r="AK235" s="211">
        <f t="shared" si="160"/>
        <v>0</v>
      </c>
      <c r="AL235" s="211">
        <f t="shared" si="160"/>
        <v>0</v>
      </c>
      <c r="AM235" s="211">
        <f t="shared" si="160"/>
        <v>0</v>
      </c>
      <c r="AN235" s="211">
        <f t="shared" si="160"/>
        <v>0</v>
      </c>
    </row>
    <row r="236" spans="2:40" s="7" customFormat="1" ht="12" hidden="1" customHeight="1" outlineLevel="2">
      <c r="B236" s="245"/>
      <c r="C236" s="250" t="s">
        <v>762</v>
      </c>
      <c r="D236" s="250"/>
      <c r="E236" s="213"/>
      <c r="F236" s="213"/>
      <c r="G236" s="213"/>
      <c r="H236" s="213"/>
      <c r="I236" s="213"/>
      <c r="J236" s="213"/>
      <c r="K236" s="213"/>
      <c r="L236" s="213"/>
      <c r="M236" s="213"/>
      <c r="N236" s="211">
        <f>INDEX($C$199:$AN$221,MATCH("New Customers One-Time",$C$199:$C$221,0),MATCH($C236,$C$199:$AN$199,0))</f>
        <v>21.868679245283019</v>
      </c>
      <c r="O236" s="211">
        <f t="shared" ref="O236:AN236" si="161">$N$236*(E225)</f>
        <v>0</v>
      </c>
      <c r="P236" s="211">
        <f t="shared" si="161"/>
        <v>0</v>
      </c>
      <c r="Q236" s="211">
        <f t="shared" si="161"/>
        <v>0</v>
      </c>
      <c r="R236" s="211">
        <f t="shared" si="161"/>
        <v>0</v>
      </c>
      <c r="S236" s="211">
        <f t="shared" si="161"/>
        <v>0</v>
      </c>
      <c r="T236" s="211">
        <f t="shared" si="161"/>
        <v>0</v>
      </c>
      <c r="U236" s="211">
        <f t="shared" si="161"/>
        <v>0</v>
      </c>
      <c r="V236" s="211">
        <f t="shared" si="161"/>
        <v>0</v>
      </c>
      <c r="W236" s="211">
        <f t="shared" si="161"/>
        <v>0</v>
      </c>
      <c r="X236" s="211">
        <f t="shared" si="161"/>
        <v>0</v>
      </c>
      <c r="Y236" s="211">
        <f t="shared" si="161"/>
        <v>0</v>
      </c>
      <c r="Z236" s="211">
        <f t="shared" si="161"/>
        <v>0</v>
      </c>
      <c r="AA236" s="211">
        <f t="shared" si="161"/>
        <v>0</v>
      </c>
      <c r="AB236" s="211">
        <f t="shared" si="161"/>
        <v>0</v>
      </c>
      <c r="AC236" s="211">
        <f t="shared" si="161"/>
        <v>0</v>
      </c>
      <c r="AD236" s="211">
        <f t="shared" si="161"/>
        <v>0</v>
      </c>
      <c r="AE236" s="211">
        <f t="shared" si="161"/>
        <v>0</v>
      </c>
      <c r="AF236" s="211">
        <f t="shared" si="161"/>
        <v>0</v>
      </c>
      <c r="AG236" s="211">
        <f t="shared" si="161"/>
        <v>0</v>
      </c>
      <c r="AH236" s="211">
        <f t="shared" si="161"/>
        <v>0</v>
      </c>
      <c r="AI236" s="211">
        <f t="shared" si="161"/>
        <v>0</v>
      </c>
      <c r="AJ236" s="211">
        <f t="shared" si="161"/>
        <v>0</v>
      </c>
      <c r="AK236" s="211">
        <f t="shared" si="161"/>
        <v>0</v>
      </c>
      <c r="AL236" s="211">
        <f t="shared" si="161"/>
        <v>0</v>
      </c>
      <c r="AM236" s="211">
        <f t="shared" si="161"/>
        <v>0</v>
      </c>
      <c r="AN236" s="211">
        <f t="shared" si="161"/>
        <v>0</v>
      </c>
    </row>
    <row r="237" spans="2:40" s="7" customFormat="1" ht="12" hidden="1" customHeight="1" outlineLevel="2">
      <c r="B237" s="245"/>
      <c r="C237" s="250" t="s">
        <v>763</v>
      </c>
      <c r="D237" s="250"/>
      <c r="E237" s="213"/>
      <c r="F237" s="213"/>
      <c r="G237" s="213"/>
      <c r="H237" s="213"/>
      <c r="I237" s="213"/>
      <c r="J237" s="213"/>
      <c r="K237" s="213"/>
      <c r="L237" s="213"/>
      <c r="M237" s="213"/>
      <c r="N237" s="213"/>
      <c r="O237" s="211">
        <f>INDEX($C$199:$AN$221,MATCH("New Customers One-Time",$C$199:$C$221,0),MATCH($C237,$C$199:$AN$199,0))</f>
        <v>8.7191882599580719</v>
      </c>
      <c r="P237" s="211">
        <f t="shared" ref="P237:AN237" si="162">$O$237*(E225)</f>
        <v>0</v>
      </c>
      <c r="Q237" s="211">
        <f t="shared" si="162"/>
        <v>0</v>
      </c>
      <c r="R237" s="211">
        <f t="shared" si="162"/>
        <v>0</v>
      </c>
      <c r="S237" s="211">
        <f t="shared" si="162"/>
        <v>0</v>
      </c>
      <c r="T237" s="211">
        <f t="shared" si="162"/>
        <v>0</v>
      </c>
      <c r="U237" s="211">
        <f t="shared" si="162"/>
        <v>0</v>
      </c>
      <c r="V237" s="211">
        <f t="shared" si="162"/>
        <v>0</v>
      </c>
      <c r="W237" s="211">
        <f t="shared" si="162"/>
        <v>0</v>
      </c>
      <c r="X237" s="211">
        <f t="shared" si="162"/>
        <v>0</v>
      </c>
      <c r="Y237" s="211">
        <f t="shared" si="162"/>
        <v>0</v>
      </c>
      <c r="Z237" s="211">
        <f t="shared" si="162"/>
        <v>0</v>
      </c>
      <c r="AA237" s="211">
        <f t="shared" si="162"/>
        <v>0</v>
      </c>
      <c r="AB237" s="211">
        <f t="shared" si="162"/>
        <v>0</v>
      </c>
      <c r="AC237" s="211">
        <f t="shared" si="162"/>
        <v>0</v>
      </c>
      <c r="AD237" s="211">
        <f t="shared" si="162"/>
        <v>0</v>
      </c>
      <c r="AE237" s="211">
        <f t="shared" si="162"/>
        <v>0</v>
      </c>
      <c r="AF237" s="211">
        <f t="shared" si="162"/>
        <v>0</v>
      </c>
      <c r="AG237" s="211">
        <f t="shared" si="162"/>
        <v>0</v>
      </c>
      <c r="AH237" s="211">
        <f t="shared" si="162"/>
        <v>0</v>
      </c>
      <c r="AI237" s="211">
        <f t="shared" si="162"/>
        <v>0</v>
      </c>
      <c r="AJ237" s="211">
        <f t="shared" si="162"/>
        <v>0</v>
      </c>
      <c r="AK237" s="211">
        <f t="shared" si="162"/>
        <v>0</v>
      </c>
      <c r="AL237" s="211">
        <f t="shared" si="162"/>
        <v>0</v>
      </c>
      <c r="AM237" s="211">
        <f t="shared" si="162"/>
        <v>0</v>
      </c>
      <c r="AN237" s="211">
        <f t="shared" si="162"/>
        <v>0</v>
      </c>
    </row>
    <row r="238" spans="2:40" s="7" customFormat="1" ht="12" hidden="1" customHeight="1" outlineLevel="2">
      <c r="B238" s="245"/>
      <c r="C238" s="250" t="s">
        <v>764</v>
      </c>
      <c r="D238" s="250"/>
      <c r="E238" s="213"/>
      <c r="F238" s="213"/>
      <c r="G238" s="213"/>
      <c r="H238" s="213"/>
      <c r="I238" s="213"/>
      <c r="J238" s="213"/>
      <c r="K238" s="213"/>
      <c r="L238" s="213"/>
      <c r="M238" s="213"/>
      <c r="N238" s="213"/>
      <c r="O238" s="213"/>
      <c r="P238" s="211">
        <f>INDEX($C$199:$AN$221,MATCH("New Customers One-Time",$C$199:$C$221,0),MATCH($C238,$C$199:$AN$199,0))</f>
        <v>8.685248134171907</v>
      </c>
      <c r="Q238" s="211">
        <f t="shared" ref="Q238:AN238" si="163">$P$238*(E225)</f>
        <v>0</v>
      </c>
      <c r="R238" s="211">
        <f t="shared" si="163"/>
        <v>0</v>
      </c>
      <c r="S238" s="211">
        <f t="shared" si="163"/>
        <v>0</v>
      </c>
      <c r="T238" s="211">
        <f t="shared" si="163"/>
        <v>0</v>
      </c>
      <c r="U238" s="211">
        <f t="shared" si="163"/>
        <v>0</v>
      </c>
      <c r="V238" s="211">
        <f t="shared" si="163"/>
        <v>0</v>
      </c>
      <c r="W238" s="211">
        <f t="shared" si="163"/>
        <v>0</v>
      </c>
      <c r="X238" s="211">
        <f t="shared" si="163"/>
        <v>0</v>
      </c>
      <c r="Y238" s="211">
        <f t="shared" si="163"/>
        <v>0</v>
      </c>
      <c r="Z238" s="211">
        <f t="shared" si="163"/>
        <v>0</v>
      </c>
      <c r="AA238" s="211">
        <f t="shared" si="163"/>
        <v>0</v>
      </c>
      <c r="AB238" s="211">
        <f t="shared" si="163"/>
        <v>0</v>
      </c>
      <c r="AC238" s="211">
        <f t="shared" si="163"/>
        <v>0</v>
      </c>
      <c r="AD238" s="211">
        <f t="shared" si="163"/>
        <v>0</v>
      </c>
      <c r="AE238" s="211">
        <f t="shared" si="163"/>
        <v>0</v>
      </c>
      <c r="AF238" s="211">
        <f t="shared" si="163"/>
        <v>0</v>
      </c>
      <c r="AG238" s="211">
        <f t="shared" si="163"/>
        <v>0</v>
      </c>
      <c r="AH238" s="211">
        <f t="shared" si="163"/>
        <v>0</v>
      </c>
      <c r="AI238" s="211">
        <f t="shared" si="163"/>
        <v>0</v>
      </c>
      <c r="AJ238" s="211">
        <f t="shared" si="163"/>
        <v>0</v>
      </c>
      <c r="AK238" s="211">
        <f t="shared" si="163"/>
        <v>0</v>
      </c>
      <c r="AL238" s="211">
        <f t="shared" si="163"/>
        <v>0</v>
      </c>
      <c r="AM238" s="211">
        <f t="shared" si="163"/>
        <v>0</v>
      </c>
      <c r="AN238" s="211">
        <f t="shared" si="163"/>
        <v>0</v>
      </c>
    </row>
    <row r="239" spans="2:40" s="7" customFormat="1" ht="12" hidden="1" customHeight="1" outlineLevel="2">
      <c r="B239" s="245"/>
      <c r="C239" s="250" t="s">
        <v>765</v>
      </c>
      <c r="D239" s="250"/>
      <c r="E239" s="213"/>
      <c r="F239" s="213"/>
      <c r="G239" s="213"/>
      <c r="H239" s="213"/>
      <c r="I239" s="213"/>
      <c r="J239" s="213"/>
      <c r="K239" s="213"/>
      <c r="L239" s="213"/>
      <c r="M239" s="213"/>
      <c r="N239" s="213"/>
      <c r="O239" s="213"/>
      <c r="P239" s="213"/>
      <c r="Q239" s="211">
        <f>INDEX($C$199:$AN$221,MATCH("New Customers One-Time",$C$199:$C$221,0),MATCH($C239,$C$199:$AN$199,0))</f>
        <v>20.614732831825577</v>
      </c>
      <c r="R239" s="211">
        <f t="shared" ref="R239:AN239" si="164">$Q$239*(E225)</f>
        <v>0</v>
      </c>
      <c r="S239" s="211">
        <f t="shared" si="164"/>
        <v>0</v>
      </c>
      <c r="T239" s="211">
        <f t="shared" si="164"/>
        <v>0</v>
      </c>
      <c r="U239" s="211">
        <f t="shared" si="164"/>
        <v>0</v>
      </c>
      <c r="V239" s="211">
        <f t="shared" si="164"/>
        <v>0</v>
      </c>
      <c r="W239" s="211">
        <f t="shared" si="164"/>
        <v>0</v>
      </c>
      <c r="X239" s="211">
        <f t="shared" si="164"/>
        <v>0</v>
      </c>
      <c r="Y239" s="211">
        <f t="shared" si="164"/>
        <v>0</v>
      </c>
      <c r="Z239" s="211">
        <f t="shared" si="164"/>
        <v>0</v>
      </c>
      <c r="AA239" s="211">
        <f t="shared" si="164"/>
        <v>0</v>
      </c>
      <c r="AB239" s="211">
        <f t="shared" si="164"/>
        <v>0</v>
      </c>
      <c r="AC239" s="211">
        <f t="shared" si="164"/>
        <v>0</v>
      </c>
      <c r="AD239" s="211">
        <f t="shared" si="164"/>
        <v>0</v>
      </c>
      <c r="AE239" s="211">
        <f t="shared" si="164"/>
        <v>0</v>
      </c>
      <c r="AF239" s="211">
        <f t="shared" si="164"/>
        <v>0</v>
      </c>
      <c r="AG239" s="211">
        <f t="shared" si="164"/>
        <v>0</v>
      </c>
      <c r="AH239" s="211">
        <f t="shared" si="164"/>
        <v>0</v>
      </c>
      <c r="AI239" s="211">
        <f t="shared" si="164"/>
        <v>0</v>
      </c>
      <c r="AJ239" s="211">
        <f t="shared" si="164"/>
        <v>0</v>
      </c>
      <c r="AK239" s="211">
        <f t="shared" si="164"/>
        <v>0</v>
      </c>
      <c r="AL239" s="211">
        <f t="shared" si="164"/>
        <v>0</v>
      </c>
      <c r="AM239" s="211">
        <f t="shared" si="164"/>
        <v>0</v>
      </c>
      <c r="AN239" s="211">
        <f t="shared" si="164"/>
        <v>0</v>
      </c>
    </row>
    <row r="240" spans="2:40" s="7" customFormat="1" ht="12" hidden="1" customHeight="1" outlineLevel="2">
      <c r="B240" s="245"/>
      <c r="C240" s="250" t="s">
        <v>766</v>
      </c>
      <c r="D240" s="250"/>
      <c r="E240" s="213"/>
      <c r="F240" s="213"/>
      <c r="G240" s="213"/>
      <c r="H240" s="213"/>
      <c r="I240" s="213"/>
      <c r="J240" s="213"/>
      <c r="K240" s="213"/>
      <c r="L240" s="213"/>
      <c r="M240" s="213"/>
      <c r="N240" s="213"/>
      <c r="O240" s="213"/>
      <c r="P240" s="213"/>
      <c r="Q240" s="213"/>
      <c r="R240" s="211">
        <f>INDEX($C$199:$AN$221,MATCH("New Customers One-Time",$C$199:$C$221,0),MATCH($C240,$C$199:$AN$199,0))</f>
        <v>96.165113908810071</v>
      </c>
      <c r="S240" s="211">
        <f t="shared" ref="S240:AN240" si="165">$R$240*(E225)</f>
        <v>0</v>
      </c>
      <c r="T240" s="211">
        <f t="shared" si="165"/>
        <v>0</v>
      </c>
      <c r="U240" s="211">
        <f t="shared" si="165"/>
        <v>0</v>
      </c>
      <c r="V240" s="211">
        <f t="shared" si="165"/>
        <v>0</v>
      </c>
      <c r="W240" s="211">
        <f t="shared" si="165"/>
        <v>0</v>
      </c>
      <c r="X240" s="211">
        <f t="shared" si="165"/>
        <v>0</v>
      </c>
      <c r="Y240" s="211">
        <f t="shared" si="165"/>
        <v>0</v>
      </c>
      <c r="Z240" s="211">
        <f t="shared" si="165"/>
        <v>0</v>
      </c>
      <c r="AA240" s="211">
        <f t="shared" si="165"/>
        <v>0</v>
      </c>
      <c r="AB240" s="211">
        <f t="shared" si="165"/>
        <v>0</v>
      </c>
      <c r="AC240" s="211">
        <f t="shared" si="165"/>
        <v>0</v>
      </c>
      <c r="AD240" s="211">
        <f t="shared" si="165"/>
        <v>0</v>
      </c>
      <c r="AE240" s="211">
        <f t="shared" si="165"/>
        <v>0</v>
      </c>
      <c r="AF240" s="211">
        <f t="shared" si="165"/>
        <v>0</v>
      </c>
      <c r="AG240" s="211">
        <f t="shared" si="165"/>
        <v>0</v>
      </c>
      <c r="AH240" s="211">
        <f t="shared" si="165"/>
        <v>0</v>
      </c>
      <c r="AI240" s="211">
        <f t="shared" si="165"/>
        <v>0</v>
      </c>
      <c r="AJ240" s="211">
        <f t="shared" si="165"/>
        <v>0</v>
      </c>
      <c r="AK240" s="211">
        <f t="shared" si="165"/>
        <v>0</v>
      </c>
      <c r="AL240" s="211">
        <f t="shared" si="165"/>
        <v>0</v>
      </c>
      <c r="AM240" s="211">
        <f t="shared" si="165"/>
        <v>0</v>
      </c>
      <c r="AN240" s="211">
        <f t="shared" si="165"/>
        <v>0</v>
      </c>
    </row>
    <row r="241" spans="2:41" s="7" customFormat="1" ht="12" hidden="1" customHeight="1" outlineLevel="2">
      <c r="B241" s="245"/>
      <c r="C241" s="250" t="s">
        <v>767</v>
      </c>
      <c r="D241" s="250"/>
      <c r="E241" s="213"/>
      <c r="F241" s="213"/>
      <c r="G241" s="213"/>
      <c r="H241" s="213"/>
      <c r="I241" s="213"/>
      <c r="J241" s="213"/>
      <c r="K241" s="213"/>
      <c r="L241" s="213"/>
      <c r="M241" s="213"/>
      <c r="N241" s="213"/>
      <c r="O241" s="213"/>
      <c r="P241" s="213"/>
      <c r="Q241" s="213"/>
      <c r="R241" s="213"/>
      <c r="S241" s="211">
        <f>INDEX($C$199:$AN$221,MATCH("New Customers One-Time",$C$199:$C$221,0),MATCH($C241,$C$199:$AN$199,0))</f>
        <v>80.189003727369666</v>
      </c>
      <c r="T241" s="211">
        <f t="shared" ref="T241:AN241" si="166">$S$241*(E225)</f>
        <v>0</v>
      </c>
      <c r="U241" s="211">
        <f t="shared" si="166"/>
        <v>0</v>
      </c>
      <c r="V241" s="211">
        <f t="shared" si="166"/>
        <v>0</v>
      </c>
      <c r="W241" s="211">
        <f t="shared" si="166"/>
        <v>0</v>
      </c>
      <c r="X241" s="211">
        <f t="shared" si="166"/>
        <v>0</v>
      </c>
      <c r="Y241" s="211">
        <f t="shared" si="166"/>
        <v>0</v>
      </c>
      <c r="Z241" s="211">
        <f t="shared" si="166"/>
        <v>0</v>
      </c>
      <c r="AA241" s="211">
        <f t="shared" si="166"/>
        <v>0</v>
      </c>
      <c r="AB241" s="211">
        <f t="shared" si="166"/>
        <v>0</v>
      </c>
      <c r="AC241" s="211">
        <f t="shared" si="166"/>
        <v>0</v>
      </c>
      <c r="AD241" s="211">
        <f t="shared" si="166"/>
        <v>0</v>
      </c>
      <c r="AE241" s="211">
        <f t="shared" si="166"/>
        <v>0</v>
      </c>
      <c r="AF241" s="211">
        <f t="shared" si="166"/>
        <v>0</v>
      </c>
      <c r="AG241" s="211">
        <f t="shared" si="166"/>
        <v>0</v>
      </c>
      <c r="AH241" s="211">
        <f t="shared" si="166"/>
        <v>0</v>
      </c>
      <c r="AI241" s="211">
        <f t="shared" si="166"/>
        <v>0</v>
      </c>
      <c r="AJ241" s="211">
        <f t="shared" si="166"/>
        <v>0</v>
      </c>
      <c r="AK241" s="211">
        <f t="shared" si="166"/>
        <v>0</v>
      </c>
      <c r="AL241" s="211">
        <f t="shared" si="166"/>
        <v>0</v>
      </c>
      <c r="AM241" s="211">
        <f t="shared" si="166"/>
        <v>0</v>
      </c>
      <c r="AN241" s="211">
        <f t="shared" si="166"/>
        <v>0</v>
      </c>
    </row>
    <row r="242" spans="2:41" s="7" customFormat="1" ht="12" hidden="1" customHeight="1" outlineLevel="2">
      <c r="B242" s="245"/>
      <c r="C242" s="250" t="s">
        <v>768</v>
      </c>
      <c r="D242" s="250"/>
      <c r="E242" s="213"/>
      <c r="F242" s="213"/>
      <c r="G242" s="213"/>
      <c r="H242" s="213"/>
      <c r="I242" s="213"/>
      <c r="J242" s="213"/>
      <c r="K242" s="213"/>
      <c r="L242" s="213"/>
      <c r="M242" s="213"/>
      <c r="N242" s="213"/>
      <c r="O242" s="213"/>
      <c r="P242" s="213"/>
      <c r="Q242" s="213"/>
      <c r="R242" s="213"/>
      <c r="S242" s="213"/>
      <c r="T242" s="211">
        <f>INDEX($C$199:$AN$221,MATCH("New Customers One-Time",$C$199:$C$221,0),MATCH($C242,$C$199:$AN$199,0))</f>
        <v>14.67131859371311</v>
      </c>
      <c r="U242" s="211">
        <f t="shared" ref="U242:AN242" si="167">$T$242*(E225)</f>
        <v>0</v>
      </c>
      <c r="V242" s="211">
        <f t="shared" si="167"/>
        <v>0</v>
      </c>
      <c r="W242" s="211">
        <f t="shared" si="167"/>
        <v>0</v>
      </c>
      <c r="X242" s="211">
        <f t="shared" si="167"/>
        <v>0</v>
      </c>
      <c r="Y242" s="211">
        <f t="shared" si="167"/>
        <v>0</v>
      </c>
      <c r="Z242" s="211">
        <f t="shared" si="167"/>
        <v>0</v>
      </c>
      <c r="AA242" s="211">
        <f t="shared" si="167"/>
        <v>0</v>
      </c>
      <c r="AB242" s="211">
        <f t="shared" si="167"/>
        <v>0</v>
      </c>
      <c r="AC242" s="211">
        <f t="shared" si="167"/>
        <v>0</v>
      </c>
      <c r="AD242" s="211">
        <f t="shared" si="167"/>
        <v>0</v>
      </c>
      <c r="AE242" s="211">
        <f t="shared" si="167"/>
        <v>0</v>
      </c>
      <c r="AF242" s="211">
        <f t="shared" si="167"/>
        <v>0</v>
      </c>
      <c r="AG242" s="211">
        <f t="shared" si="167"/>
        <v>0</v>
      </c>
      <c r="AH242" s="211">
        <f t="shared" si="167"/>
        <v>0</v>
      </c>
      <c r="AI242" s="211">
        <f t="shared" si="167"/>
        <v>0</v>
      </c>
      <c r="AJ242" s="211">
        <f t="shared" si="167"/>
        <v>0</v>
      </c>
      <c r="AK242" s="211">
        <f t="shared" si="167"/>
        <v>0</v>
      </c>
      <c r="AL242" s="211">
        <f t="shared" si="167"/>
        <v>0</v>
      </c>
      <c r="AM242" s="211">
        <f t="shared" si="167"/>
        <v>0</v>
      </c>
      <c r="AN242" s="211">
        <f t="shared" si="167"/>
        <v>0</v>
      </c>
    </row>
    <row r="243" spans="2:41" s="7" customFormat="1" ht="12" hidden="1" customHeight="1" outlineLevel="2">
      <c r="B243" s="245"/>
      <c r="C243" s="250" t="s">
        <v>769</v>
      </c>
      <c r="D243" s="250"/>
      <c r="E243" s="213"/>
      <c r="F243" s="213"/>
      <c r="G243" s="213"/>
      <c r="H243" s="213"/>
      <c r="I243" s="213"/>
      <c r="J243" s="213"/>
      <c r="K243" s="213"/>
      <c r="L243" s="213"/>
      <c r="M243" s="213"/>
      <c r="N243" s="213"/>
      <c r="O243" s="213"/>
      <c r="P243" s="213"/>
      <c r="Q243" s="213"/>
      <c r="R243" s="213"/>
      <c r="S243" s="213"/>
      <c r="T243" s="213"/>
      <c r="U243" s="211">
        <f>INDEX($C$199:$AN$221,MATCH("New Customers One-Time",$C$199:$C$221,0),MATCH($C243,$C$199:$AN$199,0))</f>
        <v>26.105161052872123</v>
      </c>
      <c r="V243" s="211">
        <f t="shared" ref="V243:AN243" si="168">$U$243*(E225)</f>
        <v>0</v>
      </c>
      <c r="W243" s="211">
        <f t="shared" si="168"/>
        <v>0</v>
      </c>
      <c r="X243" s="211">
        <f t="shared" si="168"/>
        <v>0</v>
      </c>
      <c r="Y243" s="211">
        <f t="shared" si="168"/>
        <v>0</v>
      </c>
      <c r="Z243" s="211">
        <f t="shared" si="168"/>
        <v>0</v>
      </c>
      <c r="AA243" s="211">
        <f t="shared" si="168"/>
        <v>0</v>
      </c>
      <c r="AB243" s="211">
        <f t="shared" si="168"/>
        <v>0</v>
      </c>
      <c r="AC243" s="211">
        <f t="shared" si="168"/>
        <v>0</v>
      </c>
      <c r="AD243" s="211">
        <f t="shared" si="168"/>
        <v>0</v>
      </c>
      <c r="AE243" s="211">
        <f t="shared" si="168"/>
        <v>0</v>
      </c>
      <c r="AF243" s="211">
        <f t="shared" si="168"/>
        <v>0</v>
      </c>
      <c r="AG243" s="211">
        <f t="shared" si="168"/>
        <v>0</v>
      </c>
      <c r="AH243" s="211">
        <f t="shared" si="168"/>
        <v>0</v>
      </c>
      <c r="AI243" s="211">
        <f t="shared" si="168"/>
        <v>0</v>
      </c>
      <c r="AJ243" s="211">
        <f t="shared" si="168"/>
        <v>0</v>
      </c>
      <c r="AK243" s="211">
        <f t="shared" si="168"/>
        <v>0</v>
      </c>
      <c r="AL243" s="211">
        <f t="shared" si="168"/>
        <v>0</v>
      </c>
      <c r="AM243" s="211">
        <f t="shared" si="168"/>
        <v>0</v>
      </c>
      <c r="AN243" s="211">
        <f t="shared" si="168"/>
        <v>0</v>
      </c>
    </row>
    <row r="244" spans="2:41" s="7" customFormat="1" ht="12" hidden="1" customHeight="1" outlineLevel="2">
      <c r="B244" s="245"/>
      <c r="C244" s="250" t="s">
        <v>770</v>
      </c>
      <c r="D244" s="250"/>
      <c r="E244" s="213"/>
      <c r="F244" s="213"/>
      <c r="G244" s="213"/>
      <c r="H244" s="213"/>
      <c r="I244" s="213"/>
      <c r="J244" s="213"/>
      <c r="K244" s="213"/>
      <c r="L244" s="213"/>
      <c r="M244" s="213"/>
      <c r="N244" s="213"/>
      <c r="O244" s="213"/>
      <c r="P244" s="213"/>
      <c r="Q244" s="213"/>
      <c r="R244" s="213"/>
      <c r="S244" s="213"/>
      <c r="T244" s="213"/>
      <c r="U244" s="213"/>
      <c r="V244" s="211">
        <f>INDEX($C$199:$AN$221,MATCH("New Customers One-Time",$C$199:$C$221,0),MATCH($C244,$C$199:$AN$199,0))</f>
        <v>34.5953107102468</v>
      </c>
      <c r="W244" s="211">
        <f t="shared" ref="W244:AN244" si="169">$V$244*(E225)</f>
        <v>0</v>
      </c>
      <c r="X244" s="211">
        <f t="shared" si="169"/>
        <v>0</v>
      </c>
      <c r="Y244" s="211">
        <f t="shared" si="169"/>
        <v>0</v>
      </c>
      <c r="Z244" s="211">
        <f t="shared" si="169"/>
        <v>0</v>
      </c>
      <c r="AA244" s="211">
        <f t="shared" si="169"/>
        <v>0</v>
      </c>
      <c r="AB244" s="211">
        <f t="shared" si="169"/>
        <v>0</v>
      </c>
      <c r="AC244" s="211">
        <f t="shared" si="169"/>
        <v>0</v>
      </c>
      <c r="AD244" s="211">
        <f t="shared" si="169"/>
        <v>0</v>
      </c>
      <c r="AE244" s="211">
        <f t="shared" si="169"/>
        <v>0</v>
      </c>
      <c r="AF244" s="211">
        <f t="shared" si="169"/>
        <v>0</v>
      </c>
      <c r="AG244" s="211">
        <f t="shared" si="169"/>
        <v>0</v>
      </c>
      <c r="AH244" s="211">
        <f t="shared" si="169"/>
        <v>0</v>
      </c>
      <c r="AI244" s="211">
        <f t="shared" si="169"/>
        <v>0</v>
      </c>
      <c r="AJ244" s="211">
        <f t="shared" si="169"/>
        <v>0</v>
      </c>
      <c r="AK244" s="211">
        <f t="shared" si="169"/>
        <v>0</v>
      </c>
      <c r="AL244" s="211">
        <f t="shared" si="169"/>
        <v>0</v>
      </c>
      <c r="AM244" s="211">
        <f t="shared" si="169"/>
        <v>0</v>
      </c>
      <c r="AN244" s="211">
        <f t="shared" si="169"/>
        <v>0</v>
      </c>
    </row>
    <row r="245" spans="2:41" s="7" customFormat="1" ht="12" hidden="1" customHeight="1" outlineLevel="2">
      <c r="B245" s="245"/>
      <c r="C245" s="250" t="s">
        <v>771</v>
      </c>
      <c r="D245" s="250"/>
      <c r="E245" s="213"/>
      <c r="F245" s="213"/>
      <c r="G245" s="213"/>
      <c r="H245" s="213"/>
      <c r="I245" s="213"/>
      <c r="J245" s="213"/>
      <c r="K245" s="213"/>
      <c r="L245" s="213"/>
      <c r="M245" s="213"/>
      <c r="N245" s="213"/>
      <c r="O245" s="213"/>
      <c r="P245" s="213"/>
      <c r="Q245" s="213"/>
      <c r="R245" s="213"/>
      <c r="S245" s="213"/>
      <c r="T245" s="213"/>
      <c r="U245" s="213"/>
      <c r="V245" s="213"/>
      <c r="W245" s="211">
        <f>INDEX($C$199:$AN$221,MATCH("New Customers One-Time",$C$199:$C$221,0),MATCH($C245,$C$199:$AN$199,0))</f>
        <v>18.41185993058853</v>
      </c>
      <c r="X245" s="211">
        <f t="shared" ref="X245:AN245" si="170">$W$245*(E225)</f>
        <v>0</v>
      </c>
      <c r="Y245" s="211">
        <f t="shared" si="170"/>
        <v>0</v>
      </c>
      <c r="Z245" s="211">
        <f t="shared" si="170"/>
        <v>0</v>
      </c>
      <c r="AA245" s="211">
        <f t="shared" si="170"/>
        <v>0</v>
      </c>
      <c r="AB245" s="211">
        <f t="shared" si="170"/>
        <v>0</v>
      </c>
      <c r="AC245" s="211">
        <f t="shared" si="170"/>
        <v>0</v>
      </c>
      <c r="AD245" s="211">
        <f t="shared" si="170"/>
        <v>0</v>
      </c>
      <c r="AE245" s="211">
        <f t="shared" si="170"/>
        <v>0</v>
      </c>
      <c r="AF245" s="211">
        <f t="shared" si="170"/>
        <v>0</v>
      </c>
      <c r="AG245" s="211">
        <f t="shared" si="170"/>
        <v>0</v>
      </c>
      <c r="AH245" s="211">
        <f t="shared" si="170"/>
        <v>0</v>
      </c>
      <c r="AI245" s="211">
        <f t="shared" si="170"/>
        <v>0</v>
      </c>
      <c r="AJ245" s="211">
        <f t="shared" si="170"/>
        <v>0</v>
      </c>
      <c r="AK245" s="211">
        <f t="shared" si="170"/>
        <v>0</v>
      </c>
      <c r="AL245" s="211">
        <f t="shared" si="170"/>
        <v>0</v>
      </c>
      <c r="AM245" s="211">
        <f t="shared" si="170"/>
        <v>0</v>
      </c>
      <c r="AN245" s="211">
        <f t="shared" si="170"/>
        <v>0</v>
      </c>
    </row>
    <row r="246" spans="2:41" s="7" customFormat="1" ht="12" hidden="1" customHeight="1" outlineLevel="2">
      <c r="B246" s="245"/>
      <c r="C246" s="250" t="s">
        <v>772</v>
      </c>
      <c r="D246" s="250"/>
      <c r="E246" s="213"/>
      <c r="F246" s="213"/>
      <c r="G246" s="213"/>
      <c r="H246" s="213"/>
      <c r="I246" s="213"/>
      <c r="J246" s="213"/>
      <c r="K246" s="213"/>
      <c r="L246" s="213"/>
      <c r="M246" s="213"/>
      <c r="N246" s="213"/>
      <c r="O246" s="213"/>
      <c r="P246" s="213"/>
      <c r="Q246" s="213"/>
      <c r="R246" s="213"/>
      <c r="S246" s="213"/>
      <c r="T246" s="213"/>
      <c r="U246" s="213"/>
      <c r="V246" s="213"/>
      <c r="W246" s="213"/>
      <c r="X246" s="211">
        <f>INDEX($C$199:$AN$221,MATCH("New Customers One-Time",$C$199:$C$221,0),MATCH($C246,$C$199:$AN$199,0))</f>
        <v>12.778464324600922</v>
      </c>
      <c r="Y246" s="211">
        <f t="shared" ref="Y246:AN246" si="171">$X$246*(E225)</f>
        <v>0</v>
      </c>
      <c r="Z246" s="211">
        <f t="shared" si="171"/>
        <v>0</v>
      </c>
      <c r="AA246" s="211">
        <f t="shared" si="171"/>
        <v>0</v>
      </c>
      <c r="AB246" s="211">
        <f t="shared" si="171"/>
        <v>0</v>
      </c>
      <c r="AC246" s="211">
        <f t="shared" si="171"/>
        <v>0</v>
      </c>
      <c r="AD246" s="211">
        <f t="shared" si="171"/>
        <v>0</v>
      </c>
      <c r="AE246" s="211">
        <f t="shared" si="171"/>
        <v>0</v>
      </c>
      <c r="AF246" s="211">
        <f t="shared" si="171"/>
        <v>0</v>
      </c>
      <c r="AG246" s="211">
        <f t="shared" si="171"/>
        <v>0</v>
      </c>
      <c r="AH246" s="211">
        <f t="shared" si="171"/>
        <v>0</v>
      </c>
      <c r="AI246" s="211">
        <f t="shared" si="171"/>
        <v>0</v>
      </c>
      <c r="AJ246" s="211">
        <f t="shared" si="171"/>
        <v>0</v>
      </c>
      <c r="AK246" s="211">
        <f t="shared" si="171"/>
        <v>0</v>
      </c>
      <c r="AL246" s="211">
        <f t="shared" si="171"/>
        <v>0</v>
      </c>
      <c r="AM246" s="211">
        <f t="shared" si="171"/>
        <v>0</v>
      </c>
      <c r="AN246" s="211">
        <f t="shared" si="171"/>
        <v>0</v>
      </c>
    </row>
    <row r="247" spans="2:41" s="7" customFormat="1" ht="12" hidden="1" customHeight="1" outlineLevel="2">
      <c r="B247" s="245"/>
      <c r="C247" s="250" t="s">
        <v>773</v>
      </c>
      <c r="D247" s="250"/>
      <c r="E247" s="213"/>
      <c r="F247" s="213"/>
      <c r="G247" s="213"/>
      <c r="H247" s="213"/>
      <c r="I247" s="213"/>
      <c r="J247" s="213"/>
      <c r="K247" s="213"/>
      <c r="L247" s="213"/>
      <c r="M247" s="213"/>
      <c r="N247" s="213"/>
      <c r="O247" s="213"/>
      <c r="P247" s="213"/>
      <c r="Q247" s="213"/>
      <c r="R247" s="213"/>
      <c r="S247" s="213"/>
      <c r="T247" s="213"/>
      <c r="U247" s="213"/>
      <c r="V247" s="213"/>
      <c r="W247" s="213"/>
      <c r="X247" s="213"/>
      <c r="Y247" s="211">
        <f>INDEX($C$199:$AN$221,MATCH("New Customers One-Time",$C$199:$C$221,0),MATCH($C247,$C$199:$AN$199,0))</f>
        <v>32.71394377265333</v>
      </c>
      <c r="Z247" s="211">
        <f t="shared" ref="Z247:AN247" si="172">$Y$247*(E225)</f>
        <v>0</v>
      </c>
      <c r="AA247" s="211">
        <f t="shared" si="172"/>
        <v>0</v>
      </c>
      <c r="AB247" s="211">
        <f t="shared" si="172"/>
        <v>0</v>
      </c>
      <c r="AC247" s="211">
        <f t="shared" si="172"/>
        <v>0</v>
      </c>
      <c r="AD247" s="211">
        <f t="shared" si="172"/>
        <v>0</v>
      </c>
      <c r="AE247" s="211">
        <f t="shared" si="172"/>
        <v>0</v>
      </c>
      <c r="AF247" s="211">
        <f t="shared" si="172"/>
        <v>0</v>
      </c>
      <c r="AG247" s="211">
        <f t="shared" si="172"/>
        <v>0</v>
      </c>
      <c r="AH247" s="211">
        <f t="shared" si="172"/>
        <v>0</v>
      </c>
      <c r="AI247" s="211">
        <f t="shared" si="172"/>
        <v>0</v>
      </c>
      <c r="AJ247" s="211">
        <f t="shared" si="172"/>
        <v>0</v>
      </c>
      <c r="AK247" s="211">
        <f t="shared" si="172"/>
        <v>0</v>
      </c>
      <c r="AL247" s="211">
        <f t="shared" si="172"/>
        <v>0</v>
      </c>
      <c r="AM247" s="211">
        <f t="shared" si="172"/>
        <v>0</v>
      </c>
      <c r="AN247" s="211">
        <f t="shared" si="172"/>
        <v>0</v>
      </c>
    </row>
    <row r="248" spans="2:41" s="7" customFormat="1" ht="12" hidden="1" customHeight="1" outlineLevel="2">
      <c r="B248" s="245"/>
      <c r="C248" s="250" t="s">
        <v>774</v>
      </c>
      <c r="D248" s="250"/>
      <c r="E248" s="213"/>
      <c r="F248" s="213"/>
      <c r="G248" s="213"/>
      <c r="H248" s="213"/>
      <c r="I248" s="213"/>
      <c r="J248" s="213"/>
      <c r="K248" s="213"/>
      <c r="L248" s="213"/>
      <c r="M248" s="213"/>
      <c r="N248" s="213"/>
      <c r="O248" s="213"/>
      <c r="P248" s="213"/>
      <c r="Q248" s="213"/>
      <c r="R248" s="213"/>
      <c r="S248" s="213"/>
      <c r="T248" s="213"/>
      <c r="U248" s="213"/>
      <c r="V248" s="213"/>
      <c r="W248" s="213"/>
      <c r="X248" s="213"/>
      <c r="Y248" s="213"/>
      <c r="Z248" s="211">
        <f>INDEX($C$199:$AN$221,MATCH("New Customers One-Time",$C$199:$C$221,0),MATCH($C248,$C$199:$AN$199,0))</f>
        <v>32.716039911938708</v>
      </c>
      <c r="AA248" s="211">
        <f t="shared" ref="AA248:AK248" si="173">$Z$248*(E225)</f>
        <v>0</v>
      </c>
      <c r="AB248" s="211">
        <f t="shared" si="173"/>
        <v>0</v>
      </c>
      <c r="AC248" s="211">
        <f t="shared" si="173"/>
        <v>0</v>
      </c>
      <c r="AD248" s="211">
        <f t="shared" si="173"/>
        <v>0</v>
      </c>
      <c r="AE248" s="211">
        <f t="shared" si="173"/>
        <v>0</v>
      </c>
      <c r="AF248" s="211">
        <f t="shared" si="173"/>
        <v>0</v>
      </c>
      <c r="AG248" s="211">
        <f t="shared" si="173"/>
        <v>0</v>
      </c>
      <c r="AH248" s="211">
        <f t="shared" si="173"/>
        <v>0</v>
      </c>
      <c r="AI248" s="211">
        <f t="shared" si="173"/>
        <v>0</v>
      </c>
      <c r="AJ248" s="211">
        <f t="shared" si="173"/>
        <v>0</v>
      </c>
      <c r="AK248" s="211">
        <f t="shared" si="173"/>
        <v>0</v>
      </c>
      <c r="AL248" s="211">
        <f>AK248*(P225)</f>
        <v>0</v>
      </c>
      <c r="AM248" s="211">
        <f>AL248*(Q225)</f>
        <v>0</v>
      </c>
      <c r="AN248" s="211">
        <f>AM248*(R225)</f>
        <v>0</v>
      </c>
    </row>
    <row r="249" spans="2:41" s="7" customFormat="1" ht="12" hidden="1" customHeight="1" outlineLevel="2">
      <c r="B249" s="245"/>
      <c r="C249" s="250" t="s">
        <v>775</v>
      </c>
      <c r="D249" s="250"/>
      <c r="E249" s="213"/>
      <c r="F249" s="213"/>
      <c r="G249" s="213"/>
      <c r="H249" s="213"/>
      <c r="I249" s="213"/>
      <c r="J249" s="213"/>
      <c r="K249" s="213"/>
      <c r="L249" s="213"/>
      <c r="M249" s="213"/>
      <c r="N249" s="213"/>
      <c r="O249" s="213"/>
      <c r="P249" s="213"/>
      <c r="Q249" s="213"/>
      <c r="R249" s="213"/>
      <c r="S249" s="213"/>
      <c r="T249" s="213"/>
      <c r="U249" s="213"/>
      <c r="V249" s="213"/>
      <c r="W249" s="213"/>
      <c r="X249" s="213"/>
      <c r="Y249" s="213"/>
      <c r="Z249" s="213"/>
      <c r="AA249" s="211">
        <f>INDEX($C$199:$AN$221,MATCH("New Customers One-Time",$C$199:$C$221,0),MATCH($C249,$C$199:$AN$199,0))</f>
        <v>17.449757330680438</v>
      </c>
      <c r="AB249" s="211">
        <f t="shared" ref="AB249:AK249" si="174">$AA$249*(E225)</f>
        <v>0</v>
      </c>
      <c r="AC249" s="211">
        <f t="shared" si="174"/>
        <v>0</v>
      </c>
      <c r="AD249" s="211">
        <f t="shared" si="174"/>
        <v>0</v>
      </c>
      <c r="AE249" s="211">
        <f t="shared" si="174"/>
        <v>0</v>
      </c>
      <c r="AF249" s="211">
        <f t="shared" si="174"/>
        <v>0</v>
      </c>
      <c r="AG249" s="211">
        <f t="shared" si="174"/>
        <v>0</v>
      </c>
      <c r="AH249" s="211">
        <f t="shared" si="174"/>
        <v>0</v>
      </c>
      <c r="AI249" s="211">
        <f t="shared" si="174"/>
        <v>0</v>
      </c>
      <c r="AJ249" s="211">
        <f t="shared" si="174"/>
        <v>0</v>
      </c>
      <c r="AK249" s="211">
        <f t="shared" si="174"/>
        <v>0</v>
      </c>
      <c r="AL249" s="211">
        <f>AK249*(O225)</f>
        <v>0</v>
      </c>
      <c r="AM249" s="211">
        <f>AL249*(P225)</f>
        <v>0</v>
      </c>
      <c r="AN249" s="211">
        <f>AM249*(Q225)</f>
        <v>0</v>
      </c>
    </row>
    <row r="250" spans="2:41" s="7" customFormat="1" ht="12" hidden="1" customHeight="1" outlineLevel="2">
      <c r="B250" s="245"/>
      <c r="C250" s="250" t="s">
        <v>776</v>
      </c>
      <c r="D250" s="250"/>
      <c r="E250" s="213"/>
      <c r="F250" s="213"/>
      <c r="G250" s="213"/>
      <c r="H250" s="213"/>
      <c r="I250" s="213"/>
      <c r="J250" s="213"/>
      <c r="K250" s="213"/>
      <c r="L250" s="213"/>
      <c r="M250" s="213"/>
      <c r="N250" s="213"/>
      <c r="O250" s="213"/>
      <c r="P250" s="213"/>
      <c r="Q250" s="213"/>
      <c r="R250" s="213"/>
      <c r="S250" s="213"/>
      <c r="T250" s="213"/>
      <c r="U250" s="213"/>
      <c r="V250" s="213"/>
      <c r="W250" s="213"/>
      <c r="X250" s="213"/>
      <c r="Y250" s="213"/>
      <c r="Z250" s="213"/>
      <c r="AA250" s="213"/>
      <c r="AB250" s="211">
        <f>INDEX($C$199:$AN$221,MATCH("New Customers One-Time",$C$199:$C$221,0),MATCH($C250,$C$199:$AN$199,0))</f>
        <v>17.448318791997877</v>
      </c>
      <c r="AC250" s="211">
        <f t="shared" ref="AC250:AN250" si="175">$AB$250*(E225)</f>
        <v>0</v>
      </c>
      <c r="AD250" s="211">
        <f t="shared" si="175"/>
        <v>0</v>
      </c>
      <c r="AE250" s="211">
        <f t="shared" si="175"/>
        <v>0</v>
      </c>
      <c r="AF250" s="211">
        <f t="shared" si="175"/>
        <v>0</v>
      </c>
      <c r="AG250" s="211">
        <f t="shared" si="175"/>
        <v>0</v>
      </c>
      <c r="AH250" s="211">
        <f t="shared" si="175"/>
        <v>0</v>
      </c>
      <c r="AI250" s="211">
        <f t="shared" si="175"/>
        <v>0</v>
      </c>
      <c r="AJ250" s="211">
        <f t="shared" si="175"/>
        <v>0</v>
      </c>
      <c r="AK250" s="211">
        <f t="shared" si="175"/>
        <v>0</v>
      </c>
      <c r="AL250" s="211">
        <f t="shared" si="175"/>
        <v>0</v>
      </c>
      <c r="AM250" s="211">
        <f t="shared" si="175"/>
        <v>0</v>
      </c>
      <c r="AN250" s="211">
        <f t="shared" si="175"/>
        <v>0</v>
      </c>
      <c r="AO250" s="211"/>
    </row>
    <row r="251" spans="2:41" s="7" customFormat="1" ht="12" hidden="1" customHeight="1" outlineLevel="2">
      <c r="B251" s="245"/>
      <c r="C251" s="250" t="s">
        <v>777</v>
      </c>
      <c r="D251" s="250"/>
      <c r="E251" s="213"/>
      <c r="F251" s="213"/>
      <c r="G251" s="213"/>
      <c r="H251" s="213"/>
      <c r="I251" s="213"/>
      <c r="J251" s="213"/>
      <c r="K251" s="213"/>
      <c r="L251" s="213"/>
      <c r="M251" s="213"/>
      <c r="N251" s="213"/>
      <c r="O251" s="213"/>
      <c r="P251" s="213"/>
      <c r="Q251" s="213"/>
      <c r="R251" s="213"/>
      <c r="S251" s="213"/>
      <c r="T251" s="213"/>
      <c r="U251" s="213"/>
      <c r="V251" s="213"/>
      <c r="W251" s="213"/>
      <c r="X251" s="213"/>
      <c r="Y251" s="213"/>
      <c r="Z251" s="213"/>
      <c r="AA251" s="213"/>
      <c r="AB251" s="211"/>
      <c r="AC251" s="211">
        <f>INDEX($C$199:$AN$221,MATCH("New Customers One-Time",$C$199:$C$221,0),MATCH($C251,$C$199:$AN$199,0))</f>
        <v>20.551172891784272</v>
      </c>
      <c r="AD251" s="211">
        <f t="shared" ref="AD251:AK251" si="176">$AC$251*(E225)</f>
        <v>0</v>
      </c>
      <c r="AE251" s="211">
        <f t="shared" si="176"/>
        <v>0</v>
      </c>
      <c r="AF251" s="211">
        <f t="shared" si="176"/>
        <v>0</v>
      </c>
      <c r="AG251" s="211">
        <f t="shared" si="176"/>
        <v>0</v>
      </c>
      <c r="AH251" s="211">
        <f t="shared" si="176"/>
        <v>0</v>
      </c>
      <c r="AI251" s="211">
        <f t="shared" si="176"/>
        <v>0</v>
      </c>
      <c r="AJ251" s="211">
        <f t="shared" si="176"/>
        <v>0</v>
      </c>
      <c r="AK251" s="211">
        <f t="shared" si="176"/>
        <v>0</v>
      </c>
      <c r="AL251" s="211">
        <f>AK251*(M225)</f>
        <v>0</v>
      </c>
      <c r="AM251" s="211">
        <f>AL251*(N225)</f>
        <v>0</v>
      </c>
      <c r="AN251" s="211">
        <f>AM251*(O225)</f>
        <v>0</v>
      </c>
    </row>
    <row r="252" spans="2:41" s="7" customFormat="1" ht="12" hidden="1" customHeight="1" outlineLevel="2">
      <c r="B252" s="245"/>
      <c r="C252" s="250" t="s">
        <v>778</v>
      </c>
      <c r="D252" s="250"/>
      <c r="E252" s="213"/>
      <c r="F252" s="213"/>
      <c r="G252" s="213"/>
      <c r="H252" s="213"/>
      <c r="I252" s="213"/>
      <c r="J252" s="213"/>
      <c r="K252" s="213"/>
      <c r="L252" s="213"/>
      <c r="M252" s="213"/>
      <c r="N252" s="213"/>
      <c r="O252" s="213"/>
      <c r="P252" s="213"/>
      <c r="Q252" s="213"/>
      <c r="R252" s="213"/>
      <c r="S252" s="213"/>
      <c r="T252" s="213"/>
      <c r="U252" s="213"/>
      <c r="V252" s="213"/>
      <c r="W252" s="213"/>
      <c r="X252" s="213"/>
      <c r="Y252" s="213"/>
      <c r="Z252" s="213"/>
      <c r="AA252" s="213"/>
      <c r="AB252" s="211"/>
      <c r="AC252" s="211"/>
      <c r="AD252" s="211">
        <f>INDEX($C$199:$AN$221,MATCH("New Customers One-Time",$C$199:$C$221,0),MATCH($C252,$C$199:$AN$199,0))</f>
        <v>96.17174440821718</v>
      </c>
      <c r="AE252" s="211">
        <f t="shared" ref="AE252:AN252" si="177">$AD$252*(E225)</f>
        <v>0</v>
      </c>
      <c r="AF252" s="211">
        <f t="shared" si="177"/>
        <v>0</v>
      </c>
      <c r="AG252" s="211">
        <f t="shared" si="177"/>
        <v>0</v>
      </c>
      <c r="AH252" s="211">
        <f t="shared" si="177"/>
        <v>0</v>
      </c>
      <c r="AI252" s="211">
        <f t="shared" si="177"/>
        <v>0</v>
      </c>
      <c r="AJ252" s="211">
        <f t="shared" si="177"/>
        <v>0</v>
      </c>
      <c r="AK252" s="211">
        <f t="shared" si="177"/>
        <v>0</v>
      </c>
      <c r="AL252" s="211">
        <f t="shared" si="177"/>
        <v>0</v>
      </c>
      <c r="AM252" s="211">
        <f t="shared" si="177"/>
        <v>0</v>
      </c>
      <c r="AN252" s="211">
        <f t="shared" si="177"/>
        <v>0</v>
      </c>
    </row>
    <row r="253" spans="2:41" s="7" customFormat="1" ht="12" hidden="1" customHeight="1" outlineLevel="2">
      <c r="B253" s="245"/>
      <c r="C253" s="250" t="s">
        <v>779</v>
      </c>
      <c r="D253" s="250"/>
      <c r="E253" s="213"/>
      <c r="F253" s="213"/>
      <c r="G253" s="213"/>
      <c r="H253" s="213"/>
      <c r="I253" s="213"/>
      <c r="J253" s="213"/>
      <c r="K253" s="213"/>
      <c r="L253" s="213"/>
      <c r="M253" s="213"/>
      <c r="N253" s="213"/>
      <c r="O253" s="213"/>
      <c r="P253" s="213"/>
      <c r="Q253" s="213"/>
      <c r="R253" s="213"/>
      <c r="S253" s="213"/>
      <c r="T253" s="213"/>
      <c r="U253" s="213"/>
      <c r="V253" s="213"/>
      <c r="W253" s="213"/>
      <c r="X253" s="213"/>
      <c r="Y253" s="213"/>
      <c r="Z253" s="213"/>
      <c r="AA253" s="213"/>
      <c r="AB253" s="211"/>
      <c r="AC253" s="211"/>
      <c r="AD253" s="211"/>
      <c r="AE253" s="211">
        <f>INDEX($C$199:$AN$221,MATCH("New Customers One-Time",$C$199:$C$221,0),MATCH($C253,$C$199:$AN$199,0))</f>
        <v>80.179862738797297</v>
      </c>
      <c r="AF253" s="211">
        <f t="shared" ref="AF253:AN253" si="178">$AE$253*(E225)</f>
        <v>0</v>
      </c>
      <c r="AG253" s="211">
        <f t="shared" si="178"/>
        <v>0</v>
      </c>
      <c r="AH253" s="211">
        <f t="shared" si="178"/>
        <v>0</v>
      </c>
      <c r="AI253" s="211">
        <f t="shared" si="178"/>
        <v>0</v>
      </c>
      <c r="AJ253" s="211">
        <f t="shared" si="178"/>
        <v>0</v>
      </c>
      <c r="AK253" s="211">
        <f t="shared" si="178"/>
        <v>0</v>
      </c>
      <c r="AL253" s="211">
        <f t="shared" si="178"/>
        <v>0</v>
      </c>
      <c r="AM253" s="211">
        <f t="shared" si="178"/>
        <v>0</v>
      </c>
      <c r="AN253" s="211">
        <f t="shared" si="178"/>
        <v>0</v>
      </c>
    </row>
    <row r="254" spans="2:41" s="7" customFormat="1" ht="12" hidden="1" customHeight="1" outlineLevel="2">
      <c r="B254" s="245"/>
      <c r="C254" s="250" t="s">
        <v>780</v>
      </c>
      <c r="D254" s="250"/>
      <c r="E254" s="213"/>
      <c r="F254" s="213"/>
      <c r="G254" s="213"/>
      <c r="H254" s="213"/>
      <c r="I254" s="213"/>
      <c r="J254" s="213"/>
      <c r="K254" s="213"/>
      <c r="L254" s="213"/>
      <c r="M254" s="213"/>
      <c r="N254" s="213"/>
      <c r="O254" s="213"/>
      <c r="P254" s="213"/>
      <c r="Q254" s="213"/>
      <c r="R254" s="213"/>
      <c r="S254" s="213"/>
      <c r="T254" s="213"/>
      <c r="U254" s="213"/>
      <c r="V254" s="213"/>
      <c r="W254" s="213"/>
      <c r="X254" s="213"/>
      <c r="Y254" s="213"/>
      <c r="Z254" s="213"/>
      <c r="AA254" s="213"/>
      <c r="AB254" s="211"/>
      <c r="AC254" s="211"/>
      <c r="AD254" s="211"/>
      <c r="AE254" s="211"/>
      <c r="AF254" s="211">
        <f>INDEX($C$199:$AN$221,MATCH("New Customers One-Time",$C$199:$C$221,0),MATCH($C254,$C$199:$AN$199,0))</f>
        <v>29.354229406854451</v>
      </c>
      <c r="AG254" s="211">
        <f t="shared" ref="AG254:AN254" si="179">$AF$254*(E225)</f>
        <v>0</v>
      </c>
      <c r="AH254" s="211">
        <f t="shared" si="179"/>
        <v>0</v>
      </c>
      <c r="AI254" s="211">
        <f t="shared" si="179"/>
        <v>0</v>
      </c>
      <c r="AJ254" s="211">
        <f t="shared" si="179"/>
        <v>0</v>
      </c>
      <c r="AK254" s="211">
        <f t="shared" si="179"/>
        <v>0</v>
      </c>
      <c r="AL254" s="211">
        <f t="shared" si="179"/>
        <v>0</v>
      </c>
      <c r="AM254" s="211">
        <f t="shared" si="179"/>
        <v>0</v>
      </c>
      <c r="AN254" s="211">
        <f t="shared" si="179"/>
        <v>0</v>
      </c>
    </row>
    <row r="255" spans="2:41" s="7" customFormat="1" ht="12" hidden="1" customHeight="1" outlineLevel="2">
      <c r="B255" s="245"/>
      <c r="C255" s="250" t="s">
        <v>781</v>
      </c>
      <c r="D255" s="250"/>
      <c r="E255" s="213"/>
      <c r="F255" s="213"/>
      <c r="G255" s="213"/>
      <c r="H255" s="213"/>
      <c r="I255" s="213"/>
      <c r="J255" s="213"/>
      <c r="K255" s="213"/>
      <c r="L255" s="213"/>
      <c r="M255" s="213"/>
      <c r="N255" s="213"/>
      <c r="O255" s="213"/>
      <c r="P255" s="213"/>
      <c r="Q255" s="213"/>
      <c r="R255" s="213"/>
      <c r="S255" s="213"/>
      <c r="T255" s="213"/>
      <c r="U255" s="213"/>
      <c r="V255" s="213"/>
      <c r="W255" s="213"/>
      <c r="X255" s="213"/>
      <c r="Y255" s="213"/>
      <c r="Z255" s="213"/>
      <c r="AA255" s="213"/>
      <c r="AB255" s="211"/>
      <c r="AC255" s="211"/>
      <c r="AD255" s="211"/>
      <c r="AE255" s="211"/>
      <c r="AF255" s="211"/>
      <c r="AG255" s="211">
        <f>INDEX($C$199:$AN$221,MATCH("New Customers One-Time",$C$199:$C$221,0),MATCH($C255,$C$199:$AN$199,0))</f>
        <v>52.228259643558054</v>
      </c>
      <c r="AH255" s="211">
        <f t="shared" ref="AH255:AN255" si="180">$AG$255*(E225)</f>
        <v>0</v>
      </c>
      <c r="AI255" s="211">
        <f t="shared" si="180"/>
        <v>0</v>
      </c>
      <c r="AJ255" s="211">
        <f t="shared" si="180"/>
        <v>0</v>
      </c>
      <c r="AK255" s="211">
        <f t="shared" si="180"/>
        <v>0</v>
      </c>
      <c r="AL255" s="211">
        <f t="shared" si="180"/>
        <v>0</v>
      </c>
      <c r="AM255" s="211">
        <f t="shared" si="180"/>
        <v>0</v>
      </c>
      <c r="AN255" s="211">
        <f t="shared" si="180"/>
        <v>0</v>
      </c>
    </row>
    <row r="256" spans="2:41" s="7" customFormat="1" ht="12" hidden="1" customHeight="1" outlineLevel="2">
      <c r="B256" s="245"/>
      <c r="C256" s="250" t="s">
        <v>782</v>
      </c>
      <c r="D256" s="250"/>
      <c r="E256" s="213"/>
      <c r="F256" s="213"/>
      <c r="G256" s="213"/>
      <c r="H256" s="213"/>
      <c r="I256" s="213"/>
      <c r="J256" s="213"/>
      <c r="K256" s="213"/>
      <c r="L256" s="213"/>
      <c r="M256" s="213"/>
      <c r="N256" s="213"/>
      <c r="O256" s="213"/>
      <c r="P256" s="213"/>
      <c r="Q256" s="213"/>
      <c r="R256" s="213"/>
      <c r="S256" s="213"/>
      <c r="T256" s="213"/>
      <c r="U256" s="213"/>
      <c r="V256" s="213"/>
      <c r="W256" s="213"/>
      <c r="X256" s="213"/>
      <c r="Y256" s="213"/>
      <c r="Z256" s="213"/>
      <c r="AA256" s="213"/>
      <c r="AB256" s="211"/>
      <c r="AC256" s="211"/>
      <c r="AD256" s="211"/>
      <c r="AE256" s="211"/>
      <c r="AF256" s="211"/>
      <c r="AG256" s="211"/>
      <c r="AH256" s="211">
        <f>INDEX($C$199:$AN$221,MATCH("New Customers One-Time",$C$199:$C$221,0),MATCH($C256,$C$199:$AN$199,0))</f>
        <v>69.157433570571115</v>
      </c>
      <c r="AI256" s="211">
        <f t="shared" ref="AI256:AN256" si="181">$AH$256*(E225)</f>
        <v>0</v>
      </c>
      <c r="AJ256" s="211">
        <f t="shared" si="181"/>
        <v>0</v>
      </c>
      <c r="AK256" s="211">
        <f t="shared" si="181"/>
        <v>0</v>
      </c>
      <c r="AL256" s="211">
        <f t="shared" si="181"/>
        <v>0</v>
      </c>
      <c r="AM256" s="211">
        <f t="shared" si="181"/>
        <v>0</v>
      </c>
      <c r="AN256" s="211">
        <f t="shared" si="181"/>
        <v>0</v>
      </c>
    </row>
    <row r="257" spans="2:40" s="7" customFormat="1" ht="12" hidden="1" customHeight="1" outlineLevel="2">
      <c r="B257" s="245"/>
      <c r="C257" s="250" t="s">
        <v>783</v>
      </c>
      <c r="D257" s="250"/>
      <c r="E257" s="213"/>
      <c r="F257" s="213"/>
      <c r="G257" s="213"/>
      <c r="H257" s="213"/>
      <c r="I257" s="213"/>
      <c r="J257" s="213"/>
      <c r="K257" s="213"/>
      <c r="L257" s="213"/>
      <c r="M257" s="213"/>
      <c r="N257" s="213"/>
      <c r="O257" s="213"/>
      <c r="P257" s="213"/>
      <c r="Q257" s="213"/>
      <c r="R257" s="213"/>
      <c r="S257" s="213"/>
      <c r="T257" s="213"/>
      <c r="U257" s="213"/>
      <c r="V257" s="213"/>
      <c r="W257" s="213"/>
      <c r="X257" s="213"/>
      <c r="Y257" s="213"/>
      <c r="Z257" s="213"/>
      <c r="AA257" s="213"/>
      <c r="AB257" s="211"/>
      <c r="AC257" s="211"/>
      <c r="AD257" s="211"/>
      <c r="AE257" s="211"/>
      <c r="AF257" s="211"/>
      <c r="AG257" s="211"/>
      <c r="AH257" s="211"/>
      <c r="AI257" s="211">
        <f>INDEX($C$199:$AN$221,MATCH("New Customers One-Time",$C$199:$C$221,0),MATCH($C257,$C$199:$AN$199,0))</f>
        <v>36.82529159540519</v>
      </c>
      <c r="AJ257" s="211">
        <f>$AI$257*(E225)</f>
        <v>0</v>
      </c>
      <c r="AK257" s="211">
        <f>$AI$257*(F225)</f>
        <v>0</v>
      </c>
      <c r="AL257" s="211">
        <f>$AI$257*(G225)</f>
        <v>0</v>
      </c>
      <c r="AM257" s="211">
        <f>$AI$257*(H225)</f>
        <v>0</v>
      </c>
      <c r="AN257" s="211">
        <f>$AI$257*(I225)</f>
        <v>0</v>
      </c>
    </row>
    <row r="258" spans="2:40" s="7" customFormat="1" ht="12" hidden="1" customHeight="1" outlineLevel="2">
      <c r="B258" s="245"/>
      <c r="C258" s="250" t="s">
        <v>784</v>
      </c>
      <c r="D258" s="250"/>
      <c r="E258" s="213"/>
      <c r="F258" s="213"/>
      <c r="G258" s="213"/>
      <c r="H258" s="213"/>
      <c r="I258" s="213"/>
      <c r="J258" s="213"/>
      <c r="K258" s="213"/>
      <c r="L258" s="213"/>
      <c r="M258" s="213"/>
      <c r="N258" s="213"/>
      <c r="O258" s="213"/>
      <c r="P258" s="213"/>
      <c r="Q258" s="213"/>
      <c r="R258" s="213"/>
      <c r="S258" s="213"/>
      <c r="T258" s="213"/>
      <c r="U258" s="213"/>
      <c r="V258" s="213"/>
      <c r="W258" s="213"/>
      <c r="X258" s="213"/>
      <c r="Y258" s="213"/>
      <c r="Z258" s="213"/>
      <c r="AA258" s="213"/>
      <c r="AB258" s="211"/>
      <c r="AC258" s="211"/>
      <c r="AD258" s="211"/>
      <c r="AE258" s="211"/>
      <c r="AF258" s="211"/>
      <c r="AG258" s="211"/>
      <c r="AH258" s="211"/>
      <c r="AI258" s="211"/>
      <c r="AJ258" s="211">
        <f>INDEX($C$199:$AN$221,MATCH("New Customers One-Time",$C$199:$C$221,0),MATCH($C258,$C$199:$AN$199,0))</f>
        <v>25.557885234138016</v>
      </c>
      <c r="AK258" s="211">
        <f>$AJ$258*(E225)</f>
        <v>0</v>
      </c>
      <c r="AL258" s="211">
        <f>$AJ$258*(F225)</f>
        <v>0</v>
      </c>
      <c r="AM258" s="211">
        <f>$AJ$258*(G225)</f>
        <v>0</v>
      </c>
      <c r="AN258" s="211">
        <f>$AJ$258*(H225)</f>
        <v>0</v>
      </c>
    </row>
    <row r="259" spans="2:40" s="7" customFormat="1" ht="12" hidden="1" customHeight="1" outlineLevel="2">
      <c r="B259" s="245"/>
      <c r="C259" s="250" t="s">
        <v>785</v>
      </c>
      <c r="D259" s="250"/>
      <c r="E259" s="213"/>
      <c r="F259" s="213"/>
      <c r="G259" s="213"/>
      <c r="H259" s="213"/>
      <c r="I259" s="213"/>
      <c r="J259" s="213"/>
      <c r="K259" s="213"/>
      <c r="L259" s="213"/>
      <c r="M259" s="213"/>
      <c r="N259" s="213"/>
      <c r="O259" s="213"/>
      <c r="P259" s="213"/>
      <c r="Q259" s="213"/>
      <c r="R259" s="213"/>
      <c r="S259" s="213"/>
      <c r="T259" s="213"/>
      <c r="U259" s="213"/>
      <c r="V259" s="213"/>
      <c r="W259" s="213"/>
      <c r="X259" s="213"/>
      <c r="Y259" s="213"/>
      <c r="Z259" s="213"/>
      <c r="AA259" s="213"/>
      <c r="AB259" s="211"/>
      <c r="AC259" s="211"/>
      <c r="AD259" s="211"/>
      <c r="AE259" s="211"/>
      <c r="AF259" s="211"/>
      <c r="AG259" s="211"/>
      <c r="AH259" s="211"/>
      <c r="AI259" s="211"/>
      <c r="AJ259" s="211"/>
      <c r="AK259" s="211">
        <f>INDEX($C$199:$AN$221,MATCH("New Customers One-Time",$C$199:$C$221,0),MATCH($C259,$C$199:$AN$199,0))</f>
        <v>65.432318305805438</v>
      </c>
      <c r="AL259" s="211">
        <f>$AK$259*(E225)</f>
        <v>0</v>
      </c>
      <c r="AM259" s="211">
        <f>$AK$259*(F225)</f>
        <v>0</v>
      </c>
      <c r="AN259" s="211">
        <f>$AK$259*(G225)</f>
        <v>0</v>
      </c>
    </row>
    <row r="260" spans="2:40" s="7" customFormat="1" ht="12" hidden="1" customHeight="1" outlineLevel="2">
      <c r="B260" s="245"/>
      <c r="C260" s="250" t="s">
        <v>786</v>
      </c>
      <c r="D260" s="250"/>
      <c r="E260" s="213"/>
      <c r="F260" s="213"/>
      <c r="G260" s="213"/>
      <c r="H260" s="213"/>
      <c r="I260" s="213"/>
      <c r="J260" s="213"/>
      <c r="K260" s="213"/>
      <c r="L260" s="213"/>
      <c r="M260" s="213"/>
      <c r="N260" s="213"/>
      <c r="O260" s="213"/>
      <c r="P260" s="213"/>
      <c r="Q260" s="213"/>
      <c r="R260" s="213"/>
      <c r="S260" s="213"/>
      <c r="T260" s="213"/>
      <c r="U260" s="213"/>
      <c r="V260" s="213"/>
      <c r="W260" s="213"/>
      <c r="X260" s="213"/>
      <c r="Y260" s="213"/>
      <c r="Z260" s="213"/>
      <c r="AA260" s="213"/>
      <c r="AB260" s="211"/>
      <c r="AC260" s="211"/>
      <c r="AD260" s="211"/>
      <c r="AE260" s="211"/>
      <c r="AF260" s="211"/>
      <c r="AG260" s="211"/>
      <c r="AH260" s="211"/>
      <c r="AI260" s="211"/>
      <c r="AJ260" s="211"/>
      <c r="AK260" s="211"/>
      <c r="AL260" s="211">
        <f>INDEX($C$199:$AN$221,MATCH("New Customers One-Time",$C$199:$C$221,0),MATCH($C260,$C$199:$AN$199,0))</f>
        <v>65.432228752185793</v>
      </c>
      <c r="AM260" s="211">
        <f>$AL$260*(E225)</f>
        <v>0</v>
      </c>
      <c r="AN260" s="211">
        <f>$AL$260*(F225)</f>
        <v>0</v>
      </c>
    </row>
    <row r="261" spans="2:40" s="7" customFormat="1" ht="12" hidden="1" customHeight="1" outlineLevel="2">
      <c r="B261" s="245"/>
      <c r="C261" s="250" t="s">
        <v>787</v>
      </c>
      <c r="D261" s="250"/>
      <c r="E261" s="213"/>
      <c r="F261" s="213"/>
      <c r="G261" s="213"/>
      <c r="H261" s="213"/>
      <c r="I261" s="213"/>
      <c r="J261" s="213"/>
      <c r="K261" s="213"/>
      <c r="L261" s="213"/>
      <c r="M261" s="213"/>
      <c r="N261" s="213"/>
      <c r="O261" s="213"/>
      <c r="P261" s="213"/>
      <c r="Q261" s="213"/>
      <c r="R261" s="213"/>
      <c r="S261" s="213"/>
      <c r="T261" s="213"/>
      <c r="U261" s="213"/>
      <c r="V261" s="213"/>
      <c r="W261" s="213"/>
      <c r="X261" s="213"/>
      <c r="Y261" s="213"/>
      <c r="Z261" s="213"/>
      <c r="AA261" s="213"/>
      <c r="AB261" s="211"/>
      <c r="AC261" s="211"/>
      <c r="AD261" s="211"/>
      <c r="AE261" s="211"/>
      <c r="AF261" s="211"/>
      <c r="AG261" s="211"/>
      <c r="AH261" s="211"/>
      <c r="AI261" s="211"/>
      <c r="AJ261" s="211"/>
      <c r="AK261" s="211"/>
      <c r="AL261" s="211"/>
      <c r="AM261" s="211">
        <f>INDEX($C$199:$AN$221,MATCH("New Customers One-Time",$C$199:$C$221,0),MATCH($C261,$C$199:$AN$199,0))</f>
        <v>34.897212930393657</v>
      </c>
      <c r="AN261" s="211">
        <f>$AM$261*(E225)</f>
        <v>0</v>
      </c>
    </row>
    <row r="262" spans="2:40" s="7" customFormat="1" ht="12" hidden="1" customHeight="1" outlineLevel="2">
      <c r="B262" s="245"/>
      <c r="C262" s="250" t="s">
        <v>788</v>
      </c>
      <c r="D262" s="250"/>
      <c r="E262" s="213"/>
      <c r="F262" s="213"/>
      <c r="G262" s="213"/>
      <c r="H262" s="213"/>
      <c r="I262" s="213"/>
      <c r="J262" s="213"/>
      <c r="K262" s="213"/>
      <c r="L262" s="213"/>
      <c r="M262" s="213"/>
      <c r="N262" s="213"/>
      <c r="O262" s="213"/>
      <c r="P262" s="213"/>
      <c r="Q262" s="213"/>
      <c r="R262" s="213"/>
      <c r="S262" s="213"/>
      <c r="T262" s="213"/>
      <c r="U262" s="213"/>
      <c r="V262" s="213"/>
      <c r="W262" s="213"/>
      <c r="X262" s="213"/>
      <c r="Y262" s="213"/>
      <c r="Z262" s="213"/>
      <c r="AA262" s="213"/>
      <c r="AB262" s="211"/>
      <c r="AC262" s="211"/>
      <c r="AD262" s="211"/>
      <c r="AE262" s="211"/>
      <c r="AF262" s="211"/>
      <c r="AG262" s="211"/>
      <c r="AH262" s="211"/>
      <c r="AI262" s="211"/>
      <c r="AJ262" s="211"/>
      <c r="AK262" s="211"/>
      <c r="AL262" s="211"/>
      <c r="AM262" s="211"/>
      <c r="AN262" s="211">
        <f>INDEX($C$199:$AN$221,MATCH("New Customers One-Time",$C$199:$C$221,0),MATCH($C262,$C$199:$AN$199,0))</f>
        <v>34.897224854625932</v>
      </c>
    </row>
    <row r="263" spans="2:40" s="7" customFormat="1" ht="12" hidden="1" customHeight="1" outlineLevel="2">
      <c r="B263" s="245"/>
      <c r="C263" s="250"/>
      <c r="D263" s="250"/>
      <c r="E263" s="213"/>
      <c r="F263" s="213"/>
      <c r="G263" s="213"/>
      <c r="H263" s="213"/>
      <c r="I263" s="213"/>
      <c r="J263" s="213"/>
      <c r="K263" s="213"/>
      <c r="L263" s="213"/>
      <c r="M263" s="213"/>
      <c r="N263" s="213"/>
      <c r="O263" s="213"/>
      <c r="P263" s="213"/>
      <c r="Q263" s="213"/>
      <c r="R263" s="213"/>
      <c r="S263" s="213"/>
      <c r="T263" s="213"/>
      <c r="U263" s="213"/>
      <c r="V263" s="213"/>
      <c r="W263" s="213"/>
      <c r="X263" s="213"/>
      <c r="Y263" s="213"/>
      <c r="Z263" s="213"/>
      <c r="AA263" s="213"/>
      <c r="AB263" s="211"/>
      <c r="AC263" s="211"/>
      <c r="AD263" s="211"/>
      <c r="AE263" s="211"/>
      <c r="AF263" s="211"/>
      <c r="AG263" s="211"/>
      <c r="AH263" s="211"/>
      <c r="AI263" s="211"/>
      <c r="AJ263" s="211"/>
      <c r="AK263" s="211"/>
      <c r="AL263" s="211"/>
      <c r="AM263" s="211"/>
      <c r="AN263" s="211"/>
    </row>
    <row r="264" spans="2:40" s="7" customFormat="1" ht="12" hidden="1" customHeight="1" outlineLevel="2">
      <c r="B264" s="245"/>
      <c r="C264" s="249" t="s">
        <v>853</v>
      </c>
      <c r="D264" s="250"/>
      <c r="E264" s="213"/>
      <c r="F264" s="213"/>
      <c r="G264" s="213"/>
      <c r="H264" s="213"/>
      <c r="I264" s="213"/>
      <c r="J264" s="213"/>
      <c r="K264" s="213"/>
      <c r="L264" s="213"/>
      <c r="M264" s="213"/>
      <c r="N264" s="213"/>
      <c r="O264" s="213"/>
      <c r="P264" s="213"/>
      <c r="Q264" s="213"/>
      <c r="R264" s="213"/>
      <c r="S264" s="213"/>
      <c r="T264" s="213"/>
      <c r="U264" s="213"/>
      <c r="V264" s="213"/>
      <c r="W264" s="213"/>
      <c r="X264" s="213"/>
      <c r="Y264" s="213"/>
      <c r="Z264" s="213"/>
      <c r="AA264" s="213"/>
      <c r="AB264" s="213"/>
      <c r="AC264" s="211"/>
    </row>
    <row r="265" spans="2:40" s="7" customFormat="1" ht="12" hidden="1" customHeight="1" outlineLevel="2">
      <c r="B265" s="239"/>
      <c r="C265" s="212" t="s">
        <v>850</v>
      </c>
      <c r="D265" s="212"/>
      <c r="E265" s="196" t="s">
        <v>753</v>
      </c>
      <c r="F265" s="196" t="s">
        <v>754</v>
      </c>
      <c r="G265" s="196" t="s">
        <v>755</v>
      </c>
      <c r="H265" s="196" t="s">
        <v>756</v>
      </c>
      <c r="I265" s="196" t="s">
        <v>757</v>
      </c>
      <c r="J265" s="196" t="s">
        <v>758</v>
      </c>
      <c r="K265" s="196" t="s">
        <v>759</v>
      </c>
      <c r="L265" s="196" t="s">
        <v>760</v>
      </c>
      <c r="M265" s="196" t="s">
        <v>761</v>
      </c>
      <c r="N265" s="196" t="s">
        <v>762</v>
      </c>
      <c r="O265" s="196" t="s">
        <v>763</v>
      </c>
      <c r="P265" s="196" t="s">
        <v>764</v>
      </c>
      <c r="Q265" s="196" t="s">
        <v>765</v>
      </c>
      <c r="R265" s="196" t="s">
        <v>766</v>
      </c>
      <c r="S265" s="196" t="s">
        <v>767</v>
      </c>
      <c r="T265" s="196" t="s">
        <v>768</v>
      </c>
      <c r="U265" s="196" t="s">
        <v>769</v>
      </c>
      <c r="V265" s="196" t="s">
        <v>770</v>
      </c>
      <c r="W265" s="196" t="s">
        <v>771</v>
      </c>
      <c r="X265" s="196" t="s">
        <v>772</v>
      </c>
      <c r="Y265" s="196" t="s">
        <v>773</v>
      </c>
      <c r="Z265" s="196" t="s">
        <v>774</v>
      </c>
      <c r="AA265" s="196" t="s">
        <v>775</v>
      </c>
      <c r="AB265" s="196" t="s">
        <v>776</v>
      </c>
      <c r="AC265" s="196" t="s">
        <v>777</v>
      </c>
      <c r="AD265" s="196" t="s">
        <v>778</v>
      </c>
      <c r="AE265" s="196" t="s">
        <v>779</v>
      </c>
      <c r="AF265" s="196" t="s">
        <v>780</v>
      </c>
      <c r="AG265" s="196" t="s">
        <v>781</v>
      </c>
      <c r="AH265" s="196" t="s">
        <v>782</v>
      </c>
      <c r="AI265" s="196" t="s">
        <v>783</v>
      </c>
      <c r="AJ265" s="196" t="s">
        <v>784</v>
      </c>
      <c r="AK265" s="196" t="s">
        <v>785</v>
      </c>
      <c r="AL265" s="196" t="s">
        <v>786</v>
      </c>
      <c r="AM265" s="196" t="s">
        <v>787</v>
      </c>
      <c r="AN265" s="196" t="s">
        <v>788</v>
      </c>
    </row>
    <row r="266" spans="2:40" s="7" customFormat="1" ht="12" hidden="1" customHeight="1" outlineLevel="2">
      <c r="B266" s="239"/>
      <c r="C266" s="247" t="s">
        <v>851</v>
      </c>
      <c r="D266" s="212"/>
      <c r="E266" s="345">
        <v>7.0000000000000007E-2</v>
      </c>
      <c r="F266" s="345">
        <v>7.0000000000000007E-2</v>
      </c>
      <c r="G266" s="345">
        <v>7.0000000000000007E-2</v>
      </c>
      <c r="H266" s="345">
        <v>0.06</v>
      </c>
      <c r="I266" s="345">
        <v>0.06</v>
      </c>
      <c r="J266" s="345">
        <v>0.06</v>
      </c>
      <c r="K266" s="345">
        <v>0.05</v>
      </c>
      <c r="L266" s="345">
        <v>0.05</v>
      </c>
      <c r="M266" s="345">
        <v>0.05</v>
      </c>
      <c r="N266" s="345">
        <v>0.04</v>
      </c>
      <c r="O266" s="345">
        <v>0.04</v>
      </c>
      <c r="P266" s="345">
        <v>0.04</v>
      </c>
      <c r="Q266" s="345">
        <v>0.03</v>
      </c>
      <c r="R266" s="345">
        <v>0.03</v>
      </c>
      <c r="S266" s="345">
        <v>0.03</v>
      </c>
      <c r="T266" s="345">
        <v>0.02</v>
      </c>
      <c r="U266" s="345">
        <v>0.02</v>
      </c>
      <c r="V266" s="345">
        <v>0.02</v>
      </c>
      <c r="W266" s="345">
        <v>0.01</v>
      </c>
      <c r="X266" s="345">
        <v>0.01</v>
      </c>
      <c r="Y266" s="345">
        <v>0.01</v>
      </c>
      <c r="Z266" s="345">
        <v>0.01</v>
      </c>
      <c r="AA266" s="345">
        <v>0.01</v>
      </c>
      <c r="AB266" s="345">
        <v>0.01</v>
      </c>
      <c r="AC266" s="345">
        <v>0.01</v>
      </c>
      <c r="AD266" s="345">
        <f t="shared" ref="AD266:AN266" si="182">AC266</f>
        <v>0.01</v>
      </c>
      <c r="AE266" s="345">
        <f t="shared" si="182"/>
        <v>0.01</v>
      </c>
      <c r="AF266" s="345">
        <f t="shared" si="182"/>
        <v>0.01</v>
      </c>
      <c r="AG266" s="345">
        <f t="shared" si="182"/>
        <v>0.01</v>
      </c>
      <c r="AH266" s="345">
        <f t="shared" si="182"/>
        <v>0.01</v>
      </c>
      <c r="AI266" s="345">
        <f t="shared" si="182"/>
        <v>0.01</v>
      </c>
      <c r="AJ266" s="345">
        <f t="shared" si="182"/>
        <v>0.01</v>
      </c>
      <c r="AK266" s="345">
        <f t="shared" si="182"/>
        <v>0.01</v>
      </c>
      <c r="AL266" s="345">
        <f t="shared" si="182"/>
        <v>0.01</v>
      </c>
      <c r="AM266" s="345">
        <f t="shared" si="182"/>
        <v>0.01</v>
      </c>
      <c r="AN266" s="345">
        <f t="shared" si="182"/>
        <v>0.01</v>
      </c>
    </row>
    <row r="267" spans="2:40" s="7" customFormat="1" ht="12" hidden="1" customHeight="1" outlineLevel="2">
      <c r="B267" s="239"/>
      <c r="C267" s="212" t="s">
        <v>861</v>
      </c>
      <c r="D267" s="212"/>
      <c r="E267" s="211"/>
      <c r="F267" s="211"/>
      <c r="G267" s="211"/>
      <c r="H267" s="211"/>
      <c r="I267" s="211"/>
      <c r="J267" s="211"/>
      <c r="K267" s="211"/>
      <c r="L267" s="211"/>
      <c r="M267" s="211"/>
      <c r="N267" s="211"/>
      <c r="O267" s="211"/>
      <c r="P267" s="211"/>
      <c r="Q267" s="211"/>
      <c r="R267" s="211"/>
      <c r="S267" s="211"/>
      <c r="T267" s="211"/>
      <c r="U267" s="211"/>
      <c r="V267" s="211"/>
      <c r="W267" s="211"/>
      <c r="X267" s="211"/>
      <c r="Y267" s="211"/>
      <c r="Z267" s="211"/>
      <c r="AA267" s="211"/>
      <c r="AB267" s="211"/>
      <c r="AC267" s="211"/>
      <c r="AD267" s="211"/>
      <c r="AE267" s="211"/>
      <c r="AF267" s="211"/>
      <c r="AG267" s="211"/>
      <c r="AH267" s="211"/>
      <c r="AI267" s="211"/>
      <c r="AJ267" s="211"/>
      <c r="AK267" s="211"/>
      <c r="AL267" s="211"/>
      <c r="AM267" s="211"/>
      <c r="AN267" s="211"/>
    </row>
    <row r="268" spans="2:40" s="7" customFormat="1" ht="12" hidden="1" customHeight="1" outlineLevel="2">
      <c r="B268" s="245"/>
      <c r="C268" s="250" t="s">
        <v>753</v>
      </c>
      <c r="D268" s="250"/>
      <c r="E268" s="211">
        <f>INDEX($C$199:$AN$221,MATCH("New Customers 1MS",$C$199:$C$221,0),MATCH($C268,$C$199:$AN$199,0))</f>
        <v>0</v>
      </c>
      <c r="F268" s="211">
        <f t="shared" ref="F268:AN268" si="183">$E$268*(E266)</f>
        <v>0</v>
      </c>
      <c r="G268" s="211">
        <f t="shared" si="183"/>
        <v>0</v>
      </c>
      <c r="H268" s="211">
        <f t="shared" si="183"/>
        <v>0</v>
      </c>
      <c r="I268" s="211">
        <f t="shared" si="183"/>
        <v>0</v>
      </c>
      <c r="J268" s="211">
        <f t="shared" si="183"/>
        <v>0</v>
      </c>
      <c r="K268" s="211">
        <f t="shared" si="183"/>
        <v>0</v>
      </c>
      <c r="L268" s="211">
        <f t="shared" si="183"/>
        <v>0</v>
      </c>
      <c r="M268" s="211">
        <f t="shared" si="183"/>
        <v>0</v>
      </c>
      <c r="N268" s="211">
        <f t="shared" si="183"/>
        <v>0</v>
      </c>
      <c r="O268" s="211">
        <f t="shared" si="183"/>
        <v>0</v>
      </c>
      <c r="P268" s="211">
        <f t="shared" si="183"/>
        <v>0</v>
      </c>
      <c r="Q268" s="211">
        <f t="shared" si="183"/>
        <v>0</v>
      </c>
      <c r="R268" s="211">
        <f t="shared" si="183"/>
        <v>0</v>
      </c>
      <c r="S268" s="211">
        <f t="shared" si="183"/>
        <v>0</v>
      </c>
      <c r="T268" s="211">
        <f t="shared" si="183"/>
        <v>0</v>
      </c>
      <c r="U268" s="211">
        <f t="shared" si="183"/>
        <v>0</v>
      </c>
      <c r="V268" s="211">
        <f t="shared" si="183"/>
        <v>0</v>
      </c>
      <c r="W268" s="211">
        <f t="shared" si="183"/>
        <v>0</v>
      </c>
      <c r="X268" s="211">
        <f t="shared" si="183"/>
        <v>0</v>
      </c>
      <c r="Y268" s="211">
        <f t="shared" si="183"/>
        <v>0</v>
      </c>
      <c r="Z268" s="211">
        <f t="shared" si="183"/>
        <v>0</v>
      </c>
      <c r="AA268" s="211">
        <f t="shared" si="183"/>
        <v>0</v>
      </c>
      <c r="AB268" s="211">
        <f t="shared" si="183"/>
        <v>0</v>
      </c>
      <c r="AC268" s="211">
        <f t="shared" si="183"/>
        <v>0</v>
      </c>
      <c r="AD268" s="211">
        <f t="shared" si="183"/>
        <v>0</v>
      </c>
      <c r="AE268" s="211">
        <f t="shared" si="183"/>
        <v>0</v>
      </c>
      <c r="AF268" s="211">
        <f t="shared" si="183"/>
        <v>0</v>
      </c>
      <c r="AG268" s="211">
        <f t="shared" si="183"/>
        <v>0</v>
      </c>
      <c r="AH268" s="211">
        <f t="shared" si="183"/>
        <v>0</v>
      </c>
      <c r="AI268" s="211">
        <f t="shared" si="183"/>
        <v>0</v>
      </c>
      <c r="AJ268" s="211">
        <f t="shared" si="183"/>
        <v>0</v>
      </c>
      <c r="AK268" s="211">
        <f t="shared" si="183"/>
        <v>0</v>
      </c>
      <c r="AL268" s="211">
        <f t="shared" si="183"/>
        <v>0</v>
      </c>
      <c r="AM268" s="211">
        <f t="shared" si="183"/>
        <v>0</v>
      </c>
      <c r="AN268" s="211">
        <f t="shared" si="183"/>
        <v>0</v>
      </c>
    </row>
    <row r="269" spans="2:40" s="7" customFormat="1" ht="12" hidden="1" customHeight="1" outlineLevel="2">
      <c r="B269" s="245"/>
      <c r="C269" s="250" t="s">
        <v>754</v>
      </c>
      <c r="D269" s="250"/>
      <c r="E269" s="213"/>
      <c r="F269" s="211">
        <f>INDEX($C$199:$AN$221,MATCH("New Customers 1MS",$C$199:$C$221,0),MATCH($C269,$C$199:$AN$199,0))</f>
        <v>1.9999999999999987</v>
      </c>
      <c r="G269" s="211">
        <f t="shared" ref="G269:AN269" si="184">$F$269*(E266)</f>
        <v>0.13999999999999993</v>
      </c>
      <c r="H269" s="211">
        <f t="shared" si="184"/>
        <v>0.13999999999999993</v>
      </c>
      <c r="I269" s="211">
        <f t="shared" si="184"/>
        <v>0.13999999999999993</v>
      </c>
      <c r="J269" s="211">
        <f t="shared" si="184"/>
        <v>0.11999999999999991</v>
      </c>
      <c r="K269" s="211">
        <f t="shared" si="184"/>
        <v>0.11999999999999991</v>
      </c>
      <c r="L269" s="211">
        <f t="shared" si="184"/>
        <v>0.11999999999999991</v>
      </c>
      <c r="M269" s="211">
        <f t="shared" si="184"/>
        <v>9.9999999999999936E-2</v>
      </c>
      <c r="N269" s="211">
        <f t="shared" si="184"/>
        <v>9.9999999999999936E-2</v>
      </c>
      <c r="O269" s="211">
        <f t="shared" si="184"/>
        <v>9.9999999999999936E-2</v>
      </c>
      <c r="P269" s="211">
        <f t="shared" si="184"/>
        <v>7.9999999999999946E-2</v>
      </c>
      <c r="Q269" s="211">
        <f t="shared" si="184"/>
        <v>7.9999999999999946E-2</v>
      </c>
      <c r="R269" s="211">
        <f t="shared" si="184"/>
        <v>7.9999999999999946E-2</v>
      </c>
      <c r="S269" s="211">
        <f t="shared" si="184"/>
        <v>5.9999999999999956E-2</v>
      </c>
      <c r="T269" s="211">
        <f t="shared" si="184"/>
        <v>5.9999999999999956E-2</v>
      </c>
      <c r="U269" s="211">
        <f t="shared" si="184"/>
        <v>5.9999999999999956E-2</v>
      </c>
      <c r="V269" s="211">
        <f t="shared" si="184"/>
        <v>3.9999999999999973E-2</v>
      </c>
      <c r="W269" s="211">
        <f t="shared" si="184"/>
        <v>3.9999999999999973E-2</v>
      </c>
      <c r="X269" s="211">
        <f t="shared" si="184"/>
        <v>3.9999999999999973E-2</v>
      </c>
      <c r="Y269" s="211">
        <f t="shared" si="184"/>
        <v>1.9999999999999987E-2</v>
      </c>
      <c r="Z269" s="211">
        <f t="shared" si="184"/>
        <v>1.9999999999999987E-2</v>
      </c>
      <c r="AA269" s="211">
        <f t="shared" si="184"/>
        <v>1.9999999999999987E-2</v>
      </c>
      <c r="AB269" s="211">
        <f t="shared" si="184"/>
        <v>1.9999999999999987E-2</v>
      </c>
      <c r="AC269" s="211">
        <f t="shared" si="184"/>
        <v>1.9999999999999987E-2</v>
      </c>
      <c r="AD269" s="211">
        <f t="shared" si="184"/>
        <v>1.9999999999999987E-2</v>
      </c>
      <c r="AE269" s="211">
        <f t="shared" si="184"/>
        <v>1.9999999999999987E-2</v>
      </c>
      <c r="AF269" s="211">
        <f t="shared" si="184"/>
        <v>1.9999999999999987E-2</v>
      </c>
      <c r="AG269" s="211">
        <f t="shared" si="184"/>
        <v>1.9999999999999987E-2</v>
      </c>
      <c r="AH269" s="211">
        <f t="shared" si="184"/>
        <v>1.9999999999999987E-2</v>
      </c>
      <c r="AI269" s="211">
        <f t="shared" si="184"/>
        <v>1.9999999999999987E-2</v>
      </c>
      <c r="AJ269" s="211">
        <f t="shared" si="184"/>
        <v>1.9999999999999987E-2</v>
      </c>
      <c r="AK269" s="211">
        <f t="shared" si="184"/>
        <v>1.9999999999999987E-2</v>
      </c>
      <c r="AL269" s="211">
        <f t="shared" si="184"/>
        <v>1.9999999999999987E-2</v>
      </c>
      <c r="AM269" s="211">
        <f t="shared" si="184"/>
        <v>1.9999999999999987E-2</v>
      </c>
      <c r="AN269" s="211">
        <f t="shared" si="184"/>
        <v>1.9999999999999987E-2</v>
      </c>
    </row>
    <row r="270" spans="2:40" s="7" customFormat="1" ht="12" hidden="1" customHeight="1" outlineLevel="2">
      <c r="B270" s="245"/>
      <c r="C270" s="250" t="s">
        <v>755</v>
      </c>
      <c r="D270" s="250"/>
      <c r="E270" s="213"/>
      <c r="F270" s="213"/>
      <c r="G270" s="211">
        <f>INDEX($C$199:$AN$221,MATCH("New Customers 1MS",$C$199:$C$221,0),MATCH($C270,$C$199:$AN$199,0))</f>
        <v>0</v>
      </c>
      <c r="H270" s="211">
        <f t="shared" ref="H270:AN270" si="185">$G$270*(E266)</f>
        <v>0</v>
      </c>
      <c r="I270" s="211">
        <f t="shared" si="185"/>
        <v>0</v>
      </c>
      <c r="J270" s="211">
        <f t="shared" si="185"/>
        <v>0</v>
      </c>
      <c r="K270" s="211">
        <f t="shared" si="185"/>
        <v>0</v>
      </c>
      <c r="L270" s="211">
        <f t="shared" si="185"/>
        <v>0</v>
      </c>
      <c r="M270" s="211">
        <f t="shared" si="185"/>
        <v>0</v>
      </c>
      <c r="N270" s="211">
        <f t="shared" si="185"/>
        <v>0</v>
      </c>
      <c r="O270" s="211">
        <f t="shared" si="185"/>
        <v>0</v>
      </c>
      <c r="P270" s="211">
        <f t="shared" si="185"/>
        <v>0</v>
      </c>
      <c r="Q270" s="211">
        <f t="shared" si="185"/>
        <v>0</v>
      </c>
      <c r="R270" s="211">
        <f t="shared" si="185"/>
        <v>0</v>
      </c>
      <c r="S270" s="211">
        <f t="shared" si="185"/>
        <v>0</v>
      </c>
      <c r="T270" s="211">
        <f t="shared" si="185"/>
        <v>0</v>
      </c>
      <c r="U270" s="211">
        <f t="shared" si="185"/>
        <v>0</v>
      </c>
      <c r="V270" s="211">
        <f t="shared" si="185"/>
        <v>0</v>
      </c>
      <c r="W270" s="211">
        <f t="shared" si="185"/>
        <v>0</v>
      </c>
      <c r="X270" s="211">
        <f t="shared" si="185"/>
        <v>0</v>
      </c>
      <c r="Y270" s="211">
        <f t="shared" si="185"/>
        <v>0</v>
      </c>
      <c r="Z270" s="211">
        <f t="shared" si="185"/>
        <v>0</v>
      </c>
      <c r="AA270" s="211">
        <f t="shared" si="185"/>
        <v>0</v>
      </c>
      <c r="AB270" s="211">
        <f t="shared" si="185"/>
        <v>0</v>
      </c>
      <c r="AC270" s="211">
        <f t="shared" si="185"/>
        <v>0</v>
      </c>
      <c r="AD270" s="211">
        <f t="shared" si="185"/>
        <v>0</v>
      </c>
      <c r="AE270" s="211">
        <f t="shared" si="185"/>
        <v>0</v>
      </c>
      <c r="AF270" s="211">
        <f t="shared" si="185"/>
        <v>0</v>
      </c>
      <c r="AG270" s="211">
        <f t="shared" si="185"/>
        <v>0</v>
      </c>
      <c r="AH270" s="211">
        <f t="shared" si="185"/>
        <v>0</v>
      </c>
      <c r="AI270" s="211">
        <f t="shared" si="185"/>
        <v>0</v>
      </c>
      <c r="AJ270" s="211">
        <f t="shared" si="185"/>
        <v>0</v>
      </c>
      <c r="AK270" s="211">
        <f t="shared" si="185"/>
        <v>0</v>
      </c>
      <c r="AL270" s="211">
        <f t="shared" si="185"/>
        <v>0</v>
      </c>
      <c r="AM270" s="211">
        <f t="shared" si="185"/>
        <v>0</v>
      </c>
      <c r="AN270" s="211">
        <f t="shared" si="185"/>
        <v>0</v>
      </c>
    </row>
    <row r="271" spans="2:40" s="7" customFormat="1" ht="12" hidden="1" customHeight="1" outlineLevel="2">
      <c r="B271" s="245"/>
      <c r="C271" s="250" t="s">
        <v>756</v>
      </c>
      <c r="D271" s="250"/>
      <c r="E271" s="213"/>
      <c r="F271" s="213"/>
      <c r="G271" s="213"/>
      <c r="H271" s="211">
        <f>INDEX($C$199:$AN$221,MATCH("New Customers 1MS",$C$199:$C$221,0),MATCH($C271,$C$199:$AN$199,0))</f>
        <v>1.9999999999999996</v>
      </c>
      <c r="I271" s="211">
        <f t="shared" ref="I271:AN271" si="186">$H$271*(E266)</f>
        <v>0.13999999999999999</v>
      </c>
      <c r="J271" s="211">
        <f t="shared" si="186"/>
        <v>0.13999999999999999</v>
      </c>
      <c r="K271" s="211">
        <f t="shared" si="186"/>
        <v>0.13999999999999999</v>
      </c>
      <c r="L271" s="211">
        <f t="shared" si="186"/>
        <v>0.11999999999999997</v>
      </c>
      <c r="M271" s="211">
        <f t="shared" si="186"/>
        <v>0.11999999999999997</v>
      </c>
      <c r="N271" s="211">
        <f t="shared" si="186"/>
        <v>0.11999999999999997</v>
      </c>
      <c r="O271" s="211">
        <f t="shared" si="186"/>
        <v>9.9999999999999978E-2</v>
      </c>
      <c r="P271" s="211">
        <f t="shared" si="186"/>
        <v>9.9999999999999978E-2</v>
      </c>
      <c r="Q271" s="211">
        <f t="shared" si="186"/>
        <v>9.9999999999999978E-2</v>
      </c>
      <c r="R271" s="211">
        <f t="shared" si="186"/>
        <v>7.9999999999999988E-2</v>
      </c>
      <c r="S271" s="211">
        <f t="shared" si="186"/>
        <v>7.9999999999999988E-2</v>
      </c>
      <c r="T271" s="211">
        <f t="shared" si="186"/>
        <v>7.9999999999999988E-2</v>
      </c>
      <c r="U271" s="211">
        <f t="shared" si="186"/>
        <v>5.9999999999999984E-2</v>
      </c>
      <c r="V271" s="211">
        <f t="shared" si="186"/>
        <v>5.9999999999999984E-2</v>
      </c>
      <c r="W271" s="211">
        <f t="shared" si="186"/>
        <v>5.9999999999999984E-2</v>
      </c>
      <c r="X271" s="211">
        <f t="shared" si="186"/>
        <v>3.9999999999999994E-2</v>
      </c>
      <c r="Y271" s="211">
        <f t="shared" si="186"/>
        <v>3.9999999999999994E-2</v>
      </c>
      <c r="Z271" s="211">
        <f t="shared" si="186"/>
        <v>3.9999999999999994E-2</v>
      </c>
      <c r="AA271" s="211">
        <f t="shared" si="186"/>
        <v>1.9999999999999997E-2</v>
      </c>
      <c r="AB271" s="211">
        <f t="shared" si="186"/>
        <v>1.9999999999999997E-2</v>
      </c>
      <c r="AC271" s="211">
        <f t="shared" si="186"/>
        <v>1.9999999999999997E-2</v>
      </c>
      <c r="AD271" s="211">
        <f t="shared" si="186"/>
        <v>1.9999999999999997E-2</v>
      </c>
      <c r="AE271" s="211">
        <f t="shared" si="186"/>
        <v>1.9999999999999997E-2</v>
      </c>
      <c r="AF271" s="211">
        <f t="shared" si="186"/>
        <v>1.9999999999999997E-2</v>
      </c>
      <c r="AG271" s="211">
        <f t="shared" si="186"/>
        <v>1.9999999999999997E-2</v>
      </c>
      <c r="AH271" s="211">
        <f t="shared" si="186"/>
        <v>1.9999999999999997E-2</v>
      </c>
      <c r="AI271" s="211">
        <f t="shared" si="186"/>
        <v>1.9999999999999997E-2</v>
      </c>
      <c r="AJ271" s="211">
        <f t="shared" si="186"/>
        <v>1.9999999999999997E-2</v>
      </c>
      <c r="AK271" s="211">
        <f t="shared" si="186"/>
        <v>1.9999999999999997E-2</v>
      </c>
      <c r="AL271" s="211">
        <f t="shared" si="186"/>
        <v>1.9999999999999997E-2</v>
      </c>
      <c r="AM271" s="211">
        <f t="shared" si="186"/>
        <v>1.9999999999999997E-2</v>
      </c>
      <c r="AN271" s="211">
        <f t="shared" si="186"/>
        <v>1.9999999999999997E-2</v>
      </c>
    </row>
    <row r="272" spans="2:40" s="7" customFormat="1" ht="12" hidden="1" customHeight="1" outlineLevel="2">
      <c r="B272" s="245"/>
      <c r="C272" s="250" t="s">
        <v>757</v>
      </c>
      <c r="D272" s="250"/>
      <c r="E272" s="213"/>
      <c r="F272" s="213"/>
      <c r="G272" s="213"/>
      <c r="H272" s="213"/>
      <c r="I272" s="211">
        <f>INDEX($C$199:$AN$221,MATCH("New Customers 1MS",$C$199:$C$221,0),MATCH($C272,$C$199:$AN$199,0))</f>
        <v>0</v>
      </c>
      <c r="J272" s="211">
        <f t="shared" ref="J272:AN272" si="187">$I$272*(E266)</f>
        <v>0</v>
      </c>
      <c r="K272" s="211">
        <f t="shared" si="187"/>
        <v>0</v>
      </c>
      <c r="L272" s="211">
        <f t="shared" si="187"/>
        <v>0</v>
      </c>
      <c r="M272" s="211">
        <f t="shared" si="187"/>
        <v>0</v>
      </c>
      <c r="N272" s="211">
        <f t="shared" si="187"/>
        <v>0</v>
      </c>
      <c r="O272" s="211">
        <f t="shared" si="187"/>
        <v>0</v>
      </c>
      <c r="P272" s="211">
        <f t="shared" si="187"/>
        <v>0</v>
      </c>
      <c r="Q272" s="211">
        <f t="shared" si="187"/>
        <v>0</v>
      </c>
      <c r="R272" s="211">
        <f t="shared" si="187"/>
        <v>0</v>
      </c>
      <c r="S272" s="211">
        <f t="shared" si="187"/>
        <v>0</v>
      </c>
      <c r="T272" s="211">
        <f t="shared" si="187"/>
        <v>0</v>
      </c>
      <c r="U272" s="211">
        <f t="shared" si="187"/>
        <v>0</v>
      </c>
      <c r="V272" s="211">
        <f t="shared" si="187"/>
        <v>0</v>
      </c>
      <c r="W272" s="211">
        <f t="shared" si="187"/>
        <v>0</v>
      </c>
      <c r="X272" s="211">
        <f t="shared" si="187"/>
        <v>0</v>
      </c>
      <c r="Y272" s="211">
        <f t="shared" si="187"/>
        <v>0</v>
      </c>
      <c r="Z272" s="211">
        <f t="shared" si="187"/>
        <v>0</v>
      </c>
      <c r="AA272" s="211">
        <f t="shared" si="187"/>
        <v>0</v>
      </c>
      <c r="AB272" s="211">
        <f t="shared" si="187"/>
        <v>0</v>
      </c>
      <c r="AC272" s="211">
        <f t="shared" si="187"/>
        <v>0</v>
      </c>
      <c r="AD272" s="211">
        <f t="shared" si="187"/>
        <v>0</v>
      </c>
      <c r="AE272" s="211">
        <f t="shared" si="187"/>
        <v>0</v>
      </c>
      <c r="AF272" s="211">
        <f t="shared" si="187"/>
        <v>0</v>
      </c>
      <c r="AG272" s="211">
        <f t="shared" si="187"/>
        <v>0</v>
      </c>
      <c r="AH272" s="211">
        <f t="shared" si="187"/>
        <v>0</v>
      </c>
      <c r="AI272" s="211">
        <f t="shared" si="187"/>
        <v>0</v>
      </c>
      <c r="AJ272" s="211">
        <f t="shared" si="187"/>
        <v>0</v>
      </c>
      <c r="AK272" s="211">
        <f t="shared" si="187"/>
        <v>0</v>
      </c>
      <c r="AL272" s="211">
        <f t="shared" si="187"/>
        <v>0</v>
      </c>
      <c r="AM272" s="211">
        <f t="shared" si="187"/>
        <v>0</v>
      </c>
      <c r="AN272" s="211">
        <f t="shared" si="187"/>
        <v>0</v>
      </c>
    </row>
    <row r="273" spans="2:40" s="7" customFormat="1" ht="12" hidden="1" customHeight="1" outlineLevel="2">
      <c r="B273" s="245"/>
      <c r="C273" s="250" t="s">
        <v>758</v>
      </c>
      <c r="D273" s="250"/>
      <c r="E273" s="213"/>
      <c r="F273" s="213"/>
      <c r="G273" s="213"/>
      <c r="H273" s="213"/>
      <c r="I273" s="213"/>
      <c r="J273" s="211">
        <f>INDEX($C$199:$AN$221,MATCH("New Customers 1MS",$C$199:$C$221,0),MATCH($C273,$C$199:$AN$199,0))</f>
        <v>0</v>
      </c>
      <c r="K273" s="211">
        <f t="shared" ref="K273:AN273" si="188">$J$273*(E266)</f>
        <v>0</v>
      </c>
      <c r="L273" s="211">
        <f t="shared" si="188"/>
        <v>0</v>
      </c>
      <c r="M273" s="211">
        <f t="shared" si="188"/>
        <v>0</v>
      </c>
      <c r="N273" s="211">
        <f t="shared" si="188"/>
        <v>0</v>
      </c>
      <c r="O273" s="211">
        <f t="shared" si="188"/>
        <v>0</v>
      </c>
      <c r="P273" s="211">
        <f t="shared" si="188"/>
        <v>0</v>
      </c>
      <c r="Q273" s="211">
        <f t="shared" si="188"/>
        <v>0</v>
      </c>
      <c r="R273" s="211">
        <f t="shared" si="188"/>
        <v>0</v>
      </c>
      <c r="S273" s="211">
        <f t="shared" si="188"/>
        <v>0</v>
      </c>
      <c r="T273" s="211">
        <f t="shared" si="188"/>
        <v>0</v>
      </c>
      <c r="U273" s="211">
        <f t="shared" si="188"/>
        <v>0</v>
      </c>
      <c r="V273" s="211">
        <f t="shared" si="188"/>
        <v>0</v>
      </c>
      <c r="W273" s="211">
        <f t="shared" si="188"/>
        <v>0</v>
      </c>
      <c r="X273" s="211">
        <f t="shared" si="188"/>
        <v>0</v>
      </c>
      <c r="Y273" s="211">
        <f t="shared" si="188"/>
        <v>0</v>
      </c>
      <c r="Z273" s="211">
        <f t="shared" si="188"/>
        <v>0</v>
      </c>
      <c r="AA273" s="211">
        <f t="shared" si="188"/>
        <v>0</v>
      </c>
      <c r="AB273" s="211">
        <f t="shared" si="188"/>
        <v>0</v>
      </c>
      <c r="AC273" s="211">
        <f t="shared" si="188"/>
        <v>0</v>
      </c>
      <c r="AD273" s="211">
        <f t="shared" si="188"/>
        <v>0</v>
      </c>
      <c r="AE273" s="211">
        <f t="shared" si="188"/>
        <v>0</v>
      </c>
      <c r="AF273" s="211">
        <f t="shared" si="188"/>
        <v>0</v>
      </c>
      <c r="AG273" s="211">
        <f t="shared" si="188"/>
        <v>0</v>
      </c>
      <c r="AH273" s="211">
        <f t="shared" si="188"/>
        <v>0</v>
      </c>
      <c r="AI273" s="211">
        <f t="shared" si="188"/>
        <v>0</v>
      </c>
      <c r="AJ273" s="211">
        <f t="shared" si="188"/>
        <v>0</v>
      </c>
      <c r="AK273" s="211">
        <f t="shared" si="188"/>
        <v>0</v>
      </c>
      <c r="AL273" s="211">
        <f t="shared" si="188"/>
        <v>0</v>
      </c>
      <c r="AM273" s="211">
        <f t="shared" si="188"/>
        <v>0</v>
      </c>
      <c r="AN273" s="211">
        <f t="shared" si="188"/>
        <v>0</v>
      </c>
    </row>
    <row r="274" spans="2:40" s="7" customFormat="1" ht="12" hidden="1" customHeight="1" outlineLevel="2">
      <c r="B274" s="245"/>
      <c r="C274" s="250" t="s">
        <v>759</v>
      </c>
      <c r="D274" s="250"/>
      <c r="E274" s="213"/>
      <c r="F274" s="213"/>
      <c r="G274" s="213"/>
      <c r="H274" s="213"/>
      <c r="I274" s="213"/>
      <c r="J274" s="213"/>
      <c r="K274" s="211">
        <f>INDEX($C$199:$AN$221,MATCH("New Customers 1MS",$C$199:$C$221,0),MATCH($C274,$C$199:$AN$199,0))</f>
        <v>1</v>
      </c>
      <c r="L274" s="211">
        <f t="shared" ref="L274:AN274" si="189">$K$274*(E266)</f>
        <v>7.0000000000000007E-2</v>
      </c>
      <c r="M274" s="211">
        <f t="shared" si="189"/>
        <v>7.0000000000000007E-2</v>
      </c>
      <c r="N274" s="211">
        <f t="shared" si="189"/>
        <v>7.0000000000000007E-2</v>
      </c>
      <c r="O274" s="211">
        <f t="shared" si="189"/>
        <v>0.06</v>
      </c>
      <c r="P274" s="211">
        <f t="shared" si="189"/>
        <v>0.06</v>
      </c>
      <c r="Q274" s="211">
        <f t="shared" si="189"/>
        <v>0.06</v>
      </c>
      <c r="R274" s="211">
        <f t="shared" si="189"/>
        <v>0.05</v>
      </c>
      <c r="S274" s="211">
        <f t="shared" si="189"/>
        <v>0.05</v>
      </c>
      <c r="T274" s="211">
        <f t="shared" si="189"/>
        <v>0.05</v>
      </c>
      <c r="U274" s="211">
        <f t="shared" si="189"/>
        <v>0.04</v>
      </c>
      <c r="V274" s="211">
        <f t="shared" si="189"/>
        <v>0.04</v>
      </c>
      <c r="W274" s="211">
        <f t="shared" si="189"/>
        <v>0.04</v>
      </c>
      <c r="X274" s="211">
        <f t="shared" si="189"/>
        <v>0.03</v>
      </c>
      <c r="Y274" s="211">
        <f t="shared" si="189"/>
        <v>0.03</v>
      </c>
      <c r="Z274" s="211">
        <f t="shared" si="189"/>
        <v>0.03</v>
      </c>
      <c r="AA274" s="211">
        <f t="shared" si="189"/>
        <v>0.02</v>
      </c>
      <c r="AB274" s="211">
        <f t="shared" si="189"/>
        <v>0.02</v>
      </c>
      <c r="AC274" s="211">
        <f t="shared" si="189"/>
        <v>0.02</v>
      </c>
      <c r="AD274" s="211">
        <f t="shared" si="189"/>
        <v>0.01</v>
      </c>
      <c r="AE274" s="211">
        <f t="shared" si="189"/>
        <v>0.01</v>
      </c>
      <c r="AF274" s="211">
        <f t="shared" si="189"/>
        <v>0.01</v>
      </c>
      <c r="AG274" s="211">
        <f t="shared" si="189"/>
        <v>0.01</v>
      </c>
      <c r="AH274" s="211">
        <f t="shared" si="189"/>
        <v>0.01</v>
      </c>
      <c r="AI274" s="211">
        <f t="shared" si="189"/>
        <v>0.01</v>
      </c>
      <c r="AJ274" s="211">
        <f t="shared" si="189"/>
        <v>0.01</v>
      </c>
      <c r="AK274" s="211">
        <f t="shared" si="189"/>
        <v>0.01</v>
      </c>
      <c r="AL274" s="211">
        <f t="shared" si="189"/>
        <v>0.01</v>
      </c>
      <c r="AM274" s="211">
        <f t="shared" si="189"/>
        <v>0.01</v>
      </c>
      <c r="AN274" s="211">
        <f t="shared" si="189"/>
        <v>0.01</v>
      </c>
    </row>
    <row r="275" spans="2:40" s="7" customFormat="1" ht="12" hidden="1" customHeight="1" outlineLevel="2">
      <c r="B275" s="245"/>
      <c r="C275" s="250" t="s">
        <v>760</v>
      </c>
      <c r="D275" s="250"/>
      <c r="E275" s="213"/>
      <c r="F275" s="213"/>
      <c r="G275" s="346"/>
      <c r="H275" s="213"/>
      <c r="I275" s="213"/>
      <c r="J275" s="213"/>
      <c r="K275" s="213"/>
      <c r="L275" s="211">
        <f>INDEX($C$199:$AN$221,MATCH("New Customers 1MS",$C$199:$C$221,0),MATCH($C275,$C$199:$AN$199,0))</f>
        <v>0</v>
      </c>
      <c r="M275" s="211">
        <f t="shared" ref="M275:AN275" si="190">$L$275*(E266)</f>
        <v>0</v>
      </c>
      <c r="N275" s="211">
        <f t="shared" si="190"/>
        <v>0</v>
      </c>
      <c r="O275" s="211">
        <f t="shared" si="190"/>
        <v>0</v>
      </c>
      <c r="P275" s="211">
        <f t="shared" si="190"/>
        <v>0</v>
      </c>
      <c r="Q275" s="211">
        <f t="shared" si="190"/>
        <v>0</v>
      </c>
      <c r="R275" s="211">
        <f t="shared" si="190"/>
        <v>0</v>
      </c>
      <c r="S275" s="211">
        <f t="shared" si="190"/>
        <v>0</v>
      </c>
      <c r="T275" s="211">
        <f t="shared" si="190"/>
        <v>0</v>
      </c>
      <c r="U275" s="211">
        <f t="shared" si="190"/>
        <v>0</v>
      </c>
      <c r="V275" s="211">
        <f t="shared" si="190"/>
        <v>0</v>
      </c>
      <c r="W275" s="211">
        <f t="shared" si="190"/>
        <v>0</v>
      </c>
      <c r="X275" s="211">
        <f t="shared" si="190"/>
        <v>0</v>
      </c>
      <c r="Y275" s="211">
        <f t="shared" si="190"/>
        <v>0</v>
      </c>
      <c r="Z275" s="211">
        <f t="shared" si="190"/>
        <v>0</v>
      </c>
      <c r="AA275" s="211">
        <f t="shared" si="190"/>
        <v>0</v>
      </c>
      <c r="AB275" s="211">
        <f t="shared" si="190"/>
        <v>0</v>
      </c>
      <c r="AC275" s="211">
        <f t="shared" si="190"/>
        <v>0</v>
      </c>
      <c r="AD275" s="211">
        <f t="shared" si="190"/>
        <v>0</v>
      </c>
      <c r="AE275" s="211">
        <f t="shared" si="190"/>
        <v>0</v>
      </c>
      <c r="AF275" s="211">
        <f t="shared" si="190"/>
        <v>0</v>
      </c>
      <c r="AG275" s="211">
        <f t="shared" si="190"/>
        <v>0</v>
      </c>
      <c r="AH275" s="211">
        <f t="shared" si="190"/>
        <v>0</v>
      </c>
      <c r="AI275" s="211">
        <f t="shared" si="190"/>
        <v>0</v>
      </c>
      <c r="AJ275" s="211">
        <f t="shared" si="190"/>
        <v>0</v>
      </c>
      <c r="AK275" s="211">
        <f t="shared" si="190"/>
        <v>0</v>
      </c>
      <c r="AL275" s="211">
        <f t="shared" si="190"/>
        <v>0</v>
      </c>
      <c r="AM275" s="211">
        <f t="shared" si="190"/>
        <v>0</v>
      </c>
      <c r="AN275" s="211">
        <f t="shared" si="190"/>
        <v>0</v>
      </c>
    </row>
    <row r="276" spans="2:40" s="7" customFormat="1" ht="12" hidden="1" customHeight="1" outlineLevel="2">
      <c r="B276" s="245"/>
      <c r="C276" s="250" t="s">
        <v>761</v>
      </c>
      <c r="D276" s="250"/>
      <c r="E276" s="213"/>
      <c r="F276" s="213"/>
      <c r="G276" s="213"/>
      <c r="H276" s="213"/>
      <c r="I276" s="213"/>
      <c r="J276" s="213"/>
      <c r="K276" s="213"/>
      <c r="L276" s="213"/>
      <c r="M276" s="211">
        <f>INDEX($C$199:$AN$221,MATCH("New Customers 1MS",$C$199:$C$221,0),MATCH($C276,$C$199:$AN$199,0))</f>
        <v>0.43438155136268364</v>
      </c>
      <c r="N276" s="211">
        <f t="shared" ref="N276:AN276" si="191">$M$276*(E266)</f>
        <v>3.0406708595387858E-2</v>
      </c>
      <c r="O276" s="211">
        <f t="shared" si="191"/>
        <v>3.0406708595387858E-2</v>
      </c>
      <c r="P276" s="211">
        <f t="shared" si="191"/>
        <v>3.0406708595387858E-2</v>
      </c>
      <c r="Q276" s="211">
        <f t="shared" si="191"/>
        <v>2.6062893081761018E-2</v>
      </c>
      <c r="R276" s="211">
        <f t="shared" si="191"/>
        <v>2.6062893081761018E-2</v>
      </c>
      <c r="S276" s="211">
        <f t="shared" si="191"/>
        <v>2.6062893081761018E-2</v>
      </c>
      <c r="T276" s="211">
        <f t="shared" si="191"/>
        <v>2.1719077568134182E-2</v>
      </c>
      <c r="U276" s="211">
        <f t="shared" si="191"/>
        <v>2.1719077568134182E-2</v>
      </c>
      <c r="V276" s="211">
        <f t="shared" si="191"/>
        <v>2.1719077568134182E-2</v>
      </c>
      <c r="W276" s="211">
        <f t="shared" si="191"/>
        <v>1.7375262054507346E-2</v>
      </c>
      <c r="X276" s="211">
        <f t="shared" si="191"/>
        <v>1.7375262054507346E-2</v>
      </c>
      <c r="Y276" s="211">
        <f t="shared" si="191"/>
        <v>1.7375262054507346E-2</v>
      </c>
      <c r="Z276" s="211">
        <f t="shared" si="191"/>
        <v>1.3031446540880509E-2</v>
      </c>
      <c r="AA276" s="211">
        <f t="shared" si="191"/>
        <v>1.3031446540880509E-2</v>
      </c>
      <c r="AB276" s="211">
        <f t="shared" si="191"/>
        <v>1.3031446540880509E-2</v>
      </c>
      <c r="AC276" s="211">
        <f t="shared" si="191"/>
        <v>8.6876310272536728E-3</v>
      </c>
      <c r="AD276" s="211">
        <f t="shared" si="191"/>
        <v>8.6876310272536728E-3</v>
      </c>
      <c r="AE276" s="211">
        <f t="shared" si="191"/>
        <v>8.6876310272536728E-3</v>
      </c>
      <c r="AF276" s="211">
        <f t="shared" si="191"/>
        <v>4.3438155136268364E-3</v>
      </c>
      <c r="AG276" s="211">
        <f t="shared" si="191"/>
        <v>4.3438155136268364E-3</v>
      </c>
      <c r="AH276" s="211">
        <f t="shared" si="191"/>
        <v>4.3438155136268364E-3</v>
      </c>
      <c r="AI276" s="211">
        <f t="shared" si="191"/>
        <v>4.3438155136268364E-3</v>
      </c>
      <c r="AJ276" s="211">
        <f t="shared" si="191"/>
        <v>4.3438155136268364E-3</v>
      </c>
      <c r="AK276" s="211">
        <f t="shared" si="191"/>
        <v>4.3438155136268364E-3</v>
      </c>
      <c r="AL276" s="211">
        <f t="shared" si="191"/>
        <v>4.3438155136268364E-3</v>
      </c>
      <c r="AM276" s="211">
        <f t="shared" si="191"/>
        <v>4.3438155136268364E-3</v>
      </c>
      <c r="AN276" s="211">
        <f t="shared" si="191"/>
        <v>4.3438155136268364E-3</v>
      </c>
    </row>
    <row r="277" spans="2:40" s="7" customFormat="1" ht="12" hidden="1" customHeight="1" outlineLevel="2">
      <c r="B277" s="245"/>
      <c r="C277" s="250" t="s">
        <v>762</v>
      </c>
      <c r="D277" s="250"/>
      <c r="E277" s="213"/>
      <c r="F277" s="213"/>
      <c r="G277" s="213"/>
      <c r="H277" s="213"/>
      <c r="I277" s="213"/>
      <c r="J277" s="213"/>
      <c r="K277" s="213"/>
      <c r="L277" s="213"/>
      <c r="M277" s="213"/>
      <c r="N277" s="211">
        <f>INDEX($C$199:$AN$221,MATCH("New Customers 1MS",$C$199:$C$221,0),MATCH($C277,$C$199:$AN$199,0))</f>
        <v>0.35354297693920167</v>
      </c>
      <c r="O277" s="211">
        <f t="shared" ref="O277:AN277" si="192">$N$277*(E266)</f>
        <v>2.4748008385744119E-2</v>
      </c>
      <c r="P277" s="211">
        <f t="shared" si="192"/>
        <v>2.4748008385744119E-2</v>
      </c>
      <c r="Q277" s="211">
        <f t="shared" si="192"/>
        <v>2.4748008385744119E-2</v>
      </c>
      <c r="R277" s="211">
        <f t="shared" si="192"/>
        <v>2.1212578616352101E-2</v>
      </c>
      <c r="S277" s="211">
        <f t="shared" si="192"/>
        <v>2.1212578616352101E-2</v>
      </c>
      <c r="T277" s="211">
        <f t="shared" si="192"/>
        <v>2.1212578616352101E-2</v>
      </c>
      <c r="U277" s="211">
        <f t="shared" si="192"/>
        <v>1.7677148846960086E-2</v>
      </c>
      <c r="V277" s="211">
        <f t="shared" si="192"/>
        <v>1.7677148846960086E-2</v>
      </c>
      <c r="W277" s="211">
        <f t="shared" si="192"/>
        <v>1.7677148846960086E-2</v>
      </c>
      <c r="X277" s="211">
        <f t="shared" si="192"/>
        <v>1.4141719077568067E-2</v>
      </c>
      <c r="Y277" s="211">
        <f t="shared" si="192"/>
        <v>1.4141719077568067E-2</v>
      </c>
      <c r="Z277" s="211">
        <f t="shared" si="192"/>
        <v>1.4141719077568067E-2</v>
      </c>
      <c r="AA277" s="211">
        <f t="shared" si="192"/>
        <v>1.060628930817605E-2</v>
      </c>
      <c r="AB277" s="211">
        <f t="shared" si="192"/>
        <v>1.060628930817605E-2</v>
      </c>
      <c r="AC277" s="211">
        <f t="shared" si="192"/>
        <v>1.060628930817605E-2</v>
      </c>
      <c r="AD277" s="211">
        <f t="shared" si="192"/>
        <v>7.0708595387840335E-3</v>
      </c>
      <c r="AE277" s="211">
        <f t="shared" si="192"/>
        <v>7.0708595387840335E-3</v>
      </c>
      <c r="AF277" s="211">
        <f t="shared" si="192"/>
        <v>7.0708595387840335E-3</v>
      </c>
      <c r="AG277" s="211">
        <f t="shared" si="192"/>
        <v>3.5354297693920168E-3</v>
      </c>
      <c r="AH277" s="211">
        <f t="shared" si="192"/>
        <v>3.5354297693920168E-3</v>
      </c>
      <c r="AI277" s="211">
        <f t="shared" si="192"/>
        <v>3.5354297693920168E-3</v>
      </c>
      <c r="AJ277" s="211">
        <f t="shared" si="192"/>
        <v>3.5354297693920168E-3</v>
      </c>
      <c r="AK277" s="211">
        <f t="shared" si="192"/>
        <v>3.5354297693920168E-3</v>
      </c>
      <c r="AL277" s="211">
        <f t="shared" si="192"/>
        <v>3.5354297693920168E-3</v>
      </c>
      <c r="AM277" s="211">
        <f t="shared" si="192"/>
        <v>3.5354297693920168E-3</v>
      </c>
      <c r="AN277" s="211">
        <f t="shared" si="192"/>
        <v>3.5354297693920168E-3</v>
      </c>
    </row>
    <row r="278" spans="2:40" s="7" customFormat="1" ht="12" hidden="1" customHeight="1" outlineLevel="2">
      <c r="B278" s="245"/>
      <c r="C278" s="250" t="s">
        <v>763</v>
      </c>
      <c r="D278" s="250"/>
      <c r="E278" s="213"/>
      <c r="F278" s="213"/>
      <c r="G278" s="213"/>
      <c r="H278" s="213"/>
      <c r="I278" s="213"/>
      <c r="J278" s="213"/>
      <c r="K278" s="213"/>
      <c r="L278" s="213"/>
      <c r="M278" s="213"/>
      <c r="N278" s="213"/>
      <c r="O278" s="211">
        <f>INDEX($C$199:$AN$221,MATCH("New Customers 1MS",$C$199:$C$221,0),MATCH($C278,$C$199:$AN$199,0))</f>
        <v>0.16970062893081661</v>
      </c>
      <c r="P278" s="211">
        <f t="shared" ref="P278:AN278" si="193">$O$278*(E266)</f>
        <v>1.1879044025157165E-2</v>
      </c>
      <c r="Q278" s="211">
        <f t="shared" si="193"/>
        <v>1.1879044025157165E-2</v>
      </c>
      <c r="R278" s="211">
        <f t="shared" si="193"/>
        <v>1.1879044025157165E-2</v>
      </c>
      <c r="S278" s="211">
        <f t="shared" si="193"/>
        <v>1.0182037735848996E-2</v>
      </c>
      <c r="T278" s="211">
        <f t="shared" si="193"/>
        <v>1.0182037735848996E-2</v>
      </c>
      <c r="U278" s="211">
        <f t="shared" si="193"/>
        <v>1.0182037735848996E-2</v>
      </c>
      <c r="V278" s="211">
        <f t="shared" si="193"/>
        <v>8.4850314465408309E-3</v>
      </c>
      <c r="W278" s="211">
        <f t="shared" si="193"/>
        <v>8.4850314465408309E-3</v>
      </c>
      <c r="X278" s="211">
        <f t="shared" si="193"/>
        <v>8.4850314465408309E-3</v>
      </c>
      <c r="Y278" s="211">
        <f t="shared" si="193"/>
        <v>6.7880251572326649E-3</v>
      </c>
      <c r="Z278" s="211">
        <f t="shared" si="193"/>
        <v>6.7880251572326649E-3</v>
      </c>
      <c r="AA278" s="211">
        <f t="shared" si="193"/>
        <v>6.7880251572326649E-3</v>
      </c>
      <c r="AB278" s="211">
        <f t="shared" si="193"/>
        <v>5.091018867924498E-3</v>
      </c>
      <c r="AC278" s="211">
        <f t="shared" si="193"/>
        <v>5.091018867924498E-3</v>
      </c>
      <c r="AD278" s="211">
        <f t="shared" si="193"/>
        <v>5.091018867924498E-3</v>
      </c>
      <c r="AE278" s="211">
        <f t="shared" si="193"/>
        <v>3.3940125786163324E-3</v>
      </c>
      <c r="AF278" s="211">
        <f t="shared" si="193"/>
        <v>3.3940125786163324E-3</v>
      </c>
      <c r="AG278" s="211">
        <f t="shared" si="193"/>
        <v>3.3940125786163324E-3</v>
      </c>
      <c r="AH278" s="211">
        <f t="shared" si="193"/>
        <v>1.6970062893081662E-3</v>
      </c>
      <c r="AI278" s="211">
        <f t="shared" si="193"/>
        <v>1.6970062893081662E-3</v>
      </c>
      <c r="AJ278" s="211">
        <f t="shared" si="193"/>
        <v>1.6970062893081662E-3</v>
      </c>
      <c r="AK278" s="211">
        <f t="shared" si="193"/>
        <v>1.6970062893081662E-3</v>
      </c>
      <c r="AL278" s="211">
        <f t="shared" si="193"/>
        <v>1.6970062893081662E-3</v>
      </c>
      <c r="AM278" s="211">
        <f t="shared" si="193"/>
        <v>1.6970062893081662E-3</v>
      </c>
      <c r="AN278" s="211">
        <f t="shared" si="193"/>
        <v>1.6970062893081662E-3</v>
      </c>
    </row>
    <row r="279" spans="2:40" s="7" customFormat="1" ht="12" hidden="1" customHeight="1" outlineLevel="2">
      <c r="B279" s="245"/>
      <c r="C279" s="250" t="s">
        <v>764</v>
      </c>
      <c r="D279" s="250"/>
      <c r="E279" s="213"/>
      <c r="F279" s="213"/>
      <c r="G279" s="213"/>
      <c r="H279" s="213"/>
      <c r="I279" s="213"/>
      <c r="J279" s="213"/>
      <c r="K279" s="213"/>
      <c r="L279" s="213"/>
      <c r="M279" s="213"/>
      <c r="N279" s="213"/>
      <c r="O279" s="213"/>
      <c r="P279" s="211">
        <f>INDEX($C$199:$AN$221,MATCH("New Customers 1MS",$C$199:$C$221,0),MATCH($C279,$C$199:$AN$199,0))</f>
        <v>0.20364075471698151</v>
      </c>
      <c r="Q279" s="211">
        <f t="shared" ref="Q279:AN279" si="194">$P$279*(E266)</f>
        <v>1.4254852830188708E-2</v>
      </c>
      <c r="R279" s="211">
        <f t="shared" si="194"/>
        <v>1.4254852830188708E-2</v>
      </c>
      <c r="S279" s="211">
        <f t="shared" si="194"/>
        <v>1.4254852830188708E-2</v>
      </c>
      <c r="T279" s="211">
        <f t="shared" si="194"/>
        <v>1.2218445283018889E-2</v>
      </c>
      <c r="U279" s="211">
        <f t="shared" si="194"/>
        <v>1.2218445283018889E-2</v>
      </c>
      <c r="V279" s="211">
        <f t="shared" si="194"/>
        <v>1.2218445283018889E-2</v>
      </c>
      <c r="W279" s="211">
        <f t="shared" si="194"/>
        <v>1.0182037735849076E-2</v>
      </c>
      <c r="X279" s="211">
        <f t="shared" si="194"/>
        <v>1.0182037735849076E-2</v>
      </c>
      <c r="Y279" s="211">
        <f t="shared" si="194"/>
        <v>1.0182037735849076E-2</v>
      </c>
      <c r="Z279" s="211">
        <f t="shared" si="194"/>
        <v>8.1456301886792606E-3</v>
      </c>
      <c r="AA279" s="211">
        <f t="shared" si="194"/>
        <v>8.1456301886792606E-3</v>
      </c>
      <c r="AB279" s="211">
        <f t="shared" si="194"/>
        <v>8.1456301886792606E-3</v>
      </c>
      <c r="AC279" s="211">
        <f t="shared" si="194"/>
        <v>6.1092226415094446E-3</v>
      </c>
      <c r="AD279" s="211">
        <f t="shared" si="194"/>
        <v>6.1092226415094446E-3</v>
      </c>
      <c r="AE279" s="211">
        <f t="shared" si="194"/>
        <v>6.1092226415094446E-3</v>
      </c>
      <c r="AF279" s="211">
        <f t="shared" si="194"/>
        <v>4.0728150943396303E-3</v>
      </c>
      <c r="AG279" s="211">
        <f t="shared" si="194"/>
        <v>4.0728150943396303E-3</v>
      </c>
      <c r="AH279" s="211">
        <f t="shared" si="194"/>
        <v>4.0728150943396303E-3</v>
      </c>
      <c r="AI279" s="211">
        <f t="shared" si="194"/>
        <v>2.0364075471698152E-3</v>
      </c>
      <c r="AJ279" s="211">
        <f t="shared" si="194"/>
        <v>2.0364075471698152E-3</v>
      </c>
      <c r="AK279" s="211">
        <f t="shared" si="194"/>
        <v>2.0364075471698152E-3</v>
      </c>
      <c r="AL279" s="211">
        <f t="shared" si="194"/>
        <v>2.0364075471698152E-3</v>
      </c>
      <c r="AM279" s="211">
        <f t="shared" si="194"/>
        <v>2.0364075471698152E-3</v>
      </c>
      <c r="AN279" s="211">
        <f t="shared" si="194"/>
        <v>2.0364075471698152E-3</v>
      </c>
    </row>
    <row r="280" spans="2:40" s="7" customFormat="1" ht="12" hidden="1" customHeight="1" outlineLevel="2">
      <c r="B280" s="245"/>
      <c r="C280" s="250" t="s">
        <v>765</v>
      </c>
      <c r="D280" s="250"/>
      <c r="E280" s="213"/>
      <c r="F280" s="213"/>
      <c r="G280" s="213"/>
      <c r="H280" s="213"/>
      <c r="I280" s="213"/>
      <c r="J280" s="213"/>
      <c r="K280" s="213"/>
      <c r="L280" s="213"/>
      <c r="M280" s="213"/>
      <c r="N280" s="213"/>
      <c r="O280" s="213"/>
      <c r="P280" s="213"/>
      <c r="Q280" s="211">
        <f>INDEX($C$199:$AN$221,MATCH("New Customers 1MS",$C$199:$C$221,0),MATCH($C280,$C$199:$AN$199,0))</f>
        <v>0.32437827928553542</v>
      </c>
      <c r="R280" s="211">
        <f t="shared" ref="R280:AN280" si="195">$Q$280*(E266)</f>
        <v>2.2706479549987481E-2</v>
      </c>
      <c r="S280" s="211">
        <f t="shared" si="195"/>
        <v>2.2706479549987481E-2</v>
      </c>
      <c r="T280" s="211">
        <f t="shared" si="195"/>
        <v>2.2706479549987481E-2</v>
      </c>
      <c r="U280" s="211">
        <f t="shared" si="195"/>
        <v>1.9462696757132126E-2</v>
      </c>
      <c r="V280" s="211">
        <f t="shared" si="195"/>
        <v>1.9462696757132126E-2</v>
      </c>
      <c r="W280" s="211">
        <f t="shared" si="195"/>
        <v>1.9462696757132126E-2</v>
      </c>
      <c r="X280" s="211">
        <f t="shared" si="195"/>
        <v>1.6218913964276771E-2</v>
      </c>
      <c r="Y280" s="211">
        <f t="shared" si="195"/>
        <v>1.6218913964276771E-2</v>
      </c>
      <c r="Z280" s="211">
        <f t="shared" si="195"/>
        <v>1.6218913964276771E-2</v>
      </c>
      <c r="AA280" s="211">
        <f t="shared" si="195"/>
        <v>1.2975131171421418E-2</v>
      </c>
      <c r="AB280" s="211">
        <f t="shared" si="195"/>
        <v>1.2975131171421418E-2</v>
      </c>
      <c r="AC280" s="211">
        <f t="shared" si="195"/>
        <v>1.2975131171421418E-2</v>
      </c>
      <c r="AD280" s="211">
        <f t="shared" si="195"/>
        <v>9.731348378566063E-3</v>
      </c>
      <c r="AE280" s="211">
        <f t="shared" si="195"/>
        <v>9.731348378566063E-3</v>
      </c>
      <c r="AF280" s="211">
        <f t="shared" si="195"/>
        <v>9.731348378566063E-3</v>
      </c>
      <c r="AG280" s="211">
        <f t="shared" si="195"/>
        <v>6.4875655857107089E-3</v>
      </c>
      <c r="AH280" s="211">
        <f t="shared" si="195"/>
        <v>6.4875655857107089E-3</v>
      </c>
      <c r="AI280" s="211">
        <f t="shared" si="195"/>
        <v>6.4875655857107089E-3</v>
      </c>
      <c r="AJ280" s="211">
        <f t="shared" si="195"/>
        <v>3.2437827928553545E-3</v>
      </c>
      <c r="AK280" s="211">
        <f t="shared" si="195"/>
        <v>3.2437827928553545E-3</v>
      </c>
      <c r="AL280" s="211">
        <f t="shared" si="195"/>
        <v>3.2437827928553545E-3</v>
      </c>
      <c r="AM280" s="211">
        <f t="shared" si="195"/>
        <v>3.2437827928553545E-3</v>
      </c>
      <c r="AN280" s="211">
        <f t="shared" si="195"/>
        <v>3.2437827928553545E-3</v>
      </c>
    </row>
    <row r="281" spans="2:40" s="7" customFormat="1" ht="12" hidden="1" customHeight="1" outlineLevel="2">
      <c r="B281" s="245"/>
      <c r="C281" s="250" t="s">
        <v>766</v>
      </c>
      <c r="D281" s="250"/>
      <c r="E281" s="213"/>
      <c r="F281" s="213"/>
      <c r="G281" s="213"/>
      <c r="H281" s="213"/>
      <c r="I281" s="213"/>
      <c r="J281" s="213"/>
      <c r="K281" s="213"/>
      <c r="L281" s="213"/>
      <c r="M281" s="213"/>
      <c r="N281" s="213"/>
      <c r="O281" s="213"/>
      <c r="P281" s="213"/>
      <c r="Q281" s="213"/>
      <c r="R281" s="211">
        <f>INDEX($C$199:$AN$221,MATCH("New Customers 1MS",$C$199:$C$221,0),MATCH($C281,$C$199:$AN$199,0))</f>
        <v>1.8215527578566064</v>
      </c>
      <c r="S281" s="211">
        <f t="shared" ref="S281:AN281" si="196">$R$281*(E266)</f>
        <v>0.12750869304996246</v>
      </c>
      <c r="T281" s="211">
        <f t="shared" si="196"/>
        <v>0.12750869304996246</v>
      </c>
      <c r="U281" s="211">
        <f t="shared" si="196"/>
        <v>0.12750869304996246</v>
      </c>
      <c r="V281" s="211">
        <f t="shared" si="196"/>
        <v>0.10929316547139638</v>
      </c>
      <c r="W281" s="211">
        <f t="shared" si="196"/>
        <v>0.10929316547139638</v>
      </c>
      <c r="X281" s="211">
        <f t="shared" si="196"/>
        <v>0.10929316547139638</v>
      </c>
      <c r="Y281" s="211">
        <f t="shared" si="196"/>
        <v>9.1077637892830327E-2</v>
      </c>
      <c r="Z281" s="211">
        <f t="shared" si="196"/>
        <v>9.1077637892830327E-2</v>
      </c>
      <c r="AA281" s="211">
        <f t="shared" si="196"/>
        <v>9.1077637892830327E-2</v>
      </c>
      <c r="AB281" s="211">
        <f t="shared" si="196"/>
        <v>7.2862110314264261E-2</v>
      </c>
      <c r="AC281" s="211">
        <f t="shared" si="196"/>
        <v>7.2862110314264261E-2</v>
      </c>
      <c r="AD281" s="211">
        <f t="shared" si="196"/>
        <v>7.2862110314264261E-2</v>
      </c>
      <c r="AE281" s="211">
        <f t="shared" si="196"/>
        <v>5.4646582735698189E-2</v>
      </c>
      <c r="AF281" s="211">
        <f t="shared" si="196"/>
        <v>5.4646582735698189E-2</v>
      </c>
      <c r="AG281" s="211">
        <f t="shared" si="196"/>
        <v>5.4646582735698189E-2</v>
      </c>
      <c r="AH281" s="211">
        <f t="shared" si="196"/>
        <v>3.6431055157132131E-2</v>
      </c>
      <c r="AI281" s="211">
        <f t="shared" si="196"/>
        <v>3.6431055157132131E-2</v>
      </c>
      <c r="AJ281" s="211">
        <f t="shared" si="196"/>
        <v>3.6431055157132131E-2</v>
      </c>
      <c r="AK281" s="211">
        <f t="shared" si="196"/>
        <v>1.8215527578566065E-2</v>
      </c>
      <c r="AL281" s="211">
        <f t="shared" si="196"/>
        <v>1.8215527578566065E-2</v>
      </c>
      <c r="AM281" s="211">
        <f t="shared" si="196"/>
        <v>1.8215527578566065E-2</v>
      </c>
      <c r="AN281" s="211">
        <f t="shared" si="196"/>
        <v>1.8215527578566065E-2</v>
      </c>
    </row>
    <row r="282" spans="2:40" s="7" customFormat="1" ht="12" hidden="1" customHeight="1" outlineLevel="2">
      <c r="B282" s="245"/>
      <c r="C282" s="250" t="s">
        <v>767</v>
      </c>
      <c r="D282" s="250"/>
      <c r="E282" s="213"/>
      <c r="F282" s="213"/>
      <c r="G282" s="213"/>
      <c r="H282" s="213"/>
      <c r="I282" s="213"/>
      <c r="J282" s="213"/>
      <c r="K282" s="213"/>
      <c r="L282" s="213"/>
      <c r="M282" s="213"/>
      <c r="N282" s="213"/>
      <c r="O282" s="213"/>
      <c r="P282" s="213"/>
      <c r="Q282" s="213"/>
      <c r="R282" s="213"/>
      <c r="S282" s="211">
        <f>INDEX($C$199:$AN$221,MATCH("New Customers 1MS",$C$199:$C$221,0),MATCH($C282,$C$199:$AN$199,0))</f>
        <v>1.5029962726303348</v>
      </c>
      <c r="T282" s="211">
        <f t="shared" ref="T282:AN282" si="197">$S$282*(E266)</f>
        <v>0.10520973908412344</v>
      </c>
      <c r="U282" s="211">
        <f t="shared" si="197"/>
        <v>0.10520973908412344</v>
      </c>
      <c r="V282" s="211">
        <f t="shared" si="197"/>
        <v>0.10520973908412344</v>
      </c>
      <c r="W282" s="211">
        <f t="shared" si="197"/>
        <v>9.0179776357820082E-2</v>
      </c>
      <c r="X282" s="211">
        <f t="shared" si="197"/>
        <v>9.0179776357820082E-2</v>
      </c>
      <c r="Y282" s="211">
        <f t="shared" si="197"/>
        <v>9.0179776357820082E-2</v>
      </c>
      <c r="Z282" s="211">
        <f t="shared" si="197"/>
        <v>7.5149813631516738E-2</v>
      </c>
      <c r="AA282" s="211">
        <f t="shared" si="197"/>
        <v>7.5149813631516738E-2</v>
      </c>
      <c r="AB282" s="211">
        <f t="shared" si="197"/>
        <v>7.5149813631516738E-2</v>
      </c>
      <c r="AC282" s="211">
        <f t="shared" si="197"/>
        <v>6.0119850905213393E-2</v>
      </c>
      <c r="AD282" s="211">
        <f t="shared" si="197"/>
        <v>6.0119850905213393E-2</v>
      </c>
      <c r="AE282" s="211">
        <f t="shared" si="197"/>
        <v>6.0119850905213393E-2</v>
      </c>
      <c r="AF282" s="211">
        <f t="shared" si="197"/>
        <v>4.5089888178910041E-2</v>
      </c>
      <c r="AG282" s="211">
        <f t="shared" si="197"/>
        <v>4.5089888178910041E-2</v>
      </c>
      <c r="AH282" s="211">
        <f t="shared" si="197"/>
        <v>4.5089888178910041E-2</v>
      </c>
      <c r="AI282" s="211">
        <f t="shared" si="197"/>
        <v>3.0059925452606696E-2</v>
      </c>
      <c r="AJ282" s="211">
        <f t="shared" si="197"/>
        <v>3.0059925452606696E-2</v>
      </c>
      <c r="AK282" s="211">
        <f t="shared" si="197"/>
        <v>3.0059925452606696E-2</v>
      </c>
      <c r="AL282" s="211">
        <f t="shared" si="197"/>
        <v>1.5029962726303348E-2</v>
      </c>
      <c r="AM282" s="211">
        <f t="shared" si="197"/>
        <v>1.5029962726303348E-2</v>
      </c>
      <c r="AN282" s="211">
        <f t="shared" si="197"/>
        <v>1.5029962726303348E-2</v>
      </c>
    </row>
    <row r="283" spans="2:40" s="7" customFormat="1" ht="12" hidden="1" customHeight="1" outlineLevel="2">
      <c r="B283" s="245"/>
      <c r="C283" s="250" t="s">
        <v>768</v>
      </c>
      <c r="D283" s="250"/>
      <c r="E283" s="213"/>
      <c r="F283" s="213"/>
      <c r="G283" s="213"/>
      <c r="H283" s="213"/>
      <c r="I283" s="213"/>
      <c r="J283" s="213"/>
      <c r="K283" s="213"/>
      <c r="L283" s="213"/>
      <c r="M283" s="213"/>
      <c r="N283" s="213"/>
      <c r="O283" s="213"/>
      <c r="P283" s="213"/>
      <c r="Q283" s="213"/>
      <c r="R283" s="213"/>
      <c r="S283" s="213"/>
      <c r="T283" s="211">
        <f>INDEX($C$199:$AN$221,MATCH("New Customers 1MS",$C$199:$C$221,0),MATCH($C283,$C$199:$AN$199,0))</f>
        <v>0.2825702951757828</v>
      </c>
      <c r="U283" s="211">
        <f t="shared" ref="U283:AN283" si="198">$T$283*(E266)</f>
        <v>1.9779920662304797E-2</v>
      </c>
      <c r="V283" s="211">
        <f t="shared" si="198"/>
        <v>1.9779920662304797E-2</v>
      </c>
      <c r="W283" s="211">
        <f t="shared" si="198"/>
        <v>1.9779920662304797E-2</v>
      </c>
      <c r="X283" s="211">
        <f t="shared" si="198"/>
        <v>1.6954217710546969E-2</v>
      </c>
      <c r="Y283" s="211">
        <f t="shared" si="198"/>
        <v>1.6954217710546969E-2</v>
      </c>
      <c r="Z283" s="211">
        <f t="shared" si="198"/>
        <v>1.6954217710546969E-2</v>
      </c>
      <c r="AA283" s="211">
        <f t="shared" si="198"/>
        <v>1.4128514758789141E-2</v>
      </c>
      <c r="AB283" s="211">
        <f t="shared" si="198"/>
        <v>1.4128514758789141E-2</v>
      </c>
      <c r="AC283" s="211">
        <f t="shared" si="198"/>
        <v>1.4128514758789141E-2</v>
      </c>
      <c r="AD283" s="211">
        <f t="shared" si="198"/>
        <v>1.1302811807031313E-2</v>
      </c>
      <c r="AE283" s="211">
        <f t="shared" si="198"/>
        <v>1.1302811807031313E-2</v>
      </c>
      <c r="AF283" s="211">
        <f t="shared" si="198"/>
        <v>1.1302811807031313E-2</v>
      </c>
      <c r="AG283" s="211">
        <f t="shared" si="198"/>
        <v>8.4771088552734845E-3</v>
      </c>
      <c r="AH283" s="211">
        <f t="shared" si="198"/>
        <v>8.4771088552734845E-3</v>
      </c>
      <c r="AI283" s="211">
        <f t="shared" si="198"/>
        <v>8.4771088552734845E-3</v>
      </c>
      <c r="AJ283" s="211">
        <f t="shared" si="198"/>
        <v>5.6514059035156564E-3</v>
      </c>
      <c r="AK283" s="211">
        <f t="shared" si="198"/>
        <v>5.6514059035156564E-3</v>
      </c>
      <c r="AL283" s="211">
        <f t="shared" si="198"/>
        <v>5.6514059035156564E-3</v>
      </c>
      <c r="AM283" s="211">
        <f t="shared" si="198"/>
        <v>2.8257029517578282E-3</v>
      </c>
      <c r="AN283" s="211">
        <f t="shared" si="198"/>
        <v>2.8257029517578282E-3</v>
      </c>
    </row>
    <row r="284" spans="2:40" s="7" customFormat="1" ht="12" hidden="1" customHeight="1" outlineLevel="2">
      <c r="B284" s="245"/>
      <c r="C284" s="250" t="s">
        <v>769</v>
      </c>
      <c r="D284" s="250"/>
      <c r="E284" s="213"/>
      <c r="F284" s="213"/>
      <c r="G284" s="213"/>
      <c r="H284" s="213"/>
      <c r="I284" s="213"/>
      <c r="J284" s="213"/>
      <c r="K284" s="213"/>
      <c r="L284" s="213"/>
      <c r="M284" s="213"/>
      <c r="N284" s="213"/>
      <c r="O284" s="213"/>
      <c r="P284" s="213"/>
      <c r="Q284" s="213"/>
      <c r="R284" s="213"/>
      <c r="S284" s="213"/>
      <c r="T284" s="213"/>
      <c r="U284" s="211">
        <f>INDEX($C$199:$AN$221,MATCH("New Customers 1MS",$C$199:$C$221,0),MATCH($C284,$C$199:$AN$199,0))</f>
        <v>0.50172783601676996</v>
      </c>
      <c r="V284" s="211">
        <f t="shared" ref="V284:AN284" si="199">$U$284*(E266)</f>
        <v>3.5120948521173902E-2</v>
      </c>
      <c r="W284" s="211">
        <f t="shared" si="199"/>
        <v>3.5120948521173902E-2</v>
      </c>
      <c r="X284" s="211">
        <f t="shared" si="199"/>
        <v>3.5120948521173902E-2</v>
      </c>
      <c r="Y284" s="211">
        <f t="shared" si="199"/>
        <v>3.0103670161006197E-2</v>
      </c>
      <c r="Z284" s="211">
        <f t="shared" si="199"/>
        <v>3.0103670161006197E-2</v>
      </c>
      <c r="AA284" s="211">
        <f t="shared" si="199"/>
        <v>3.0103670161006197E-2</v>
      </c>
      <c r="AB284" s="211">
        <f t="shared" si="199"/>
        <v>2.5086391800838499E-2</v>
      </c>
      <c r="AC284" s="211">
        <f t="shared" si="199"/>
        <v>2.5086391800838499E-2</v>
      </c>
      <c r="AD284" s="211">
        <f t="shared" si="199"/>
        <v>2.5086391800838499E-2</v>
      </c>
      <c r="AE284" s="211">
        <f t="shared" si="199"/>
        <v>2.0069113440670798E-2</v>
      </c>
      <c r="AF284" s="211">
        <f t="shared" si="199"/>
        <v>2.0069113440670798E-2</v>
      </c>
      <c r="AG284" s="211">
        <f t="shared" si="199"/>
        <v>2.0069113440670798E-2</v>
      </c>
      <c r="AH284" s="211">
        <f t="shared" si="199"/>
        <v>1.5051835080503098E-2</v>
      </c>
      <c r="AI284" s="211">
        <f t="shared" si="199"/>
        <v>1.5051835080503098E-2</v>
      </c>
      <c r="AJ284" s="211">
        <f t="shared" si="199"/>
        <v>1.5051835080503098E-2</v>
      </c>
      <c r="AK284" s="211">
        <f t="shared" si="199"/>
        <v>1.0034556720335399E-2</v>
      </c>
      <c r="AL284" s="211">
        <f t="shared" si="199"/>
        <v>1.0034556720335399E-2</v>
      </c>
      <c r="AM284" s="211">
        <f t="shared" si="199"/>
        <v>1.0034556720335399E-2</v>
      </c>
      <c r="AN284" s="211">
        <f t="shared" si="199"/>
        <v>5.0172783601676995E-3</v>
      </c>
    </row>
    <row r="285" spans="2:40" s="7" customFormat="1" ht="12" hidden="1" customHeight="1" outlineLevel="2">
      <c r="B285" s="245"/>
      <c r="C285" s="250" t="s">
        <v>770</v>
      </c>
      <c r="D285" s="250"/>
      <c r="E285" s="213"/>
      <c r="F285" s="213"/>
      <c r="G285" s="213"/>
      <c r="H285" s="213"/>
      <c r="I285" s="213"/>
      <c r="J285" s="213"/>
      <c r="K285" s="213"/>
      <c r="L285" s="213"/>
      <c r="M285" s="213"/>
      <c r="N285" s="213"/>
      <c r="O285" s="213"/>
      <c r="P285" s="213"/>
      <c r="Q285" s="213"/>
      <c r="R285" s="213"/>
      <c r="S285" s="213"/>
      <c r="T285" s="213"/>
      <c r="U285" s="213"/>
      <c r="V285" s="211">
        <f>INDEX($C$199:$AN$221,MATCH("New Customers 1MS",$C$199:$C$221,0),MATCH($C285,$C$199:$AN$199,0))</f>
        <v>0.63580040086431233</v>
      </c>
      <c r="W285" s="211">
        <f t="shared" ref="W285:AN285" si="200">$V$285*(E266)</f>
        <v>4.450602806050187E-2</v>
      </c>
      <c r="X285" s="211">
        <f t="shared" si="200"/>
        <v>4.450602806050187E-2</v>
      </c>
      <c r="Y285" s="211">
        <f t="shared" si="200"/>
        <v>4.450602806050187E-2</v>
      </c>
      <c r="Z285" s="211">
        <f t="shared" si="200"/>
        <v>3.8148024051858735E-2</v>
      </c>
      <c r="AA285" s="211">
        <f t="shared" si="200"/>
        <v>3.8148024051858735E-2</v>
      </c>
      <c r="AB285" s="211">
        <f t="shared" si="200"/>
        <v>3.8148024051858735E-2</v>
      </c>
      <c r="AC285" s="211">
        <f t="shared" si="200"/>
        <v>3.1790020043215621E-2</v>
      </c>
      <c r="AD285" s="211">
        <f t="shared" si="200"/>
        <v>3.1790020043215621E-2</v>
      </c>
      <c r="AE285" s="211">
        <f t="shared" si="200"/>
        <v>3.1790020043215621E-2</v>
      </c>
      <c r="AF285" s="211">
        <f t="shared" si="200"/>
        <v>2.5432016034572492E-2</v>
      </c>
      <c r="AG285" s="211">
        <f t="shared" si="200"/>
        <v>2.5432016034572492E-2</v>
      </c>
      <c r="AH285" s="211">
        <f t="shared" si="200"/>
        <v>2.5432016034572492E-2</v>
      </c>
      <c r="AI285" s="211">
        <f t="shared" si="200"/>
        <v>1.9074012025929368E-2</v>
      </c>
      <c r="AJ285" s="211">
        <f t="shared" si="200"/>
        <v>1.9074012025929368E-2</v>
      </c>
      <c r="AK285" s="211">
        <f t="shared" si="200"/>
        <v>1.9074012025929368E-2</v>
      </c>
      <c r="AL285" s="211">
        <f t="shared" si="200"/>
        <v>1.2716008017286246E-2</v>
      </c>
      <c r="AM285" s="211">
        <f t="shared" si="200"/>
        <v>1.2716008017286246E-2</v>
      </c>
      <c r="AN285" s="211">
        <f t="shared" si="200"/>
        <v>1.2716008017286246E-2</v>
      </c>
    </row>
    <row r="286" spans="2:40" s="7" customFormat="1" ht="12" hidden="1" customHeight="1" outlineLevel="2">
      <c r="B286" s="245"/>
      <c r="C286" s="250" t="s">
        <v>771</v>
      </c>
      <c r="D286" s="250"/>
      <c r="E286" s="213"/>
      <c r="F286" s="213"/>
      <c r="G286" s="213"/>
      <c r="H286" s="213"/>
      <c r="I286" s="213"/>
      <c r="J286" s="213"/>
      <c r="K286" s="213"/>
      <c r="L286" s="213"/>
      <c r="M286" s="213"/>
      <c r="N286" s="213"/>
      <c r="O286" s="213"/>
      <c r="P286" s="213"/>
      <c r="Q286" s="213"/>
      <c r="R286" s="213"/>
      <c r="S286" s="213"/>
      <c r="T286" s="213"/>
      <c r="U286" s="213"/>
      <c r="V286" s="213"/>
      <c r="W286" s="211">
        <f>INDEX($C$199:$AN$221,MATCH("New Customers 1MS",$C$199:$C$221,0),MATCH($C286,$C$199:$AN$199,0))</f>
        <v>0.3481400694114713</v>
      </c>
      <c r="X286" s="211">
        <f t="shared" ref="X286:AN286" si="201">$W$286*(E266)</f>
        <v>2.4369804858802992E-2</v>
      </c>
      <c r="Y286" s="211">
        <f t="shared" si="201"/>
        <v>2.4369804858802992E-2</v>
      </c>
      <c r="Z286" s="211">
        <f t="shared" si="201"/>
        <v>2.4369804858802992E-2</v>
      </c>
      <c r="AA286" s="211">
        <f t="shared" si="201"/>
        <v>2.0888404164688276E-2</v>
      </c>
      <c r="AB286" s="211">
        <f t="shared" si="201"/>
        <v>2.0888404164688276E-2</v>
      </c>
      <c r="AC286" s="211">
        <f t="shared" si="201"/>
        <v>2.0888404164688276E-2</v>
      </c>
      <c r="AD286" s="211">
        <f t="shared" si="201"/>
        <v>1.7407003470573567E-2</v>
      </c>
      <c r="AE286" s="211">
        <f t="shared" si="201"/>
        <v>1.7407003470573567E-2</v>
      </c>
      <c r="AF286" s="211">
        <f t="shared" si="201"/>
        <v>1.7407003470573567E-2</v>
      </c>
      <c r="AG286" s="211">
        <f t="shared" si="201"/>
        <v>1.3925602776458853E-2</v>
      </c>
      <c r="AH286" s="211">
        <f t="shared" si="201"/>
        <v>1.3925602776458853E-2</v>
      </c>
      <c r="AI286" s="211">
        <f t="shared" si="201"/>
        <v>1.3925602776458853E-2</v>
      </c>
      <c r="AJ286" s="211">
        <f t="shared" si="201"/>
        <v>1.0444202082344138E-2</v>
      </c>
      <c r="AK286" s="211">
        <f t="shared" si="201"/>
        <v>1.0444202082344138E-2</v>
      </c>
      <c r="AL286" s="211">
        <f t="shared" si="201"/>
        <v>1.0444202082344138E-2</v>
      </c>
      <c r="AM286" s="211">
        <f t="shared" si="201"/>
        <v>6.9628013882294263E-3</v>
      </c>
      <c r="AN286" s="211">
        <f t="shared" si="201"/>
        <v>6.9628013882294263E-3</v>
      </c>
    </row>
    <row r="287" spans="2:40" s="7" customFormat="1" ht="12" hidden="1" customHeight="1" outlineLevel="2">
      <c r="B287" s="245"/>
      <c r="C287" s="250" t="s">
        <v>772</v>
      </c>
      <c r="D287" s="250"/>
      <c r="E287" s="213"/>
      <c r="F287" s="213"/>
      <c r="G287" s="213"/>
      <c r="H287" s="213"/>
      <c r="I287" s="213"/>
      <c r="J287" s="213"/>
      <c r="K287" s="213"/>
      <c r="L287" s="213"/>
      <c r="M287" s="213"/>
      <c r="N287" s="213"/>
      <c r="O287" s="213"/>
      <c r="P287" s="213"/>
      <c r="Q287" s="213"/>
      <c r="R287" s="213"/>
      <c r="S287" s="213"/>
      <c r="T287" s="213"/>
      <c r="U287" s="213"/>
      <c r="V287" s="213"/>
      <c r="W287" s="213"/>
      <c r="X287" s="211">
        <f>INDEX($C$199:$AN$221,MATCH("New Customers 1MS",$C$199:$C$221,0),MATCH($C287,$C$199:$AN$199,0))</f>
        <v>0.24153567539907742</v>
      </c>
      <c r="Y287" s="211">
        <f t="shared" ref="Y287:AN287" si="202">$X$287*(E266)</f>
        <v>1.6907497277935422E-2</v>
      </c>
      <c r="Z287" s="211">
        <f t="shared" si="202"/>
        <v>1.6907497277935422E-2</v>
      </c>
      <c r="AA287" s="211">
        <f t="shared" si="202"/>
        <v>1.6907497277935422E-2</v>
      </c>
      <c r="AB287" s="211">
        <f t="shared" si="202"/>
        <v>1.4492140523944645E-2</v>
      </c>
      <c r="AC287" s="211">
        <f t="shared" si="202"/>
        <v>1.4492140523944645E-2</v>
      </c>
      <c r="AD287" s="211">
        <f t="shared" si="202"/>
        <v>1.4492140523944645E-2</v>
      </c>
      <c r="AE287" s="211">
        <f t="shared" si="202"/>
        <v>1.2076783769953872E-2</v>
      </c>
      <c r="AF287" s="211">
        <f t="shared" si="202"/>
        <v>1.2076783769953872E-2</v>
      </c>
      <c r="AG287" s="211">
        <f t="shared" si="202"/>
        <v>1.2076783769953872E-2</v>
      </c>
      <c r="AH287" s="211">
        <f t="shared" si="202"/>
        <v>9.6614270159630974E-3</v>
      </c>
      <c r="AI287" s="211">
        <f t="shared" si="202"/>
        <v>9.6614270159630974E-3</v>
      </c>
      <c r="AJ287" s="211">
        <f t="shared" si="202"/>
        <v>9.6614270159630974E-3</v>
      </c>
      <c r="AK287" s="211">
        <f t="shared" si="202"/>
        <v>7.2460702619723226E-3</v>
      </c>
      <c r="AL287" s="211">
        <f t="shared" si="202"/>
        <v>7.2460702619723226E-3</v>
      </c>
      <c r="AM287" s="211">
        <f t="shared" si="202"/>
        <v>7.2460702619723226E-3</v>
      </c>
      <c r="AN287" s="211">
        <f t="shared" si="202"/>
        <v>4.8307135079815487E-3</v>
      </c>
    </row>
    <row r="288" spans="2:40" s="7" customFormat="1" ht="12" hidden="1" customHeight="1" outlineLevel="2">
      <c r="B288" s="245"/>
      <c r="C288" s="250" t="s">
        <v>773</v>
      </c>
      <c r="D288" s="250"/>
      <c r="E288" s="213"/>
      <c r="F288" s="213"/>
      <c r="G288" s="213"/>
      <c r="H288" s="213"/>
      <c r="I288" s="213"/>
      <c r="J288" s="213"/>
      <c r="K288" s="213"/>
      <c r="L288" s="213"/>
      <c r="M288" s="213"/>
      <c r="N288" s="213"/>
      <c r="O288" s="213"/>
      <c r="P288" s="213"/>
      <c r="Q288" s="213"/>
      <c r="R288" s="213"/>
      <c r="S288" s="213"/>
      <c r="T288" s="213"/>
      <c r="U288" s="213"/>
      <c r="V288" s="213"/>
      <c r="W288" s="213"/>
      <c r="X288" s="213"/>
      <c r="Y288" s="211">
        <f>INDEX($C$199:$AN$221,MATCH("New Customers 1MS",$C$199:$C$221,0),MATCH($C288,$C$199:$AN$199,0))</f>
        <v>0.61938956068000595</v>
      </c>
      <c r="Z288" s="211">
        <f t="shared" ref="Z288:AN288" si="203">$Y$288*(E266)</f>
        <v>4.3357269247600423E-2</v>
      </c>
      <c r="AA288" s="211">
        <f t="shared" si="203"/>
        <v>4.3357269247600423E-2</v>
      </c>
      <c r="AB288" s="211">
        <f t="shared" si="203"/>
        <v>4.3357269247600423E-2</v>
      </c>
      <c r="AC288" s="211">
        <f t="shared" si="203"/>
        <v>3.7163373640800357E-2</v>
      </c>
      <c r="AD288" s="211">
        <f t="shared" si="203"/>
        <v>3.7163373640800357E-2</v>
      </c>
      <c r="AE288" s="211">
        <f t="shared" si="203"/>
        <v>3.7163373640800357E-2</v>
      </c>
      <c r="AF288" s="211">
        <f t="shared" si="203"/>
        <v>3.0969478034000297E-2</v>
      </c>
      <c r="AG288" s="211">
        <f t="shared" si="203"/>
        <v>3.0969478034000297E-2</v>
      </c>
      <c r="AH288" s="211">
        <f t="shared" si="203"/>
        <v>3.0969478034000297E-2</v>
      </c>
      <c r="AI288" s="211">
        <f t="shared" si="203"/>
        <v>2.4775582427200238E-2</v>
      </c>
      <c r="AJ288" s="211">
        <f t="shared" si="203"/>
        <v>2.4775582427200238E-2</v>
      </c>
      <c r="AK288" s="211">
        <f t="shared" si="203"/>
        <v>2.4775582427200238E-2</v>
      </c>
      <c r="AL288" s="211">
        <f t="shared" si="203"/>
        <v>1.8581686820400178E-2</v>
      </c>
      <c r="AM288" s="211">
        <f t="shared" si="203"/>
        <v>1.8581686820400178E-2</v>
      </c>
      <c r="AN288" s="211">
        <f t="shared" si="203"/>
        <v>1.8581686820400178E-2</v>
      </c>
    </row>
    <row r="289" spans="2:40" s="7" customFormat="1" ht="12" hidden="1" customHeight="1" outlineLevel="2">
      <c r="B289" s="245"/>
      <c r="C289" s="250" t="s">
        <v>774</v>
      </c>
      <c r="D289" s="250"/>
      <c r="E289" s="213"/>
      <c r="F289" s="213"/>
      <c r="G289" s="213"/>
      <c r="H289" s="213"/>
      <c r="I289" s="213"/>
      <c r="J289" s="213"/>
      <c r="K289" s="213"/>
      <c r="L289" s="213"/>
      <c r="M289" s="213"/>
      <c r="N289" s="213"/>
      <c r="O289" s="213"/>
      <c r="P289" s="213"/>
      <c r="Q289" s="213"/>
      <c r="R289" s="213"/>
      <c r="S289" s="213"/>
      <c r="T289" s="213"/>
      <c r="U289" s="213"/>
      <c r="V289" s="213"/>
      <c r="W289" s="213"/>
      <c r="X289" s="213"/>
      <c r="Y289" s="213"/>
      <c r="Z289" s="211">
        <f>INDEX($C$199:$AN$221,MATCH("New Customers 1MS",$C$199:$C$221,0),MATCH($C289,$C$199:$AN$199,0))</f>
        <v>0.61729342139462684</v>
      </c>
      <c r="AA289" s="211">
        <f t="shared" ref="AA289:AN289" si="204">$Z$289*(E266)</f>
        <v>4.3210539497623886E-2</v>
      </c>
      <c r="AB289" s="211">
        <f t="shared" si="204"/>
        <v>4.3210539497623886E-2</v>
      </c>
      <c r="AC289" s="211">
        <f t="shared" si="204"/>
        <v>4.3210539497623886E-2</v>
      </c>
      <c r="AD289" s="211">
        <f t="shared" si="204"/>
        <v>3.703760528367761E-2</v>
      </c>
      <c r="AE289" s="211">
        <f t="shared" si="204"/>
        <v>3.703760528367761E-2</v>
      </c>
      <c r="AF289" s="211">
        <f t="shared" si="204"/>
        <v>3.703760528367761E-2</v>
      </c>
      <c r="AG289" s="211">
        <f t="shared" si="204"/>
        <v>3.0864671069731342E-2</v>
      </c>
      <c r="AH289" s="211">
        <f t="shared" si="204"/>
        <v>3.0864671069731342E-2</v>
      </c>
      <c r="AI289" s="211">
        <f t="shared" si="204"/>
        <v>3.0864671069731342E-2</v>
      </c>
      <c r="AJ289" s="211">
        <f t="shared" si="204"/>
        <v>2.4691736855785074E-2</v>
      </c>
      <c r="AK289" s="211">
        <f t="shared" si="204"/>
        <v>2.4691736855785074E-2</v>
      </c>
      <c r="AL289" s="211">
        <f t="shared" si="204"/>
        <v>2.4691736855785074E-2</v>
      </c>
      <c r="AM289" s="211">
        <f t="shared" si="204"/>
        <v>1.8518802641838805E-2</v>
      </c>
      <c r="AN289" s="211">
        <f t="shared" si="204"/>
        <v>1.8518802641838805E-2</v>
      </c>
    </row>
    <row r="290" spans="2:40" s="7" customFormat="1" ht="12" hidden="1" customHeight="1" outlineLevel="2">
      <c r="B290" s="245"/>
      <c r="C290" s="250" t="s">
        <v>775</v>
      </c>
      <c r="D290" s="250"/>
      <c r="E290" s="213"/>
      <c r="F290" s="213"/>
      <c r="G290" s="213"/>
      <c r="H290" s="213"/>
      <c r="I290" s="213"/>
      <c r="J290" s="213"/>
      <c r="K290" s="213"/>
      <c r="L290" s="213"/>
      <c r="M290" s="213"/>
      <c r="N290" s="213"/>
      <c r="O290" s="213"/>
      <c r="P290" s="213"/>
      <c r="Q290" s="213"/>
      <c r="R290" s="213"/>
      <c r="S290" s="213"/>
      <c r="T290" s="213"/>
      <c r="U290" s="213"/>
      <c r="V290" s="213"/>
      <c r="W290" s="213"/>
      <c r="X290" s="213"/>
      <c r="Y290" s="213"/>
      <c r="Z290" s="213"/>
      <c r="AA290" s="211">
        <f>INDEX($C$199:$AN$221,MATCH("New Customers 1MS",$C$199:$C$221,0),MATCH($C290,$C$199:$AN$199,0))</f>
        <v>0.32802044709734213</v>
      </c>
      <c r="AB290" s="211">
        <f t="shared" ref="AB290:AN290" si="205">$AA$290*(E266)</f>
        <v>2.2961431296813953E-2</v>
      </c>
      <c r="AC290" s="211">
        <f t="shared" si="205"/>
        <v>2.2961431296813953E-2</v>
      </c>
      <c r="AD290" s="211">
        <f t="shared" si="205"/>
        <v>2.2961431296813953E-2</v>
      </c>
      <c r="AE290" s="211">
        <f t="shared" si="205"/>
        <v>1.9681226825840527E-2</v>
      </c>
      <c r="AF290" s="211">
        <f t="shared" si="205"/>
        <v>1.9681226825840527E-2</v>
      </c>
      <c r="AG290" s="211">
        <f t="shared" si="205"/>
        <v>1.9681226825840527E-2</v>
      </c>
      <c r="AH290" s="211">
        <f t="shared" si="205"/>
        <v>1.6401022354867106E-2</v>
      </c>
      <c r="AI290" s="211">
        <f t="shared" si="205"/>
        <v>1.6401022354867106E-2</v>
      </c>
      <c r="AJ290" s="211">
        <f t="shared" si="205"/>
        <v>1.6401022354867106E-2</v>
      </c>
      <c r="AK290" s="211">
        <f t="shared" si="205"/>
        <v>1.3120817883893686E-2</v>
      </c>
      <c r="AL290" s="211">
        <f t="shared" si="205"/>
        <v>1.3120817883893686E-2</v>
      </c>
      <c r="AM290" s="211">
        <f t="shared" si="205"/>
        <v>1.3120817883893686E-2</v>
      </c>
      <c r="AN290" s="211">
        <f t="shared" si="205"/>
        <v>9.8406134129202637E-3</v>
      </c>
    </row>
    <row r="291" spans="2:40" s="7" customFormat="1" ht="12" hidden="1" customHeight="1" outlineLevel="2">
      <c r="B291" s="245"/>
      <c r="C291" s="250" t="s">
        <v>776</v>
      </c>
      <c r="D291" s="250"/>
      <c r="E291" s="213"/>
      <c r="F291" s="213"/>
      <c r="G291" s="213"/>
      <c r="H291" s="213"/>
      <c r="I291" s="213"/>
      <c r="J291" s="213"/>
      <c r="K291" s="213"/>
      <c r="L291" s="213"/>
      <c r="M291" s="213"/>
      <c r="N291" s="213"/>
      <c r="O291" s="213"/>
      <c r="P291" s="213"/>
      <c r="Q291" s="213"/>
      <c r="R291" s="213"/>
      <c r="S291" s="213"/>
      <c r="T291" s="213"/>
      <c r="U291" s="213"/>
      <c r="V291" s="213"/>
      <c r="W291" s="213"/>
      <c r="X291" s="213"/>
      <c r="Y291" s="213"/>
      <c r="Z291" s="213"/>
      <c r="AA291" s="213"/>
      <c r="AB291" s="211">
        <f>INDEX($C$199:$AN$221,MATCH("New Customers 1MS",$C$199:$C$221,0),MATCH($C291,$C$199:$AN$199,0))</f>
        <v>0.32945898577990268</v>
      </c>
      <c r="AC291" s="211">
        <f t="shared" ref="AC291:AN291" si="206">$AB$291*(E266)</f>
        <v>2.3062129004593191E-2</v>
      </c>
      <c r="AD291" s="211">
        <f t="shared" si="206"/>
        <v>2.3062129004593191E-2</v>
      </c>
      <c r="AE291" s="211">
        <f t="shared" si="206"/>
        <v>2.3062129004593191E-2</v>
      </c>
      <c r="AF291" s="211">
        <f t="shared" si="206"/>
        <v>1.9767539146794161E-2</v>
      </c>
      <c r="AG291" s="211">
        <f t="shared" si="206"/>
        <v>1.9767539146794161E-2</v>
      </c>
      <c r="AH291" s="211">
        <f t="shared" si="206"/>
        <v>1.9767539146794161E-2</v>
      </c>
      <c r="AI291" s="211">
        <f t="shared" si="206"/>
        <v>1.6472949288995134E-2</v>
      </c>
      <c r="AJ291" s="211">
        <f t="shared" si="206"/>
        <v>1.6472949288995134E-2</v>
      </c>
      <c r="AK291" s="211">
        <f t="shared" si="206"/>
        <v>1.6472949288995134E-2</v>
      </c>
      <c r="AL291" s="211">
        <f t="shared" si="206"/>
        <v>1.3178359431196107E-2</v>
      </c>
      <c r="AM291" s="211">
        <f t="shared" si="206"/>
        <v>1.3178359431196107E-2</v>
      </c>
      <c r="AN291" s="211">
        <f t="shared" si="206"/>
        <v>1.3178359431196107E-2</v>
      </c>
    </row>
    <row r="292" spans="2:40" s="7" customFormat="1" ht="12" hidden="1" customHeight="1" outlineLevel="2">
      <c r="B292" s="245"/>
      <c r="C292" s="250" t="s">
        <v>777</v>
      </c>
      <c r="D292" s="250"/>
      <c r="E292" s="213"/>
      <c r="F292" s="213"/>
      <c r="G292" s="213"/>
      <c r="H292" s="213"/>
      <c r="I292" s="213"/>
      <c r="J292" s="213"/>
      <c r="K292" s="213"/>
      <c r="L292" s="213"/>
      <c r="M292" s="213"/>
      <c r="N292" s="213"/>
      <c r="O292" s="213"/>
      <c r="P292" s="213"/>
      <c r="Q292" s="213"/>
      <c r="R292" s="213"/>
      <c r="S292" s="213"/>
      <c r="T292" s="213"/>
      <c r="U292" s="213"/>
      <c r="V292" s="213"/>
      <c r="W292" s="213"/>
      <c r="X292" s="213"/>
      <c r="Y292" s="213"/>
      <c r="Z292" s="213"/>
      <c r="AA292" s="213"/>
      <c r="AB292" s="211"/>
      <c r="AC292" s="211">
        <f>INDEX($C$199:$AN$221,MATCH("New Customers 1MS",$C$199:$C$221,0),MATCH($C292,$C$199:$AN$199,0))</f>
        <v>0.38793821932684236</v>
      </c>
      <c r="AD292" s="211">
        <f t="shared" ref="AD292:AN292" si="207">$AC$292*(E266)</f>
        <v>2.7155675352878966E-2</v>
      </c>
      <c r="AE292" s="211">
        <f t="shared" si="207"/>
        <v>2.7155675352878966E-2</v>
      </c>
      <c r="AF292" s="211">
        <f t="shared" si="207"/>
        <v>2.7155675352878966E-2</v>
      </c>
      <c r="AG292" s="211">
        <f t="shared" si="207"/>
        <v>2.327629315961054E-2</v>
      </c>
      <c r="AH292" s="211">
        <f t="shared" si="207"/>
        <v>2.327629315961054E-2</v>
      </c>
      <c r="AI292" s="211">
        <f t="shared" si="207"/>
        <v>2.327629315961054E-2</v>
      </c>
      <c r="AJ292" s="211">
        <f t="shared" si="207"/>
        <v>1.9396910966342121E-2</v>
      </c>
      <c r="AK292" s="211">
        <f t="shared" si="207"/>
        <v>1.9396910966342121E-2</v>
      </c>
      <c r="AL292" s="211">
        <f t="shared" si="207"/>
        <v>1.9396910966342121E-2</v>
      </c>
      <c r="AM292" s="211">
        <f t="shared" si="207"/>
        <v>1.5517528773073695E-2</v>
      </c>
      <c r="AN292" s="211">
        <f t="shared" si="207"/>
        <v>1.5517528773073695E-2</v>
      </c>
    </row>
    <row r="293" spans="2:40" s="7" customFormat="1" ht="12" hidden="1" customHeight="1" outlineLevel="2">
      <c r="B293" s="245"/>
      <c r="C293" s="250" t="s">
        <v>778</v>
      </c>
      <c r="D293" s="250"/>
      <c r="E293" s="213"/>
      <c r="F293" s="213"/>
      <c r="G293" s="213"/>
      <c r="H293" s="213"/>
      <c r="I293" s="213"/>
      <c r="J293" s="213"/>
      <c r="K293" s="213"/>
      <c r="L293" s="213"/>
      <c r="M293" s="213"/>
      <c r="N293" s="213"/>
      <c r="O293" s="213"/>
      <c r="P293" s="213"/>
      <c r="Q293" s="213"/>
      <c r="R293" s="213"/>
      <c r="S293" s="213"/>
      <c r="T293" s="213"/>
      <c r="U293" s="213"/>
      <c r="V293" s="213"/>
      <c r="W293" s="213"/>
      <c r="X293" s="213"/>
      <c r="Y293" s="213"/>
      <c r="Z293" s="213"/>
      <c r="AA293" s="213"/>
      <c r="AB293" s="211"/>
      <c r="AC293" s="211"/>
      <c r="AD293" s="211">
        <f>INDEX($C$199:$AN$221,MATCH("New Customers 1MS",$C$199:$C$221,0),MATCH($C293,$C$199:$AN$199,0))</f>
        <v>1.8149222584495033</v>
      </c>
      <c r="AE293" s="211">
        <f t="shared" ref="AE293:AN293" si="208">$AD$293*(E266)</f>
        <v>0.12704455809146525</v>
      </c>
      <c r="AF293" s="211">
        <f t="shared" si="208"/>
        <v>0.12704455809146525</v>
      </c>
      <c r="AG293" s="211">
        <f t="shared" si="208"/>
        <v>0.12704455809146525</v>
      </c>
      <c r="AH293" s="211">
        <f t="shared" si="208"/>
        <v>0.1088953355069702</v>
      </c>
      <c r="AI293" s="211">
        <f t="shared" si="208"/>
        <v>0.1088953355069702</v>
      </c>
      <c r="AJ293" s="211">
        <f t="shared" si="208"/>
        <v>0.1088953355069702</v>
      </c>
      <c r="AK293" s="211">
        <f t="shared" si="208"/>
        <v>9.0746112922475169E-2</v>
      </c>
      <c r="AL293" s="211">
        <f t="shared" si="208"/>
        <v>9.0746112922475169E-2</v>
      </c>
      <c r="AM293" s="211">
        <f t="shared" si="208"/>
        <v>9.0746112922475169E-2</v>
      </c>
      <c r="AN293" s="211">
        <f t="shared" si="208"/>
        <v>7.2596890337980127E-2</v>
      </c>
    </row>
    <row r="294" spans="2:40" s="7" customFormat="1" ht="12" hidden="1" customHeight="1" outlineLevel="2">
      <c r="B294" s="245"/>
      <c r="C294" s="250" t="s">
        <v>779</v>
      </c>
      <c r="D294" s="250"/>
      <c r="E294" s="213"/>
      <c r="F294" s="213"/>
      <c r="G294" s="213"/>
      <c r="H294" s="213"/>
      <c r="I294" s="213"/>
      <c r="J294" s="213"/>
      <c r="K294" s="213"/>
      <c r="L294" s="213"/>
      <c r="M294" s="213"/>
      <c r="N294" s="213"/>
      <c r="O294" s="213"/>
      <c r="P294" s="213"/>
      <c r="Q294" s="213"/>
      <c r="R294" s="213"/>
      <c r="S294" s="213"/>
      <c r="T294" s="213"/>
      <c r="U294" s="213"/>
      <c r="V294" s="213"/>
      <c r="W294" s="213"/>
      <c r="X294" s="213"/>
      <c r="Y294" s="213"/>
      <c r="Z294" s="213"/>
      <c r="AA294" s="213"/>
      <c r="AB294" s="211"/>
      <c r="AC294" s="211"/>
      <c r="AD294" s="211"/>
      <c r="AE294" s="211">
        <f>INDEX($C$199:$AN$221,MATCH("New Customers 1MS",$C$199:$C$221,0),MATCH($C294,$C$199:$AN$199,0))</f>
        <v>1.5121372612027142</v>
      </c>
      <c r="AF294" s="211">
        <f t="shared" ref="AF294:AN294" si="209">$AE$294*(E266)</f>
        <v>0.10584960828419</v>
      </c>
      <c r="AG294" s="211">
        <f t="shared" si="209"/>
        <v>0.10584960828419</v>
      </c>
      <c r="AH294" s="211">
        <f t="shared" si="209"/>
        <v>0.10584960828419</v>
      </c>
      <c r="AI294" s="211">
        <f t="shared" si="209"/>
        <v>9.0728235672162844E-2</v>
      </c>
      <c r="AJ294" s="211">
        <f t="shared" si="209"/>
        <v>9.0728235672162844E-2</v>
      </c>
      <c r="AK294" s="211">
        <f t="shared" si="209"/>
        <v>9.0728235672162844E-2</v>
      </c>
      <c r="AL294" s="211">
        <f t="shared" si="209"/>
        <v>7.5606863060135712E-2</v>
      </c>
      <c r="AM294" s="211">
        <f t="shared" si="209"/>
        <v>7.5606863060135712E-2</v>
      </c>
      <c r="AN294" s="211">
        <f t="shared" si="209"/>
        <v>7.5606863060135712E-2</v>
      </c>
    </row>
    <row r="295" spans="2:40" s="7" customFormat="1" ht="12" hidden="1" customHeight="1" outlineLevel="2">
      <c r="B295" s="245"/>
      <c r="C295" s="250" t="s">
        <v>780</v>
      </c>
      <c r="D295" s="250"/>
      <c r="E295" s="213"/>
      <c r="F295" s="213"/>
      <c r="G295" s="213"/>
      <c r="H295" s="213"/>
      <c r="I295" s="213"/>
      <c r="J295" s="213"/>
      <c r="K295" s="213"/>
      <c r="L295" s="213"/>
      <c r="M295" s="213"/>
      <c r="N295" s="213"/>
      <c r="O295" s="213"/>
      <c r="P295" s="213"/>
      <c r="Q295" s="213"/>
      <c r="R295" s="213"/>
      <c r="S295" s="213"/>
      <c r="T295" s="213"/>
      <c r="U295" s="213"/>
      <c r="V295" s="213"/>
      <c r="W295" s="213"/>
      <c r="X295" s="213"/>
      <c r="Y295" s="213"/>
      <c r="Z295" s="213"/>
      <c r="AA295" s="213"/>
      <c r="AB295" s="211"/>
      <c r="AC295" s="211"/>
      <c r="AD295" s="211"/>
      <c r="AE295" s="211"/>
      <c r="AF295" s="211">
        <f>INDEX($C$199:$AN$221,MATCH("New Customers 1MS",$C$199:$C$221,0),MATCH($C295,$C$199:$AN$199,0))</f>
        <v>0.55354837092333331</v>
      </c>
      <c r="AG295" s="211">
        <f t="shared" ref="AG295:AN295" si="210">$AF$295*(E266)</f>
        <v>3.8748385964633335E-2</v>
      </c>
      <c r="AH295" s="211">
        <f t="shared" si="210"/>
        <v>3.8748385964633335E-2</v>
      </c>
      <c r="AI295" s="211">
        <f t="shared" si="210"/>
        <v>3.8748385964633335E-2</v>
      </c>
      <c r="AJ295" s="211">
        <f t="shared" si="210"/>
        <v>3.3212902255399995E-2</v>
      </c>
      <c r="AK295" s="211">
        <f t="shared" si="210"/>
        <v>3.3212902255399995E-2</v>
      </c>
      <c r="AL295" s="211">
        <f t="shared" si="210"/>
        <v>3.3212902255399995E-2</v>
      </c>
      <c r="AM295" s="211">
        <f t="shared" si="210"/>
        <v>2.7677418546166666E-2</v>
      </c>
      <c r="AN295" s="211">
        <f t="shared" si="210"/>
        <v>2.7677418546166666E-2</v>
      </c>
    </row>
    <row r="296" spans="2:40" s="7" customFormat="1" ht="12" hidden="1" customHeight="1" outlineLevel="2">
      <c r="B296" s="245"/>
      <c r="C296" s="250" t="s">
        <v>781</v>
      </c>
      <c r="D296" s="250"/>
      <c r="E296" s="213"/>
      <c r="F296" s="213"/>
      <c r="G296" s="213"/>
      <c r="H296" s="213"/>
      <c r="I296" s="213"/>
      <c r="J296" s="213"/>
      <c r="K296" s="213"/>
      <c r="L296" s="213"/>
      <c r="M296" s="213"/>
      <c r="N296" s="213"/>
      <c r="O296" s="213"/>
      <c r="P296" s="213"/>
      <c r="Q296" s="213"/>
      <c r="R296" s="213"/>
      <c r="S296" s="213"/>
      <c r="T296" s="213"/>
      <c r="U296" s="213"/>
      <c r="V296" s="213"/>
      <c r="W296" s="213"/>
      <c r="X296" s="213"/>
      <c r="Y296" s="213"/>
      <c r="Z296" s="213"/>
      <c r="AA296" s="213"/>
      <c r="AB296" s="211"/>
      <c r="AC296" s="211"/>
      <c r="AD296" s="211"/>
      <c r="AE296" s="211"/>
      <c r="AF296" s="211"/>
      <c r="AG296" s="211">
        <f>INDEX($C$199:$AN$221,MATCH("New Customers 1MS",$C$199:$C$221,0),MATCH($C296,$C$199:$AN$199,0))</f>
        <v>0.98551813421973034</v>
      </c>
      <c r="AH296" s="211">
        <f t="shared" ref="AH296:AN296" si="211">$AG$296*(E266)</f>
        <v>6.8986269395381133E-2</v>
      </c>
      <c r="AI296" s="211">
        <f t="shared" si="211"/>
        <v>6.8986269395381133E-2</v>
      </c>
      <c r="AJ296" s="211">
        <f t="shared" si="211"/>
        <v>6.8986269395381133E-2</v>
      </c>
      <c r="AK296" s="211">
        <f t="shared" si="211"/>
        <v>5.9131088053183817E-2</v>
      </c>
      <c r="AL296" s="211">
        <f t="shared" si="211"/>
        <v>5.9131088053183817E-2</v>
      </c>
      <c r="AM296" s="211">
        <f t="shared" si="211"/>
        <v>5.9131088053183817E-2</v>
      </c>
      <c r="AN296" s="211">
        <f t="shared" si="211"/>
        <v>4.9275906710986521E-2</v>
      </c>
    </row>
    <row r="297" spans="2:40" s="7" customFormat="1" ht="12" hidden="1" customHeight="1" outlineLevel="2">
      <c r="B297" s="245"/>
      <c r="C297" s="250" t="s">
        <v>782</v>
      </c>
      <c r="D297" s="250"/>
      <c r="E297" s="213"/>
      <c r="F297" s="213"/>
      <c r="G297" s="213"/>
      <c r="H297" s="213"/>
      <c r="I297" s="213"/>
      <c r="J297" s="213"/>
      <c r="K297" s="213"/>
      <c r="L297" s="213"/>
      <c r="M297" s="213"/>
      <c r="N297" s="213"/>
      <c r="O297" s="213"/>
      <c r="P297" s="213"/>
      <c r="Q297" s="213"/>
      <c r="R297" s="213"/>
      <c r="S297" s="213"/>
      <c r="T297" s="213"/>
      <c r="U297" s="213"/>
      <c r="V297" s="213"/>
      <c r="W297" s="213"/>
      <c r="X297" s="213"/>
      <c r="Y297" s="213"/>
      <c r="Z297" s="213"/>
      <c r="AA297" s="213"/>
      <c r="AB297" s="211"/>
      <c r="AC297" s="211"/>
      <c r="AD297" s="211"/>
      <c r="AE297" s="211"/>
      <c r="AF297" s="211"/>
      <c r="AG297" s="211"/>
      <c r="AH297" s="211">
        <f>INDEX($C$199:$AN$221,MATCH("New Customers 1MS",$C$199:$C$221,0),MATCH($C297,$C$199:$AN$199,0))</f>
        <v>1.3047886516511136</v>
      </c>
      <c r="AI297" s="211">
        <f t="shared" ref="AI297:AN297" si="212">$AH$297*(E266)</f>
        <v>9.1335205615577952E-2</v>
      </c>
      <c r="AJ297" s="211">
        <f t="shared" si="212"/>
        <v>9.1335205615577952E-2</v>
      </c>
      <c r="AK297" s="211">
        <f t="shared" si="212"/>
        <v>9.1335205615577952E-2</v>
      </c>
      <c r="AL297" s="211">
        <f t="shared" si="212"/>
        <v>7.8287319099066818E-2</v>
      </c>
      <c r="AM297" s="211">
        <f t="shared" si="212"/>
        <v>7.8287319099066818E-2</v>
      </c>
      <c r="AN297" s="211">
        <f t="shared" si="212"/>
        <v>7.8287319099066818E-2</v>
      </c>
    </row>
    <row r="298" spans="2:40" s="7" customFormat="1" ht="12" hidden="1" customHeight="1" outlineLevel="2">
      <c r="B298" s="245"/>
      <c r="C298" s="250" t="s">
        <v>783</v>
      </c>
      <c r="D298" s="250"/>
      <c r="E298" s="213"/>
      <c r="F298" s="213"/>
      <c r="G298" s="213"/>
      <c r="H298" s="213"/>
      <c r="I298" s="213"/>
      <c r="J298" s="213"/>
      <c r="K298" s="213"/>
      <c r="L298" s="213"/>
      <c r="M298" s="213"/>
      <c r="N298" s="213"/>
      <c r="O298" s="213"/>
      <c r="P298" s="213"/>
      <c r="Q298" s="213"/>
      <c r="R298" s="213"/>
      <c r="S298" s="213"/>
      <c r="T298" s="213"/>
      <c r="U298" s="213"/>
      <c r="V298" s="213"/>
      <c r="W298" s="213"/>
      <c r="X298" s="213"/>
      <c r="Y298" s="213"/>
      <c r="Z298" s="213"/>
      <c r="AA298" s="213"/>
      <c r="AB298" s="211"/>
      <c r="AC298" s="211"/>
      <c r="AD298" s="211"/>
      <c r="AE298" s="211"/>
      <c r="AF298" s="211"/>
      <c r="AG298" s="211"/>
      <c r="AH298" s="211"/>
      <c r="AI298" s="211">
        <f>INDEX($C$199:$AN$221,MATCH("New Customers 1MS",$C$199:$C$221,0),MATCH($C298,$C$199:$AN$199,0))</f>
        <v>0.69470840459481487</v>
      </c>
      <c r="AJ298" s="211">
        <f>$AI$298*(E266)</f>
        <v>4.8629588321637045E-2</v>
      </c>
      <c r="AK298" s="211">
        <f>$AI$298*(F266)</f>
        <v>4.8629588321637045E-2</v>
      </c>
      <c r="AL298" s="211">
        <f>$AI$298*(G266)</f>
        <v>4.8629588321637045E-2</v>
      </c>
      <c r="AM298" s="211">
        <f>$AI$298*(H266)</f>
        <v>4.1682504275688891E-2</v>
      </c>
      <c r="AN298" s="211">
        <f>$AI$298*(I266)</f>
        <v>4.1682504275688891E-2</v>
      </c>
    </row>
    <row r="299" spans="2:40" s="7" customFormat="1" ht="12" hidden="1" customHeight="1" outlineLevel="2">
      <c r="B299" s="245"/>
      <c r="C299" s="250" t="s">
        <v>784</v>
      </c>
      <c r="D299" s="250"/>
      <c r="E299" s="213"/>
      <c r="F299" s="213"/>
      <c r="G299" s="213"/>
      <c r="H299" s="213"/>
      <c r="I299" s="213"/>
      <c r="J299" s="213"/>
      <c r="K299" s="213"/>
      <c r="L299" s="213"/>
      <c r="M299" s="213"/>
      <c r="N299" s="213"/>
      <c r="O299" s="213"/>
      <c r="P299" s="213"/>
      <c r="Q299" s="213"/>
      <c r="R299" s="213"/>
      <c r="S299" s="213"/>
      <c r="T299" s="213"/>
      <c r="U299" s="213"/>
      <c r="V299" s="213"/>
      <c r="W299" s="213"/>
      <c r="X299" s="213"/>
      <c r="Y299" s="213"/>
      <c r="Z299" s="213"/>
      <c r="AA299" s="213"/>
      <c r="AB299" s="211"/>
      <c r="AC299" s="211"/>
      <c r="AD299" s="211"/>
      <c r="AE299" s="211"/>
      <c r="AF299" s="211"/>
      <c r="AG299" s="211"/>
      <c r="AH299" s="211"/>
      <c r="AI299" s="211"/>
      <c r="AJ299" s="211">
        <f>INDEX($C$199:$AN$221,MATCH("New Customers 1MS",$C$199:$C$221,0),MATCH($C299,$C$199:$AN$199,0))</f>
        <v>0.48211476586198276</v>
      </c>
      <c r="AK299" s="211">
        <f>$AJ$299*(E266)</f>
        <v>3.3748033610338797E-2</v>
      </c>
      <c r="AL299" s="211">
        <f>$AJ$299*(F266)</f>
        <v>3.3748033610338797E-2</v>
      </c>
      <c r="AM299" s="211">
        <f>$AJ$299*(G266)</f>
        <v>3.3748033610338797E-2</v>
      </c>
      <c r="AN299" s="211">
        <f>$AJ$299*(H266)</f>
        <v>2.8926885951718963E-2</v>
      </c>
    </row>
    <row r="300" spans="2:40" s="7" customFormat="1" ht="12" hidden="1" customHeight="1" outlineLevel="2">
      <c r="B300" s="245"/>
      <c r="C300" s="250" t="s">
        <v>785</v>
      </c>
      <c r="D300" s="250"/>
      <c r="E300" s="213"/>
      <c r="F300" s="213"/>
      <c r="G300" s="213"/>
      <c r="H300" s="213"/>
      <c r="I300" s="213"/>
      <c r="J300" s="213"/>
      <c r="K300" s="213"/>
      <c r="L300" s="213"/>
      <c r="M300" s="213"/>
      <c r="N300" s="213"/>
      <c r="O300" s="213"/>
      <c r="P300" s="213"/>
      <c r="Q300" s="213"/>
      <c r="R300" s="213"/>
      <c r="S300" s="213"/>
      <c r="T300" s="213"/>
      <c r="U300" s="213"/>
      <c r="V300" s="213"/>
      <c r="W300" s="213"/>
      <c r="X300" s="213"/>
      <c r="Y300" s="213"/>
      <c r="Z300" s="213"/>
      <c r="AA300" s="213"/>
      <c r="AB300" s="211"/>
      <c r="AC300" s="211"/>
      <c r="AD300" s="211"/>
      <c r="AE300" s="211"/>
      <c r="AF300" s="211"/>
      <c r="AG300" s="211"/>
      <c r="AH300" s="211"/>
      <c r="AI300" s="211"/>
      <c r="AJ300" s="211"/>
      <c r="AK300" s="211">
        <f>INDEX($C$199:$AN$221,MATCH("New Customers 1MS",$C$199:$C$221,0),MATCH($C300,$C$199:$AN$199,0))</f>
        <v>1.234348360861226</v>
      </c>
      <c r="AL300" s="211">
        <f>$AK$300*(E266)</f>
        <v>8.6404385260285835E-2</v>
      </c>
      <c r="AM300" s="211">
        <f>$AK$300*(F266)</f>
        <v>8.6404385260285835E-2</v>
      </c>
      <c r="AN300" s="211">
        <f>$AK$300*(G266)</f>
        <v>8.6404385260285835E-2</v>
      </c>
    </row>
    <row r="301" spans="2:40" s="7" customFormat="1" ht="12" hidden="1" customHeight="1" outlineLevel="2">
      <c r="B301" s="245"/>
      <c r="C301" s="250" t="s">
        <v>786</v>
      </c>
      <c r="D301" s="250"/>
      <c r="E301" s="213"/>
      <c r="F301" s="213"/>
      <c r="G301" s="213"/>
      <c r="H301" s="213"/>
      <c r="I301" s="213"/>
      <c r="J301" s="213"/>
      <c r="K301" s="213"/>
      <c r="L301" s="213"/>
      <c r="M301" s="213"/>
      <c r="N301" s="213"/>
      <c r="O301" s="213"/>
      <c r="P301" s="213"/>
      <c r="Q301" s="213"/>
      <c r="R301" s="213"/>
      <c r="S301" s="213"/>
      <c r="T301" s="213"/>
      <c r="U301" s="213"/>
      <c r="V301" s="213"/>
      <c r="W301" s="213"/>
      <c r="X301" s="213"/>
      <c r="Y301" s="213"/>
      <c r="Z301" s="213"/>
      <c r="AA301" s="213"/>
      <c r="AB301" s="211"/>
      <c r="AC301" s="211"/>
      <c r="AD301" s="211"/>
      <c r="AE301" s="211"/>
      <c r="AF301" s="211"/>
      <c r="AG301" s="211"/>
      <c r="AH301" s="211"/>
      <c r="AI301" s="211"/>
      <c r="AJ301" s="211"/>
      <c r="AK301" s="211"/>
      <c r="AL301" s="211">
        <f>INDEX($C$199:$AN$221,MATCH("New Customers 1MS",$C$199:$C$221,0),MATCH($C301,$C$199:$AN$199,0))</f>
        <v>1.2344379144808793</v>
      </c>
      <c r="AM301" s="211">
        <f>$AL$301*(E266)</f>
        <v>8.6410654013661561E-2</v>
      </c>
      <c r="AN301" s="211">
        <f>$AL$301*(F266)</f>
        <v>8.6410654013661561E-2</v>
      </c>
    </row>
    <row r="302" spans="2:40" s="7" customFormat="1" ht="12" hidden="1" customHeight="1" outlineLevel="2">
      <c r="B302" s="245"/>
      <c r="C302" s="250" t="s">
        <v>787</v>
      </c>
      <c r="D302" s="250"/>
      <c r="E302" s="213"/>
      <c r="F302" s="213"/>
      <c r="G302" s="213"/>
      <c r="H302" s="213"/>
      <c r="I302" s="213"/>
      <c r="J302" s="213"/>
      <c r="K302" s="213"/>
      <c r="L302" s="213"/>
      <c r="M302" s="213"/>
      <c r="N302" s="213"/>
      <c r="O302" s="213"/>
      <c r="P302" s="213"/>
      <c r="Q302" s="213"/>
      <c r="R302" s="213"/>
      <c r="S302" s="213"/>
      <c r="T302" s="213"/>
      <c r="U302" s="213"/>
      <c r="V302" s="213"/>
      <c r="W302" s="213"/>
      <c r="X302" s="213"/>
      <c r="Y302" s="213"/>
      <c r="Z302" s="213"/>
      <c r="AA302" s="213"/>
      <c r="AB302" s="211"/>
      <c r="AC302" s="211"/>
      <c r="AD302" s="211"/>
      <c r="AE302" s="211"/>
      <c r="AF302" s="211"/>
      <c r="AG302" s="211"/>
      <c r="AH302" s="211"/>
      <c r="AI302" s="211"/>
      <c r="AJ302" s="211"/>
      <c r="AK302" s="211"/>
      <c r="AL302" s="211"/>
      <c r="AM302" s="211">
        <f>INDEX($C$199:$AN$221,MATCH("New Customers 1MS",$C$199:$C$221,0),MATCH($C302,$C$199:$AN$199,0))</f>
        <v>0.65834262516189945</v>
      </c>
      <c r="AN302" s="211">
        <f>$AM$302*(E266)</f>
        <v>4.6083983761332964E-2</v>
      </c>
    </row>
    <row r="303" spans="2:40" s="7" customFormat="1" ht="12" hidden="1" customHeight="1" outlineLevel="2">
      <c r="B303" s="245"/>
      <c r="C303" s="250" t="s">
        <v>788</v>
      </c>
      <c r="D303" s="250"/>
      <c r="E303" s="213"/>
      <c r="F303" s="213"/>
      <c r="G303" s="213"/>
      <c r="H303" s="213"/>
      <c r="I303" s="213"/>
      <c r="J303" s="213"/>
      <c r="K303" s="213"/>
      <c r="L303" s="213"/>
      <c r="M303" s="213"/>
      <c r="N303" s="213"/>
      <c r="O303" s="213"/>
      <c r="P303" s="213"/>
      <c r="Q303" s="213"/>
      <c r="R303" s="213"/>
      <c r="S303" s="213"/>
      <c r="T303" s="213"/>
      <c r="U303" s="213"/>
      <c r="V303" s="213"/>
      <c r="W303" s="213"/>
      <c r="X303" s="213"/>
      <c r="Y303" s="213"/>
      <c r="Z303" s="213"/>
      <c r="AA303" s="213"/>
      <c r="AB303" s="211"/>
      <c r="AC303" s="211"/>
      <c r="AD303" s="211"/>
      <c r="AE303" s="211"/>
      <c r="AF303" s="211"/>
      <c r="AG303" s="211"/>
      <c r="AH303" s="211"/>
      <c r="AI303" s="211"/>
      <c r="AJ303" s="211"/>
      <c r="AK303" s="211"/>
      <c r="AL303" s="211"/>
      <c r="AM303" s="211"/>
      <c r="AN303" s="211">
        <f>INDEX($C$199:$AN$221,MATCH("New Customers 1MS",$C$199:$C$221,0),MATCH($C303,$C$199:$AN$199,0))</f>
        <v>0.65833070092962731</v>
      </c>
    </row>
    <row r="304" spans="2:40" s="7" customFormat="1" ht="12" hidden="1" customHeight="1" outlineLevel="2">
      <c r="B304" s="245"/>
      <c r="C304" s="250"/>
      <c r="D304" s="250"/>
      <c r="E304" s="213"/>
      <c r="F304" s="213"/>
      <c r="G304" s="213"/>
      <c r="H304" s="213"/>
      <c r="I304" s="213"/>
      <c r="J304" s="213"/>
      <c r="K304" s="213"/>
      <c r="L304" s="213"/>
      <c r="M304" s="213"/>
      <c r="N304" s="213"/>
      <c r="O304" s="213"/>
      <c r="P304" s="213"/>
      <c r="Q304" s="213"/>
      <c r="R304" s="213"/>
      <c r="S304" s="213"/>
      <c r="T304" s="213"/>
      <c r="U304" s="213"/>
      <c r="V304" s="213"/>
      <c r="W304" s="213"/>
      <c r="X304" s="213"/>
      <c r="Y304" s="213"/>
      <c r="Z304" s="213"/>
      <c r="AA304" s="213"/>
      <c r="AB304" s="211"/>
      <c r="AC304" s="211"/>
      <c r="AD304" s="211"/>
      <c r="AE304" s="211"/>
      <c r="AF304" s="211"/>
      <c r="AG304" s="211"/>
      <c r="AH304" s="211"/>
      <c r="AI304" s="211"/>
      <c r="AJ304" s="211"/>
      <c r="AK304" s="211"/>
      <c r="AL304" s="211"/>
      <c r="AM304" s="211"/>
      <c r="AN304" s="211"/>
    </row>
    <row r="305" spans="2:40 16380:16380" s="7" customFormat="1" ht="12" hidden="1" customHeight="1" outlineLevel="2">
      <c r="B305" s="245"/>
      <c r="C305" s="249" t="s">
        <v>854</v>
      </c>
      <c r="D305" s="250"/>
      <c r="E305" s="213"/>
      <c r="F305" s="213"/>
      <c r="G305" s="213"/>
      <c r="H305" s="213"/>
      <c r="I305" s="213"/>
      <c r="J305" s="213"/>
      <c r="K305" s="213"/>
      <c r="L305" s="213"/>
      <c r="M305" s="213"/>
      <c r="N305" s="213"/>
      <c r="O305" s="213"/>
      <c r="P305" s="213"/>
      <c r="Q305" s="213"/>
      <c r="R305" s="213"/>
      <c r="S305" s="213"/>
      <c r="T305" s="213"/>
      <c r="U305" s="213"/>
      <c r="V305" s="213"/>
      <c r="W305" s="213"/>
      <c r="X305" s="213"/>
      <c r="Y305" s="213"/>
      <c r="Z305" s="213"/>
      <c r="AA305" s="213"/>
      <c r="AB305" s="213"/>
      <c r="AC305" s="211"/>
    </row>
    <row r="306" spans="2:40 16380:16380" s="7" customFormat="1" ht="12" hidden="1" customHeight="1" outlineLevel="3">
      <c r="B306" s="239"/>
      <c r="C306" s="212" t="s">
        <v>850</v>
      </c>
      <c r="D306" s="212"/>
      <c r="E306" s="196" t="s">
        <v>753</v>
      </c>
      <c r="F306" s="196" t="s">
        <v>754</v>
      </c>
      <c r="G306" s="196" t="s">
        <v>755</v>
      </c>
      <c r="H306" s="196" t="s">
        <v>756</v>
      </c>
      <c r="I306" s="196" t="s">
        <v>757</v>
      </c>
      <c r="J306" s="196" t="s">
        <v>758</v>
      </c>
      <c r="K306" s="196" t="s">
        <v>759</v>
      </c>
      <c r="L306" s="196" t="s">
        <v>760</v>
      </c>
      <c r="M306" s="196" t="s">
        <v>761</v>
      </c>
      <c r="N306" s="196" t="s">
        <v>762</v>
      </c>
      <c r="O306" s="196" t="s">
        <v>763</v>
      </c>
      <c r="P306" s="196" t="s">
        <v>764</v>
      </c>
      <c r="Q306" s="196" t="s">
        <v>765</v>
      </c>
      <c r="R306" s="196" t="s">
        <v>766</v>
      </c>
      <c r="S306" s="196" t="s">
        <v>767</v>
      </c>
      <c r="T306" s="196" t="s">
        <v>768</v>
      </c>
      <c r="U306" s="196" t="s">
        <v>769</v>
      </c>
      <c r="V306" s="196" t="s">
        <v>770</v>
      </c>
      <c r="W306" s="196" t="s">
        <v>771</v>
      </c>
      <c r="X306" s="196" t="s">
        <v>772</v>
      </c>
      <c r="Y306" s="196" t="s">
        <v>773</v>
      </c>
      <c r="Z306" s="196" t="s">
        <v>774</v>
      </c>
      <c r="AA306" s="196" t="s">
        <v>775</v>
      </c>
      <c r="AB306" s="196" t="s">
        <v>776</v>
      </c>
      <c r="AC306" s="196" t="s">
        <v>777</v>
      </c>
      <c r="AD306" s="196" t="s">
        <v>778</v>
      </c>
      <c r="AE306" s="196" t="s">
        <v>779</v>
      </c>
      <c r="AF306" s="196" t="s">
        <v>780</v>
      </c>
      <c r="AG306" s="196" t="s">
        <v>781</v>
      </c>
      <c r="AH306" s="196" t="s">
        <v>782</v>
      </c>
      <c r="AI306" s="196" t="s">
        <v>783</v>
      </c>
      <c r="AJ306" s="196" t="s">
        <v>784</v>
      </c>
      <c r="AK306" s="196" t="s">
        <v>785</v>
      </c>
      <c r="AL306" s="196" t="s">
        <v>786</v>
      </c>
      <c r="AM306" s="196" t="s">
        <v>787</v>
      </c>
      <c r="AN306" s="196" t="s">
        <v>788</v>
      </c>
    </row>
    <row r="307" spans="2:40 16380:16380" s="7" customFormat="1" ht="12" hidden="1" customHeight="1" outlineLevel="3">
      <c r="B307" s="239"/>
      <c r="C307" s="247" t="s">
        <v>851</v>
      </c>
      <c r="D307" s="212"/>
      <c r="E307" s="345">
        <v>0.86</v>
      </c>
      <c r="F307" s="342"/>
      <c r="G307" s="342"/>
      <c r="H307" s="345">
        <v>0.42</v>
      </c>
      <c r="I307" s="342"/>
      <c r="J307" s="342"/>
      <c r="K307" s="345">
        <v>0.26</v>
      </c>
      <c r="L307" s="342"/>
      <c r="M307" s="342"/>
      <c r="N307" s="345">
        <v>0.16</v>
      </c>
      <c r="O307" s="342"/>
      <c r="P307" s="342"/>
      <c r="Q307" s="345">
        <v>0.1</v>
      </c>
      <c r="R307" s="342"/>
      <c r="S307" s="342"/>
      <c r="T307" s="345">
        <v>0.06</v>
      </c>
      <c r="U307" s="342"/>
      <c r="V307" s="342"/>
      <c r="W307" s="345">
        <v>0.03</v>
      </c>
      <c r="X307" s="342"/>
      <c r="Y307" s="342"/>
      <c r="Z307" s="345">
        <v>0.01</v>
      </c>
      <c r="AA307" s="342"/>
      <c r="AB307" s="342"/>
      <c r="AC307" s="345">
        <v>0.01</v>
      </c>
      <c r="AD307" s="342"/>
      <c r="AE307" s="342"/>
      <c r="AF307" s="345">
        <v>0.01</v>
      </c>
      <c r="AG307" s="342"/>
      <c r="AH307" s="342"/>
      <c r="AI307" s="345">
        <v>0.01</v>
      </c>
      <c r="AJ307" s="342"/>
      <c r="AK307" s="342"/>
      <c r="AL307" s="345">
        <v>0.01</v>
      </c>
      <c r="AM307" s="342"/>
      <c r="AN307" s="342"/>
    </row>
    <row r="308" spans="2:40 16380:16380" s="7" customFormat="1" ht="12" hidden="1" customHeight="1" outlineLevel="3">
      <c r="B308" s="245"/>
      <c r="C308" s="250" t="s">
        <v>753</v>
      </c>
      <c r="D308" s="250"/>
      <c r="E308" s="211">
        <f>INDEX($C$199:$AN$221, MATCH("New Customers 3MS", $C$199:$C$221, 0), MATCH($C308, $C$199:$AN$199, 0))</f>
        <v>0</v>
      </c>
      <c r="F308" s="211"/>
      <c r="G308" s="211"/>
      <c r="H308" s="211">
        <f>E308*(1-E307)</f>
        <v>0</v>
      </c>
      <c r="I308" s="211"/>
      <c r="J308" s="211"/>
      <c r="K308" s="211">
        <f>E308*(1-H307)</f>
        <v>0</v>
      </c>
      <c r="L308" s="211"/>
      <c r="M308" s="211"/>
      <c r="N308" s="211">
        <f>E308*(1-K307)</f>
        <v>0</v>
      </c>
      <c r="O308" s="211"/>
      <c r="P308" s="211"/>
      <c r="Q308" s="211">
        <f>E308*(1-N307)</f>
        <v>0</v>
      </c>
      <c r="R308" s="211"/>
      <c r="S308" s="211"/>
      <c r="T308" s="211">
        <f>E308*(1-Q307)</f>
        <v>0</v>
      </c>
      <c r="U308" s="211"/>
      <c r="V308" s="211"/>
      <c r="W308" s="211">
        <f>E308*(1-T307)</f>
        <v>0</v>
      </c>
      <c r="X308" s="211"/>
      <c r="Y308" s="211"/>
      <c r="Z308" s="211">
        <f>E308*(1-W307)</f>
        <v>0</v>
      </c>
      <c r="AA308" s="211"/>
      <c r="AB308" s="211"/>
      <c r="AC308" s="211">
        <f>E308*(1-Z307)</f>
        <v>0</v>
      </c>
      <c r="AD308" s="211"/>
      <c r="AE308" s="211"/>
      <c r="AF308" s="211">
        <f>E308*(1-AC307)</f>
        <v>0</v>
      </c>
      <c r="AG308" s="211"/>
      <c r="AH308" s="211"/>
      <c r="AI308" s="211">
        <f>E308*(1-AF307)</f>
        <v>0</v>
      </c>
      <c r="AJ308" s="211"/>
      <c r="AK308" s="211"/>
      <c r="AL308" s="211">
        <f>E308*(1-AI307)</f>
        <v>0</v>
      </c>
      <c r="AM308" s="211"/>
      <c r="AN308" s="211"/>
    </row>
    <row r="309" spans="2:40 16380:16380" s="7" customFormat="1" ht="12" hidden="1" customHeight="1" outlineLevel="3">
      <c r="B309" s="245"/>
      <c r="C309" s="250" t="s">
        <v>754</v>
      </c>
      <c r="D309" s="250"/>
      <c r="E309" s="213"/>
      <c r="F309" s="211">
        <f>INDEX($C$199:$AN$221, MATCH("New Customers 3MS", $C$199:$C$221, 0), MATCH($C309, $C$199:$AN$199, 0))</f>
        <v>0</v>
      </c>
      <c r="G309" s="211"/>
      <c r="H309" s="211"/>
      <c r="I309" s="211">
        <f>F309*(E307)</f>
        <v>0</v>
      </c>
      <c r="J309" s="211"/>
      <c r="K309" s="211"/>
      <c r="L309" s="211">
        <f>F309*(H307)</f>
        <v>0</v>
      </c>
      <c r="M309" s="211"/>
      <c r="N309" s="211"/>
      <c r="O309" s="211">
        <f>F309*(K307)</f>
        <v>0</v>
      </c>
      <c r="P309" s="211"/>
      <c r="Q309" s="211"/>
      <c r="R309" s="211">
        <f>F309*(N307)</f>
        <v>0</v>
      </c>
      <c r="S309" s="211"/>
      <c r="T309" s="211"/>
      <c r="U309" s="211">
        <f>F309*(Q307)</f>
        <v>0</v>
      </c>
      <c r="V309" s="211"/>
      <c r="W309" s="211"/>
      <c r="X309" s="211">
        <f>F309*(T307)</f>
        <v>0</v>
      </c>
      <c r="Y309" s="211"/>
      <c r="Z309" s="211"/>
      <c r="AA309" s="211">
        <f>F309*(W307)</f>
        <v>0</v>
      </c>
      <c r="AB309" s="211"/>
      <c r="AC309" s="211"/>
      <c r="AD309" s="211">
        <f>F309*(Z307)</f>
        <v>0</v>
      </c>
      <c r="AE309" s="211"/>
      <c r="AF309" s="211"/>
      <c r="AG309" s="211">
        <f>F309*(AC307)</f>
        <v>0</v>
      </c>
      <c r="AH309" s="211"/>
      <c r="AI309" s="211"/>
      <c r="AJ309" s="211">
        <f>F309*(AF307)</f>
        <v>0</v>
      </c>
      <c r="AK309" s="211"/>
      <c r="AL309" s="211"/>
      <c r="AM309" s="211">
        <f>F309*(AI307)</f>
        <v>0</v>
      </c>
      <c r="AN309" s="211"/>
      <c r="XEZ309" s="211"/>
    </row>
    <row r="310" spans="2:40 16380:16380" s="7" customFormat="1" ht="12" hidden="1" customHeight="1" outlineLevel="3">
      <c r="B310" s="245"/>
      <c r="C310" s="250" t="s">
        <v>755</v>
      </c>
      <c r="D310" s="250"/>
      <c r="E310" s="213"/>
      <c r="F310" s="213"/>
      <c r="G310" s="211">
        <f>INDEX($C$199:$AN$221, MATCH("New Customers 3MS", $C$199:$C$221, 0), MATCH($C310, $C$199:$AN$199, 0))</f>
        <v>0</v>
      </c>
      <c r="H310" s="211"/>
      <c r="I310" s="211"/>
      <c r="J310" s="211">
        <f>G310*(E307)</f>
        <v>0</v>
      </c>
      <c r="K310" s="211"/>
      <c r="L310" s="211"/>
      <c r="M310" s="211">
        <f>G310*(H307)</f>
        <v>0</v>
      </c>
      <c r="N310" s="211"/>
      <c r="O310" s="211"/>
      <c r="P310" s="211">
        <f>G310*(K307)</f>
        <v>0</v>
      </c>
      <c r="Q310" s="211"/>
      <c r="R310" s="211"/>
      <c r="S310" s="211">
        <f>G310*(N307)</f>
        <v>0</v>
      </c>
      <c r="T310" s="211"/>
      <c r="U310" s="211"/>
      <c r="V310" s="211">
        <f>G310*(Q307)</f>
        <v>0</v>
      </c>
      <c r="W310" s="211"/>
      <c r="X310" s="211"/>
      <c r="Y310" s="211">
        <f>G310*(T307)</f>
        <v>0</v>
      </c>
      <c r="Z310" s="211"/>
      <c r="AA310" s="211"/>
      <c r="AB310" s="211">
        <f>G310*(W307)</f>
        <v>0</v>
      </c>
      <c r="AC310" s="211"/>
      <c r="AD310" s="211"/>
      <c r="AE310" s="211">
        <f>G310*(Z307)</f>
        <v>0</v>
      </c>
      <c r="AF310" s="211"/>
      <c r="AG310" s="211"/>
      <c r="AH310" s="211">
        <f>G310*(AC307)</f>
        <v>0</v>
      </c>
      <c r="AI310" s="211"/>
      <c r="AJ310" s="211"/>
      <c r="AK310" s="211">
        <f>G310*(AF307)</f>
        <v>0</v>
      </c>
      <c r="AL310" s="211"/>
      <c r="AM310" s="211"/>
      <c r="AN310" s="211">
        <f>G310*(AI307)</f>
        <v>0</v>
      </c>
    </row>
    <row r="311" spans="2:40 16380:16380" s="7" customFormat="1" ht="12" hidden="1" customHeight="1" outlineLevel="3">
      <c r="B311" s="245"/>
      <c r="C311" s="250" t="s">
        <v>756</v>
      </c>
      <c r="D311" s="250"/>
      <c r="E311" s="213"/>
      <c r="F311" s="213"/>
      <c r="G311" s="213"/>
      <c r="H311" s="211">
        <f>INDEX($C$199:$AN$221, MATCH("New Customers 3MS", $C$199:$C$221, 0), MATCH($C311, $C$199:$AN$199, 0))</f>
        <v>0</v>
      </c>
      <c r="I311" s="211"/>
      <c r="J311" s="211"/>
      <c r="K311" s="211">
        <f>H311*(E307)</f>
        <v>0</v>
      </c>
      <c r="L311" s="211"/>
      <c r="M311" s="211"/>
      <c r="N311" s="211">
        <f>H311*(H307)</f>
        <v>0</v>
      </c>
      <c r="O311" s="211"/>
      <c r="P311" s="211"/>
      <c r="Q311" s="211">
        <f>H311*(K307)</f>
        <v>0</v>
      </c>
      <c r="R311" s="211"/>
      <c r="S311" s="211"/>
      <c r="T311" s="211">
        <f>H311*(N307)</f>
        <v>0</v>
      </c>
      <c r="U311" s="211"/>
      <c r="V311" s="211"/>
      <c r="W311" s="211">
        <f>H311*(Q307)</f>
        <v>0</v>
      </c>
      <c r="X311" s="211"/>
      <c r="Y311" s="211"/>
      <c r="Z311" s="211">
        <f>H311*(T307)</f>
        <v>0</v>
      </c>
      <c r="AA311" s="211"/>
      <c r="AB311" s="211"/>
      <c r="AC311" s="211">
        <f>H311*(W307)</f>
        <v>0</v>
      </c>
      <c r="AD311" s="211"/>
      <c r="AE311" s="211"/>
      <c r="AF311" s="211">
        <f>H311*(Z307)</f>
        <v>0</v>
      </c>
      <c r="AG311" s="211"/>
      <c r="AH311" s="211"/>
      <c r="AI311" s="211">
        <f>H311*(AC307)</f>
        <v>0</v>
      </c>
      <c r="AJ311" s="211"/>
      <c r="AK311" s="211"/>
      <c r="AL311" s="211">
        <f>H311*(AF307)</f>
        <v>0</v>
      </c>
      <c r="AM311" s="211"/>
      <c r="AN311" s="211"/>
    </row>
    <row r="312" spans="2:40 16380:16380" s="7" customFormat="1" ht="12" hidden="1" customHeight="1" outlineLevel="3">
      <c r="B312" s="245"/>
      <c r="C312" s="250" t="s">
        <v>757</v>
      </c>
      <c r="D312" s="250"/>
      <c r="E312" s="213"/>
      <c r="F312" s="213"/>
      <c r="G312" s="213"/>
      <c r="H312" s="213"/>
      <c r="I312" s="211">
        <f>INDEX($C$199:$AN$221, MATCH("New Customers 3MS", $C$199:$C$221, 0), MATCH($C312, $C$199:$AN$199, 0))</f>
        <v>0</v>
      </c>
      <c r="J312" s="211"/>
      <c r="K312" s="211"/>
      <c r="L312" s="211">
        <f>I312*(E307)</f>
        <v>0</v>
      </c>
      <c r="M312" s="211"/>
      <c r="N312" s="211"/>
      <c r="O312" s="211">
        <f>I312*(H307)</f>
        <v>0</v>
      </c>
      <c r="P312" s="211"/>
      <c r="Q312" s="211"/>
      <c r="R312" s="211">
        <f>I312*(K307)</f>
        <v>0</v>
      </c>
      <c r="S312" s="211"/>
      <c r="T312" s="211"/>
      <c r="U312" s="211">
        <f>I312*(N307)</f>
        <v>0</v>
      </c>
      <c r="V312" s="211"/>
      <c r="W312" s="211"/>
      <c r="X312" s="211">
        <f>I312*(Q307)</f>
        <v>0</v>
      </c>
      <c r="Y312" s="211"/>
      <c r="Z312" s="211"/>
      <c r="AA312" s="211">
        <f>I312*(T307)</f>
        <v>0</v>
      </c>
      <c r="AB312" s="211"/>
      <c r="AC312" s="211"/>
      <c r="AD312" s="211">
        <f>I312*(W307)</f>
        <v>0</v>
      </c>
      <c r="AE312" s="211"/>
      <c r="AF312" s="211"/>
      <c r="AG312" s="211">
        <f>I312*(Z307)</f>
        <v>0</v>
      </c>
      <c r="AH312" s="211"/>
      <c r="AI312" s="211"/>
      <c r="AJ312" s="211">
        <f>I312*(AC307)</f>
        <v>0</v>
      </c>
      <c r="AK312" s="211"/>
      <c r="AL312" s="211"/>
      <c r="AM312" s="211">
        <f>I312*(AF307)</f>
        <v>0</v>
      </c>
      <c r="AN312" s="211"/>
    </row>
    <row r="313" spans="2:40 16380:16380" s="7" customFormat="1" ht="12" hidden="1" customHeight="1" outlineLevel="3">
      <c r="B313" s="245"/>
      <c r="C313" s="250" t="s">
        <v>758</v>
      </c>
      <c r="D313" s="250"/>
      <c r="E313" s="213"/>
      <c r="F313" s="213"/>
      <c r="G313" s="213"/>
      <c r="H313" s="213"/>
      <c r="I313" s="213"/>
      <c r="J313" s="211">
        <f>INDEX($C$199:$AN$221, MATCH("New Customers 3MS", $C$199:$C$221, 0), MATCH($C313, $C$199:$AN$199, 0))</f>
        <v>0</v>
      </c>
      <c r="K313" s="211"/>
      <c r="L313" s="211"/>
      <c r="M313" s="211">
        <f>J313*(E307)</f>
        <v>0</v>
      </c>
      <c r="N313" s="211"/>
      <c r="O313" s="211"/>
      <c r="P313" s="211">
        <f>J313*(H307)</f>
        <v>0</v>
      </c>
      <c r="Q313" s="211"/>
      <c r="R313" s="211"/>
      <c r="S313" s="211">
        <f>J313*(K307)</f>
        <v>0</v>
      </c>
      <c r="T313" s="211"/>
      <c r="U313" s="211"/>
      <c r="V313" s="211">
        <f>J313*(N307)</f>
        <v>0</v>
      </c>
      <c r="W313" s="211"/>
      <c r="X313" s="211"/>
      <c r="Y313" s="211">
        <f>J313*(Q307)</f>
        <v>0</v>
      </c>
      <c r="Z313" s="211"/>
      <c r="AA313" s="211"/>
      <c r="AB313" s="211">
        <f>J313*(T307)</f>
        <v>0</v>
      </c>
      <c r="AC313" s="211"/>
      <c r="AD313" s="211"/>
      <c r="AE313" s="211">
        <f>J313*(W307)</f>
        <v>0</v>
      </c>
      <c r="AF313" s="211"/>
      <c r="AG313" s="211"/>
      <c r="AH313" s="211">
        <f>J313*(Z307)</f>
        <v>0</v>
      </c>
      <c r="AI313" s="211"/>
      <c r="AJ313" s="211"/>
      <c r="AK313" s="211">
        <f>J313*(AC307)</f>
        <v>0</v>
      </c>
      <c r="AL313" s="211"/>
      <c r="AM313" s="211"/>
      <c r="AN313" s="211">
        <f>J313*(AF307)</f>
        <v>0</v>
      </c>
    </row>
    <row r="314" spans="2:40 16380:16380" s="7" customFormat="1" ht="12" hidden="1" customHeight="1" outlineLevel="3">
      <c r="B314" s="245"/>
      <c r="C314" s="250" t="s">
        <v>759</v>
      </c>
      <c r="D314" s="250"/>
      <c r="E314" s="213"/>
      <c r="F314" s="213"/>
      <c r="G314" s="213"/>
      <c r="H314" s="213"/>
      <c r="I314" s="213"/>
      <c r="J314" s="213"/>
      <c r="K314" s="211">
        <f>INDEX($C$199:$AN$221, MATCH("New Customers 3MS", $C$199:$C$221, 0), MATCH($C314, $C$199:$AN$199, 0))</f>
        <v>0</v>
      </c>
      <c r="L314" s="211"/>
      <c r="M314" s="211"/>
      <c r="N314" s="211">
        <f>K314*(E307)</f>
        <v>0</v>
      </c>
      <c r="O314" s="211"/>
      <c r="P314" s="211"/>
      <c r="Q314" s="211">
        <f>K314*(H307)</f>
        <v>0</v>
      </c>
      <c r="R314" s="211"/>
      <c r="S314" s="211"/>
      <c r="T314" s="211">
        <f>K314*(K307)</f>
        <v>0</v>
      </c>
      <c r="U314" s="211"/>
      <c r="V314" s="211"/>
      <c r="W314" s="211">
        <f>K314*(N307)</f>
        <v>0</v>
      </c>
      <c r="X314" s="211"/>
      <c r="Y314" s="211"/>
      <c r="Z314" s="211">
        <f>K314*(Q307)</f>
        <v>0</v>
      </c>
      <c r="AA314" s="211"/>
      <c r="AB314" s="211"/>
      <c r="AC314" s="211">
        <f>K314*(T307)</f>
        <v>0</v>
      </c>
      <c r="AD314" s="211"/>
      <c r="AE314" s="211"/>
      <c r="AF314" s="211">
        <f>K314*(W307)</f>
        <v>0</v>
      </c>
      <c r="AG314" s="211"/>
      <c r="AH314" s="211"/>
      <c r="AI314" s="211">
        <f>K314*(Z307)</f>
        <v>0</v>
      </c>
      <c r="AJ314" s="211"/>
      <c r="AK314" s="211"/>
      <c r="AL314" s="211">
        <f>K314*(AC307)</f>
        <v>0</v>
      </c>
      <c r="AM314" s="211"/>
      <c r="AN314" s="211"/>
      <c r="XEZ314" s="211"/>
    </row>
    <row r="315" spans="2:40 16380:16380" s="7" customFormat="1" ht="12" hidden="1" customHeight="1" outlineLevel="3">
      <c r="B315" s="245"/>
      <c r="C315" s="250" t="s">
        <v>760</v>
      </c>
      <c r="D315" s="250"/>
      <c r="E315" s="213"/>
      <c r="F315" s="213"/>
      <c r="G315" s="213"/>
      <c r="H315" s="213"/>
      <c r="I315" s="213"/>
      <c r="J315" s="213"/>
      <c r="K315" s="213"/>
      <c r="L315" s="211">
        <f>INDEX($C$199:$AN$221, MATCH("New Customers 3MS", $C$199:$C$221, 0), MATCH($C315, $C$199:$AN$199, 0))</f>
        <v>0</v>
      </c>
      <c r="M315" s="211"/>
      <c r="N315" s="211"/>
      <c r="O315" s="211">
        <f>L315*(E307)</f>
        <v>0</v>
      </c>
      <c r="P315" s="211"/>
      <c r="Q315" s="211"/>
      <c r="R315" s="211">
        <f>L315*(H307)</f>
        <v>0</v>
      </c>
      <c r="S315" s="211"/>
      <c r="T315" s="211"/>
      <c r="U315" s="211">
        <f>L315*(K307)</f>
        <v>0</v>
      </c>
      <c r="V315" s="211"/>
      <c r="W315" s="211"/>
      <c r="X315" s="211">
        <f>L315*(N307)</f>
        <v>0</v>
      </c>
      <c r="Y315" s="211"/>
      <c r="Z315" s="211"/>
      <c r="AA315" s="211">
        <f>L315*(Q307)</f>
        <v>0</v>
      </c>
      <c r="AB315" s="211"/>
      <c r="AC315" s="211"/>
      <c r="AD315" s="211">
        <f>L315*(T307)</f>
        <v>0</v>
      </c>
      <c r="AE315" s="211"/>
      <c r="AF315" s="211"/>
      <c r="AG315" s="211">
        <f>L315*(W307)</f>
        <v>0</v>
      </c>
      <c r="AH315" s="211"/>
      <c r="AI315" s="211"/>
      <c r="AJ315" s="211">
        <f>L315*(Z307)</f>
        <v>0</v>
      </c>
      <c r="AK315" s="211"/>
      <c r="AL315" s="211"/>
      <c r="AM315" s="211">
        <f>L315*(AC307)</f>
        <v>0</v>
      </c>
      <c r="AN315" s="211"/>
      <c r="XEZ315" s="211"/>
    </row>
    <row r="316" spans="2:40 16380:16380" s="7" customFormat="1" ht="12" hidden="1" customHeight="1" outlineLevel="3">
      <c r="B316" s="245"/>
      <c r="C316" s="250" t="s">
        <v>761</v>
      </c>
      <c r="D316" s="250"/>
      <c r="E316" s="213"/>
      <c r="F316" s="213"/>
      <c r="G316" s="213"/>
      <c r="H316" s="213"/>
      <c r="I316" s="213"/>
      <c r="J316" s="213"/>
      <c r="K316" s="213"/>
      <c r="L316" s="213"/>
      <c r="M316" s="211">
        <f>INDEX($C$199:$AN$221, MATCH("New Customers 3MS", $C$199:$C$221, 0), MATCH($C316, $C$199:$AN$199, 0))</f>
        <v>0</v>
      </c>
      <c r="N316" s="211"/>
      <c r="O316" s="211"/>
      <c r="P316" s="211">
        <f>M316*(E307)</f>
        <v>0</v>
      </c>
      <c r="Q316" s="211"/>
      <c r="R316" s="211"/>
      <c r="S316" s="211">
        <f>M316*(H307)</f>
        <v>0</v>
      </c>
      <c r="T316" s="211"/>
      <c r="U316" s="211"/>
      <c r="V316" s="211">
        <f>M316*(K307)</f>
        <v>0</v>
      </c>
      <c r="W316" s="211"/>
      <c r="X316" s="211"/>
      <c r="Y316" s="211">
        <f>M316*(N307)</f>
        <v>0</v>
      </c>
      <c r="Z316" s="211"/>
      <c r="AA316" s="211"/>
      <c r="AB316" s="211">
        <f>M316*(Q307)</f>
        <v>0</v>
      </c>
      <c r="AC316" s="211"/>
      <c r="AD316" s="211"/>
      <c r="AE316" s="211">
        <f>M316*(T307)</f>
        <v>0</v>
      </c>
      <c r="AF316" s="211"/>
      <c r="AG316" s="211"/>
      <c r="AH316" s="211">
        <f>M316*(W307)</f>
        <v>0</v>
      </c>
      <c r="AI316" s="211"/>
      <c r="AJ316" s="211"/>
      <c r="AK316" s="211">
        <f>M316*(Z307)</f>
        <v>0</v>
      </c>
      <c r="AL316" s="211"/>
      <c r="AM316" s="211"/>
      <c r="AN316" s="211">
        <f>M316*(AC307)</f>
        <v>0</v>
      </c>
    </row>
    <row r="317" spans="2:40 16380:16380" s="7" customFormat="1" ht="12" hidden="1" customHeight="1" outlineLevel="3">
      <c r="B317" s="245"/>
      <c r="C317" s="250" t="s">
        <v>762</v>
      </c>
      <c r="D317" s="250"/>
      <c r="E317" s="213"/>
      <c r="F317" s="213"/>
      <c r="G317" s="213"/>
      <c r="H317" s="213"/>
      <c r="I317" s="213"/>
      <c r="J317" s="213"/>
      <c r="K317" s="213"/>
      <c r="L317" s="213"/>
      <c r="M317" s="213"/>
      <c r="N317" s="211">
        <f>INDEX($C$199:$AN$221, MATCH("New Customers 3MS", $C$199:$C$221, 0), MATCH($C317, $C$199:$AN$199, 0))</f>
        <v>0</v>
      </c>
      <c r="O317" s="211"/>
      <c r="P317" s="211"/>
      <c r="Q317" s="211">
        <f>N317*(E307)</f>
        <v>0</v>
      </c>
      <c r="R317" s="211"/>
      <c r="S317" s="211"/>
      <c r="T317" s="211">
        <f>N317*(H307)</f>
        <v>0</v>
      </c>
      <c r="U317" s="211"/>
      <c r="V317" s="211"/>
      <c r="W317" s="211">
        <f>N317*(K307)</f>
        <v>0</v>
      </c>
      <c r="X317" s="211"/>
      <c r="Y317" s="211"/>
      <c r="Z317" s="211">
        <f>N317*(N307)</f>
        <v>0</v>
      </c>
      <c r="AA317" s="211"/>
      <c r="AB317" s="211"/>
      <c r="AC317" s="211">
        <f>N317*(Q307)</f>
        <v>0</v>
      </c>
      <c r="AD317" s="211"/>
      <c r="AE317" s="211"/>
      <c r="AF317" s="211">
        <f>N317*(T307)</f>
        <v>0</v>
      </c>
      <c r="AG317" s="211"/>
      <c r="AH317" s="211"/>
      <c r="AI317" s="211">
        <f>N317*(W307)</f>
        <v>0</v>
      </c>
      <c r="AJ317" s="211"/>
      <c r="AK317" s="211"/>
      <c r="AL317" s="211">
        <f>N317*(Z307)</f>
        <v>0</v>
      </c>
      <c r="AM317" s="211"/>
      <c r="AN317" s="211"/>
      <c r="XEZ317" s="211"/>
    </row>
    <row r="318" spans="2:40 16380:16380" s="7" customFormat="1" ht="12" hidden="1" customHeight="1" outlineLevel="3">
      <c r="B318" s="245"/>
      <c r="C318" s="250" t="s">
        <v>763</v>
      </c>
      <c r="D318" s="250"/>
      <c r="E318" s="213"/>
      <c r="F318" s="213"/>
      <c r="G318" s="213"/>
      <c r="H318" s="213"/>
      <c r="I318" s="213"/>
      <c r="J318" s="213"/>
      <c r="K318" s="213"/>
      <c r="L318" s="213"/>
      <c r="M318" s="213"/>
      <c r="N318" s="213"/>
      <c r="O318" s="211">
        <f>INDEX($C$199:$AN$221, MATCH("New Customers 3MS", $C$199:$C$221, 0), MATCH($C318, $C$199:$AN$199, 0))</f>
        <v>0</v>
      </c>
      <c r="P318" s="211"/>
      <c r="Q318" s="211"/>
      <c r="R318" s="211">
        <f>O318*(E307)</f>
        <v>0</v>
      </c>
      <c r="S318" s="211"/>
      <c r="T318" s="211"/>
      <c r="U318" s="211">
        <f>O318*(H307)</f>
        <v>0</v>
      </c>
      <c r="V318" s="211"/>
      <c r="W318" s="211"/>
      <c r="X318" s="211">
        <f>O318*(K307)</f>
        <v>0</v>
      </c>
      <c r="Y318" s="211"/>
      <c r="Z318" s="211"/>
      <c r="AA318" s="211">
        <f>O318*(N307)</f>
        <v>0</v>
      </c>
      <c r="AB318" s="211"/>
      <c r="AC318" s="211"/>
      <c r="AD318" s="211">
        <f>O318*(Q307)</f>
        <v>0</v>
      </c>
      <c r="AE318" s="211"/>
      <c r="AF318" s="211"/>
      <c r="AG318" s="211">
        <f>O318*(T307)</f>
        <v>0</v>
      </c>
      <c r="AH318" s="211"/>
      <c r="AI318" s="211"/>
      <c r="AJ318" s="211">
        <f>O318*(W307)</f>
        <v>0</v>
      </c>
      <c r="AK318" s="211"/>
      <c r="AL318" s="211"/>
      <c r="AM318" s="211">
        <f>O318*(Z307)</f>
        <v>0</v>
      </c>
      <c r="AN318" s="211"/>
    </row>
    <row r="319" spans="2:40 16380:16380" s="7" customFormat="1" ht="12" hidden="1" customHeight="1" outlineLevel="3">
      <c r="B319" s="245"/>
      <c r="C319" s="250" t="s">
        <v>764</v>
      </c>
      <c r="D319" s="250"/>
      <c r="E319" s="213"/>
      <c r="F319" s="213"/>
      <c r="G319" s="213"/>
      <c r="H319" s="213"/>
      <c r="I319" s="213"/>
      <c r="J319" s="213"/>
      <c r="K319" s="213"/>
      <c r="L319" s="213"/>
      <c r="M319" s="213"/>
      <c r="N319" s="213"/>
      <c r="O319" s="213"/>
      <c r="P319" s="211">
        <f>INDEX($C$199:$AN$221, MATCH("New Customers 3MS", $C$199:$C$221, 0), MATCH($C319, $C$199:$AN$199, 0))</f>
        <v>0</v>
      </c>
      <c r="Q319" s="211"/>
      <c r="R319" s="211"/>
      <c r="S319" s="211">
        <f>P319*(E307)</f>
        <v>0</v>
      </c>
      <c r="T319" s="211"/>
      <c r="U319" s="211"/>
      <c r="V319" s="211">
        <f>P319*(H307)</f>
        <v>0</v>
      </c>
      <c r="W319" s="211"/>
      <c r="X319" s="211"/>
      <c r="Y319" s="211">
        <f>P319*(K307)</f>
        <v>0</v>
      </c>
      <c r="Z319" s="211"/>
      <c r="AA319" s="211"/>
      <c r="AB319" s="211">
        <f>P319*(N307)</f>
        <v>0</v>
      </c>
      <c r="AC319" s="211"/>
      <c r="AD319" s="211"/>
      <c r="AE319" s="211">
        <f>P319*(Q307)</f>
        <v>0</v>
      </c>
      <c r="AF319" s="211"/>
      <c r="AG319" s="211"/>
      <c r="AH319" s="211">
        <f>P319*(T307)</f>
        <v>0</v>
      </c>
      <c r="AI319" s="211"/>
      <c r="AJ319" s="211"/>
      <c r="AK319" s="211">
        <f>P319*(W307)</f>
        <v>0</v>
      </c>
      <c r="AL319" s="211"/>
      <c r="AM319" s="211"/>
      <c r="AN319" s="211">
        <f>P319*(Z307)</f>
        <v>0</v>
      </c>
    </row>
    <row r="320" spans="2:40 16380:16380" s="7" customFormat="1" ht="12" hidden="1" customHeight="1" outlineLevel="3">
      <c r="B320" s="245"/>
      <c r="C320" s="250" t="s">
        <v>765</v>
      </c>
      <c r="D320" s="250"/>
      <c r="E320" s="213"/>
      <c r="F320" s="213"/>
      <c r="G320" s="213"/>
      <c r="H320" s="213"/>
      <c r="I320" s="213"/>
      <c r="J320" s="213"/>
      <c r="K320" s="213"/>
      <c r="L320" s="213"/>
      <c r="M320" s="213"/>
      <c r="N320" s="213"/>
      <c r="O320" s="213"/>
      <c r="P320" s="213"/>
      <c r="Q320" s="211">
        <f>INDEX($C$199:$AN$221, MATCH("New Customers 3MS", $C$199:$C$221, 0), MATCH($C320, $C$199:$AN$199, 0))</f>
        <v>0</v>
      </c>
      <c r="R320" s="211"/>
      <c r="S320" s="211"/>
      <c r="T320" s="211">
        <f>Q320*(E307)</f>
        <v>0</v>
      </c>
      <c r="U320" s="211"/>
      <c r="V320" s="211"/>
      <c r="W320" s="211">
        <f>Q320*(H307)</f>
        <v>0</v>
      </c>
      <c r="X320" s="211"/>
      <c r="Y320" s="211"/>
      <c r="Z320" s="211">
        <f>Q320*(K307)</f>
        <v>0</v>
      </c>
      <c r="AA320" s="211"/>
      <c r="AB320" s="211"/>
      <c r="AC320" s="211">
        <f>Q320*(N307)</f>
        <v>0</v>
      </c>
      <c r="AD320" s="211"/>
      <c r="AE320" s="211"/>
      <c r="AF320" s="211">
        <f>Q320*(Q307)</f>
        <v>0</v>
      </c>
      <c r="AG320" s="211"/>
      <c r="AH320" s="211"/>
      <c r="AI320" s="211">
        <f>Q320*(T307)</f>
        <v>0</v>
      </c>
      <c r="AJ320" s="211"/>
      <c r="AK320" s="211"/>
      <c r="AL320" s="211">
        <f>Q320*(W307)</f>
        <v>0</v>
      </c>
      <c r="AM320" s="211"/>
      <c r="AN320" s="211"/>
    </row>
    <row r="321" spans="2:40 16380:16380" s="7" customFormat="1" ht="12" hidden="1" customHeight="1" outlineLevel="3">
      <c r="B321" s="245"/>
      <c r="C321" s="250" t="s">
        <v>766</v>
      </c>
      <c r="D321" s="250"/>
      <c r="E321" s="213"/>
      <c r="F321" s="213"/>
      <c r="G321" s="213"/>
      <c r="H321" s="213"/>
      <c r="I321" s="213"/>
      <c r="J321" s="213"/>
      <c r="K321" s="213"/>
      <c r="L321" s="213"/>
      <c r="M321" s="213"/>
      <c r="N321" s="213"/>
      <c r="O321" s="213"/>
      <c r="P321" s="213"/>
      <c r="Q321" s="213"/>
      <c r="R321" s="211">
        <f>INDEX($C$199:$AN$221, MATCH("New Customers 3MS", $C$199:$C$221, 0), MATCH($C321, $C$199:$AN$199, 0))</f>
        <v>0</v>
      </c>
      <c r="S321" s="211"/>
      <c r="T321" s="211"/>
      <c r="U321" s="211">
        <f>R321*(E307)</f>
        <v>0</v>
      </c>
      <c r="V321" s="211"/>
      <c r="W321" s="211"/>
      <c r="X321" s="211">
        <f>R321*(H307)</f>
        <v>0</v>
      </c>
      <c r="Y321" s="211"/>
      <c r="Z321" s="211"/>
      <c r="AA321" s="211">
        <f>R321*(K307)</f>
        <v>0</v>
      </c>
      <c r="AB321" s="211"/>
      <c r="AC321" s="211"/>
      <c r="AD321" s="211">
        <f>R321*(N307)</f>
        <v>0</v>
      </c>
      <c r="AE321" s="211"/>
      <c r="AF321" s="211"/>
      <c r="AG321" s="211">
        <f>R321*(Q307)</f>
        <v>0</v>
      </c>
      <c r="AH321" s="211"/>
      <c r="AI321" s="211"/>
      <c r="AJ321" s="211">
        <f>R321*(T307)</f>
        <v>0</v>
      </c>
      <c r="AK321" s="211"/>
      <c r="AL321" s="211"/>
      <c r="AM321" s="211">
        <f>R321*(W307)</f>
        <v>0</v>
      </c>
      <c r="AN321" s="211"/>
      <c r="XEZ321" s="211"/>
    </row>
    <row r="322" spans="2:40 16380:16380" s="7" customFormat="1" ht="12" hidden="1" customHeight="1" outlineLevel="3">
      <c r="B322" s="245"/>
      <c r="C322" s="250" t="s">
        <v>767</v>
      </c>
      <c r="D322" s="250"/>
      <c r="E322" s="213"/>
      <c r="F322" s="213"/>
      <c r="G322" s="213"/>
      <c r="H322" s="213"/>
      <c r="I322" s="213"/>
      <c r="J322" s="213"/>
      <c r="K322" s="213"/>
      <c r="L322" s="213"/>
      <c r="M322" s="213"/>
      <c r="N322" s="213"/>
      <c r="O322" s="213"/>
      <c r="P322" s="213"/>
      <c r="Q322" s="213"/>
      <c r="R322" s="213"/>
      <c r="S322" s="211">
        <f>INDEX($C$199:$AN$221, MATCH("New Customers 3MS", $C$199:$C$221, 0), MATCH($C322, $C$199:$AN$199, 0))</f>
        <v>0</v>
      </c>
      <c r="T322" s="211"/>
      <c r="U322" s="211"/>
      <c r="V322" s="211">
        <f>S322*(E307)</f>
        <v>0</v>
      </c>
      <c r="W322" s="211"/>
      <c r="X322" s="211"/>
      <c r="Y322" s="211">
        <f>S322*(H307)</f>
        <v>0</v>
      </c>
      <c r="Z322" s="211"/>
      <c r="AA322" s="211"/>
      <c r="AB322" s="211">
        <f>S322*(K307)</f>
        <v>0</v>
      </c>
      <c r="AC322" s="211"/>
      <c r="AD322" s="211"/>
      <c r="AE322" s="211">
        <f>S322*(N307)</f>
        <v>0</v>
      </c>
      <c r="AF322" s="211"/>
      <c r="AG322" s="211"/>
      <c r="AH322" s="211">
        <f>S322*(Q307)</f>
        <v>0</v>
      </c>
      <c r="AI322" s="211"/>
      <c r="AJ322" s="211"/>
      <c r="AK322" s="211">
        <f>S322*(T307)</f>
        <v>0</v>
      </c>
      <c r="AL322" s="211"/>
      <c r="AM322" s="211"/>
      <c r="AN322" s="211">
        <f>S322*(W307)</f>
        <v>0</v>
      </c>
    </row>
    <row r="323" spans="2:40 16380:16380" s="7" customFormat="1" ht="12" hidden="1" customHeight="1" outlineLevel="3">
      <c r="B323" s="245"/>
      <c r="C323" s="250" t="s">
        <v>768</v>
      </c>
      <c r="D323" s="250"/>
      <c r="E323" s="213"/>
      <c r="F323" s="213"/>
      <c r="G323" s="213"/>
      <c r="H323" s="213"/>
      <c r="I323" s="213"/>
      <c r="J323" s="213"/>
      <c r="K323" s="213"/>
      <c r="L323" s="213"/>
      <c r="M323" s="213"/>
      <c r="N323" s="213"/>
      <c r="O323" s="213"/>
      <c r="P323" s="213"/>
      <c r="Q323" s="213"/>
      <c r="R323" s="213"/>
      <c r="S323" s="213"/>
      <c r="T323" s="211">
        <f>INDEX($C$199:$AN$221, MATCH("New Customers 3MS", $C$199:$C$221, 0), MATCH($C323, $C$199:$AN$199, 0))</f>
        <v>0</v>
      </c>
      <c r="U323" s="211"/>
      <c r="V323" s="211"/>
      <c r="W323" s="211">
        <f>T323*(E307)</f>
        <v>0</v>
      </c>
      <c r="X323" s="211"/>
      <c r="Y323" s="211"/>
      <c r="Z323" s="211">
        <f>T323*(H307)</f>
        <v>0</v>
      </c>
      <c r="AA323" s="211"/>
      <c r="AB323" s="211"/>
      <c r="AC323" s="211">
        <f>T323*(K307)</f>
        <v>0</v>
      </c>
      <c r="AD323" s="211"/>
      <c r="AE323" s="211"/>
      <c r="AF323" s="211">
        <f>T323*(N307)</f>
        <v>0</v>
      </c>
      <c r="AG323" s="211"/>
      <c r="AH323" s="211"/>
      <c r="AI323" s="211">
        <f>T323*(Q307)</f>
        <v>0</v>
      </c>
      <c r="AJ323" s="211"/>
      <c r="AK323" s="211"/>
      <c r="AL323" s="211">
        <f>T323*(T307)</f>
        <v>0</v>
      </c>
      <c r="AM323" s="211"/>
      <c r="AN323" s="211"/>
    </row>
    <row r="324" spans="2:40 16380:16380" s="7" customFormat="1" ht="12" hidden="1" customHeight="1" outlineLevel="3">
      <c r="B324" s="245"/>
      <c r="C324" s="250" t="s">
        <v>769</v>
      </c>
      <c r="D324" s="250"/>
      <c r="E324" s="213"/>
      <c r="F324" s="213"/>
      <c r="G324" s="213"/>
      <c r="H324" s="213"/>
      <c r="I324" s="213"/>
      <c r="J324" s="213"/>
      <c r="K324" s="213"/>
      <c r="L324" s="213"/>
      <c r="M324" s="213"/>
      <c r="N324" s="213"/>
      <c r="O324" s="213"/>
      <c r="P324" s="213"/>
      <c r="Q324" s="213"/>
      <c r="R324" s="213"/>
      <c r="S324" s="213"/>
      <c r="T324" s="213"/>
      <c r="U324" s="211">
        <f>INDEX($C$199:$AN$221, MATCH("New Customers 3MS", $C$199:$C$221, 0), MATCH($C324, $C$199:$AN$199, 0))</f>
        <v>0</v>
      </c>
      <c r="V324" s="211"/>
      <c r="W324" s="211"/>
      <c r="X324" s="211">
        <f>U324*(E307)</f>
        <v>0</v>
      </c>
      <c r="Y324" s="211"/>
      <c r="Z324" s="211"/>
      <c r="AA324" s="211">
        <f>U324*(H307)</f>
        <v>0</v>
      </c>
      <c r="AB324" s="211"/>
      <c r="AC324" s="211"/>
      <c r="AD324" s="211">
        <f>U324*(K307)</f>
        <v>0</v>
      </c>
      <c r="AE324" s="211"/>
      <c r="AF324" s="211"/>
      <c r="AG324" s="211">
        <f>U324*(N307)</f>
        <v>0</v>
      </c>
      <c r="AH324" s="211"/>
      <c r="AI324" s="211"/>
      <c r="AJ324" s="211">
        <f>U324*(Q307)</f>
        <v>0</v>
      </c>
      <c r="AK324" s="211"/>
      <c r="AL324" s="211"/>
      <c r="AM324" s="211">
        <f>U324*(T307)</f>
        <v>0</v>
      </c>
      <c r="AN324" s="211"/>
    </row>
    <row r="325" spans="2:40 16380:16380" s="7" customFormat="1" ht="12" hidden="1" customHeight="1" outlineLevel="3">
      <c r="B325" s="245"/>
      <c r="C325" s="250" t="s">
        <v>770</v>
      </c>
      <c r="D325" s="250"/>
      <c r="E325" s="213"/>
      <c r="F325" s="213"/>
      <c r="G325" s="213"/>
      <c r="H325" s="213"/>
      <c r="I325" s="213"/>
      <c r="J325" s="213"/>
      <c r="K325" s="213"/>
      <c r="L325" s="213"/>
      <c r="M325" s="213"/>
      <c r="N325" s="213"/>
      <c r="O325" s="213"/>
      <c r="P325" s="213"/>
      <c r="Q325" s="213"/>
      <c r="R325" s="213"/>
      <c r="S325" s="213"/>
      <c r="T325" s="213"/>
      <c r="U325" s="213"/>
      <c r="V325" s="211">
        <f>INDEX($C$199:$AN$221, MATCH("New Customers 3MS", $C$199:$C$221, 0), MATCH($C325, $C$199:$AN$199, 0))</f>
        <v>0</v>
      </c>
      <c r="W325" s="211"/>
      <c r="X325" s="211"/>
      <c r="Y325" s="211">
        <f>V325*(E307)</f>
        <v>0</v>
      </c>
      <c r="Z325" s="211"/>
      <c r="AA325" s="211"/>
      <c r="AB325" s="211">
        <f>V325*(H307)</f>
        <v>0</v>
      </c>
      <c r="AC325" s="211"/>
      <c r="AD325" s="211"/>
      <c r="AE325" s="211">
        <f>V325*(K307)</f>
        <v>0</v>
      </c>
      <c r="AF325" s="211"/>
      <c r="AG325" s="211"/>
      <c r="AH325" s="211">
        <f>V325*(N307)</f>
        <v>0</v>
      </c>
      <c r="AI325" s="211"/>
      <c r="AJ325" s="211"/>
      <c r="AK325" s="211">
        <f>V325*(Q307)</f>
        <v>0</v>
      </c>
      <c r="AL325" s="211"/>
      <c r="AM325" s="211"/>
      <c r="AN325" s="211">
        <f>V325*(T307)</f>
        <v>0</v>
      </c>
    </row>
    <row r="326" spans="2:40 16380:16380" s="7" customFormat="1" ht="12" hidden="1" customHeight="1" outlineLevel="3">
      <c r="B326" s="245"/>
      <c r="C326" s="250" t="s">
        <v>771</v>
      </c>
      <c r="D326" s="250"/>
      <c r="E326" s="213"/>
      <c r="F326" s="213"/>
      <c r="G326" s="213"/>
      <c r="H326" s="213"/>
      <c r="I326" s="213"/>
      <c r="J326" s="213"/>
      <c r="K326" s="213"/>
      <c r="L326" s="213"/>
      <c r="M326" s="213"/>
      <c r="N326" s="213"/>
      <c r="O326" s="213"/>
      <c r="P326" s="213"/>
      <c r="Q326" s="213"/>
      <c r="R326" s="213"/>
      <c r="S326" s="213"/>
      <c r="T326" s="213"/>
      <c r="U326" s="213"/>
      <c r="V326" s="213"/>
      <c r="W326" s="211">
        <f>INDEX($C$199:$AN$221, MATCH("New Customers 3MS", $C$199:$C$221, 0), MATCH($C326, $C$199:$AN$199, 0))</f>
        <v>0</v>
      </c>
      <c r="X326" s="211"/>
      <c r="Y326" s="211"/>
      <c r="Z326" s="211">
        <f>W326*(E307)</f>
        <v>0</v>
      </c>
      <c r="AA326" s="211"/>
      <c r="AB326" s="211"/>
      <c r="AC326" s="211">
        <f>W326*(H307)</f>
        <v>0</v>
      </c>
      <c r="AD326" s="211"/>
      <c r="AE326" s="211"/>
      <c r="AF326" s="211">
        <f>W326*(K307)</f>
        <v>0</v>
      </c>
      <c r="AG326" s="211"/>
      <c r="AH326" s="211"/>
      <c r="AI326" s="211">
        <f>W326*(N307)</f>
        <v>0</v>
      </c>
      <c r="AJ326" s="211"/>
      <c r="AK326" s="211"/>
      <c r="AL326" s="211">
        <f>W326*(Q307)</f>
        <v>0</v>
      </c>
      <c r="AM326" s="211"/>
      <c r="AN326" s="211"/>
    </row>
    <row r="327" spans="2:40 16380:16380" s="7" customFormat="1" ht="12" hidden="1" customHeight="1" outlineLevel="3">
      <c r="B327" s="245"/>
      <c r="C327" s="250" t="s">
        <v>772</v>
      </c>
      <c r="D327" s="250"/>
      <c r="E327" s="213"/>
      <c r="F327" s="213"/>
      <c r="G327" s="213"/>
      <c r="H327" s="213"/>
      <c r="I327" s="213"/>
      <c r="J327" s="213"/>
      <c r="K327" s="213"/>
      <c r="L327" s="213"/>
      <c r="M327" s="213"/>
      <c r="N327" s="213"/>
      <c r="O327" s="213"/>
      <c r="P327" s="213"/>
      <c r="Q327" s="213"/>
      <c r="R327" s="213"/>
      <c r="S327" s="213"/>
      <c r="T327" s="213"/>
      <c r="U327" s="213"/>
      <c r="V327" s="213"/>
      <c r="W327" s="213"/>
      <c r="X327" s="211">
        <f>INDEX($C$199:$AN$221, MATCH("New Customers 3MS", $C$199:$C$221, 0), MATCH($C327, $C$199:$AN$199, 0))</f>
        <v>0</v>
      </c>
      <c r="Y327" s="211"/>
      <c r="Z327" s="211"/>
      <c r="AA327" s="211">
        <f>X327*(E307)</f>
        <v>0</v>
      </c>
      <c r="AB327" s="211"/>
      <c r="AC327" s="211"/>
      <c r="AD327" s="211">
        <f>X327*(H307)</f>
        <v>0</v>
      </c>
      <c r="AE327" s="211"/>
      <c r="AF327" s="211"/>
      <c r="AG327" s="211">
        <f>X327*(K307)</f>
        <v>0</v>
      </c>
      <c r="AH327" s="211"/>
      <c r="AI327" s="211"/>
      <c r="AJ327" s="211">
        <f>X327*(N307)</f>
        <v>0</v>
      </c>
      <c r="AK327" s="211"/>
      <c r="AL327" s="211"/>
      <c r="AM327" s="211">
        <f>X327*(Q307)</f>
        <v>0</v>
      </c>
      <c r="AN327" s="211"/>
    </row>
    <row r="328" spans="2:40 16380:16380" s="7" customFormat="1" ht="12" hidden="1" customHeight="1" outlineLevel="3">
      <c r="B328" s="245"/>
      <c r="C328" s="250" t="s">
        <v>773</v>
      </c>
      <c r="D328" s="250"/>
      <c r="E328" s="213"/>
      <c r="F328" s="213"/>
      <c r="G328" s="213"/>
      <c r="H328" s="213"/>
      <c r="I328" s="213"/>
      <c r="J328" s="213"/>
      <c r="K328" s="213"/>
      <c r="L328" s="213"/>
      <c r="M328" s="213"/>
      <c r="N328" s="213"/>
      <c r="O328" s="213"/>
      <c r="P328" s="213"/>
      <c r="Q328" s="213"/>
      <c r="R328" s="213"/>
      <c r="S328" s="213"/>
      <c r="T328" s="213"/>
      <c r="U328" s="213"/>
      <c r="V328" s="213"/>
      <c r="W328" s="213"/>
      <c r="X328" s="213"/>
      <c r="Y328" s="211">
        <f>INDEX($C$199:$AN$221, MATCH("New Customers 3MS", $C$199:$C$221, 0), MATCH($C328, $C$199:$AN$199, 0))</f>
        <v>0</v>
      </c>
      <c r="Z328" s="211"/>
      <c r="AA328" s="211"/>
      <c r="AB328" s="211">
        <f>Y328*(E307)</f>
        <v>0</v>
      </c>
      <c r="AC328" s="211"/>
      <c r="AD328" s="211"/>
      <c r="AE328" s="211">
        <f>Y328*(H307)</f>
        <v>0</v>
      </c>
      <c r="AF328" s="211"/>
      <c r="AG328" s="211"/>
      <c r="AH328" s="211">
        <f>Y328*(K307)</f>
        <v>0</v>
      </c>
      <c r="AI328" s="211"/>
      <c r="AJ328" s="211"/>
      <c r="AK328" s="211">
        <f>Y328*(N307)</f>
        <v>0</v>
      </c>
      <c r="AL328" s="211"/>
      <c r="AM328" s="211"/>
      <c r="AN328" s="211">
        <f>Y328*(Q307)</f>
        <v>0</v>
      </c>
    </row>
    <row r="329" spans="2:40 16380:16380" s="7" customFormat="1" ht="12" hidden="1" customHeight="1" outlineLevel="3">
      <c r="B329" s="245"/>
      <c r="C329" s="250" t="s">
        <v>774</v>
      </c>
      <c r="D329" s="250"/>
      <c r="E329" s="213"/>
      <c r="F329" s="213"/>
      <c r="G329" s="213"/>
      <c r="H329" s="213"/>
      <c r="I329" s="213"/>
      <c r="J329" s="213"/>
      <c r="K329" s="213"/>
      <c r="L329" s="213"/>
      <c r="M329" s="213"/>
      <c r="N329" s="213"/>
      <c r="O329" s="213"/>
      <c r="P329" s="213"/>
      <c r="Q329" s="213"/>
      <c r="R329" s="213"/>
      <c r="S329" s="213"/>
      <c r="T329" s="213"/>
      <c r="U329" s="213"/>
      <c r="V329" s="213"/>
      <c r="W329" s="213"/>
      <c r="X329" s="213"/>
      <c r="Y329" s="213"/>
      <c r="Z329" s="211">
        <f>INDEX($C$199:$AN$221, MATCH("New Customers 3MS", $C$199:$C$221, 0), MATCH($C329, $C$199:$AN$199, 0))</f>
        <v>0</v>
      </c>
      <c r="AA329" s="211"/>
      <c r="AB329" s="211"/>
      <c r="AC329" s="211">
        <f>Z329*(E307)</f>
        <v>0</v>
      </c>
      <c r="AD329" s="211"/>
      <c r="AE329" s="211"/>
      <c r="AF329" s="211">
        <f>Z329*(H307)</f>
        <v>0</v>
      </c>
      <c r="AG329" s="211"/>
      <c r="AH329" s="211"/>
      <c r="AI329" s="211">
        <f>Z329*(K307)</f>
        <v>0</v>
      </c>
      <c r="AJ329" s="211"/>
      <c r="AK329" s="211"/>
      <c r="AL329" s="211">
        <f>Z329*(N307)</f>
        <v>0</v>
      </c>
      <c r="AM329" s="211"/>
      <c r="AN329" s="211"/>
    </row>
    <row r="330" spans="2:40 16380:16380" s="7" customFormat="1" ht="12" hidden="1" customHeight="1" outlineLevel="3">
      <c r="B330" s="245"/>
      <c r="C330" s="250" t="s">
        <v>775</v>
      </c>
      <c r="D330" s="250"/>
      <c r="E330" s="213"/>
      <c r="F330" s="213"/>
      <c r="G330" s="213"/>
      <c r="H330" s="213"/>
      <c r="I330" s="213"/>
      <c r="J330" s="213"/>
      <c r="K330" s="213"/>
      <c r="L330" s="213"/>
      <c r="M330" s="213"/>
      <c r="N330" s="213"/>
      <c r="O330" s="213"/>
      <c r="P330" s="213"/>
      <c r="Q330" s="213"/>
      <c r="R330" s="213"/>
      <c r="S330" s="213"/>
      <c r="T330" s="213"/>
      <c r="U330" s="213"/>
      <c r="V330" s="213"/>
      <c r="W330" s="213"/>
      <c r="X330" s="213"/>
      <c r="Y330" s="213"/>
      <c r="Z330" s="213"/>
      <c r="AA330" s="211">
        <f>INDEX($C$199:$AN$221, MATCH("New Customers 3MS", $C$199:$C$221, 0), MATCH($C330, $C$199:$AN$199, 0))</f>
        <v>0</v>
      </c>
      <c r="AB330" s="211"/>
      <c r="AC330" s="211"/>
      <c r="AD330" s="211">
        <f>AA330*(E307)</f>
        <v>0</v>
      </c>
      <c r="AE330" s="211"/>
      <c r="AF330" s="211"/>
      <c r="AG330" s="211">
        <f>AA330*(H307)</f>
        <v>0</v>
      </c>
      <c r="AH330" s="211"/>
      <c r="AI330" s="211"/>
      <c r="AJ330" s="211">
        <f>AA330*(K307)</f>
        <v>0</v>
      </c>
      <c r="AK330" s="211"/>
      <c r="AL330" s="211"/>
      <c r="AM330" s="211">
        <f>AA330*(N307)</f>
        <v>0</v>
      </c>
      <c r="AN330" s="211"/>
    </row>
    <row r="331" spans="2:40 16380:16380" s="7" customFormat="1" ht="12" hidden="1" customHeight="1" outlineLevel="3">
      <c r="B331" s="245"/>
      <c r="C331" s="250" t="s">
        <v>776</v>
      </c>
      <c r="D331" s="250"/>
      <c r="E331" s="213"/>
      <c r="F331" s="213"/>
      <c r="G331" s="213"/>
      <c r="H331" s="213"/>
      <c r="I331" s="213"/>
      <c r="J331" s="213"/>
      <c r="K331" s="213"/>
      <c r="L331" s="213"/>
      <c r="M331" s="213"/>
      <c r="N331" s="213"/>
      <c r="O331" s="213"/>
      <c r="P331" s="213"/>
      <c r="Q331" s="213"/>
      <c r="R331" s="213"/>
      <c r="S331" s="213"/>
      <c r="T331" s="213"/>
      <c r="U331" s="213"/>
      <c r="V331" s="213"/>
      <c r="W331" s="213"/>
      <c r="X331" s="213"/>
      <c r="Y331" s="213"/>
      <c r="Z331" s="213"/>
      <c r="AA331" s="213"/>
      <c r="AB331" s="211">
        <f>INDEX($C$199:$AN$221, MATCH("New Customers 3MS", $C$199:$C$221, 0), MATCH($C331, $C$199:$AN$199, 0))</f>
        <v>0</v>
      </c>
      <c r="AC331" s="211"/>
      <c r="AD331" s="211"/>
      <c r="AE331" s="211">
        <f>AB331*(E307)</f>
        <v>0</v>
      </c>
      <c r="AF331" s="211"/>
      <c r="AG331" s="211"/>
      <c r="AH331" s="211">
        <f>AB331*(H307)</f>
        <v>0</v>
      </c>
      <c r="AI331" s="211"/>
      <c r="AJ331" s="211"/>
      <c r="AK331" s="211">
        <f>AB331*($K$153)</f>
        <v>0</v>
      </c>
      <c r="AL331" s="211"/>
      <c r="AM331" s="211"/>
      <c r="AN331" s="211">
        <f>AB331*(N307)</f>
        <v>0</v>
      </c>
    </row>
    <row r="332" spans="2:40 16380:16380" s="7" customFormat="1" ht="12" hidden="1" customHeight="1" outlineLevel="3">
      <c r="B332" s="245"/>
      <c r="C332" s="250" t="s">
        <v>777</v>
      </c>
      <c r="D332" s="250"/>
      <c r="E332" s="213"/>
      <c r="F332" s="213"/>
      <c r="G332" s="213"/>
      <c r="H332" s="213"/>
      <c r="I332" s="213"/>
      <c r="J332" s="213"/>
      <c r="K332" s="213"/>
      <c r="L332" s="213"/>
      <c r="M332" s="213"/>
      <c r="N332" s="213"/>
      <c r="O332" s="213"/>
      <c r="P332" s="213"/>
      <c r="Q332" s="213"/>
      <c r="R332" s="213"/>
      <c r="S332" s="213"/>
      <c r="T332" s="213"/>
      <c r="U332" s="213"/>
      <c r="V332" s="213"/>
      <c r="W332" s="213"/>
      <c r="X332" s="213"/>
      <c r="Y332" s="213"/>
      <c r="Z332" s="213"/>
      <c r="AA332" s="213"/>
      <c r="AB332" s="211"/>
      <c r="AC332" s="211">
        <f>INDEX($C$199:$AN$221, MATCH("New Customers 3MS", $C$199:$C$221, 0), MATCH($C332, $C$199:$AN$199, 0))</f>
        <v>0</v>
      </c>
      <c r="AD332" s="211"/>
      <c r="AE332" s="211"/>
      <c r="AF332" s="211">
        <f>AC332*($E$153)</f>
        <v>0</v>
      </c>
      <c r="AG332" s="211"/>
      <c r="AH332" s="211"/>
      <c r="AI332" s="211">
        <f>AB331*($H$153)</f>
        <v>0</v>
      </c>
      <c r="AJ332" s="211"/>
      <c r="AK332" s="211"/>
      <c r="AL332" s="211">
        <f>AC332*($K$153)</f>
        <v>0</v>
      </c>
      <c r="AM332" s="211"/>
      <c r="AN332" s="211"/>
    </row>
    <row r="333" spans="2:40 16380:16380" s="7" customFormat="1" ht="12" hidden="1" customHeight="1" outlineLevel="3">
      <c r="B333" s="245"/>
      <c r="C333" s="250" t="s">
        <v>778</v>
      </c>
      <c r="D333" s="250"/>
      <c r="E333" s="213"/>
      <c r="F333" s="213"/>
      <c r="G333" s="213"/>
      <c r="H333" s="213"/>
      <c r="I333" s="213"/>
      <c r="J333" s="213"/>
      <c r="K333" s="213"/>
      <c r="L333" s="213"/>
      <c r="M333" s="213"/>
      <c r="N333" s="213"/>
      <c r="O333" s="213"/>
      <c r="P333" s="213"/>
      <c r="Q333" s="213"/>
      <c r="R333" s="213"/>
      <c r="S333" s="213"/>
      <c r="T333" s="213"/>
      <c r="U333" s="213"/>
      <c r="V333" s="213"/>
      <c r="W333" s="213"/>
      <c r="X333" s="213"/>
      <c r="Y333" s="213"/>
      <c r="Z333" s="213"/>
      <c r="AA333" s="213"/>
      <c r="AB333" s="211"/>
      <c r="AC333" s="211"/>
      <c r="AD333" s="211">
        <f>INDEX($C$199:$AN$221, MATCH("New Customers 3MS", $C$199:$C$221, 0), MATCH($C333, $C$199:$AN$199, 0))</f>
        <v>0</v>
      </c>
      <c r="AE333" s="211"/>
      <c r="AF333" s="211"/>
      <c r="AG333" s="211">
        <f>AD333*($E$153)</f>
        <v>0</v>
      </c>
      <c r="AH333" s="211"/>
      <c r="AI333" s="211"/>
      <c r="AJ333" s="211">
        <f>AB331*($H$153)</f>
        <v>0</v>
      </c>
      <c r="AK333" s="211"/>
      <c r="AL333" s="211"/>
      <c r="AM333" s="211">
        <f>AD333*($K$153)</f>
        <v>0</v>
      </c>
      <c r="AN333" s="211"/>
    </row>
    <row r="334" spans="2:40 16380:16380" s="7" customFormat="1" ht="12" hidden="1" customHeight="1" outlineLevel="3">
      <c r="B334" s="245"/>
      <c r="C334" s="250" t="s">
        <v>779</v>
      </c>
      <c r="D334" s="250"/>
      <c r="E334" s="213"/>
      <c r="F334" s="213"/>
      <c r="G334" s="213"/>
      <c r="H334" s="213"/>
      <c r="I334" s="213"/>
      <c r="J334" s="213"/>
      <c r="K334" s="213"/>
      <c r="L334" s="213"/>
      <c r="M334" s="213"/>
      <c r="N334" s="213"/>
      <c r="O334" s="213"/>
      <c r="P334" s="213"/>
      <c r="Q334" s="213"/>
      <c r="R334" s="213"/>
      <c r="S334" s="213"/>
      <c r="T334" s="213"/>
      <c r="U334" s="213"/>
      <c r="V334" s="213"/>
      <c r="W334" s="213"/>
      <c r="X334" s="213"/>
      <c r="Y334" s="213"/>
      <c r="Z334" s="213"/>
      <c r="AA334" s="213"/>
      <c r="AB334" s="211"/>
      <c r="AC334" s="211"/>
      <c r="AD334" s="211"/>
      <c r="AE334" s="211">
        <f>INDEX($C$199:$AN$221, MATCH("New Customers 3MS", $C$199:$C$221, 0), MATCH($C334, $C$199:$AN$199, 0))</f>
        <v>0</v>
      </c>
      <c r="AF334" s="211"/>
      <c r="AG334" s="211"/>
      <c r="AH334" s="211">
        <f>AE334*($E$153)</f>
        <v>0</v>
      </c>
      <c r="AI334" s="211"/>
      <c r="AJ334" s="211"/>
      <c r="AK334" s="211">
        <f>AB331*($H$153)</f>
        <v>0</v>
      </c>
      <c r="AL334" s="211"/>
      <c r="AM334" s="211"/>
      <c r="AN334" s="211">
        <f>AE334*($K$153)</f>
        <v>0</v>
      </c>
    </row>
    <row r="335" spans="2:40 16380:16380" s="7" customFormat="1" ht="12" hidden="1" customHeight="1" outlineLevel="3">
      <c r="B335" s="245"/>
      <c r="C335" s="250" t="s">
        <v>780</v>
      </c>
      <c r="D335" s="250"/>
      <c r="E335" s="213"/>
      <c r="F335" s="213"/>
      <c r="G335" s="213"/>
      <c r="H335" s="213"/>
      <c r="I335" s="213"/>
      <c r="J335" s="213"/>
      <c r="K335" s="213"/>
      <c r="L335" s="213"/>
      <c r="M335" s="213"/>
      <c r="N335" s="213"/>
      <c r="O335" s="213"/>
      <c r="P335" s="213"/>
      <c r="Q335" s="213"/>
      <c r="R335" s="213"/>
      <c r="S335" s="213"/>
      <c r="T335" s="213"/>
      <c r="U335" s="213"/>
      <c r="V335" s="213"/>
      <c r="W335" s="213"/>
      <c r="X335" s="213"/>
      <c r="Y335" s="213"/>
      <c r="Z335" s="213"/>
      <c r="AA335" s="213"/>
      <c r="AB335" s="211"/>
      <c r="AC335" s="211"/>
      <c r="AD335" s="211"/>
      <c r="AE335" s="211"/>
      <c r="AF335" s="211">
        <f>INDEX($C$199:$AN$221, MATCH("New Customers 3MS", $C$199:$C$221, 0), MATCH($C335, $C$199:$AN$199, 0))</f>
        <v>0</v>
      </c>
      <c r="AG335" s="211"/>
      <c r="AH335" s="211"/>
      <c r="AI335" s="211">
        <f>AF335*($E$153)</f>
        <v>0</v>
      </c>
      <c r="AJ335" s="211"/>
      <c r="AK335" s="211"/>
      <c r="AL335" s="211">
        <f>AB331*($H$153)</f>
        <v>0</v>
      </c>
      <c r="AM335" s="211"/>
      <c r="AN335" s="211"/>
    </row>
    <row r="336" spans="2:40 16380:16380" s="7" customFormat="1" ht="12" hidden="1" customHeight="1" outlineLevel="3">
      <c r="B336" s="245"/>
      <c r="C336" s="250" t="s">
        <v>781</v>
      </c>
      <c r="D336" s="250"/>
      <c r="E336" s="213"/>
      <c r="F336" s="213"/>
      <c r="G336" s="213"/>
      <c r="H336" s="213"/>
      <c r="I336" s="213"/>
      <c r="J336" s="213"/>
      <c r="K336" s="213"/>
      <c r="L336" s="213"/>
      <c r="M336" s="213"/>
      <c r="N336" s="213"/>
      <c r="O336" s="213"/>
      <c r="P336" s="213"/>
      <c r="Q336" s="213"/>
      <c r="R336" s="213"/>
      <c r="S336" s="213"/>
      <c r="T336" s="213"/>
      <c r="U336" s="213"/>
      <c r="V336" s="213"/>
      <c r="W336" s="213"/>
      <c r="X336" s="213"/>
      <c r="Y336" s="213"/>
      <c r="Z336" s="213"/>
      <c r="AA336" s="213"/>
      <c r="AB336" s="211"/>
      <c r="AC336" s="211"/>
      <c r="AD336" s="211"/>
      <c r="AE336" s="211"/>
      <c r="AF336" s="211"/>
      <c r="AG336" s="211">
        <f>INDEX($C$199:$AN$221, MATCH("New Customers 3MS", $C$199:$C$221, 0), MATCH($C336, $C$199:$AN$199, 0))</f>
        <v>0</v>
      </c>
      <c r="AH336" s="211"/>
      <c r="AI336" s="211"/>
      <c r="AJ336" s="211">
        <f>AG336*($E$153)</f>
        <v>0</v>
      </c>
      <c r="AK336" s="211"/>
      <c r="AL336" s="211"/>
      <c r="AM336" s="211">
        <f>AB331*($H$153)</f>
        <v>0</v>
      </c>
      <c r="AN336" s="211"/>
    </row>
    <row r="337" spans="2:40" s="7" customFormat="1" ht="12" hidden="1" customHeight="1" outlineLevel="3">
      <c r="B337" s="245"/>
      <c r="C337" s="250" t="s">
        <v>782</v>
      </c>
      <c r="D337" s="250"/>
      <c r="E337" s="213"/>
      <c r="F337" s="213"/>
      <c r="G337" s="213"/>
      <c r="H337" s="213"/>
      <c r="I337" s="213"/>
      <c r="J337" s="213"/>
      <c r="K337" s="213"/>
      <c r="L337" s="213"/>
      <c r="M337" s="213"/>
      <c r="N337" s="213"/>
      <c r="O337" s="213"/>
      <c r="P337" s="213"/>
      <c r="Q337" s="213"/>
      <c r="R337" s="213"/>
      <c r="S337" s="213"/>
      <c r="T337" s="213"/>
      <c r="U337" s="213"/>
      <c r="V337" s="213"/>
      <c r="W337" s="213"/>
      <c r="X337" s="213"/>
      <c r="Y337" s="213"/>
      <c r="Z337" s="213"/>
      <c r="AA337" s="213"/>
      <c r="AB337" s="211"/>
      <c r="AC337" s="211"/>
      <c r="AD337" s="211"/>
      <c r="AE337" s="211"/>
      <c r="AF337" s="211"/>
      <c r="AG337" s="211"/>
      <c r="AH337" s="211">
        <f>INDEX($C$199:$AN$221, MATCH("New Customers 3MS", $C$199:$C$221, 0), MATCH($C337, $C$199:$AN$199, 0))</f>
        <v>0</v>
      </c>
      <c r="AI337" s="211"/>
      <c r="AJ337" s="211"/>
      <c r="AK337" s="211">
        <f>AH337*($E$153)</f>
        <v>0</v>
      </c>
      <c r="AL337" s="211"/>
      <c r="AM337" s="211"/>
      <c r="AN337" s="211">
        <f>AB331*($H$153)</f>
        <v>0</v>
      </c>
    </row>
    <row r="338" spans="2:40" s="7" customFormat="1" ht="12" hidden="1" customHeight="1" outlineLevel="3">
      <c r="B338" s="245"/>
      <c r="C338" s="250" t="s">
        <v>783</v>
      </c>
      <c r="D338" s="250"/>
      <c r="E338" s="213"/>
      <c r="F338" s="213"/>
      <c r="G338" s="213"/>
      <c r="H338" s="213"/>
      <c r="I338" s="213"/>
      <c r="J338" s="213"/>
      <c r="K338" s="213"/>
      <c r="L338" s="213"/>
      <c r="M338" s="213"/>
      <c r="N338" s="213"/>
      <c r="O338" s="213"/>
      <c r="P338" s="213"/>
      <c r="Q338" s="213"/>
      <c r="R338" s="213"/>
      <c r="S338" s="213"/>
      <c r="T338" s="213"/>
      <c r="U338" s="213"/>
      <c r="V338" s="213"/>
      <c r="W338" s="213"/>
      <c r="X338" s="213"/>
      <c r="Y338" s="213"/>
      <c r="Z338" s="213"/>
      <c r="AA338" s="213"/>
      <c r="AB338" s="211"/>
      <c r="AC338" s="211"/>
      <c r="AD338" s="211"/>
      <c r="AE338" s="211"/>
      <c r="AF338" s="211"/>
      <c r="AG338" s="211"/>
      <c r="AH338" s="211"/>
      <c r="AI338" s="211">
        <f>INDEX($C$199:$AN$221, MATCH("New Customers 3MS", $C$199:$C$221, 0), MATCH($C338, $C$199:$AN$199, 0))</f>
        <v>0</v>
      </c>
      <c r="AJ338" s="211"/>
      <c r="AK338" s="211"/>
      <c r="AL338" s="211">
        <f>AI338*($E$153)</f>
        <v>0</v>
      </c>
      <c r="AM338" s="211"/>
      <c r="AN338" s="211"/>
    </row>
    <row r="339" spans="2:40" s="7" customFormat="1" ht="12" hidden="1" customHeight="1" outlineLevel="3">
      <c r="B339" s="245"/>
      <c r="C339" s="250" t="s">
        <v>784</v>
      </c>
      <c r="D339" s="250"/>
      <c r="E339" s="213"/>
      <c r="F339" s="213"/>
      <c r="G339" s="213"/>
      <c r="H339" s="213"/>
      <c r="I339" s="213"/>
      <c r="J339" s="213"/>
      <c r="K339" s="213"/>
      <c r="L339" s="213"/>
      <c r="M339" s="213"/>
      <c r="N339" s="213"/>
      <c r="O339" s="213"/>
      <c r="P339" s="213"/>
      <c r="Q339" s="213"/>
      <c r="R339" s="213"/>
      <c r="S339" s="213"/>
      <c r="T339" s="213"/>
      <c r="U339" s="213"/>
      <c r="V339" s="213"/>
      <c r="W339" s="213"/>
      <c r="X339" s="213"/>
      <c r="Y339" s="213"/>
      <c r="Z339" s="213"/>
      <c r="AA339" s="213"/>
      <c r="AB339" s="211"/>
      <c r="AC339" s="211"/>
      <c r="AD339" s="211"/>
      <c r="AE339" s="211"/>
      <c r="AF339" s="211"/>
      <c r="AG339" s="211"/>
      <c r="AH339" s="211"/>
      <c r="AI339" s="211"/>
      <c r="AJ339" s="211">
        <f>INDEX($C$199:$AN$221, MATCH("New Customers 3MS", $C$199:$C$221, 0), MATCH($C339, $C$199:$AN$199, 0))</f>
        <v>0</v>
      </c>
      <c r="AK339" s="211"/>
      <c r="AL339" s="211"/>
      <c r="AM339" s="211">
        <f>AJ339*($E$153)</f>
        <v>0</v>
      </c>
      <c r="AN339" s="211"/>
    </row>
    <row r="340" spans="2:40" s="7" customFormat="1" ht="12" hidden="1" customHeight="1" outlineLevel="3">
      <c r="B340" s="245"/>
      <c r="C340" s="250" t="s">
        <v>785</v>
      </c>
      <c r="D340" s="250"/>
      <c r="E340" s="213"/>
      <c r="F340" s="213"/>
      <c r="G340" s="213"/>
      <c r="H340" s="213"/>
      <c r="I340" s="213"/>
      <c r="J340" s="213"/>
      <c r="K340" s="213"/>
      <c r="L340" s="213"/>
      <c r="M340" s="213"/>
      <c r="N340" s="213"/>
      <c r="O340" s="213"/>
      <c r="P340" s="213"/>
      <c r="Q340" s="213"/>
      <c r="R340" s="213"/>
      <c r="S340" s="213"/>
      <c r="T340" s="213"/>
      <c r="U340" s="213"/>
      <c r="V340" s="213"/>
      <c r="W340" s="213"/>
      <c r="X340" s="213"/>
      <c r="Y340" s="213"/>
      <c r="Z340" s="213"/>
      <c r="AA340" s="213"/>
      <c r="AB340" s="211"/>
      <c r="AC340" s="211"/>
      <c r="AD340" s="211"/>
      <c r="AE340" s="211"/>
      <c r="AF340" s="211"/>
      <c r="AG340" s="211"/>
      <c r="AH340" s="211"/>
      <c r="AI340" s="211"/>
      <c r="AJ340" s="211"/>
      <c r="AK340" s="211">
        <f>INDEX($C$199:$AN$221, MATCH("New Customers 3MS", $C$199:$C$221, 0), MATCH($C340, $C$199:$AN$199, 0))</f>
        <v>0</v>
      </c>
      <c r="AL340" s="211"/>
      <c r="AM340" s="211"/>
      <c r="AN340" s="211">
        <f>AK340*($E$153)</f>
        <v>0</v>
      </c>
    </row>
    <row r="341" spans="2:40" s="7" customFormat="1" ht="12" hidden="1" customHeight="1" outlineLevel="3">
      <c r="B341" s="245"/>
      <c r="C341" s="250" t="s">
        <v>786</v>
      </c>
      <c r="D341" s="250"/>
      <c r="E341" s="213"/>
      <c r="F341" s="213"/>
      <c r="G341" s="213"/>
      <c r="H341" s="213"/>
      <c r="I341" s="213"/>
      <c r="J341" s="213"/>
      <c r="K341" s="213"/>
      <c r="L341" s="213"/>
      <c r="M341" s="213"/>
      <c r="N341" s="213"/>
      <c r="O341" s="213"/>
      <c r="P341" s="213"/>
      <c r="Q341" s="213"/>
      <c r="R341" s="213"/>
      <c r="S341" s="213"/>
      <c r="T341" s="213"/>
      <c r="U341" s="213"/>
      <c r="V341" s="213"/>
      <c r="W341" s="213"/>
      <c r="X341" s="213"/>
      <c r="Y341" s="213"/>
      <c r="Z341" s="213"/>
      <c r="AA341" s="213"/>
      <c r="AB341" s="211"/>
      <c r="AC341" s="211"/>
      <c r="AD341" s="211"/>
      <c r="AE341" s="211"/>
      <c r="AF341" s="211"/>
      <c r="AG341" s="211"/>
      <c r="AH341" s="211"/>
      <c r="AI341" s="211"/>
      <c r="AJ341" s="211"/>
      <c r="AK341" s="211"/>
      <c r="AL341" s="211">
        <f>INDEX($C$199:$AN$221, MATCH("New Customers 3MS", $C$199:$C$221, 0), MATCH($C341, $C$199:$AN$199, 0))</f>
        <v>0</v>
      </c>
      <c r="AM341" s="211"/>
      <c r="AN341" s="211"/>
    </row>
    <row r="342" spans="2:40" s="7" customFormat="1" ht="12" hidden="1" customHeight="1" outlineLevel="3">
      <c r="B342" s="245"/>
      <c r="C342" s="250" t="s">
        <v>787</v>
      </c>
      <c r="D342" s="250"/>
      <c r="E342" s="213"/>
      <c r="F342" s="213"/>
      <c r="G342" s="213"/>
      <c r="H342" s="213"/>
      <c r="I342" s="213"/>
      <c r="J342" s="213"/>
      <c r="K342" s="213"/>
      <c r="L342" s="213"/>
      <c r="M342" s="213"/>
      <c r="N342" s="213"/>
      <c r="O342" s="213"/>
      <c r="P342" s="213"/>
      <c r="Q342" s="213"/>
      <c r="R342" s="213"/>
      <c r="S342" s="213"/>
      <c r="T342" s="213"/>
      <c r="U342" s="213"/>
      <c r="V342" s="213"/>
      <c r="W342" s="213"/>
      <c r="X342" s="213"/>
      <c r="Y342" s="213"/>
      <c r="Z342" s="213"/>
      <c r="AA342" s="213"/>
      <c r="AB342" s="211"/>
      <c r="AC342" s="211"/>
      <c r="AD342" s="211"/>
      <c r="AE342" s="211"/>
      <c r="AF342" s="211"/>
      <c r="AG342" s="211"/>
      <c r="AH342" s="211"/>
      <c r="AI342" s="211"/>
      <c r="AJ342" s="211"/>
      <c r="AK342" s="211"/>
      <c r="AL342" s="211"/>
      <c r="AM342" s="211">
        <f>INDEX($C$199:$AN$221, MATCH("New Customers 3MS", $C$199:$C$221, 0), MATCH($C342, $C$199:$AN$199, 0))</f>
        <v>0</v>
      </c>
      <c r="AN342" s="211"/>
    </row>
    <row r="343" spans="2:40" s="7" customFormat="1" ht="12" hidden="1" customHeight="1" outlineLevel="3">
      <c r="B343" s="245"/>
      <c r="C343" s="250" t="s">
        <v>788</v>
      </c>
      <c r="D343" s="250"/>
      <c r="E343" s="213"/>
      <c r="F343" s="213"/>
      <c r="G343" s="213"/>
      <c r="H343" s="213"/>
      <c r="I343" s="213"/>
      <c r="J343" s="213"/>
      <c r="K343" s="213"/>
      <c r="L343" s="213"/>
      <c r="M343" s="213"/>
      <c r="N343" s="213"/>
      <c r="O343" s="213"/>
      <c r="P343" s="213"/>
      <c r="Q343" s="213"/>
      <c r="R343" s="213"/>
      <c r="S343" s="213"/>
      <c r="T343" s="213"/>
      <c r="U343" s="213"/>
      <c r="V343" s="213"/>
      <c r="W343" s="213"/>
      <c r="X343" s="213"/>
      <c r="Y343" s="213"/>
      <c r="Z343" s="213"/>
      <c r="AA343" s="213"/>
      <c r="AB343" s="211"/>
      <c r="AC343" s="211"/>
      <c r="AD343" s="211"/>
      <c r="AE343" s="211"/>
      <c r="AF343" s="211"/>
      <c r="AG343" s="211"/>
      <c r="AH343" s="211"/>
      <c r="AI343" s="211"/>
      <c r="AJ343" s="211"/>
      <c r="AK343" s="211"/>
      <c r="AL343" s="211"/>
      <c r="AM343" s="211"/>
      <c r="AN343" s="211">
        <f>INDEX($C$199:$AN$221, MATCH("New Customers 3MS", $C$199:$C$221, 0), MATCH($C343, $C$199:$AN$199, 0))</f>
        <v>0</v>
      </c>
    </row>
    <row r="344" spans="2:40" s="7" customFormat="1" ht="12" hidden="1" customHeight="1" outlineLevel="2">
      <c r="B344" s="245"/>
      <c r="C344" s="250"/>
      <c r="D344" s="250"/>
      <c r="E344" s="213"/>
      <c r="F344" s="213"/>
      <c r="G344" s="213"/>
      <c r="H344" s="213"/>
      <c r="I344" s="213"/>
      <c r="J344" s="213"/>
      <c r="K344" s="213"/>
      <c r="L344" s="213"/>
      <c r="M344" s="213"/>
      <c r="N344" s="213"/>
      <c r="O344" s="213"/>
      <c r="P344" s="213"/>
      <c r="Q344" s="213"/>
      <c r="R344" s="213"/>
      <c r="S344" s="213"/>
      <c r="T344" s="213"/>
      <c r="U344" s="213"/>
      <c r="V344" s="213"/>
      <c r="W344" s="213"/>
      <c r="X344" s="213"/>
      <c r="Y344" s="213"/>
      <c r="Z344" s="213"/>
      <c r="AA344" s="213"/>
      <c r="AB344" s="211"/>
      <c r="AC344" s="211"/>
      <c r="AD344" s="211"/>
      <c r="AE344" s="211"/>
      <c r="AF344" s="211"/>
      <c r="AG344" s="211"/>
      <c r="AH344" s="211"/>
      <c r="AI344" s="211"/>
      <c r="AJ344" s="211"/>
      <c r="AK344" s="211"/>
      <c r="AL344" s="211"/>
      <c r="AM344" s="211"/>
      <c r="AN344" s="211"/>
    </row>
    <row r="345" spans="2:40" s="7" customFormat="1" ht="12" customHeight="1" outlineLevel="1" collapsed="1">
      <c r="B345" s="239"/>
      <c r="C345" s="243" t="s">
        <v>855</v>
      </c>
      <c r="D345" s="212"/>
      <c r="E345" s="214"/>
      <c r="F345" s="214"/>
      <c r="G345" s="214"/>
      <c r="H345" s="214"/>
      <c r="I345" s="214"/>
      <c r="J345" s="214"/>
      <c r="K345" s="214"/>
      <c r="L345" s="214"/>
      <c r="M345" s="214"/>
      <c r="N345" s="214"/>
      <c r="O345" s="214"/>
      <c r="P345" s="214"/>
      <c r="Q345" s="214"/>
      <c r="R345" s="214"/>
      <c r="S345" s="214"/>
      <c r="T345" s="214"/>
      <c r="U345" s="214"/>
      <c r="V345" s="214"/>
      <c r="W345" s="214"/>
      <c r="X345" s="214"/>
      <c r="Y345" s="214"/>
      <c r="Z345" s="214"/>
      <c r="AA345" s="214"/>
      <c r="AB345" s="214"/>
      <c r="AC345" s="215"/>
    </row>
    <row r="346" spans="2:40" s="7" customFormat="1" ht="12" customHeight="1" outlineLevel="1">
      <c r="B346" s="239"/>
      <c r="C346" s="214"/>
      <c r="D346" s="212"/>
      <c r="E346" s="214"/>
      <c r="F346" s="214"/>
      <c r="G346" s="214"/>
      <c r="H346" s="214"/>
      <c r="I346" s="214"/>
      <c r="J346" s="214"/>
      <c r="K346" s="214"/>
      <c r="L346" s="214"/>
      <c r="M346" s="214"/>
      <c r="N346" s="214"/>
      <c r="O346" s="214"/>
      <c r="P346" s="214"/>
      <c r="Q346" s="214"/>
      <c r="R346" s="214"/>
      <c r="S346" s="214"/>
      <c r="T346" s="214"/>
      <c r="U346" s="214"/>
      <c r="V346" s="214"/>
      <c r="W346" s="214"/>
      <c r="X346" s="214"/>
      <c r="Y346" s="214"/>
      <c r="Z346" s="214"/>
      <c r="AA346" s="214"/>
      <c r="AB346" s="214"/>
      <c r="AC346" s="214"/>
    </row>
    <row r="347" spans="2:40" s="7" customFormat="1" outlineLevel="1">
      <c r="B347" s="235"/>
      <c r="C347" s="10"/>
      <c r="D347" s="10"/>
    </row>
    <row r="348" spans="2:40" s="207" customFormat="1">
      <c r="C348" s="248" t="s">
        <v>862</v>
      </c>
    </row>
    <row r="349" spans="2:40" s="7" customFormat="1" ht="12" customHeight="1" outlineLevel="1">
      <c r="B349" s="237"/>
      <c r="C349" s="208"/>
      <c r="D349" s="208"/>
      <c r="E349" s="196" t="s">
        <v>753</v>
      </c>
      <c r="F349" s="196" t="s">
        <v>754</v>
      </c>
      <c r="G349" s="196" t="s">
        <v>755</v>
      </c>
      <c r="H349" s="196" t="s">
        <v>756</v>
      </c>
      <c r="I349" s="196" t="s">
        <v>757</v>
      </c>
      <c r="J349" s="196" t="s">
        <v>758</v>
      </c>
      <c r="K349" s="196" t="s">
        <v>759</v>
      </c>
      <c r="L349" s="196" t="s">
        <v>760</v>
      </c>
      <c r="M349" s="196" t="s">
        <v>761</v>
      </c>
      <c r="N349" s="196" t="s">
        <v>762</v>
      </c>
      <c r="O349" s="196" t="s">
        <v>763</v>
      </c>
      <c r="P349" s="196" t="s">
        <v>764</v>
      </c>
      <c r="Q349" s="196" t="s">
        <v>765</v>
      </c>
      <c r="R349" s="196" t="s">
        <v>766</v>
      </c>
      <c r="S349" s="196" t="s">
        <v>767</v>
      </c>
      <c r="T349" s="196" t="s">
        <v>768</v>
      </c>
      <c r="U349" s="196" t="s">
        <v>769</v>
      </c>
      <c r="V349" s="196" t="s">
        <v>770</v>
      </c>
      <c r="W349" s="196" t="s">
        <v>771</v>
      </c>
      <c r="X349" s="196" t="s">
        <v>772</v>
      </c>
      <c r="Y349" s="196" t="s">
        <v>773</v>
      </c>
      <c r="Z349" s="196" t="s">
        <v>774</v>
      </c>
      <c r="AA349" s="196" t="s">
        <v>775</v>
      </c>
      <c r="AB349" s="196" t="s">
        <v>776</v>
      </c>
      <c r="AC349" s="196" t="s">
        <v>777</v>
      </c>
      <c r="AD349" s="196" t="s">
        <v>778</v>
      </c>
      <c r="AE349" s="196" t="s">
        <v>779</v>
      </c>
      <c r="AF349" s="196" t="s">
        <v>780</v>
      </c>
      <c r="AG349" s="196" t="s">
        <v>781</v>
      </c>
      <c r="AH349" s="196" t="s">
        <v>782</v>
      </c>
      <c r="AI349" s="196" t="s">
        <v>783</v>
      </c>
      <c r="AJ349" s="196" t="s">
        <v>784</v>
      </c>
      <c r="AK349" s="196" t="s">
        <v>785</v>
      </c>
      <c r="AL349" s="196" t="s">
        <v>786</v>
      </c>
      <c r="AM349" s="196" t="s">
        <v>787</v>
      </c>
      <c r="AN349" s="196" t="s">
        <v>788</v>
      </c>
    </row>
    <row r="350" spans="2:40" s="7" customFormat="1" ht="12" customHeight="1" outlineLevel="1">
      <c r="B350" s="239"/>
      <c r="C350" s="214" t="s">
        <v>821</v>
      </c>
      <c r="D350" s="214"/>
      <c r="E350" s="351"/>
      <c r="F350" s="351"/>
      <c r="G350" s="351"/>
      <c r="H350" s="351"/>
      <c r="I350" s="351"/>
      <c r="J350" s="351"/>
      <c r="K350" s="351"/>
      <c r="L350" s="351"/>
      <c r="M350" s="337">
        <f t="shared" ref="M350:AN350" si="213">M36*M41</f>
        <v>16000</v>
      </c>
      <c r="N350" s="337">
        <f t="shared" si="213"/>
        <v>16000</v>
      </c>
      <c r="O350" s="337">
        <f t="shared" si="213"/>
        <v>6400</v>
      </c>
      <c r="P350" s="337">
        <f t="shared" si="213"/>
        <v>6400</v>
      </c>
      <c r="Q350" s="337">
        <f t="shared" si="213"/>
        <v>5653.56</v>
      </c>
      <c r="R350" s="337">
        <f t="shared" si="213"/>
        <v>26456.399999999998</v>
      </c>
      <c r="S350" s="337">
        <f t="shared" si="213"/>
        <v>22056.84</v>
      </c>
      <c r="T350" s="337">
        <f t="shared" si="213"/>
        <v>2691.7000000000007</v>
      </c>
      <c r="U350" s="337">
        <f t="shared" si="213"/>
        <v>4789.2400000000007</v>
      </c>
      <c r="V350" s="337">
        <f t="shared" si="213"/>
        <v>6341.6</v>
      </c>
      <c r="W350" s="337">
        <f t="shared" si="213"/>
        <v>3376.8</v>
      </c>
      <c r="X350" s="337">
        <f t="shared" si="213"/>
        <v>2343.6</v>
      </c>
      <c r="Y350" s="337">
        <f t="shared" si="213"/>
        <v>6000</v>
      </c>
      <c r="Z350" s="337">
        <f t="shared" si="213"/>
        <v>6000</v>
      </c>
      <c r="AA350" s="337">
        <f t="shared" si="213"/>
        <v>3200</v>
      </c>
      <c r="AB350" s="337">
        <f t="shared" si="213"/>
        <v>3200</v>
      </c>
      <c r="AC350" s="337">
        <f t="shared" si="213"/>
        <v>1884.5200000000002</v>
      </c>
      <c r="AD350" s="337">
        <f t="shared" si="213"/>
        <v>8818.8000000000011</v>
      </c>
      <c r="AE350" s="337">
        <f t="shared" si="213"/>
        <v>7352.2800000000007</v>
      </c>
      <c r="AF350" s="337">
        <f t="shared" si="213"/>
        <v>2691.7000000000007</v>
      </c>
      <c r="AG350" s="337">
        <f t="shared" si="213"/>
        <v>4789.2400000000007</v>
      </c>
      <c r="AH350" s="337">
        <f t="shared" si="213"/>
        <v>6341.6</v>
      </c>
      <c r="AI350" s="337">
        <f t="shared" si="213"/>
        <v>3376.8</v>
      </c>
      <c r="AJ350" s="337">
        <f t="shared" si="213"/>
        <v>2343.6</v>
      </c>
      <c r="AK350" s="337">
        <f t="shared" si="213"/>
        <v>6000</v>
      </c>
      <c r="AL350" s="337">
        <f t="shared" si="213"/>
        <v>6000</v>
      </c>
      <c r="AM350" s="337">
        <f t="shared" si="213"/>
        <v>3200</v>
      </c>
      <c r="AN350" s="337">
        <f t="shared" si="213"/>
        <v>3200</v>
      </c>
    </row>
    <row r="351" spans="2:40" ht="12" customHeight="1" outlineLevel="1">
      <c r="B351" s="301"/>
      <c r="C351" s="303" t="s">
        <v>827</v>
      </c>
      <c r="D351" s="303"/>
      <c r="E351" s="312"/>
      <c r="F351" s="312"/>
      <c r="G351" s="312"/>
      <c r="H351" s="312"/>
      <c r="I351" s="312"/>
      <c r="J351" s="312"/>
      <c r="K351" s="312"/>
      <c r="L351" s="312"/>
      <c r="M351" s="313">
        <v>40</v>
      </c>
      <c r="N351" s="313">
        <v>40</v>
      </c>
      <c r="O351" s="313">
        <v>40</v>
      </c>
      <c r="P351" s="313">
        <v>40</v>
      </c>
      <c r="Q351" s="313">
        <v>40</v>
      </c>
      <c r="R351" s="313">
        <v>40</v>
      </c>
      <c r="S351" s="313">
        <v>40</v>
      </c>
      <c r="T351" s="313">
        <v>40</v>
      </c>
      <c r="U351" s="313">
        <v>40</v>
      </c>
      <c r="V351" s="313">
        <v>40</v>
      </c>
      <c r="W351" s="313">
        <v>40</v>
      </c>
      <c r="X351" s="313">
        <v>40</v>
      </c>
      <c r="Y351" s="313">
        <v>40</v>
      </c>
      <c r="Z351" s="313">
        <v>40</v>
      </c>
      <c r="AA351" s="313">
        <v>40</v>
      </c>
      <c r="AB351" s="313">
        <v>40</v>
      </c>
      <c r="AC351" s="313">
        <v>40</v>
      </c>
      <c r="AD351" s="313">
        <v>40</v>
      </c>
      <c r="AE351" s="313">
        <v>40</v>
      </c>
      <c r="AF351" s="313">
        <v>40</v>
      </c>
      <c r="AG351" s="313">
        <v>40</v>
      </c>
      <c r="AH351" s="313">
        <v>40</v>
      </c>
      <c r="AI351" s="313">
        <v>40</v>
      </c>
      <c r="AJ351" s="313">
        <v>40</v>
      </c>
      <c r="AK351" s="313">
        <v>40</v>
      </c>
      <c r="AL351" s="313">
        <v>40</v>
      </c>
      <c r="AM351" s="313">
        <v>40</v>
      </c>
      <c r="AN351" s="313">
        <v>40</v>
      </c>
    </row>
    <row r="352" spans="2:40" s="7" customFormat="1" ht="12" customHeight="1" outlineLevel="1">
      <c r="B352" s="239"/>
      <c r="C352" s="214" t="s">
        <v>829</v>
      </c>
      <c r="D352" s="214"/>
      <c r="E352" s="232"/>
      <c r="F352" s="232"/>
      <c r="G352" s="232"/>
      <c r="H352" s="232"/>
      <c r="I352" s="232"/>
      <c r="J352" s="232"/>
      <c r="K352" s="232"/>
      <c r="L352" s="232"/>
      <c r="M352" s="205">
        <f t="shared" ref="M352:AN352" si="214">M350/M351</f>
        <v>400</v>
      </c>
      <c r="N352" s="205">
        <f t="shared" si="214"/>
        <v>400</v>
      </c>
      <c r="O352" s="205">
        <f t="shared" si="214"/>
        <v>160</v>
      </c>
      <c r="P352" s="205">
        <f t="shared" si="214"/>
        <v>160</v>
      </c>
      <c r="Q352" s="205">
        <f t="shared" si="214"/>
        <v>141.339</v>
      </c>
      <c r="R352" s="205">
        <f t="shared" si="214"/>
        <v>661.41</v>
      </c>
      <c r="S352" s="205">
        <f t="shared" si="214"/>
        <v>551.42100000000005</v>
      </c>
      <c r="T352" s="205">
        <f t="shared" si="214"/>
        <v>67.292500000000018</v>
      </c>
      <c r="U352" s="205">
        <f t="shared" si="214"/>
        <v>119.73100000000002</v>
      </c>
      <c r="V352" s="205">
        <f t="shared" si="214"/>
        <v>158.54000000000002</v>
      </c>
      <c r="W352" s="205">
        <f t="shared" si="214"/>
        <v>84.42</v>
      </c>
      <c r="X352" s="205">
        <f t="shared" si="214"/>
        <v>58.589999999999996</v>
      </c>
      <c r="Y352" s="205">
        <f t="shared" si="214"/>
        <v>150</v>
      </c>
      <c r="Z352" s="205">
        <f t="shared" si="214"/>
        <v>150</v>
      </c>
      <c r="AA352" s="205">
        <f t="shared" si="214"/>
        <v>80</v>
      </c>
      <c r="AB352" s="205">
        <f t="shared" si="214"/>
        <v>80</v>
      </c>
      <c r="AC352" s="205">
        <f t="shared" si="214"/>
        <v>47.113000000000007</v>
      </c>
      <c r="AD352" s="205">
        <f t="shared" si="214"/>
        <v>220.47000000000003</v>
      </c>
      <c r="AE352" s="205">
        <f t="shared" si="214"/>
        <v>183.80700000000002</v>
      </c>
      <c r="AF352" s="205">
        <f t="shared" si="214"/>
        <v>67.292500000000018</v>
      </c>
      <c r="AG352" s="205">
        <f t="shared" si="214"/>
        <v>119.73100000000002</v>
      </c>
      <c r="AH352" s="205">
        <f t="shared" si="214"/>
        <v>158.54000000000002</v>
      </c>
      <c r="AI352" s="205">
        <f t="shared" si="214"/>
        <v>84.42</v>
      </c>
      <c r="AJ352" s="205">
        <f t="shared" si="214"/>
        <v>58.589999999999996</v>
      </c>
      <c r="AK352" s="205">
        <f t="shared" si="214"/>
        <v>150</v>
      </c>
      <c r="AL352" s="205">
        <f t="shared" si="214"/>
        <v>150</v>
      </c>
      <c r="AM352" s="205">
        <f t="shared" si="214"/>
        <v>80</v>
      </c>
      <c r="AN352" s="205">
        <f t="shared" si="214"/>
        <v>80</v>
      </c>
    </row>
    <row r="353" spans="2:40" ht="12" customHeight="1" outlineLevel="1">
      <c r="B353" s="301"/>
      <c r="C353" s="303" t="s">
        <v>830</v>
      </c>
      <c r="D353" s="303"/>
      <c r="E353" s="314"/>
      <c r="F353" s="314"/>
      <c r="G353" s="314"/>
      <c r="H353" s="314"/>
      <c r="I353" s="314"/>
      <c r="J353" s="314"/>
      <c r="K353" s="314"/>
      <c r="L353" s="314"/>
      <c r="M353" s="315">
        <v>0.02</v>
      </c>
      <c r="N353" s="315">
        <v>0.02</v>
      </c>
      <c r="O353" s="315">
        <v>0.02</v>
      </c>
      <c r="P353" s="315">
        <v>0.02</v>
      </c>
      <c r="Q353" s="315">
        <v>0.02</v>
      </c>
      <c r="R353" s="315">
        <v>0.02</v>
      </c>
      <c r="S353" s="315">
        <v>0.02</v>
      </c>
      <c r="T353" s="315">
        <v>0.02</v>
      </c>
      <c r="U353" s="315">
        <v>0.02</v>
      </c>
      <c r="V353" s="315">
        <v>0.02</v>
      </c>
      <c r="W353" s="315">
        <v>0.02</v>
      </c>
      <c r="X353" s="315">
        <v>0.02</v>
      </c>
      <c r="Y353" s="315">
        <v>0.02</v>
      </c>
      <c r="Z353" s="315">
        <v>0.02</v>
      </c>
      <c r="AA353" s="315">
        <v>0.02</v>
      </c>
      <c r="AB353" s="315">
        <v>0.02</v>
      </c>
      <c r="AC353" s="315">
        <v>0.02</v>
      </c>
      <c r="AD353" s="315">
        <v>0.02</v>
      </c>
      <c r="AE353" s="315">
        <v>0.02</v>
      </c>
      <c r="AF353" s="315">
        <v>0.02</v>
      </c>
      <c r="AG353" s="315">
        <v>0.02</v>
      </c>
      <c r="AH353" s="315">
        <v>0.02</v>
      </c>
      <c r="AI353" s="315">
        <v>0.02</v>
      </c>
      <c r="AJ353" s="315">
        <v>0.02</v>
      </c>
      <c r="AK353" s="315">
        <v>0.02</v>
      </c>
      <c r="AL353" s="315">
        <v>0.02</v>
      </c>
      <c r="AM353" s="315">
        <v>0.02</v>
      </c>
      <c r="AN353" s="315">
        <v>0.02</v>
      </c>
    </row>
    <row r="354" spans="2:40" s="7" customFormat="1" ht="12" customHeight="1" outlineLevel="1">
      <c r="B354" s="239"/>
      <c r="C354" s="214" t="s">
        <v>831</v>
      </c>
      <c r="D354" s="214"/>
      <c r="E354" s="232"/>
      <c r="F354" s="232"/>
      <c r="G354" s="232"/>
      <c r="H354" s="232"/>
      <c r="I354" s="232"/>
      <c r="J354" s="232"/>
      <c r="K354" s="232"/>
      <c r="L354" s="232"/>
      <c r="M354" s="205">
        <f t="shared" ref="M354:AN354" si="215">M352*M353</f>
        <v>8</v>
      </c>
      <c r="N354" s="205">
        <f t="shared" si="215"/>
        <v>8</v>
      </c>
      <c r="O354" s="205">
        <f t="shared" si="215"/>
        <v>3.2</v>
      </c>
      <c r="P354" s="205">
        <f t="shared" si="215"/>
        <v>3.2</v>
      </c>
      <c r="Q354" s="205">
        <f t="shared" si="215"/>
        <v>2.8267799999999998</v>
      </c>
      <c r="R354" s="205">
        <f t="shared" si="215"/>
        <v>13.228199999999999</v>
      </c>
      <c r="S354" s="205">
        <f t="shared" si="215"/>
        <v>11.028420000000001</v>
      </c>
      <c r="T354" s="205">
        <f t="shared" si="215"/>
        <v>1.3458500000000004</v>
      </c>
      <c r="U354" s="205">
        <f t="shared" si="215"/>
        <v>2.3946200000000006</v>
      </c>
      <c r="V354" s="205">
        <f t="shared" si="215"/>
        <v>3.1708000000000003</v>
      </c>
      <c r="W354" s="205">
        <f t="shared" si="215"/>
        <v>1.6884000000000001</v>
      </c>
      <c r="X354" s="205">
        <f t="shared" si="215"/>
        <v>1.1718</v>
      </c>
      <c r="Y354" s="205">
        <f t="shared" si="215"/>
        <v>3</v>
      </c>
      <c r="Z354" s="205">
        <f t="shared" si="215"/>
        <v>3</v>
      </c>
      <c r="AA354" s="205">
        <f t="shared" si="215"/>
        <v>1.6</v>
      </c>
      <c r="AB354" s="205">
        <f t="shared" si="215"/>
        <v>1.6</v>
      </c>
      <c r="AC354" s="205">
        <f t="shared" si="215"/>
        <v>0.9422600000000001</v>
      </c>
      <c r="AD354" s="205">
        <f t="shared" si="215"/>
        <v>4.4094000000000007</v>
      </c>
      <c r="AE354" s="205">
        <f t="shared" si="215"/>
        <v>3.6761400000000002</v>
      </c>
      <c r="AF354" s="205">
        <f t="shared" si="215"/>
        <v>1.3458500000000004</v>
      </c>
      <c r="AG354" s="205">
        <f t="shared" si="215"/>
        <v>2.3946200000000006</v>
      </c>
      <c r="AH354" s="205">
        <f t="shared" si="215"/>
        <v>3.1708000000000003</v>
      </c>
      <c r="AI354" s="205">
        <f t="shared" si="215"/>
        <v>1.6884000000000001</v>
      </c>
      <c r="AJ354" s="205">
        <f t="shared" si="215"/>
        <v>1.1718</v>
      </c>
      <c r="AK354" s="205">
        <f t="shared" si="215"/>
        <v>3</v>
      </c>
      <c r="AL354" s="205">
        <f t="shared" si="215"/>
        <v>3</v>
      </c>
      <c r="AM354" s="205">
        <f t="shared" si="215"/>
        <v>1.6</v>
      </c>
      <c r="AN354" s="205">
        <f t="shared" si="215"/>
        <v>1.6</v>
      </c>
    </row>
    <row r="355" spans="2:40" s="7" customFormat="1" ht="12" customHeight="1" outlineLevel="1">
      <c r="B355" s="239"/>
      <c r="C355" s="214" t="s">
        <v>833</v>
      </c>
      <c r="D355" s="214"/>
      <c r="E355" s="232">
        <f>159+36</f>
        <v>195</v>
      </c>
      <c r="F355" s="232">
        <f>205+18</f>
        <v>223</v>
      </c>
      <c r="G355" s="232">
        <f>131+11</f>
        <v>142</v>
      </c>
      <c r="H355" s="232">
        <f>744+14</f>
        <v>758</v>
      </c>
      <c r="I355" s="232">
        <f>27+145</f>
        <v>172</v>
      </c>
      <c r="J355" s="232">
        <f>436+22</f>
        <v>458</v>
      </c>
      <c r="K355" s="232">
        <f>471+15</f>
        <v>486</v>
      </c>
      <c r="L355" s="232">
        <f>85+33</f>
        <v>118</v>
      </c>
      <c r="M355" s="205">
        <f t="shared" ref="M355:AN355" si="216">M352+M354</f>
        <v>408</v>
      </c>
      <c r="N355" s="205">
        <f t="shared" si="216"/>
        <v>408</v>
      </c>
      <c r="O355" s="205">
        <f t="shared" si="216"/>
        <v>163.19999999999999</v>
      </c>
      <c r="P355" s="205">
        <f t="shared" si="216"/>
        <v>163.19999999999999</v>
      </c>
      <c r="Q355" s="205">
        <f t="shared" si="216"/>
        <v>144.16578000000001</v>
      </c>
      <c r="R355" s="205">
        <f t="shared" si="216"/>
        <v>674.63819999999998</v>
      </c>
      <c r="S355" s="205">
        <f t="shared" si="216"/>
        <v>562.44942000000003</v>
      </c>
      <c r="T355" s="205">
        <f t="shared" si="216"/>
        <v>68.638350000000017</v>
      </c>
      <c r="U355" s="205">
        <f t="shared" si="216"/>
        <v>122.12562000000003</v>
      </c>
      <c r="V355" s="205">
        <f t="shared" si="216"/>
        <v>161.71080000000003</v>
      </c>
      <c r="W355" s="205">
        <f t="shared" si="216"/>
        <v>86.108400000000003</v>
      </c>
      <c r="X355" s="205">
        <f t="shared" si="216"/>
        <v>59.761799999999994</v>
      </c>
      <c r="Y355" s="205">
        <f t="shared" si="216"/>
        <v>153</v>
      </c>
      <c r="Z355" s="205">
        <f t="shared" si="216"/>
        <v>153</v>
      </c>
      <c r="AA355" s="205">
        <f t="shared" si="216"/>
        <v>81.599999999999994</v>
      </c>
      <c r="AB355" s="205">
        <f t="shared" si="216"/>
        <v>81.599999999999994</v>
      </c>
      <c r="AC355" s="205">
        <f t="shared" si="216"/>
        <v>48.055260000000004</v>
      </c>
      <c r="AD355" s="205">
        <f t="shared" si="216"/>
        <v>224.87940000000003</v>
      </c>
      <c r="AE355" s="205">
        <f t="shared" si="216"/>
        <v>187.48314000000002</v>
      </c>
      <c r="AF355" s="205">
        <f t="shared" si="216"/>
        <v>68.638350000000017</v>
      </c>
      <c r="AG355" s="205">
        <f t="shared" si="216"/>
        <v>122.12562000000003</v>
      </c>
      <c r="AH355" s="205">
        <f t="shared" si="216"/>
        <v>161.71080000000003</v>
      </c>
      <c r="AI355" s="205">
        <f t="shared" si="216"/>
        <v>86.108400000000003</v>
      </c>
      <c r="AJ355" s="205">
        <f t="shared" si="216"/>
        <v>59.761799999999994</v>
      </c>
      <c r="AK355" s="205">
        <f t="shared" si="216"/>
        <v>153</v>
      </c>
      <c r="AL355" s="205">
        <f t="shared" si="216"/>
        <v>153</v>
      </c>
      <c r="AM355" s="205">
        <f t="shared" si="216"/>
        <v>81.599999999999994</v>
      </c>
      <c r="AN355" s="205">
        <f t="shared" si="216"/>
        <v>81.599999999999994</v>
      </c>
    </row>
    <row r="356" spans="2:40" s="7" customFormat="1" ht="12" customHeight="1" outlineLevel="1">
      <c r="B356" s="239"/>
      <c r="C356" s="214" t="s">
        <v>834</v>
      </c>
      <c r="D356" s="214"/>
      <c r="E356" s="232">
        <v>36</v>
      </c>
      <c r="F356" s="232">
        <v>18</v>
      </c>
      <c r="G356" s="232">
        <v>11</v>
      </c>
      <c r="H356" s="232">
        <v>14</v>
      </c>
      <c r="I356" s="232">
        <v>27</v>
      </c>
      <c r="J356" s="232">
        <v>22</v>
      </c>
      <c r="K356" s="232">
        <v>15</v>
      </c>
      <c r="L356" s="232">
        <v>33</v>
      </c>
      <c r="M356" s="205">
        <f t="shared" ref="M356:AN356" si="217">M364+M365</f>
        <v>76.067796610169495</v>
      </c>
      <c r="N356" s="205">
        <f t="shared" si="217"/>
        <v>76.067796610169495</v>
      </c>
      <c r="O356" s="205">
        <f t="shared" si="217"/>
        <v>30.427118644067797</v>
      </c>
      <c r="P356" s="205">
        <f t="shared" si="217"/>
        <v>30.427118644067797</v>
      </c>
      <c r="Q356" s="205">
        <f t="shared" si="217"/>
        <v>26.878365762711866</v>
      </c>
      <c r="R356" s="205">
        <f t="shared" si="217"/>
        <v>125.78000338983051</v>
      </c>
      <c r="S356" s="205">
        <f t="shared" si="217"/>
        <v>104.86345118644068</v>
      </c>
      <c r="T356" s="205">
        <f t="shared" si="217"/>
        <v>12.796980508474579</v>
      </c>
      <c r="U356" s="205">
        <f t="shared" si="217"/>
        <v>22.769183389830513</v>
      </c>
      <c r="V356" s="205">
        <f t="shared" si="217"/>
        <v>30.149471186440685</v>
      </c>
      <c r="W356" s="205">
        <f t="shared" si="217"/>
        <v>16.054108474576271</v>
      </c>
      <c r="X356" s="205">
        <f t="shared" si="217"/>
        <v>11.142030508474575</v>
      </c>
      <c r="Y356" s="205">
        <f t="shared" si="217"/>
        <v>28.525423728813561</v>
      </c>
      <c r="Z356" s="205">
        <f t="shared" si="217"/>
        <v>28.525423728813561</v>
      </c>
      <c r="AA356" s="205">
        <f t="shared" si="217"/>
        <v>15.213559322033898</v>
      </c>
      <c r="AB356" s="205">
        <f t="shared" si="217"/>
        <v>15.213559322033898</v>
      </c>
      <c r="AC356" s="205">
        <f t="shared" si="217"/>
        <v>8.9594552542372892</v>
      </c>
      <c r="AD356" s="205">
        <f t="shared" si="217"/>
        <v>41.926667796610175</v>
      </c>
      <c r="AE356" s="205">
        <f t="shared" si="217"/>
        <v>34.954483728813564</v>
      </c>
      <c r="AF356" s="205">
        <f t="shared" si="217"/>
        <v>12.796980508474579</v>
      </c>
      <c r="AG356" s="205">
        <f t="shared" si="217"/>
        <v>22.769183389830513</v>
      </c>
      <c r="AH356" s="205">
        <f t="shared" si="217"/>
        <v>30.149471186440685</v>
      </c>
      <c r="AI356" s="205">
        <f t="shared" si="217"/>
        <v>16.054108474576271</v>
      </c>
      <c r="AJ356" s="205">
        <f t="shared" si="217"/>
        <v>11.142030508474575</v>
      </c>
      <c r="AK356" s="205">
        <f t="shared" si="217"/>
        <v>28.525423728813561</v>
      </c>
      <c r="AL356" s="205">
        <f t="shared" si="217"/>
        <v>28.525423728813561</v>
      </c>
      <c r="AM356" s="205">
        <f t="shared" si="217"/>
        <v>15.213559322033898</v>
      </c>
      <c r="AN356" s="205">
        <f t="shared" si="217"/>
        <v>15.213559322033898</v>
      </c>
    </row>
    <row r="357" spans="2:40" s="7" customFormat="1" ht="12" customHeight="1" outlineLevel="1">
      <c r="B357" s="239"/>
      <c r="C357" s="214" t="s">
        <v>835</v>
      </c>
      <c r="D357" s="214"/>
      <c r="E357" s="232"/>
      <c r="F357" s="232"/>
      <c r="G357" s="232"/>
      <c r="H357" s="232"/>
      <c r="I357" s="232"/>
      <c r="J357" s="232"/>
      <c r="K357" s="232"/>
      <c r="L357" s="232"/>
      <c r="M357" s="205"/>
      <c r="N357" s="205"/>
      <c r="O357" s="205"/>
      <c r="P357" s="205"/>
      <c r="Q357" s="205"/>
      <c r="R357" s="205"/>
      <c r="S357" s="205"/>
      <c r="T357" s="205"/>
      <c r="U357" s="205"/>
      <c r="V357" s="205"/>
      <c r="W357" s="205"/>
      <c r="X357" s="205"/>
      <c r="Y357" s="205"/>
      <c r="Z357" s="205"/>
      <c r="AA357" s="205"/>
      <c r="AB357" s="205"/>
      <c r="AC357" s="205"/>
      <c r="AD357" s="205"/>
      <c r="AE357" s="205"/>
      <c r="AF357" s="205"/>
      <c r="AG357" s="205"/>
      <c r="AH357" s="205"/>
      <c r="AI357" s="205"/>
      <c r="AJ357" s="205"/>
      <c r="AK357" s="205"/>
      <c r="AL357" s="205"/>
      <c r="AM357" s="205"/>
      <c r="AN357" s="205"/>
    </row>
    <row r="358" spans="2:40" s="7" customFormat="1" ht="12" customHeight="1" outlineLevel="1">
      <c r="B358" s="239"/>
      <c r="C358" s="214" t="s">
        <v>836</v>
      </c>
      <c r="D358" s="214"/>
      <c r="E358" s="232"/>
      <c r="F358" s="232"/>
      <c r="G358" s="232"/>
      <c r="H358" s="232"/>
      <c r="I358" s="232"/>
      <c r="J358" s="232"/>
      <c r="K358" s="232"/>
      <c r="L358" s="232"/>
      <c r="M358" s="205"/>
      <c r="N358" s="205"/>
      <c r="O358" s="205"/>
      <c r="P358" s="205"/>
      <c r="Q358" s="205"/>
      <c r="R358" s="205"/>
      <c r="S358" s="205"/>
      <c r="T358" s="205"/>
      <c r="U358" s="205"/>
      <c r="V358" s="205"/>
      <c r="W358" s="205"/>
      <c r="X358" s="205"/>
      <c r="Y358" s="205"/>
      <c r="Z358" s="205"/>
      <c r="AA358" s="205"/>
      <c r="AB358" s="205"/>
      <c r="AC358" s="205"/>
      <c r="AD358" s="205"/>
      <c r="AE358" s="205"/>
      <c r="AF358" s="205"/>
      <c r="AG358" s="205"/>
      <c r="AH358" s="205"/>
      <c r="AI358" s="205"/>
      <c r="AJ358" s="205"/>
      <c r="AK358" s="205"/>
      <c r="AL358" s="205"/>
      <c r="AM358" s="205"/>
      <c r="AN358" s="205"/>
    </row>
    <row r="359" spans="2:40" ht="12" customHeight="1" outlineLevel="1">
      <c r="B359" s="301" t="s">
        <v>880</v>
      </c>
      <c r="C359" s="303" t="s">
        <v>837</v>
      </c>
      <c r="D359" s="303"/>
      <c r="E359" s="317">
        <f>1-(E356/E355)</f>
        <v>0.81538461538461537</v>
      </c>
      <c r="F359" s="317">
        <f t="shared" ref="F359:I359" si="218">1-(F356/F355)</f>
        <v>0.91928251121076232</v>
      </c>
      <c r="G359" s="317">
        <f t="shared" si="218"/>
        <v>0.92253521126760563</v>
      </c>
      <c r="H359" s="317">
        <f t="shared" si="218"/>
        <v>0.98153034300791553</v>
      </c>
      <c r="I359" s="317">
        <f t="shared" si="218"/>
        <v>0.84302325581395343</v>
      </c>
      <c r="J359" s="317">
        <f>1-J360</f>
        <v>0.95196506550218341</v>
      </c>
      <c r="K359" s="317">
        <f>1-K360</f>
        <v>0.96913580246913578</v>
      </c>
      <c r="L359" s="317">
        <f>1-L360</f>
        <v>0.81355932203389836</v>
      </c>
      <c r="M359" s="318">
        <f t="shared" ref="M359:AN359" si="219">L359</f>
        <v>0.81355932203389836</v>
      </c>
      <c r="N359" s="318">
        <f t="shared" si="219"/>
        <v>0.81355932203389836</v>
      </c>
      <c r="O359" s="318">
        <f t="shared" si="219"/>
        <v>0.81355932203389836</v>
      </c>
      <c r="P359" s="318">
        <f t="shared" si="219"/>
        <v>0.81355932203389836</v>
      </c>
      <c r="Q359" s="318">
        <f t="shared" si="219"/>
        <v>0.81355932203389836</v>
      </c>
      <c r="R359" s="318">
        <f t="shared" si="219"/>
        <v>0.81355932203389836</v>
      </c>
      <c r="S359" s="318">
        <f t="shared" si="219"/>
        <v>0.81355932203389836</v>
      </c>
      <c r="T359" s="318">
        <f t="shared" si="219"/>
        <v>0.81355932203389836</v>
      </c>
      <c r="U359" s="318">
        <f t="shared" si="219"/>
        <v>0.81355932203389836</v>
      </c>
      <c r="V359" s="318">
        <f t="shared" si="219"/>
        <v>0.81355932203389836</v>
      </c>
      <c r="W359" s="318">
        <f t="shared" si="219"/>
        <v>0.81355932203389836</v>
      </c>
      <c r="X359" s="318">
        <f t="shared" si="219"/>
        <v>0.81355932203389836</v>
      </c>
      <c r="Y359" s="318">
        <f t="shared" si="219"/>
        <v>0.81355932203389836</v>
      </c>
      <c r="Z359" s="318">
        <f t="shared" si="219"/>
        <v>0.81355932203389836</v>
      </c>
      <c r="AA359" s="318">
        <f t="shared" si="219"/>
        <v>0.81355932203389836</v>
      </c>
      <c r="AB359" s="318">
        <f t="shared" si="219"/>
        <v>0.81355932203389836</v>
      </c>
      <c r="AC359" s="318">
        <f t="shared" si="219"/>
        <v>0.81355932203389836</v>
      </c>
      <c r="AD359" s="318">
        <f t="shared" si="219"/>
        <v>0.81355932203389836</v>
      </c>
      <c r="AE359" s="318">
        <f t="shared" si="219"/>
        <v>0.81355932203389836</v>
      </c>
      <c r="AF359" s="318">
        <f t="shared" si="219"/>
        <v>0.81355932203389836</v>
      </c>
      <c r="AG359" s="318">
        <f t="shared" si="219"/>
        <v>0.81355932203389836</v>
      </c>
      <c r="AH359" s="318">
        <f t="shared" si="219"/>
        <v>0.81355932203389836</v>
      </c>
      <c r="AI359" s="318">
        <f t="shared" si="219"/>
        <v>0.81355932203389836</v>
      </c>
      <c r="AJ359" s="318">
        <f t="shared" si="219"/>
        <v>0.81355932203389836</v>
      </c>
      <c r="AK359" s="318">
        <f t="shared" si="219"/>
        <v>0.81355932203389836</v>
      </c>
      <c r="AL359" s="318">
        <f t="shared" si="219"/>
        <v>0.81355932203389836</v>
      </c>
      <c r="AM359" s="318">
        <f t="shared" si="219"/>
        <v>0.81355932203389836</v>
      </c>
      <c r="AN359" s="318">
        <f t="shared" si="219"/>
        <v>0.81355932203389836</v>
      </c>
    </row>
    <row r="360" spans="2:40" ht="12" customHeight="1" outlineLevel="1">
      <c r="B360" s="301"/>
      <c r="C360" s="303" t="s">
        <v>839</v>
      </c>
      <c r="D360" s="303"/>
      <c r="E360" s="317">
        <f>1-E359</f>
        <v>0.18461538461538463</v>
      </c>
      <c r="F360" s="317">
        <f t="shared" ref="F360:I360" si="220">1-F359</f>
        <v>8.0717488789237679E-2</v>
      </c>
      <c r="G360" s="317">
        <f t="shared" si="220"/>
        <v>7.7464788732394374E-2</v>
      </c>
      <c r="H360" s="317">
        <f t="shared" si="220"/>
        <v>1.8469656992084471E-2</v>
      </c>
      <c r="I360" s="317">
        <f t="shared" si="220"/>
        <v>0.15697674418604657</v>
      </c>
      <c r="J360" s="317">
        <f>22/458</f>
        <v>4.8034934497816595E-2</v>
      </c>
      <c r="K360" s="317">
        <f>15/486</f>
        <v>3.0864197530864196E-2</v>
      </c>
      <c r="L360" s="317">
        <f>22/118</f>
        <v>0.1864406779661017</v>
      </c>
      <c r="M360" s="318">
        <f t="shared" ref="M360:AN360" si="221">L360</f>
        <v>0.1864406779661017</v>
      </c>
      <c r="N360" s="318">
        <f t="shared" si="221"/>
        <v>0.1864406779661017</v>
      </c>
      <c r="O360" s="318">
        <f t="shared" si="221"/>
        <v>0.1864406779661017</v>
      </c>
      <c r="P360" s="318">
        <f t="shared" si="221"/>
        <v>0.1864406779661017</v>
      </c>
      <c r="Q360" s="318">
        <f t="shared" si="221"/>
        <v>0.1864406779661017</v>
      </c>
      <c r="R360" s="318">
        <f t="shared" si="221"/>
        <v>0.1864406779661017</v>
      </c>
      <c r="S360" s="318">
        <f t="shared" si="221"/>
        <v>0.1864406779661017</v>
      </c>
      <c r="T360" s="318">
        <f t="shared" si="221"/>
        <v>0.1864406779661017</v>
      </c>
      <c r="U360" s="318">
        <f t="shared" si="221"/>
        <v>0.1864406779661017</v>
      </c>
      <c r="V360" s="318">
        <f t="shared" si="221"/>
        <v>0.1864406779661017</v>
      </c>
      <c r="W360" s="318">
        <f t="shared" si="221"/>
        <v>0.1864406779661017</v>
      </c>
      <c r="X360" s="318">
        <f t="shared" si="221"/>
        <v>0.1864406779661017</v>
      </c>
      <c r="Y360" s="318">
        <f t="shared" si="221"/>
        <v>0.1864406779661017</v>
      </c>
      <c r="Z360" s="318">
        <f t="shared" si="221"/>
        <v>0.1864406779661017</v>
      </c>
      <c r="AA360" s="318">
        <f t="shared" si="221"/>
        <v>0.1864406779661017</v>
      </c>
      <c r="AB360" s="318">
        <f t="shared" si="221"/>
        <v>0.1864406779661017</v>
      </c>
      <c r="AC360" s="318">
        <f t="shared" si="221"/>
        <v>0.1864406779661017</v>
      </c>
      <c r="AD360" s="318">
        <f t="shared" si="221"/>
        <v>0.1864406779661017</v>
      </c>
      <c r="AE360" s="318">
        <f t="shared" si="221"/>
        <v>0.1864406779661017</v>
      </c>
      <c r="AF360" s="318">
        <f t="shared" si="221"/>
        <v>0.1864406779661017</v>
      </c>
      <c r="AG360" s="318">
        <f t="shared" si="221"/>
        <v>0.1864406779661017</v>
      </c>
      <c r="AH360" s="318">
        <f t="shared" si="221"/>
        <v>0.1864406779661017</v>
      </c>
      <c r="AI360" s="318">
        <f t="shared" si="221"/>
        <v>0.1864406779661017</v>
      </c>
      <c r="AJ360" s="318">
        <f t="shared" si="221"/>
        <v>0.1864406779661017</v>
      </c>
      <c r="AK360" s="318">
        <f t="shared" si="221"/>
        <v>0.1864406779661017</v>
      </c>
      <c r="AL360" s="318">
        <f t="shared" si="221"/>
        <v>0.1864406779661017</v>
      </c>
      <c r="AM360" s="318">
        <f t="shared" si="221"/>
        <v>0.1864406779661017</v>
      </c>
      <c r="AN360" s="318">
        <f t="shared" si="221"/>
        <v>0.1864406779661017</v>
      </c>
    </row>
    <row r="361" spans="2:40" ht="12" customHeight="1" outlineLevel="1">
      <c r="B361" s="301"/>
      <c r="C361" s="303" t="s">
        <v>840</v>
      </c>
      <c r="D361" s="303"/>
      <c r="E361" s="317">
        <v>0</v>
      </c>
      <c r="F361" s="317">
        <v>0</v>
      </c>
      <c r="G361" s="317">
        <v>0</v>
      </c>
      <c r="H361" s="317">
        <v>0</v>
      </c>
      <c r="I361" s="317">
        <v>0</v>
      </c>
      <c r="J361" s="317">
        <v>0</v>
      </c>
      <c r="K361" s="317">
        <f t="shared" ref="K361:AN361" si="222">J361</f>
        <v>0</v>
      </c>
      <c r="L361" s="317">
        <f t="shared" si="222"/>
        <v>0</v>
      </c>
      <c r="M361" s="318">
        <f t="shared" si="222"/>
        <v>0</v>
      </c>
      <c r="N361" s="318">
        <f t="shared" si="222"/>
        <v>0</v>
      </c>
      <c r="O361" s="318">
        <f t="shared" si="222"/>
        <v>0</v>
      </c>
      <c r="P361" s="318">
        <f t="shared" si="222"/>
        <v>0</v>
      </c>
      <c r="Q361" s="318">
        <f t="shared" si="222"/>
        <v>0</v>
      </c>
      <c r="R361" s="318">
        <f t="shared" si="222"/>
        <v>0</v>
      </c>
      <c r="S361" s="318">
        <f t="shared" si="222"/>
        <v>0</v>
      </c>
      <c r="T361" s="318">
        <f t="shared" si="222"/>
        <v>0</v>
      </c>
      <c r="U361" s="318">
        <f t="shared" si="222"/>
        <v>0</v>
      </c>
      <c r="V361" s="318">
        <f t="shared" si="222"/>
        <v>0</v>
      </c>
      <c r="W361" s="318">
        <f t="shared" si="222"/>
        <v>0</v>
      </c>
      <c r="X361" s="318">
        <f t="shared" si="222"/>
        <v>0</v>
      </c>
      <c r="Y361" s="318">
        <f t="shared" si="222"/>
        <v>0</v>
      </c>
      <c r="Z361" s="318">
        <f t="shared" si="222"/>
        <v>0</v>
      </c>
      <c r="AA361" s="318">
        <f t="shared" si="222"/>
        <v>0</v>
      </c>
      <c r="AB361" s="318">
        <f t="shared" si="222"/>
        <v>0</v>
      </c>
      <c r="AC361" s="318">
        <f t="shared" si="222"/>
        <v>0</v>
      </c>
      <c r="AD361" s="318">
        <f t="shared" si="222"/>
        <v>0</v>
      </c>
      <c r="AE361" s="318">
        <f t="shared" si="222"/>
        <v>0</v>
      </c>
      <c r="AF361" s="318">
        <f t="shared" si="222"/>
        <v>0</v>
      </c>
      <c r="AG361" s="318">
        <f t="shared" si="222"/>
        <v>0</v>
      </c>
      <c r="AH361" s="318">
        <f t="shared" si="222"/>
        <v>0</v>
      </c>
      <c r="AI361" s="318">
        <f t="shared" si="222"/>
        <v>0</v>
      </c>
      <c r="AJ361" s="318">
        <f t="shared" si="222"/>
        <v>0</v>
      </c>
      <c r="AK361" s="318">
        <f t="shared" si="222"/>
        <v>0</v>
      </c>
      <c r="AL361" s="318">
        <f t="shared" si="222"/>
        <v>0</v>
      </c>
      <c r="AM361" s="318">
        <f t="shared" si="222"/>
        <v>0</v>
      </c>
      <c r="AN361" s="318">
        <f t="shared" si="222"/>
        <v>0</v>
      </c>
    </row>
    <row r="362" spans="2:40" s="7" customFormat="1" ht="12" customHeight="1" outlineLevel="1">
      <c r="B362" s="237"/>
      <c r="C362" s="208"/>
      <c r="D362" s="208"/>
      <c r="E362" s="216"/>
      <c r="F362" s="216"/>
      <c r="G362" s="216"/>
      <c r="H362" s="216"/>
      <c r="I362" s="216"/>
      <c r="J362" s="216"/>
      <c r="K362" s="216"/>
      <c r="L362" s="216"/>
      <c r="M362" s="216"/>
      <c r="N362" s="216"/>
      <c r="O362" s="216"/>
      <c r="P362" s="216"/>
      <c r="Q362" s="216"/>
      <c r="R362" s="216"/>
      <c r="S362" s="216"/>
      <c r="T362" s="216"/>
      <c r="U362" s="216"/>
      <c r="V362" s="216"/>
      <c r="W362" s="216"/>
      <c r="X362" s="216"/>
      <c r="Y362" s="216"/>
      <c r="Z362" s="216"/>
      <c r="AA362" s="216"/>
      <c r="AB362" s="216"/>
      <c r="AC362" s="216"/>
      <c r="AD362" s="216"/>
      <c r="AE362" s="216"/>
      <c r="AF362" s="216"/>
      <c r="AG362" s="216"/>
      <c r="AH362" s="216"/>
      <c r="AI362" s="216"/>
      <c r="AJ362" s="216"/>
      <c r="AK362" s="216"/>
      <c r="AL362" s="216"/>
      <c r="AM362" s="216"/>
      <c r="AN362" s="216"/>
    </row>
    <row r="363" spans="2:40" s="7" customFormat="1" ht="12" customHeight="1" outlineLevel="1">
      <c r="B363" s="239"/>
      <c r="C363" s="214" t="s">
        <v>841</v>
      </c>
      <c r="D363" s="214"/>
      <c r="E363" s="209">
        <f>E355*E359</f>
        <v>159</v>
      </c>
      <c r="F363" s="209">
        <f>F355*F359</f>
        <v>205</v>
      </c>
      <c r="G363" s="209">
        <f t="shared" ref="G363:I363" si="223">G355*G359</f>
        <v>131</v>
      </c>
      <c r="H363" s="209">
        <f>H355*H359</f>
        <v>744</v>
      </c>
      <c r="I363" s="209">
        <f t="shared" si="223"/>
        <v>145</v>
      </c>
      <c r="J363" s="209">
        <f t="shared" ref="J363:AN363" si="224">J355*J359</f>
        <v>436</v>
      </c>
      <c r="K363" s="209">
        <f t="shared" si="224"/>
        <v>471</v>
      </c>
      <c r="L363" s="209">
        <f t="shared" si="224"/>
        <v>96</v>
      </c>
      <c r="M363" s="209">
        <f t="shared" si="224"/>
        <v>331.93220338983053</v>
      </c>
      <c r="N363" s="209">
        <f t="shared" si="224"/>
        <v>331.93220338983053</v>
      </c>
      <c r="O363" s="209">
        <f t="shared" si="224"/>
        <v>132.77288135593221</v>
      </c>
      <c r="P363" s="209">
        <f t="shared" si="224"/>
        <v>132.77288135593221</v>
      </c>
      <c r="Q363" s="209">
        <f t="shared" si="224"/>
        <v>117.28741423728815</v>
      </c>
      <c r="R363" s="209">
        <f t="shared" si="224"/>
        <v>548.85819661016956</v>
      </c>
      <c r="S363" s="209">
        <f t="shared" si="224"/>
        <v>457.58596881355936</v>
      </c>
      <c r="T363" s="209">
        <f t="shared" si="224"/>
        <v>55.841369491525441</v>
      </c>
      <c r="U363" s="209">
        <f t="shared" si="224"/>
        <v>99.356436610169524</v>
      </c>
      <c r="V363" s="209">
        <f t="shared" si="224"/>
        <v>131.56132881355936</v>
      </c>
      <c r="W363" s="209">
        <f t="shared" si="224"/>
        <v>70.054291525423736</v>
      </c>
      <c r="X363" s="209">
        <f t="shared" si="224"/>
        <v>48.619769491525425</v>
      </c>
      <c r="Y363" s="209">
        <f t="shared" si="224"/>
        <v>124.47457627118645</v>
      </c>
      <c r="Z363" s="209">
        <f t="shared" si="224"/>
        <v>124.47457627118645</v>
      </c>
      <c r="AA363" s="209">
        <f t="shared" si="224"/>
        <v>66.386440677966107</v>
      </c>
      <c r="AB363" s="209">
        <f t="shared" si="224"/>
        <v>66.386440677966107</v>
      </c>
      <c r="AC363" s="209">
        <f t="shared" si="224"/>
        <v>39.09580474576272</v>
      </c>
      <c r="AD363" s="209">
        <f t="shared" si="224"/>
        <v>182.95273220338987</v>
      </c>
      <c r="AE363" s="209">
        <f t="shared" si="224"/>
        <v>152.52865627118646</v>
      </c>
      <c r="AF363" s="209">
        <f t="shared" si="224"/>
        <v>55.841369491525441</v>
      </c>
      <c r="AG363" s="209">
        <f t="shared" si="224"/>
        <v>99.356436610169524</v>
      </c>
      <c r="AH363" s="209">
        <f t="shared" si="224"/>
        <v>131.56132881355936</v>
      </c>
      <c r="AI363" s="209">
        <f t="shared" si="224"/>
        <v>70.054291525423736</v>
      </c>
      <c r="AJ363" s="209">
        <f t="shared" si="224"/>
        <v>48.619769491525425</v>
      </c>
      <c r="AK363" s="209">
        <f t="shared" si="224"/>
        <v>124.47457627118645</v>
      </c>
      <c r="AL363" s="209">
        <f t="shared" si="224"/>
        <v>124.47457627118645</v>
      </c>
      <c r="AM363" s="209">
        <f t="shared" si="224"/>
        <v>66.386440677966107</v>
      </c>
      <c r="AN363" s="209">
        <f t="shared" si="224"/>
        <v>66.386440677966107</v>
      </c>
    </row>
    <row r="364" spans="2:40" s="7" customFormat="1" ht="12" customHeight="1" outlineLevel="1">
      <c r="B364" s="239"/>
      <c r="C364" s="214" t="s">
        <v>842</v>
      </c>
      <c r="D364" s="214"/>
      <c r="E364" s="209">
        <f>E355*E360</f>
        <v>36</v>
      </c>
      <c r="F364" s="209">
        <f t="shared" ref="F364:I364" si="225">F355*F360</f>
        <v>18.000000000000004</v>
      </c>
      <c r="G364" s="209">
        <f t="shared" si="225"/>
        <v>11.000000000000002</v>
      </c>
      <c r="H364" s="209">
        <f t="shared" si="225"/>
        <v>14.000000000000028</v>
      </c>
      <c r="I364" s="209">
        <f t="shared" si="225"/>
        <v>27.000000000000011</v>
      </c>
      <c r="J364" s="209">
        <f t="shared" ref="J364:AN364" si="226">J355*J360</f>
        <v>22</v>
      </c>
      <c r="K364" s="209">
        <f t="shared" si="226"/>
        <v>15</v>
      </c>
      <c r="L364" s="209">
        <f t="shared" si="226"/>
        <v>22</v>
      </c>
      <c r="M364" s="209">
        <f t="shared" si="226"/>
        <v>76.067796610169495</v>
      </c>
      <c r="N364" s="209">
        <f t="shared" si="226"/>
        <v>76.067796610169495</v>
      </c>
      <c r="O364" s="209">
        <f t="shared" si="226"/>
        <v>30.427118644067797</v>
      </c>
      <c r="P364" s="209">
        <f t="shared" si="226"/>
        <v>30.427118644067797</v>
      </c>
      <c r="Q364" s="209">
        <f t="shared" si="226"/>
        <v>26.878365762711866</v>
      </c>
      <c r="R364" s="209">
        <f t="shared" si="226"/>
        <v>125.78000338983051</v>
      </c>
      <c r="S364" s="209">
        <f t="shared" si="226"/>
        <v>104.86345118644068</v>
      </c>
      <c r="T364" s="209">
        <f t="shared" si="226"/>
        <v>12.796980508474579</v>
      </c>
      <c r="U364" s="209">
        <f t="shared" si="226"/>
        <v>22.769183389830513</v>
      </c>
      <c r="V364" s="209">
        <f t="shared" si="226"/>
        <v>30.149471186440685</v>
      </c>
      <c r="W364" s="209">
        <f t="shared" si="226"/>
        <v>16.054108474576271</v>
      </c>
      <c r="X364" s="209">
        <f t="shared" si="226"/>
        <v>11.142030508474575</v>
      </c>
      <c r="Y364" s="209">
        <f t="shared" si="226"/>
        <v>28.525423728813561</v>
      </c>
      <c r="Z364" s="209">
        <f t="shared" si="226"/>
        <v>28.525423728813561</v>
      </c>
      <c r="AA364" s="209">
        <f t="shared" si="226"/>
        <v>15.213559322033898</v>
      </c>
      <c r="AB364" s="209">
        <f t="shared" si="226"/>
        <v>15.213559322033898</v>
      </c>
      <c r="AC364" s="209">
        <f t="shared" si="226"/>
        <v>8.9594552542372892</v>
      </c>
      <c r="AD364" s="209">
        <f t="shared" si="226"/>
        <v>41.926667796610175</v>
      </c>
      <c r="AE364" s="209">
        <f t="shared" si="226"/>
        <v>34.954483728813564</v>
      </c>
      <c r="AF364" s="209">
        <f t="shared" si="226"/>
        <v>12.796980508474579</v>
      </c>
      <c r="AG364" s="209">
        <f t="shared" si="226"/>
        <v>22.769183389830513</v>
      </c>
      <c r="AH364" s="209">
        <f t="shared" si="226"/>
        <v>30.149471186440685</v>
      </c>
      <c r="AI364" s="209">
        <f t="shared" si="226"/>
        <v>16.054108474576271</v>
      </c>
      <c r="AJ364" s="209">
        <f t="shared" si="226"/>
        <v>11.142030508474575</v>
      </c>
      <c r="AK364" s="209">
        <f t="shared" si="226"/>
        <v>28.525423728813561</v>
      </c>
      <c r="AL364" s="209">
        <f t="shared" si="226"/>
        <v>28.525423728813561</v>
      </c>
      <c r="AM364" s="209">
        <f t="shared" si="226"/>
        <v>15.213559322033898</v>
      </c>
      <c r="AN364" s="209">
        <f t="shared" si="226"/>
        <v>15.213559322033898</v>
      </c>
    </row>
    <row r="365" spans="2:40" s="7" customFormat="1" ht="12" customHeight="1" outlineLevel="1">
      <c r="B365" s="239"/>
      <c r="C365" s="214" t="s">
        <v>843</v>
      </c>
      <c r="D365" s="214"/>
      <c r="E365" s="209">
        <f>E355*E361</f>
        <v>0</v>
      </c>
      <c r="F365" s="209">
        <f t="shared" ref="F365:I365" si="227">F355*F361</f>
        <v>0</v>
      </c>
      <c r="G365" s="209">
        <f t="shared" si="227"/>
        <v>0</v>
      </c>
      <c r="H365" s="209">
        <f t="shared" si="227"/>
        <v>0</v>
      </c>
      <c r="I365" s="209">
        <f t="shared" si="227"/>
        <v>0</v>
      </c>
      <c r="J365" s="209">
        <f t="shared" ref="J365:AN365" si="228">J355*J361</f>
        <v>0</v>
      </c>
      <c r="K365" s="209">
        <f t="shared" si="228"/>
        <v>0</v>
      </c>
      <c r="L365" s="209">
        <f t="shared" si="228"/>
        <v>0</v>
      </c>
      <c r="M365" s="209">
        <f t="shared" si="228"/>
        <v>0</v>
      </c>
      <c r="N365" s="209">
        <f t="shared" si="228"/>
        <v>0</v>
      </c>
      <c r="O365" s="209">
        <f t="shared" si="228"/>
        <v>0</v>
      </c>
      <c r="P365" s="209">
        <f t="shared" si="228"/>
        <v>0</v>
      </c>
      <c r="Q365" s="209">
        <f t="shared" si="228"/>
        <v>0</v>
      </c>
      <c r="R365" s="209">
        <f t="shared" si="228"/>
        <v>0</v>
      </c>
      <c r="S365" s="209">
        <f t="shared" si="228"/>
        <v>0</v>
      </c>
      <c r="T365" s="209">
        <f t="shared" si="228"/>
        <v>0</v>
      </c>
      <c r="U365" s="209">
        <f t="shared" si="228"/>
        <v>0</v>
      </c>
      <c r="V365" s="209">
        <f t="shared" si="228"/>
        <v>0</v>
      </c>
      <c r="W365" s="209">
        <f t="shared" si="228"/>
        <v>0</v>
      </c>
      <c r="X365" s="209">
        <f t="shared" si="228"/>
        <v>0</v>
      </c>
      <c r="Y365" s="209">
        <f t="shared" si="228"/>
        <v>0</v>
      </c>
      <c r="Z365" s="209">
        <f t="shared" si="228"/>
        <v>0</v>
      </c>
      <c r="AA365" s="209">
        <f t="shared" si="228"/>
        <v>0</v>
      </c>
      <c r="AB365" s="209">
        <f t="shared" si="228"/>
        <v>0</v>
      </c>
      <c r="AC365" s="209">
        <f t="shared" si="228"/>
        <v>0</v>
      </c>
      <c r="AD365" s="209">
        <f t="shared" si="228"/>
        <v>0</v>
      </c>
      <c r="AE365" s="209">
        <f t="shared" si="228"/>
        <v>0</v>
      </c>
      <c r="AF365" s="209">
        <f t="shared" si="228"/>
        <v>0</v>
      </c>
      <c r="AG365" s="209">
        <f t="shared" si="228"/>
        <v>0</v>
      </c>
      <c r="AH365" s="209">
        <f t="shared" si="228"/>
        <v>0</v>
      </c>
      <c r="AI365" s="209">
        <f t="shared" si="228"/>
        <v>0</v>
      </c>
      <c r="AJ365" s="209">
        <f t="shared" si="228"/>
        <v>0</v>
      </c>
      <c r="AK365" s="209">
        <f t="shared" si="228"/>
        <v>0</v>
      </c>
      <c r="AL365" s="209">
        <f t="shared" si="228"/>
        <v>0</v>
      </c>
      <c r="AM365" s="209">
        <f t="shared" si="228"/>
        <v>0</v>
      </c>
      <c r="AN365" s="209">
        <f t="shared" si="228"/>
        <v>0</v>
      </c>
    </row>
    <row r="366" spans="2:40" s="7" customFormat="1" ht="12" customHeight="1" outlineLevel="1">
      <c r="B366" s="239"/>
      <c r="C366" s="214" t="s">
        <v>844</v>
      </c>
      <c r="D366" s="214"/>
      <c r="E366" s="209">
        <f>IF((SUM(E376:E412)-E363)&lt;2,ROUNDUP(SUM(E376:E412),0)-E363,ROUNDDOWN(SUM(E376:E412),0)-E363)</f>
        <v>0</v>
      </c>
      <c r="F366" s="209">
        <f t="shared" ref="F366:I366" si="229">IF((SUM(F376:F412)-F363)&lt;2,ROUNDUP(SUM(F376:F412),0)-F363,ROUNDDOWN(SUM(F376:F412),0)-F363)</f>
        <v>0</v>
      </c>
      <c r="G366" s="209">
        <f t="shared" si="229"/>
        <v>0</v>
      </c>
      <c r="H366" s="209">
        <f>IF((SUM(H376:H412)-H363)&lt;2,ROUNDUP(SUM(H376:H412),0)-H363,ROUNDDOWN(SUM(H376:H412),0)-H363)</f>
        <v>0</v>
      </c>
      <c r="I366" s="209">
        <f t="shared" si="229"/>
        <v>0</v>
      </c>
      <c r="J366" s="209">
        <f>IF((SUM(J376:J412)-J363)&lt;2,ROUNDUP(SUM(J376:J412),0)-J363,ROUNDDOWN(SUM(J376:J412),0)-J363)</f>
        <v>0</v>
      </c>
      <c r="K366" s="209">
        <f t="shared" ref="K366:AN366" si="230">IF((SUM(K376:K412)-K363)&lt;2,ROUNDUP(SUM(K376:K412),0)-K363,ROUNDDOWN(SUM(K376:K412),0)-K363)</f>
        <v>0</v>
      </c>
      <c r="L366" s="209">
        <f t="shared" si="230"/>
        <v>0</v>
      </c>
      <c r="M366" s="209">
        <f t="shared" si="230"/>
        <v>6.7796610169466476E-2</v>
      </c>
      <c r="N366" s="209">
        <f t="shared" si="230"/>
        <v>6.7796610169466476E-2</v>
      </c>
      <c r="O366" s="209">
        <f t="shared" si="230"/>
        <v>0.22711864406778659</v>
      </c>
      <c r="P366" s="209">
        <f t="shared" si="230"/>
        <v>0.22711864406778659</v>
      </c>
      <c r="Q366" s="209">
        <f t="shared" si="230"/>
        <v>0.71258576271185348</v>
      </c>
      <c r="R366" s="209">
        <f t="shared" si="230"/>
        <v>0.14180338983044294</v>
      </c>
      <c r="S366" s="209">
        <f t="shared" si="230"/>
        <v>0.41403118644063852</v>
      </c>
      <c r="T366" s="209">
        <f t="shared" si="230"/>
        <v>0.15863050847455895</v>
      </c>
      <c r="U366" s="209">
        <f t="shared" si="230"/>
        <v>0.64356338983047578</v>
      </c>
      <c r="V366" s="209">
        <f t="shared" si="230"/>
        <v>0.43867118644064362</v>
      </c>
      <c r="W366" s="209">
        <f t="shared" si="230"/>
        <v>0.94570847457626428</v>
      </c>
      <c r="X366" s="209">
        <f t="shared" si="230"/>
        <v>0.3802305084745754</v>
      </c>
      <c r="Y366" s="209">
        <f t="shared" si="230"/>
        <v>0.52542372881354993</v>
      </c>
      <c r="Z366" s="209">
        <f t="shared" si="230"/>
        <v>0.52542372881354993</v>
      </c>
      <c r="AA366" s="209">
        <f t="shared" si="230"/>
        <v>0.6135593220338933</v>
      </c>
      <c r="AB366" s="209">
        <f t="shared" si="230"/>
        <v>0.6135593220338933</v>
      </c>
      <c r="AC366" s="209">
        <f t="shared" si="230"/>
        <v>0.90419525423727976</v>
      </c>
      <c r="AD366" s="209">
        <f t="shared" si="230"/>
        <v>4.7267796610128698E-2</v>
      </c>
      <c r="AE366" s="209">
        <f t="shared" si="230"/>
        <v>0.4713437288135367</v>
      </c>
      <c r="AF366" s="209">
        <f t="shared" si="230"/>
        <v>0.15863050847455895</v>
      </c>
      <c r="AG366" s="209">
        <f t="shared" si="230"/>
        <v>0.64356338983047578</v>
      </c>
      <c r="AH366" s="209">
        <f t="shared" si="230"/>
        <v>0.43867118644064362</v>
      </c>
      <c r="AI366" s="209">
        <f t="shared" si="230"/>
        <v>0.94570847457626428</v>
      </c>
      <c r="AJ366" s="209">
        <f t="shared" si="230"/>
        <v>0.3802305084745754</v>
      </c>
      <c r="AK366" s="209">
        <f t="shared" si="230"/>
        <v>0.52542372881354993</v>
      </c>
      <c r="AL366" s="209">
        <f t="shared" si="230"/>
        <v>0.52542372881354993</v>
      </c>
      <c r="AM366" s="209">
        <f t="shared" si="230"/>
        <v>0.6135593220338933</v>
      </c>
      <c r="AN366" s="209">
        <f t="shared" si="230"/>
        <v>0.6135593220338933</v>
      </c>
    </row>
    <row r="367" spans="2:40" s="7" customFormat="1" ht="12" customHeight="1" outlineLevel="1">
      <c r="B367" s="239"/>
      <c r="C367" s="214" t="s">
        <v>845</v>
      </c>
      <c r="D367" s="214"/>
      <c r="E367" s="209">
        <f>IF((SUM(E417:E453)-E364)&lt;2,ROUNDUP(SUM(E417:E453),0)-E364,ROUNDDOWN(SUM(E417:E453),0)-E364)</f>
        <v>322</v>
      </c>
      <c r="F367" s="209">
        <f t="shared" ref="F367:I367" si="231">IF((SUM(F417:F453)-F364)&lt;2,ROUNDUP(SUM(F417:F453),0)-F364,ROUNDDOWN(SUM(F417:F453),0)-F364)</f>
        <v>380</v>
      </c>
      <c r="G367" s="209">
        <f t="shared" si="231"/>
        <v>482</v>
      </c>
      <c r="H367" s="209">
        <f t="shared" si="231"/>
        <v>365</v>
      </c>
      <c r="I367" s="209">
        <f t="shared" si="231"/>
        <v>308</v>
      </c>
      <c r="J367" s="209">
        <f t="shared" ref="J367:AN367" si="232">IF((SUM(J417:J453)-J364)&lt;2,ROUNDUP(SUM(J417:J453),0)-J364,ROUNDDOWN(SUM(J417:J453),0)-J364)</f>
        <v>278</v>
      </c>
      <c r="K367" s="209">
        <f t="shared" si="232"/>
        <v>251</v>
      </c>
      <c r="L367" s="209">
        <f t="shared" si="232"/>
        <v>227</v>
      </c>
      <c r="M367" s="209">
        <f t="shared" si="232"/>
        <v>204.93220338983051</v>
      </c>
      <c r="N367" s="209">
        <f t="shared" si="232"/>
        <v>187.93220338983051</v>
      </c>
      <c r="O367" s="209">
        <f t="shared" si="232"/>
        <v>172.5728813559322</v>
      </c>
      <c r="P367" s="209">
        <f t="shared" si="232"/>
        <v>157.5728813559322</v>
      </c>
      <c r="Q367" s="209">
        <f t="shared" si="232"/>
        <v>144.12163423728813</v>
      </c>
      <c r="R367" s="209">
        <f t="shared" si="232"/>
        <v>131.21999661016949</v>
      </c>
      <c r="S367" s="209">
        <f t="shared" si="232"/>
        <v>122.13654881355932</v>
      </c>
      <c r="T367" s="209">
        <f t="shared" si="232"/>
        <v>115.20301949152542</v>
      </c>
      <c r="U367" s="209">
        <f t="shared" si="232"/>
        <v>106.23081661016948</v>
      </c>
      <c r="V367" s="209">
        <f t="shared" si="232"/>
        <v>96.850528813559322</v>
      </c>
      <c r="W367" s="209">
        <f t="shared" si="232"/>
        <v>87.945891525423733</v>
      </c>
      <c r="X367" s="209">
        <f t="shared" si="232"/>
        <v>79.857969491525424</v>
      </c>
      <c r="Y367" s="209">
        <f t="shared" si="232"/>
        <v>74.474576271186436</v>
      </c>
      <c r="Z367" s="209">
        <f t="shared" si="232"/>
        <v>69.474576271186436</v>
      </c>
      <c r="AA367" s="209">
        <f t="shared" si="232"/>
        <v>62.786440677966098</v>
      </c>
      <c r="AB367" s="209">
        <f t="shared" si="232"/>
        <v>56.786440677966098</v>
      </c>
      <c r="AC367" s="209">
        <f t="shared" si="232"/>
        <v>53.040544745762709</v>
      </c>
      <c r="AD367" s="209">
        <f t="shared" si="232"/>
        <v>49.073332203389825</v>
      </c>
      <c r="AE367" s="209">
        <f t="shared" si="232"/>
        <v>47.045516271186436</v>
      </c>
      <c r="AF367" s="209">
        <f t="shared" si="232"/>
        <v>41.203019491525424</v>
      </c>
      <c r="AG367" s="209">
        <f t="shared" si="232"/>
        <v>35.230816610169484</v>
      </c>
      <c r="AH367" s="209">
        <f t="shared" si="232"/>
        <v>32.850528813559315</v>
      </c>
      <c r="AI367" s="209">
        <f t="shared" si="232"/>
        <v>30.945891525423729</v>
      </c>
      <c r="AJ367" s="209">
        <f t="shared" si="232"/>
        <v>27.857969491525424</v>
      </c>
      <c r="AK367" s="209">
        <f t="shared" si="232"/>
        <v>25.474576271186439</v>
      </c>
      <c r="AL367" s="209">
        <f t="shared" si="232"/>
        <v>24.474576271186439</v>
      </c>
      <c r="AM367" s="209">
        <f t="shared" si="232"/>
        <v>22.786440677966102</v>
      </c>
      <c r="AN367" s="209">
        <f t="shared" si="232"/>
        <v>20.786440677966102</v>
      </c>
    </row>
    <row r="368" spans="2:40" s="7" customFormat="1" ht="12" customHeight="1" outlineLevel="1">
      <c r="B368" s="239"/>
      <c r="C368" s="214" t="s">
        <v>846</v>
      </c>
      <c r="D368" s="214"/>
      <c r="E368" s="209">
        <f t="shared" ref="E368:I368" si="233">IF((SUM(E458:E481)-E365)&lt;1,ROUNDUP(SUM(E458:E481),0)-E365,ROUNDDOWN(SUM(E458:E481),0)-E365)</f>
        <v>0</v>
      </c>
      <c r="F368" s="209">
        <f t="shared" si="233"/>
        <v>0</v>
      </c>
      <c r="G368" s="209">
        <f t="shared" si="233"/>
        <v>0</v>
      </c>
      <c r="H368" s="209">
        <f t="shared" si="233"/>
        <v>0</v>
      </c>
      <c r="I368" s="209">
        <f t="shared" si="233"/>
        <v>0</v>
      </c>
      <c r="J368" s="209">
        <f t="shared" ref="J368:AN368" si="234">IF((SUM(J458:J481)-J365)&lt;1,ROUNDUP(SUM(J458:J481),0)-J365,ROUNDDOWN(SUM(J458:J481),0)-J365)</f>
        <v>0</v>
      </c>
      <c r="K368" s="209">
        <f t="shared" si="234"/>
        <v>0</v>
      </c>
      <c r="L368" s="209">
        <f t="shared" si="234"/>
        <v>0</v>
      </c>
      <c r="M368" s="209">
        <f t="shared" si="234"/>
        <v>0</v>
      </c>
      <c r="N368" s="209">
        <f t="shared" si="234"/>
        <v>0</v>
      </c>
      <c r="O368" s="209">
        <f t="shared" si="234"/>
        <v>0</v>
      </c>
      <c r="P368" s="209">
        <f t="shared" si="234"/>
        <v>0</v>
      </c>
      <c r="Q368" s="209">
        <f t="shared" si="234"/>
        <v>0</v>
      </c>
      <c r="R368" s="209">
        <f t="shared" si="234"/>
        <v>0</v>
      </c>
      <c r="S368" s="209">
        <f t="shared" si="234"/>
        <v>0</v>
      </c>
      <c r="T368" s="209">
        <f t="shared" si="234"/>
        <v>0</v>
      </c>
      <c r="U368" s="209">
        <f t="shared" si="234"/>
        <v>0</v>
      </c>
      <c r="V368" s="209">
        <f t="shared" si="234"/>
        <v>0</v>
      </c>
      <c r="W368" s="209">
        <f t="shared" si="234"/>
        <v>0</v>
      </c>
      <c r="X368" s="209">
        <f t="shared" si="234"/>
        <v>0</v>
      </c>
      <c r="Y368" s="209">
        <f t="shared" si="234"/>
        <v>0</v>
      </c>
      <c r="Z368" s="209">
        <f t="shared" si="234"/>
        <v>0</v>
      </c>
      <c r="AA368" s="209">
        <f t="shared" si="234"/>
        <v>0</v>
      </c>
      <c r="AB368" s="209">
        <f t="shared" si="234"/>
        <v>0</v>
      </c>
      <c r="AC368" s="209">
        <f t="shared" si="234"/>
        <v>0</v>
      </c>
      <c r="AD368" s="209">
        <f t="shared" si="234"/>
        <v>0</v>
      </c>
      <c r="AE368" s="209">
        <f t="shared" si="234"/>
        <v>0</v>
      </c>
      <c r="AF368" s="209">
        <f t="shared" si="234"/>
        <v>0</v>
      </c>
      <c r="AG368" s="209">
        <f t="shared" si="234"/>
        <v>0</v>
      </c>
      <c r="AH368" s="209">
        <f t="shared" si="234"/>
        <v>0</v>
      </c>
      <c r="AI368" s="209">
        <f t="shared" si="234"/>
        <v>0</v>
      </c>
      <c r="AJ368" s="209">
        <f t="shared" si="234"/>
        <v>0</v>
      </c>
      <c r="AK368" s="209">
        <f t="shared" si="234"/>
        <v>0</v>
      </c>
      <c r="AL368" s="209">
        <f t="shared" si="234"/>
        <v>0</v>
      </c>
      <c r="AM368" s="209">
        <f t="shared" si="234"/>
        <v>0</v>
      </c>
      <c r="AN368" s="209">
        <f t="shared" si="234"/>
        <v>0</v>
      </c>
    </row>
    <row r="369" spans="2:40" s="7" customFormat="1" ht="12" customHeight="1" outlineLevel="1">
      <c r="B369" s="237"/>
      <c r="C369" s="214" t="s">
        <v>833</v>
      </c>
      <c r="D369" s="214"/>
      <c r="E369" s="210">
        <f>SUM(E363:E365)</f>
        <v>195</v>
      </c>
      <c r="F369" s="210">
        <f>SUM(F363:F365)</f>
        <v>223</v>
      </c>
      <c r="G369" s="210">
        <f t="shared" ref="G369:I369" si="235">SUM(G363:G365)</f>
        <v>142</v>
      </c>
      <c r="H369" s="210">
        <f t="shared" si="235"/>
        <v>758</v>
      </c>
      <c r="I369" s="210">
        <f t="shared" si="235"/>
        <v>172</v>
      </c>
      <c r="J369" s="210">
        <f t="shared" ref="J369:AN369" si="236">SUM(J363:J365)</f>
        <v>458</v>
      </c>
      <c r="K369" s="210">
        <f t="shared" si="236"/>
        <v>486</v>
      </c>
      <c r="L369" s="210">
        <f t="shared" si="236"/>
        <v>118</v>
      </c>
      <c r="M369" s="210">
        <f t="shared" si="236"/>
        <v>408</v>
      </c>
      <c r="N369" s="210">
        <f t="shared" si="236"/>
        <v>408</v>
      </c>
      <c r="O369" s="210">
        <f t="shared" si="236"/>
        <v>163.20000000000002</v>
      </c>
      <c r="P369" s="210">
        <f t="shared" si="236"/>
        <v>163.20000000000002</v>
      </c>
      <c r="Q369" s="210">
        <f t="shared" si="236"/>
        <v>144.16578000000001</v>
      </c>
      <c r="R369" s="210">
        <f t="shared" si="236"/>
        <v>674.6382000000001</v>
      </c>
      <c r="S369" s="210">
        <f t="shared" si="236"/>
        <v>562.44942000000003</v>
      </c>
      <c r="T369" s="210">
        <f t="shared" si="236"/>
        <v>68.638350000000017</v>
      </c>
      <c r="U369" s="210">
        <f t="shared" si="236"/>
        <v>122.12562000000004</v>
      </c>
      <c r="V369" s="210">
        <f t="shared" si="236"/>
        <v>161.71080000000003</v>
      </c>
      <c r="W369" s="210">
        <f t="shared" si="236"/>
        <v>86.108400000000003</v>
      </c>
      <c r="X369" s="210">
        <f t="shared" si="236"/>
        <v>59.761800000000001</v>
      </c>
      <c r="Y369" s="210">
        <f t="shared" si="236"/>
        <v>153</v>
      </c>
      <c r="Z369" s="210">
        <f t="shared" si="236"/>
        <v>153</v>
      </c>
      <c r="AA369" s="210">
        <f t="shared" si="236"/>
        <v>81.600000000000009</v>
      </c>
      <c r="AB369" s="210">
        <f t="shared" si="236"/>
        <v>81.600000000000009</v>
      </c>
      <c r="AC369" s="210">
        <f t="shared" si="236"/>
        <v>48.055260000000011</v>
      </c>
      <c r="AD369" s="210">
        <f t="shared" si="236"/>
        <v>224.87940000000003</v>
      </c>
      <c r="AE369" s="210">
        <f t="shared" si="236"/>
        <v>187.48314000000002</v>
      </c>
      <c r="AF369" s="210">
        <f t="shared" si="236"/>
        <v>68.638350000000017</v>
      </c>
      <c r="AG369" s="210">
        <f t="shared" si="236"/>
        <v>122.12562000000004</v>
      </c>
      <c r="AH369" s="210">
        <f t="shared" si="236"/>
        <v>161.71080000000003</v>
      </c>
      <c r="AI369" s="210">
        <f t="shared" si="236"/>
        <v>86.108400000000003</v>
      </c>
      <c r="AJ369" s="210">
        <f t="shared" si="236"/>
        <v>59.761800000000001</v>
      </c>
      <c r="AK369" s="210">
        <f t="shared" si="236"/>
        <v>153</v>
      </c>
      <c r="AL369" s="210">
        <f t="shared" si="236"/>
        <v>153</v>
      </c>
      <c r="AM369" s="210">
        <f t="shared" si="236"/>
        <v>81.600000000000009</v>
      </c>
      <c r="AN369" s="210">
        <f t="shared" si="236"/>
        <v>81.600000000000009</v>
      </c>
    </row>
    <row r="370" spans="2:40" s="7" customFormat="1" ht="12" customHeight="1" outlineLevel="1">
      <c r="B370" s="237"/>
      <c r="C370" s="214" t="s">
        <v>847</v>
      </c>
      <c r="D370" s="214"/>
      <c r="E370" s="210">
        <f t="shared" ref="E370:I370" si="237">SUM(E366:E368)</f>
        <v>322</v>
      </c>
      <c r="F370" s="210">
        <f t="shared" si="237"/>
        <v>380</v>
      </c>
      <c r="G370" s="210">
        <f t="shared" si="237"/>
        <v>482</v>
      </c>
      <c r="H370" s="210">
        <f t="shared" si="237"/>
        <v>365</v>
      </c>
      <c r="I370" s="210">
        <f t="shared" si="237"/>
        <v>308</v>
      </c>
      <c r="J370" s="210">
        <f t="shared" ref="J370:AN370" si="238">SUM(J366:J368)</f>
        <v>278</v>
      </c>
      <c r="K370" s="210">
        <f t="shared" si="238"/>
        <v>251</v>
      </c>
      <c r="L370" s="210">
        <f t="shared" si="238"/>
        <v>227</v>
      </c>
      <c r="M370" s="210">
        <f t="shared" si="238"/>
        <v>204.99999999999997</v>
      </c>
      <c r="N370" s="210">
        <f t="shared" si="238"/>
        <v>187.99999999999997</v>
      </c>
      <c r="O370" s="210">
        <f t="shared" si="238"/>
        <v>172.79999999999998</v>
      </c>
      <c r="P370" s="210">
        <f t="shared" si="238"/>
        <v>157.79999999999998</v>
      </c>
      <c r="Q370" s="210">
        <f t="shared" si="238"/>
        <v>144.83421999999999</v>
      </c>
      <c r="R370" s="210">
        <f t="shared" si="238"/>
        <v>131.36179999999993</v>
      </c>
      <c r="S370" s="210">
        <f t="shared" si="238"/>
        <v>122.55057999999995</v>
      </c>
      <c r="T370" s="210">
        <f t="shared" si="238"/>
        <v>115.36164999999998</v>
      </c>
      <c r="U370" s="210">
        <f t="shared" si="238"/>
        <v>106.87437999999996</v>
      </c>
      <c r="V370" s="210">
        <f t="shared" si="238"/>
        <v>97.289199999999965</v>
      </c>
      <c r="W370" s="210">
        <f t="shared" si="238"/>
        <v>88.891599999999997</v>
      </c>
      <c r="X370" s="210">
        <f t="shared" si="238"/>
        <v>80.238200000000006</v>
      </c>
      <c r="Y370" s="210">
        <f t="shared" si="238"/>
        <v>74.999999999999986</v>
      </c>
      <c r="Z370" s="210">
        <f t="shared" si="238"/>
        <v>69.999999999999986</v>
      </c>
      <c r="AA370" s="210">
        <f t="shared" si="238"/>
        <v>63.399999999999991</v>
      </c>
      <c r="AB370" s="210">
        <f t="shared" si="238"/>
        <v>57.399999999999991</v>
      </c>
      <c r="AC370" s="210">
        <f t="shared" si="238"/>
        <v>53.944739999999989</v>
      </c>
      <c r="AD370" s="210">
        <f t="shared" si="238"/>
        <v>49.120599999999953</v>
      </c>
      <c r="AE370" s="210">
        <f t="shared" si="238"/>
        <v>47.516859999999973</v>
      </c>
      <c r="AF370" s="210">
        <f t="shared" si="238"/>
        <v>41.361649999999983</v>
      </c>
      <c r="AG370" s="210">
        <f t="shared" si="238"/>
        <v>35.87437999999996</v>
      </c>
      <c r="AH370" s="210">
        <f t="shared" si="238"/>
        <v>33.289199999999958</v>
      </c>
      <c r="AI370" s="210">
        <f t="shared" si="238"/>
        <v>31.891599999999993</v>
      </c>
      <c r="AJ370" s="210">
        <f t="shared" si="238"/>
        <v>28.238199999999999</v>
      </c>
      <c r="AK370" s="210">
        <f t="shared" si="238"/>
        <v>25.999999999999989</v>
      </c>
      <c r="AL370" s="210">
        <f t="shared" si="238"/>
        <v>24.999999999999989</v>
      </c>
      <c r="AM370" s="210">
        <f t="shared" si="238"/>
        <v>23.399999999999995</v>
      </c>
      <c r="AN370" s="210">
        <f t="shared" si="238"/>
        <v>21.399999999999995</v>
      </c>
    </row>
    <row r="371" spans="2:40" s="7" customFormat="1" ht="12" customHeight="1" outlineLevel="1">
      <c r="B371" s="237"/>
      <c r="C371" s="252" t="s">
        <v>848</v>
      </c>
      <c r="D371" s="214"/>
      <c r="E371" s="205">
        <f>SUM(E369:E370)</f>
        <v>517</v>
      </c>
      <c r="F371" s="205">
        <f t="shared" ref="F371:I371" si="239">SUM(F369:F370)</f>
        <v>603</v>
      </c>
      <c r="G371" s="205">
        <f t="shared" si="239"/>
        <v>624</v>
      </c>
      <c r="H371" s="205">
        <f t="shared" si="239"/>
        <v>1123</v>
      </c>
      <c r="I371" s="205">
        <f t="shared" si="239"/>
        <v>480</v>
      </c>
      <c r="J371" s="205">
        <f t="shared" ref="J371:AN371" si="240">SUM(J369:J370)</f>
        <v>736</v>
      </c>
      <c r="K371" s="205">
        <f t="shared" si="240"/>
        <v>737</v>
      </c>
      <c r="L371" s="205">
        <f t="shared" si="240"/>
        <v>345</v>
      </c>
      <c r="M371" s="205">
        <f t="shared" si="240"/>
        <v>613</v>
      </c>
      <c r="N371" s="205">
        <f t="shared" si="240"/>
        <v>596</v>
      </c>
      <c r="O371" s="205">
        <f t="shared" si="240"/>
        <v>336</v>
      </c>
      <c r="P371" s="205">
        <f t="shared" si="240"/>
        <v>321</v>
      </c>
      <c r="Q371" s="205">
        <f t="shared" si="240"/>
        <v>289</v>
      </c>
      <c r="R371" s="205">
        <f t="shared" si="240"/>
        <v>806</v>
      </c>
      <c r="S371" s="205">
        <f t="shared" si="240"/>
        <v>685</v>
      </c>
      <c r="T371" s="205">
        <f t="shared" si="240"/>
        <v>184</v>
      </c>
      <c r="U371" s="205">
        <f t="shared" si="240"/>
        <v>229</v>
      </c>
      <c r="V371" s="205">
        <f t="shared" si="240"/>
        <v>259</v>
      </c>
      <c r="W371" s="205">
        <f t="shared" si="240"/>
        <v>175</v>
      </c>
      <c r="X371" s="205">
        <f t="shared" si="240"/>
        <v>140</v>
      </c>
      <c r="Y371" s="205">
        <f t="shared" si="240"/>
        <v>228</v>
      </c>
      <c r="Z371" s="205">
        <f t="shared" si="240"/>
        <v>223</v>
      </c>
      <c r="AA371" s="205">
        <f t="shared" si="240"/>
        <v>145</v>
      </c>
      <c r="AB371" s="205">
        <f t="shared" si="240"/>
        <v>139</v>
      </c>
      <c r="AC371" s="205">
        <f t="shared" si="240"/>
        <v>102</v>
      </c>
      <c r="AD371" s="205">
        <f t="shared" si="240"/>
        <v>274</v>
      </c>
      <c r="AE371" s="205">
        <f t="shared" si="240"/>
        <v>235</v>
      </c>
      <c r="AF371" s="205">
        <f t="shared" si="240"/>
        <v>110</v>
      </c>
      <c r="AG371" s="205">
        <f t="shared" si="240"/>
        <v>158</v>
      </c>
      <c r="AH371" s="205">
        <f t="shared" si="240"/>
        <v>195</v>
      </c>
      <c r="AI371" s="205">
        <f t="shared" si="240"/>
        <v>118</v>
      </c>
      <c r="AJ371" s="205">
        <f t="shared" si="240"/>
        <v>88</v>
      </c>
      <c r="AK371" s="205">
        <f t="shared" si="240"/>
        <v>179</v>
      </c>
      <c r="AL371" s="205">
        <f t="shared" si="240"/>
        <v>178</v>
      </c>
      <c r="AM371" s="205">
        <f t="shared" si="240"/>
        <v>105</v>
      </c>
      <c r="AN371" s="205">
        <f t="shared" si="240"/>
        <v>103</v>
      </c>
    </row>
    <row r="372" spans="2:40" s="7" customFormat="1" ht="12" customHeight="1" outlineLevel="1">
      <c r="B372" s="239"/>
      <c r="C372" s="214"/>
      <c r="D372" s="214"/>
      <c r="E372" s="211"/>
      <c r="F372" s="211"/>
      <c r="G372" s="211"/>
      <c r="H372" s="211"/>
      <c r="I372" s="211"/>
      <c r="J372" s="211"/>
      <c r="K372" s="211"/>
      <c r="L372" s="211"/>
      <c r="M372" s="211"/>
      <c r="N372" s="211"/>
      <c r="O372" s="211"/>
      <c r="P372" s="211"/>
      <c r="Q372" s="211"/>
      <c r="R372" s="211"/>
      <c r="S372" s="211"/>
      <c r="T372" s="211"/>
      <c r="U372" s="211"/>
      <c r="V372" s="211"/>
      <c r="W372" s="211"/>
      <c r="X372" s="211"/>
      <c r="Y372" s="211"/>
      <c r="Z372" s="211"/>
      <c r="AA372" s="211"/>
      <c r="AB372" s="211"/>
      <c r="AC372" s="211"/>
      <c r="AD372" s="211"/>
      <c r="AE372" s="211"/>
      <c r="AF372" s="211"/>
      <c r="AG372" s="211"/>
      <c r="AH372" s="211"/>
      <c r="AI372" s="211"/>
      <c r="AJ372" s="211"/>
      <c r="AK372" s="211"/>
      <c r="AL372" s="211"/>
      <c r="AM372" s="211"/>
      <c r="AN372" s="211"/>
    </row>
    <row r="373" spans="2:40" s="7" customFormat="1" ht="12" hidden="1" customHeight="1" outlineLevel="2">
      <c r="B373" s="239"/>
      <c r="C373" s="243" t="s">
        <v>849</v>
      </c>
      <c r="D373" s="214"/>
      <c r="O373" s="212"/>
      <c r="P373" s="212"/>
      <c r="Q373" s="212"/>
      <c r="R373" s="212"/>
      <c r="S373" s="212"/>
      <c r="T373" s="212"/>
      <c r="U373" s="212"/>
      <c r="V373" s="212"/>
      <c r="W373" s="212"/>
      <c r="X373" s="212"/>
      <c r="Y373" s="212"/>
      <c r="Z373" s="212"/>
      <c r="AA373" s="212"/>
      <c r="AB373" s="212"/>
      <c r="AC373" s="212"/>
      <c r="AD373" s="212"/>
      <c r="AE373" s="212"/>
      <c r="AF373" s="212"/>
      <c r="AG373" s="212"/>
      <c r="AH373" s="212"/>
      <c r="AI373" s="212"/>
      <c r="AJ373" s="212"/>
      <c r="AK373" s="212"/>
      <c r="AL373" s="212"/>
      <c r="AM373" s="212"/>
      <c r="AN373" s="212"/>
    </row>
    <row r="374" spans="2:40" s="7" customFormat="1" ht="12" hidden="1" customHeight="1" outlineLevel="2">
      <c r="B374" s="239"/>
      <c r="C374" s="214" t="s">
        <v>850</v>
      </c>
      <c r="D374" s="214"/>
      <c r="E374" s="196" t="s">
        <v>753</v>
      </c>
      <c r="F374" s="196" t="s">
        <v>754</v>
      </c>
      <c r="G374" s="196" t="s">
        <v>755</v>
      </c>
      <c r="H374" s="196" t="s">
        <v>756</v>
      </c>
      <c r="I374" s="196" t="s">
        <v>757</v>
      </c>
      <c r="J374" s="196" t="s">
        <v>758</v>
      </c>
      <c r="K374" s="196" t="s">
        <v>759</v>
      </c>
      <c r="L374" s="196" t="s">
        <v>760</v>
      </c>
      <c r="M374" s="196" t="s">
        <v>761</v>
      </c>
      <c r="N374" s="196" t="s">
        <v>762</v>
      </c>
      <c r="O374" s="196" t="s">
        <v>763</v>
      </c>
      <c r="P374" s="196" t="s">
        <v>764</v>
      </c>
      <c r="Q374" s="196" t="s">
        <v>765</v>
      </c>
      <c r="R374" s="196" t="s">
        <v>766</v>
      </c>
      <c r="S374" s="196" t="s">
        <v>767</v>
      </c>
      <c r="T374" s="196" t="s">
        <v>768</v>
      </c>
      <c r="U374" s="196" t="s">
        <v>769</v>
      </c>
      <c r="V374" s="196" t="s">
        <v>770</v>
      </c>
      <c r="W374" s="196" t="s">
        <v>771</v>
      </c>
      <c r="X374" s="196" t="s">
        <v>772</v>
      </c>
      <c r="Y374" s="196" t="s">
        <v>773</v>
      </c>
      <c r="Z374" s="196" t="s">
        <v>774</v>
      </c>
      <c r="AA374" s="196" t="s">
        <v>775</v>
      </c>
      <c r="AB374" s="196" t="s">
        <v>776</v>
      </c>
      <c r="AC374" s="196" t="s">
        <v>777</v>
      </c>
      <c r="AD374" s="196" t="s">
        <v>778</v>
      </c>
      <c r="AE374" s="196" t="s">
        <v>779</v>
      </c>
      <c r="AF374" s="196" t="s">
        <v>780</v>
      </c>
      <c r="AG374" s="196" t="s">
        <v>781</v>
      </c>
      <c r="AH374" s="196" t="s">
        <v>782</v>
      </c>
      <c r="AI374" s="196" t="s">
        <v>783</v>
      </c>
      <c r="AJ374" s="196" t="s">
        <v>784</v>
      </c>
      <c r="AK374" s="196" t="s">
        <v>785</v>
      </c>
      <c r="AL374" s="196" t="s">
        <v>786</v>
      </c>
      <c r="AM374" s="196" t="s">
        <v>787</v>
      </c>
      <c r="AN374" s="196" t="s">
        <v>788</v>
      </c>
    </row>
    <row r="375" spans="2:40" s="7" customFormat="1" ht="12" hidden="1" customHeight="1" outlineLevel="2">
      <c r="B375" s="239"/>
      <c r="C375" s="212" t="s">
        <v>851</v>
      </c>
      <c r="D375" s="212"/>
      <c r="E375" s="344">
        <v>0</v>
      </c>
      <c r="F375" s="344">
        <v>0</v>
      </c>
      <c r="G375" s="344">
        <v>0</v>
      </c>
      <c r="H375" s="344">
        <v>0</v>
      </c>
      <c r="I375" s="344">
        <v>0</v>
      </c>
      <c r="J375" s="344">
        <v>0</v>
      </c>
      <c r="K375" s="344">
        <v>0</v>
      </c>
      <c r="L375" s="344">
        <v>0</v>
      </c>
      <c r="M375" s="344">
        <v>0</v>
      </c>
      <c r="N375" s="344">
        <v>0</v>
      </c>
      <c r="O375" s="344">
        <v>0</v>
      </c>
      <c r="P375" s="344">
        <v>0</v>
      </c>
      <c r="Q375" s="344">
        <v>0</v>
      </c>
      <c r="R375" s="344">
        <v>0</v>
      </c>
      <c r="S375" s="344">
        <v>0</v>
      </c>
      <c r="T375" s="344">
        <v>0</v>
      </c>
      <c r="U375" s="344">
        <v>0</v>
      </c>
      <c r="V375" s="344">
        <v>0</v>
      </c>
      <c r="W375" s="344">
        <v>0</v>
      </c>
      <c r="X375" s="344">
        <v>0</v>
      </c>
      <c r="Y375" s="344">
        <v>0</v>
      </c>
      <c r="Z375" s="344">
        <v>0</v>
      </c>
      <c r="AA375" s="344">
        <v>0</v>
      </c>
      <c r="AB375" s="344">
        <v>0</v>
      </c>
      <c r="AC375" s="344">
        <v>0</v>
      </c>
      <c r="AD375" s="344">
        <v>0</v>
      </c>
      <c r="AE375" s="344">
        <v>0</v>
      </c>
      <c r="AF375" s="344">
        <v>0</v>
      </c>
      <c r="AG375" s="344">
        <v>0</v>
      </c>
      <c r="AH375" s="344">
        <v>0</v>
      </c>
      <c r="AI375" s="344">
        <v>0</v>
      </c>
      <c r="AJ375" s="344">
        <v>0</v>
      </c>
      <c r="AK375" s="344">
        <v>0</v>
      </c>
      <c r="AL375" s="344">
        <v>0</v>
      </c>
      <c r="AM375" s="344">
        <v>0</v>
      </c>
      <c r="AN375" s="344">
        <v>0</v>
      </c>
    </row>
    <row r="376" spans="2:40" s="7" customFormat="1" ht="12" hidden="1" customHeight="1" outlineLevel="2">
      <c r="B376" s="239"/>
      <c r="C376" s="213" t="s">
        <v>861</v>
      </c>
      <c r="D376" s="214"/>
      <c r="E376" s="211"/>
      <c r="F376" s="211"/>
      <c r="G376" s="211"/>
      <c r="H376" s="211"/>
      <c r="I376" s="211"/>
      <c r="J376" s="211"/>
      <c r="K376" s="211"/>
      <c r="L376" s="211"/>
      <c r="M376" s="211"/>
      <c r="N376" s="211"/>
      <c r="O376" s="211"/>
      <c r="P376" s="211"/>
      <c r="Q376" s="211"/>
      <c r="R376" s="211"/>
      <c r="S376" s="211"/>
      <c r="T376" s="211"/>
      <c r="U376" s="211"/>
      <c r="V376" s="211"/>
      <c r="W376" s="211"/>
      <c r="X376" s="211"/>
      <c r="Y376" s="211"/>
      <c r="Z376" s="211"/>
      <c r="AA376" s="211"/>
      <c r="AB376" s="211"/>
      <c r="AC376" s="211"/>
      <c r="AD376" s="211"/>
      <c r="AE376" s="211"/>
      <c r="AF376" s="211"/>
      <c r="AG376" s="211"/>
      <c r="AH376" s="211"/>
      <c r="AI376" s="211"/>
      <c r="AJ376" s="211"/>
      <c r="AK376" s="211"/>
      <c r="AL376" s="211"/>
      <c r="AM376" s="211"/>
      <c r="AN376" s="211"/>
    </row>
    <row r="377" spans="2:40" s="7" customFormat="1" ht="12" hidden="1" customHeight="1" outlineLevel="2">
      <c r="B377" s="245"/>
      <c r="C377" s="213" t="s">
        <v>753</v>
      </c>
      <c r="D377" s="213"/>
      <c r="E377" s="211">
        <f>INDEX($C$349:$AN$371,MATCH("New Customers One-Time",$C$349:$C$371,0),MATCH($C377,$C$349:$AN$349,0))</f>
        <v>159</v>
      </c>
      <c r="F377" s="211">
        <f t="shared" ref="F377:AN377" si="241">$E377*(E375)</f>
        <v>0</v>
      </c>
      <c r="G377" s="211">
        <f t="shared" si="241"/>
        <v>0</v>
      </c>
      <c r="H377" s="211">
        <f t="shared" si="241"/>
        <v>0</v>
      </c>
      <c r="I377" s="211">
        <f t="shared" si="241"/>
        <v>0</v>
      </c>
      <c r="J377" s="211">
        <f t="shared" si="241"/>
        <v>0</v>
      </c>
      <c r="K377" s="211">
        <f t="shared" si="241"/>
        <v>0</v>
      </c>
      <c r="L377" s="211">
        <f t="shared" si="241"/>
        <v>0</v>
      </c>
      <c r="M377" s="211">
        <f t="shared" si="241"/>
        <v>0</v>
      </c>
      <c r="N377" s="211">
        <f t="shared" si="241"/>
        <v>0</v>
      </c>
      <c r="O377" s="211">
        <f t="shared" si="241"/>
        <v>0</v>
      </c>
      <c r="P377" s="211">
        <f t="shared" si="241"/>
        <v>0</v>
      </c>
      <c r="Q377" s="211">
        <f t="shared" si="241"/>
        <v>0</v>
      </c>
      <c r="R377" s="211">
        <f t="shared" si="241"/>
        <v>0</v>
      </c>
      <c r="S377" s="211">
        <f t="shared" si="241"/>
        <v>0</v>
      </c>
      <c r="T377" s="211">
        <f t="shared" si="241"/>
        <v>0</v>
      </c>
      <c r="U377" s="211">
        <f t="shared" si="241"/>
        <v>0</v>
      </c>
      <c r="V377" s="211">
        <f t="shared" si="241"/>
        <v>0</v>
      </c>
      <c r="W377" s="211">
        <f t="shared" si="241"/>
        <v>0</v>
      </c>
      <c r="X377" s="211">
        <f t="shared" si="241"/>
        <v>0</v>
      </c>
      <c r="Y377" s="211">
        <f t="shared" si="241"/>
        <v>0</v>
      </c>
      <c r="Z377" s="211">
        <f t="shared" si="241"/>
        <v>0</v>
      </c>
      <c r="AA377" s="211">
        <f t="shared" si="241"/>
        <v>0</v>
      </c>
      <c r="AB377" s="211">
        <f t="shared" si="241"/>
        <v>0</v>
      </c>
      <c r="AC377" s="211">
        <f t="shared" si="241"/>
        <v>0</v>
      </c>
      <c r="AD377" s="211">
        <f t="shared" si="241"/>
        <v>0</v>
      </c>
      <c r="AE377" s="211">
        <f t="shared" si="241"/>
        <v>0</v>
      </c>
      <c r="AF377" s="211">
        <f t="shared" si="241"/>
        <v>0</v>
      </c>
      <c r="AG377" s="211">
        <f t="shared" si="241"/>
        <v>0</v>
      </c>
      <c r="AH377" s="211">
        <f t="shared" si="241"/>
        <v>0</v>
      </c>
      <c r="AI377" s="211">
        <f t="shared" si="241"/>
        <v>0</v>
      </c>
      <c r="AJ377" s="211">
        <f t="shared" si="241"/>
        <v>0</v>
      </c>
      <c r="AK377" s="211">
        <f t="shared" si="241"/>
        <v>0</v>
      </c>
      <c r="AL377" s="211">
        <f t="shared" si="241"/>
        <v>0</v>
      </c>
      <c r="AM377" s="211">
        <f t="shared" si="241"/>
        <v>0</v>
      </c>
      <c r="AN377" s="211">
        <f t="shared" si="241"/>
        <v>0</v>
      </c>
    </row>
    <row r="378" spans="2:40" s="7" customFormat="1" ht="12" hidden="1" customHeight="1" outlineLevel="2">
      <c r="B378" s="245"/>
      <c r="C378" s="213" t="s">
        <v>754</v>
      </c>
      <c r="D378" s="213"/>
      <c r="E378" s="213"/>
      <c r="F378" s="211">
        <f>INDEX($C$349:$AN$371,MATCH("New Customers One-Time",$C$349:$C$371,0),MATCH($C378,$C$349:$AN$349,0))</f>
        <v>205</v>
      </c>
      <c r="G378" s="211">
        <f t="shared" ref="G378:AN378" si="242">$F378*(E375)</f>
        <v>0</v>
      </c>
      <c r="H378" s="211">
        <f t="shared" si="242"/>
        <v>0</v>
      </c>
      <c r="I378" s="211">
        <f t="shared" si="242"/>
        <v>0</v>
      </c>
      <c r="J378" s="211">
        <f t="shared" si="242"/>
        <v>0</v>
      </c>
      <c r="K378" s="211">
        <f t="shared" si="242"/>
        <v>0</v>
      </c>
      <c r="L378" s="211">
        <f t="shared" si="242"/>
        <v>0</v>
      </c>
      <c r="M378" s="211">
        <f t="shared" si="242"/>
        <v>0</v>
      </c>
      <c r="N378" s="211">
        <f t="shared" si="242"/>
        <v>0</v>
      </c>
      <c r="O378" s="211">
        <f t="shared" si="242"/>
        <v>0</v>
      </c>
      <c r="P378" s="211">
        <f t="shared" si="242"/>
        <v>0</v>
      </c>
      <c r="Q378" s="211">
        <f t="shared" si="242"/>
        <v>0</v>
      </c>
      <c r="R378" s="211">
        <f t="shared" si="242"/>
        <v>0</v>
      </c>
      <c r="S378" s="211">
        <f t="shared" si="242"/>
        <v>0</v>
      </c>
      <c r="T378" s="211">
        <f t="shared" si="242"/>
        <v>0</v>
      </c>
      <c r="U378" s="211">
        <f t="shared" si="242"/>
        <v>0</v>
      </c>
      <c r="V378" s="211">
        <f t="shared" si="242"/>
        <v>0</v>
      </c>
      <c r="W378" s="211">
        <f t="shared" si="242"/>
        <v>0</v>
      </c>
      <c r="X378" s="211">
        <f t="shared" si="242"/>
        <v>0</v>
      </c>
      <c r="Y378" s="211">
        <f t="shared" si="242"/>
        <v>0</v>
      </c>
      <c r="Z378" s="211">
        <f t="shared" si="242"/>
        <v>0</v>
      </c>
      <c r="AA378" s="211">
        <f t="shared" si="242"/>
        <v>0</v>
      </c>
      <c r="AB378" s="211">
        <f t="shared" si="242"/>
        <v>0</v>
      </c>
      <c r="AC378" s="211">
        <f t="shared" si="242"/>
        <v>0</v>
      </c>
      <c r="AD378" s="211">
        <f t="shared" si="242"/>
        <v>0</v>
      </c>
      <c r="AE378" s="211">
        <f t="shared" si="242"/>
        <v>0</v>
      </c>
      <c r="AF378" s="211">
        <f t="shared" si="242"/>
        <v>0</v>
      </c>
      <c r="AG378" s="211">
        <f t="shared" si="242"/>
        <v>0</v>
      </c>
      <c r="AH378" s="211">
        <f t="shared" si="242"/>
        <v>0</v>
      </c>
      <c r="AI378" s="211">
        <f t="shared" si="242"/>
        <v>0</v>
      </c>
      <c r="AJ378" s="211">
        <f t="shared" si="242"/>
        <v>0</v>
      </c>
      <c r="AK378" s="211">
        <f t="shared" si="242"/>
        <v>0</v>
      </c>
      <c r="AL378" s="211">
        <f t="shared" si="242"/>
        <v>0</v>
      </c>
      <c r="AM378" s="211">
        <f t="shared" si="242"/>
        <v>0</v>
      </c>
      <c r="AN378" s="211">
        <f t="shared" si="242"/>
        <v>0</v>
      </c>
    </row>
    <row r="379" spans="2:40" s="7" customFormat="1" ht="12" hidden="1" customHeight="1" outlineLevel="2">
      <c r="B379" s="245"/>
      <c r="C379" s="213" t="s">
        <v>755</v>
      </c>
      <c r="D379" s="213"/>
      <c r="E379" s="213"/>
      <c r="G379" s="211">
        <f>INDEX($C$349:$AN$371,MATCH("New Customers One-Time",$C$349:$C$371,0),MATCH($C379,$C$349:$AN$349,0))</f>
        <v>131</v>
      </c>
      <c r="H379" s="211">
        <f t="shared" ref="H379:AN379" si="243">$G379*(E375)</f>
        <v>0</v>
      </c>
      <c r="I379" s="211">
        <f t="shared" si="243"/>
        <v>0</v>
      </c>
      <c r="J379" s="211">
        <f t="shared" si="243"/>
        <v>0</v>
      </c>
      <c r="K379" s="211">
        <f t="shared" si="243"/>
        <v>0</v>
      </c>
      <c r="L379" s="211">
        <f t="shared" si="243"/>
        <v>0</v>
      </c>
      <c r="M379" s="211">
        <f t="shared" si="243"/>
        <v>0</v>
      </c>
      <c r="N379" s="211">
        <f t="shared" si="243"/>
        <v>0</v>
      </c>
      <c r="O379" s="211">
        <f t="shared" si="243"/>
        <v>0</v>
      </c>
      <c r="P379" s="211">
        <f t="shared" si="243"/>
        <v>0</v>
      </c>
      <c r="Q379" s="211">
        <f t="shared" si="243"/>
        <v>0</v>
      </c>
      <c r="R379" s="211">
        <f t="shared" si="243"/>
        <v>0</v>
      </c>
      <c r="S379" s="211">
        <f t="shared" si="243"/>
        <v>0</v>
      </c>
      <c r="T379" s="211">
        <f t="shared" si="243"/>
        <v>0</v>
      </c>
      <c r="U379" s="211">
        <f t="shared" si="243"/>
        <v>0</v>
      </c>
      <c r="V379" s="211">
        <f t="shared" si="243"/>
        <v>0</v>
      </c>
      <c r="W379" s="211">
        <f t="shared" si="243"/>
        <v>0</v>
      </c>
      <c r="X379" s="211">
        <f t="shared" si="243"/>
        <v>0</v>
      </c>
      <c r="Y379" s="211">
        <f t="shared" si="243"/>
        <v>0</v>
      </c>
      <c r="Z379" s="211">
        <f t="shared" si="243"/>
        <v>0</v>
      </c>
      <c r="AA379" s="211">
        <f t="shared" si="243"/>
        <v>0</v>
      </c>
      <c r="AB379" s="211">
        <f t="shared" si="243"/>
        <v>0</v>
      </c>
      <c r="AC379" s="211">
        <f t="shared" si="243"/>
        <v>0</v>
      </c>
      <c r="AD379" s="211">
        <f t="shared" si="243"/>
        <v>0</v>
      </c>
      <c r="AE379" s="211">
        <f t="shared" si="243"/>
        <v>0</v>
      </c>
      <c r="AF379" s="211">
        <f t="shared" si="243"/>
        <v>0</v>
      </c>
      <c r="AG379" s="211">
        <f t="shared" si="243"/>
        <v>0</v>
      </c>
      <c r="AH379" s="211">
        <f t="shared" si="243"/>
        <v>0</v>
      </c>
      <c r="AI379" s="211">
        <f t="shared" si="243"/>
        <v>0</v>
      </c>
      <c r="AJ379" s="211">
        <f t="shared" si="243"/>
        <v>0</v>
      </c>
      <c r="AK379" s="211">
        <f t="shared" si="243"/>
        <v>0</v>
      </c>
      <c r="AL379" s="211">
        <f t="shared" si="243"/>
        <v>0</v>
      </c>
      <c r="AM379" s="211">
        <f t="shared" si="243"/>
        <v>0</v>
      </c>
      <c r="AN379" s="211">
        <f t="shared" si="243"/>
        <v>0</v>
      </c>
    </row>
    <row r="380" spans="2:40" s="7" customFormat="1" ht="12" hidden="1" customHeight="1" outlineLevel="2">
      <c r="B380" s="245"/>
      <c r="C380" s="213" t="s">
        <v>756</v>
      </c>
      <c r="D380" s="213"/>
      <c r="E380" s="213"/>
      <c r="F380" s="213"/>
      <c r="G380" s="213"/>
      <c r="H380" s="211">
        <f>INDEX($C$349:$AN$371,MATCH("New Customers One-Time",$C$349:$C$371,0),MATCH($C380,$C$349:$AN$349,0))</f>
        <v>744</v>
      </c>
      <c r="I380" s="211">
        <f t="shared" ref="I380:AN380" si="244">$H380*(E375)</f>
        <v>0</v>
      </c>
      <c r="J380" s="211">
        <f t="shared" si="244"/>
        <v>0</v>
      </c>
      <c r="K380" s="211">
        <f t="shared" si="244"/>
        <v>0</v>
      </c>
      <c r="L380" s="211">
        <f t="shared" si="244"/>
        <v>0</v>
      </c>
      <c r="M380" s="211">
        <f t="shared" si="244"/>
        <v>0</v>
      </c>
      <c r="N380" s="211">
        <f t="shared" si="244"/>
        <v>0</v>
      </c>
      <c r="O380" s="211">
        <f t="shared" si="244"/>
        <v>0</v>
      </c>
      <c r="P380" s="211">
        <f t="shared" si="244"/>
        <v>0</v>
      </c>
      <c r="Q380" s="211">
        <f t="shared" si="244"/>
        <v>0</v>
      </c>
      <c r="R380" s="211">
        <f t="shared" si="244"/>
        <v>0</v>
      </c>
      <c r="S380" s="211">
        <f t="shared" si="244"/>
        <v>0</v>
      </c>
      <c r="T380" s="211">
        <f t="shared" si="244"/>
        <v>0</v>
      </c>
      <c r="U380" s="211">
        <f t="shared" si="244"/>
        <v>0</v>
      </c>
      <c r="V380" s="211">
        <f t="shared" si="244"/>
        <v>0</v>
      </c>
      <c r="W380" s="211">
        <f t="shared" si="244"/>
        <v>0</v>
      </c>
      <c r="X380" s="211">
        <f t="shared" si="244"/>
        <v>0</v>
      </c>
      <c r="Y380" s="211">
        <f t="shared" si="244"/>
        <v>0</v>
      </c>
      <c r="Z380" s="211">
        <f t="shared" si="244"/>
        <v>0</v>
      </c>
      <c r="AA380" s="211">
        <f t="shared" si="244"/>
        <v>0</v>
      </c>
      <c r="AB380" s="211">
        <f t="shared" si="244"/>
        <v>0</v>
      </c>
      <c r="AC380" s="211">
        <f t="shared" si="244"/>
        <v>0</v>
      </c>
      <c r="AD380" s="211">
        <f t="shared" si="244"/>
        <v>0</v>
      </c>
      <c r="AE380" s="211">
        <f t="shared" si="244"/>
        <v>0</v>
      </c>
      <c r="AF380" s="211">
        <f t="shared" si="244"/>
        <v>0</v>
      </c>
      <c r="AG380" s="211">
        <f t="shared" si="244"/>
        <v>0</v>
      </c>
      <c r="AH380" s="211">
        <f t="shared" si="244"/>
        <v>0</v>
      </c>
      <c r="AI380" s="211">
        <f t="shared" si="244"/>
        <v>0</v>
      </c>
      <c r="AJ380" s="211">
        <f t="shared" si="244"/>
        <v>0</v>
      </c>
      <c r="AK380" s="211">
        <f t="shared" si="244"/>
        <v>0</v>
      </c>
      <c r="AL380" s="211">
        <f t="shared" si="244"/>
        <v>0</v>
      </c>
      <c r="AM380" s="211">
        <f t="shared" si="244"/>
        <v>0</v>
      </c>
      <c r="AN380" s="211">
        <f t="shared" si="244"/>
        <v>0</v>
      </c>
    </row>
    <row r="381" spans="2:40" s="7" customFormat="1" ht="12" hidden="1" customHeight="1" outlineLevel="2">
      <c r="B381" s="245"/>
      <c r="C381" s="213" t="s">
        <v>757</v>
      </c>
      <c r="D381" s="213"/>
      <c r="E381" s="213"/>
      <c r="F381" s="213"/>
      <c r="G381" s="213"/>
      <c r="H381" s="213"/>
      <c r="I381" s="211">
        <f>INDEX($C$349:$AN$371,MATCH("New Customers One-Time",$C$349:$C$371,0),MATCH($C381,$C$349:$AN$349,0))</f>
        <v>145</v>
      </c>
      <c r="J381" s="211">
        <f t="shared" ref="J381:AN381" si="245">$I381*(E375)</f>
        <v>0</v>
      </c>
      <c r="K381" s="211">
        <f t="shared" si="245"/>
        <v>0</v>
      </c>
      <c r="L381" s="211">
        <f t="shared" si="245"/>
        <v>0</v>
      </c>
      <c r="M381" s="211">
        <f t="shared" si="245"/>
        <v>0</v>
      </c>
      <c r="N381" s="211">
        <f t="shared" si="245"/>
        <v>0</v>
      </c>
      <c r="O381" s="211">
        <f t="shared" si="245"/>
        <v>0</v>
      </c>
      <c r="P381" s="211">
        <f t="shared" si="245"/>
        <v>0</v>
      </c>
      <c r="Q381" s="211">
        <f t="shared" si="245"/>
        <v>0</v>
      </c>
      <c r="R381" s="211">
        <f t="shared" si="245"/>
        <v>0</v>
      </c>
      <c r="S381" s="211">
        <f t="shared" si="245"/>
        <v>0</v>
      </c>
      <c r="T381" s="211">
        <f t="shared" si="245"/>
        <v>0</v>
      </c>
      <c r="U381" s="211">
        <f t="shared" si="245"/>
        <v>0</v>
      </c>
      <c r="V381" s="211">
        <f t="shared" si="245"/>
        <v>0</v>
      </c>
      <c r="W381" s="211">
        <f t="shared" si="245"/>
        <v>0</v>
      </c>
      <c r="X381" s="211">
        <f t="shared" si="245"/>
        <v>0</v>
      </c>
      <c r="Y381" s="211">
        <f t="shared" si="245"/>
        <v>0</v>
      </c>
      <c r="Z381" s="211">
        <f t="shared" si="245"/>
        <v>0</v>
      </c>
      <c r="AA381" s="211">
        <f t="shared" si="245"/>
        <v>0</v>
      </c>
      <c r="AB381" s="211">
        <f t="shared" si="245"/>
        <v>0</v>
      </c>
      <c r="AC381" s="211">
        <f t="shared" si="245"/>
        <v>0</v>
      </c>
      <c r="AD381" s="211">
        <f t="shared" si="245"/>
        <v>0</v>
      </c>
      <c r="AE381" s="211">
        <f t="shared" si="245"/>
        <v>0</v>
      </c>
      <c r="AF381" s="211">
        <f t="shared" si="245"/>
        <v>0</v>
      </c>
      <c r="AG381" s="211">
        <f t="shared" si="245"/>
        <v>0</v>
      </c>
      <c r="AH381" s="211">
        <f t="shared" si="245"/>
        <v>0</v>
      </c>
      <c r="AI381" s="211">
        <f t="shared" si="245"/>
        <v>0</v>
      </c>
      <c r="AJ381" s="211">
        <f t="shared" si="245"/>
        <v>0</v>
      </c>
      <c r="AK381" s="211">
        <f t="shared" si="245"/>
        <v>0</v>
      </c>
      <c r="AL381" s="211">
        <f t="shared" si="245"/>
        <v>0</v>
      </c>
      <c r="AM381" s="211">
        <f t="shared" si="245"/>
        <v>0</v>
      </c>
      <c r="AN381" s="211">
        <f t="shared" si="245"/>
        <v>0</v>
      </c>
    </row>
    <row r="382" spans="2:40" s="7" customFormat="1" ht="12" hidden="1" customHeight="1" outlineLevel="2">
      <c r="B382" s="245"/>
      <c r="C382" s="213" t="s">
        <v>758</v>
      </c>
      <c r="D382" s="213"/>
      <c r="E382" s="213"/>
      <c r="F382" s="213"/>
      <c r="G382" s="213"/>
      <c r="H382" s="213"/>
      <c r="I382" s="213"/>
      <c r="J382" s="211">
        <f>INDEX($C$349:$AN$371,MATCH("New Customers One-Time",$C$349:$C$371,0),MATCH($C382,$C$349:$AN$349,0))</f>
        <v>436</v>
      </c>
      <c r="K382" s="211">
        <f t="shared" ref="K382:AN382" si="246">$J382*(E375)</f>
        <v>0</v>
      </c>
      <c r="L382" s="211">
        <f t="shared" si="246"/>
        <v>0</v>
      </c>
      <c r="M382" s="211">
        <f t="shared" si="246"/>
        <v>0</v>
      </c>
      <c r="N382" s="211">
        <f t="shared" si="246"/>
        <v>0</v>
      </c>
      <c r="O382" s="211">
        <f t="shared" si="246"/>
        <v>0</v>
      </c>
      <c r="P382" s="211">
        <f t="shared" si="246"/>
        <v>0</v>
      </c>
      <c r="Q382" s="211">
        <f t="shared" si="246"/>
        <v>0</v>
      </c>
      <c r="R382" s="211">
        <f t="shared" si="246"/>
        <v>0</v>
      </c>
      <c r="S382" s="211">
        <f t="shared" si="246"/>
        <v>0</v>
      </c>
      <c r="T382" s="211">
        <f t="shared" si="246"/>
        <v>0</v>
      </c>
      <c r="U382" s="211">
        <f t="shared" si="246"/>
        <v>0</v>
      </c>
      <c r="V382" s="211">
        <f t="shared" si="246"/>
        <v>0</v>
      </c>
      <c r="W382" s="211">
        <f t="shared" si="246"/>
        <v>0</v>
      </c>
      <c r="X382" s="211">
        <f t="shared" si="246"/>
        <v>0</v>
      </c>
      <c r="Y382" s="211">
        <f t="shared" si="246"/>
        <v>0</v>
      </c>
      <c r="Z382" s="211">
        <f t="shared" si="246"/>
        <v>0</v>
      </c>
      <c r="AA382" s="211">
        <f t="shared" si="246"/>
        <v>0</v>
      </c>
      <c r="AB382" s="211">
        <f t="shared" si="246"/>
        <v>0</v>
      </c>
      <c r="AC382" s="211">
        <f t="shared" si="246"/>
        <v>0</v>
      </c>
      <c r="AD382" s="211">
        <f t="shared" si="246"/>
        <v>0</v>
      </c>
      <c r="AE382" s="211">
        <f t="shared" si="246"/>
        <v>0</v>
      </c>
      <c r="AF382" s="211">
        <f t="shared" si="246"/>
        <v>0</v>
      </c>
      <c r="AG382" s="211">
        <f t="shared" si="246"/>
        <v>0</v>
      </c>
      <c r="AH382" s="211">
        <f t="shared" si="246"/>
        <v>0</v>
      </c>
      <c r="AI382" s="211">
        <f t="shared" si="246"/>
        <v>0</v>
      </c>
      <c r="AJ382" s="211">
        <f t="shared" si="246"/>
        <v>0</v>
      </c>
      <c r="AK382" s="211">
        <f t="shared" si="246"/>
        <v>0</v>
      </c>
      <c r="AL382" s="211">
        <f t="shared" si="246"/>
        <v>0</v>
      </c>
      <c r="AM382" s="211">
        <f t="shared" si="246"/>
        <v>0</v>
      </c>
      <c r="AN382" s="211">
        <f t="shared" si="246"/>
        <v>0</v>
      </c>
    </row>
    <row r="383" spans="2:40" s="7" customFormat="1" ht="12" hidden="1" customHeight="1" outlineLevel="2">
      <c r="B383" s="245"/>
      <c r="C383" s="213" t="s">
        <v>759</v>
      </c>
      <c r="D383" s="213"/>
      <c r="E383" s="213"/>
      <c r="F383" s="213"/>
      <c r="G383" s="213"/>
      <c r="H383" s="213"/>
      <c r="I383" s="213"/>
      <c r="J383" s="213"/>
      <c r="K383" s="211">
        <f>INDEX($C$349:$AN$371,MATCH("New Customers One-Time",$C$349:$C$371,0),MATCH($C383,$C$349:$AN$349,0))</f>
        <v>471</v>
      </c>
      <c r="L383" s="211">
        <f t="shared" ref="L383:AN383" si="247">$K383*(E375)</f>
        <v>0</v>
      </c>
      <c r="M383" s="211">
        <f t="shared" si="247"/>
        <v>0</v>
      </c>
      <c r="N383" s="211">
        <f t="shared" si="247"/>
        <v>0</v>
      </c>
      <c r="O383" s="211">
        <f t="shared" si="247"/>
        <v>0</v>
      </c>
      <c r="P383" s="211">
        <f t="shared" si="247"/>
        <v>0</v>
      </c>
      <c r="Q383" s="211">
        <f t="shared" si="247"/>
        <v>0</v>
      </c>
      <c r="R383" s="211">
        <f t="shared" si="247"/>
        <v>0</v>
      </c>
      <c r="S383" s="211">
        <f t="shared" si="247"/>
        <v>0</v>
      </c>
      <c r="T383" s="211">
        <f t="shared" si="247"/>
        <v>0</v>
      </c>
      <c r="U383" s="211">
        <f t="shared" si="247"/>
        <v>0</v>
      </c>
      <c r="V383" s="211">
        <f t="shared" si="247"/>
        <v>0</v>
      </c>
      <c r="W383" s="211">
        <f t="shared" si="247"/>
        <v>0</v>
      </c>
      <c r="X383" s="211">
        <f t="shared" si="247"/>
        <v>0</v>
      </c>
      <c r="Y383" s="211">
        <f t="shared" si="247"/>
        <v>0</v>
      </c>
      <c r="Z383" s="211">
        <f t="shared" si="247"/>
        <v>0</v>
      </c>
      <c r="AA383" s="211">
        <f t="shared" si="247"/>
        <v>0</v>
      </c>
      <c r="AB383" s="211">
        <f t="shared" si="247"/>
        <v>0</v>
      </c>
      <c r="AC383" s="211">
        <f t="shared" si="247"/>
        <v>0</v>
      </c>
      <c r="AD383" s="211">
        <f t="shared" si="247"/>
        <v>0</v>
      </c>
      <c r="AE383" s="211">
        <f t="shared" si="247"/>
        <v>0</v>
      </c>
      <c r="AF383" s="211">
        <f t="shared" si="247"/>
        <v>0</v>
      </c>
      <c r="AG383" s="211">
        <f t="shared" si="247"/>
        <v>0</v>
      </c>
      <c r="AH383" s="211">
        <f t="shared" si="247"/>
        <v>0</v>
      </c>
      <c r="AI383" s="211">
        <f t="shared" si="247"/>
        <v>0</v>
      </c>
      <c r="AJ383" s="211">
        <f t="shared" si="247"/>
        <v>0</v>
      </c>
      <c r="AK383" s="211">
        <f t="shared" si="247"/>
        <v>0</v>
      </c>
      <c r="AL383" s="211">
        <f t="shared" si="247"/>
        <v>0</v>
      </c>
      <c r="AM383" s="211">
        <f t="shared" si="247"/>
        <v>0</v>
      </c>
      <c r="AN383" s="211">
        <f t="shared" si="247"/>
        <v>0</v>
      </c>
    </row>
    <row r="384" spans="2:40" s="7" customFormat="1" ht="12" hidden="1" customHeight="1" outlineLevel="2">
      <c r="B384" s="245"/>
      <c r="C384" s="213" t="s">
        <v>760</v>
      </c>
      <c r="D384" s="213"/>
      <c r="E384" s="213"/>
      <c r="F384" s="213"/>
      <c r="G384" s="213"/>
      <c r="H384" s="213"/>
      <c r="I384" s="213"/>
      <c r="J384" s="213"/>
      <c r="K384" s="213"/>
      <c r="L384" s="211">
        <f>INDEX($C$349:$AN$371,MATCH("New Customers One-Time",$C$349:$C$371,0),MATCH($C384,$C$349:$AN$349,0))</f>
        <v>96</v>
      </c>
      <c r="M384" s="211">
        <f t="shared" ref="M384:AN384" si="248">$L384*(E375)</f>
        <v>0</v>
      </c>
      <c r="N384" s="211">
        <f t="shared" si="248"/>
        <v>0</v>
      </c>
      <c r="O384" s="211">
        <f t="shared" si="248"/>
        <v>0</v>
      </c>
      <c r="P384" s="211">
        <f t="shared" si="248"/>
        <v>0</v>
      </c>
      <c r="Q384" s="211">
        <f t="shared" si="248"/>
        <v>0</v>
      </c>
      <c r="R384" s="211">
        <f t="shared" si="248"/>
        <v>0</v>
      </c>
      <c r="S384" s="211">
        <f t="shared" si="248"/>
        <v>0</v>
      </c>
      <c r="T384" s="211">
        <f t="shared" si="248"/>
        <v>0</v>
      </c>
      <c r="U384" s="211">
        <f t="shared" si="248"/>
        <v>0</v>
      </c>
      <c r="V384" s="211">
        <f t="shared" si="248"/>
        <v>0</v>
      </c>
      <c r="W384" s="211">
        <f t="shared" si="248"/>
        <v>0</v>
      </c>
      <c r="X384" s="211">
        <f t="shared" si="248"/>
        <v>0</v>
      </c>
      <c r="Y384" s="211">
        <f t="shared" si="248"/>
        <v>0</v>
      </c>
      <c r="Z384" s="211">
        <f t="shared" si="248"/>
        <v>0</v>
      </c>
      <c r="AA384" s="211">
        <f t="shared" si="248"/>
        <v>0</v>
      </c>
      <c r="AB384" s="211">
        <f t="shared" si="248"/>
        <v>0</v>
      </c>
      <c r="AC384" s="211">
        <f t="shared" si="248"/>
        <v>0</v>
      </c>
      <c r="AD384" s="211">
        <f t="shared" si="248"/>
        <v>0</v>
      </c>
      <c r="AE384" s="211">
        <f t="shared" si="248"/>
        <v>0</v>
      </c>
      <c r="AF384" s="211">
        <f t="shared" si="248"/>
        <v>0</v>
      </c>
      <c r="AG384" s="211">
        <f t="shared" si="248"/>
        <v>0</v>
      </c>
      <c r="AH384" s="211">
        <f t="shared" si="248"/>
        <v>0</v>
      </c>
      <c r="AI384" s="211">
        <f t="shared" si="248"/>
        <v>0</v>
      </c>
      <c r="AJ384" s="211">
        <f t="shared" si="248"/>
        <v>0</v>
      </c>
      <c r="AK384" s="211">
        <f t="shared" si="248"/>
        <v>0</v>
      </c>
      <c r="AL384" s="211">
        <f t="shared" si="248"/>
        <v>0</v>
      </c>
      <c r="AM384" s="211">
        <f t="shared" si="248"/>
        <v>0</v>
      </c>
      <c r="AN384" s="211">
        <f t="shared" si="248"/>
        <v>0</v>
      </c>
    </row>
    <row r="385" spans="2:40" s="7" customFormat="1" ht="12" hidden="1" customHeight="1" outlineLevel="2">
      <c r="B385" s="245"/>
      <c r="C385" s="213" t="s">
        <v>761</v>
      </c>
      <c r="D385" s="213"/>
      <c r="E385" s="213"/>
      <c r="F385" s="213"/>
      <c r="G385" s="213"/>
      <c r="H385" s="213"/>
      <c r="I385" s="213"/>
      <c r="J385" s="213"/>
      <c r="K385" s="213"/>
      <c r="L385" s="213"/>
      <c r="M385" s="211">
        <f>INDEX($C$349:$AN$371,MATCH("New Customers One-Time",$C$349:$C$371,0),MATCH($C385,$C$349:$AN$349,0))</f>
        <v>331.93220338983053</v>
      </c>
      <c r="N385" s="211">
        <f t="shared" ref="N385:AN385" si="249">$M385*(E375)</f>
        <v>0</v>
      </c>
      <c r="O385" s="211">
        <f t="shared" si="249"/>
        <v>0</v>
      </c>
      <c r="P385" s="211">
        <f t="shared" si="249"/>
        <v>0</v>
      </c>
      <c r="Q385" s="211">
        <f t="shared" si="249"/>
        <v>0</v>
      </c>
      <c r="R385" s="211">
        <f t="shared" si="249"/>
        <v>0</v>
      </c>
      <c r="S385" s="211">
        <f t="shared" si="249"/>
        <v>0</v>
      </c>
      <c r="T385" s="211">
        <f t="shared" si="249"/>
        <v>0</v>
      </c>
      <c r="U385" s="211">
        <f t="shared" si="249"/>
        <v>0</v>
      </c>
      <c r="V385" s="211">
        <f t="shared" si="249"/>
        <v>0</v>
      </c>
      <c r="W385" s="211">
        <f t="shared" si="249"/>
        <v>0</v>
      </c>
      <c r="X385" s="211">
        <f t="shared" si="249"/>
        <v>0</v>
      </c>
      <c r="Y385" s="211">
        <f t="shared" si="249"/>
        <v>0</v>
      </c>
      <c r="Z385" s="211">
        <f t="shared" si="249"/>
        <v>0</v>
      </c>
      <c r="AA385" s="211">
        <f t="shared" si="249"/>
        <v>0</v>
      </c>
      <c r="AB385" s="211">
        <f t="shared" si="249"/>
        <v>0</v>
      </c>
      <c r="AC385" s="211">
        <f t="shared" si="249"/>
        <v>0</v>
      </c>
      <c r="AD385" s="211">
        <f t="shared" si="249"/>
        <v>0</v>
      </c>
      <c r="AE385" s="211">
        <f t="shared" si="249"/>
        <v>0</v>
      </c>
      <c r="AF385" s="211">
        <f t="shared" si="249"/>
        <v>0</v>
      </c>
      <c r="AG385" s="211">
        <f t="shared" si="249"/>
        <v>0</v>
      </c>
      <c r="AH385" s="211">
        <f t="shared" si="249"/>
        <v>0</v>
      </c>
      <c r="AI385" s="211">
        <f t="shared" si="249"/>
        <v>0</v>
      </c>
      <c r="AJ385" s="211">
        <f t="shared" si="249"/>
        <v>0</v>
      </c>
      <c r="AK385" s="211">
        <f t="shared" si="249"/>
        <v>0</v>
      </c>
      <c r="AL385" s="211">
        <f t="shared" si="249"/>
        <v>0</v>
      </c>
      <c r="AM385" s="211">
        <f t="shared" si="249"/>
        <v>0</v>
      </c>
      <c r="AN385" s="211">
        <f t="shared" si="249"/>
        <v>0</v>
      </c>
    </row>
    <row r="386" spans="2:40" s="7" customFormat="1" ht="12" hidden="1" customHeight="1" outlineLevel="2">
      <c r="B386" s="245"/>
      <c r="C386" s="213" t="s">
        <v>762</v>
      </c>
      <c r="D386" s="213"/>
      <c r="E386" s="213"/>
      <c r="F386" s="213"/>
      <c r="G386" s="213"/>
      <c r="H386" s="213"/>
      <c r="I386" s="213"/>
      <c r="J386" s="213"/>
      <c r="K386" s="213"/>
      <c r="L386" s="213"/>
      <c r="M386" s="213"/>
      <c r="N386" s="211">
        <f>INDEX($C$349:$AN$371,MATCH("New Customers One-Time",$C$349:$C$371,0),MATCH($C386,$C$349:$AN$349,0))</f>
        <v>331.93220338983053</v>
      </c>
      <c r="O386" s="211">
        <f t="shared" ref="O386:AN386" si="250">$N386*(E375)</f>
        <v>0</v>
      </c>
      <c r="P386" s="211">
        <f t="shared" si="250"/>
        <v>0</v>
      </c>
      <c r="Q386" s="211">
        <f t="shared" si="250"/>
        <v>0</v>
      </c>
      <c r="R386" s="211">
        <f t="shared" si="250"/>
        <v>0</v>
      </c>
      <c r="S386" s="211">
        <f t="shared" si="250"/>
        <v>0</v>
      </c>
      <c r="T386" s="211">
        <f t="shared" si="250"/>
        <v>0</v>
      </c>
      <c r="U386" s="211">
        <f t="shared" si="250"/>
        <v>0</v>
      </c>
      <c r="V386" s="211">
        <f t="shared" si="250"/>
        <v>0</v>
      </c>
      <c r="W386" s="211">
        <f t="shared" si="250"/>
        <v>0</v>
      </c>
      <c r="X386" s="211">
        <f t="shared" si="250"/>
        <v>0</v>
      </c>
      <c r="Y386" s="211">
        <f t="shared" si="250"/>
        <v>0</v>
      </c>
      <c r="Z386" s="211">
        <f t="shared" si="250"/>
        <v>0</v>
      </c>
      <c r="AA386" s="211">
        <f t="shared" si="250"/>
        <v>0</v>
      </c>
      <c r="AB386" s="211">
        <f t="shared" si="250"/>
        <v>0</v>
      </c>
      <c r="AC386" s="211">
        <f t="shared" si="250"/>
        <v>0</v>
      </c>
      <c r="AD386" s="211">
        <f t="shared" si="250"/>
        <v>0</v>
      </c>
      <c r="AE386" s="211">
        <f t="shared" si="250"/>
        <v>0</v>
      </c>
      <c r="AF386" s="211">
        <f t="shared" si="250"/>
        <v>0</v>
      </c>
      <c r="AG386" s="211">
        <f t="shared" si="250"/>
        <v>0</v>
      </c>
      <c r="AH386" s="211">
        <f t="shared" si="250"/>
        <v>0</v>
      </c>
      <c r="AI386" s="211">
        <f t="shared" si="250"/>
        <v>0</v>
      </c>
      <c r="AJ386" s="211">
        <f t="shared" si="250"/>
        <v>0</v>
      </c>
      <c r="AK386" s="211">
        <f t="shared" si="250"/>
        <v>0</v>
      </c>
      <c r="AL386" s="211">
        <f t="shared" si="250"/>
        <v>0</v>
      </c>
      <c r="AM386" s="211">
        <f t="shared" si="250"/>
        <v>0</v>
      </c>
      <c r="AN386" s="211">
        <f t="shared" si="250"/>
        <v>0</v>
      </c>
    </row>
    <row r="387" spans="2:40" s="7" customFormat="1" ht="12" hidden="1" customHeight="1" outlineLevel="2">
      <c r="B387" s="245"/>
      <c r="C387" s="213" t="s">
        <v>763</v>
      </c>
      <c r="D387" s="213"/>
      <c r="E387" s="213"/>
      <c r="F387" s="213"/>
      <c r="G387" s="213"/>
      <c r="H387" s="213"/>
      <c r="I387" s="213"/>
      <c r="J387" s="213"/>
      <c r="K387" s="213"/>
      <c r="L387" s="213"/>
      <c r="M387" s="213"/>
      <c r="N387" s="213"/>
      <c r="O387" s="211">
        <f>INDEX($C$349:$AN$371,MATCH("New Customers One-Time",$C$349:$C$371,0),MATCH($C387,$C$349:$AN$349,0))</f>
        <v>132.77288135593221</v>
      </c>
      <c r="P387" s="211">
        <f t="shared" ref="P387:AN387" si="251">$O387*(E375)</f>
        <v>0</v>
      </c>
      <c r="Q387" s="211">
        <f t="shared" si="251"/>
        <v>0</v>
      </c>
      <c r="R387" s="211">
        <f t="shared" si="251"/>
        <v>0</v>
      </c>
      <c r="S387" s="211">
        <f t="shared" si="251"/>
        <v>0</v>
      </c>
      <c r="T387" s="211">
        <f t="shared" si="251"/>
        <v>0</v>
      </c>
      <c r="U387" s="211">
        <f t="shared" si="251"/>
        <v>0</v>
      </c>
      <c r="V387" s="211">
        <f t="shared" si="251"/>
        <v>0</v>
      </c>
      <c r="W387" s="211">
        <f t="shared" si="251"/>
        <v>0</v>
      </c>
      <c r="X387" s="211">
        <f t="shared" si="251"/>
        <v>0</v>
      </c>
      <c r="Y387" s="211">
        <f t="shared" si="251"/>
        <v>0</v>
      </c>
      <c r="Z387" s="211">
        <f t="shared" si="251"/>
        <v>0</v>
      </c>
      <c r="AA387" s="211">
        <f t="shared" si="251"/>
        <v>0</v>
      </c>
      <c r="AB387" s="211">
        <f t="shared" si="251"/>
        <v>0</v>
      </c>
      <c r="AC387" s="211">
        <f t="shared" si="251"/>
        <v>0</v>
      </c>
      <c r="AD387" s="211">
        <f t="shared" si="251"/>
        <v>0</v>
      </c>
      <c r="AE387" s="211">
        <f t="shared" si="251"/>
        <v>0</v>
      </c>
      <c r="AF387" s="211">
        <f t="shared" si="251"/>
        <v>0</v>
      </c>
      <c r="AG387" s="211">
        <f t="shared" si="251"/>
        <v>0</v>
      </c>
      <c r="AH387" s="211">
        <f t="shared" si="251"/>
        <v>0</v>
      </c>
      <c r="AI387" s="211">
        <f t="shared" si="251"/>
        <v>0</v>
      </c>
      <c r="AJ387" s="211">
        <f t="shared" si="251"/>
        <v>0</v>
      </c>
      <c r="AK387" s="211">
        <f t="shared" si="251"/>
        <v>0</v>
      </c>
      <c r="AL387" s="211">
        <f t="shared" si="251"/>
        <v>0</v>
      </c>
      <c r="AM387" s="211">
        <f t="shared" si="251"/>
        <v>0</v>
      </c>
      <c r="AN387" s="211">
        <f t="shared" si="251"/>
        <v>0</v>
      </c>
    </row>
    <row r="388" spans="2:40" s="7" customFormat="1" ht="12" hidden="1" customHeight="1" outlineLevel="2">
      <c r="B388" s="245"/>
      <c r="C388" s="213" t="s">
        <v>764</v>
      </c>
      <c r="D388" s="213"/>
      <c r="E388" s="213"/>
      <c r="F388" s="213"/>
      <c r="G388" s="213"/>
      <c r="H388" s="213"/>
      <c r="I388" s="213"/>
      <c r="J388" s="213"/>
      <c r="K388" s="213"/>
      <c r="L388" s="213"/>
      <c r="M388" s="213"/>
      <c r="N388" s="213"/>
      <c r="O388" s="213"/>
      <c r="P388" s="211">
        <f>INDEX($C$349:$AN$371,MATCH("New Customers One-Time",$C$349:$C$371,0),MATCH($C388,$C$349:$AN$349,0))</f>
        <v>132.77288135593221</v>
      </c>
      <c r="Q388" s="211">
        <f t="shared" ref="Q388:AN388" si="252">$P388*(E375)</f>
        <v>0</v>
      </c>
      <c r="R388" s="211">
        <f t="shared" si="252"/>
        <v>0</v>
      </c>
      <c r="S388" s="211">
        <f t="shared" si="252"/>
        <v>0</v>
      </c>
      <c r="T388" s="211">
        <f t="shared" si="252"/>
        <v>0</v>
      </c>
      <c r="U388" s="211">
        <f t="shared" si="252"/>
        <v>0</v>
      </c>
      <c r="V388" s="211">
        <f t="shared" si="252"/>
        <v>0</v>
      </c>
      <c r="W388" s="211">
        <f t="shared" si="252"/>
        <v>0</v>
      </c>
      <c r="X388" s="211">
        <f t="shared" si="252"/>
        <v>0</v>
      </c>
      <c r="Y388" s="211">
        <f t="shared" si="252"/>
        <v>0</v>
      </c>
      <c r="Z388" s="211">
        <f t="shared" si="252"/>
        <v>0</v>
      </c>
      <c r="AA388" s="211">
        <f t="shared" si="252"/>
        <v>0</v>
      </c>
      <c r="AB388" s="211">
        <f t="shared" si="252"/>
        <v>0</v>
      </c>
      <c r="AC388" s="211">
        <f t="shared" si="252"/>
        <v>0</v>
      </c>
      <c r="AD388" s="211">
        <f t="shared" si="252"/>
        <v>0</v>
      </c>
      <c r="AE388" s="211">
        <f t="shared" si="252"/>
        <v>0</v>
      </c>
      <c r="AF388" s="211">
        <f t="shared" si="252"/>
        <v>0</v>
      </c>
      <c r="AG388" s="211">
        <f t="shared" si="252"/>
        <v>0</v>
      </c>
      <c r="AH388" s="211">
        <f t="shared" si="252"/>
        <v>0</v>
      </c>
      <c r="AI388" s="211">
        <f t="shared" si="252"/>
        <v>0</v>
      </c>
      <c r="AJ388" s="211">
        <f t="shared" si="252"/>
        <v>0</v>
      </c>
      <c r="AK388" s="211">
        <f t="shared" si="252"/>
        <v>0</v>
      </c>
      <c r="AL388" s="211">
        <f t="shared" si="252"/>
        <v>0</v>
      </c>
      <c r="AM388" s="211">
        <f t="shared" si="252"/>
        <v>0</v>
      </c>
      <c r="AN388" s="211">
        <f t="shared" si="252"/>
        <v>0</v>
      </c>
    </row>
    <row r="389" spans="2:40" s="7" customFormat="1" ht="12" hidden="1" customHeight="1" outlineLevel="2">
      <c r="B389" s="245"/>
      <c r="C389" s="213" t="s">
        <v>765</v>
      </c>
      <c r="D389" s="213"/>
      <c r="E389" s="213"/>
      <c r="F389" s="213"/>
      <c r="G389" s="213"/>
      <c r="H389" s="213"/>
      <c r="I389" s="213"/>
      <c r="J389" s="213"/>
      <c r="K389" s="213"/>
      <c r="L389" s="213"/>
      <c r="M389" s="213"/>
      <c r="N389" s="213"/>
      <c r="O389" s="213"/>
      <c r="P389" s="213"/>
      <c r="Q389" s="211">
        <f>INDEX($C$349:$AN$371,MATCH("New Customers One-Time",$C$349:$C$371,0),MATCH($C389,$C$349:$AN$349,0))</f>
        <v>117.28741423728815</v>
      </c>
      <c r="R389" s="211">
        <f t="shared" ref="R389:AN389" si="253">$Q389*(E375)</f>
        <v>0</v>
      </c>
      <c r="S389" s="211">
        <f t="shared" si="253"/>
        <v>0</v>
      </c>
      <c r="T389" s="211">
        <f t="shared" si="253"/>
        <v>0</v>
      </c>
      <c r="U389" s="211">
        <f t="shared" si="253"/>
        <v>0</v>
      </c>
      <c r="V389" s="211">
        <f t="shared" si="253"/>
        <v>0</v>
      </c>
      <c r="W389" s="211">
        <f t="shared" si="253"/>
        <v>0</v>
      </c>
      <c r="X389" s="211">
        <f t="shared" si="253"/>
        <v>0</v>
      </c>
      <c r="Y389" s="211">
        <f t="shared" si="253"/>
        <v>0</v>
      </c>
      <c r="Z389" s="211">
        <f t="shared" si="253"/>
        <v>0</v>
      </c>
      <c r="AA389" s="211">
        <f t="shared" si="253"/>
        <v>0</v>
      </c>
      <c r="AB389" s="211">
        <f t="shared" si="253"/>
        <v>0</v>
      </c>
      <c r="AC389" s="211">
        <f t="shared" si="253"/>
        <v>0</v>
      </c>
      <c r="AD389" s="211">
        <f t="shared" si="253"/>
        <v>0</v>
      </c>
      <c r="AE389" s="211">
        <f t="shared" si="253"/>
        <v>0</v>
      </c>
      <c r="AF389" s="211">
        <f t="shared" si="253"/>
        <v>0</v>
      </c>
      <c r="AG389" s="211">
        <f t="shared" si="253"/>
        <v>0</v>
      </c>
      <c r="AH389" s="211">
        <f t="shared" si="253"/>
        <v>0</v>
      </c>
      <c r="AI389" s="211">
        <f t="shared" si="253"/>
        <v>0</v>
      </c>
      <c r="AJ389" s="211">
        <f t="shared" si="253"/>
        <v>0</v>
      </c>
      <c r="AK389" s="211">
        <f t="shared" si="253"/>
        <v>0</v>
      </c>
      <c r="AL389" s="211">
        <f t="shared" si="253"/>
        <v>0</v>
      </c>
      <c r="AM389" s="211">
        <f t="shared" si="253"/>
        <v>0</v>
      </c>
      <c r="AN389" s="211">
        <f t="shared" si="253"/>
        <v>0</v>
      </c>
    </row>
    <row r="390" spans="2:40" s="7" customFormat="1" ht="12" hidden="1" customHeight="1" outlineLevel="2">
      <c r="B390" s="245"/>
      <c r="C390" s="213" t="s">
        <v>766</v>
      </c>
      <c r="D390" s="213"/>
      <c r="E390" s="213"/>
      <c r="F390" s="213"/>
      <c r="G390" s="213"/>
      <c r="H390" s="213"/>
      <c r="I390" s="213"/>
      <c r="J390" s="213"/>
      <c r="K390" s="213"/>
      <c r="L390" s="213"/>
      <c r="M390" s="213"/>
      <c r="N390" s="213"/>
      <c r="O390" s="213"/>
      <c r="P390" s="213"/>
      <c r="Q390" s="213"/>
      <c r="R390" s="211">
        <f>INDEX($C$349:$AN$371,MATCH("New Customers One-Time",$C$349:$C$371,0),MATCH($C390,$C$349:$AN$349,0))</f>
        <v>548.85819661016956</v>
      </c>
      <c r="S390" s="211">
        <f t="shared" ref="S390:AN390" si="254">$R390*(E375)</f>
        <v>0</v>
      </c>
      <c r="T390" s="211">
        <f t="shared" si="254"/>
        <v>0</v>
      </c>
      <c r="U390" s="211">
        <f t="shared" si="254"/>
        <v>0</v>
      </c>
      <c r="V390" s="211">
        <f t="shared" si="254"/>
        <v>0</v>
      </c>
      <c r="W390" s="211">
        <f t="shared" si="254"/>
        <v>0</v>
      </c>
      <c r="X390" s="211">
        <f t="shared" si="254"/>
        <v>0</v>
      </c>
      <c r="Y390" s="211">
        <f t="shared" si="254"/>
        <v>0</v>
      </c>
      <c r="Z390" s="211">
        <f t="shared" si="254"/>
        <v>0</v>
      </c>
      <c r="AA390" s="211">
        <f t="shared" si="254"/>
        <v>0</v>
      </c>
      <c r="AB390" s="211">
        <f t="shared" si="254"/>
        <v>0</v>
      </c>
      <c r="AC390" s="211">
        <f t="shared" si="254"/>
        <v>0</v>
      </c>
      <c r="AD390" s="211">
        <f t="shared" si="254"/>
        <v>0</v>
      </c>
      <c r="AE390" s="211">
        <f t="shared" si="254"/>
        <v>0</v>
      </c>
      <c r="AF390" s="211">
        <f t="shared" si="254"/>
        <v>0</v>
      </c>
      <c r="AG390" s="211">
        <f t="shared" si="254"/>
        <v>0</v>
      </c>
      <c r="AH390" s="211">
        <f t="shared" si="254"/>
        <v>0</v>
      </c>
      <c r="AI390" s="211">
        <f t="shared" si="254"/>
        <v>0</v>
      </c>
      <c r="AJ390" s="211">
        <f t="shared" si="254"/>
        <v>0</v>
      </c>
      <c r="AK390" s="211">
        <f t="shared" si="254"/>
        <v>0</v>
      </c>
      <c r="AL390" s="211">
        <f t="shared" si="254"/>
        <v>0</v>
      </c>
      <c r="AM390" s="211">
        <f t="shared" si="254"/>
        <v>0</v>
      </c>
      <c r="AN390" s="211">
        <f t="shared" si="254"/>
        <v>0</v>
      </c>
    </row>
    <row r="391" spans="2:40" s="7" customFormat="1" ht="12" hidden="1" customHeight="1" outlineLevel="2">
      <c r="B391" s="245"/>
      <c r="C391" s="213" t="s">
        <v>767</v>
      </c>
      <c r="D391" s="213"/>
      <c r="E391" s="213"/>
      <c r="F391" s="213"/>
      <c r="G391" s="213"/>
      <c r="H391" s="213"/>
      <c r="I391" s="213"/>
      <c r="J391" s="213"/>
      <c r="K391" s="213"/>
      <c r="L391" s="213"/>
      <c r="M391" s="213"/>
      <c r="N391" s="213"/>
      <c r="O391" s="213"/>
      <c r="P391" s="213"/>
      <c r="Q391" s="213"/>
      <c r="R391" s="213"/>
      <c r="S391" s="211">
        <f>INDEX($C$349:$AN$371,MATCH("New Customers One-Time",$C$349:$C$371,0),MATCH($C391,$C$349:$AN$349,0))</f>
        <v>457.58596881355936</v>
      </c>
      <c r="T391" s="211">
        <f t="shared" ref="T391:AN391" si="255">$S391*(E375)</f>
        <v>0</v>
      </c>
      <c r="U391" s="211">
        <f t="shared" si="255"/>
        <v>0</v>
      </c>
      <c r="V391" s="211">
        <f t="shared" si="255"/>
        <v>0</v>
      </c>
      <c r="W391" s="211">
        <f t="shared" si="255"/>
        <v>0</v>
      </c>
      <c r="X391" s="211">
        <f t="shared" si="255"/>
        <v>0</v>
      </c>
      <c r="Y391" s="211">
        <f t="shared" si="255"/>
        <v>0</v>
      </c>
      <c r="Z391" s="211">
        <f t="shared" si="255"/>
        <v>0</v>
      </c>
      <c r="AA391" s="211">
        <f t="shared" si="255"/>
        <v>0</v>
      </c>
      <c r="AB391" s="211">
        <f t="shared" si="255"/>
        <v>0</v>
      </c>
      <c r="AC391" s="211">
        <f t="shared" si="255"/>
        <v>0</v>
      </c>
      <c r="AD391" s="211">
        <f t="shared" si="255"/>
        <v>0</v>
      </c>
      <c r="AE391" s="211">
        <f t="shared" si="255"/>
        <v>0</v>
      </c>
      <c r="AF391" s="211">
        <f t="shared" si="255"/>
        <v>0</v>
      </c>
      <c r="AG391" s="211">
        <f t="shared" si="255"/>
        <v>0</v>
      </c>
      <c r="AH391" s="211">
        <f t="shared" si="255"/>
        <v>0</v>
      </c>
      <c r="AI391" s="211">
        <f t="shared" si="255"/>
        <v>0</v>
      </c>
      <c r="AJ391" s="211">
        <f t="shared" si="255"/>
        <v>0</v>
      </c>
      <c r="AK391" s="211">
        <f t="shared" si="255"/>
        <v>0</v>
      </c>
      <c r="AL391" s="211">
        <f t="shared" si="255"/>
        <v>0</v>
      </c>
      <c r="AM391" s="211">
        <f t="shared" si="255"/>
        <v>0</v>
      </c>
      <c r="AN391" s="211">
        <f t="shared" si="255"/>
        <v>0</v>
      </c>
    </row>
    <row r="392" spans="2:40" s="7" customFormat="1" ht="12" hidden="1" customHeight="1" outlineLevel="2">
      <c r="B392" s="245"/>
      <c r="C392" s="213" t="s">
        <v>768</v>
      </c>
      <c r="D392" s="213"/>
      <c r="E392" s="213"/>
      <c r="F392" s="213"/>
      <c r="G392" s="213"/>
      <c r="H392" s="213"/>
      <c r="I392" s="213"/>
      <c r="J392" s="213"/>
      <c r="K392" s="213"/>
      <c r="L392" s="213"/>
      <c r="M392" s="213"/>
      <c r="N392" s="213"/>
      <c r="O392" s="213"/>
      <c r="P392" s="213"/>
      <c r="Q392" s="213"/>
      <c r="R392" s="213"/>
      <c r="S392" s="213"/>
      <c r="T392" s="211">
        <f>INDEX($C$349:$AN$371,MATCH("New Customers One-Time",$C$349:$C$371,0),MATCH($C392,$C$349:$AN$349,0))</f>
        <v>55.841369491525441</v>
      </c>
      <c r="U392" s="211">
        <f t="shared" ref="U392:AN392" si="256">$T392*(E375)</f>
        <v>0</v>
      </c>
      <c r="V392" s="211">
        <f t="shared" si="256"/>
        <v>0</v>
      </c>
      <c r="W392" s="211">
        <f t="shared" si="256"/>
        <v>0</v>
      </c>
      <c r="X392" s="211">
        <f t="shared" si="256"/>
        <v>0</v>
      </c>
      <c r="Y392" s="211">
        <f t="shared" si="256"/>
        <v>0</v>
      </c>
      <c r="Z392" s="211">
        <f t="shared" si="256"/>
        <v>0</v>
      </c>
      <c r="AA392" s="211">
        <f t="shared" si="256"/>
        <v>0</v>
      </c>
      <c r="AB392" s="211">
        <f t="shared" si="256"/>
        <v>0</v>
      </c>
      <c r="AC392" s="211">
        <f t="shared" si="256"/>
        <v>0</v>
      </c>
      <c r="AD392" s="211">
        <f t="shared" si="256"/>
        <v>0</v>
      </c>
      <c r="AE392" s="211">
        <f t="shared" si="256"/>
        <v>0</v>
      </c>
      <c r="AF392" s="211">
        <f t="shared" si="256"/>
        <v>0</v>
      </c>
      <c r="AG392" s="211">
        <f t="shared" si="256"/>
        <v>0</v>
      </c>
      <c r="AH392" s="211">
        <f t="shared" si="256"/>
        <v>0</v>
      </c>
      <c r="AI392" s="211">
        <f t="shared" si="256"/>
        <v>0</v>
      </c>
      <c r="AJ392" s="211">
        <f t="shared" si="256"/>
        <v>0</v>
      </c>
      <c r="AK392" s="211">
        <f t="shared" si="256"/>
        <v>0</v>
      </c>
      <c r="AL392" s="211">
        <f t="shared" si="256"/>
        <v>0</v>
      </c>
      <c r="AM392" s="211">
        <f t="shared" si="256"/>
        <v>0</v>
      </c>
      <c r="AN392" s="211">
        <f t="shared" si="256"/>
        <v>0</v>
      </c>
    </row>
    <row r="393" spans="2:40" s="7" customFormat="1" ht="12" hidden="1" customHeight="1" outlineLevel="2">
      <c r="B393" s="245"/>
      <c r="C393" s="213" t="s">
        <v>769</v>
      </c>
      <c r="D393" s="213"/>
      <c r="E393" s="213"/>
      <c r="F393" s="213"/>
      <c r="G393" s="213"/>
      <c r="H393" s="213"/>
      <c r="I393" s="213"/>
      <c r="J393" s="213"/>
      <c r="K393" s="213"/>
      <c r="L393" s="213"/>
      <c r="M393" s="213"/>
      <c r="N393" s="213"/>
      <c r="O393" s="213"/>
      <c r="P393" s="213"/>
      <c r="Q393" s="213"/>
      <c r="R393" s="213"/>
      <c r="S393" s="213"/>
      <c r="T393" s="213"/>
      <c r="U393" s="211">
        <f>INDEX($C$349:$AN$371,MATCH("New Customers One-Time",$C$349:$C$371,0),MATCH($C393,$C$349:$AN$349,0))</f>
        <v>99.356436610169524</v>
      </c>
      <c r="V393" s="211">
        <f t="shared" ref="V393:AN393" si="257">$U393*(E375)</f>
        <v>0</v>
      </c>
      <c r="W393" s="211">
        <f t="shared" si="257"/>
        <v>0</v>
      </c>
      <c r="X393" s="211">
        <f t="shared" si="257"/>
        <v>0</v>
      </c>
      <c r="Y393" s="211">
        <f t="shared" si="257"/>
        <v>0</v>
      </c>
      <c r="Z393" s="211">
        <f t="shared" si="257"/>
        <v>0</v>
      </c>
      <c r="AA393" s="211">
        <f t="shared" si="257"/>
        <v>0</v>
      </c>
      <c r="AB393" s="211">
        <f t="shared" si="257"/>
        <v>0</v>
      </c>
      <c r="AC393" s="211">
        <f t="shared" si="257"/>
        <v>0</v>
      </c>
      <c r="AD393" s="211">
        <f t="shared" si="257"/>
        <v>0</v>
      </c>
      <c r="AE393" s="211">
        <f t="shared" si="257"/>
        <v>0</v>
      </c>
      <c r="AF393" s="211">
        <f t="shared" si="257"/>
        <v>0</v>
      </c>
      <c r="AG393" s="211">
        <f t="shared" si="257"/>
        <v>0</v>
      </c>
      <c r="AH393" s="211">
        <f t="shared" si="257"/>
        <v>0</v>
      </c>
      <c r="AI393" s="211">
        <f t="shared" si="257"/>
        <v>0</v>
      </c>
      <c r="AJ393" s="211">
        <f t="shared" si="257"/>
        <v>0</v>
      </c>
      <c r="AK393" s="211">
        <f t="shared" si="257"/>
        <v>0</v>
      </c>
      <c r="AL393" s="211">
        <f t="shared" si="257"/>
        <v>0</v>
      </c>
      <c r="AM393" s="211">
        <f t="shared" si="257"/>
        <v>0</v>
      </c>
      <c r="AN393" s="211">
        <f t="shared" si="257"/>
        <v>0</v>
      </c>
    </row>
    <row r="394" spans="2:40" s="7" customFormat="1" ht="12" hidden="1" customHeight="1" outlineLevel="2">
      <c r="B394" s="245"/>
      <c r="C394" s="213" t="s">
        <v>770</v>
      </c>
      <c r="D394" s="213"/>
      <c r="E394" s="213"/>
      <c r="F394" s="213"/>
      <c r="G394" s="213"/>
      <c r="H394" s="213"/>
      <c r="I394" s="213"/>
      <c r="J394" s="213"/>
      <c r="K394" s="213"/>
      <c r="L394" s="213"/>
      <c r="M394" s="213"/>
      <c r="N394" s="213"/>
      <c r="O394" s="213"/>
      <c r="P394" s="213"/>
      <c r="Q394" s="213"/>
      <c r="R394" s="213"/>
      <c r="S394" s="213"/>
      <c r="T394" s="213"/>
      <c r="U394" s="213"/>
      <c r="V394" s="211">
        <f>INDEX($C$349:$AN$371,MATCH("New Customers One-Time",$C$349:$C$371,0),MATCH($C394,$C$349:$AN$349,0))</f>
        <v>131.56132881355936</v>
      </c>
      <c r="W394" s="211">
        <f t="shared" ref="W394:AN394" si="258">$V394*(E375)</f>
        <v>0</v>
      </c>
      <c r="X394" s="211">
        <f t="shared" si="258"/>
        <v>0</v>
      </c>
      <c r="Y394" s="211">
        <f t="shared" si="258"/>
        <v>0</v>
      </c>
      <c r="Z394" s="211">
        <f t="shared" si="258"/>
        <v>0</v>
      </c>
      <c r="AA394" s="211">
        <f t="shared" si="258"/>
        <v>0</v>
      </c>
      <c r="AB394" s="211">
        <f t="shared" si="258"/>
        <v>0</v>
      </c>
      <c r="AC394" s="211">
        <f t="shared" si="258"/>
        <v>0</v>
      </c>
      <c r="AD394" s="211">
        <f t="shared" si="258"/>
        <v>0</v>
      </c>
      <c r="AE394" s="211">
        <f t="shared" si="258"/>
        <v>0</v>
      </c>
      <c r="AF394" s="211">
        <f t="shared" si="258"/>
        <v>0</v>
      </c>
      <c r="AG394" s="211">
        <f t="shared" si="258"/>
        <v>0</v>
      </c>
      <c r="AH394" s="211">
        <f t="shared" si="258"/>
        <v>0</v>
      </c>
      <c r="AI394" s="211">
        <f t="shared" si="258"/>
        <v>0</v>
      </c>
      <c r="AJ394" s="211">
        <f t="shared" si="258"/>
        <v>0</v>
      </c>
      <c r="AK394" s="211">
        <f t="shared" si="258"/>
        <v>0</v>
      </c>
      <c r="AL394" s="211">
        <f t="shared" si="258"/>
        <v>0</v>
      </c>
      <c r="AM394" s="211">
        <f t="shared" si="258"/>
        <v>0</v>
      </c>
      <c r="AN394" s="211">
        <f t="shared" si="258"/>
        <v>0</v>
      </c>
    </row>
    <row r="395" spans="2:40" s="7" customFormat="1" ht="12" hidden="1" customHeight="1" outlineLevel="2">
      <c r="B395" s="245"/>
      <c r="C395" s="213" t="s">
        <v>771</v>
      </c>
      <c r="D395" s="213"/>
      <c r="E395" s="213"/>
      <c r="F395" s="213"/>
      <c r="G395" s="213"/>
      <c r="H395" s="213"/>
      <c r="I395" s="213"/>
      <c r="J395" s="213"/>
      <c r="K395" s="213"/>
      <c r="L395" s="213"/>
      <c r="M395" s="213"/>
      <c r="N395" s="213"/>
      <c r="O395" s="213"/>
      <c r="P395" s="213"/>
      <c r="Q395" s="213"/>
      <c r="R395" s="213"/>
      <c r="S395" s="213"/>
      <c r="T395" s="213"/>
      <c r="U395" s="213"/>
      <c r="V395" s="213"/>
      <c r="W395" s="211">
        <f>INDEX($C$349:$AN$371,MATCH("New Customers One-Time",$C$349:$C$371,0),MATCH($C395,$C$349:$AN$349,0))</f>
        <v>70.054291525423736</v>
      </c>
      <c r="X395" s="211">
        <f t="shared" ref="X395:AN395" si="259">$W395*(E375)</f>
        <v>0</v>
      </c>
      <c r="Y395" s="211">
        <f t="shared" si="259"/>
        <v>0</v>
      </c>
      <c r="Z395" s="211">
        <f t="shared" si="259"/>
        <v>0</v>
      </c>
      <c r="AA395" s="211">
        <f t="shared" si="259"/>
        <v>0</v>
      </c>
      <c r="AB395" s="211">
        <f t="shared" si="259"/>
        <v>0</v>
      </c>
      <c r="AC395" s="211">
        <f t="shared" si="259"/>
        <v>0</v>
      </c>
      <c r="AD395" s="211">
        <f t="shared" si="259"/>
        <v>0</v>
      </c>
      <c r="AE395" s="211">
        <f t="shared" si="259"/>
        <v>0</v>
      </c>
      <c r="AF395" s="211">
        <f t="shared" si="259"/>
        <v>0</v>
      </c>
      <c r="AG395" s="211">
        <f t="shared" si="259"/>
        <v>0</v>
      </c>
      <c r="AH395" s="211">
        <f t="shared" si="259"/>
        <v>0</v>
      </c>
      <c r="AI395" s="211">
        <f t="shared" si="259"/>
        <v>0</v>
      </c>
      <c r="AJ395" s="211">
        <f t="shared" si="259"/>
        <v>0</v>
      </c>
      <c r="AK395" s="211">
        <f t="shared" si="259"/>
        <v>0</v>
      </c>
      <c r="AL395" s="211">
        <f t="shared" si="259"/>
        <v>0</v>
      </c>
      <c r="AM395" s="211">
        <f t="shared" si="259"/>
        <v>0</v>
      </c>
      <c r="AN395" s="211">
        <f t="shared" si="259"/>
        <v>0</v>
      </c>
    </row>
    <row r="396" spans="2:40" s="7" customFormat="1" ht="12" hidden="1" customHeight="1" outlineLevel="2">
      <c r="B396" s="245"/>
      <c r="C396" s="213" t="s">
        <v>772</v>
      </c>
      <c r="D396" s="213"/>
      <c r="E396" s="213"/>
      <c r="F396" s="213"/>
      <c r="G396" s="213"/>
      <c r="H396" s="213"/>
      <c r="I396" s="213"/>
      <c r="J396" s="213"/>
      <c r="K396" s="213"/>
      <c r="L396" s="213"/>
      <c r="M396" s="213"/>
      <c r="N396" s="213"/>
      <c r="O396" s="213"/>
      <c r="P396" s="213"/>
      <c r="Q396" s="213"/>
      <c r="R396" s="213"/>
      <c r="S396" s="213"/>
      <c r="T396" s="213"/>
      <c r="U396" s="213"/>
      <c r="V396" s="213"/>
      <c r="W396" s="213"/>
      <c r="X396" s="211">
        <f>INDEX($C$349:$AN$371,MATCH("New Customers One-Time",$C$349:$C$371,0),MATCH($C396,$C$349:$AN$349,0))</f>
        <v>48.619769491525425</v>
      </c>
      <c r="Y396" s="211">
        <f t="shared" ref="Y396:AN396" si="260">$X396*(E375)</f>
        <v>0</v>
      </c>
      <c r="Z396" s="211">
        <f t="shared" si="260"/>
        <v>0</v>
      </c>
      <c r="AA396" s="211">
        <f t="shared" si="260"/>
        <v>0</v>
      </c>
      <c r="AB396" s="211">
        <f t="shared" si="260"/>
        <v>0</v>
      </c>
      <c r="AC396" s="211">
        <f t="shared" si="260"/>
        <v>0</v>
      </c>
      <c r="AD396" s="211">
        <f t="shared" si="260"/>
        <v>0</v>
      </c>
      <c r="AE396" s="211">
        <f t="shared" si="260"/>
        <v>0</v>
      </c>
      <c r="AF396" s="211">
        <f t="shared" si="260"/>
        <v>0</v>
      </c>
      <c r="AG396" s="211">
        <f t="shared" si="260"/>
        <v>0</v>
      </c>
      <c r="AH396" s="211">
        <f t="shared" si="260"/>
        <v>0</v>
      </c>
      <c r="AI396" s="211">
        <f t="shared" si="260"/>
        <v>0</v>
      </c>
      <c r="AJ396" s="211">
        <f t="shared" si="260"/>
        <v>0</v>
      </c>
      <c r="AK396" s="211">
        <f t="shared" si="260"/>
        <v>0</v>
      </c>
      <c r="AL396" s="211">
        <f t="shared" si="260"/>
        <v>0</v>
      </c>
      <c r="AM396" s="211">
        <f t="shared" si="260"/>
        <v>0</v>
      </c>
      <c r="AN396" s="211">
        <f t="shared" si="260"/>
        <v>0</v>
      </c>
    </row>
    <row r="397" spans="2:40" s="7" customFormat="1" ht="12" hidden="1" customHeight="1" outlineLevel="2">
      <c r="B397" s="245"/>
      <c r="C397" s="213" t="s">
        <v>773</v>
      </c>
      <c r="D397" s="213"/>
      <c r="E397" s="213"/>
      <c r="F397" s="213"/>
      <c r="G397" s="213"/>
      <c r="H397" s="213"/>
      <c r="I397" s="213"/>
      <c r="J397" s="213"/>
      <c r="K397" s="213"/>
      <c r="L397" s="213"/>
      <c r="M397" s="213"/>
      <c r="N397" s="213"/>
      <c r="O397" s="213"/>
      <c r="P397" s="213"/>
      <c r="Q397" s="213"/>
      <c r="R397" s="213"/>
      <c r="S397" s="213"/>
      <c r="T397" s="213"/>
      <c r="U397" s="213"/>
      <c r="V397" s="213"/>
      <c r="W397" s="213"/>
      <c r="X397" s="213"/>
      <c r="Y397" s="211">
        <f>INDEX($C$349:$AN$371,MATCH("New Customers One-Time",$C$349:$C$371,0),MATCH($C397,$C$349:$AN$349,0))</f>
        <v>124.47457627118645</v>
      </c>
      <c r="Z397" s="211">
        <f t="shared" ref="Z397:AN397" si="261">$Y397*(E375)</f>
        <v>0</v>
      </c>
      <c r="AA397" s="211">
        <f t="shared" si="261"/>
        <v>0</v>
      </c>
      <c r="AB397" s="211">
        <f t="shared" si="261"/>
        <v>0</v>
      </c>
      <c r="AC397" s="211">
        <f t="shared" si="261"/>
        <v>0</v>
      </c>
      <c r="AD397" s="211">
        <f t="shared" si="261"/>
        <v>0</v>
      </c>
      <c r="AE397" s="211">
        <f t="shared" si="261"/>
        <v>0</v>
      </c>
      <c r="AF397" s="211">
        <f t="shared" si="261"/>
        <v>0</v>
      </c>
      <c r="AG397" s="211">
        <f t="shared" si="261"/>
        <v>0</v>
      </c>
      <c r="AH397" s="211">
        <f t="shared" si="261"/>
        <v>0</v>
      </c>
      <c r="AI397" s="211">
        <f t="shared" si="261"/>
        <v>0</v>
      </c>
      <c r="AJ397" s="211">
        <f t="shared" si="261"/>
        <v>0</v>
      </c>
      <c r="AK397" s="211">
        <f t="shared" si="261"/>
        <v>0</v>
      </c>
      <c r="AL397" s="211">
        <f t="shared" si="261"/>
        <v>0</v>
      </c>
      <c r="AM397" s="211">
        <f t="shared" si="261"/>
        <v>0</v>
      </c>
      <c r="AN397" s="211">
        <f t="shared" si="261"/>
        <v>0</v>
      </c>
    </row>
    <row r="398" spans="2:40" s="7" customFormat="1" ht="12" hidden="1" customHeight="1" outlineLevel="2">
      <c r="B398" s="245"/>
      <c r="C398" s="213" t="s">
        <v>774</v>
      </c>
      <c r="D398" s="213"/>
      <c r="E398" s="213"/>
      <c r="F398" s="213"/>
      <c r="G398" s="213"/>
      <c r="H398" s="213"/>
      <c r="I398" s="213"/>
      <c r="J398" s="213"/>
      <c r="K398" s="213"/>
      <c r="L398" s="213"/>
      <c r="M398" s="213"/>
      <c r="N398" s="213"/>
      <c r="O398" s="213"/>
      <c r="P398" s="213"/>
      <c r="Q398" s="213"/>
      <c r="R398" s="213"/>
      <c r="S398" s="213"/>
      <c r="T398" s="213"/>
      <c r="U398" s="213"/>
      <c r="V398" s="213"/>
      <c r="W398" s="213"/>
      <c r="X398" s="213"/>
      <c r="Y398" s="213"/>
      <c r="Z398" s="211">
        <f>INDEX($C$349:$AN$371,MATCH("New Customers One-Time",$C$349:$C$371,0),MATCH($C398,$C$349:$AN$349,0))</f>
        <v>124.47457627118645</v>
      </c>
      <c r="AA398" s="211">
        <f t="shared" ref="AA398:AN398" si="262">$Z398*(E375)</f>
        <v>0</v>
      </c>
      <c r="AB398" s="211">
        <f t="shared" si="262"/>
        <v>0</v>
      </c>
      <c r="AC398" s="211">
        <f t="shared" si="262"/>
        <v>0</v>
      </c>
      <c r="AD398" s="211">
        <f t="shared" si="262"/>
        <v>0</v>
      </c>
      <c r="AE398" s="211">
        <f t="shared" si="262"/>
        <v>0</v>
      </c>
      <c r="AF398" s="211">
        <f t="shared" si="262"/>
        <v>0</v>
      </c>
      <c r="AG398" s="211">
        <f t="shared" si="262"/>
        <v>0</v>
      </c>
      <c r="AH398" s="211">
        <f t="shared" si="262"/>
        <v>0</v>
      </c>
      <c r="AI398" s="211">
        <f t="shared" si="262"/>
        <v>0</v>
      </c>
      <c r="AJ398" s="211">
        <f t="shared" si="262"/>
        <v>0</v>
      </c>
      <c r="AK398" s="211">
        <f t="shared" si="262"/>
        <v>0</v>
      </c>
      <c r="AL398" s="211">
        <f t="shared" si="262"/>
        <v>0</v>
      </c>
      <c r="AM398" s="211">
        <f t="shared" si="262"/>
        <v>0</v>
      </c>
      <c r="AN398" s="211">
        <f t="shared" si="262"/>
        <v>0</v>
      </c>
    </row>
    <row r="399" spans="2:40" s="7" customFormat="1" ht="12" hidden="1" customHeight="1" outlineLevel="2">
      <c r="B399" s="245"/>
      <c r="C399" s="213" t="s">
        <v>775</v>
      </c>
      <c r="D399" s="213"/>
      <c r="E399" s="213"/>
      <c r="F399" s="213"/>
      <c r="G399" s="213"/>
      <c r="H399" s="213"/>
      <c r="I399" s="213"/>
      <c r="J399" s="213"/>
      <c r="K399" s="213"/>
      <c r="L399" s="213"/>
      <c r="M399" s="213"/>
      <c r="N399" s="213"/>
      <c r="O399" s="213"/>
      <c r="P399" s="213"/>
      <c r="Q399" s="213"/>
      <c r="R399" s="213"/>
      <c r="S399" s="213"/>
      <c r="T399" s="213"/>
      <c r="U399" s="213"/>
      <c r="V399" s="213"/>
      <c r="W399" s="213"/>
      <c r="X399" s="213"/>
      <c r="Y399" s="213"/>
      <c r="Z399" s="213"/>
      <c r="AA399" s="211">
        <f>INDEX($C$349:$AN$371,MATCH("New Customers One-Time",$C$349:$C$371,0),MATCH($C399,$C$349:$AN$349,0))</f>
        <v>66.386440677966107</v>
      </c>
      <c r="AB399" s="211">
        <f t="shared" ref="AB399:AN399" si="263">$AA399*(E375)</f>
        <v>0</v>
      </c>
      <c r="AC399" s="211">
        <f t="shared" si="263"/>
        <v>0</v>
      </c>
      <c r="AD399" s="211">
        <f t="shared" si="263"/>
        <v>0</v>
      </c>
      <c r="AE399" s="211">
        <f t="shared" si="263"/>
        <v>0</v>
      </c>
      <c r="AF399" s="211">
        <f t="shared" si="263"/>
        <v>0</v>
      </c>
      <c r="AG399" s="211">
        <f t="shared" si="263"/>
        <v>0</v>
      </c>
      <c r="AH399" s="211">
        <f t="shared" si="263"/>
        <v>0</v>
      </c>
      <c r="AI399" s="211">
        <f t="shared" si="263"/>
        <v>0</v>
      </c>
      <c r="AJ399" s="211">
        <f t="shared" si="263"/>
        <v>0</v>
      </c>
      <c r="AK399" s="211">
        <f t="shared" si="263"/>
        <v>0</v>
      </c>
      <c r="AL399" s="211">
        <f t="shared" si="263"/>
        <v>0</v>
      </c>
      <c r="AM399" s="211">
        <f t="shared" si="263"/>
        <v>0</v>
      </c>
      <c r="AN399" s="211">
        <f t="shared" si="263"/>
        <v>0</v>
      </c>
    </row>
    <row r="400" spans="2:40" s="7" customFormat="1" ht="12" hidden="1" customHeight="1" outlineLevel="2">
      <c r="B400" s="245"/>
      <c r="C400" s="213" t="s">
        <v>776</v>
      </c>
      <c r="D400" s="213"/>
      <c r="E400" s="213"/>
      <c r="F400" s="213"/>
      <c r="G400" s="213"/>
      <c r="H400" s="213"/>
      <c r="I400" s="213"/>
      <c r="J400" s="213"/>
      <c r="K400" s="213"/>
      <c r="L400" s="213"/>
      <c r="M400" s="213"/>
      <c r="N400" s="213"/>
      <c r="O400" s="213"/>
      <c r="P400" s="213"/>
      <c r="Q400" s="213"/>
      <c r="R400" s="213"/>
      <c r="S400" s="213"/>
      <c r="T400" s="213"/>
      <c r="U400" s="213"/>
      <c r="V400" s="213"/>
      <c r="W400" s="213"/>
      <c r="X400" s="213"/>
      <c r="Y400" s="213"/>
      <c r="Z400" s="213"/>
      <c r="AA400" s="213"/>
      <c r="AB400" s="211">
        <f>INDEX($C$349:$AN$371,MATCH("New Customers One-Time",$C$349:$C$371,0),MATCH($C400,$C$349:$AN$349,0))</f>
        <v>66.386440677966107</v>
      </c>
      <c r="AC400" s="211">
        <f t="shared" ref="AC400:AN400" si="264">$AB400*(E375)</f>
        <v>0</v>
      </c>
      <c r="AD400" s="211">
        <f t="shared" si="264"/>
        <v>0</v>
      </c>
      <c r="AE400" s="211">
        <f t="shared" si="264"/>
        <v>0</v>
      </c>
      <c r="AF400" s="211">
        <f t="shared" si="264"/>
        <v>0</v>
      </c>
      <c r="AG400" s="211">
        <f t="shared" si="264"/>
        <v>0</v>
      </c>
      <c r="AH400" s="211">
        <f t="shared" si="264"/>
        <v>0</v>
      </c>
      <c r="AI400" s="211">
        <f t="shared" si="264"/>
        <v>0</v>
      </c>
      <c r="AJ400" s="211">
        <f t="shared" si="264"/>
        <v>0</v>
      </c>
      <c r="AK400" s="211">
        <f t="shared" si="264"/>
        <v>0</v>
      </c>
      <c r="AL400" s="211">
        <f t="shared" si="264"/>
        <v>0</v>
      </c>
      <c r="AM400" s="211">
        <f t="shared" si="264"/>
        <v>0</v>
      </c>
      <c r="AN400" s="211">
        <f t="shared" si="264"/>
        <v>0</v>
      </c>
    </row>
    <row r="401" spans="2:40" s="7" customFormat="1" ht="12" hidden="1" customHeight="1" outlineLevel="2">
      <c r="B401" s="245"/>
      <c r="C401" s="213" t="s">
        <v>777</v>
      </c>
      <c r="D401" s="213"/>
      <c r="E401" s="213"/>
      <c r="F401" s="213"/>
      <c r="G401" s="213"/>
      <c r="H401" s="213"/>
      <c r="I401" s="213"/>
      <c r="J401" s="213"/>
      <c r="K401" s="213"/>
      <c r="L401" s="213"/>
      <c r="M401" s="213"/>
      <c r="N401" s="213"/>
      <c r="O401" s="213"/>
      <c r="P401" s="213"/>
      <c r="Q401" s="213"/>
      <c r="R401" s="213"/>
      <c r="S401" s="213"/>
      <c r="T401" s="213"/>
      <c r="U401" s="213"/>
      <c r="V401" s="213"/>
      <c r="W401" s="213"/>
      <c r="X401" s="213"/>
      <c r="Y401" s="213"/>
      <c r="Z401" s="213"/>
      <c r="AA401" s="213"/>
      <c r="AB401" s="211"/>
      <c r="AC401" s="211">
        <f>INDEX($C$349:$AN$371,MATCH("New Customers One-Time",$C$349:$C$371,0),MATCH($C401,$C$349:$AN$349,0))</f>
        <v>39.09580474576272</v>
      </c>
      <c r="AD401" s="211">
        <f t="shared" ref="AD401:AN401" si="265">$AC401*(E375)</f>
        <v>0</v>
      </c>
      <c r="AE401" s="211">
        <f t="shared" si="265"/>
        <v>0</v>
      </c>
      <c r="AF401" s="211">
        <f t="shared" si="265"/>
        <v>0</v>
      </c>
      <c r="AG401" s="211">
        <f t="shared" si="265"/>
        <v>0</v>
      </c>
      <c r="AH401" s="211">
        <f t="shared" si="265"/>
        <v>0</v>
      </c>
      <c r="AI401" s="211">
        <f t="shared" si="265"/>
        <v>0</v>
      </c>
      <c r="AJ401" s="211">
        <f t="shared" si="265"/>
        <v>0</v>
      </c>
      <c r="AK401" s="211">
        <f t="shared" si="265"/>
        <v>0</v>
      </c>
      <c r="AL401" s="211">
        <f t="shared" si="265"/>
        <v>0</v>
      </c>
      <c r="AM401" s="211">
        <f t="shared" si="265"/>
        <v>0</v>
      </c>
      <c r="AN401" s="211">
        <f t="shared" si="265"/>
        <v>0</v>
      </c>
    </row>
    <row r="402" spans="2:40" s="7" customFormat="1" ht="12" hidden="1" customHeight="1" outlineLevel="2">
      <c r="B402" s="245"/>
      <c r="C402" s="213" t="s">
        <v>778</v>
      </c>
      <c r="D402" s="213"/>
      <c r="E402" s="213"/>
      <c r="F402" s="213"/>
      <c r="G402" s="213"/>
      <c r="H402" s="213"/>
      <c r="I402" s="213"/>
      <c r="J402" s="213"/>
      <c r="K402" s="213"/>
      <c r="L402" s="213"/>
      <c r="M402" s="213"/>
      <c r="N402" s="213"/>
      <c r="O402" s="213"/>
      <c r="P402" s="213"/>
      <c r="Q402" s="213"/>
      <c r="R402" s="213"/>
      <c r="S402" s="213"/>
      <c r="T402" s="213"/>
      <c r="U402" s="213"/>
      <c r="V402" s="213"/>
      <c r="W402" s="213"/>
      <c r="X402" s="213"/>
      <c r="Y402" s="213"/>
      <c r="Z402" s="213"/>
      <c r="AA402" s="213"/>
      <c r="AB402" s="211"/>
      <c r="AC402" s="211"/>
      <c r="AD402" s="211">
        <f>INDEX($C$349:$AN$371,MATCH("New Customers One-Time",$C$349:$C$371,0),MATCH($C402,$C$349:$AN$349,0))</f>
        <v>182.95273220338987</v>
      </c>
      <c r="AE402" s="211">
        <f t="shared" ref="AE402:AN402" si="266">$AD402*(E375)</f>
        <v>0</v>
      </c>
      <c r="AF402" s="211">
        <f t="shared" si="266"/>
        <v>0</v>
      </c>
      <c r="AG402" s="211">
        <f t="shared" si="266"/>
        <v>0</v>
      </c>
      <c r="AH402" s="211">
        <f t="shared" si="266"/>
        <v>0</v>
      </c>
      <c r="AI402" s="211">
        <f t="shared" si="266"/>
        <v>0</v>
      </c>
      <c r="AJ402" s="211">
        <f t="shared" si="266"/>
        <v>0</v>
      </c>
      <c r="AK402" s="211">
        <f t="shared" si="266"/>
        <v>0</v>
      </c>
      <c r="AL402" s="211">
        <f t="shared" si="266"/>
        <v>0</v>
      </c>
      <c r="AM402" s="211">
        <f t="shared" si="266"/>
        <v>0</v>
      </c>
      <c r="AN402" s="211">
        <f t="shared" si="266"/>
        <v>0</v>
      </c>
    </row>
    <row r="403" spans="2:40" s="7" customFormat="1" ht="12" hidden="1" customHeight="1" outlineLevel="2">
      <c r="B403" s="245"/>
      <c r="C403" s="213" t="s">
        <v>779</v>
      </c>
      <c r="D403" s="213"/>
      <c r="E403" s="213"/>
      <c r="F403" s="213"/>
      <c r="G403" s="213"/>
      <c r="H403" s="213"/>
      <c r="I403" s="213"/>
      <c r="J403" s="213"/>
      <c r="K403" s="213"/>
      <c r="L403" s="213"/>
      <c r="M403" s="213"/>
      <c r="N403" s="213"/>
      <c r="O403" s="213"/>
      <c r="P403" s="213"/>
      <c r="Q403" s="213"/>
      <c r="R403" s="213"/>
      <c r="S403" s="213"/>
      <c r="T403" s="213"/>
      <c r="U403" s="213"/>
      <c r="V403" s="213"/>
      <c r="W403" s="213"/>
      <c r="X403" s="213"/>
      <c r="Y403" s="213"/>
      <c r="Z403" s="213"/>
      <c r="AA403" s="213"/>
      <c r="AB403" s="211"/>
      <c r="AC403" s="211"/>
      <c r="AD403" s="211"/>
      <c r="AE403" s="211">
        <f>INDEX($C$349:$AN$371,MATCH("New Customers One-Time",$C$349:$C$371,0),MATCH($C403,$C$349:$AN$349,0))</f>
        <v>152.52865627118646</v>
      </c>
      <c r="AF403" s="211">
        <f t="shared" ref="AF403:AN403" si="267">$AE403*(E375)</f>
        <v>0</v>
      </c>
      <c r="AG403" s="211">
        <f t="shared" si="267"/>
        <v>0</v>
      </c>
      <c r="AH403" s="211">
        <f t="shared" si="267"/>
        <v>0</v>
      </c>
      <c r="AI403" s="211">
        <f t="shared" si="267"/>
        <v>0</v>
      </c>
      <c r="AJ403" s="211">
        <f t="shared" si="267"/>
        <v>0</v>
      </c>
      <c r="AK403" s="211">
        <f t="shared" si="267"/>
        <v>0</v>
      </c>
      <c r="AL403" s="211">
        <f t="shared" si="267"/>
        <v>0</v>
      </c>
      <c r="AM403" s="211">
        <f t="shared" si="267"/>
        <v>0</v>
      </c>
      <c r="AN403" s="211">
        <f t="shared" si="267"/>
        <v>0</v>
      </c>
    </row>
    <row r="404" spans="2:40" s="7" customFormat="1" ht="12" hidden="1" customHeight="1" outlineLevel="2">
      <c r="B404" s="245"/>
      <c r="C404" s="213" t="s">
        <v>780</v>
      </c>
      <c r="D404" s="213"/>
      <c r="E404" s="213"/>
      <c r="F404" s="213"/>
      <c r="G404" s="213"/>
      <c r="H404" s="213"/>
      <c r="I404" s="213"/>
      <c r="J404" s="213"/>
      <c r="K404" s="213"/>
      <c r="L404" s="213"/>
      <c r="M404" s="213"/>
      <c r="N404" s="213"/>
      <c r="O404" s="213"/>
      <c r="P404" s="213"/>
      <c r="Q404" s="213"/>
      <c r="R404" s="213"/>
      <c r="S404" s="213"/>
      <c r="T404" s="213"/>
      <c r="U404" s="213"/>
      <c r="V404" s="213"/>
      <c r="W404" s="213"/>
      <c r="X404" s="213"/>
      <c r="Y404" s="213"/>
      <c r="Z404" s="213"/>
      <c r="AA404" s="213"/>
      <c r="AB404" s="211"/>
      <c r="AC404" s="211"/>
      <c r="AD404" s="211"/>
      <c r="AE404" s="211"/>
      <c r="AF404" s="211">
        <f>INDEX($C$349:$AN$371,MATCH("New Customers One-Time",$C$349:$C$371,0),MATCH($C404,$C$349:$AN$349,0))</f>
        <v>55.841369491525441</v>
      </c>
      <c r="AG404" s="211">
        <f t="shared" ref="AG404:AN404" si="268">$AF404*(E375)</f>
        <v>0</v>
      </c>
      <c r="AH404" s="211">
        <f t="shared" si="268"/>
        <v>0</v>
      </c>
      <c r="AI404" s="211">
        <f t="shared" si="268"/>
        <v>0</v>
      </c>
      <c r="AJ404" s="211">
        <f t="shared" si="268"/>
        <v>0</v>
      </c>
      <c r="AK404" s="211">
        <f t="shared" si="268"/>
        <v>0</v>
      </c>
      <c r="AL404" s="211">
        <f t="shared" si="268"/>
        <v>0</v>
      </c>
      <c r="AM404" s="211">
        <f t="shared" si="268"/>
        <v>0</v>
      </c>
      <c r="AN404" s="211">
        <f t="shared" si="268"/>
        <v>0</v>
      </c>
    </row>
    <row r="405" spans="2:40" s="7" customFormat="1" ht="12" hidden="1" customHeight="1" outlineLevel="2">
      <c r="B405" s="245"/>
      <c r="C405" s="213" t="s">
        <v>781</v>
      </c>
      <c r="D405" s="213"/>
      <c r="E405" s="213"/>
      <c r="F405" s="213"/>
      <c r="G405" s="213"/>
      <c r="H405" s="213"/>
      <c r="I405" s="213"/>
      <c r="J405" s="213"/>
      <c r="K405" s="213"/>
      <c r="L405" s="213"/>
      <c r="M405" s="213"/>
      <c r="N405" s="213"/>
      <c r="O405" s="213"/>
      <c r="P405" s="213"/>
      <c r="Q405" s="213"/>
      <c r="R405" s="213"/>
      <c r="S405" s="213"/>
      <c r="T405" s="213"/>
      <c r="U405" s="213"/>
      <c r="V405" s="213"/>
      <c r="W405" s="213"/>
      <c r="X405" s="213"/>
      <c r="Y405" s="213"/>
      <c r="Z405" s="213"/>
      <c r="AA405" s="213"/>
      <c r="AB405" s="211"/>
      <c r="AC405" s="211"/>
      <c r="AD405" s="211"/>
      <c r="AE405" s="211"/>
      <c r="AF405" s="211"/>
      <c r="AG405" s="211">
        <f>INDEX($C$349:$AN$371,MATCH("New Customers One-Time",$C$349:$C$371,0),MATCH($C405,$C$349:$AN$349,0))</f>
        <v>99.356436610169524</v>
      </c>
      <c r="AH405" s="211">
        <f t="shared" ref="AH405:AN405" si="269">$AG405*(E375)</f>
        <v>0</v>
      </c>
      <c r="AI405" s="211">
        <f t="shared" si="269"/>
        <v>0</v>
      </c>
      <c r="AJ405" s="211">
        <f t="shared" si="269"/>
        <v>0</v>
      </c>
      <c r="AK405" s="211">
        <f t="shared" si="269"/>
        <v>0</v>
      </c>
      <c r="AL405" s="211">
        <f t="shared" si="269"/>
        <v>0</v>
      </c>
      <c r="AM405" s="211">
        <f t="shared" si="269"/>
        <v>0</v>
      </c>
      <c r="AN405" s="211">
        <f t="shared" si="269"/>
        <v>0</v>
      </c>
    </row>
    <row r="406" spans="2:40" s="7" customFormat="1" ht="12" hidden="1" customHeight="1" outlineLevel="2">
      <c r="B406" s="245"/>
      <c r="C406" s="213" t="s">
        <v>782</v>
      </c>
      <c r="D406" s="213"/>
      <c r="E406" s="213"/>
      <c r="F406" s="213"/>
      <c r="G406" s="213"/>
      <c r="H406" s="213"/>
      <c r="I406" s="213"/>
      <c r="J406" s="213"/>
      <c r="K406" s="213"/>
      <c r="L406" s="213"/>
      <c r="M406" s="213"/>
      <c r="N406" s="213"/>
      <c r="O406" s="213"/>
      <c r="P406" s="213"/>
      <c r="Q406" s="213"/>
      <c r="R406" s="213"/>
      <c r="S406" s="213"/>
      <c r="T406" s="213"/>
      <c r="U406" s="213"/>
      <c r="V406" s="213"/>
      <c r="W406" s="213"/>
      <c r="X406" s="213"/>
      <c r="Y406" s="213"/>
      <c r="Z406" s="213"/>
      <c r="AA406" s="213"/>
      <c r="AB406" s="211"/>
      <c r="AC406" s="211"/>
      <c r="AD406" s="211"/>
      <c r="AE406" s="211"/>
      <c r="AF406" s="211"/>
      <c r="AG406" s="211"/>
      <c r="AH406" s="211">
        <f>INDEX($C$349:$AN$371,MATCH("New Customers One-Time",$C$349:$C$371,0),MATCH($C406,$C$349:$AN$349,0))</f>
        <v>131.56132881355936</v>
      </c>
      <c r="AI406" s="211">
        <f t="shared" ref="AI406:AN406" si="270">$AH406*(E375)</f>
        <v>0</v>
      </c>
      <c r="AJ406" s="211">
        <f t="shared" si="270"/>
        <v>0</v>
      </c>
      <c r="AK406" s="211">
        <f t="shared" si="270"/>
        <v>0</v>
      </c>
      <c r="AL406" s="211">
        <f t="shared" si="270"/>
        <v>0</v>
      </c>
      <c r="AM406" s="211">
        <f t="shared" si="270"/>
        <v>0</v>
      </c>
      <c r="AN406" s="211">
        <f t="shared" si="270"/>
        <v>0</v>
      </c>
    </row>
    <row r="407" spans="2:40" s="7" customFormat="1" ht="12" hidden="1" customHeight="1" outlineLevel="2">
      <c r="B407" s="245"/>
      <c r="C407" s="213" t="s">
        <v>783</v>
      </c>
      <c r="D407" s="213"/>
      <c r="E407" s="213"/>
      <c r="F407" s="213"/>
      <c r="G407" s="213"/>
      <c r="H407" s="213"/>
      <c r="I407" s="213"/>
      <c r="J407" s="213"/>
      <c r="K407" s="213"/>
      <c r="L407" s="213"/>
      <c r="M407" s="213"/>
      <c r="N407" s="213"/>
      <c r="O407" s="213"/>
      <c r="P407" s="213"/>
      <c r="Q407" s="213"/>
      <c r="R407" s="213"/>
      <c r="S407" s="213"/>
      <c r="T407" s="213"/>
      <c r="U407" s="213"/>
      <c r="V407" s="213"/>
      <c r="W407" s="213"/>
      <c r="X407" s="213"/>
      <c r="Y407" s="213"/>
      <c r="Z407" s="213"/>
      <c r="AA407" s="213"/>
      <c r="AB407" s="211"/>
      <c r="AC407" s="211"/>
      <c r="AD407" s="211"/>
      <c r="AE407" s="211"/>
      <c r="AF407" s="211"/>
      <c r="AG407" s="211"/>
      <c r="AH407" s="211"/>
      <c r="AI407" s="211">
        <f>INDEX($C$349:$AN$371,MATCH("New Customers One-Time",$C$349:$C$371,0),MATCH($C407,$C$349:$AN$349,0))</f>
        <v>70.054291525423736</v>
      </c>
      <c r="AJ407" s="211">
        <f>$AI407*(E375)</f>
        <v>0</v>
      </c>
      <c r="AK407" s="211">
        <f>$AI407*(F375)</f>
        <v>0</v>
      </c>
      <c r="AL407" s="211">
        <f>$AI407*(G375)</f>
        <v>0</v>
      </c>
      <c r="AM407" s="211">
        <f>$AI407*(H375)</f>
        <v>0</v>
      </c>
      <c r="AN407" s="211">
        <f>$AI407*(I375)</f>
        <v>0</v>
      </c>
    </row>
    <row r="408" spans="2:40" s="7" customFormat="1" ht="12" hidden="1" customHeight="1" outlineLevel="2">
      <c r="B408" s="245"/>
      <c r="C408" s="213" t="s">
        <v>784</v>
      </c>
      <c r="D408" s="213"/>
      <c r="E408" s="213"/>
      <c r="F408" s="213"/>
      <c r="G408" s="213"/>
      <c r="H408" s="213"/>
      <c r="I408" s="213"/>
      <c r="J408" s="213"/>
      <c r="K408" s="213"/>
      <c r="L408" s="213"/>
      <c r="M408" s="213"/>
      <c r="N408" s="213"/>
      <c r="O408" s="213"/>
      <c r="P408" s="213"/>
      <c r="Q408" s="213"/>
      <c r="R408" s="213"/>
      <c r="S408" s="213"/>
      <c r="T408" s="213"/>
      <c r="U408" s="213"/>
      <c r="V408" s="213"/>
      <c r="W408" s="213"/>
      <c r="X408" s="213"/>
      <c r="Y408" s="213"/>
      <c r="Z408" s="213"/>
      <c r="AA408" s="213"/>
      <c r="AB408" s="211"/>
      <c r="AC408" s="211"/>
      <c r="AD408" s="211"/>
      <c r="AE408" s="211"/>
      <c r="AF408" s="211"/>
      <c r="AG408" s="211"/>
      <c r="AH408" s="211"/>
      <c r="AI408" s="211"/>
      <c r="AJ408" s="211">
        <f>INDEX($C$349:$AN$371,MATCH("New Customers One-Time",$C$349:$C$371,0),MATCH($C408,$C$349:$AN$349,0))</f>
        <v>48.619769491525425</v>
      </c>
      <c r="AK408" s="211">
        <f>$AJ408*(E375)</f>
        <v>0</v>
      </c>
      <c r="AL408" s="211">
        <f>$AJ408*(F375)</f>
        <v>0</v>
      </c>
      <c r="AM408" s="211">
        <f>$AJ408*(G375)</f>
        <v>0</v>
      </c>
      <c r="AN408" s="211">
        <f>$AJ408*(H375)</f>
        <v>0</v>
      </c>
    </row>
    <row r="409" spans="2:40" s="7" customFormat="1" ht="12" hidden="1" customHeight="1" outlineLevel="2">
      <c r="B409" s="245"/>
      <c r="C409" s="213" t="s">
        <v>785</v>
      </c>
      <c r="D409" s="213"/>
      <c r="E409" s="213"/>
      <c r="F409" s="213"/>
      <c r="G409" s="213"/>
      <c r="H409" s="213"/>
      <c r="I409" s="213"/>
      <c r="J409" s="213"/>
      <c r="K409" s="213"/>
      <c r="L409" s="213"/>
      <c r="M409" s="213"/>
      <c r="N409" s="213"/>
      <c r="O409" s="213"/>
      <c r="P409" s="213"/>
      <c r="Q409" s="213"/>
      <c r="R409" s="213"/>
      <c r="S409" s="213"/>
      <c r="T409" s="213"/>
      <c r="U409" s="213"/>
      <c r="V409" s="213"/>
      <c r="W409" s="213"/>
      <c r="X409" s="213"/>
      <c r="Y409" s="213"/>
      <c r="Z409" s="213"/>
      <c r="AA409" s="213"/>
      <c r="AB409" s="211"/>
      <c r="AC409" s="211"/>
      <c r="AD409" s="211"/>
      <c r="AE409" s="211"/>
      <c r="AF409" s="211"/>
      <c r="AG409" s="211"/>
      <c r="AH409" s="211"/>
      <c r="AI409" s="211"/>
      <c r="AJ409" s="211"/>
      <c r="AK409" s="211">
        <f>INDEX($C$349:$AN$371,MATCH("New Customers One-Time",$C$349:$C$371,0),MATCH($C409,$C$349:$AN$349,0))</f>
        <v>124.47457627118645</v>
      </c>
      <c r="AL409" s="211">
        <f>$AK409*(E375)</f>
        <v>0</v>
      </c>
      <c r="AM409" s="211">
        <f>$AK409*(F375)</f>
        <v>0</v>
      </c>
      <c r="AN409" s="211">
        <f>$AK409*(G375)</f>
        <v>0</v>
      </c>
    </row>
    <row r="410" spans="2:40" s="7" customFormat="1" ht="12" hidden="1" customHeight="1" outlineLevel="2">
      <c r="B410" s="245"/>
      <c r="C410" s="213" t="s">
        <v>786</v>
      </c>
      <c r="D410" s="213"/>
      <c r="E410" s="213"/>
      <c r="F410" s="213"/>
      <c r="G410" s="213"/>
      <c r="H410" s="213"/>
      <c r="I410" s="213"/>
      <c r="J410" s="213"/>
      <c r="K410" s="213"/>
      <c r="L410" s="213"/>
      <c r="M410" s="213"/>
      <c r="N410" s="213"/>
      <c r="O410" s="213"/>
      <c r="P410" s="213"/>
      <c r="Q410" s="213"/>
      <c r="R410" s="213"/>
      <c r="S410" s="213"/>
      <c r="T410" s="213"/>
      <c r="U410" s="213"/>
      <c r="V410" s="213"/>
      <c r="W410" s="213"/>
      <c r="X410" s="213"/>
      <c r="Y410" s="213"/>
      <c r="Z410" s="213"/>
      <c r="AA410" s="213"/>
      <c r="AB410" s="211"/>
      <c r="AC410" s="211"/>
      <c r="AD410" s="211"/>
      <c r="AE410" s="211"/>
      <c r="AF410" s="211"/>
      <c r="AG410" s="211"/>
      <c r="AH410" s="211"/>
      <c r="AI410" s="211"/>
      <c r="AJ410" s="211"/>
      <c r="AK410" s="211"/>
      <c r="AL410" s="211">
        <f>INDEX($C$349:$AN$371,MATCH("New Customers One-Time",$C$349:$C$371,0),MATCH($C410,$C$349:$AN$349,0))</f>
        <v>124.47457627118645</v>
      </c>
      <c r="AM410" s="211">
        <f>$AL410*(E375)</f>
        <v>0</v>
      </c>
      <c r="AN410" s="211">
        <f>$AL410*(F375)</f>
        <v>0</v>
      </c>
    </row>
    <row r="411" spans="2:40" s="7" customFormat="1" ht="12" hidden="1" customHeight="1" outlineLevel="2">
      <c r="B411" s="245"/>
      <c r="C411" s="213" t="s">
        <v>787</v>
      </c>
      <c r="D411" s="213"/>
      <c r="E411" s="213"/>
      <c r="F411" s="213"/>
      <c r="G411" s="213"/>
      <c r="H411" s="213"/>
      <c r="I411" s="213"/>
      <c r="J411" s="213"/>
      <c r="K411" s="213"/>
      <c r="L411" s="213"/>
      <c r="M411" s="213"/>
      <c r="N411" s="213"/>
      <c r="O411" s="213"/>
      <c r="P411" s="213"/>
      <c r="Q411" s="213"/>
      <c r="R411" s="213"/>
      <c r="S411" s="213"/>
      <c r="T411" s="213"/>
      <c r="U411" s="213"/>
      <c r="V411" s="213"/>
      <c r="W411" s="213"/>
      <c r="X411" s="213"/>
      <c r="Y411" s="213"/>
      <c r="Z411" s="213"/>
      <c r="AA411" s="213"/>
      <c r="AB411" s="211"/>
      <c r="AC411" s="211"/>
      <c r="AD411" s="211"/>
      <c r="AE411" s="211"/>
      <c r="AF411" s="211"/>
      <c r="AG411" s="211"/>
      <c r="AH411" s="211"/>
      <c r="AI411" s="211"/>
      <c r="AJ411" s="211"/>
      <c r="AK411" s="211"/>
      <c r="AL411" s="211"/>
      <c r="AM411" s="211">
        <f>INDEX($C$349:$AN$371,MATCH("New Customers One-Time",$C$349:$C$371,0),MATCH($C411,$C$349:$AN$349,0))</f>
        <v>66.386440677966107</v>
      </c>
      <c r="AN411" s="211">
        <f>$AM411*(E375)</f>
        <v>0</v>
      </c>
    </row>
    <row r="412" spans="2:40" s="7" customFormat="1" ht="12" hidden="1" customHeight="1" outlineLevel="2">
      <c r="B412" s="245"/>
      <c r="C412" s="213" t="s">
        <v>788</v>
      </c>
      <c r="D412" s="213"/>
      <c r="E412" s="213"/>
      <c r="F412" s="213"/>
      <c r="G412" s="213"/>
      <c r="H412" s="213"/>
      <c r="I412" s="213"/>
      <c r="J412" s="213"/>
      <c r="K412" s="213"/>
      <c r="L412" s="213"/>
      <c r="M412" s="213"/>
      <c r="N412" s="213"/>
      <c r="O412" s="213"/>
      <c r="P412" s="213"/>
      <c r="Q412" s="213"/>
      <c r="R412" s="213"/>
      <c r="S412" s="213"/>
      <c r="T412" s="213"/>
      <c r="U412" s="213"/>
      <c r="V412" s="213"/>
      <c r="W412" s="213"/>
      <c r="X412" s="213"/>
      <c r="Y412" s="213"/>
      <c r="Z412" s="213"/>
      <c r="AA412" s="213"/>
      <c r="AB412" s="211"/>
      <c r="AC412" s="211"/>
      <c r="AD412" s="211"/>
      <c r="AE412" s="211"/>
      <c r="AF412" s="211"/>
      <c r="AG412" s="211"/>
      <c r="AH412" s="211"/>
      <c r="AI412" s="211"/>
      <c r="AJ412" s="211"/>
      <c r="AK412" s="211"/>
      <c r="AL412" s="211"/>
      <c r="AM412" s="211"/>
      <c r="AN412" s="211">
        <f>INDEX($C$349:$AN$371,MATCH("New Customers One-Time",$C$349:$C$371,0),MATCH($C412,$C$349:$AN$349,0))</f>
        <v>66.386440677966107</v>
      </c>
    </row>
    <row r="413" spans="2:40" s="7" customFormat="1" ht="12" hidden="1" customHeight="1" outlineLevel="2">
      <c r="B413" s="245"/>
      <c r="C413" s="213"/>
      <c r="D413" s="213"/>
      <c r="E413" s="213"/>
      <c r="F413" s="213"/>
      <c r="G413" s="213"/>
      <c r="H413" s="213"/>
      <c r="I413" s="213"/>
      <c r="J413" s="213"/>
      <c r="K413" s="213"/>
      <c r="L413" s="213"/>
      <c r="M413" s="213"/>
      <c r="N413" s="213"/>
      <c r="O413" s="213"/>
      <c r="P413" s="213"/>
      <c r="Q413" s="213"/>
      <c r="R413" s="213"/>
      <c r="S413" s="213"/>
      <c r="T413" s="213"/>
      <c r="U413" s="213"/>
      <c r="V413" s="213"/>
      <c r="W413" s="213"/>
      <c r="X413" s="213"/>
      <c r="Y413" s="213"/>
      <c r="Z413" s="213"/>
      <c r="AA413" s="213"/>
      <c r="AB413" s="211"/>
      <c r="AC413" s="211"/>
      <c r="AD413" s="211"/>
      <c r="AE413" s="211"/>
      <c r="AF413" s="211"/>
      <c r="AG413" s="211"/>
      <c r="AH413" s="211"/>
      <c r="AI413" s="211"/>
      <c r="AJ413" s="211"/>
      <c r="AK413" s="211"/>
      <c r="AL413" s="211"/>
      <c r="AM413" s="211"/>
      <c r="AN413" s="211"/>
    </row>
    <row r="414" spans="2:40" s="7" customFormat="1" ht="12" hidden="1" customHeight="1" outlineLevel="2">
      <c r="B414" s="245"/>
      <c r="C414" s="243" t="s">
        <v>853</v>
      </c>
      <c r="D414" s="213"/>
      <c r="E414" s="213"/>
      <c r="F414" s="213"/>
      <c r="G414" s="213"/>
      <c r="H414" s="213"/>
      <c r="I414" s="213"/>
      <c r="J414" s="213"/>
      <c r="K414" s="213"/>
      <c r="L414" s="213"/>
      <c r="M414" s="213"/>
      <c r="N414" s="213"/>
      <c r="O414" s="213"/>
      <c r="P414" s="213"/>
      <c r="Q414" s="213"/>
      <c r="R414" s="213"/>
      <c r="S414" s="213"/>
      <c r="T414" s="213"/>
      <c r="U414" s="213"/>
      <c r="V414" s="213"/>
      <c r="W414" s="213"/>
      <c r="X414" s="213"/>
      <c r="Y414" s="213"/>
      <c r="Z414" s="213"/>
      <c r="AA414" s="213"/>
      <c r="AB414" s="213"/>
      <c r="AC414" s="211"/>
    </row>
    <row r="415" spans="2:40" s="7" customFormat="1" ht="12" hidden="1" customHeight="1" outlineLevel="2">
      <c r="B415" s="239"/>
      <c r="C415" s="214" t="s">
        <v>850</v>
      </c>
      <c r="D415" s="214"/>
      <c r="E415" s="196" t="s">
        <v>753</v>
      </c>
      <c r="F415" s="196" t="s">
        <v>754</v>
      </c>
      <c r="G415" s="196" t="s">
        <v>755</v>
      </c>
      <c r="H415" s="196" t="s">
        <v>756</v>
      </c>
      <c r="I415" s="196" t="s">
        <v>757</v>
      </c>
      <c r="J415" s="196" t="s">
        <v>758</v>
      </c>
      <c r="K415" s="196" t="s">
        <v>759</v>
      </c>
      <c r="L415" s="196" t="s">
        <v>760</v>
      </c>
      <c r="M415" s="196" t="s">
        <v>761</v>
      </c>
      <c r="N415" s="196" t="s">
        <v>762</v>
      </c>
      <c r="O415" s="196" t="s">
        <v>763</v>
      </c>
      <c r="P415" s="196" t="s">
        <v>764</v>
      </c>
      <c r="Q415" s="196" t="s">
        <v>765</v>
      </c>
      <c r="R415" s="196" t="s">
        <v>766</v>
      </c>
      <c r="S415" s="196" t="s">
        <v>767</v>
      </c>
      <c r="T415" s="196" t="s">
        <v>768</v>
      </c>
      <c r="U415" s="196" t="s">
        <v>769</v>
      </c>
      <c r="V415" s="196" t="s">
        <v>770</v>
      </c>
      <c r="W415" s="196" t="s">
        <v>771</v>
      </c>
      <c r="X415" s="196" t="s">
        <v>772</v>
      </c>
      <c r="Y415" s="196" t="s">
        <v>773</v>
      </c>
      <c r="Z415" s="196" t="s">
        <v>774</v>
      </c>
      <c r="AA415" s="196" t="s">
        <v>775</v>
      </c>
      <c r="AB415" s="196" t="s">
        <v>776</v>
      </c>
      <c r="AC415" s="196" t="s">
        <v>777</v>
      </c>
      <c r="AD415" s="196" t="s">
        <v>778</v>
      </c>
      <c r="AE415" s="196" t="s">
        <v>779</v>
      </c>
      <c r="AF415" s="196" t="s">
        <v>780</v>
      </c>
      <c r="AG415" s="196" t="s">
        <v>781</v>
      </c>
      <c r="AH415" s="196" t="s">
        <v>782</v>
      </c>
      <c r="AI415" s="196" t="s">
        <v>783</v>
      </c>
      <c r="AJ415" s="196" t="s">
        <v>784</v>
      </c>
      <c r="AK415" s="196" t="s">
        <v>785</v>
      </c>
      <c r="AL415" s="196" t="s">
        <v>786</v>
      </c>
      <c r="AM415" s="196" t="s">
        <v>787</v>
      </c>
      <c r="AN415" s="196" t="s">
        <v>788</v>
      </c>
    </row>
    <row r="416" spans="2:40" s="7" customFormat="1" ht="12" hidden="1" customHeight="1" outlineLevel="2">
      <c r="B416" s="239"/>
      <c r="C416" s="247" t="s">
        <v>851</v>
      </c>
      <c r="D416" s="214"/>
      <c r="E416" s="345">
        <v>0.04</v>
      </c>
      <c r="F416" s="345">
        <v>0.04</v>
      </c>
      <c r="G416" s="345">
        <v>0.04</v>
      </c>
      <c r="H416" s="345">
        <v>0.04</v>
      </c>
      <c r="I416" s="345">
        <v>0.03</v>
      </c>
      <c r="J416" s="345">
        <v>0.03</v>
      </c>
      <c r="K416" s="345">
        <v>0.03</v>
      </c>
      <c r="L416" s="345">
        <v>0.03</v>
      </c>
      <c r="M416" s="345">
        <v>0.02</v>
      </c>
      <c r="N416" s="345">
        <v>0.02</v>
      </c>
      <c r="O416" s="345">
        <v>0.02</v>
      </c>
      <c r="P416" s="345">
        <v>0.03</v>
      </c>
      <c r="Q416" s="345">
        <v>0.03</v>
      </c>
      <c r="R416" s="345">
        <v>0.01</v>
      </c>
      <c r="S416" s="345">
        <v>0.01</v>
      </c>
      <c r="T416" s="345">
        <v>0.01</v>
      </c>
      <c r="U416" s="345">
        <v>0.01</v>
      </c>
      <c r="V416" s="345">
        <v>0.01</v>
      </c>
      <c r="W416" s="345">
        <v>0.01</v>
      </c>
      <c r="X416" s="345">
        <v>0.01</v>
      </c>
      <c r="Y416" s="345">
        <v>0.01</v>
      </c>
      <c r="Z416" s="345">
        <v>0.01</v>
      </c>
      <c r="AA416" s="345">
        <v>0.01</v>
      </c>
      <c r="AB416" s="345">
        <v>0.01</v>
      </c>
      <c r="AC416" s="345">
        <v>0.01</v>
      </c>
      <c r="AD416" s="345">
        <v>0.01</v>
      </c>
      <c r="AE416" s="345">
        <v>0.01</v>
      </c>
      <c r="AF416" s="345">
        <v>0.01</v>
      </c>
      <c r="AG416" s="345">
        <v>0.01</v>
      </c>
      <c r="AH416" s="345">
        <v>0.01</v>
      </c>
      <c r="AI416" s="345">
        <v>0.01</v>
      </c>
      <c r="AJ416" s="345">
        <v>0.01</v>
      </c>
      <c r="AK416" s="345">
        <v>0.01</v>
      </c>
      <c r="AL416" s="345">
        <v>0.01</v>
      </c>
      <c r="AM416" s="345">
        <v>0.01</v>
      </c>
      <c r="AN416" s="345">
        <v>0.01</v>
      </c>
    </row>
    <row r="417" spans="2:40" s="214" customFormat="1" ht="12" hidden="1" customHeight="1" outlineLevel="2">
      <c r="C417" s="213" t="s">
        <v>861</v>
      </c>
      <c r="E417" s="211">
        <v>322</v>
      </c>
      <c r="F417" s="211">
        <v>379</v>
      </c>
      <c r="G417" s="211">
        <v>480</v>
      </c>
      <c r="H417" s="211">
        <v>363</v>
      </c>
      <c r="I417" s="211">
        <v>305</v>
      </c>
      <c r="J417" s="211">
        <f t="shared" ref="J417:AN417" si="271">I417*0.9</f>
        <v>274.5</v>
      </c>
      <c r="K417" s="211">
        <f t="shared" si="271"/>
        <v>247.05</v>
      </c>
      <c r="L417" s="211">
        <f t="shared" si="271"/>
        <v>222.34500000000003</v>
      </c>
      <c r="M417" s="211">
        <f t="shared" si="271"/>
        <v>200.11050000000003</v>
      </c>
      <c r="N417" s="211">
        <f t="shared" si="271"/>
        <v>180.09945000000002</v>
      </c>
      <c r="O417" s="211">
        <f t="shared" si="271"/>
        <v>162.08950500000003</v>
      </c>
      <c r="P417" s="211">
        <f t="shared" si="271"/>
        <v>145.88055450000004</v>
      </c>
      <c r="Q417" s="211">
        <f t="shared" si="271"/>
        <v>131.29249905000003</v>
      </c>
      <c r="R417" s="211">
        <f t="shared" si="271"/>
        <v>118.16324914500004</v>
      </c>
      <c r="S417" s="211">
        <f t="shared" si="271"/>
        <v>106.34692423050004</v>
      </c>
      <c r="T417" s="211">
        <f t="shared" si="271"/>
        <v>95.712231807450038</v>
      </c>
      <c r="U417" s="211">
        <f t="shared" si="271"/>
        <v>86.14100862670503</v>
      </c>
      <c r="V417" s="211">
        <f t="shared" si="271"/>
        <v>77.526907764034533</v>
      </c>
      <c r="W417" s="211">
        <f t="shared" si="271"/>
        <v>69.774216987631078</v>
      </c>
      <c r="X417" s="211">
        <f t="shared" si="271"/>
        <v>62.796795288867969</v>
      </c>
      <c r="Y417" s="211">
        <f t="shared" si="271"/>
        <v>56.517115759981174</v>
      </c>
      <c r="Z417" s="211">
        <f t="shared" si="271"/>
        <v>50.86540418398306</v>
      </c>
      <c r="AA417" s="211">
        <f t="shared" si="271"/>
        <v>45.778863765584752</v>
      </c>
      <c r="AB417" s="211">
        <f t="shared" si="271"/>
        <v>41.200977389026278</v>
      </c>
      <c r="AC417" s="211">
        <f t="shared" si="271"/>
        <v>37.080879650123649</v>
      </c>
      <c r="AD417" s="211">
        <f t="shared" si="271"/>
        <v>33.372791685111288</v>
      </c>
      <c r="AE417" s="211">
        <f t="shared" si="271"/>
        <v>30.035512516600161</v>
      </c>
      <c r="AF417" s="211">
        <f t="shared" si="271"/>
        <v>27.031961264940144</v>
      </c>
      <c r="AG417" s="211">
        <f t="shared" si="271"/>
        <v>24.32876513844613</v>
      </c>
      <c r="AH417" s="211">
        <f t="shared" si="271"/>
        <v>21.895888624601518</v>
      </c>
      <c r="AI417" s="211">
        <f t="shared" si="271"/>
        <v>19.706299762141366</v>
      </c>
      <c r="AJ417" s="211">
        <f t="shared" si="271"/>
        <v>17.735669785927229</v>
      </c>
      <c r="AK417" s="211">
        <f t="shared" si="271"/>
        <v>15.962102807334507</v>
      </c>
      <c r="AL417" s="211">
        <f t="shared" si="271"/>
        <v>14.365892526601057</v>
      </c>
      <c r="AM417" s="211">
        <f t="shared" si="271"/>
        <v>12.929303273940951</v>
      </c>
      <c r="AN417" s="211">
        <f t="shared" si="271"/>
        <v>11.636372946546857</v>
      </c>
    </row>
    <row r="418" spans="2:40" s="7" customFormat="1" ht="12" hidden="1" customHeight="1" outlineLevel="2">
      <c r="B418" s="245"/>
      <c r="C418" s="213" t="s">
        <v>753</v>
      </c>
      <c r="D418" s="213"/>
      <c r="E418" s="211">
        <f>INDEX($C$349:$AN$371,MATCH("New Customers 1MS",$C$349:$C$371,0),MATCH($C418,$C$349:$AN$349,0))</f>
        <v>36</v>
      </c>
      <c r="F418" s="211">
        <f t="shared" ref="F418:AN418" si="272">$E418*(E416)</f>
        <v>1.44</v>
      </c>
      <c r="G418" s="211">
        <f t="shared" si="272"/>
        <v>1.44</v>
      </c>
      <c r="H418" s="211">
        <f t="shared" si="272"/>
        <v>1.44</v>
      </c>
      <c r="I418" s="211">
        <f t="shared" si="272"/>
        <v>1.44</v>
      </c>
      <c r="J418" s="211">
        <f t="shared" si="272"/>
        <v>1.08</v>
      </c>
      <c r="K418" s="211">
        <f t="shared" si="272"/>
        <v>1.08</v>
      </c>
      <c r="L418" s="211">
        <f t="shared" si="272"/>
        <v>1.08</v>
      </c>
      <c r="M418" s="211">
        <f t="shared" si="272"/>
        <v>1.08</v>
      </c>
      <c r="N418" s="211">
        <f t="shared" si="272"/>
        <v>0.72</v>
      </c>
      <c r="O418" s="211">
        <f t="shared" si="272"/>
        <v>0.72</v>
      </c>
      <c r="P418" s="211">
        <f t="shared" si="272"/>
        <v>0.72</v>
      </c>
      <c r="Q418" s="211">
        <f t="shared" si="272"/>
        <v>1.08</v>
      </c>
      <c r="R418" s="211">
        <f t="shared" si="272"/>
        <v>1.08</v>
      </c>
      <c r="S418" s="211">
        <f t="shared" si="272"/>
        <v>0.36</v>
      </c>
      <c r="T418" s="211">
        <f t="shared" si="272"/>
        <v>0.36</v>
      </c>
      <c r="U418" s="211">
        <f t="shared" si="272"/>
        <v>0.36</v>
      </c>
      <c r="V418" s="211">
        <f t="shared" si="272"/>
        <v>0.36</v>
      </c>
      <c r="W418" s="211">
        <f t="shared" si="272"/>
        <v>0.36</v>
      </c>
      <c r="X418" s="211">
        <f t="shared" si="272"/>
        <v>0.36</v>
      </c>
      <c r="Y418" s="211">
        <f t="shared" si="272"/>
        <v>0.36</v>
      </c>
      <c r="Z418" s="211">
        <f t="shared" si="272"/>
        <v>0.36</v>
      </c>
      <c r="AA418" s="211">
        <f t="shared" si="272"/>
        <v>0.36</v>
      </c>
      <c r="AB418" s="211">
        <f t="shared" si="272"/>
        <v>0.36</v>
      </c>
      <c r="AC418" s="211">
        <f t="shared" si="272"/>
        <v>0.36</v>
      </c>
      <c r="AD418" s="211">
        <f t="shared" si="272"/>
        <v>0.36</v>
      </c>
      <c r="AE418" s="211">
        <f t="shared" si="272"/>
        <v>0.36</v>
      </c>
      <c r="AF418" s="211">
        <f t="shared" si="272"/>
        <v>0.36</v>
      </c>
      <c r="AG418" s="211">
        <f t="shared" si="272"/>
        <v>0.36</v>
      </c>
      <c r="AH418" s="211">
        <f t="shared" si="272"/>
        <v>0.36</v>
      </c>
      <c r="AI418" s="211">
        <f t="shared" si="272"/>
        <v>0.36</v>
      </c>
      <c r="AJ418" s="211">
        <f t="shared" si="272"/>
        <v>0.36</v>
      </c>
      <c r="AK418" s="211">
        <f t="shared" si="272"/>
        <v>0.36</v>
      </c>
      <c r="AL418" s="211">
        <f t="shared" si="272"/>
        <v>0.36</v>
      </c>
      <c r="AM418" s="211">
        <f t="shared" si="272"/>
        <v>0.36</v>
      </c>
      <c r="AN418" s="211">
        <f t="shared" si="272"/>
        <v>0.36</v>
      </c>
    </row>
    <row r="419" spans="2:40" s="7" customFormat="1" ht="12" hidden="1" customHeight="1" outlineLevel="2">
      <c r="B419" s="245"/>
      <c r="C419" s="213" t="s">
        <v>754</v>
      </c>
      <c r="D419" s="213"/>
      <c r="E419" s="213"/>
      <c r="F419" s="211">
        <f>INDEX($C$349:$AN$371,MATCH("New Customers 1MS",$C$349:$C$371,0),MATCH($C419,$C$349:$AN$349,0))</f>
        <v>18.000000000000004</v>
      </c>
      <c r="G419" s="211">
        <f t="shared" ref="G419:AN419" si="273">$F419*(E416)</f>
        <v>0.7200000000000002</v>
      </c>
      <c r="H419" s="211">
        <f t="shared" si="273"/>
        <v>0.7200000000000002</v>
      </c>
      <c r="I419" s="211">
        <f t="shared" si="273"/>
        <v>0.7200000000000002</v>
      </c>
      <c r="J419" s="211">
        <f t="shared" si="273"/>
        <v>0.7200000000000002</v>
      </c>
      <c r="K419" s="211">
        <f t="shared" si="273"/>
        <v>0.54</v>
      </c>
      <c r="L419" s="211">
        <f t="shared" si="273"/>
        <v>0.54</v>
      </c>
      <c r="M419" s="211">
        <f t="shared" si="273"/>
        <v>0.54</v>
      </c>
      <c r="N419" s="211">
        <f t="shared" si="273"/>
        <v>0.54</v>
      </c>
      <c r="O419" s="211">
        <f t="shared" si="273"/>
        <v>0.3600000000000001</v>
      </c>
      <c r="P419" s="211">
        <f t="shared" si="273"/>
        <v>0.3600000000000001</v>
      </c>
      <c r="Q419" s="211">
        <f t="shared" si="273"/>
        <v>0.3600000000000001</v>
      </c>
      <c r="R419" s="211">
        <f t="shared" si="273"/>
        <v>0.54</v>
      </c>
      <c r="S419" s="211">
        <f t="shared" si="273"/>
        <v>0.54</v>
      </c>
      <c r="T419" s="211">
        <f t="shared" si="273"/>
        <v>0.18000000000000005</v>
      </c>
      <c r="U419" s="211">
        <f t="shared" si="273"/>
        <v>0.18000000000000005</v>
      </c>
      <c r="V419" s="211">
        <f t="shared" si="273"/>
        <v>0.18000000000000005</v>
      </c>
      <c r="W419" s="211">
        <f t="shared" si="273"/>
        <v>0.18000000000000005</v>
      </c>
      <c r="X419" s="211">
        <f t="shared" si="273"/>
        <v>0.18000000000000005</v>
      </c>
      <c r="Y419" s="211">
        <f t="shared" si="273"/>
        <v>0.18000000000000005</v>
      </c>
      <c r="Z419" s="211">
        <f t="shared" si="273"/>
        <v>0.18000000000000005</v>
      </c>
      <c r="AA419" s="211">
        <f t="shared" si="273"/>
        <v>0.18000000000000005</v>
      </c>
      <c r="AB419" s="211">
        <f t="shared" si="273"/>
        <v>0.18000000000000005</v>
      </c>
      <c r="AC419" s="211">
        <f t="shared" si="273"/>
        <v>0.18000000000000005</v>
      </c>
      <c r="AD419" s="211">
        <f t="shared" si="273"/>
        <v>0.18000000000000005</v>
      </c>
      <c r="AE419" s="211">
        <f t="shared" si="273"/>
        <v>0.18000000000000005</v>
      </c>
      <c r="AF419" s="211">
        <f t="shared" si="273"/>
        <v>0.18000000000000005</v>
      </c>
      <c r="AG419" s="211">
        <f t="shared" si="273"/>
        <v>0.18000000000000005</v>
      </c>
      <c r="AH419" s="211">
        <f t="shared" si="273"/>
        <v>0.18000000000000005</v>
      </c>
      <c r="AI419" s="211">
        <f t="shared" si="273"/>
        <v>0.18000000000000005</v>
      </c>
      <c r="AJ419" s="211">
        <f t="shared" si="273"/>
        <v>0.18000000000000005</v>
      </c>
      <c r="AK419" s="211">
        <f t="shared" si="273"/>
        <v>0.18000000000000005</v>
      </c>
      <c r="AL419" s="211">
        <f t="shared" si="273"/>
        <v>0.18000000000000005</v>
      </c>
      <c r="AM419" s="211">
        <f t="shared" si="273"/>
        <v>0.18000000000000005</v>
      </c>
      <c r="AN419" s="211">
        <f t="shared" si="273"/>
        <v>0.18000000000000005</v>
      </c>
    </row>
    <row r="420" spans="2:40" s="7" customFormat="1" ht="12" hidden="1" customHeight="1" outlineLevel="2">
      <c r="B420" s="245"/>
      <c r="C420" s="213" t="s">
        <v>755</v>
      </c>
      <c r="D420" s="213"/>
      <c r="E420" s="213"/>
      <c r="G420" s="211">
        <f>INDEX($C$349:$AN$371,MATCH("New Customers 1MS",$C$349:$C$371,0),MATCH($C420,$C$349:$AN$349,0))</f>
        <v>11.000000000000002</v>
      </c>
      <c r="H420" s="211">
        <f>G420*(E416)</f>
        <v>0.44000000000000006</v>
      </c>
      <c r="I420" s="211">
        <f>G420*(F416)</f>
        <v>0.44000000000000006</v>
      </c>
      <c r="J420" s="211">
        <f>G420*(G416)</f>
        <v>0.44000000000000006</v>
      </c>
      <c r="K420" s="211">
        <f>G420*(H416)</f>
        <v>0.44000000000000006</v>
      </c>
      <c r="L420" s="211">
        <f>G420*(I416)</f>
        <v>0.33</v>
      </c>
      <c r="M420" s="211">
        <f>G420*(J416)</f>
        <v>0.33</v>
      </c>
      <c r="N420" s="211">
        <f>G420*(K416)</f>
        <v>0.33</v>
      </c>
      <c r="O420" s="211">
        <f>G420*(L416)</f>
        <v>0.33</v>
      </c>
      <c r="P420" s="211">
        <f>G420*(M416)</f>
        <v>0.22000000000000003</v>
      </c>
      <c r="Q420" s="211">
        <f>G420*(N416)</f>
        <v>0.22000000000000003</v>
      </c>
      <c r="R420" s="211">
        <f>G420*(O416)</f>
        <v>0.22000000000000003</v>
      </c>
      <c r="S420" s="211">
        <f>G420*(P416)</f>
        <v>0.33</v>
      </c>
      <c r="T420" s="211">
        <f>G420*(Q416)</f>
        <v>0.33</v>
      </c>
      <c r="U420" s="211">
        <f>G420*(R416)</f>
        <v>0.11000000000000001</v>
      </c>
      <c r="V420" s="211">
        <f>G420*(S416)</f>
        <v>0.11000000000000001</v>
      </c>
      <c r="W420" s="211">
        <f>G420*(T416)</f>
        <v>0.11000000000000001</v>
      </c>
      <c r="X420" s="211">
        <f>G420*(U416)</f>
        <v>0.11000000000000001</v>
      </c>
      <c r="Y420" s="211">
        <f>G420*(V416)</f>
        <v>0.11000000000000001</v>
      </c>
      <c r="Z420" s="211">
        <f>G420*(W416)</f>
        <v>0.11000000000000001</v>
      </c>
      <c r="AA420" s="211">
        <f>G420*(X416)</f>
        <v>0.11000000000000001</v>
      </c>
      <c r="AB420" s="211">
        <f>G420*(Y416)</f>
        <v>0.11000000000000001</v>
      </c>
      <c r="AC420" s="211">
        <f>G420*(Z416)</f>
        <v>0.11000000000000001</v>
      </c>
      <c r="AD420" s="211">
        <f>G420*(AA416)</f>
        <v>0.11000000000000001</v>
      </c>
      <c r="AE420" s="211">
        <f>G420*(AB416)</f>
        <v>0.11000000000000001</v>
      </c>
      <c r="AF420" s="211">
        <f>G420*(AC416)</f>
        <v>0.11000000000000001</v>
      </c>
      <c r="AG420" s="211">
        <f>G420*(AD416)</f>
        <v>0.11000000000000001</v>
      </c>
      <c r="AH420" s="211">
        <f>G420*(AE416)</f>
        <v>0.11000000000000001</v>
      </c>
      <c r="AI420" s="211">
        <f>G420*(AF416)</f>
        <v>0.11000000000000001</v>
      </c>
      <c r="AJ420" s="211">
        <f>G420*(AG416)</f>
        <v>0.11000000000000001</v>
      </c>
      <c r="AK420" s="211">
        <f>G420*(AH416)</f>
        <v>0.11000000000000001</v>
      </c>
      <c r="AL420" s="211">
        <f>G420*(AI416)</f>
        <v>0.11000000000000001</v>
      </c>
      <c r="AM420" s="211">
        <f>G420*(AJ416)</f>
        <v>0.11000000000000001</v>
      </c>
      <c r="AN420" s="211">
        <f>G420*(AK416)</f>
        <v>0.11000000000000001</v>
      </c>
    </row>
    <row r="421" spans="2:40" s="7" customFormat="1" ht="12" hidden="1" customHeight="1" outlineLevel="2">
      <c r="B421" s="245"/>
      <c r="C421" s="213" t="s">
        <v>756</v>
      </c>
      <c r="D421" s="213"/>
      <c r="E421" s="213"/>
      <c r="F421" s="213"/>
      <c r="G421" s="213"/>
      <c r="H421" s="211">
        <f>INDEX($C$349:$AN$371,MATCH("New Customers 1MS",$C$349:$C$371,0),MATCH($C421,$C$349:$AN$349,0))</f>
        <v>14.000000000000028</v>
      </c>
      <c r="I421" s="211">
        <f>H421*(E416)</f>
        <v>0.56000000000000116</v>
      </c>
      <c r="J421" s="211">
        <f>H421*(F416)</f>
        <v>0.56000000000000116</v>
      </c>
      <c r="K421" s="211">
        <f>H421*(G416)</f>
        <v>0.56000000000000116</v>
      </c>
      <c r="L421" s="211">
        <f>H421*(H416)</f>
        <v>0.56000000000000116</v>
      </c>
      <c r="M421" s="211">
        <f>H421*(I416)</f>
        <v>0.42000000000000082</v>
      </c>
      <c r="N421" s="211">
        <f>H421*(J416)</f>
        <v>0.42000000000000082</v>
      </c>
      <c r="O421" s="211">
        <f>H421*(K416)</f>
        <v>0.42000000000000082</v>
      </c>
      <c r="P421" s="211">
        <f>H421*(L416)</f>
        <v>0.42000000000000082</v>
      </c>
      <c r="Q421" s="211">
        <f>H421*(M416)</f>
        <v>0.28000000000000058</v>
      </c>
      <c r="R421" s="211">
        <f>H421*(N416)</f>
        <v>0.28000000000000058</v>
      </c>
      <c r="S421" s="211">
        <f>H421*(O416)</f>
        <v>0.28000000000000058</v>
      </c>
      <c r="T421" s="211">
        <f>H421*(P416)</f>
        <v>0.42000000000000082</v>
      </c>
      <c r="U421" s="211">
        <f>H421*(Q416)</f>
        <v>0.42000000000000082</v>
      </c>
      <c r="V421" s="211">
        <f>H421*(R416)</f>
        <v>0.14000000000000029</v>
      </c>
      <c r="W421" s="211">
        <f>H421*(S416)</f>
        <v>0.14000000000000029</v>
      </c>
      <c r="X421" s="211">
        <f>H421*(T416)</f>
        <v>0.14000000000000029</v>
      </c>
      <c r="Y421" s="211">
        <f>H421*(U416)</f>
        <v>0.14000000000000029</v>
      </c>
      <c r="Z421" s="211">
        <f>H421*(V416)</f>
        <v>0.14000000000000029</v>
      </c>
      <c r="AA421" s="211">
        <f>H421*(W416)</f>
        <v>0.14000000000000029</v>
      </c>
      <c r="AB421" s="211">
        <f>H421*(X416)</f>
        <v>0.14000000000000029</v>
      </c>
      <c r="AC421" s="211">
        <f>H421*(Y416)</f>
        <v>0.14000000000000029</v>
      </c>
      <c r="AD421" s="211">
        <f>H421*(Z416)</f>
        <v>0.14000000000000029</v>
      </c>
      <c r="AE421" s="211">
        <f>H421*(AA416)</f>
        <v>0.14000000000000029</v>
      </c>
      <c r="AF421" s="211">
        <f>H421*(AB416)</f>
        <v>0.14000000000000029</v>
      </c>
      <c r="AG421" s="211">
        <f>H421*(AC416)</f>
        <v>0.14000000000000029</v>
      </c>
      <c r="AH421" s="211">
        <f>H421*(AD416)</f>
        <v>0.14000000000000029</v>
      </c>
      <c r="AI421" s="211">
        <f>H421*(AE416)</f>
        <v>0.14000000000000029</v>
      </c>
      <c r="AJ421" s="211">
        <f>H421*(AF416)</f>
        <v>0.14000000000000029</v>
      </c>
      <c r="AK421" s="211">
        <f>H421*(AG416)</f>
        <v>0.14000000000000029</v>
      </c>
      <c r="AL421" s="211">
        <f>H421*(AH416)</f>
        <v>0.14000000000000029</v>
      </c>
      <c r="AM421" s="211">
        <f>H421*(AI416)</f>
        <v>0.14000000000000029</v>
      </c>
      <c r="AN421" s="211">
        <f>H421*(AJ416)</f>
        <v>0.14000000000000029</v>
      </c>
    </row>
    <row r="422" spans="2:40" s="7" customFormat="1" ht="12" hidden="1" customHeight="1" outlineLevel="2">
      <c r="B422" s="245"/>
      <c r="C422" s="213" t="s">
        <v>757</v>
      </c>
      <c r="D422" s="213"/>
      <c r="E422" s="213"/>
      <c r="F422" s="213"/>
      <c r="G422" s="213"/>
      <c r="H422" s="213"/>
      <c r="I422" s="211">
        <f>INDEX($C$349:$AN$371,MATCH("New Customers 1MS",$C$349:$C$371,0),MATCH($C422,$C$349:$AN$349,0))</f>
        <v>27.000000000000011</v>
      </c>
      <c r="J422" s="211">
        <f>I422*(E416)</f>
        <v>1.0800000000000005</v>
      </c>
      <c r="K422" s="211">
        <f>I422*(F416)</f>
        <v>1.0800000000000005</v>
      </c>
      <c r="L422" s="211">
        <f>I422*(G416)</f>
        <v>1.0800000000000005</v>
      </c>
      <c r="M422" s="211">
        <f>I422*(H416)</f>
        <v>1.0800000000000005</v>
      </c>
      <c r="N422" s="211">
        <f>I422*(I416)</f>
        <v>0.81000000000000028</v>
      </c>
      <c r="O422" s="211">
        <f>I422*(J416)</f>
        <v>0.81000000000000028</v>
      </c>
      <c r="P422" s="211">
        <f>I422*(K416)</f>
        <v>0.81000000000000028</v>
      </c>
      <c r="Q422" s="211">
        <f>I422*(L416)</f>
        <v>0.81000000000000028</v>
      </c>
      <c r="R422" s="211">
        <f>I422*(M416)</f>
        <v>0.54000000000000026</v>
      </c>
      <c r="S422" s="211">
        <f>I422*(N416)</f>
        <v>0.54000000000000026</v>
      </c>
      <c r="T422" s="211">
        <f>I422*(O416)</f>
        <v>0.54000000000000026</v>
      </c>
      <c r="U422" s="211">
        <f>I422*(P416)</f>
        <v>0.81000000000000028</v>
      </c>
      <c r="V422" s="211">
        <f>I422*(Q416)</f>
        <v>0.81000000000000028</v>
      </c>
      <c r="W422" s="211">
        <f>I422*(R416)</f>
        <v>0.27000000000000013</v>
      </c>
      <c r="X422" s="211">
        <f>I422*(S416)</f>
        <v>0.27000000000000013</v>
      </c>
      <c r="Y422" s="211">
        <f>I422*(T416)</f>
        <v>0.27000000000000013</v>
      </c>
      <c r="Z422" s="211">
        <f>I422*(U416)</f>
        <v>0.27000000000000013</v>
      </c>
      <c r="AA422" s="211">
        <f>I422*(V416)</f>
        <v>0.27000000000000013</v>
      </c>
      <c r="AB422" s="211">
        <f>I422*(W416)</f>
        <v>0.27000000000000013</v>
      </c>
      <c r="AC422" s="211">
        <f>I422*(X416)</f>
        <v>0.27000000000000013</v>
      </c>
      <c r="AD422" s="211">
        <f>I422*(Y416)</f>
        <v>0.27000000000000013</v>
      </c>
      <c r="AE422" s="211">
        <f>I422*(Z416)</f>
        <v>0.27000000000000013</v>
      </c>
      <c r="AF422" s="211">
        <f>I422*(AA416)</f>
        <v>0.27000000000000013</v>
      </c>
      <c r="AG422" s="211">
        <f>I422*(AB416)</f>
        <v>0.27000000000000013</v>
      </c>
      <c r="AH422" s="211">
        <f>I422*(AC416)</f>
        <v>0.27000000000000013</v>
      </c>
      <c r="AI422" s="211">
        <f>I422*(AD416)</f>
        <v>0.27000000000000013</v>
      </c>
      <c r="AJ422" s="211">
        <f>I422*(AE416)</f>
        <v>0.27000000000000013</v>
      </c>
      <c r="AK422" s="211">
        <f>I422*(AF416)</f>
        <v>0.27000000000000013</v>
      </c>
      <c r="AL422" s="211">
        <f>I422*(AG416)</f>
        <v>0.27000000000000013</v>
      </c>
      <c r="AM422" s="211">
        <f>I422*(AH416)</f>
        <v>0.27000000000000013</v>
      </c>
      <c r="AN422" s="211">
        <f>I422*(AI416)</f>
        <v>0.27000000000000013</v>
      </c>
    </row>
    <row r="423" spans="2:40" s="7" customFormat="1" ht="12" hidden="1" customHeight="1" outlineLevel="2">
      <c r="B423" s="245"/>
      <c r="C423" s="213" t="s">
        <v>758</v>
      </c>
      <c r="D423" s="213"/>
      <c r="E423" s="213"/>
      <c r="F423" s="213"/>
      <c r="G423" s="213"/>
      <c r="H423" s="213"/>
      <c r="I423" s="213"/>
      <c r="J423" s="211">
        <f>INDEX($C$349:$AN$371,MATCH("New Customers 1MS",$C$349:$C$371,0),MATCH($C423,$C$349:$AN$349,0))</f>
        <v>22</v>
      </c>
      <c r="K423" s="211">
        <f>J423*(E416)</f>
        <v>0.88</v>
      </c>
      <c r="L423" s="211">
        <f>J423*(F416)</f>
        <v>0.88</v>
      </c>
      <c r="M423" s="211">
        <f>J423*(G416)</f>
        <v>0.88</v>
      </c>
      <c r="N423" s="211">
        <f>J423*(H416)</f>
        <v>0.88</v>
      </c>
      <c r="O423" s="211">
        <f>J423*(I416)</f>
        <v>0.65999999999999992</v>
      </c>
      <c r="P423" s="211">
        <f>J423*(J416)</f>
        <v>0.65999999999999992</v>
      </c>
      <c r="Q423" s="211">
        <f>J423*(K416)</f>
        <v>0.65999999999999992</v>
      </c>
      <c r="R423" s="211">
        <f>J423*(L416)</f>
        <v>0.65999999999999992</v>
      </c>
      <c r="S423" s="211">
        <f>J423*(M416)</f>
        <v>0.44</v>
      </c>
      <c r="T423" s="211">
        <f>J423*(N416)</f>
        <v>0.44</v>
      </c>
      <c r="U423" s="211">
        <f>J423*(O416)</f>
        <v>0.44</v>
      </c>
      <c r="V423" s="211">
        <f>J423*(P416)</f>
        <v>0.65999999999999992</v>
      </c>
      <c r="W423" s="211">
        <f>J423*(Q416)</f>
        <v>0.65999999999999992</v>
      </c>
      <c r="X423" s="211">
        <f>J423*(R416)</f>
        <v>0.22</v>
      </c>
      <c r="Y423" s="211">
        <f>J423*(S416)</f>
        <v>0.22</v>
      </c>
      <c r="Z423" s="211">
        <f>J423*(T416)</f>
        <v>0.22</v>
      </c>
      <c r="AA423" s="211">
        <f>J423*(U416)</f>
        <v>0.22</v>
      </c>
      <c r="AB423" s="211">
        <f>J423*(V416)</f>
        <v>0.22</v>
      </c>
      <c r="AC423" s="211">
        <f>J423*(W416)</f>
        <v>0.22</v>
      </c>
      <c r="AD423" s="211">
        <f>J423*(X416)</f>
        <v>0.22</v>
      </c>
      <c r="AE423" s="211">
        <f>J423*(Y416)</f>
        <v>0.22</v>
      </c>
      <c r="AF423" s="211">
        <f>J423*(Z416)</f>
        <v>0.22</v>
      </c>
      <c r="AG423" s="211">
        <f>J423*(AA416)</f>
        <v>0.22</v>
      </c>
      <c r="AH423" s="211">
        <f>J423*(AB416)</f>
        <v>0.22</v>
      </c>
      <c r="AI423" s="211">
        <f>J423*(AC416)</f>
        <v>0.22</v>
      </c>
      <c r="AJ423" s="211">
        <f>J423*(AD416)</f>
        <v>0.22</v>
      </c>
      <c r="AK423" s="211">
        <f>J423*(AE416)</f>
        <v>0.22</v>
      </c>
      <c r="AL423" s="211">
        <f>J423*(AF416)</f>
        <v>0.22</v>
      </c>
      <c r="AM423" s="211">
        <f>J423*(AG416)</f>
        <v>0.22</v>
      </c>
      <c r="AN423" s="211">
        <f>J423*(AH416)</f>
        <v>0.22</v>
      </c>
    </row>
    <row r="424" spans="2:40" s="7" customFormat="1" ht="12" hidden="1" customHeight="1" outlineLevel="2">
      <c r="B424" s="245"/>
      <c r="C424" s="213" t="s">
        <v>759</v>
      </c>
      <c r="D424" s="213"/>
      <c r="E424" s="213"/>
      <c r="F424" s="213"/>
      <c r="G424" s="213"/>
      <c r="H424" s="213"/>
      <c r="I424" s="213"/>
      <c r="J424" s="213"/>
      <c r="K424" s="211">
        <f>INDEX($C$349:$AN$371,MATCH("New Customers 1MS",$C$349:$C$371,0),MATCH($C424,$C$349:$AN$349,0))</f>
        <v>15</v>
      </c>
      <c r="L424" s="211">
        <f>K424*(E416)</f>
        <v>0.6</v>
      </c>
      <c r="M424" s="211">
        <f>K424*(F416)</f>
        <v>0.6</v>
      </c>
      <c r="N424" s="211">
        <f>K424*(G416)</f>
        <v>0.6</v>
      </c>
      <c r="O424" s="211">
        <f>K424*(H416)</f>
        <v>0.6</v>
      </c>
      <c r="P424" s="211">
        <f>K424*(I416)</f>
        <v>0.44999999999999996</v>
      </c>
      <c r="Q424" s="211">
        <f>K424*(J416)</f>
        <v>0.44999999999999996</v>
      </c>
      <c r="R424" s="211">
        <f>K424*(K416)</f>
        <v>0.44999999999999996</v>
      </c>
      <c r="S424" s="211">
        <f>K424*(L416)</f>
        <v>0.44999999999999996</v>
      </c>
      <c r="T424" s="211">
        <f>K424*(M416)</f>
        <v>0.3</v>
      </c>
      <c r="U424" s="211">
        <f>K424*(N416)</f>
        <v>0.3</v>
      </c>
      <c r="V424" s="211">
        <f>K424*(O416)</f>
        <v>0.3</v>
      </c>
      <c r="W424" s="211">
        <f>K424*(P416)</f>
        <v>0.44999999999999996</v>
      </c>
      <c r="X424" s="211">
        <f>K424*(Q416)</f>
        <v>0.44999999999999996</v>
      </c>
      <c r="Y424" s="211">
        <f>K424*(R416)</f>
        <v>0.15</v>
      </c>
      <c r="Z424" s="211">
        <f>K424*(S416)</f>
        <v>0.15</v>
      </c>
      <c r="AA424" s="211">
        <f>K424*(T416)</f>
        <v>0.15</v>
      </c>
      <c r="AB424" s="211">
        <f>K424*(U416)</f>
        <v>0.15</v>
      </c>
      <c r="AC424" s="211">
        <f>K424*(V416)</f>
        <v>0.15</v>
      </c>
      <c r="AD424" s="211">
        <f>K424*(W416)</f>
        <v>0.15</v>
      </c>
      <c r="AE424" s="211">
        <f>K424*(X416)</f>
        <v>0.15</v>
      </c>
      <c r="AF424" s="211">
        <f>K424*(Y416)</f>
        <v>0.15</v>
      </c>
      <c r="AG424" s="211">
        <f>K424*(Z416)</f>
        <v>0.15</v>
      </c>
      <c r="AH424" s="211">
        <f>K424*(AA416)</f>
        <v>0.15</v>
      </c>
      <c r="AI424" s="211">
        <f>K424*(AB416)</f>
        <v>0.15</v>
      </c>
      <c r="AJ424" s="211">
        <f>K424*(AC416)</f>
        <v>0.15</v>
      </c>
      <c r="AK424" s="211">
        <f>K424*(AD416)</f>
        <v>0.15</v>
      </c>
      <c r="AL424" s="211">
        <f>K424*(AE416)</f>
        <v>0.15</v>
      </c>
      <c r="AM424" s="211">
        <f>K424*(AF416)</f>
        <v>0.15</v>
      </c>
      <c r="AN424" s="211">
        <f>K424*(AG416)</f>
        <v>0.15</v>
      </c>
    </row>
    <row r="425" spans="2:40" s="7" customFormat="1" ht="12" hidden="1" customHeight="1" outlineLevel="2">
      <c r="B425" s="245"/>
      <c r="C425" s="213" t="s">
        <v>760</v>
      </c>
      <c r="D425" s="213"/>
      <c r="E425" s="213"/>
      <c r="F425" s="213"/>
      <c r="G425" s="213"/>
      <c r="H425" s="213"/>
      <c r="I425" s="213"/>
      <c r="J425" s="213"/>
      <c r="K425" s="213"/>
      <c r="L425" s="211">
        <f>INDEX($C$349:$AN$371,MATCH("New Customers 1MS",$C$349:$C$371,0),MATCH($C425,$C$349:$AN$349,0))</f>
        <v>22</v>
      </c>
      <c r="M425" s="211">
        <f>L425*(E416)</f>
        <v>0.88</v>
      </c>
      <c r="N425" s="211">
        <f>L425*(F416)</f>
        <v>0.88</v>
      </c>
      <c r="O425" s="211">
        <f>L425*(G416)</f>
        <v>0.88</v>
      </c>
      <c r="P425" s="211">
        <f>L425*(H416)</f>
        <v>0.88</v>
      </c>
      <c r="Q425" s="211">
        <f>L425*(I416)</f>
        <v>0.65999999999999992</v>
      </c>
      <c r="R425" s="211">
        <f>L425*(J416)</f>
        <v>0.65999999999999992</v>
      </c>
      <c r="S425" s="211">
        <f>L425*(K416)</f>
        <v>0.65999999999999992</v>
      </c>
      <c r="T425" s="211">
        <f>L425*(L416)</f>
        <v>0.65999999999999992</v>
      </c>
      <c r="U425" s="211">
        <f>L425*(M416)</f>
        <v>0.44</v>
      </c>
      <c r="V425" s="211">
        <f>L425*(N416)</f>
        <v>0.44</v>
      </c>
      <c r="W425" s="211">
        <f>L425*(O416)</f>
        <v>0.44</v>
      </c>
      <c r="X425" s="211">
        <f>L425*(P416)</f>
        <v>0.65999999999999992</v>
      </c>
      <c r="Y425" s="211">
        <f>L425*(Q416)</f>
        <v>0.65999999999999992</v>
      </c>
      <c r="Z425" s="211">
        <f>L425*(R416)</f>
        <v>0.22</v>
      </c>
      <c r="AA425" s="211">
        <f>L425*(S416)</f>
        <v>0.22</v>
      </c>
      <c r="AB425" s="211">
        <f>L425*(T416)</f>
        <v>0.22</v>
      </c>
      <c r="AC425" s="211">
        <f>L425*(U416)</f>
        <v>0.22</v>
      </c>
      <c r="AD425" s="211">
        <f>L425*(V416)</f>
        <v>0.22</v>
      </c>
      <c r="AE425" s="211">
        <f>L425*(W416)</f>
        <v>0.22</v>
      </c>
      <c r="AF425" s="211">
        <f>L425*(X416)</f>
        <v>0.22</v>
      </c>
      <c r="AG425" s="211">
        <f>L425*(Y416)</f>
        <v>0.22</v>
      </c>
      <c r="AH425" s="211">
        <f>L425*(Z416)</f>
        <v>0.22</v>
      </c>
      <c r="AI425" s="211">
        <f>L425*(AA416)</f>
        <v>0.22</v>
      </c>
      <c r="AJ425" s="211">
        <f>L425*(AB416)</f>
        <v>0.22</v>
      </c>
      <c r="AK425" s="211">
        <f>L425*(AC416)</f>
        <v>0.22</v>
      </c>
      <c r="AL425" s="211">
        <f>L425*(AD416)</f>
        <v>0.22</v>
      </c>
      <c r="AM425" s="211">
        <f>L425*(AE416)</f>
        <v>0.22</v>
      </c>
      <c r="AN425" s="211">
        <f>L425*(AF416)</f>
        <v>0.22</v>
      </c>
    </row>
    <row r="426" spans="2:40" s="7" customFormat="1" ht="12" hidden="1" customHeight="1" outlineLevel="2">
      <c r="B426" s="245"/>
      <c r="C426" s="213" t="s">
        <v>761</v>
      </c>
      <c r="D426" s="213"/>
      <c r="E426" s="213"/>
      <c r="F426" s="213"/>
      <c r="G426" s="213"/>
      <c r="H426" s="213"/>
      <c r="I426" s="213"/>
      <c r="J426" s="213"/>
      <c r="K426" s="213"/>
      <c r="L426" s="213"/>
      <c r="M426" s="211">
        <f>INDEX($C$349:$AN$371,MATCH("New Customers 1MS",$C$349:$C$371,0),MATCH($C426,$C$349:$AN$349,0))</f>
        <v>76.067796610169495</v>
      </c>
      <c r="N426" s="211">
        <f>M426*(E416)</f>
        <v>3.0427118644067797</v>
      </c>
      <c r="O426" s="211">
        <f>M426*(F416)</f>
        <v>3.0427118644067797</v>
      </c>
      <c r="P426" s="211">
        <f>M426*(G416)</f>
        <v>3.0427118644067797</v>
      </c>
      <c r="Q426" s="211">
        <f>M426*(H416)</f>
        <v>3.0427118644067797</v>
      </c>
      <c r="R426" s="211">
        <f>M426*(I416)</f>
        <v>2.2820338983050847</v>
      </c>
      <c r="S426" s="211">
        <f>M426*(J416)</f>
        <v>2.2820338983050847</v>
      </c>
      <c r="T426" s="211">
        <f>M426*(K416)</f>
        <v>2.2820338983050847</v>
      </c>
      <c r="U426" s="211">
        <f>M426*(L416)</f>
        <v>2.2820338983050847</v>
      </c>
      <c r="V426" s="211">
        <f>M426*(M416)</f>
        <v>1.5213559322033898</v>
      </c>
      <c r="W426" s="211">
        <f>M426*(N416)</f>
        <v>1.5213559322033898</v>
      </c>
      <c r="X426" s="211">
        <f>M426*(O416)</f>
        <v>1.5213559322033898</v>
      </c>
      <c r="Y426" s="211">
        <f>M426*(P416)</f>
        <v>2.2820338983050847</v>
      </c>
      <c r="Z426" s="211">
        <f>M426*(Q416)</f>
        <v>2.2820338983050847</v>
      </c>
      <c r="AA426" s="211">
        <f>M426*(R416)</f>
        <v>0.76067796610169491</v>
      </c>
      <c r="AB426" s="211">
        <f>M426*(S416)</f>
        <v>0.76067796610169491</v>
      </c>
      <c r="AC426" s="211">
        <f>M426*(T416)</f>
        <v>0.76067796610169491</v>
      </c>
      <c r="AD426" s="211">
        <f>M426*(U416)</f>
        <v>0.76067796610169491</v>
      </c>
      <c r="AE426" s="211">
        <f>M426*(V416)</f>
        <v>0.76067796610169491</v>
      </c>
      <c r="AF426" s="211">
        <f>M426*(W416)</f>
        <v>0.76067796610169491</v>
      </c>
      <c r="AG426" s="211">
        <f>M426*(X416)</f>
        <v>0.76067796610169491</v>
      </c>
      <c r="AH426" s="211">
        <f>M426*(Y416)</f>
        <v>0.76067796610169491</v>
      </c>
      <c r="AI426" s="211">
        <f>M426*(Z416)</f>
        <v>0.76067796610169491</v>
      </c>
      <c r="AJ426" s="211">
        <f>M426*(AA416)</f>
        <v>0.76067796610169491</v>
      </c>
      <c r="AK426" s="211">
        <f>M426*(AB416)</f>
        <v>0.76067796610169491</v>
      </c>
      <c r="AL426" s="211">
        <f>M426*(AC416)</f>
        <v>0.76067796610169491</v>
      </c>
      <c r="AM426" s="211">
        <f>M426*(AD416)</f>
        <v>0.76067796610169491</v>
      </c>
      <c r="AN426" s="211">
        <f>M426*(AE416)</f>
        <v>0.76067796610169491</v>
      </c>
    </row>
    <row r="427" spans="2:40" s="7" customFormat="1" ht="12" hidden="1" customHeight="1" outlineLevel="2">
      <c r="B427" s="245"/>
      <c r="C427" s="213" t="s">
        <v>762</v>
      </c>
      <c r="D427" s="213"/>
      <c r="E427" s="213"/>
      <c r="F427" s="213"/>
      <c r="G427" s="213"/>
      <c r="H427" s="213"/>
      <c r="I427" s="213"/>
      <c r="J427" s="213"/>
      <c r="K427" s="213"/>
      <c r="L427" s="213"/>
      <c r="M427" s="213"/>
      <c r="N427" s="211">
        <f>INDEX($C$349:$AN$371,MATCH("New Customers 1MS",$C$349:$C$371,0),MATCH($C427,$C$349:$AN$349,0))</f>
        <v>76.067796610169495</v>
      </c>
      <c r="O427" s="211">
        <f>N427*(E416)</f>
        <v>3.0427118644067797</v>
      </c>
      <c r="P427" s="211">
        <f>N427*(F416)</f>
        <v>3.0427118644067797</v>
      </c>
      <c r="Q427" s="211">
        <f>N427*(G416)</f>
        <v>3.0427118644067797</v>
      </c>
      <c r="R427" s="211">
        <f>N427*(H416)</f>
        <v>3.0427118644067797</v>
      </c>
      <c r="S427" s="211">
        <f>N427*(I416)</f>
        <v>2.2820338983050847</v>
      </c>
      <c r="T427" s="211">
        <f>N427*(J416)</f>
        <v>2.2820338983050847</v>
      </c>
      <c r="U427" s="211">
        <f>N427*(K416)</f>
        <v>2.2820338983050847</v>
      </c>
      <c r="V427" s="211">
        <f>N427*(L416)</f>
        <v>2.2820338983050847</v>
      </c>
      <c r="W427" s="211">
        <f>N427*(M416)</f>
        <v>1.5213559322033898</v>
      </c>
      <c r="X427" s="211">
        <f>N427*(N416)</f>
        <v>1.5213559322033898</v>
      </c>
      <c r="Y427" s="211">
        <f>N427*(O416)</f>
        <v>1.5213559322033898</v>
      </c>
      <c r="Z427" s="211">
        <f>N427*(P416)</f>
        <v>2.2820338983050847</v>
      </c>
      <c r="AA427" s="211">
        <f>N427*(Q416)</f>
        <v>2.2820338983050847</v>
      </c>
      <c r="AB427" s="211">
        <f>N427*(R416)</f>
        <v>0.76067796610169491</v>
      </c>
      <c r="AC427" s="211">
        <f>N427*(S416)</f>
        <v>0.76067796610169491</v>
      </c>
      <c r="AD427" s="211">
        <f>N427*(T416)</f>
        <v>0.76067796610169491</v>
      </c>
      <c r="AE427" s="211">
        <f>N427*(U416)</f>
        <v>0.76067796610169491</v>
      </c>
      <c r="AF427" s="211">
        <f>N427*(V416)</f>
        <v>0.76067796610169491</v>
      </c>
      <c r="AG427" s="211">
        <f>N427*(W416)</f>
        <v>0.76067796610169491</v>
      </c>
      <c r="AH427" s="211">
        <f>N427*(X416)</f>
        <v>0.76067796610169491</v>
      </c>
      <c r="AI427" s="211">
        <f>N427*(Y416)</f>
        <v>0.76067796610169491</v>
      </c>
      <c r="AJ427" s="211">
        <f>N427*(Z416)</f>
        <v>0.76067796610169491</v>
      </c>
      <c r="AK427" s="211">
        <f>N427*(AA416)</f>
        <v>0.76067796610169491</v>
      </c>
      <c r="AL427" s="211">
        <f>N427*(AB416)</f>
        <v>0.76067796610169491</v>
      </c>
      <c r="AM427" s="211">
        <f>N427*(AC416)</f>
        <v>0.76067796610169491</v>
      </c>
      <c r="AN427" s="211">
        <f>N427*(AD416)</f>
        <v>0.76067796610169491</v>
      </c>
    </row>
    <row r="428" spans="2:40" s="7" customFormat="1" ht="12" hidden="1" customHeight="1" outlineLevel="2">
      <c r="B428" s="245"/>
      <c r="C428" s="213" t="s">
        <v>763</v>
      </c>
      <c r="D428" s="213"/>
      <c r="E428" s="213"/>
      <c r="F428" s="213"/>
      <c r="G428" s="213"/>
      <c r="H428" s="213"/>
      <c r="I428" s="213"/>
      <c r="J428" s="213"/>
      <c r="K428" s="213"/>
      <c r="L428" s="213"/>
      <c r="M428" s="213"/>
      <c r="N428" s="213"/>
      <c r="O428" s="211">
        <f>INDEX($C$349:$AN$371,MATCH("New Customers 1MS",$C$349:$C$371,0),MATCH($C428,$C$349:$AN$349,0))</f>
        <v>30.427118644067797</v>
      </c>
      <c r="P428" s="211">
        <f>O428*(E416)</f>
        <v>1.2170847457627119</v>
      </c>
      <c r="Q428" s="211">
        <f>O428*(F416)</f>
        <v>1.2170847457627119</v>
      </c>
      <c r="R428" s="211">
        <f>O428*(G416)</f>
        <v>1.2170847457627119</v>
      </c>
      <c r="S428" s="211">
        <f>O428*(H416)</f>
        <v>1.2170847457627119</v>
      </c>
      <c r="T428" s="211">
        <f>O428*(I416)</f>
        <v>0.9128135593220339</v>
      </c>
      <c r="U428" s="211">
        <f>O428*(J416)</f>
        <v>0.9128135593220339</v>
      </c>
      <c r="V428" s="211">
        <f>O428*(K416)</f>
        <v>0.9128135593220339</v>
      </c>
      <c r="W428" s="211">
        <f>O428*(L416)</f>
        <v>0.9128135593220339</v>
      </c>
      <c r="X428" s="211">
        <f>O428*(M416)</f>
        <v>0.60854237288135593</v>
      </c>
      <c r="Y428" s="211">
        <f>O428*(N416)</f>
        <v>0.60854237288135593</v>
      </c>
      <c r="Z428" s="211">
        <f>O428*(O416)</f>
        <v>0.60854237288135593</v>
      </c>
      <c r="AA428" s="211">
        <f>O428*(P416)</f>
        <v>0.9128135593220339</v>
      </c>
      <c r="AB428" s="211">
        <f>O428*(Q416)</f>
        <v>0.9128135593220339</v>
      </c>
      <c r="AC428" s="211">
        <f>O428*(R416)</f>
        <v>0.30427118644067797</v>
      </c>
      <c r="AD428" s="211">
        <f>O428*(S416)</f>
        <v>0.30427118644067797</v>
      </c>
      <c r="AE428" s="211">
        <f>O428*(T416)</f>
        <v>0.30427118644067797</v>
      </c>
      <c r="AF428" s="211">
        <f>O428*(U416)</f>
        <v>0.30427118644067797</v>
      </c>
      <c r="AG428" s="211">
        <f>O428*(V416)</f>
        <v>0.30427118644067797</v>
      </c>
      <c r="AH428" s="211">
        <f>O428*(W416)</f>
        <v>0.30427118644067797</v>
      </c>
      <c r="AI428" s="211">
        <f>O428*(X416)</f>
        <v>0.30427118644067797</v>
      </c>
      <c r="AJ428" s="211">
        <f>O428*(Y416)</f>
        <v>0.30427118644067797</v>
      </c>
      <c r="AK428" s="211">
        <f>O428*(Z416)</f>
        <v>0.30427118644067797</v>
      </c>
      <c r="AL428" s="211">
        <f>O428*(AA416)</f>
        <v>0.30427118644067797</v>
      </c>
      <c r="AM428" s="211">
        <f>O428*(AB416)</f>
        <v>0.30427118644067797</v>
      </c>
      <c r="AN428" s="211">
        <f>O428*(AC416)</f>
        <v>0.30427118644067797</v>
      </c>
    </row>
    <row r="429" spans="2:40" s="7" customFormat="1" ht="12" hidden="1" customHeight="1" outlineLevel="2">
      <c r="B429" s="245"/>
      <c r="C429" s="213" t="s">
        <v>764</v>
      </c>
      <c r="D429" s="213"/>
      <c r="E429" s="213"/>
      <c r="F429" s="213"/>
      <c r="G429" s="213"/>
      <c r="H429" s="213"/>
      <c r="I429" s="213"/>
      <c r="J429" s="213"/>
      <c r="K429" s="213"/>
      <c r="L429" s="213"/>
      <c r="M429" s="213"/>
      <c r="N429" s="213"/>
      <c r="O429" s="213"/>
      <c r="P429" s="211">
        <f>INDEX($C$349:$AN$371,MATCH("New Customers 1MS",$C$349:$C$371,0),MATCH($C429,$C$349:$AN$349,0))</f>
        <v>30.427118644067797</v>
      </c>
      <c r="Q429" s="211">
        <f>P429*(E416)</f>
        <v>1.2170847457627119</v>
      </c>
      <c r="R429" s="211">
        <f>P429*(F416)</f>
        <v>1.2170847457627119</v>
      </c>
      <c r="S429" s="211">
        <f>P429*(G416)</f>
        <v>1.2170847457627119</v>
      </c>
      <c r="T429" s="211">
        <f>P429*(H416)</f>
        <v>1.2170847457627119</v>
      </c>
      <c r="U429" s="211">
        <f>P429*(I416)</f>
        <v>0.9128135593220339</v>
      </c>
      <c r="V429" s="211">
        <f>P429*(J416)</f>
        <v>0.9128135593220339</v>
      </c>
      <c r="W429" s="211">
        <f>P429*(K416)</f>
        <v>0.9128135593220339</v>
      </c>
      <c r="X429" s="211">
        <f>P429*(L416)</f>
        <v>0.9128135593220339</v>
      </c>
      <c r="Y429" s="211">
        <f>P429*(M416)</f>
        <v>0.60854237288135593</v>
      </c>
      <c r="Z429" s="211">
        <f>P429*(N416)</f>
        <v>0.60854237288135593</v>
      </c>
      <c r="AA429" s="211">
        <f>P429*(O416)</f>
        <v>0.60854237288135593</v>
      </c>
      <c r="AB429" s="211">
        <f>P429*(P416)</f>
        <v>0.9128135593220339</v>
      </c>
      <c r="AC429" s="211">
        <f>P429*(Q416)</f>
        <v>0.9128135593220339</v>
      </c>
      <c r="AD429" s="211">
        <f>P429*(R416)</f>
        <v>0.30427118644067797</v>
      </c>
      <c r="AE429" s="211">
        <f>P429*(S416)</f>
        <v>0.30427118644067797</v>
      </c>
      <c r="AF429" s="211">
        <f>P429*(T416)</f>
        <v>0.30427118644067797</v>
      </c>
      <c r="AG429" s="211">
        <f>P429*(U416)</f>
        <v>0.30427118644067797</v>
      </c>
      <c r="AH429" s="211">
        <f>P429*(V416)</f>
        <v>0.30427118644067797</v>
      </c>
      <c r="AI429" s="211">
        <f>P429*(W416)</f>
        <v>0.30427118644067797</v>
      </c>
      <c r="AJ429" s="211">
        <f>P429*(X416)</f>
        <v>0.30427118644067797</v>
      </c>
      <c r="AK429" s="211">
        <f>P429*(Y416)</f>
        <v>0.30427118644067797</v>
      </c>
      <c r="AL429" s="211">
        <f>P429*(Z416)</f>
        <v>0.30427118644067797</v>
      </c>
      <c r="AM429" s="211">
        <f>P429*(AA416)</f>
        <v>0.30427118644067797</v>
      </c>
      <c r="AN429" s="211">
        <f>P429*(AB416)</f>
        <v>0.30427118644067797</v>
      </c>
    </row>
    <row r="430" spans="2:40" s="7" customFormat="1" ht="12" hidden="1" customHeight="1" outlineLevel="2">
      <c r="B430" s="245"/>
      <c r="C430" s="213" t="s">
        <v>765</v>
      </c>
      <c r="D430" s="213"/>
      <c r="E430" s="213"/>
      <c r="F430" s="213"/>
      <c r="G430" s="213"/>
      <c r="H430" s="213"/>
      <c r="I430" s="213"/>
      <c r="J430" s="213"/>
      <c r="K430" s="213"/>
      <c r="L430" s="213"/>
      <c r="M430" s="213"/>
      <c r="N430" s="213"/>
      <c r="O430" s="213"/>
      <c r="P430" s="213"/>
      <c r="Q430" s="211">
        <f>INDEX($C$349:$AN$371,MATCH("New Customers 1MS",$C$349:$C$371,0),MATCH($C430,$C$349:$AN$349,0))</f>
        <v>26.878365762711866</v>
      </c>
      <c r="R430" s="211">
        <f>Q430*(E416)</f>
        <v>1.0751346305084746</v>
      </c>
      <c r="S430" s="211">
        <f>Q430*(F416)</f>
        <v>1.0751346305084746</v>
      </c>
      <c r="T430" s="211">
        <f>Q430*(G416)</f>
        <v>1.0751346305084746</v>
      </c>
      <c r="U430" s="211">
        <f>Q430*(H416)</f>
        <v>1.0751346305084746</v>
      </c>
      <c r="V430" s="211">
        <f>Q430*(I416)</f>
        <v>0.80635097288135593</v>
      </c>
      <c r="W430" s="211">
        <f>Q430*(J416)</f>
        <v>0.80635097288135593</v>
      </c>
      <c r="X430" s="211">
        <f>Q430*(K416)</f>
        <v>0.80635097288135593</v>
      </c>
      <c r="Y430" s="211">
        <f>Q430*(L416)</f>
        <v>0.80635097288135593</v>
      </c>
      <c r="Z430" s="211">
        <f>Q430*(M416)</f>
        <v>0.53756731525423729</v>
      </c>
      <c r="AA430" s="211">
        <f>Q430*(N416)</f>
        <v>0.53756731525423729</v>
      </c>
      <c r="AB430" s="211">
        <f>Q430*(O416)</f>
        <v>0.53756731525423729</v>
      </c>
      <c r="AC430" s="211">
        <f>Q430*(P416)</f>
        <v>0.80635097288135593</v>
      </c>
      <c r="AD430" s="211">
        <f>Q430*(Q416)</f>
        <v>0.80635097288135593</v>
      </c>
      <c r="AE430" s="211">
        <f>Q430*(R416)</f>
        <v>0.26878365762711864</v>
      </c>
      <c r="AF430" s="211">
        <f>Q430*(S416)</f>
        <v>0.26878365762711864</v>
      </c>
      <c r="AG430" s="211">
        <f>Q430*(T416)</f>
        <v>0.26878365762711864</v>
      </c>
      <c r="AH430" s="211">
        <f>Q430*(U416)</f>
        <v>0.26878365762711864</v>
      </c>
      <c r="AI430" s="211">
        <f>Q430*(V416)</f>
        <v>0.26878365762711864</v>
      </c>
      <c r="AJ430" s="211">
        <f>Q430*(W416)</f>
        <v>0.26878365762711864</v>
      </c>
      <c r="AK430" s="211">
        <f>Q430*(X416)</f>
        <v>0.26878365762711864</v>
      </c>
      <c r="AL430" s="211">
        <f>Q430*(Y416)</f>
        <v>0.26878365762711864</v>
      </c>
      <c r="AM430" s="211">
        <f>Q430*(Z416)</f>
        <v>0.26878365762711864</v>
      </c>
      <c r="AN430" s="211">
        <f>Q430*(AA416)</f>
        <v>0.26878365762711864</v>
      </c>
    </row>
    <row r="431" spans="2:40" s="7" customFormat="1" ht="12" hidden="1" customHeight="1" outlineLevel="2">
      <c r="B431" s="245"/>
      <c r="C431" s="213" t="s">
        <v>766</v>
      </c>
      <c r="D431" s="213"/>
      <c r="E431" s="213"/>
      <c r="F431" s="213"/>
      <c r="G431" s="213"/>
      <c r="H431" s="213"/>
      <c r="I431" s="213"/>
      <c r="J431" s="213"/>
      <c r="K431" s="213"/>
      <c r="L431" s="213"/>
      <c r="M431" s="213"/>
      <c r="N431" s="213"/>
      <c r="O431" s="213"/>
      <c r="P431" s="213"/>
      <c r="Q431" s="213"/>
      <c r="R431" s="211">
        <f>INDEX($C$349:$AN$371,MATCH("New Customers 1MS",$C$349:$C$371,0),MATCH($C431,$C$349:$AN$349,0))</f>
        <v>125.78000338983051</v>
      </c>
      <c r="S431" s="211">
        <f>R431*(E416)</f>
        <v>5.0312001355932203</v>
      </c>
      <c r="T431" s="211">
        <f>R431*(F416)</f>
        <v>5.0312001355932203</v>
      </c>
      <c r="U431" s="211">
        <f>R431*(G416)</f>
        <v>5.0312001355932203</v>
      </c>
      <c r="V431" s="211">
        <f>R431*(H416)</f>
        <v>5.0312001355932203</v>
      </c>
      <c r="W431" s="211">
        <f>R431*(I416)</f>
        <v>3.7734001016949152</v>
      </c>
      <c r="X431" s="211">
        <f>R431*(J416)</f>
        <v>3.7734001016949152</v>
      </c>
      <c r="Y431" s="211">
        <f>R431*(K416)</f>
        <v>3.7734001016949152</v>
      </c>
      <c r="Z431" s="211">
        <f>R431*(L416)</f>
        <v>3.7734001016949152</v>
      </c>
      <c r="AA431" s="211">
        <f>R431*(M416)</f>
        <v>2.5156000677966102</v>
      </c>
      <c r="AB431" s="211">
        <f>R431*(N416)</f>
        <v>2.5156000677966102</v>
      </c>
      <c r="AC431" s="211">
        <f>R431*(O416)</f>
        <v>2.5156000677966102</v>
      </c>
      <c r="AD431" s="211">
        <f>R431*(P416)</f>
        <v>3.7734001016949152</v>
      </c>
      <c r="AE431" s="211">
        <f>R431*(Q416)</f>
        <v>3.7734001016949152</v>
      </c>
      <c r="AF431" s="211">
        <f>R431*(R416)</f>
        <v>1.2578000338983051</v>
      </c>
      <c r="AG431" s="211">
        <f>R431*(S416)</f>
        <v>1.2578000338983051</v>
      </c>
      <c r="AH431" s="211">
        <f>R431*(T416)</f>
        <v>1.2578000338983051</v>
      </c>
      <c r="AI431" s="211">
        <f>R431*(U416)</f>
        <v>1.2578000338983051</v>
      </c>
      <c r="AJ431" s="211">
        <f>R431*(V416)</f>
        <v>1.2578000338983051</v>
      </c>
      <c r="AK431" s="211">
        <f>R431*(W416)</f>
        <v>1.2578000338983051</v>
      </c>
      <c r="AL431" s="211">
        <f>R431*(X416)</f>
        <v>1.2578000338983051</v>
      </c>
      <c r="AM431" s="211">
        <f>R431*(Y416)</f>
        <v>1.2578000338983051</v>
      </c>
      <c r="AN431" s="211">
        <f>R431*(Z416)</f>
        <v>1.2578000338983051</v>
      </c>
    </row>
    <row r="432" spans="2:40" s="7" customFormat="1" ht="12" hidden="1" customHeight="1" outlineLevel="2">
      <c r="B432" s="245"/>
      <c r="C432" s="213" t="s">
        <v>767</v>
      </c>
      <c r="D432" s="213"/>
      <c r="E432" s="213"/>
      <c r="F432" s="213"/>
      <c r="G432" s="213"/>
      <c r="H432" s="213"/>
      <c r="I432" s="213"/>
      <c r="J432" s="213"/>
      <c r="K432" s="213"/>
      <c r="L432" s="213"/>
      <c r="M432" s="213"/>
      <c r="N432" s="213"/>
      <c r="O432" s="213"/>
      <c r="P432" s="213"/>
      <c r="Q432" s="213"/>
      <c r="R432" s="213"/>
      <c r="S432" s="211">
        <f>INDEX($C$349:$AN$371,MATCH("New Customers 1MS",$C$349:$C$371,0),MATCH($C432,$C$349:$AN$349,0))</f>
        <v>104.86345118644068</v>
      </c>
      <c r="T432" s="211">
        <f>S432*(E416)</f>
        <v>4.1945380474576277</v>
      </c>
      <c r="U432" s="211">
        <f>S432*(F416)</f>
        <v>4.1945380474576277</v>
      </c>
      <c r="V432" s="211">
        <f>S432*(G416)</f>
        <v>4.1945380474576277</v>
      </c>
      <c r="W432" s="211">
        <f>S432*(H416)</f>
        <v>4.1945380474576277</v>
      </c>
      <c r="X432" s="211">
        <f>S432*(I416)</f>
        <v>3.1459035355932206</v>
      </c>
      <c r="Y432" s="211">
        <f>S432*(J416)</f>
        <v>3.1459035355932206</v>
      </c>
      <c r="Z432" s="211">
        <f>S432*(K416)</f>
        <v>3.1459035355932206</v>
      </c>
      <c r="AA432" s="211">
        <f>S432*(L416)</f>
        <v>3.1459035355932206</v>
      </c>
      <c r="AB432" s="211">
        <f>S432*(M416)</f>
        <v>2.0972690237288139</v>
      </c>
      <c r="AC432" s="211">
        <f>S432*(N416)</f>
        <v>2.0972690237288139</v>
      </c>
      <c r="AD432" s="211">
        <f>S432*(O416)</f>
        <v>2.0972690237288139</v>
      </c>
      <c r="AE432" s="211">
        <f>S432*(P416)</f>
        <v>3.1459035355932206</v>
      </c>
      <c r="AF432" s="211">
        <f>S432*(Q416)</f>
        <v>3.1459035355932206</v>
      </c>
      <c r="AG432" s="211">
        <f>S432*(R416)</f>
        <v>1.0486345118644069</v>
      </c>
      <c r="AH432" s="211">
        <f>S432*(S416)</f>
        <v>1.0486345118644069</v>
      </c>
      <c r="AI432" s="211">
        <f>S432*(T416)</f>
        <v>1.0486345118644069</v>
      </c>
      <c r="AJ432" s="211">
        <f>S432*(U416)</f>
        <v>1.0486345118644069</v>
      </c>
      <c r="AK432" s="211">
        <f>S432*(V416)</f>
        <v>1.0486345118644069</v>
      </c>
      <c r="AL432" s="211">
        <f>S432*(W416)</f>
        <v>1.0486345118644069</v>
      </c>
      <c r="AM432" s="211">
        <f>S432*(X416)</f>
        <v>1.0486345118644069</v>
      </c>
      <c r="AN432" s="211">
        <f>S432*(Y416)</f>
        <v>1.0486345118644069</v>
      </c>
    </row>
    <row r="433" spans="2:40" s="7" customFormat="1" ht="12" hidden="1" customHeight="1" outlineLevel="2">
      <c r="B433" s="245"/>
      <c r="C433" s="213" t="s">
        <v>768</v>
      </c>
      <c r="D433" s="213"/>
      <c r="E433" s="213"/>
      <c r="F433" s="213"/>
      <c r="G433" s="213"/>
      <c r="H433" s="213"/>
      <c r="I433" s="213"/>
      <c r="J433" s="213"/>
      <c r="K433" s="213"/>
      <c r="L433" s="213"/>
      <c r="M433" s="213"/>
      <c r="N433" s="213"/>
      <c r="O433" s="213"/>
      <c r="P433" s="213"/>
      <c r="Q433" s="213"/>
      <c r="R433" s="213"/>
      <c r="S433" s="213"/>
      <c r="T433" s="211">
        <f>INDEX($C$349:$AN$371,MATCH("New Customers 1MS",$C$349:$C$371,0),MATCH($C433,$C$349:$AN$349,0))</f>
        <v>12.796980508474579</v>
      </c>
      <c r="U433" s="211">
        <f>T433*(E416)</f>
        <v>0.51187922033898314</v>
      </c>
      <c r="V433" s="211">
        <f>T433*(F416)</f>
        <v>0.51187922033898314</v>
      </c>
      <c r="W433" s="211">
        <f>T433*(G416)</f>
        <v>0.51187922033898314</v>
      </c>
      <c r="X433" s="211">
        <f>T433*(H416)</f>
        <v>0.51187922033898314</v>
      </c>
      <c r="Y433" s="211">
        <f>T433*(I416)</f>
        <v>0.38390941525423739</v>
      </c>
      <c r="Z433" s="211">
        <f>T433*(J416)</f>
        <v>0.38390941525423739</v>
      </c>
      <c r="AA433" s="211">
        <f>T433*(K416)</f>
        <v>0.38390941525423739</v>
      </c>
      <c r="AB433" s="211">
        <f>T433*(L416)</f>
        <v>0.38390941525423739</v>
      </c>
      <c r="AC433" s="211">
        <f>T433*(M416)</f>
        <v>0.25593961016949157</v>
      </c>
      <c r="AD433" s="211">
        <f>T433*(N416)</f>
        <v>0.25593961016949157</v>
      </c>
      <c r="AE433" s="211">
        <f>T433*(O416)</f>
        <v>0.25593961016949157</v>
      </c>
      <c r="AF433" s="211">
        <f>T433*(P416)</f>
        <v>0.38390941525423739</v>
      </c>
      <c r="AG433" s="211">
        <f>T433*(Q416)</f>
        <v>0.38390941525423739</v>
      </c>
      <c r="AH433" s="211">
        <f>T433*(R416)</f>
        <v>0.12796980508474579</v>
      </c>
      <c r="AI433" s="211">
        <f>T433*(S416)</f>
        <v>0.12796980508474579</v>
      </c>
      <c r="AJ433" s="211">
        <f>T433*(T416)</f>
        <v>0.12796980508474579</v>
      </c>
      <c r="AK433" s="211">
        <f>T433*(U416)</f>
        <v>0.12796980508474579</v>
      </c>
      <c r="AL433" s="211">
        <f>T433*(V416)</f>
        <v>0.12796980508474579</v>
      </c>
      <c r="AM433" s="211">
        <f>T433*(W416)</f>
        <v>0.12796980508474579</v>
      </c>
      <c r="AN433" s="211">
        <f>T433*(X416)</f>
        <v>0.12796980508474579</v>
      </c>
    </row>
    <row r="434" spans="2:40" s="7" customFormat="1" ht="12" hidden="1" customHeight="1" outlineLevel="2">
      <c r="B434" s="245"/>
      <c r="C434" s="213" t="s">
        <v>769</v>
      </c>
      <c r="D434" s="213"/>
      <c r="E434" s="213"/>
      <c r="F434" s="213"/>
      <c r="G434" s="213"/>
      <c r="H434" s="213"/>
      <c r="I434" s="213"/>
      <c r="J434" s="213"/>
      <c r="K434" s="213"/>
      <c r="L434" s="213"/>
      <c r="M434" s="213"/>
      <c r="N434" s="213"/>
      <c r="O434" s="213"/>
      <c r="P434" s="213"/>
      <c r="Q434" s="213"/>
      <c r="R434" s="213"/>
      <c r="S434" s="213"/>
      <c r="T434" s="213"/>
      <c r="U434" s="211">
        <f>INDEX($C$349:$AN$371,MATCH("New Customers 1MS",$C$349:$C$371,0),MATCH($C434,$C$349:$AN$349,0))</f>
        <v>22.769183389830513</v>
      </c>
      <c r="V434" s="211">
        <f>U434*(E416)</f>
        <v>0.91076733559322054</v>
      </c>
      <c r="W434" s="211">
        <f>U434*(F416)</f>
        <v>0.91076733559322054</v>
      </c>
      <c r="X434" s="211">
        <f>U434*(G416)</f>
        <v>0.91076733559322054</v>
      </c>
      <c r="Y434" s="211">
        <f>U434*(H416)</f>
        <v>0.91076733559322054</v>
      </c>
      <c r="Z434" s="211">
        <f>U434*(I416)</f>
        <v>0.68307550169491538</v>
      </c>
      <c r="AA434" s="211">
        <f>U434*(J416)</f>
        <v>0.68307550169491538</v>
      </c>
      <c r="AB434" s="211">
        <f>U434*(K416)</f>
        <v>0.68307550169491538</v>
      </c>
      <c r="AC434" s="211">
        <f>U434*(L416)</f>
        <v>0.68307550169491538</v>
      </c>
      <c r="AD434" s="211">
        <f>U434*(M416)</f>
        <v>0.45538366779661027</v>
      </c>
      <c r="AE434" s="211">
        <f>U434*(N416)</f>
        <v>0.45538366779661027</v>
      </c>
      <c r="AF434" s="211">
        <f>U434*(O416)</f>
        <v>0.45538366779661027</v>
      </c>
      <c r="AG434" s="211">
        <f>U434*(P416)</f>
        <v>0.68307550169491538</v>
      </c>
      <c r="AH434" s="211">
        <f>U434*(Q416)</f>
        <v>0.68307550169491538</v>
      </c>
      <c r="AI434" s="211">
        <f>U434*(R416)</f>
        <v>0.22769183389830513</v>
      </c>
      <c r="AJ434" s="211">
        <f>U434*(S416)</f>
        <v>0.22769183389830513</v>
      </c>
      <c r="AK434" s="211">
        <f>U434*(T416)</f>
        <v>0.22769183389830513</v>
      </c>
      <c r="AL434" s="211">
        <f>U434*(U416)</f>
        <v>0.22769183389830513</v>
      </c>
      <c r="AM434" s="211">
        <f>U434*(V416)</f>
        <v>0.22769183389830513</v>
      </c>
      <c r="AN434" s="211">
        <f>U434*(W416)</f>
        <v>0.22769183389830513</v>
      </c>
    </row>
    <row r="435" spans="2:40" s="7" customFormat="1" ht="12" hidden="1" customHeight="1" outlineLevel="2">
      <c r="B435" s="245"/>
      <c r="C435" s="213" t="s">
        <v>770</v>
      </c>
      <c r="D435" s="213"/>
      <c r="E435" s="213"/>
      <c r="F435" s="213"/>
      <c r="G435" s="213"/>
      <c r="H435" s="213"/>
      <c r="I435" s="213"/>
      <c r="J435" s="213"/>
      <c r="K435" s="213"/>
      <c r="L435" s="213"/>
      <c r="M435" s="213"/>
      <c r="N435" s="213"/>
      <c r="O435" s="213"/>
      <c r="P435" s="213"/>
      <c r="Q435" s="213"/>
      <c r="R435" s="213"/>
      <c r="S435" s="213"/>
      <c r="T435" s="213"/>
      <c r="U435" s="213"/>
      <c r="V435" s="211">
        <f>INDEX($C$349:$AN$371,MATCH("New Customers 1MS",$C$349:$C$371,0),MATCH($C435,$C$349:$AN$349,0))</f>
        <v>30.149471186440685</v>
      </c>
      <c r="W435" s="211">
        <f>V435*(E416)</f>
        <v>1.2059788474576274</v>
      </c>
      <c r="X435" s="211">
        <f>V435*(F416)</f>
        <v>1.2059788474576274</v>
      </c>
      <c r="Y435" s="211">
        <f>V435*(G416)</f>
        <v>1.2059788474576274</v>
      </c>
      <c r="Z435" s="211">
        <f>V435*(H416)</f>
        <v>1.2059788474576274</v>
      </c>
      <c r="AA435" s="211">
        <f>V435*(I416)</f>
        <v>0.9044841355932205</v>
      </c>
      <c r="AB435" s="211">
        <f>V435*(J416)</f>
        <v>0.9044841355932205</v>
      </c>
      <c r="AC435" s="211">
        <f>V435*(K416)</f>
        <v>0.9044841355932205</v>
      </c>
      <c r="AD435" s="211">
        <f>V435*(L416)</f>
        <v>0.9044841355932205</v>
      </c>
      <c r="AE435" s="211">
        <f>V435*(M416)</f>
        <v>0.6029894237288137</v>
      </c>
      <c r="AF435" s="211">
        <f>V435*(N416)</f>
        <v>0.6029894237288137</v>
      </c>
      <c r="AG435" s="211">
        <f>V435*(O416)</f>
        <v>0.6029894237288137</v>
      </c>
      <c r="AH435" s="211">
        <f>V435*(P416)</f>
        <v>0.9044841355932205</v>
      </c>
      <c r="AI435" s="211">
        <f>V435*(Q416)</f>
        <v>0.9044841355932205</v>
      </c>
      <c r="AJ435" s="211">
        <f>V435*(R416)</f>
        <v>0.30149471186440685</v>
      </c>
      <c r="AK435" s="211">
        <f>V435*(S416)</f>
        <v>0.30149471186440685</v>
      </c>
      <c r="AL435" s="211">
        <f>V435*(T416)</f>
        <v>0.30149471186440685</v>
      </c>
      <c r="AM435" s="211">
        <f>V435*(U416)</f>
        <v>0.30149471186440685</v>
      </c>
      <c r="AN435" s="211">
        <f>V435*(V416)</f>
        <v>0.30149471186440685</v>
      </c>
    </row>
    <row r="436" spans="2:40" s="7" customFormat="1" ht="12" hidden="1" customHeight="1" outlineLevel="2">
      <c r="B436" s="245"/>
      <c r="C436" s="213" t="s">
        <v>771</v>
      </c>
      <c r="D436" s="213"/>
      <c r="E436" s="213"/>
      <c r="F436" s="213"/>
      <c r="G436" s="213"/>
      <c r="H436" s="213"/>
      <c r="I436" s="213"/>
      <c r="J436" s="213"/>
      <c r="K436" s="213"/>
      <c r="L436" s="213"/>
      <c r="M436" s="213"/>
      <c r="N436" s="213"/>
      <c r="O436" s="213"/>
      <c r="P436" s="213"/>
      <c r="Q436" s="213"/>
      <c r="R436" s="213"/>
      <c r="S436" s="213"/>
      <c r="T436" s="213"/>
      <c r="U436" s="213"/>
      <c r="V436" s="213"/>
      <c r="W436" s="211">
        <f>INDEX($C$349:$AN$371,MATCH("New Customers 1MS",$C$349:$C$371,0),MATCH($C436,$C$349:$AN$349,0))</f>
        <v>16.054108474576271</v>
      </c>
      <c r="X436" s="211">
        <f>W436*(E416)</f>
        <v>0.64216433898305081</v>
      </c>
      <c r="Y436" s="211">
        <f>W436*(F416)</f>
        <v>0.64216433898305081</v>
      </c>
      <c r="Z436" s="211">
        <f>W436*(G416)</f>
        <v>0.64216433898305081</v>
      </c>
      <c r="AA436" s="211">
        <f>W436*(H416)</f>
        <v>0.64216433898305081</v>
      </c>
      <c r="AB436" s="211">
        <f>W436*(I416)</f>
        <v>0.48162325423728813</v>
      </c>
      <c r="AC436" s="211">
        <f>W436*(J416)</f>
        <v>0.48162325423728813</v>
      </c>
      <c r="AD436" s="211">
        <f>W436*(K416)</f>
        <v>0.48162325423728813</v>
      </c>
      <c r="AE436" s="211">
        <f>W436*(L416)</f>
        <v>0.48162325423728813</v>
      </c>
      <c r="AF436" s="211">
        <f>W436*(M416)</f>
        <v>0.3210821694915254</v>
      </c>
      <c r="AG436" s="211">
        <f>W436*(N416)</f>
        <v>0.3210821694915254</v>
      </c>
      <c r="AH436" s="211">
        <f>W436*(O416)</f>
        <v>0.3210821694915254</v>
      </c>
      <c r="AI436" s="211">
        <f>W436*(P416)</f>
        <v>0.48162325423728813</v>
      </c>
      <c r="AJ436" s="211">
        <f>W436*(Q416)</f>
        <v>0.48162325423728813</v>
      </c>
      <c r="AK436" s="211">
        <f>W436*(R416)</f>
        <v>0.1605410847457627</v>
      </c>
      <c r="AL436" s="211">
        <f>W436*(S416)</f>
        <v>0.1605410847457627</v>
      </c>
      <c r="AM436" s="211">
        <f>W436*(T416)</f>
        <v>0.1605410847457627</v>
      </c>
      <c r="AN436" s="211">
        <f>W436*(U416)</f>
        <v>0.1605410847457627</v>
      </c>
    </row>
    <row r="437" spans="2:40" s="7" customFormat="1" ht="12" hidden="1" customHeight="1" outlineLevel="2">
      <c r="B437" s="245"/>
      <c r="C437" s="213" t="s">
        <v>772</v>
      </c>
      <c r="D437" s="213"/>
      <c r="E437" s="213"/>
      <c r="F437" s="213"/>
      <c r="G437" s="213"/>
      <c r="H437" s="213"/>
      <c r="I437" s="213"/>
      <c r="J437" s="213"/>
      <c r="K437" s="213"/>
      <c r="L437" s="213"/>
      <c r="M437" s="213"/>
      <c r="N437" s="213"/>
      <c r="O437" s="213"/>
      <c r="P437" s="213"/>
      <c r="Q437" s="213"/>
      <c r="R437" s="213"/>
      <c r="S437" s="213"/>
      <c r="T437" s="213"/>
      <c r="U437" s="213"/>
      <c r="V437" s="213"/>
      <c r="W437" s="213"/>
      <c r="X437" s="211">
        <f>INDEX($C$349:$AN$371,MATCH("New Customers 1MS",$C$349:$C$371,0),MATCH($C437,$C$349:$AN$349,0))</f>
        <v>11.142030508474575</v>
      </c>
      <c r="Y437" s="211">
        <f>X437*(E416)</f>
        <v>0.445681220338983</v>
      </c>
      <c r="Z437" s="211">
        <f>X437*(F416)</f>
        <v>0.445681220338983</v>
      </c>
      <c r="AA437" s="211">
        <f>X437*(G416)</f>
        <v>0.445681220338983</v>
      </c>
      <c r="AB437" s="211">
        <f>X437*(H416)</f>
        <v>0.445681220338983</v>
      </c>
      <c r="AC437" s="211">
        <f>X437*(I416)</f>
        <v>0.33426091525423723</v>
      </c>
      <c r="AD437" s="211">
        <f>X437*(J416)</f>
        <v>0.33426091525423723</v>
      </c>
      <c r="AE437" s="211">
        <f>X437*(K416)</f>
        <v>0.33426091525423723</v>
      </c>
      <c r="AF437" s="211">
        <f>X437*(L416)</f>
        <v>0.33426091525423723</v>
      </c>
      <c r="AG437" s="211">
        <f>X437*(M416)</f>
        <v>0.2228406101694915</v>
      </c>
      <c r="AH437" s="211">
        <f>X437*(N416)</f>
        <v>0.2228406101694915</v>
      </c>
      <c r="AI437" s="211">
        <f>X437*(O416)</f>
        <v>0.2228406101694915</v>
      </c>
      <c r="AJ437" s="211">
        <f>X437*(P416)</f>
        <v>0.33426091525423723</v>
      </c>
      <c r="AK437" s="211">
        <f>X437*(Q416)</f>
        <v>0.33426091525423723</v>
      </c>
      <c r="AL437" s="211">
        <f>X437*(R416)</f>
        <v>0.11142030508474575</v>
      </c>
      <c r="AM437" s="211">
        <f>X437*(S416)</f>
        <v>0.11142030508474575</v>
      </c>
      <c r="AN437" s="211">
        <f>X437*(T416)</f>
        <v>0.11142030508474575</v>
      </c>
    </row>
    <row r="438" spans="2:40" s="7" customFormat="1" ht="12" hidden="1" customHeight="1" outlineLevel="2">
      <c r="B438" s="245"/>
      <c r="C438" s="213" t="s">
        <v>773</v>
      </c>
      <c r="D438" s="213"/>
      <c r="E438" s="213"/>
      <c r="F438" s="213"/>
      <c r="G438" s="213"/>
      <c r="H438" s="213"/>
      <c r="I438" s="213"/>
      <c r="J438" s="213"/>
      <c r="K438" s="213"/>
      <c r="L438" s="213"/>
      <c r="M438" s="213"/>
      <c r="N438" s="213"/>
      <c r="O438" s="213"/>
      <c r="P438" s="213"/>
      <c r="Q438" s="213"/>
      <c r="R438" s="213"/>
      <c r="S438" s="213"/>
      <c r="T438" s="213"/>
      <c r="U438" s="213"/>
      <c r="V438" s="213"/>
      <c r="W438" s="213"/>
      <c r="X438" s="213"/>
      <c r="Y438" s="211">
        <f>INDEX($C$349:$AN$371,MATCH("New Customers 1MS",$C$349:$C$371,0),MATCH($C438,$C$349:$AN$349,0))</f>
        <v>28.525423728813561</v>
      </c>
      <c r="Z438" s="211">
        <f>Y438*(E416)</f>
        <v>1.1410169491525424</v>
      </c>
      <c r="AA438" s="211">
        <f>Y438*(F416)</f>
        <v>1.1410169491525424</v>
      </c>
      <c r="AB438" s="211">
        <f>Y438*(G416)</f>
        <v>1.1410169491525424</v>
      </c>
      <c r="AC438" s="211">
        <f>Y438*(H416)</f>
        <v>1.1410169491525424</v>
      </c>
      <c r="AD438" s="211">
        <f>Y438*(I416)</f>
        <v>0.85576271186440678</v>
      </c>
      <c r="AE438" s="211">
        <f>Y438*(J416)</f>
        <v>0.85576271186440678</v>
      </c>
      <c r="AF438" s="211">
        <f>Y438*(K416)</f>
        <v>0.85576271186440678</v>
      </c>
      <c r="AG438" s="211">
        <f>Y438*(L416)</f>
        <v>0.85576271186440678</v>
      </c>
      <c r="AH438" s="211">
        <f>Y438*(M416)</f>
        <v>0.57050847457627119</v>
      </c>
      <c r="AI438" s="211">
        <f>Y438*(N416)</f>
        <v>0.57050847457627119</v>
      </c>
      <c r="AJ438" s="211">
        <f>Y438*(O416)</f>
        <v>0.57050847457627119</v>
      </c>
      <c r="AK438" s="211">
        <f>Y438*(P416)</f>
        <v>0.85576271186440678</v>
      </c>
      <c r="AL438" s="211">
        <f>Y438*(Q416)</f>
        <v>0.85576271186440678</v>
      </c>
      <c r="AM438" s="211">
        <f>Y438*(R416)</f>
        <v>0.28525423728813559</v>
      </c>
      <c r="AN438" s="211">
        <f>Y438*(S416)</f>
        <v>0.28525423728813559</v>
      </c>
    </row>
    <row r="439" spans="2:40" s="7" customFormat="1" ht="12" hidden="1" customHeight="1" outlineLevel="2">
      <c r="B439" s="245"/>
      <c r="C439" s="213" t="s">
        <v>774</v>
      </c>
      <c r="D439" s="213"/>
      <c r="E439" s="213"/>
      <c r="F439" s="213"/>
      <c r="G439" s="213"/>
      <c r="H439" s="213"/>
      <c r="I439" s="213"/>
      <c r="J439" s="213"/>
      <c r="K439" s="213"/>
      <c r="L439" s="213"/>
      <c r="M439" s="213"/>
      <c r="N439" s="213"/>
      <c r="O439" s="213"/>
      <c r="P439" s="213"/>
      <c r="Q439" s="213"/>
      <c r="R439" s="213"/>
      <c r="S439" s="213"/>
      <c r="T439" s="213"/>
      <c r="U439" s="213"/>
      <c r="V439" s="213"/>
      <c r="W439" s="213"/>
      <c r="X439" s="213"/>
      <c r="Y439" s="213"/>
      <c r="Z439" s="211">
        <f>INDEX($C$349:$AN$371,MATCH("New Customers 1MS",$C$349:$C$371,0),MATCH($C439,$C$349:$AN$349,0))</f>
        <v>28.525423728813561</v>
      </c>
      <c r="AA439" s="211">
        <f>Z439*(E416)</f>
        <v>1.1410169491525424</v>
      </c>
      <c r="AB439" s="211">
        <f>Z439*(F416)</f>
        <v>1.1410169491525424</v>
      </c>
      <c r="AC439" s="211">
        <f>Z439*(G416)</f>
        <v>1.1410169491525424</v>
      </c>
      <c r="AD439" s="211">
        <f>Z439*(H416)</f>
        <v>1.1410169491525424</v>
      </c>
      <c r="AE439" s="211">
        <f>Z439*(I416)</f>
        <v>0.85576271186440678</v>
      </c>
      <c r="AF439" s="211">
        <f>Z439*(J416)</f>
        <v>0.85576271186440678</v>
      </c>
      <c r="AG439" s="211">
        <f>Z439*(K416)</f>
        <v>0.85576271186440678</v>
      </c>
      <c r="AH439" s="211">
        <f>Z439*(L416)</f>
        <v>0.85576271186440678</v>
      </c>
      <c r="AI439" s="211">
        <f>Z439*(M416)</f>
        <v>0.57050847457627119</v>
      </c>
      <c r="AJ439" s="211">
        <f>Z439*(N416)</f>
        <v>0.57050847457627119</v>
      </c>
      <c r="AK439" s="211">
        <f>Z439*(O416)</f>
        <v>0.57050847457627119</v>
      </c>
      <c r="AL439" s="211">
        <f>Z439*(P416)</f>
        <v>0.85576271186440678</v>
      </c>
      <c r="AM439" s="211">
        <f>Z439*(Q416)</f>
        <v>0.85576271186440678</v>
      </c>
      <c r="AN439" s="211">
        <f>Z439*(R416)</f>
        <v>0.28525423728813559</v>
      </c>
    </row>
    <row r="440" spans="2:40" s="7" customFormat="1" ht="12" hidden="1" customHeight="1" outlineLevel="2">
      <c r="B440" s="245"/>
      <c r="C440" s="213" t="s">
        <v>775</v>
      </c>
      <c r="D440" s="213"/>
      <c r="E440" s="213"/>
      <c r="F440" s="213"/>
      <c r="G440" s="213"/>
      <c r="H440" s="213"/>
      <c r="I440" s="213"/>
      <c r="J440" s="213"/>
      <c r="K440" s="213"/>
      <c r="L440" s="213"/>
      <c r="M440" s="213"/>
      <c r="N440" s="213"/>
      <c r="O440" s="213"/>
      <c r="P440" s="213"/>
      <c r="Q440" s="213"/>
      <c r="R440" s="213"/>
      <c r="S440" s="213"/>
      <c r="T440" s="213"/>
      <c r="U440" s="213"/>
      <c r="V440" s="213"/>
      <c r="W440" s="213"/>
      <c r="X440" s="213"/>
      <c r="Y440" s="213"/>
      <c r="Z440" s="213"/>
      <c r="AA440" s="211">
        <f>INDEX($C$349:$AN$371,MATCH("New Customers 1MS",$C$349:$C$371,0),MATCH($C440,$C$349:$AN$349,0))</f>
        <v>15.213559322033898</v>
      </c>
      <c r="AB440" s="211">
        <f>AA440*(E416)</f>
        <v>0.60854237288135593</v>
      </c>
      <c r="AC440" s="211">
        <f>AA440*(F416)</f>
        <v>0.60854237288135593</v>
      </c>
      <c r="AD440" s="211">
        <f>AA440*(G416)</f>
        <v>0.60854237288135593</v>
      </c>
      <c r="AE440" s="211">
        <f>AA440*(H416)</f>
        <v>0.60854237288135593</v>
      </c>
      <c r="AF440" s="211">
        <f>AA440*(I416)</f>
        <v>0.45640677966101695</v>
      </c>
      <c r="AG440" s="211">
        <f>AA440*(J416)</f>
        <v>0.45640677966101695</v>
      </c>
      <c r="AH440" s="211">
        <f>AA440*(K416)</f>
        <v>0.45640677966101695</v>
      </c>
      <c r="AI440" s="211">
        <f>AA440*(L416)</f>
        <v>0.45640677966101695</v>
      </c>
      <c r="AJ440" s="211">
        <f>AA440*(M416)</f>
        <v>0.30427118644067797</v>
      </c>
      <c r="AK440" s="211">
        <f>AA440*(N416)</f>
        <v>0.30427118644067797</v>
      </c>
      <c r="AL440" s="211">
        <f>AA440*(O416)</f>
        <v>0.30427118644067797</v>
      </c>
      <c r="AM440" s="211">
        <f>AA440*(P416)</f>
        <v>0.45640677966101695</v>
      </c>
      <c r="AN440" s="211">
        <f>AA440*(Q416)</f>
        <v>0.45640677966101695</v>
      </c>
    </row>
    <row r="441" spans="2:40" s="7" customFormat="1" ht="12" hidden="1" customHeight="1" outlineLevel="2">
      <c r="B441" s="245"/>
      <c r="C441" s="213" t="s">
        <v>776</v>
      </c>
      <c r="D441" s="213"/>
      <c r="E441" s="213"/>
      <c r="F441" s="213"/>
      <c r="G441" s="213"/>
      <c r="H441" s="213"/>
      <c r="I441" s="213"/>
      <c r="J441" s="213"/>
      <c r="K441" s="213"/>
      <c r="L441" s="213"/>
      <c r="M441" s="213"/>
      <c r="N441" s="213"/>
      <c r="O441" s="213"/>
      <c r="P441" s="213"/>
      <c r="Q441" s="213"/>
      <c r="R441" s="213"/>
      <c r="S441" s="213"/>
      <c r="T441" s="213"/>
      <c r="U441" s="213"/>
      <c r="V441" s="213"/>
      <c r="W441" s="213"/>
      <c r="X441" s="213"/>
      <c r="Y441" s="213"/>
      <c r="Z441" s="213"/>
      <c r="AA441" s="213"/>
      <c r="AB441" s="211">
        <f>INDEX($C$349:$AN$371,MATCH("New Customers 1MS",$C$349:$C$371,0),MATCH($C441,$C$349:$AN$349,0))</f>
        <v>15.213559322033898</v>
      </c>
      <c r="AC441" s="211">
        <f>AB441*(E416)</f>
        <v>0.60854237288135593</v>
      </c>
      <c r="AD441" s="211">
        <f>AB441*(F416)</f>
        <v>0.60854237288135593</v>
      </c>
      <c r="AE441" s="211">
        <f>AB441*(G416)</f>
        <v>0.60854237288135593</v>
      </c>
      <c r="AF441" s="211">
        <f>AB441*(H416)</f>
        <v>0.60854237288135593</v>
      </c>
      <c r="AG441" s="211">
        <f>AB441*(I416)</f>
        <v>0.45640677966101695</v>
      </c>
      <c r="AH441" s="211">
        <f>AB441*(J416)</f>
        <v>0.45640677966101695</v>
      </c>
      <c r="AI441" s="211">
        <f>AB441*(K416)</f>
        <v>0.45640677966101695</v>
      </c>
      <c r="AJ441" s="211">
        <f>AB441*(L416)</f>
        <v>0.45640677966101695</v>
      </c>
      <c r="AK441" s="211">
        <f>AB441*(M416)</f>
        <v>0.30427118644067797</v>
      </c>
      <c r="AL441" s="211">
        <f>AB441*(N416)</f>
        <v>0.30427118644067797</v>
      </c>
      <c r="AM441" s="211">
        <f>AB441*(O416)</f>
        <v>0.30427118644067797</v>
      </c>
      <c r="AN441" s="211">
        <f>AB441*(P416)</f>
        <v>0.45640677966101695</v>
      </c>
    </row>
    <row r="442" spans="2:40" s="7" customFormat="1" ht="12" hidden="1" customHeight="1" outlineLevel="2">
      <c r="B442" s="245"/>
      <c r="C442" s="213" t="s">
        <v>777</v>
      </c>
      <c r="D442" s="213"/>
      <c r="E442" s="213"/>
      <c r="F442" s="213"/>
      <c r="G442" s="213"/>
      <c r="H442" s="213"/>
      <c r="I442" s="213"/>
      <c r="J442" s="213"/>
      <c r="K442" s="213"/>
      <c r="L442" s="213"/>
      <c r="M442" s="213"/>
      <c r="N442" s="213"/>
      <c r="O442" s="213"/>
      <c r="P442" s="213"/>
      <c r="Q442" s="213"/>
      <c r="R442" s="213"/>
      <c r="S442" s="213"/>
      <c r="T442" s="213"/>
      <c r="U442" s="213"/>
      <c r="V442" s="213"/>
      <c r="W442" s="213"/>
      <c r="X442" s="213"/>
      <c r="Y442" s="213"/>
      <c r="Z442" s="213"/>
      <c r="AA442" s="213"/>
      <c r="AB442" s="211"/>
      <c r="AC442" s="211">
        <f>INDEX($C$349:$AN$371,MATCH("New Customers 1MS",$C$349:$C$371,0),MATCH($C442,$C$349:$AN$349,0))</f>
        <v>8.9594552542372892</v>
      </c>
      <c r="AD442" s="211">
        <f>AC442*(E416)</f>
        <v>0.35837821016949156</v>
      </c>
      <c r="AE442" s="211">
        <f>AC442*($F$70)</f>
        <v>0</v>
      </c>
      <c r="AF442" s="211">
        <f>AC442*($G$70)</f>
        <v>0</v>
      </c>
      <c r="AG442" s="211">
        <f>AC442*($H$70)</f>
        <v>0</v>
      </c>
      <c r="AH442" s="211">
        <f>AC442*($I$70)</f>
        <v>0</v>
      </c>
      <c r="AI442" s="211">
        <f>AC442*($J$70)</f>
        <v>0</v>
      </c>
      <c r="AJ442" s="211">
        <f>AC442*($K$70)</f>
        <v>0</v>
      </c>
      <c r="AK442" s="211">
        <f>AC442*($L$70)</f>
        <v>0</v>
      </c>
      <c r="AL442" s="211">
        <f>AC442*($M$70)</f>
        <v>0</v>
      </c>
      <c r="AM442" s="211">
        <f>AC442*($N$70)</f>
        <v>0</v>
      </c>
      <c r="AN442" s="211">
        <f>AC442*(O416)</f>
        <v>0.17918910508474578</v>
      </c>
    </row>
    <row r="443" spans="2:40" s="7" customFormat="1" ht="12" hidden="1" customHeight="1" outlineLevel="2">
      <c r="B443" s="245"/>
      <c r="C443" s="213" t="s">
        <v>778</v>
      </c>
      <c r="D443" s="213"/>
      <c r="E443" s="213"/>
      <c r="F443" s="213"/>
      <c r="G443" s="213"/>
      <c r="H443" s="213"/>
      <c r="I443" s="213"/>
      <c r="J443" s="213"/>
      <c r="K443" s="213"/>
      <c r="L443" s="213"/>
      <c r="M443" s="213"/>
      <c r="N443" s="213"/>
      <c r="O443" s="213"/>
      <c r="P443" s="213"/>
      <c r="Q443" s="213"/>
      <c r="R443" s="213"/>
      <c r="S443" s="213"/>
      <c r="T443" s="213"/>
      <c r="U443" s="213"/>
      <c r="V443" s="213"/>
      <c r="W443" s="213"/>
      <c r="X443" s="213"/>
      <c r="Y443" s="213"/>
      <c r="Z443" s="213"/>
      <c r="AA443" s="213"/>
      <c r="AB443" s="211"/>
      <c r="AC443" s="211"/>
      <c r="AD443" s="211">
        <f>INDEX($C$349:$AN$371,MATCH("New Customers 1MS",$C$349:$C$371,0),MATCH($C443,$C$349:$AN$349,0))</f>
        <v>41.926667796610175</v>
      </c>
      <c r="AE443" s="211">
        <f>AD443*(E416)</f>
        <v>1.6770667118644071</v>
      </c>
      <c r="AF443" s="211">
        <f>AD443*($F$70)</f>
        <v>0</v>
      </c>
      <c r="AG443" s="211">
        <f>AD443*($G$70)</f>
        <v>0</v>
      </c>
      <c r="AH443" s="211">
        <f>AD443*($H$70)</f>
        <v>0</v>
      </c>
      <c r="AI443" s="211">
        <f>AD443*($I$70)</f>
        <v>0</v>
      </c>
      <c r="AJ443" s="211">
        <f>AD443*($J$70)</f>
        <v>0</v>
      </c>
      <c r="AK443" s="211">
        <f>AD443*($K$70)</f>
        <v>0</v>
      </c>
      <c r="AL443" s="211">
        <f>AD443*($L$70)</f>
        <v>0</v>
      </c>
      <c r="AM443" s="211">
        <f>AD443*($M$70)</f>
        <v>0</v>
      </c>
      <c r="AN443" s="211">
        <f>AD443*($N$70)</f>
        <v>0</v>
      </c>
    </row>
    <row r="444" spans="2:40" s="7" customFormat="1" ht="12" hidden="1" customHeight="1" outlineLevel="2">
      <c r="B444" s="245"/>
      <c r="C444" s="213" t="s">
        <v>779</v>
      </c>
      <c r="D444" s="213"/>
      <c r="E444" s="213"/>
      <c r="F444" s="213"/>
      <c r="G444" s="213"/>
      <c r="H444" s="213"/>
      <c r="I444" s="213"/>
      <c r="J444" s="213"/>
      <c r="K444" s="213"/>
      <c r="L444" s="213"/>
      <c r="M444" s="213"/>
      <c r="N444" s="213"/>
      <c r="O444" s="213"/>
      <c r="P444" s="213"/>
      <c r="Q444" s="213"/>
      <c r="R444" s="213"/>
      <c r="S444" s="213"/>
      <c r="T444" s="213"/>
      <c r="U444" s="213"/>
      <c r="V444" s="213"/>
      <c r="W444" s="213"/>
      <c r="X444" s="213"/>
      <c r="Y444" s="213"/>
      <c r="Z444" s="213"/>
      <c r="AA444" s="213"/>
      <c r="AB444" s="211"/>
      <c r="AC444" s="211"/>
      <c r="AD444" s="211"/>
      <c r="AE444" s="211">
        <f>INDEX($C$349:$AN$371,MATCH("New Customers 1MS",$C$349:$C$371,0),MATCH($C444,$C$349:$AN$349,0))</f>
        <v>34.954483728813564</v>
      </c>
      <c r="AF444" s="211">
        <f>AE444*(E416)</f>
        <v>1.3981793491525425</v>
      </c>
      <c r="AG444" s="211">
        <f>AE444*($F$70)</f>
        <v>0</v>
      </c>
      <c r="AH444" s="211">
        <f>AE444*($G$70)</f>
        <v>0</v>
      </c>
      <c r="AI444" s="211">
        <f>AE444*($H$70)</f>
        <v>0</v>
      </c>
      <c r="AJ444" s="211">
        <f>AE444*($I$70)</f>
        <v>0</v>
      </c>
      <c r="AK444" s="211">
        <f>AE444*($J$70)</f>
        <v>0</v>
      </c>
      <c r="AL444" s="211">
        <f>AE444*($K$70)</f>
        <v>0</v>
      </c>
      <c r="AM444" s="211">
        <f>AE444*($L$70)</f>
        <v>0</v>
      </c>
      <c r="AN444" s="211">
        <f>AE444*($M$70)</f>
        <v>0</v>
      </c>
    </row>
    <row r="445" spans="2:40" s="7" customFormat="1" ht="12" hidden="1" customHeight="1" outlineLevel="2">
      <c r="B445" s="245"/>
      <c r="C445" s="213" t="s">
        <v>780</v>
      </c>
      <c r="D445" s="213"/>
      <c r="E445" s="213"/>
      <c r="F445" s="213"/>
      <c r="G445" s="213"/>
      <c r="H445" s="213"/>
      <c r="I445" s="213"/>
      <c r="J445" s="213"/>
      <c r="K445" s="213"/>
      <c r="L445" s="213"/>
      <c r="M445" s="213"/>
      <c r="N445" s="213"/>
      <c r="O445" s="213"/>
      <c r="P445" s="213"/>
      <c r="Q445" s="213"/>
      <c r="R445" s="213"/>
      <c r="S445" s="213"/>
      <c r="T445" s="213"/>
      <c r="U445" s="213"/>
      <c r="V445" s="213"/>
      <c r="W445" s="213"/>
      <c r="X445" s="213"/>
      <c r="Y445" s="213"/>
      <c r="Z445" s="213"/>
      <c r="AA445" s="213"/>
      <c r="AB445" s="211"/>
      <c r="AC445" s="211"/>
      <c r="AD445" s="211"/>
      <c r="AE445" s="211"/>
      <c r="AF445" s="211">
        <f>INDEX($C$349:$AN$371,MATCH("New Customers 1MS",$C$349:$C$371,0),MATCH($C445,$C$349:$AN$349,0))</f>
        <v>12.796980508474579</v>
      </c>
      <c r="AG445" s="211">
        <f>AF445*(E416)</f>
        <v>0.51187922033898314</v>
      </c>
      <c r="AH445" s="211">
        <f>AF445*($F$70)</f>
        <v>0</v>
      </c>
      <c r="AI445" s="211">
        <f>AF445*($G$70)</f>
        <v>0</v>
      </c>
      <c r="AJ445" s="211">
        <f>AF445*($H$70)</f>
        <v>0</v>
      </c>
      <c r="AK445" s="211">
        <f>AF445*($I$70)</f>
        <v>0</v>
      </c>
      <c r="AL445" s="211">
        <f>AF445*($J$70)</f>
        <v>0</v>
      </c>
      <c r="AM445" s="211">
        <f>AF445*($K$70)</f>
        <v>0</v>
      </c>
      <c r="AN445" s="211">
        <f>AF445*($L$70)</f>
        <v>0</v>
      </c>
    </row>
    <row r="446" spans="2:40" s="7" customFormat="1" ht="12" hidden="1" customHeight="1" outlineLevel="2">
      <c r="B446" s="245"/>
      <c r="C446" s="213" t="s">
        <v>781</v>
      </c>
      <c r="D446" s="213"/>
      <c r="E446" s="213"/>
      <c r="F446" s="213"/>
      <c r="G446" s="213"/>
      <c r="H446" s="213"/>
      <c r="I446" s="213"/>
      <c r="J446" s="213"/>
      <c r="K446" s="213"/>
      <c r="L446" s="213"/>
      <c r="M446" s="213"/>
      <c r="N446" s="213"/>
      <c r="O446" s="213"/>
      <c r="P446" s="213"/>
      <c r="Q446" s="213"/>
      <c r="R446" s="213"/>
      <c r="S446" s="213"/>
      <c r="T446" s="213"/>
      <c r="U446" s="213"/>
      <c r="V446" s="213"/>
      <c r="W446" s="213"/>
      <c r="X446" s="213"/>
      <c r="Y446" s="213"/>
      <c r="Z446" s="213"/>
      <c r="AA446" s="213"/>
      <c r="AB446" s="211"/>
      <c r="AC446" s="211"/>
      <c r="AD446" s="211"/>
      <c r="AE446" s="211"/>
      <c r="AF446" s="211"/>
      <c r="AG446" s="211">
        <f>INDEX($C$349:$AN$371,MATCH("New Customers 1MS",$C$349:$C$371,0),MATCH($C446,$C$349:$AN$349,0))</f>
        <v>22.769183389830513</v>
      </c>
      <c r="AH446" s="211">
        <f>AG446*(E416)</f>
        <v>0.91076733559322054</v>
      </c>
      <c r="AI446" s="211">
        <f>AG446*($F$70)</f>
        <v>0</v>
      </c>
      <c r="AJ446" s="211">
        <f>AG446*($G$70)</f>
        <v>0</v>
      </c>
      <c r="AK446" s="211">
        <f>AG446*($H$70)</f>
        <v>0</v>
      </c>
      <c r="AL446" s="211">
        <f>AG446*($I$70)</f>
        <v>0</v>
      </c>
      <c r="AM446" s="211">
        <f>AG446*($J$70)</f>
        <v>0</v>
      </c>
      <c r="AN446" s="211">
        <f>AG446*($K$70)</f>
        <v>0</v>
      </c>
    </row>
    <row r="447" spans="2:40" s="7" customFormat="1" ht="12" hidden="1" customHeight="1" outlineLevel="2">
      <c r="B447" s="245"/>
      <c r="C447" s="213" t="s">
        <v>782</v>
      </c>
      <c r="D447" s="213"/>
      <c r="E447" s="213"/>
      <c r="F447" s="213"/>
      <c r="G447" s="213"/>
      <c r="H447" s="213"/>
      <c r="I447" s="213"/>
      <c r="J447" s="213"/>
      <c r="K447" s="213"/>
      <c r="L447" s="213"/>
      <c r="M447" s="213"/>
      <c r="N447" s="213"/>
      <c r="O447" s="213"/>
      <c r="P447" s="213"/>
      <c r="Q447" s="213"/>
      <c r="R447" s="213"/>
      <c r="S447" s="213"/>
      <c r="T447" s="213"/>
      <c r="U447" s="213"/>
      <c r="V447" s="213"/>
      <c r="W447" s="213"/>
      <c r="X447" s="213"/>
      <c r="Y447" s="213"/>
      <c r="Z447" s="213"/>
      <c r="AA447" s="213"/>
      <c r="AB447" s="211"/>
      <c r="AC447" s="211"/>
      <c r="AD447" s="211"/>
      <c r="AE447" s="211"/>
      <c r="AF447" s="211"/>
      <c r="AG447" s="211"/>
      <c r="AH447" s="211">
        <f>INDEX($C$349:$AN$371,MATCH("New Customers 1MS",$C$349:$C$371,0),MATCH($C447,$C$349:$AN$349,0))</f>
        <v>30.149471186440685</v>
      </c>
      <c r="AI447" s="211">
        <f>AH447*(E416)</f>
        <v>1.2059788474576274</v>
      </c>
      <c r="AJ447" s="211">
        <f>AH447*($F$70)</f>
        <v>0</v>
      </c>
      <c r="AK447" s="211">
        <f>AH447*($G$70)</f>
        <v>0</v>
      </c>
      <c r="AL447" s="211">
        <f>AH447*($H$70)</f>
        <v>0</v>
      </c>
      <c r="AM447" s="211">
        <f>AH447*($I$70)</f>
        <v>0</v>
      </c>
      <c r="AN447" s="211">
        <f>AH447*($J$70)</f>
        <v>0</v>
      </c>
    </row>
    <row r="448" spans="2:40" s="7" customFormat="1" ht="12" hidden="1" customHeight="1" outlineLevel="2">
      <c r="B448" s="245"/>
      <c r="C448" s="213" t="s">
        <v>783</v>
      </c>
      <c r="D448" s="213"/>
      <c r="E448" s="213"/>
      <c r="F448" s="213"/>
      <c r="G448" s="213"/>
      <c r="H448" s="213"/>
      <c r="I448" s="213"/>
      <c r="J448" s="213"/>
      <c r="K448" s="213"/>
      <c r="L448" s="213"/>
      <c r="M448" s="213"/>
      <c r="N448" s="213"/>
      <c r="O448" s="213"/>
      <c r="P448" s="213"/>
      <c r="Q448" s="213"/>
      <c r="R448" s="213"/>
      <c r="S448" s="213"/>
      <c r="T448" s="213"/>
      <c r="U448" s="213"/>
      <c r="V448" s="213"/>
      <c r="W448" s="213"/>
      <c r="X448" s="213"/>
      <c r="Y448" s="213"/>
      <c r="Z448" s="213"/>
      <c r="AA448" s="213"/>
      <c r="AB448" s="211"/>
      <c r="AC448" s="211"/>
      <c r="AD448" s="211"/>
      <c r="AE448" s="211"/>
      <c r="AF448" s="211"/>
      <c r="AG448" s="211"/>
      <c r="AH448" s="211"/>
      <c r="AI448" s="211">
        <f>INDEX($C$349:$AN$371,MATCH("New Customers 1MS",$C$349:$C$371,0),MATCH($C448,$C$349:$AN$349,0))</f>
        <v>16.054108474576271</v>
      </c>
      <c r="AJ448" s="211">
        <f>AI448*(E416)</f>
        <v>0.64216433898305081</v>
      </c>
      <c r="AK448" s="211">
        <f>AI448*($F$70)</f>
        <v>0</v>
      </c>
      <c r="AL448" s="211">
        <f>AI448*($G$70)</f>
        <v>0</v>
      </c>
      <c r="AM448" s="211">
        <f>AI448*($H$70)</f>
        <v>0</v>
      </c>
      <c r="AN448" s="211">
        <f>AI448*($I$70)</f>
        <v>0</v>
      </c>
    </row>
    <row r="449" spans="2:40" s="7" customFormat="1" ht="12" hidden="1" customHeight="1" outlineLevel="2">
      <c r="B449" s="245"/>
      <c r="C449" s="213" t="s">
        <v>784</v>
      </c>
      <c r="D449" s="213"/>
      <c r="E449" s="213"/>
      <c r="F449" s="213"/>
      <c r="G449" s="213"/>
      <c r="H449" s="213"/>
      <c r="I449" s="213"/>
      <c r="J449" s="213"/>
      <c r="K449" s="213"/>
      <c r="L449" s="213"/>
      <c r="M449" s="213"/>
      <c r="N449" s="213"/>
      <c r="O449" s="213"/>
      <c r="P449" s="213"/>
      <c r="Q449" s="213"/>
      <c r="R449" s="213"/>
      <c r="S449" s="213"/>
      <c r="T449" s="213"/>
      <c r="U449" s="213"/>
      <c r="V449" s="213"/>
      <c r="W449" s="213"/>
      <c r="X449" s="213"/>
      <c r="Y449" s="213"/>
      <c r="Z449" s="213"/>
      <c r="AA449" s="213"/>
      <c r="AB449" s="211"/>
      <c r="AC449" s="211"/>
      <c r="AD449" s="211"/>
      <c r="AE449" s="211"/>
      <c r="AF449" s="211"/>
      <c r="AG449" s="211"/>
      <c r="AH449" s="211"/>
      <c r="AI449" s="211"/>
      <c r="AJ449" s="211">
        <f>INDEX($C$349:$AN$371,MATCH("New Customers 1MS",$C$349:$C$371,0),MATCH($C449,$C$349:$AN$349,0))</f>
        <v>11.142030508474575</v>
      </c>
      <c r="AK449" s="211">
        <f>AJ449*(E416)</f>
        <v>0.445681220338983</v>
      </c>
      <c r="AL449" s="211">
        <f>AJ449*($F$70)</f>
        <v>0</v>
      </c>
      <c r="AM449" s="211">
        <f>AJ449*($G$70)</f>
        <v>0</v>
      </c>
      <c r="AN449" s="211">
        <f>AJ449*($H$70)</f>
        <v>0</v>
      </c>
    </row>
    <row r="450" spans="2:40" s="7" customFormat="1" ht="12" hidden="1" customHeight="1" outlineLevel="2">
      <c r="B450" s="245"/>
      <c r="C450" s="213" t="s">
        <v>785</v>
      </c>
      <c r="D450" s="213"/>
      <c r="E450" s="213"/>
      <c r="F450" s="213"/>
      <c r="G450" s="213"/>
      <c r="H450" s="213"/>
      <c r="I450" s="213"/>
      <c r="J450" s="213"/>
      <c r="K450" s="213"/>
      <c r="L450" s="213"/>
      <c r="M450" s="213"/>
      <c r="N450" s="213"/>
      <c r="O450" s="213"/>
      <c r="P450" s="213"/>
      <c r="Q450" s="213"/>
      <c r="R450" s="213"/>
      <c r="S450" s="213"/>
      <c r="T450" s="213"/>
      <c r="U450" s="213"/>
      <c r="V450" s="213"/>
      <c r="W450" s="213"/>
      <c r="X450" s="213"/>
      <c r="Y450" s="213"/>
      <c r="Z450" s="213"/>
      <c r="AA450" s="213"/>
      <c r="AB450" s="211"/>
      <c r="AC450" s="211"/>
      <c r="AD450" s="211"/>
      <c r="AE450" s="211"/>
      <c r="AF450" s="211"/>
      <c r="AG450" s="211"/>
      <c r="AH450" s="211"/>
      <c r="AI450" s="211"/>
      <c r="AJ450" s="211"/>
      <c r="AK450" s="211">
        <f>INDEX($C$349:$AN$371,MATCH("New Customers 1MS",$C$349:$C$371,0),MATCH($C450,$C$349:$AN$349,0))</f>
        <v>28.525423728813561</v>
      </c>
      <c r="AL450" s="211">
        <f>AK450*(E416)</f>
        <v>1.1410169491525424</v>
      </c>
      <c r="AM450" s="211">
        <f>AK450*($F$70)</f>
        <v>0</v>
      </c>
      <c r="AN450" s="211">
        <f>AK450*($G$70)</f>
        <v>0</v>
      </c>
    </row>
    <row r="451" spans="2:40" s="7" customFormat="1" ht="12" hidden="1" customHeight="1" outlineLevel="2">
      <c r="B451" s="245"/>
      <c r="C451" s="213" t="s">
        <v>786</v>
      </c>
      <c r="D451" s="213"/>
      <c r="E451" s="213"/>
      <c r="F451" s="213"/>
      <c r="G451" s="213"/>
      <c r="H451" s="213"/>
      <c r="I451" s="213"/>
      <c r="J451" s="213"/>
      <c r="K451" s="213"/>
      <c r="L451" s="213"/>
      <c r="M451" s="213"/>
      <c r="N451" s="213"/>
      <c r="O451" s="213"/>
      <c r="P451" s="213"/>
      <c r="Q451" s="213"/>
      <c r="R451" s="213"/>
      <c r="S451" s="213"/>
      <c r="T451" s="213"/>
      <c r="U451" s="213"/>
      <c r="V451" s="213"/>
      <c r="W451" s="213"/>
      <c r="X451" s="213"/>
      <c r="Y451" s="213"/>
      <c r="Z451" s="213"/>
      <c r="AA451" s="213"/>
      <c r="AB451" s="211"/>
      <c r="AC451" s="211"/>
      <c r="AD451" s="211"/>
      <c r="AE451" s="211"/>
      <c r="AF451" s="211"/>
      <c r="AG451" s="211"/>
      <c r="AH451" s="211"/>
      <c r="AI451" s="211"/>
      <c r="AJ451" s="211"/>
      <c r="AK451" s="211"/>
      <c r="AL451" s="211">
        <f>INDEX($C$349:$AN$371,MATCH("New Customers 1MS",$C$349:$C$371,0),MATCH($C451,$C$349:$AN$349,0))</f>
        <v>28.525423728813561</v>
      </c>
      <c r="AM451" s="211">
        <f>AL451*(E416)</f>
        <v>1.1410169491525424</v>
      </c>
      <c r="AN451" s="211">
        <f>AL451*($F$70)</f>
        <v>0</v>
      </c>
    </row>
    <row r="452" spans="2:40" s="7" customFormat="1" ht="12" hidden="1" customHeight="1" outlineLevel="2">
      <c r="B452" s="245"/>
      <c r="C452" s="213" t="s">
        <v>787</v>
      </c>
      <c r="D452" s="213"/>
      <c r="E452" s="213"/>
      <c r="F452" s="213"/>
      <c r="G452" s="213"/>
      <c r="H452" s="213"/>
      <c r="I452" s="213"/>
      <c r="J452" s="213"/>
      <c r="K452" s="213"/>
      <c r="L452" s="213"/>
      <c r="M452" s="213"/>
      <c r="N452" s="213"/>
      <c r="O452" s="213"/>
      <c r="P452" s="213"/>
      <c r="Q452" s="213"/>
      <c r="R452" s="213"/>
      <c r="S452" s="213"/>
      <c r="T452" s="213"/>
      <c r="U452" s="213"/>
      <c r="V452" s="213"/>
      <c r="W452" s="213"/>
      <c r="X452" s="213"/>
      <c r="Y452" s="213"/>
      <c r="Z452" s="213"/>
      <c r="AA452" s="213"/>
      <c r="AB452" s="211"/>
      <c r="AC452" s="211"/>
      <c r="AD452" s="211"/>
      <c r="AE452" s="211"/>
      <c r="AF452" s="211"/>
      <c r="AG452" s="211"/>
      <c r="AH452" s="211"/>
      <c r="AI452" s="211"/>
      <c r="AJ452" s="211"/>
      <c r="AK452" s="211"/>
      <c r="AL452" s="211"/>
      <c r="AM452" s="211">
        <f>INDEX($C$349:$AN$371,MATCH("New Customers 1MS",$C$349:$C$371,0),MATCH($C452,$C$349:$AN$349,0))</f>
        <v>15.213559322033898</v>
      </c>
      <c r="AN452" s="211">
        <f>AM452*(E416)</f>
        <v>0.60854237288135593</v>
      </c>
    </row>
    <row r="453" spans="2:40" s="7" customFormat="1" ht="12" hidden="1" customHeight="1" outlineLevel="2">
      <c r="B453" s="245"/>
      <c r="C453" s="213" t="s">
        <v>788</v>
      </c>
      <c r="D453" s="213"/>
      <c r="E453" s="213"/>
      <c r="F453" s="213"/>
      <c r="G453" s="213"/>
      <c r="H453" s="213"/>
      <c r="I453" s="213"/>
      <c r="J453" s="213"/>
      <c r="K453" s="213"/>
      <c r="L453" s="213"/>
      <c r="M453" s="213"/>
      <c r="N453" s="213"/>
      <c r="O453" s="213"/>
      <c r="P453" s="213"/>
      <c r="Q453" s="213"/>
      <c r="R453" s="213"/>
      <c r="S453" s="213"/>
      <c r="T453" s="213"/>
      <c r="U453" s="213"/>
      <c r="V453" s="213"/>
      <c r="W453" s="213"/>
      <c r="X453" s="213"/>
      <c r="Y453" s="213"/>
      <c r="Z453" s="213"/>
      <c r="AA453" s="213"/>
      <c r="AB453" s="211"/>
      <c r="AC453" s="211"/>
      <c r="AD453" s="211"/>
      <c r="AE453" s="211"/>
      <c r="AF453" s="211"/>
      <c r="AG453" s="211"/>
      <c r="AH453" s="211"/>
      <c r="AI453" s="211"/>
      <c r="AJ453" s="211"/>
      <c r="AK453" s="211"/>
      <c r="AL453" s="211"/>
      <c r="AM453" s="211"/>
      <c r="AN453" s="211">
        <f>INDEX($C$349:$AN$371,MATCH("New Customers 1MS",$C$349:$C$371,0),MATCH($C453,$C$349:$AN$349,0))</f>
        <v>15.213559322033898</v>
      </c>
    </row>
    <row r="454" spans="2:40" s="7" customFormat="1" ht="12" hidden="1" customHeight="1" outlineLevel="2">
      <c r="B454" s="245"/>
      <c r="C454" s="213"/>
      <c r="D454" s="213"/>
      <c r="E454" s="213"/>
      <c r="F454" s="213"/>
      <c r="G454" s="213"/>
      <c r="H454" s="213"/>
      <c r="I454" s="213"/>
      <c r="J454" s="213"/>
      <c r="K454" s="213"/>
      <c r="L454" s="213"/>
      <c r="M454" s="213"/>
      <c r="N454" s="213"/>
      <c r="O454" s="213"/>
      <c r="P454" s="213"/>
      <c r="Q454" s="213"/>
      <c r="R454" s="213"/>
      <c r="S454" s="213"/>
      <c r="T454" s="213"/>
      <c r="U454" s="213"/>
      <c r="V454" s="213"/>
      <c r="W454" s="213"/>
      <c r="X454" s="213"/>
      <c r="Y454" s="213"/>
      <c r="Z454" s="213"/>
      <c r="AA454" s="213"/>
      <c r="AB454" s="211"/>
      <c r="AC454" s="211"/>
      <c r="AD454" s="211"/>
      <c r="AE454" s="211"/>
      <c r="AF454" s="211"/>
      <c r="AG454" s="211"/>
      <c r="AH454" s="211"/>
      <c r="AI454" s="211"/>
      <c r="AJ454" s="211"/>
      <c r="AK454" s="211"/>
      <c r="AL454" s="211"/>
      <c r="AM454" s="211"/>
      <c r="AN454" s="211"/>
    </row>
    <row r="455" spans="2:40" s="7" customFormat="1" ht="12" hidden="1" customHeight="1" outlineLevel="3">
      <c r="B455" s="245"/>
      <c r="C455" s="243" t="s">
        <v>854</v>
      </c>
      <c r="D455" s="213"/>
      <c r="E455" s="213"/>
      <c r="F455" s="213"/>
      <c r="G455" s="213"/>
      <c r="H455" s="213"/>
      <c r="I455" s="213"/>
      <c r="J455" s="213"/>
      <c r="K455" s="213"/>
      <c r="L455" s="213"/>
      <c r="M455" s="213"/>
      <c r="N455" s="213"/>
      <c r="O455" s="213"/>
      <c r="P455" s="213"/>
      <c r="Q455" s="213"/>
      <c r="R455" s="213"/>
      <c r="S455" s="213"/>
      <c r="T455" s="213"/>
      <c r="U455" s="213"/>
      <c r="V455" s="213"/>
      <c r="W455" s="213"/>
      <c r="X455" s="213"/>
      <c r="Y455" s="213"/>
      <c r="Z455" s="213"/>
      <c r="AA455" s="213"/>
      <c r="AB455" s="213"/>
      <c r="AC455" s="211"/>
    </row>
    <row r="456" spans="2:40" s="7" customFormat="1" ht="12" hidden="1" customHeight="1" outlineLevel="3">
      <c r="B456" s="239"/>
      <c r="C456" s="214" t="s">
        <v>850</v>
      </c>
      <c r="D456" s="214"/>
      <c r="E456" s="196" t="s">
        <v>753</v>
      </c>
      <c r="F456" s="196" t="s">
        <v>754</v>
      </c>
      <c r="G456" s="196" t="s">
        <v>755</v>
      </c>
      <c r="H456" s="196" t="s">
        <v>756</v>
      </c>
      <c r="I456" s="196" t="s">
        <v>757</v>
      </c>
      <c r="J456" s="196" t="s">
        <v>758</v>
      </c>
      <c r="K456" s="196" t="s">
        <v>759</v>
      </c>
      <c r="L456" s="196" t="s">
        <v>760</v>
      </c>
      <c r="M456" s="196" t="s">
        <v>761</v>
      </c>
      <c r="N456" s="196" t="s">
        <v>762</v>
      </c>
      <c r="O456" s="196" t="s">
        <v>763</v>
      </c>
      <c r="P456" s="196" t="s">
        <v>764</v>
      </c>
      <c r="Q456" s="196" t="s">
        <v>765</v>
      </c>
      <c r="R456" s="196" t="s">
        <v>766</v>
      </c>
      <c r="S456" s="196" t="s">
        <v>767</v>
      </c>
      <c r="T456" s="196" t="s">
        <v>768</v>
      </c>
      <c r="U456" s="196" t="s">
        <v>769</v>
      </c>
      <c r="V456" s="196" t="s">
        <v>770</v>
      </c>
      <c r="W456" s="196" t="s">
        <v>771</v>
      </c>
      <c r="X456" s="196" t="s">
        <v>772</v>
      </c>
      <c r="Y456" s="196" t="s">
        <v>773</v>
      </c>
      <c r="Z456" s="196" t="s">
        <v>774</v>
      </c>
      <c r="AA456" s="196" t="s">
        <v>775</v>
      </c>
      <c r="AB456" s="196" t="s">
        <v>776</v>
      </c>
      <c r="AC456" s="196" t="s">
        <v>777</v>
      </c>
      <c r="AD456" s="196" t="s">
        <v>778</v>
      </c>
      <c r="AE456" s="196" t="s">
        <v>779</v>
      </c>
      <c r="AF456" s="196" t="s">
        <v>780</v>
      </c>
      <c r="AG456" s="196" t="s">
        <v>781</v>
      </c>
      <c r="AH456" s="196" t="s">
        <v>782</v>
      </c>
      <c r="AI456" s="196" t="s">
        <v>783</v>
      </c>
      <c r="AJ456" s="196" t="s">
        <v>784</v>
      </c>
      <c r="AK456" s="196" t="s">
        <v>785</v>
      </c>
      <c r="AL456" s="196" t="s">
        <v>786</v>
      </c>
      <c r="AM456" s="196" t="s">
        <v>787</v>
      </c>
      <c r="AN456" s="196" t="s">
        <v>788</v>
      </c>
    </row>
    <row r="457" spans="2:40" s="7" customFormat="1" ht="12" hidden="1" customHeight="1" outlineLevel="3">
      <c r="B457" s="239"/>
      <c r="C457" s="247" t="s">
        <v>851</v>
      </c>
      <c r="D457" s="214"/>
      <c r="E457" s="345">
        <v>0.86</v>
      </c>
      <c r="F457" s="342"/>
      <c r="G457" s="342"/>
      <c r="H457" s="345">
        <v>0.42</v>
      </c>
      <c r="I457" s="342"/>
      <c r="J457" s="342"/>
      <c r="K457" s="345">
        <v>0.26</v>
      </c>
      <c r="L457" s="342"/>
      <c r="M457" s="342"/>
      <c r="N457" s="345">
        <v>0.16</v>
      </c>
      <c r="O457" s="342"/>
      <c r="P457" s="342"/>
      <c r="Q457" s="345">
        <v>0.1</v>
      </c>
      <c r="R457" s="342"/>
      <c r="S457" s="342"/>
      <c r="T457" s="345">
        <v>0.06</v>
      </c>
      <c r="U457" s="342"/>
      <c r="V457" s="342"/>
      <c r="W457" s="345">
        <v>0.03</v>
      </c>
      <c r="X457" s="342"/>
      <c r="Y457" s="342"/>
      <c r="Z457" s="345">
        <v>0.01</v>
      </c>
      <c r="AA457" s="342"/>
      <c r="AB457" s="342"/>
      <c r="AC457" s="345">
        <v>0.01</v>
      </c>
      <c r="AD457" s="342"/>
      <c r="AE457" s="342"/>
      <c r="AF457" s="345">
        <v>0.01</v>
      </c>
      <c r="AG457" s="342"/>
      <c r="AH457" s="342"/>
      <c r="AI457" s="345">
        <v>0.01</v>
      </c>
      <c r="AJ457" s="342"/>
      <c r="AK457" s="342"/>
      <c r="AL457" s="345">
        <v>0.01</v>
      </c>
      <c r="AM457" s="342"/>
      <c r="AN457" s="342"/>
    </row>
    <row r="458" spans="2:40" s="7" customFormat="1" ht="12" hidden="1" customHeight="1" outlineLevel="3">
      <c r="B458" s="245"/>
      <c r="C458" s="213" t="s">
        <v>753</v>
      </c>
      <c r="D458" s="213"/>
      <c r="E458" s="211">
        <f>INDEX($C$349:$AN$371, MATCH("New Customers 3MS", $C$349:$C$371, 0), MATCH($C458, $C$349:$AN$349, 0))</f>
        <v>0</v>
      </c>
      <c r="F458" s="211"/>
      <c r="G458" s="211"/>
      <c r="H458" s="211">
        <f>E458*(1-E457)</f>
        <v>0</v>
      </c>
      <c r="I458" s="211"/>
      <c r="J458" s="211"/>
      <c r="K458" s="211">
        <f>E458*(1-H457)</f>
        <v>0</v>
      </c>
      <c r="L458" s="211"/>
      <c r="M458" s="211"/>
      <c r="N458" s="211">
        <f>E458*(1-K457)</f>
        <v>0</v>
      </c>
      <c r="O458" s="211"/>
      <c r="P458" s="211"/>
      <c r="Q458" s="211">
        <f>E458*(1-N457)</f>
        <v>0</v>
      </c>
      <c r="R458" s="211"/>
      <c r="S458" s="211"/>
      <c r="T458" s="211">
        <f>E458*(1-Q457)</f>
        <v>0</v>
      </c>
      <c r="U458" s="211"/>
      <c r="V458" s="211"/>
      <c r="W458" s="211">
        <f>E458*(1-T457)</f>
        <v>0</v>
      </c>
      <c r="X458" s="211"/>
      <c r="Y458" s="211"/>
      <c r="Z458" s="211">
        <f>E458*(1-W457)</f>
        <v>0</v>
      </c>
      <c r="AA458" s="211"/>
      <c r="AB458" s="211"/>
      <c r="AC458" s="211">
        <f>E458*(1-Z457)</f>
        <v>0</v>
      </c>
      <c r="AD458" s="211"/>
      <c r="AE458" s="211"/>
      <c r="AF458" s="211">
        <f>E458*(1-AC457)</f>
        <v>0</v>
      </c>
      <c r="AG458" s="211"/>
      <c r="AH458" s="211"/>
      <c r="AI458" s="211">
        <f>E458*(1-AF457)</f>
        <v>0</v>
      </c>
      <c r="AJ458" s="211"/>
      <c r="AK458" s="211"/>
      <c r="AL458" s="211">
        <f>E458*(1-AI457)</f>
        <v>0</v>
      </c>
      <c r="AM458" s="211"/>
      <c r="AN458" s="211"/>
    </row>
    <row r="459" spans="2:40" s="7" customFormat="1" ht="12" hidden="1" customHeight="1" outlineLevel="3">
      <c r="B459" s="245"/>
      <c r="C459" s="213" t="s">
        <v>754</v>
      </c>
      <c r="D459" s="213"/>
      <c r="E459" s="213"/>
      <c r="F459" s="211">
        <f>INDEX($C$349:$AN$371, MATCH("New Customers 3MS", $C$349:$C$371, 0), MATCH($C459, $C$349:$AN$349, 0))</f>
        <v>0</v>
      </c>
      <c r="G459" s="211"/>
      <c r="H459" s="211"/>
      <c r="I459" s="211">
        <f>F459*(E457)</f>
        <v>0</v>
      </c>
      <c r="J459" s="211"/>
      <c r="K459" s="211"/>
      <c r="L459" s="211">
        <f>F459*(H457)</f>
        <v>0</v>
      </c>
      <c r="M459" s="211"/>
      <c r="N459" s="211"/>
      <c r="O459" s="211">
        <f>F459*(K457)</f>
        <v>0</v>
      </c>
      <c r="P459" s="211"/>
      <c r="Q459" s="211"/>
      <c r="R459" s="211">
        <f>F459*(N457)</f>
        <v>0</v>
      </c>
      <c r="S459" s="211"/>
      <c r="T459" s="211"/>
      <c r="U459" s="211">
        <f>F459*(Q457)</f>
        <v>0</v>
      </c>
      <c r="V459" s="211"/>
      <c r="W459" s="211"/>
      <c r="X459" s="211">
        <f>F459*(T457)</f>
        <v>0</v>
      </c>
      <c r="Y459" s="211"/>
      <c r="Z459" s="211"/>
      <c r="AA459" s="211">
        <f>F459*(W457)</f>
        <v>0</v>
      </c>
      <c r="AB459" s="211"/>
      <c r="AC459" s="211"/>
      <c r="AD459" s="211">
        <f>F459*(Z457)</f>
        <v>0</v>
      </c>
      <c r="AE459" s="211"/>
      <c r="AF459" s="211"/>
      <c r="AG459" s="211">
        <f>F459*(AC457)</f>
        <v>0</v>
      </c>
      <c r="AH459" s="211"/>
      <c r="AI459" s="211"/>
      <c r="AJ459" s="211">
        <f>F459*(AF457)</f>
        <v>0</v>
      </c>
      <c r="AK459" s="211"/>
      <c r="AL459" s="211"/>
      <c r="AM459" s="211">
        <f>F459*(AI457)</f>
        <v>0</v>
      </c>
      <c r="AN459" s="211"/>
    </row>
    <row r="460" spans="2:40" s="7" customFormat="1" ht="12" hidden="1" customHeight="1" outlineLevel="3">
      <c r="B460" s="245"/>
      <c r="C460" s="213" t="s">
        <v>755</v>
      </c>
      <c r="D460" s="213"/>
      <c r="E460" s="213"/>
      <c r="F460" s="213"/>
      <c r="G460" s="211">
        <f>INDEX($C$349:$AN$371, MATCH("New Customers 3MS", $C$349:$C$371, 0), MATCH($C460, $C$349:$AN$349, 0))</f>
        <v>0</v>
      </c>
      <c r="H460" s="211"/>
      <c r="I460" s="211"/>
      <c r="J460" s="211">
        <f>G460*(E457)</f>
        <v>0</v>
      </c>
      <c r="K460" s="211"/>
      <c r="L460" s="211"/>
      <c r="M460" s="211">
        <f>G460*(H457)</f>
        <v>0</v>
      </c>
      <c r="N460" s="211"/>
      <c r="O460" s="211"/>
      <c r="P460" s="211">
        <f>G460*(K457)</f>
        <v>0</v>
      </c>
      <c r="Q460" s="211"/>
      <c r="R460" s="211"/>
      <c r="S460" s="211">
        <f>G460*(N457)</f>
        <v>0</v>
      </c>
      <c r="T460" s="211"/>
      <c r="U460" s="211"/>
      <c r="V460" s="211">
        <f>G460*(Q457)</f>
        <v>0</v>
      </c>
      <c r="W460" s="211"/>
      <c r="X460" s="211"/>
      <c r="Y460" s="211">
        <f>G460*(T457)</f>
        <v>0</v>
      </c>
      <c r="Z460" s="211"/>
      <c r="AA460" s="211"/>
      <c r="AB460" s="211">
        <f>G460*(W457)</f>
        <v>0</v>
      </c>
      <c r="AC460" s="211"/>
      <c r="AD460" s="211"/>
      <c r="AE460" s="211">
        <f>G460*(Z457)</f>
        <v>0</v>
      </c>
      <c r="AF460" s="211"/>
      <c r="AG460" s="211"/>
      <c r="AH460" s="211">
        <f>G460*(AC457)</f>
        <v>0</v>
      </c>
      <c r="AI460" s="211"/>
      <c r="AJ460" s="211"/>
      <c r="AK460" s="211">
        <f>G460*(AF457)</f>
        <v>0</v>
      </c>
      <c r="AL460" s="211"/>
      <c r="AM460" s="211"/>
      <c r="AN460" s="211">
        <f>G460*(AI457)</f>
        <v>0</v>
      </c>
    </row>
    <row r="461" spans="2:40" s="7" customFormat="1" ht="12" hidden="1" customHeight="1" outlineLevel="3">
      <c r="B461" s="245"/>
      <c r="C461" s="213" t="s">
        <v>756</v>
      </c>
      <c r="D461" s="213"/>
      <c r="E461" s="213"/>
      <c r="F461" s="213"/>
      <c r="G461" s="213"/>
      <c r="H461" s="211">
        <f>INDEX($C$349:$AN$371, MATCH("New Customers 3MS", $C$349:$C$371, 0), MATCH($C461, $C$349:$AN$349, 0))</f>
        <v>0</v>
      </c>
      <c r="I461" s="211"/>
      <c r="J461" s="211"/>
      <c r="K461" s="211">
        <f>H461*(E457)</f>
        <v>0</v>
      </c>
      <c r="L461" s="211"/>
      <c r="M461" s="211"/>
      <c r="N461" s="211">
        <f>H461*(H457)</f>
        <v>0</v>
      </c>
      <c r="O461" s="211"/>
      <c r="P461" s="211"/>
      <c r="Q461" s="211">
        <f>H461*(K457)</f>
        <v>0</v>
      </c>
      <c r="R461" s="211"/>
      <c r="S461" s="211"/>
      <c r="T461" s="211">
        <f>H461*(N457)</f>
        <v>0</v>
      </c>
      <c r="U461" s="211"/>
      <c r="V461" s="211"/>
      <c r="W461" s="211">
        <f>H461*(Q457)</f>
        <v>0</v>
      </c>
      <c r="X461" s="211"/>
      <c r="Y461" s="211"/>
      <c r="Z461" s="211">
        <f>H461*(T457)</f>
        <v>0</v>
      </c>
      <c r="AA461" s="211"/>
      <c r="AB461" s="211"/>
      <c r="AC461" s="211">
        <f>H461*(W457)</f>
        <v>0</v>
      </c>
      <c r="AD461" s="211"/>
      <c r="AE461" s="211"/>
      <c r="AF461" s="211">
        <f>H461*(Z457)</f>
        <v>0</v>
      </c>
      <c r="AG461" s="211"/>
      <c r="AH461" s="211"/>
      <c r="AI461" s="211">
        <f>H461*(AC457)</f>
        <v>0</v>
      </c>
      <c r="AJ461" s="211"/>
      <c r="AK461" s="211"/>
      <c r="AL461" s="211">
        <f>H461*(AF457)</f>
        <v>0</v>
      </c>
      <c r="AM461" s="211"/>
      <c r="AN461" s="211"/>
    </row>
    <row r="462" spans="2:40" s="7" customFormat="1" ht="12" hidden="1" customHeight="1" outlineLevel="3">
      <c r="B462" s="245"/>
      <c r="C462" s="213" t="s">
        <v>757</v>
      </c>
      <c r="D462" s="213"/>
      <c r="E462" s="213"/>
      <c r="F462" s="213"/>
      <c r="G462" s="213"/>
      <c r="H462" s="213"/>
      <c r="I462" s="211">
        <f>INDEX($C$349:$AN$371, MATCH("New Customers 3MS", $C$349:$C$371, 0), MATCH($C462, $C$349:$AN$349, 0))</f>
        <v>0</v>
      </c>
      <c r="J462" s="211"/>
      <c r="K462" s="211"/>
      <c r="L462" s="211">
        <f>I462*(E457)</f>
        <v>0</v>
      </c>
      <c r="M462" s="211"/>
      <c r="N462" s="211"/>
      <c r="O462" s="211">
        <f>I462*(H457)</f>
        <v>0</v>
      </c>
      <c r="P462" s="211"/>
      <c r="Q462" s="211"/>
      <c r="R462" s="211">
        <f>I462*(K457)</f>
        <v>0</v>
      </c>
      <c r="S462" s="211"/>
      <c r="T462" s="211"/>
      <c r="U462" s="211">
        <f>I462*(N457)</f>
        <v>0</v>
      </c>
      <c r="V462" s="211"/>
      <c r="W462" s="211"/>
      <c r="X462" s="211">
        <f>I462*(Q457)</f>
        <v>0</v>
      </c>
      <c r="Y462" s="211"/>
      <c r="Z462" s="211"/>
      <c r="AA462" s="211">
        <f>I462*(T457)</f>
        <v>0</v>
      </c>
      <c r="AB462" s="211"/>
      <c r="AC462" s="211"/>
      <c r="AD462" s="211">
        <f>I462*(W457)</f>
        <v>0</v>
      </c>
      <c r="AE462" s="211"/>
      <c r="AF462" s="211"/>
      <c r="AG462" s="211">
        <f>I462*(Z457)</f>
        <v>0</v>
      </c>
      <c r="AH462" s="211"/>
      <c r="AI462" s="211"/>
      <c r="AJ462" s="211">
        <f>I462*(AC457)</f>
        <v>0</v>
      </c>
      <c r="AK462" s="211"/>
      <c r="AL462" s="211"/>
      <c r="AM462" s="211">
        <f>I462*(AF457)</f>
        <v>0</v>
      </c>
      <c r="AN462" s="211"/>
    </row>
    <row r="463" spans="2:40" s="7" customFormat="1" ht="12" hidden="1" customHeight="1" outlineLevel="3">
      <c r="B463" s="245"/>
      <c r="C463" s="213" t="s">
        <v>758</v>
      </c>
      <c r="D463" s="213"/>
      <c r="E463" s="213"/>
      <c r="F463" s="213"/>
      <c r="G463" s="213"/>
      <c r="H463" s="213"/>
      <c r="I463" s="213"/>
      <c r="J463" s="211">
        <f>INDEX($C$349:$AN$371, MATCH("New Customers 3MS", $C$349:$C$371, 0), MATCH($C463, $C$349:$AN$349, 0))</f>
        <v>0</v>
      </c>
      <c r="K463" s="211"/>
      <c r="L463" s="211"/>
      <c r="M463" s="211">
        <f>J463*(E457)</f>
        <v>0</v>
      </c>
      <c r="N463" s="211"/>
      <c r="O463" s="211"/>
      <c r="P463" s="211">
        <f>J463*(H457)</f>
        <v>0</v>
      </c>
      <c r="Q463" s="211"/>
      <c r="R463" s="211"/>
      <c r="S463" s="211">
        <f>J463*(K457)</f>
        <v>0</v>
      </c>
      <c r="T463" s="211"/>
      <c r="U463" s="211"/>
      <c r="V463" s="211">
        <f>J463*(N457)</f>
        <v>0</v>
      </c>
      <c r="W463" s="211"/>
      <c r="X463" s="211"/>
      <c r="Y463" s="211">
        <f>J463*(Q457)</f>
        <v>0</v>
      </c>
      <c r="Z463" s="211"/>
      <c r="AA463" s="211"/>
      <c r="AB463" s="211">
        <f>J463*(T457)</f>
        <v>0</v>
      </c>
      <c r="AC463" s="211"/>
      <c r="AD463" s="211"/>
      <c r="AE463" s="211">
        <f>J463*(W457)</f>
        <v>0</v>
      </c>
      <c r="AF463" s="211"/>
      <c r="AG463" s="211"/>
      <c r="AH463" s="211">
        <f>J463*(Z457)</f>
        <v>0</v>
      </c>
      <c r="AI463" s="211"/>
      <c r="AJ463" s="211"/>
      <c r="AK463" s="211">
        <f>J463*(AC457)</f>
        <v>0</v>
      </c>
      <c r="AL463" s="211"/>
      <c r="AM463" s="211"/>
      <c r="AN463" s="211">
        <f>J463*(AF457)</f>
        <v>0</v>
      </c>
    </row>
    <row r="464" spans="2:40" s="7" customFormat="1" ht="12" hidden="1" customHeight="1" outlineLevel="3">
      <c r="B464" s="245"/>
      <c r="C464" s="213" t="s">
        <v>759</v>
      </c>
      <c r="D464" s="213"/>
      <c r="E464" s="213"/>
      <c r="F464" s="213"/>
      <c r="G464" s="213"/>
      <c r="H464" s="213"/>
      <c r="I464" s="213"/>
      <c r="J464" s="213"/>
      <c r="K464" s="211">
        <f>INDEX($C$349:$AN$371, MATCH("New Customers 3MS", $C$349:$C$371, 0), MATCH($C464, $C$349:$AN$349, 0))</f>
        <v>0</v>
      </c>
      <c r="L464" s="211"/>
      <c r="M464" s="211"/>
      <c r="N464" s="211">
        <f>K464*(E457)</f>
        <v>0</v>
      </c>
      <c r="O464" s="211"/>
      <c r="P464" s="211"/>
      <c r="Q464" s="211">
        <f>K464*(H457)</f>
        <v>0</v>
      </c>
      <c r="R464" s="211"/>
      <c r="S464" s="211"/>
      <c r="T464" s="211">
        <f>K464*(K457)</f>
        <v>0</v>
      </c>
      <c r="U464" s="211"/>
      <c r="V464" s="211"/>
      <c r="W464" s="211">
        <f>K464*(N457)</f>
        <v>0</v>
      </c>
      <c r="X464" s="211"/>
      <c r="Y464" s="211"/>
      <c r="Z464" s="211">
        <f>K464*(Q457)</f>
        <v>0</v>
      </c>
      <c r="AA464" s="211"/>
      <c r="AB464" s="211"/>
      <c r="AC464" s="211">
        <f>K464*(T457)</f>
        <v>0</v>
      </c>
      <c r="AD464" s="211"/>
      <c r="AE464" s="211"/>
      <c r="AF464" s="211">
        <f>K464*(W457)</f>
        <v>0</v>
      </c>
      <c r="AG464" s="211"/>
      <c r="AH464" s="211"/>
      <c r="AI464" s="211">
        <f>K464*(Z457)</f>
        <v>0</v>
      </c>
      <c r="AJ464" s="211"/>
      <c r="AK464" s="211"/>
      <c r="AL464" s="211">
        <f>K464*(AC457)</f>
        <v>0</v>
      </c>
      <c r="AM464" s="211"/>
      <c r="AN464" s="211"/>
    </row>
    <row r="465" spans="2:40" s="7" customFormat="1" ht="12" hidden="1" customHeight="1" outlineLevel="3">
      <c r="B465" s="245"/>
      <c r="C465" s="213" t="s">
        <v>760</v>
      </c>
      <c r="D465" s="213"/>
      <c r="E465" s="213"/>
      <c r="F465" s="213"/>
      <c r="G465" s="213"/>
      <c r="H465" s="213"/>
      <c r="I465" s="213"/>
      <c r="J465" s="213"/>
      <c r="K465" s="213"/>
      <c r="L465" s="211">
        <f>INDEX($C$349:$AN$371, MATCH("New Customers 3MS", $C$349:$C$371, 0), MATCH($C465, $C$349:$AN$349, 0))</f>
        <v>0</v>
      </c>
      <c r="M465" s="211"/>
      <c r="N465" s="211"/>
      <c r="O465" s="211">
        <f>L465*(E457)</f>
        <v>0</v>
      </c>
      <c r="P465" s="211"/>
      <c r="Q465" s="211"/>
      <c r="R465" s="211">
        <f>L465*(H457)</f>
        <v>0</v>
      </c>
      <c r="S465" s="211"/>
      <c r="T465" s="211"/>
      <c r="U465" s="211">
        <f>L465*(K457)</f>
        <v>0</v>
      </c>
      <c r="V465" s="211"/>
      <c r="W465" s="211"/>
      <c r="X465" s="211">
        <f>L465*(N457)</f>
        <v>0</v>
      </c>
      <c r="Y465" s="211"/>
      <c r="Z465" s="211"/>
      <c r="AA465" s="211">
        <f>L465*(Q457)</f>
        <v>0</v>
      </c>
      <c r="AB465" s="211"/>
      <c r="AC465" s="211"/>
      <c r="AD465" s="211">
        <f>L465*(T457)</f>
        <v>0</v>
      </c>
      <c r="AE465" s="211"/>
      <c r="AF465" s="211"/>
      <c r="AG465" s="211">
        <f>L465*(W457)</f>
        <v>0</v>
      </c>
      <c r="AH465" s="211"/>
      <c r="AI465" s="211"/>
      <c r="AJ465" s="211">
        <f>L465*(Z457)</f>
        <v>0</v>
      </c>
      <c r="AK465" s="211"/>
      <c r="AL465" s="211"/>
      <c r="AM465" s="211">
        <f>L465*(AC457)</f>
        <v>0</v>
      </c>
      <c r="AN465" s="211"/>
    </row>
    <row r="466" spans="2:40" s="7" customFormat="1" ht="12" hidden="1" customHeight="1" outlineLevel="3">
      <c r="B466" s="245"/>
      <c r="C466" s="213" t="s">
        <v>761</v>
      </c>
      <c r="D466" s="213"/>
      <c r="E466" s="213"/>
      <c r="F466" s="213"/>
      <c r="G466" s="213"/>
      <c r="H466" s="213"/>
      <c r="I466" s="213"/>
      <c r="J466" s="213"/>
      <c r="K466" s="213"/>
      <c r="L466" s="213"/>
      <c r="M466" s="211">
        <f>INDEX($C$349:$AN$371, MATCH("New Customers 3MS", $C$349:$C$371, 0), MATCH($C466, $C$349:$AN$349, 0))</f>
        <v>0</v>
      </c>
      <c r="N466" s="211"/>
      <c r="O466" s="211"/>
      <c r="P466" s="211">
        <f>M466*(E457)</f>
        <v>0</v>
      </c>
      <c r="Q466" s="211"/>
      <c r="R466" s="211"/>
      <c r="S466" s="211">
        <f>M466*(H457)</f>
        <v>0</v>
      </c>
      <c r="T466" s="211"/>
      <c r="U466" s="211"/>
      <c r="V466" s="211">
        <f>M466*(K457)</f>
        <v>0</v>
      </c>
      <c r="W466" s="211"/>
      <c r="X466" s="211"/>
      <c r="Y466" s="211">
        <f>M466*(N457)</f>
        <v>0</v>
      </c>
      <c r="Z466" s="211"/>
      <c r="AA466" s="211"/>
      <c r="AB466" s="211">
        <f>M466*(Q457)</f>
        <v>0</v>
      </c>
      <c r="AC466" s="211"/>
      <c r="AD466" s="211"/>
      <c r="AE466" s="211">
        <f>M466*(T457)</f>
        <v>0</v>
      </c>
      <c r="AF466" s="211"/>
      <c r="AG466" s="211"/>
      <c r="AH466" s="211">
        <f>M466*(W457)</f>
        <v>0</v>
      </c>
      <c r="AI466" s="211"/>
      <c r="AJ466" s="211"/>
      <c r="AK466" s="211">
        <f>M466*(Z457)</f>
        <v>0</v>
      </c>
      <c r="AL466" s="211"/>
      <c r="AM466" s="211"/>
      <c r="AN466" s="211">
        <f>M466*(AC457)</f>
        <v>0</v>
      </c>
    </row>
    <row r="467" spans="2:40" s="7" customFormat="1" ht="12" hidden="1" customHeight="1" outlineLevel="3">
      <c r="B467" s="245"/>
      <c r="C467" s="213" t="s">
        <v>762</v>
      </c>
      <c r="D467" s="213"/>
      <c r="E467" s="213"/>
      <c r="F467" s="213"/>
      <c r="G467" s="213"/>
      <c r="H467" s="213"/>
      <c r="I467" s="213"/>
      <c r="J467" s="213"/>
      <c r="K467" s="213"/>
      <c r="L467" s="213"/>
      <c r="M467" s="213"/>
      <c r="N467" s="211">
        <f>INDEX($C$349:$AN$371, MATCH("New Customers 3MS", $C$349:$C$371, 0), MATCH($C467, $C$349:$AN$349, 0))</f>
        <v>0</v>
      </c>
      <c r="O467" s="211"/>
      <c r="P467" s="211"/>
      <c r="Q467" s="211">
        <f>N467*(E457)</f>
        <v>0</v>
      </c>
      <c r="R467" s="211"/>
      <c r="S467" s="211"/>
      <c r="T467" s="211">
        <f>N467*(H457)</f>
        <v>0</v>
      </c>
      <c r="U467" s="211"/>
      <c r="V467" s="211"/>
      <c r="W467" s="211">
        <f>N467*(K457)</f>
        <v>0</v>
      </c>
      <c r="X467" s="211"/>
      <c r="Y467" s="211"/>
      <c r="Z467" s="211">
        <f>N467*(N457)</f>
        <v>0</v>
      </c>
      <c r="AA467" s="211"/>
      <c r="AB467" s="211"/>
      <c r="AC467" s="211">
        <f>N467*(Q457)</f>
        <v>0</v>
      </c>
      <c r="AD467" s="211"/>
      <c r="AE467" s="211"/>
      <c r="AF467" s="211">
        <f>N467*(T457)</f>
        <v>0</v>
      </c>
      <c r="AG467" s="211"/>
      <c r="AH467" s="211"/>
      <c r="AI467" s="211">
        <f>N467*(W457)</f>
        <v>0</v>
      </c>
      <c r="AJ467" s="211"/>
      <c r="AK467" s="211"/>
      <c r="AL467" s="211">
        <f>N467*(Z457)</f>
        <v>0</v>
      </c>
      <c r="AM467" s="211"/>
      <c r="AN467" s="211"/>
    </row>
    <row r="468" spans="2:40" s="7" customFormat="1" ht="12" hidden="1" customHeight="1" outlineLevel="3">
      <c r="B468" s="245"/>
      <c r="C468" s="213" t="s">
        <v>763</v>
      </c>
      <c r="D468" s="213"/>
      <c r="E468" s="213"/>
      <c r="F468" s="213"/>
      <c r="G468" s="213"/>
      <c r="H468" s="213"/>
      <c r="I468" s="213"/>
      <c r="J468" s="213"/>
      <c r="K468" s="213"/>
      <c r="L468" s="213"/>
      <c r="M468" s="213"/>
      <c r="N468" s="213"/>
      <c r="O468" s="211">
        <f>INDEX($C$349:$AN$371, MATCH("New Customers 3MS", $C$349:$C$371, 0), MATCH($C468, $C$349:$AN$349, 0))</f>
        <v>0</v>
      </c>
      <c r="P468" s="211"/>
      <c r="Q468" s="211"/>
      <c r="R468" s="211">
        <f>O468*(E457)</f>
        <v>0</v>
      </c>
      <c r="S468" s="211"/>
      <c r="T468" s="211"/>
      <c r="U468" s="211">
        <f>O468*(H457)</f>
        <v>0</v>
      </c>
      <c r="V468" s="211"/>
      <c r="W468" s="211"/>
      <c r="X468" s="211">
        <f>O468*(K457)</f>
        <v>0</v>
      </c>
      <c r="Y468" s="211"/>
      <c r="Z468" s="211"/>
      <c r="AA468" s="211">
        <f>O468*(N457)</f>
        <v>0</v>
      </c>
      <c r="AB468" s="211"/>
      <c r="AC468" s="211"/>
      <c r="AD468" s="211">
        <f>O468*(Q457)</f>
        <v>0</v>
      </c>
      <c r="AE468" s="211"/>
      <c r="AF468" s="211"/>
      <c r="AG468" s="211">
        <f>O468*(T457)</f>
        <v>0</v>
      </c>
      <c r="AH468" s="211"/>
      <c r="AI468" s="211"/>
      <c r="AJ468" s="211">
        <f>O468*(W457)</f>
        <v>0</v>
      </c>
      <c r="AK468" s="211"/>
      <c r="AL468" s="211"/>
      <c r="AM468" s="211">
        <f>O468*(Z457)</f>
        <v>0</v>
      </c>
      <c r="AN468" s="211"/>
    </row>
    <row r="469" spans="2:40" s="7" customFormat="1" ht="12" hidden="1" customHeight="1" outlineLevel="3">
      <c r="B469" s="245"/>
      <c r="C469" s="213" t="s">
        <v>764</v>
      </c>
      <c r="D469" s="213"/>
      <c r="E469" s="213"/>
      <c r="F469" s="213"/>
      <c r="G469" s="213"/>
      <c r="H469" s="213"/>
      <c r="I469" s="213"/>
      <c r="J469" s="213"/>
      <c r="K469" s="213"/>
      <c r="L469" s="213"/>
      <c r="M469" s="213"/>
      <c r="N469" s="213"/>
      <c r="O469" s="213"/>
      <c r="P469" s="211">
        <f>INDEX($C$349:$AN$371, MATCH("New Customers 3MS", $C$349:$C$371, 0), MATCH($C469, $C$349:$AN$349, 0))</f>
        <v>0</v>
      </c>
      <c r="Q469" s="211"/>
      <c r="R469" s="211"/>
      <c r="S469" s="211">
        <f>P469*(E457)</f>
        <v>0</v>
      </c>
      <c r="T469" s="211"/>
      <c r="U469" s="211"/>
      <c r="V469" s="211">
        <f>P469*(H457)</f>
        <v>0</v>
      </c>
      <c r="W469" s="211"/>
      <c r="X469" s="211"/>
      <c r="Y469" s="211">
        <f>P469*(K457)</f>
        <v>0</v>
      </c>
      <c r="Z469" s="211"/>
      <c r="AA469" s="211"/>
      <c r="AB469" s="211">
        <f>P469*(N457)</f>
        <v>0</v>
      </c>
      <c r="AC469" s="211"/>
      <c r="AD469" s="211"/>
      <c r="AE469" s="211">
        <f>P469*(Q457)</f>
        <v>0</v>
      </c>
      <c r="AF469" s="211"/>
      <c r="AG469" s="211"/>
      <c r="AH469" s="211">
        <f>P469*(T457)</f>
        <v>0</v>
      </c>
      <c r="AI469" s="211"/>
      <c r="AJ469" s="211"/>
      <c r="AK469" s="211">
        <f>P469*(W457)</f>
        <v>0</v>
      </c>
      <c r="AL469" s="211"/>
      <c r="AM469" s="211"/>
      <c r="AN469" s="211">
        <f>P469*(Z457)</f>
        <v>0</v>
      </c>
    </row>
    <row r="470" spans="2:40" s="7" customFormat="1" ht="12" hidden="1" customHeight="1" outlineLevel="3">
      <c r="B470" s="245"/>
      <c r="C470" s="213" t="s">
        <v>765</v>
      </c>
      <c r="D470" s="213"/>
      <c r="E470" s="213"/>
      <c r="F470" s="213"/>
      <c r="G470" s="213"/>
      <c r="H470" s="213"/>
      <c r="I470" s="213"/>
      <c r="J470" s="213"/>
      <c r="K470" s="213"/>
      <c r="L470" s="213"/>
      <c r="M470" s="213"/>
      <c r="N470" s="213"/>
      <c r="O470" s="213"/>
      <c r="P470" s="213"/>
      <c r="Q470" s="211">
        <f>INDEX($C$349:$AN$371, MATCH("New Customers 3MS", $C$349:$C$371, 0), MATCH($C470, $C$349:$AN$349, 0))</f>
        <v>0</v>
      </c>
      <c r="R470" s="211"/>
      <c r="S470" s="211"/>
      <c r="T470" s="211">
        <f>Q470*(E457)</f>
        <v>0</v>
      </c>
      <c r="U470" s="211"/>
      <c r="V470" s="211"/>
      <c r="W470" s="211">
        <f>Q470*(H457)</f>
        <v>0</v>
      </c>
      <c r="X470" s="211"/>
      <c r="Y470" s="211"/>
      <c r="Z470" s="211">
        <f>Q470*(K457)</f>
        <v>0</v>
      </c>
      <c r="AA470" s="211"/>
      <c r="AB470" s="211"/>
      <c r="AC470" s="211">
        <f>Q470*(N457)</f>
        <v>0</v>
      </c>
      <c r="AD470" s="211"/>
      <c r="AE470" s="211"/>
      <c r="AF470" s="211">
        <f>Q470*(Q457)</f>
        <v>0</v>
      </c>
      <c r="AG470" s="211"/>
      <c r="AH470" s="211"/>
      <c r="AI470" s="211">
        <f>Q470*(T457)</f>
        <v>0</v>
      </c>
      <c r="AJ470" s="211"/>
      <c r="AK470" s="211"/>
      <c r="AL470" s="211">
        <f>Q470*(W457)</f>
        <v>0</v>
      </c>
      <c r="AM470" s="211"/>
      <c r="AN470" s="211"/>
    </row>
    <row r="471" spans="2:40" s="7" customFormat="1" ht="12" hidden="1" customHeight="1" outlineLevel="3">
      <c r="B471" s="245"/>
      <c r="C471" s="213" t="s">
        <v>766</v>
      </c>
      <c r="D471" s="213"/>
      <c r="E471" s="213"/>
      <c r="F471" s="213"/>
      <c r="G471" s="213"/>
      <c r="H471" s="213"/>
      <c r="I471" s="213"/>
      <c r="J471" s="213"/>
      <c r="K471" s="213"/>
      <c r="L471" s="213"/>
      <c r="M471" s="213"/>
      <c r="N471" s="213"/>
      <c r="O471" s="213"/>
      <c r="P471" s="213"/>
      <c r="Q471" s="213"/>
      <c r="R471" s="211">
        <f>INDEX($C$349:$AN$371, MATCH("New Customers 3MS", $C$349:$C$371, 0), MATCH($C471, $C$349:$AN$349, 0))</f>
        <v>0</v>
      </c>
      <c r="S471" s="211"/>
      <c r="T471" s="211"/>
      <c r="U471" s="211">
        <f>R471*(E457)</f>
        <v>0</v>
      </c>
      <c r="V471" s="211"/>
      <c r="W471" s="211"/>
      <c r="X471" s="211">
        <f>R471*(H457)</f>
        <v>0</v>
      </c>
      <c r="Y471" s="211"/>
      <c r="Z471" s="211"/>
      <c r="AA471" s="211">
        <f>R471*(K457)</f>
        <v>0</v>
      </c>
      <c r="AB471" s="211"/>
      <c r="AC471" s="211"/>
      <c r="AD471" s="211">
        <f>R471*(N457)</f>
        <v>0</v>
      </c>
      <c r="AE471" s="211"/>
      <c r="AF471" s="211"/>
      <c r="AG471" s="211">
        <f>R471*(Q457)</f>
        <v>0</v>
      </c>
      <c r="AH471" s="211"/>
      <c r="AI471" s="211"/>
      <c r="AJ471" s="211">
        <f>R471*(T457)</f>
        <v>0</v>
      </c>
      <c r="AK471" s="211"/>
      <c r="AL471" s="211"/>
      <c r="AM471" s="211">
        <f>R471*(W457)</f>
        <v>0</v>
      </c>
      <c r="AN471" s="211"/>
    </row>
    <row r="472" spans="2:40" s="7" customFormat="1" ht="12" hidden="1" customHeight="1" outlineLevel="3">
      <c r="B472" s="245"/>
      <c r="C472" s="213" t="s">
        <v>767</v>
      </c>
      <c r="D472" s="213"/>
      <c r="E472" s="213"/>
      <c r="F472" s="213"/>
      <c r="G472" s="213"/>
      <c r="H472" s="213"/>
      <c r="I472" s="213"/>
      <c r="J472" s="213"/>
      <c r="K472" s="213"/>
      <c r="L472" s="213"/>
      <c r="M472" s="213"/>
      <c r="N472" s="213"/>
      <c r="O472" s="213"/>
      <c r="P472" s="213"/>
      <c r="Q472" s="213"/>
      <c r="R472" s="213"/>
      <c r="S472" s="211">
        <f>INDEX($C$349:$AN$371, MATCH("New Customers 3MS", $C$349:$C$371, 0), MATCH($C472, $C$349:$AN$349, 0))</f>
        <v>0</v>
      </c>
      <c r="T472" s="211"/>
      <c r="U472" s="211"/>
      <c r="V472" s="211">
        <f>S472*(E457)</f>
        <v>0</v>
      </c>
      <c r="W472" s="211"/>
      <c r="X472" s="211"/>
      <c r="Y472" s="211">
        <f>S472*(H457)</f>
        <v>0</v>
      </c>
      <c r="Z472" s="211"/>
      <c r="AA472" s="211"/>
      <c r="AB472" s="211">
        <f>S472*(K457)</f>
        <v>0</v>
      </c>
      <c r="AC472" s="211"/>
      <c r="AD472" s="211"/>
      <c r="AE472" s="211">
        <f>S472*(N457)</f>
        <v>0</v>
      </c>
      <c r="AF472" s="211"/>
      <c r="AG472" s="211"/>
      <c r="AH472" s="211">
        <f>S472*(Q457)</f>
        <v>0</v>
      </c>
      <c r="AI472" s="211"/>
      <c r="AJ472" s="211"/>
      <c r="AK472" s="211">
        <f>S472*(T457)</f>
        <v>0</v>
      </c>
      <c r="AL472" s="211"/>
      <c r="AM472" s="211"/>
      <c r="AN472" s="211">
        <f>S472*(W457)</f>
        <v>0</v>
      </c>
    </row>
    <row r="473" spans="2:40" s="7" customFormat="1" ht="12" hidden="1" customHeight="1" outlineLevel="3">
      <c r="B473" s="245"/>
      <c r="C473" s="213" t="s">
        <v>768</v>
      </c>
      <c r="D473" s="213"/>
      <c r="E473" s="213"/>
      <c r="F473" s="213"/>
      <c r="G473" s="213"/>
      <c r="H473" s="213"/>
      <c r="I473" s="213"/>
      <c r="J473" s="213"/>
      <c r="K473" s="213"/>
      <c r="L473" s="213"/>
      <c r="M473" s="213"/>
      <c r="N473" s="213"/>
      <c r="O473" s="213"/>
      <c r="P473" s="213"/>
      <c r="Q473" s="213"/>
      <c r="R473" s="213"/>
      <c r="S473" s="213"/>
      <c r="T473" s="211">
        <f>INDEX($C$349:$AN$371, MATCH("New Customers 3MS", $C$349:$C$371, 0), MATCH($C473, $C$349:$AN$349, 0))</f>
        <v>0</v>
      </c>
      <c r="U473" s="211"/>
      <c r="V473" s="211"/>
      <c r="W473" s="211">
        <f>T473*(E457)</f>
        <v>0</v>
      </c>
      <c r="X473" s="211"/>
      <c r="Y473" s="211"/>
      <c r="Z473" s="211">
        <f>T473*(H457)</f>
        <v>0</v>
      </c>
      <c r="AA473" s="211"/>
      <c r="AB473" s="211"/>
      <c r="AC473" s="211">
        <f>T473*(K457)</f>
        <v>0</v>
      </c>
      <c r="AD473" s="211"/>
      <c r="AE473" s="211"/>
      <c r="AF473" s="211">
        <f>T473*(N457)</f>
        <v>0</v>
      </c>
      <c r="AG473" s="211"/>
      <c r="AH473" s="211"/>
      <c r="AI473" s="211">
        <f>T473*(Q457)</f>
        <v>0</v>
      </c>
      <c r="AJ473" s="211"/>
      <c r="AK473" s="211"/>
      <c r="AL473" s="211">
        <f>T473*(T457)</f>
        <v>0</v>
      </c>
      <c r="AM473" s="211"/>
      <c r="AN473" s="211"/>
    </row>
    <row r="474" spans="2:40" s="7" customFormat="1" ht="12" hidden="1" customHeight="1" outlineLevel="3">
      <c r="B474" s="245"/>
      <c r="C474" s="213" t="s">
        <v>769</v>
      </c>
      <c r="D474" s="213"/>
      <c r="E474" s="213"/>
      <c r="F474" s="213"/>
      <c r="G474" s="213"/>
      <c r="H474" s="213"/>
      <c r="I474" s="213"/>
      <c r="J474" s="213"/>
      <c r="K474" s="213"/>
      <c r="L474" s="213"/>
      <c r="M474" s="213"/>
      <c r="N474" s="213"/>
      <c r="O474" s="213"/>
      <c r="P474" s="213"/>
      <c r="Q474" s="213"/>
      <c r="R474" s="213"/>
      <c r="S474" s="213"/>
      <c r="T474" s="213"/>
      <c r="U474" s="211">
        <f>INDEX($C$349:$AN$371, MATCH("New Customers 3MS", $C$349:$C$371, 0), MATCH($C474, $C$349:$AN$349, 0))</f>
        <v>0</v>
      </c>
      <c r="V474" s="211"/>
      <c r="W474" s="211"/>
      <c r="X474" s="211">
        <f>U474*(E457)</f>
        <v>0</v>
      </c>
      <c r="Y474" s="211"/>
      <c r="Z474" s="211"/>
      <c r="AA474" s="211">
        <f>U474*(H457)</f>
        <v>0</v>
      </c>
      <c r="AB474" s="211"/>
      <c r="AC474" s="211"/>
      <c r="AD474" s="211">
        <f>U474*(K457)</f>
        <v>0</v>
      </c>
      <c r="AE474" s="211"/>
      <c r="AF474" s="211"/>
      <c r="AG474" s="211">
        <f>U474*(N457)</f>
        <v>0</v>
      </c>
      <c r="AH474" s="211"/>
      <c r="AI474" s="211"/>
      <c r="AJ474" s="211">
        <f>U474*(Q457)</f>
        <v>0</v>
      </c>
      <c r="AK474" s="211"/>
      <c r="AL474" s="211"/>
      <c r="AM474" s="211">
        <f>U474*(T457)</f>
        <v>0</v>
      </c>
      <c r="AN474" s="211"/>
    </row>
    <row r="475" spans="2:40" s="7" customFormat="1" ht="12" hidden="1" customHeight="1" outlineLevel="3">
      <c r="B475" s="245"/>
      <c r="C475" s="213" t="s">
        <v>770</v>
      </c>
      <c r="D475" s="213"/>
      <c r="E475" s="213"/>
      <c r="F475" s="213"/>
      <c r="G475" s="213"/>
      <c r="H475" s="213"/>
      <c r="I475" s="213"/>
      <c r="J475" s="213"/>
      <c r="K475" s="213"/>
      <c r="L475" s="213"/>
      <c r="M475" s="213"/>
      <c r="N475" s="213"/>
      <c r="O475" s="213"/>
      <c r="P475" s="213"/>
      <c r="Q475" s="213"/>
      <c r="R475" s="213"/>
      <c r="S475" s="213"/>
      <c r="T475" s="213"/>
      <c r="U475" s="213"/>
      <c r="V475" s="211">
        <f>INDEX($C$349:$AN$371, MATCH("New Customers 3MS", $C$349:$C$371, 0), MATCH($C475, $C$349:$AN$349, 0))</f>
        <v>0</v>
      </c>
      <c r="W475" s="211"/>
      <c r="X475" s="211"/>
      <c r="Y475" s="211">
        <f>V475*(E457)</f>
        <v>0</v>
      </c>
      <c r="Z475" s="211"/>
      <c r="AA475" s="211"/>
      <c r="AB475" s="211">
        <f>V475*(H457)</f>
        <v>0</v>
      </c>
      <c r="AC475" s="211"/>
      <c r="AD475" s="211"/>
      <c r="AE475" s="211">
        <f>V475*(K457)</f>
        <v>0</v>
      </c>
      <c r="AF475" s="211"/>
      <c r="AG475" s="211"/>
      <c r="AH475" s="211">
        <f>V475*(N457)</f>
        <v>0</v>
      </c>
      <c r="AI475" s="211"/>
      <c r="AJ475" s="211"/>
      <c r="AK475" s="211">
        <f>V475*(Q457)</f>
        <v>0</v>
      </c>
      <c r="AL475" s="211"/>
      <c r="AM475" s="211"/>
      <c r="AN475" s="211">
        <f>V475*(T457)</f>
        <v>0</v>
      </c>
    </row>
    <row r="476" spans="2:40" s="7" customFormat="1" ht="12" hidden="1" customHeight="1" outlineLevel="3">
      <c r="B476" s="245"/>
      <c r="C476" s="213" t="s">
        <v>771</v>
      </c>
      <c r="D476" s="213"/>
      <c r="E476" s="213"/>
      <c r="F476" s="213"/>
      <c r="G476" s="213"/>
      <c r="H476" s="213"/>
      <c r="I476" s="213"/>
      <c r="J476" s="213"/>
      <c r="K476" s="213"/>
      <c r="L476" s="213"/>
      <c r="M476" s="213"/>
      <c r="N476" s="213"/>
      <c r="O476" s="213"/>
      <c r="P476" s="213"/>
      <c r="Q476" s="213"/>
      <c r="R476" s="213"/>
      <c r="S476" s="213"/>
      <c r="T476" s="213"/>
      <c r="U476" s="213"/>
      <c r="V476" s="213"/>
      <c r="W476" s="211">
        <f>INDEX($C$349:$AN$371, MATCH("New Customers 3MS", $C$349:$C$371, 0), MATCH($C476, $C$349:$AN$349, 0))</f>
        <v>0</v>
      </c>
      <c r="X476" s="211"/>
      <c r="Y476" s="211"/>
      <c r="Z476" s="211">
        <f>W476*(E457)</f>
        <v>0</v>
      </c>
      <c r="AA476" s="211"/>
      <c r="AB476" s="211"/>
      <c r="AC476" s="211">
        <f>W476*(H457)</f>
        <v>0</v>
      </c>
      <c r="AD476" s="211"/>
      <c r="AE476" s="211"/>
      <c r="AF476" s="211">
        <f>W476*(K457)</f>
        <v>0</v>
      </c>
      <c r="AG476" s="211"/>
      <c r="AH476" s="211"/>
      <c r="AI476" s="211">
        <f>W476*(N457)</f>
        <v>0</v>
      </c>
      <c r="AJ476" s="211"/>
      <c r="AK476" s="211"/>
      <c r="AL476" s="211">
        <f>W476*(Q457)</f>
        <v>0</v>
      </c>
      <c r="AM476" s="211"/>
      <c r="AN476" s="211"/>
    </row>
    <row r="477" spans="2:40" s="7" customFormat="1" ht="12" hidden="1" customHeight="1" outlineLevel="3">
      <c r="B477" s="245"/>
      <c r="C477" s="213" t="s">
        <v>772</v>
      </c>
      <c r="D477" s="213"/>
      <c r="E477" s="213"/>
      <c r="F477" s="213"/>
      <c r="G477" s="213"/>
      <c r="H477" s="213"/>
      <c r="I477" s="213"/>
      <c r="J477" s="213"/>
      <c r="K477" s="213"/>
      <c r="L477" s="213"/>
      <c r="M477" s="213"/>
      <c r="N477" s="213"/>
      <c r="O477" s="213"/>
      <c r="P477" s="213"/>
      <c r="Q477" s="213"/>
      <c r="R477" s="213"/>
      <c r="S477" s="213"/>
      <c r="T477" s="213"/>
      <c r="U477" s="213"/>
      <c r="V477" s="213"/>
      <c r="W477" s="213"/>
      <c r="X477" s="211">
        <f>INDEX($C$349:$AN$371, MATCH("New Customers 3MS", $C$349:$C$371, 0), MATCH($C477, $C$349:$AN$349, 0))</f>
        <v>0</v>
      </c>
      <c r="Y477" s="211"/>
      <c r="Z477" s="211"/>
      <c r="AA477" s="211">
        <f>X477*(E457)</f>
        <v>0</v>
      </c>
      <c r="AB477" s="211"/>
      <c r="AC477" s="211"/>
      <c r="AD477" s="211">
        <f>X477*(H457)</f>
        <v>0</v>
      </c>
      <c r="AE477" s="211"/>
      <c r="AF477" s="211"/>
      <c r="AG477" s="211">
        <f>X477*(K457)</f>
        <v>0</v>
      </c>
      <c r="AH477" s="211"/>
      <c r="AI477" s="211"/>
      <c r="AJ477" s="211">
        <f>X477*(N457)</f>
        <v>0</v>
      </c>
      <c r="AK477" s="211"/>
      <c r="AL477" s="211"/>
      <c r="AM477" s="211">
        <f>X477*(Q457)</f>
        <v>0</v>
      </c>
      <c r="AN477" s="211"/>
    </row>
    <row r="478" spans="2:40" s="7" customFormat="1" ht="12" hidden="1" customHeight="1" outlineLevel="3">
      <c r="B478" s="245"/>
      <c r="C478" s="213" t="s">
        <v>773</v>
      </c>
      <c r="D478" s="213"/>
      <c r="E478" s="213"/>
      <c r="F478" s="213"/>
      <c r="G478" s="213"/>
      <c r="H478" s="213"/>
      <c r="I478" s="213"/>
      <c r="J478" s="213"/>
      <c r="K478" s="213"/>
      <c r="L478" s="213"/>
      <c r="M478" s="213"/>
      <c r="N478" s="213"/>
      <c r="O478" s="213"/>
      <c r="P478" s="213"/>
      <c r="Q478" s="213"/>
      <c r="R478" s="213"/>
      <c r="S478" s="213"/>
      <c r="T478" s="213"/>
      <c r="U478" s="213"/>
      <c r="V478" s="213"/>
      <c r="W478" s="213"/>
      <c r="X478" s="213"/>
      <c r="Y478" s="211">
        <f>INDEX($C$349:$AN$371, MATCH("New Customers 3MS", $C$349:$C$371, 0), MATCH($C478, $C$349:$AN$349, 0))</f>
        <v>0</v>
      </c>
      <c r="Z478" s="211"/>
      <c r="AA478" s="211"/>
      <c r="AB478" s="211">
        <f>Y478*(E457)</f>
        <v>0</v>
      </c>
      <c r="AC478" s="211"/>
      <c r="AD478" s="211"/>
      <c r="AE478" s="211">
        <f>Y478*(H457)</f>
        <v>0</v>
      </c>
      <c r="AF478" s="211"/>
      <c r="AG478" s="211"/>
      <c r="AH478" s="211">
        <f>Y478*(K457)</f>
        <v>0</v>
      </c>
      <c r="AI478" s="211"/>
      <c r="AJ478" s="211"/>
      <c r="AK478" s="211">
        <f>Y478*(N457)</f>
        <v>0</v>
      </c>
      <c r="AL478" s="211"/>
      <c r="AM478" s="211"/>
      <c r="AN478" s="211">
        <f>Y478*(Q457)</f>
        <v>0</v>
      </c>
    </row>
    <row r="479" spans="2:40" s="7" customFormat="1" ht="12" hidden="1" customHeight="1" outlineLevel="3">
      <c r="B479" s="245"/>
      <c r="C479" s="213" t="s">
        <v>774</v>
      </c>
      <c r="D479" s="213"/>
      <c r="E479" s="213"/>
      <c r="F479" s="213"/>
      <c r="G479" s="213"/>
      <c r="H479" s="213"/>
      <c r="I479" s="213"/>
      <c r="J479" s="213"/>
      <c r="K479" s="213"/>
      <c r="L479" s="213"/>
      <c r="M479" s="213"/>
      <c r="N479" s="213"/>
      <c r="O479" s="213"/>
      <c r="P479" s="213"/>
      <c r="Q479" s="213"/>
      <c r="R479" s="213"/>
      <c r="S479" s="213"/>
      <c r="T479" s="213"/>
      <c r="U479" s="213"/>
      <c r="V479" s="213"/>
      <c r="W479" s="213"/>
      <c r="X479" s="213"/>
      <c r="Y479" s="213"/>
      <c r="Z479" s="211">
        <f>INDEX($C$349:$AN$371, MATCH("New Customers 3MS", $C$349:$C$371, 0), MATCH($C479, $C$349:$AN$349, 0))</f>
        <v>0</v>
      </c>
      <c r="AA479" s="211"/>
      <c r="AB479" s="211"/>
      <c r="AC479" s="211">
        <f>Z479*(E457)</f>
        <v>0</v>
      </c>
      <c r="AD479" s="211"/>
      <c r="AE479" s="211"/>
      <c r="AF479" s="211">
        <f>Z479*(H457)</f>
        <v>0</v>
      </c>
      <c r="AG479" s="211"/>
      <c r="AH479" s="211"/>
      <c r="AI479" s="211">
        <f>Z479*(K457)</f>
        <v>0</v>
      </c>
      <c r="AJ479" s="211"/>
      <c r="AK479" s="211"/>
      <c r="AL479" s="211">
        <f>Z479*(N457)</f>
        <v>0</v>
      </c>
      <c r="AM479" s="211"/>
      <c r="AN479" s="211"/>
    </row>
    <row r="480" spans="2:40" s="7" customFormat="1" ht="12" hidden="1" customHeight="1" outlineLevel="3">
      <c r="B480" s="245"/>
      <c r="C480" s="213" t="s">
        <v>775</v>
      </c>
      <c r="D480" s="213"/>
      <c r="E480" s="213"/>
      <c r="F480" s="213"/>
      <c r="G480" s="213"/>
      <c r="H480" s="213"/>
      <c r="I480" s="213"/>
      <c r="J480" s="213"/>
      <c r="K480" s="213"/>
      <c r="L480" s="213"/>
      <c r="M480" s="213"/>
      <c r="N480" s="213"/>
      <c r="O480" s="213"/>
      <c r="P480" s="213"/>
      <c r="Q480" s="213"/>
      <c r="R480" s="213"/>
      <c r="S480" s="213"/>
      <c r="T480" s="213"/>
      <c r="U480" s="213"/>
      <c r="V480" s="213"/>
      <c r="W480" s="213"/>
      <c r="X480" s="213"/>
      <c r="Y480" s="213"/>
      <c r="Z480" s="213"/>
      <c r="AA480" s="211">
        <f>INDEX($C$349:$AN$371, MATCH("New Customers 3MS", $C$349:$C$371, 0), MATCH($C480, $C$349:$AN$349, 0))</f>
        <v>0</v>
      </c>
      <c r="AB480" s="211"/>
      <c r="AC480" s="211"/>
      <c r="AD480" s="211">
        <f>AA480*(E457)</f>
        <v>0</v>
      </c>
      <c r="AE480" s="211"/>
      <c r="AF480" s="211"/>
      <c r="AG480" s="211">
        <f>AA480*(H457)</f>
        <v>0</v>
      </c>
      <c r="AH480" s="211"/>
      <c r="AI480" s="211"/>
      <c r="AJ480" s="211">
        <f>AA480*(K457)</f>
        <v>0</v>
      </c>
      <c r="AK480" s="211"/>
      <c r="AL480" s="211"/>
      <c r="AM480" s="211">
        <f>AA480*(N457)</f>
        <v>0</v>
      </c>
      <c r="AN480" s="211"/>
    </row>
    <row r="481" spans="2:40" s="7" customFormat="1" ht="12" hidden="1" customHeight="1" outlineLevel="3">
      <c r="B481" s="245"/>
      <c r="C481" s="213" t="s">
        <v>776</v>
      </c>
      <c r="D481" s="213"/>
      <c r="E481" s="213"/>
      <c r="F481" s="213"/>
      <c r="G481" s="213"/>
      <c r="H481" s="213"/>
      <c r="I481" s="213"/>
      <c r="J481" s="213"/>
      <c r="K481" s="213"/>
      <c r="L481" s="213"/>
      <c r="M481" s="213"/>
      <c r="N481" s="213"/>
      <c r="O481" s="213"/>
      <c r="P481" s="213"/>
      <c r="Q481" s="213"/>
      <c r="R481" s="213"/>
      <c r="S481" s="213"/>
      <c r="T481" s="213"/>
      <c r="U481" s="213"/>
      <c r="V481" s="213"/>
      <c r="W481" s="213"/>
      <c r="X481" s="213"/>
      <c r="Y481" s="213"/>
      <c r="Z481" s="213"/>
      <c r="AA481" s="213"/>
      <c r="AB481" s="211">
        <f>INDEX($C$349:$AN$371, MATCH("New Customers 3MS", $C$349:$C$371, 0), MATCH($C481, $C$349:$AN$349, 0))</f>
        <v>0</v>
      </c>
      <c r="AC481" s="211"/>
      <c r="AD481" s="211"/>
      <c r="AE481" s="211">
        <f>AB481*(E457)</f>
        <v>0</v>
      </c>
      <c r="AF481" s="211"/>
      <c r="AG481" s="211"/>
      <c r="AH481" s="211">
        <f>AB481*(H457)</f>
        <v>0</v>
      </c>
      <c r="AI481" s="211"/>
      <c r="AJ481" s="211"/>
      <c r="AK481" s="211">
        <f>AB481*($K$153)</f>
        <v>0</v>
      </c>
      <c r="AL481" s="211"/>
      <c r="AM481" s="211"/>
      <c r="AN481" s="211">
        <f>AB481*(N457)</f>
        <v>0</v>
      </c>
    </row>
    <row r="482" spans="2:40" s="7" customFormat="1" ht="12" hidden="1" customHeight="1" outlineLevel="3">
      <c r="B482" s="245"/>
      <c r="C482" s="213" t="s">
        <v>777</v>
      </c>
      <c r="D482" s="213"/>
      <c r="E482" s="213"/>
      <c r="F482" s="213"/>
      <c r="G482" s="213"/>
      <c r="H482" s="213"/>
      <c r="I482" s="213"/>
      <c r="J482" s="213"/>
      <c r="K482" s="213"/>
      <c r="L482" s="213"/>
      <c r="M482" s="213"/>
      <c r="N482" s="213"/>
      <c r="O482" s="213"/>
      <c r="P482" s="213"/>
      <c r="Q482" s="213"/>
      <c r="R482" s="213"/>
      <c r="S482" s="213"/>
      <c r="T482" s="213"/>
      <c r="U482" s="213"/>
      <c r="V482" s="213"/>
      <c r="W482" s="213"/>
      <c r="X482" s="213"/>
      <c r="Y482" s="213"/>
      <c r="Z482" s="213"/>
      <c r="AA482" s="213"/>
      <c r="AB482" s="211"/>
      <c r="AC482" s="211">
        <f>INDEX($C$349:$AN$371, MATCH("New Customers 3MS", $C$349:$C$371, 0), MATCH($C482, $C$349:$AN$349, 0))</f>
        <v>0</v>
      </c>
      <c r="AD482" s="211"/>
      <c r="AE482" s="211"/>
      <c r="AF482" s="211">
        <f>AC482*($E$153)</f>
        <v>0</v>
      </c>
      <c r="AG482" s="211"/>
      <c r="AH482" s="211"/>
      <c r="AI482" s="211">
        <f>AB481*($H$153)</f>
        <v>0</v>
      </c>
      <c r="AJ482" s="211"/>
      <c r="AK482" s="211"/>
      <c r="AL482" s="211">
        <f>AC482*($K$153)</f>
        <v>0</v>
      </c>
      <c r="AM482" s="211"/>
      <c r="AN482" s="211"/>
    </row>
    <row r="483" spans="2:40" s="7" customFormat="1" ht="12" hidden="1" customHeight="1" outlineLevel="3">
      <c r="B483" s="245"/>
      <c r="C483" s="213" t="s">
        <v>778</v>
      </c>
      <c r="D483" s="213"/>
      <c r="E483" s="213"/>
      <c r="F483" s="213"/>
      <c r="G483" s="213"/>
      <c r="H483" s="213"/>
      <c r="I483" s="213"/>
      <c r="J483" s="213"/>
      <c r="K483" s="213"/>
      <c r="L483" s="213"/>
      <c r="M483" s="213"/>
      <c r="N483" s="213"/>
      <c r="O483" s="213"/>
      <c r="P483" s="213"/>
      <c r="Q483" s="213"/>
      <c r="R483" s="213"/>
      <c r="S483" s="213"/>
      <c r="T483" s="213"/>
      <c r="U483" s="213"/>
      <c r="V483" s="213"/>
      <c r="W483" s="213"/>
      <c r="X483" s="213"/>
      <c r="Y483" s="213"/>
      <c r="Z483" s="213"/>
      <c r="AA483" s="213"/>
      <c r="AB483" s="211"/>
      <c r="AC483" s="211"/>
      <c r="AD483" s="211">
        <f>INDEX($C$349:$AN$371, MATCH("New Customers 3MS", $C$349:$C$371, 0), MATCH($C483, $C$349:$AN$349, 0))</f>
        <v>0</v>
      </c>
      <c r="AE483" s="211"/>
      <c r="AF483" s="211"/>
      <c r="AG483" s="211">
        <f>AD483*($E$153)</f>
        <v>0</v>
      </c>
      <c r="AH483" s="211"/>
      <c r="AI483" s="211"/>
      <c r="AJ483" s="211">
        <f>AB481*($H$153)</f>
        <v>0</v>
      </c>
      <c r="AK483" s="211"/>
      <c r="AL483" s="211"/>
      <c r="AM483" s="211">
        <f>AD483*($K$153)</f>
        <v>0</v>
      </c>
      <c r="AN483" s="211"/>
    </row>
    <row r="484" spans="2:40" s="7" customFormat="1" ht="12" hidden="1" customHeight="1" outlineLevel="3">
      <c r="B484" s="245"/>
      <c r="C484" s="213" t="s">
        <v>779</v>
      </c>
      <c r="D484" s="213"/>
      <c r="E484" s="213"/>
      <c r="F484" s="213"/>
      <c r="G484" s="213"/>
      <c r="H484" s="213"/>
      <c r="I484" s="213"/>
      <c r="J484" s="213"/>
      <c r="K484" s="213"/>
      <c r="L484" s="213"/>
      <c r="M484" s="213"/>
      <c r="N484" s="213"/>
      <c r="O484" s="213"/>
      <c r="P484" s="213"/>
      <c r="Q484" s="213"/>
      <c r="R484" s="213"/>
      <c r="S484" s="213"/>
      <c r="T484" s="213"/>
      <c r="U484" s="213"/>
      <c r="V484" s="213"/>
      <c r="W484" s="213"/>
      <c r="X484" s="213"/>
      <c r="Y484" s="213"/>
      <c r="Z484" s="213"/>
      <c r="AA484" s="213"/>
      <c r="AB484" s="211"/>
      <c r="AC484" s="211"/>
      <c r="AD484" s="211"/>
      <c r="AE484" s="211">
        <f>INDEX($C$349:$AN$371, MATCH("New Customers 3MS", $C$349:$C$371, 0), MATCH($C484, $C$349:$AN$349, 0))</f>
        <v>0</v>
      </c>
      <c r="AF484" s="211"/>
      <c r="AG484" s="211"/>
      <c r="AH484" s="211">
        <f>AE484*($E$153)</f>
        <v>0</v>
      </c>
      <c r="AI484" s="211"/>
      <c r="AJ484" s="211"/>
      <c r="AK484" s="211">
        <f>AB481*($H$153)</f>
        <v>0</v>
      </c>
      <c r="AL484" s="211"/>
      <c r="AM484" s="211"/>
      <c r="AN484" s="211">
        <f>AE484*($K$153)</f>
        <v>0</v>
      </c>
    </row>
    <row r="485" spans="2:40" s="7" customFormat="1" ht="12" hidden="1" customHeight="1" outlineLevel="3">
      <c r="B485" s="245"/>
      <c r="C485" s="213" t="s">
        <v>780</v>
      </c>
      <c r="D485" s="213"/>
      <c r="E485" s="213"/>
      <c r="F485" s="213"/>
      <c r="G485" s="213"/>
      <c r="H485" s="213"/>
      <c r="I485" s="213"/>
      <c r="J485" s="213"/>
      <c r="K485" s="213"/>
      <c r="L485" s="213"/>
      <c r="M485" s="213"/>
      <c r="N485" s="213"/>
      <c r="O485" s="213"/>
      <c r="P485" s="213"/>
      <c r="Q485" s="213"/>
      <c r="R485" s="213"/>
      <c r="S485" s="213"/>
      <c r="T485" s="213"/>
      <c r="U485" s="213"/>
      <c r="V485" s="213"/>
      <c r="W485" s="213"/>
      <c r="X485" s="213"/>
      <c r="Y485" s="213"/>
      <c r="Z485" s="213"/>
      <c r="AA485" s="213"/>
      <c r="AB485" s="211"/>
      <c r="AC485" s="211"/>
      <c r="AD485" s="211"/>
      <c r="AE485" s="211"/>
      <c r="AF485" s="211">
        <f>INDEX($C$349:$AN$371, MATCH("New Customers 3MS", $C$349:$C$371, 0), MATCH($C485, $C$349:$AN$349, 0))</f>
        <v>0</v>
      </c>
      <c r="AG485" s="211"/>
      <c r="AH485" s="211"/>
      <c r="AI485" s="211">
        <f>AF485*($E$153)</f>
        <v>0</v>
      </c>
      <c r="AJ485" s="211"/>
      <c r="AK485" s="211"/>
      <c r="AL485" s="211">
        <f>AB481*($H$153)</f>
        <v>0</v>
      </c>
      <c r="AM485" s="211"/>
      <c r="AN485" s="211"/>
    </row>
    <row r="486" spans="2:40" s="7" customFormat="1" ht="12" hidden="1" customHeight="1" outlineLevel="3">
      <c r="B486" s="245"/>
      <c r="C486" s="213" t="s">
        <v>781</v>
      </c>
      <c r="D486" s="213"/>
      <c r="E486" s="213"/>
      <c r="F486" s="213"/>
      <c r="G486" s="213"/>
      <c r="H486" s="213"/>
      <c r="I486" s="213"/>
      <c r="J486" s="213"/>
      <c r="K486" s="213"/>
      <c r="L486" s="213"/>
      <c r="M486" s="213"/>
      <c r="N486" s="213"/>
      <c r="O486" s="213"/>
      <c r="P486" s="213"/>
      <c r="Q486" s="213"/>
      <c r="R486" s="213"/>
      <c r="S486" s="213"/>
      <c r="T486" s="213"/>
      <c r="U486" s="213"/>
      <c r="V486" s="213"/>
      <c r="W486" s="213"/>
      <c r="X486" s="213"/>
      <c r="Y486" s="213"/>
      <c r="Z486" s="213"/>
      <c r="AA486" s="213"/>
      <c r="AB486" s="211"/>
      <c r="AC486" s="211"/>
      <c r="AD486" s="211"/>
      <c r="AE486" s="211"/>
      <c r="AF486" s="211"/>
      <c r="AG486" s="211">
        <f>INDEX($C$349:$AN$371, MATCH("New Customers 3MS", $C$349:$C$371, 0), MATCH($C486, $C$349:$AN$349, 0))</f>
        <v>0</v>
      </c>
      <c r="AH486" s="211"/>
      <c r="AI486" s="211"/>
      <c r="AJ486" s="211">
        <f>AG486*($E$153)</f>
        <v>0</v>
      </c>
      <c r="AK486" s="211"/>
      <c r="AL486" s="211"/>
      <c r="AM486" s="211">
        <f>AB481*($H$153)</f>
        <v>0</v>
      </c>
      <c r="AN486" s="211"/>
    </row>
    <row r="487" spans="2:40" s="7" customFormat="1" ht="12" hidden="1" customHeight="1" outlineLevel="3">
      <c r="B487" s="245"/>
      <c r="C487" s="213" t="s">
        <v>782</v>
      </c>
      <c r="D487" s="213"/>
      <c r="E487" s="213"/>
      <c r="F487" s="213"/>
      <c r="G487" s="213"/>
      <c r="H487" s="213"/>
      <c r="I487" s="213"/>
      <c r="J487" s="213"/>
      <c r="K487" s="213"/>
      <c r="L487" s="213"/>
      <c r="M487" s="213"/>
      <c r="N487" s="213"/>
      <c r="O487" s="213"/>
      <c r="P487" s="213"/>
      <c r="Q487" s="213"/>
      <c r="R487" s="213"/>
      <c r="S487" s="213"/>
      <c r="T487" s="213"/>
      <c r="U487" s="213"/>
      <c r="V487" s="213"/>
      <c r="W487" s="213"/>
      <c r="X487" s="213"/>
      <c r="Y487" s="213"/>
      <c r="Z487" s="213"/>
      <c r="AA487" s="213"/>
      <c r="AB487" s="211"/>
      <c r="AC487" s="211"/>
      <c r="AD487" s="211"/>
      <c r="AE487" s="211"/>
      <c r="AF487" s="211"/>
      <c r="AG487" s="211"/>
      <c r="AH487" s="211">
        <f>INDEX($C$349:$AN$371, MATCH("New Customers 3MS", $C$349:$C$371, 0), MATCH($C487, $C$349:$AN$349, 0))</f>
        <v>0</v>
      </c>
      <c r="AI487" s="211"/>
      <c r="AJ487" s="211"/>
      <c r="AK487" s="211">
        <f>AH487*($E$153)</f>
        <v>0</v>
      </c>
      <c r="AL487" s="211"/>
      <c r="AM487" s="211"/>
      <c r="AN487" s="211">
        <f>AB481*($H$153)</f>
        <v>0</v>
      </c>
    </row>
    <row r="488" spans="2:40" s="7" customFormat="1" ht="12" hidden="1" customHeight="1" outlineLevel="3">
      <c r="B488" s="245"/>
      <c r="C488" s="213" t="s">
        <v>783</v>
      </c>
      <c r="D488" s="213"/>
      <c r="E488" s="213"/>
      <c r="F488" s="213"/>
      <c r="G488" s="213"/>
      <c r="H488" s="213"/>
      <c r="I488" s="213"/>
      <c r="J488" s="213"/>
      <c r="K488" s="213"/>
      <c r="L488" s="213"/>
      <c r="M488" s="213"/>
      <c r="N488" s="213"/>
      <c r="O488" s="213"/>
      <c r="P488" s="213"/>
      <c r="Q488" s="213"/>
      <c r="R488" s="213"/>
      <c r="S488" s="213"/>
      <c r="T488" s="213"/>
      <c r="U488" s="213"/>
      <c r="V488" s="213"/>
      <c r="W488" s="213"/>
      <c r="X488" s="213"/>
      <c r="Y488" s="213"/>
      <c r="Z488" s="213"/>
      <c r="AA488" s="213"/>
      <c r="AB488" s="211"/>
      <c r="AC488" s="211"/>
      <c r="AD488" s="211"/>
      <c r="AE488" s="211"/>
      <c r="AF488" s="211"/>
      <c r="AG488" s="211"/>
      <c r="AH488" s="211"/>
      <c r="AI488" s="211">
        <f>INDEX($C$349:$AN$371, MATCH("New Customers 3MS", $C$349:$C$371, 0), MATCH($C488, $C$349:$AN$349, 0))</f>
        <v>0</v>
      </c>
      <c r="AJ488" s="211"/>
      <c r="AK488" s="211"/>
      <c r="AL488" s="211">
        <f>AI488*($E$153)</f>
        <v>0</v>
      </c>
      <c r="AM488" s="211"/>
      <c r="AN488" s="211"/>
    </row>
    <row r="489" spans="2:40" s="7" customFormat="1" ht="12" hidden="1" customHeight="1" outlineLevel="3">
      <c r="B489" s="245"/>
      <c r="C489" s="213" t="s">
        <v>784</v>
      </c>
      <c r="D489" s="213"/>
      <c r="E489" s="213"/>
      <c r="F489" s="213"/>
      <c r="G489" s="213"/>
      <c r="H489" s="213"/>
      <c r="I489" s="213"/>
      <c r="J489" s="213"/>
      <c r="K489" s="213"/>
      <c r="L489" s="213"/>
      <c r="M489" s="213"/>
      <c r="N489" s="213"/>
      <c r="O489" s="213"/>
      <c r="P489" s="213"/>
      <c r="Q489" s="213"/>
      <c r="R489" s="213"/>
      <c r="S489" s="213"/>
      <c r="T489" s="213"/>
      <c r="U489" s="213"/>
      <c r="V489" s="213"/>
      <c r="W489" s="213"/>
      <c r="X489" s="213"/>
      <c r="Y489" s="213"/>
      <c r="Z489" s="213"/>
      <c r="AA489" s="213"/>
      <c r="AB489" s="211"/>
      <c r="AC489" s="211"/>
      <c r="AD489" s="211"/>
      <c r="AE489" s="211"/>
      <c r="AF489" s="211"/>
      <c r="AG489" s="211"/>
      <c r="AH489" s="211"/>
      <c r="AI489" s="211"/>
      <c r="AJ489" s="211">
        <f>INDEX($C$349:$AN$371, MATCH("New Customers 3MS", $C$349:$C$371, 0), MATCH($C489, $C$349:$AN$349, 0))</f>
        <v>0</v>
      </c>
      <c r="AK489" s="211"/>
      <c r="AL489" s="211"/>
      <c r="AM489" s="211">
        <f>AJ489*($E$153)</f>
        <v>0</v>
      </c>
      <c r="AN489" s="211"/>
    </row>
    <row r="490" spans="2:40" s="7" customFormat="1" ht="12" hidden="1" customHeight="1" outlineLevel="3">
      <c r="B490" s="245"/>
      <c r="C490" s="213" t="s">
        <v>785</v>
      </c>
      <c r="D490" s="213"/>
      <c r="E490" s="213"/>
      <c r="F490" s="213"/>
      <c r="G490" s="213"/>
      <c r="H490" s="213"/>
      <c r="I490" s="213"/>
      <c r="J490" s="213"/>
      <c r="K490" s="213"/>
      <c r="L490" s="213"/>
      <c r="M490" s="213"/>
      <c r="N490" s="213"/>
      <c r="O490" s="213"/>
      <c r="P490" s="213"/>
      <c r="Q490" s="213"/>
      <c r="R490" s="213"/>
      <c r="S490" s="213"/>
      <c r="T490" s="213"/>
      <c r="U490" s="213"/>
      <c r="V490" s="213"/>
      <c r="W490" s="213"/>
      <c r="X490" s="213"/>
      <c r="Y490" s="213"/>
      <c r="Z490" s="213"/>
      <c r="AA490" s="213"/>
      <c r="AB490" s="211"/>
      <c r="AC490" s="211"/>
      <c r="AD490" s="211"/>
      <c r="AE490" s="211"/>
      <c r="AF490" s="211"/>
      <c r="AG490" s="211"/>
      <c r="AH490" s="211"/>
      <c r="AI490" s="211"/>
      <c r="AJ490" s="211"/>
      <c r="AK490" s="211">
        <f>INDEX($C$349:$AN$371, MATCH("New Customers 3MS", $C$349:$C$371, 0), MATCH($C490, $C$349:$AN$349, 0))</f>
        <v>0</v>
      </c>
      <c r="AL490" s="211"/>
      <c r="AM490" s="211"/>
      <c r="AN490" s="211">
        <f>AK490*($E$153)</f>
        <v>0</v>
      </c>
    </row>
    <row r="491" spans="2:40" s="7" customFormat="1" ht="12" hidden="1" customHeight="1" outlineLevel="3">
      <c r="B491" s="245"/>
      <c r="C491" s="213" t="s">
        <v>786</v>
      </c>
      <c r="D491" s="213"/>
      <c r="E491" s="213"/>
      <c r="F491" s="213"/>
      <c r="G491" s="213"/>
      <c r="H491" s="213"/>
      <c r="I491" s="213"/>
      <c r="J491" s="213"/>
      <c r="K491" s="213"/>
      <c r="L491" s="213"/>
      <c r="M491" s="213"/>
      <c r="N491" s="213"/>
      <c r="O491" s="213"/>
      <c r="P491" s="213"/>
      <c r="Q491" s="213"/>
      <c r="R491" s="213"/>
      <c r="S491" s="213"/>
      <c r="T491" s="213"/>
      <c r="U491" s="213"/>
      <c r="V491" s="213"/>
      <c r="W491" s="213"/>
      <c r="X491" s="213"/>
      <c r="Y491" s="213"/>
      <c r="Z491" s="213"/>
      <c r="AA491" s="213"/>
      <c r="AB491" s="211"/>
      <c r="AC491" s="211"/>
      <c r="AD491" s="211"/>
      <c r="AE491" s="211"/>
      <c r="AF491" s="211"/>
      <c r="AG491" s="211"/>
      <c r="AH491" s="211"/>
      <c r="AI491" s="211"/>
      <c r="AJ491" s="211"/>
      <c r="AK491" s="211"/>
      <c r="AL491" s="211">
        <f>INDEX($C$349:$AN$371, MATCH("New Customers 3MS", $C$349:$C$371, 0), MATCH($C491, $C$349:$AN$349, 0))</f>
        <v>0</v>
      </c>
      <c r="AM491" s="211"/>
      <c r="AN491" s="211"/>
    </row>
    <row r="492" spans="2:40" s="7" customFormat="1" ht="12" hidden="1" customHeight="1" outlineLevel="3">
      <c r="B492" s="245"/>
      <c r="C492" s="213" t="s">
        <v>787</v>
      </c>
      <c r="D492" s="213"/>
      <c r="E492" s="213"/>
      <c r="F492" s="213"/>
      <c r="G492" s="213"/>
      <c r="H492" s="213"/>
      <c r="I492" s="213"/>
      <c r="J492" s="213"/>
      <c r="K492" s="213"/>
      <c r="L492" s="213"/>
      <c r="M492" s="213"/>
      <c r="N492" s="213"/>
      <c r="O492" s="213"/>
      <c r="P492" s="213"/>
      <c r="Q492" s="213"/>
      <c r="R492" s="213"/>
      <c r="S492" s="213"/>
      <c r="T492" s="213"/>
      <c r="U492" s="213"/>
      <c r="V492" s="213"/>
      <c r="W492" s="213"/>
      <c r="X492" s="213"/>
      <c r="Y492" s="213"/>
      <c r="Z492" s="213"/>
      <c r="AA492" s="213"/>
      <c r="AB492" s="211"/>
      <c r="AC492" s="211"/>
      <c r="AD492" s="211"/>
      <c r="AE492" s="211"/>
      <c r="AF492" s="211"/>
      <c r="AG492" s="211"/>
      <c r="AH492" s="211"/>
      <c r="AI492" s="211"/>
      <c r="AJ492" s="211"/>
      <c r="AK492" s="211"/>
      <c r="AL492" s="211"/>
      <c r="AM492" s="211">
        <f>INDEX($C$349:$AN$371, MATCH("New Customers 3MS", $C$349:$C$371, 0), MATCH($C492, $C$349:$AN$349, 0))</f>
        <v>0</v>
      </c>
      <c r="AN492" s="211"/>
    </row>
    <row r="493" spans="2:40" s="7" customFormat="1" ht="12" hidden="1" customHeight="1" outlineLevel="3">
      <c r="B493" s="245"/>
      <c r="C493" s="213" t="s">
        <v>788</v>
      </c>
      <c r="D493" s="213"/>
      <c r="E493" s="213"/>
      <c r="F493" s="213"/>
      <c r="G493" s="213"/>
      <c r="H493" s="213"/>
      <c r="I493" s="213"/>
      <c r="J493" s="213"/>
      <c r="K493" s="213"/>
      <c r="L493" s="213"/>
      <c r="M493" s="213"/>
      <c r="N493" s="213"/>
      <c r="O493" s="213"/>
      <c r="P493" s="213"/>
      <c r="Q493" s="213"/>
      <c r="R493" s="213"/>
      <c r="S493" s="213"/>
      <c r="T493" s="213"/>
      <c r="U493" s="213"/>
      <c r="V493" s="213"/>
      <c r="W493" s="213"/>
      <c r="X493" s="213"/>
      <c r="Y493" s="213"/>
      <c r="Z493" s="213"/>
      <c r="AA493" s="213"/>
      <c r="AB493" s="211"/>
      <c r="AC493" s="211"/>
      <c r="AD493" s="211"/>
      <c r="AE493" s="211"/>
      <c r="AF493" s="211"/>
      <c r="AG493" s="211"/>
      <c r="AH493" s="211"/>
      <c r="AI493" s="211"/>
      <c r="AJ493" s="211"/>
      <c r="AK493" s="211"/>
      <c r="AL493" s="211"/>
      <c r="AM493" s="211"/>
      <c r="AN493" s="211">
        <f>INDEX($C$349:$AN$371, MATCH("New Customers 3MS", $C$349:$C$371, 0), MATCH($C493, $C$349:$AN$349, 0))</f>
        <v>0</v>
      </c>
    </row>
    <row r="494" spans="2:40" s="7" customFormat="1" ht="12" hidden="1" customHeight="1" outlineLevel="2">
      <c r="B494" s="239"/>
      <c r="C494" s="214"/>
      <c r="D494" s="214"/>
      <c r="E494" s="214"/>
      <c r="F494" s="214"/>
      <c r="G494" s="214"/>
      <c r="H494" s="214"/>
      <c r="I494" s="214"/>
      <c r="J494" s="214"/>
      <c r="K494" s="214"/>
      <c r="L494" s="214"/>
      <c r="M494" s="214"/>
      <c r="N494" s="214"/>
      <c r="O494" s="214"/>
      <c r="P494" s="214"/>
      <c r="Q494" s="214"/>
      <c r="R494" s="214"/>
      <c r="S494" s="214"/>
      <c r="T494" s="214"/>
      <c r="U494" s="214"/>
      <c r="V494" s="214"/>
      <c r="W494" s="214"/>
      <c r="X494" s="214"/>
      <c r="Y494" s="214"/>
      <c r="Z494" s="214"/>
      <c r="AA494" s="214"/>
      <c r="AB494" s="214"/>
      <c r="AC494" s="212"/>
    </row>
    <row r="495" spans="2:40" s="7" customFormat="1" ht="12" customHeight="1" outlineLevel="1" collapsed="1">
      <c r="B495" s="239"/>
      <c r="C495" s="243" t="s">
        <v>855</v>
      </c>
      <c r="D495" s="214"/>
      <c r="E495" s="214"/>
      <c r="F495" s="214"/>
      <c r="G495" s="214"/>
      <c r="H495" s="214"/>
      <c r="I495" s="214"/>
      <c r="J495" s="214"/>
      <c r="K495" s="214"/>
      <c r="L495" s="214"/>
      <c r="M495" s="214"/>
      <c r="N495" s="214"/>
      <c r="O495" s="214"/>
      <c r="P495" s="214"/>
      <c r="Q495" s="214"/>
      <c r="R495" s="214"/>
      <c r="S495" s="214"/>
      <c r="T495" s="214"/>
      <c r="U495" s="214"/>
      <c r="V495" s="214"/>
      <c r="W495" s="214"/>
      <c r="X495" s="214"/>
      <c r="Y495" s="214"/>
      <c r="Z495" s="214"/>
      <c r="AA495" s="214"/>
      <c r="AB495" s="214"/>
      <c r="AC495" s="214"/>
    </row>
    <row r="496" spans="2:40" s="7" customFormat="1" ht="12" customHeight="1" outlineLevel="1">
      <c r="B496" s="239"/>
      <c r="C496" s="243"/>
      <c r="D496" s="214"/>
      <c r="E496" s="214"/>
      <c r="F496" s="214"/>
      <c r="G496" s="214"/>
      <c r="H496" s="214"/>
      <c r="I496" s="214"/>
      <c r="J496" s="214"/>
      <c r="K496" s="214"/>
      <c r="L496" s="214"/>
      <c r="M496" s="214"/>
      <c r="N496" s="214"/>
      <c r="O496" s="214"/>
      <c r="P496" s="214"/>
      <c r="Q496" s="214"/>
      <c r="R496" s="214"/>
      <c r="S496" s="214"/>
      <c r="T496" s="214"/>
      <c r="U496" s="214"/>
      <c r="V496" s="214"/>
      <c r="W496" s="214"/>
      <c r="X496" s="214"/>
      <c r="Y496" s="214"/>
      <c r="Z496" s="214"/>
      <c r="AA496" s="214"/>
      <c r="AB496" s="214"/>
      <c r="AC496" s="214"/>
    </row>
    <row r="497" spans="2:2" s="7" customFormat="1">
      <c r="B497" s="235"/>
    </row>
    <row r="498" spans="2:2" s="7" customFormat="1">
      <c r="B498" s="235"/>
    </row>
  </sheetData>
  <sheetProtection algorithmName="SHA-512" hashValue="rLIGVxCatFKdblXCm6Cc0hbIT9SMU0aXfqgfKoIvY8Antg8nUQio0BxqLf1fnzQozXW25khjBk1r21MXrlpw7w==" saltValue="funp73JH6QAciViFnu+BAg==" spinCount="100000" sheet="1" objects="1" scenarios="1"/>
  <pageMargins left="0.7" right="0.7" top="0.75" bottom="0.75" header="0.3" footer="0.3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4A871-A5B9-48C0-8DBE-6F594F2D26B2}">
  <sheetPr codeName="Sheet28"/>
  <dimension ref="B1:XEZ500"/>
  <sheetViews>
    <sheetView showGridLines="0" topLeftCell="B1" zoomScaleNormal="100" workbookViewId="0">
      <selection activeCell="M25" sqref="M25"/>
    </sheetView>
  </sheetViews>
  <sheetFormatPr baseColWidth="10" defaultColWidth="8.5" defaultRowHeight="11" outlineLevelRow="3" outlineLevelCol="1"/>
  <cols>
    <col min="1" max="1" width="6" style="283" customWidth="1"/>
    <col min="2" max="2" width="4.1640625" style="282" customWidth="1"/>
    <col min="3" max="3" width="29.5" style="283" bestFit="1" customWidth="1"/>
    <col min="4" max="4" width="10.5" style="283" customWidth="1"/>
    <col min="5" max="12" width="6.5" style="283" bestFit="1" customWidth="1" outlineLevel="1"/>
    <col min="13" max="28" width="7.5" style="283" bestFit="1" customWidth="1"/>
    <col min="29" max="40" width="7.5" style="283" bestFit="1" customWidth="1" outlineLevel="1"/>
    <col min="41" max="16384" width="8.5" style="283"/>
  </cols>
  <sheetData>
    <row r="1" spans="2:40" s="7" customFormat="1">
      <c r="B1" s="235"/>
      <c r="E1" s="217" t="s">
        <v>180</v>
      </c>
      <c r="F1" s="217" t="s">
        <v>180</v>
      </c>
      <c r="G1" s="217" t="s">
        <v>180</v>
      </c>
      <c r="H1" s="217" t="s">
        <v>180</v>
      </c>
      <c r="I1" s="217" t="s">
        <v>180</v>
      </c>
      <c r="J1" s="217" t="s">
        <v>180</v>
      </c>
      <c r="K1" s="217" t="s">
        <v>180</v>
      </c>
      <c r="L1" s="217" t="s">
        <v>180</v>
      </c>
      <c r="M1" s="7" t="s">
        <v>42</v>
      </c>
      <c r="N1" s="7" t="s">
        <v>42</v>
      </c>
      <c r="O1" s="7" t="s">
        <v>42</v>
      </c>
      <c r="P1" s="7" t="s">
        <v>42</v>
      </c>
      <c r="Q1" s="7" t="s">
        <v>42</v>
      </c>
      <c r="R1" s="7" t="s">
        <v>42</v>
      </c>
      <c r="S1" s="7" t="s">
        <v>42</v>
      </c>
      <c r="T1" s="7" t="s">
        <v>42</v>
      </c>
      <c r="U1" s="7" t="s">
        <v>42</v>
      </c>
      <c r="V1" s="7" t="s">
        <v>42</v>
      </c>
      <c r="W1" s="7" t="s">
        <v>42</v>
      </c>
      <c r="X1" s="7" t="s">
        <v>42</v>
      </c>
      <c r="Y1" s="7" t="s">
        <v>42</v>
      </c>
      <c r="Z1" s="7" t="s">
        <v>42</v>
      </c>
      <c r="AA1" s="7" t="s">
        <v>42</v>
      </c>
      <c r="AB1" s="7" t="s">
        <v>42</v>
      </c>
      <c r="AC1" s="7" t="s">
        <v>42</v>
      </c>
      <c r="AD1" s="7" t="s">
        <v>42</v>
      </c>
      <c r="AE1" s="7" t="s">
        <v>42</v>
      </c>
      <c r="AF1" s="7" t="s">
        <v>42</v>
      </c>
      <c r="AG1" s="7" t="s">
        <v>42</v>
      </c>
      <c r="AH1" s="7" t="s">
        <v>42</v>
      </c>
      <c r="AI1" s="7" t="s">
        <v>42</v>
      </c>
      <c r="AJ1" s="7" t="s">
        <v>42</v>
      </c>
      <c r="AK1" s="7" t="s">
        <v>42</v>
      </c>
      <c r="AL1" s="7" t="s">
        <v>42</v>
      </c>
      <c r="AM1" s="7" t="s">
        <v>42</v>
      </c>
      <c r="AN1" s="7" t="s">
        <v>42</v>
      </c>
    </row>
    <row r="2" spans="2:40" s="7" customFormat="1">
      <c r="B2" s="235"/>
      <c r="E2" s="218">
        <v>45689</v>
      </c>
      <c r="F2" s="218">
        <v>45717</v>
      </c>
      <c r="G2" s="218">
        <v>45748</v>
      </c>
      <c r="H2" s="218">
        <v>45778</v>
      </c>
      <c r="I2" s="218">
        <v>45809</v>
      </c>
      <c r="J2" s="218">
        <v>45839</v>
      </c>
      <c r="K2" s="218">
        <v>45870</v>
      </c>
      <c r="L2" s="218">
        <v>45901</v>
      </c>
      <c r="M2" s="195">
        <v>45931</v>
      </c>
      <c r="N2" s="195">
        <v>45962</v>
      </c>
      <c r="O2" s="195">
        <v>45992</v>
      </c>
      <c r="P2" s="195">
        <v>46023</v>
      </c>
      <c r="Q2" s="258">
        <v>46054</v>
      </c>
      <c r="R2" s="258">
        <v>46082</v>
      </c>
      <c r="S2" s="258">
        <v>46113</v>
      </c>
      <c r="T2" s="258">
        <v>46143</v>
      </c>
      <c r="U2" s="258">
        <v>46174</v>
      </c>
      <c r="V2" s="258">
        <v>46204</v>
      </c>
      <c r="W2" s="258">
        <v>46235</v>
      </c>
      <c r="X2" s="258">
        <v>46266</v>
      </c>
      <c r="Y2" s="258">
        <v>46296</v>
      </c>
      <c r="Z2" s="258">
        <v>46327</v>
      </c>
      <c r="AA2" s="258">
        <v>46357</v>
      </c>
      <c r="AB2" s="258">
        <v>46388</v>
      </c>
      <c r="AC2" s="195">
        <v>46419</v>
      </c>
      <c r="AD2" s="195">
        <v>46447</v>
      </c>
      <c r="AE2" s="195">
        <v>46478</v>
      </c>
      <c r="AF2" s="195">
        <v>46508</v>
      </c>
      <c r="AG2" s="195">
        <v>46539</v>
      </c>
      <c r="AH2" s="195">
        <v>46569</v>
      </c>
      <c r="AI2" s="195">
        <v>46600</v>
      </c>
      <c r="AJ2" s="195">
        <v>46631</v>
      </c>
      <c r="AK2" s="195">
        <v>46661</v>
      </c>
      <c r="AL2" s="195">
        <v>46692</v>
      </c>
      <c r="AM2" s="195">
        <v>46722</v>
      </c>
      <c r="AN2" s="195">
        <v>46753</v>
      </c>
    </row>
    <row r="3" spans="2:40" s="7" customFormat="1">
      <c r="B3" s="235" t="s">
        <v>686</v>
      </c>
      <c r="E3" s="219" t="s">
        <v>753</v>
      </c>
      <c r="F3" s="219" t="s">
        <v>754</v>
      </c>
      <c r="G3" s="219" t="s">
        <v>755</v>
      </c>
      <c r="H3" s="219" t="s">
        <v>756</v>
      </c>
      <c r="I3" s="219" t="s">
        <v>757</v>
      </c>
      <c r="J3" s="219" t="s">
        <v>758</v>
      </c>
      <c r="K3" s="219" t="s">
        <v>759</v>
      </c>
      <c r="L3" s="219" t="s">
        <v>760</v>
      </c>
      <c r="M3" s="196" t="s">
        <v>761</v>
      </c>
      <c r="N3" s="196" t="s">
        <v>762</v>
      </c>
      <c r="O3" s="196" t="s">
        <v>763</v>
      </c>
      <c r="P3" s="196" t="s">
        <v>764</v>
      </c>
      <c r="Q3" s="259" t="s">
        <v>765</v>
      </c>
      <c r="R3" s="259" t="s">
        <v>766</v>
      </c>
      <c r="S3" s="259" t="s">
        <v>767</v>
      </c>
      <c r="T3" s="259" t="s">
        <v>768</v>
      </c>
      <c r="U3" s="259" t="s">
        <v>769</v>
      </c>
      <c r="V3" s="259" t="s">
        <v>770</v>
      </c>
      <c r="W3" s="259" t="s">
        <v>771</v>
      </c>
      <c r="X3" s="259" t="s">
        <v>772</v>
      </c>
      <c r="Y3" s="259" t="s">
        <v>773</v>
      </c>
      <c r="Z3" s="259" t="s">
        <v>774</v>
      </c>
      <c r="AA3" s="259" t="s">
        <v>775</v>
      </c>
      <c r="AB3" s="259" t="s">
        <v>776</v>
      </c>
      <c r="AC3" s="196" t="s">
        <v>777</v>
      </c>
      <c r="AD3" s="196" t="s">
        <v>778</v>
      </c>
      <c r="AE3" s="196" t="s">
        <v>779</v>
      </c>
      <c r="AF3" s="196" t="s">
        <v>780</v>
      </c>
      <c r="AG3" s="196" t="s">
        <v>781</v>
      </c>
      <c r="AH3" s="196" t="s">
        <v>782</v>
      </c>
      <c r="AI3" s="196" t="s">
        <v>783</v>
      </c>
      <c r="AJ3" s="196" t="s">
        <v>784</v>
      </c>
      <c r="AK3" s="196" t="s">
        <v>785</v>
      </c>
      <c r="AL3" s="196" t="s">
        <v>786</v>
      </c>
      <c r="AM3" s="196" t="s">
        <v>787</v>
      </c>
      <c r="AN3" s="196" t="s">
        <v>788</v>
      </c>
    </row>
    <row r="4" spans="2:40">
      <c r="B4" s="282" t="s">
        <v>881</v>
      </c>
      <c r="C4" s="283" t="s">
        <v>790</v>
      </c>
      <c r="E4" s="285">
        <v>29785</v>
      </c>
      <c r="F4" s="285">
        <v>74011</v>
      </c>
      <c r="G4" s="285">
        <v>56835</v>
      </c>
      <c r="H4" s="285">
        <v>31858</v>
      </c>
      <c r="I4" s="285">
        <v>29393</v>
      </c>
      <c r="J4" s="285">
        <v>43400</v>
      </c>
      <c r="K4" s="285">
        <v>51215</v>
      </c>
      <c r="L4" s="285">
        <v>32584</v>
      </c>
      <c r="M4" s="286">
        <v>95000</v>
      </c>
      <c r="N4" s="286">
        <v>95000</v>
      </c>
      <c r="O4" s="286">
        <v>63440</v>
      </c>
      <c r="P4" s="286">
        <v>67448</v>
      </c>
      <c r="Q4" s="286">
        <f t="shared" ref="Q4:AN4" si="0">Q5*E4</f>
        <v>35742</v>
      </c>
      <c r="R4" s="286">
        <f t="shared" si="0"/>
        <v>103615.4</v>
      </c>
      <c r="S4" s="286">
        <f t="shared" si="0"/>
        <v>73885.5</v>
      </c>
      <c r="T4" s="286">
        <f t="shared" si="0"/>
        <v>60530.2</v>
      </c>
      <c r="U4" s="286">
        <f t="shared" si="0"/>
        <v>44089.5</v>
      </c>
      <c r="V4" s="286">
        <f t="shared" si="0"/>
        <v>78120</v>
      </c>
      <c r="W4" s="286">
        <f t="shared" si="0"/>
        <v>51215</v>
      </c>
      <c r="X4" s="286">
        <f t="shared" si="0"/>
        <v>48876</v>
      </c>
      <c r="Y4" s="286">
        <f t="shared" si="0"/>
        <v>114000</v>
      </c>
      <c r="Z4" s="286">
        <f t="shared" si="0"/>
        <v>104500.00000000001</v>
      </c>
      <c r="AA4" s="286">
        <f t="shared" si="0"/>
        <v>69784</v>
      </c>
      <c r="AB4" s="286">
        <f t="shared" si="0"/>
        <v>67448</v>
      </c>
      <c r="AC4" s="286">
        <f t="shared" si="0"/>
        <v>35742</v>
      </c>
      <c r="AD4" s="286">
        <f t="shared" si="0"/>
        <v>145061.55999999997</v>
      </c>
      <c r="AE4" s="286">
        <f t="shared" si="0"/>
        <v>96051.150000000009</v>
      </c>
      <c r="AF4" s="286">
        <f t="shared" si="0"/>
        <v>78689.259999999995</v>
      </c>
      <c r="AG4" s="286">
        <f t="shared" si="0"/>
        <v>52907.4</v>
      </c>
      <c r="AH4" s="286">
        <f t="shared" si="0"/>
        <v>140616</v>
      </c>
      <c r="AI4" s="286">
        <f t="shared" si="0"/>
        <v>46093.5</v>
      </c>
      <c r="AJ4" s="286">
        <f t="shared" si="0"/>
        <v>53763.600000000006</v>
      </c>
      <c r="AK4" s="286">
        <f t="shared" si="0"/>
        <v>136800</v>
      </c>
      <c r="AL4" s="286">
        <f t="shared" si="0"/>
        <v>114950.00000000003</v>
      </c>
      <c r="AM4" s="286">
        <f t="shared" si="0"/>
        <v>69784</v>
      </c>
      <c r="AN4" s="286">
        <f t="shared" si="0"/>
        <v>67448</v>
      </c>
    </row>
    <row r="5" spans="2:40">
      <c r="C5" s="283" t="s">
        <v>791</v>
      </c>
      <c r="E5" s="285"/>
      <c r="F5" s="285"/>
      <c r="G5" s="285"/>
      <c r="H5" s="285"/>
      <c r="I5" s="285"/>
      <c r="J5" s="300"/>
      <c r="K5" s="300"/>
      <c r="L5" s="300"/>
      <c r="M5" s="290">
        <v>1</v>
      </c>
      <c r="N5" s="290">
        <v>1</v>
      </c>
      <c r="O5" s="290">
        <v>1</v>
      </c>
      <c r="P5" s="290">
        <v>1</v>
      </c>
      <c r="Q5" s="290">
        <v>1.2</v>
      </c>
      <c r="R5" s="290">
        <v>1.4</v>
      </c>
      <c r="S5" s="290">
        <v>1.3</v>
      </c>
      <c r="T5" s="290">
        <v>1.9</v>
      </c>
      <c r="U5" s="290">
        <v>1.5</v>
      </c>
      <c r="V5" s="290">
        <v>1.8</v>
      </c>
      <c r="W5" s="290">
        <v>1</v>
      </c>
      <c r="X5" s="290">
        <v>1.5</v>
      </c>
      <c r="Y5" s="290">
        <v>1.2</v>
      </c>
      <c r="Z5" s="290">
        <v>1.1000000000000001</v>
      </c>
      <c r="AA5" s="290">
        <v>1.1000000000000001</v>
      </c>
      <c r="AB5" s="290">
        <v>1</v>
      </c>
      <c r="AC5" s="290">
        <v>1</v>
      </c>
      <c r="AD5" s="290">
        <v>1.4</v>
      </c>
      <c r="AE5" s="290">
        <v>1.3</v>
      </c>
      <c r="AF5" s="290">
        <v>1.3</v>
      </c>
      <c r="AG5" s="290">
        <v>1.2</v>
      </c>
      <c r="AH5" s="290">
        <v>1.8</v>
      </c>
      <c r="AI5" s="290">
        <v>0.9</v>
      </c>
      <c r="AJ5" s="290">
        <v>1.1000000000000001</v>
      </c>
      <c r="AK5" s="290">
        <v>1.2</v>
      </c>
      <c r="AL5" s="290">
        <v>1.1000000000000001</v>
      </c>
      <c r="AM5" s="290">
        <v>1</v>
      </c>
      <c r="AN5" s="290">
        <v>1</v>
      </c>
    </row>
    <row r="6" spans="2:40">
      <c r="B6" s="282" t="s">
        <v>882</v>
      </c>
      <c r="C6" s="283" t="s">
        <v>793</v>
      </c>
      <c r="E6" s="291">
        <v>2.0799999999999999E-2</v>
      </c>
      <c r="F6" s="291">
        <v>3.0200000000000001E-2</v>
      </c>
      <c r="G6" s="291">
        <v>2.9899999999999999E-2</v>
      </c>
      <c r="H6" s="291">
        <v>1.8800000000000001E-2</v>
      </c>
      <c r="I6" s="291">
        <v>2.53E-2</v>
      </c>
      <c r="J6" s="291">
        <v>4.6800000000000001E-2</v>
      </c>
      <c r="K6" s="291">
        <v>4.48E-2</v>
      </c>
      <c r="L6" s="291">
        <v>1.6500000000000001E-2</v>
      </c>
      <c r="M6" s="292">
        <v>2.4E-2</v>
      </c>
      <c r="N6" s="292">
        <v>2.4E-2</v>
      </c>
      <c r="O6" s="292">
        <v>0.02</v>
      </c>
      <c r="P6" s="292">
        <v>0.02</v>
      </c>
      <c r="Q6" s="292">
        <v>1.7999999999999999E-2</v>
      </c>
      <c r="R6" s="292">
        <v>3.2000000000000001E-2</v>
      </c>
      <c r="S6" s="292">
        <v>0.03</v>
      </c>
      <c r="T6" s="292">
        <v>1.9E-2</v>
      </c>
      <c r="U6" s="292">
        <v>2.5999999999999999E-2</v>
      </c>
      <c r="V6" s="292">
        <v>4.4999999999999998E-2</v>
      </c>
      <c r="W6" s="292">
        <v>2.1999999999999999E-2</v>
      </c>
      <c r="X6" s="292">
        <v>2.1999999999999999E-2</v>
      </c>
      <c r="Y6" s="292">
        <v>4.5999999999999999E-2</v>
      </c>
      <c r="Z6" s="292">
        <v>4.3999999999999997E-2</v>
      </c>
      <c r="AA6" s="292">
        <v>1.7999999999999999E-2</v>
      </c>
      <c r="AB6" s="292">
        <v>0.02</v>
      </c>
      <c r="AC6" s="292">
        <v>1.7999999999999999E-2</v>
      </c>
      <c r="AD6" s="292">
        <v>3.2000000000000001E-2</v>
      </c>
      <c r="AE6" s="292">
        <v>0.03</v>
      </c>
      <c r="AF6" s="292">
        <v>1.9E-2</v>
      </c>
      <c r="AG6" s="292">
        <v>2.5999999999999999E-2</v>
      </c>
      <c r="AH6" s="292">
        <v>4.4999999999999998E-2</v>
      </c>
      <c r="AI6" s="292">
        <v>2.1999999999999999E-2</v>
      </c>
      <c r="AJ6" s="292">
        <v>2.1999999999999999E-2</v>
      </c>
      <c r="AK6" s="292">
        <v>4.5999999999999999E-2</v>
      </c>
      <c r="AL6" s="292">
        <v>4.3999999999999997E-2</v>
      </c>
      <c r="AM6" s="292">
        <v>1.7999999999999999E-2</v>
      </c>
      <c r="AN6" s="292">
        <v>0.02</v>
      </c>
    </row>
    <row r="7" spans="2:40" s="7" customFormat="1">
      <c r="B7" s="235"/>
      <c r="C7" s="7" t="s">
        <v>794</v>
      </c>
      <c r="E7" s="321">
        <f t="shared" ref="E7:K7" si="1">E4*E6</f>
        <v>619.52800000000002</v>
      </c>
      <c r="F7" s="321">
        <f t="shared" si="1"/>
        <v>2235.1322</v>
      </c>
      <c r="G7" s="321">
        <f t="shared" si="1"/>
        <v>1699.3664999999999</v>
      </c>
      <c r="H7" s="321">
        <f t="shared" si="1"/>
        <v>598.93040000000008</v>
      </c>
      <c r="I7" s="321">
        <f t="shared" si="1"/>
        <v>743.64289999999994</v>
      </c>
      <c r="J7" s="321">
        <f t="shared" si="1"/>
        <v>2031.1200000000001</v>
      </c>
      <c r="K7" s="321">
        <f t="shared" si="1"/>
        <v>2294.4319999999998</v>
      </c>
      <c r="L7" s="321">
        <f>L4*L6</f>
        <v>537.63600000000008</v>
      </c>
      <c r="M7" s="322">
        <f t="shared" ref="M7:AN7" si="2">M4*M6</f>
        <v>2280</v>
      </c>
      <c r="N7" s="322">
        <f t="shared" si="2"/>
        <v>2280</v>
      </c>
      <c r="O7" s="322">
        <f t="shared" si="2"/>
        <v>1268.8</v>
      </c>
      <c r="P7" s="322">
        <f t="shared" si="2"/>
        <v>1348.96</v>
      </c>
      <c r="Q7" s="322">
        <f t="shared" si="2"/>
        <v>643.35599999999999</v>
      </c>
      <c r="R7" s="322">
        <f t="shared" si="2"/>
        <v>3315.6927999999998</v>
      </c>
      <c r="S7" s="322">
        <f t="shared" si="2"/>
        <v>2216.5650000000001</v>
      </c>
      <c r="T7" s="322">
        <f t="shared" si="2"/>
        <v>1150.0737999999999</v>
      </c>
      <c r="U7" s="322">
        <f t="shared" si="2"/>
        <v>1146.327</v>
      </c>
      <c r="V7" s="322">
        <f t="shared" si="2"/>
        <v>3515.4</v>
      </c>
      <c r="W7" s="322">
        <f t="shared" si="2"/>
        <v>1126.73</v>
      </c>
      <c r="X7" s="322">
        <f t="shared" si="2"/>
        <v>1075.2719999999999</v>
      </c>
      <c r="Y7" s="322">
        <f t="shared" si="2"/>
        <v>5244</v>
      </c>
      <c r="Z7" s="322">
        <f t="shared" si="2"/>
        <v>4598</v>
      </c>
      <c r="AA7" s="322">
        <f t="shared" si="2"/>
        <v>1256.1119999999999</v>
      </c>
      <c r="AB7" s="322">
        <f t="shared" si="2"/>
        <v>1348.96</v>
      </c>
      <c r="AC7" s="322">
        <f t="shared" si="2"/>
        <v>643.35599999999999</v>
      </c>
      <c r="AD7" s="322">
        <f t="shared" si="2"/>
        <v>4641.9699199999986</v>
      </c>
      <c r="AE7" s="322">
        <f t="shared" si="2"/>
        <v>2881.5345000000002</v>
      </c>
      <c r="AF7" s="322">
        <f t="shared" si="2"/>
        <v>1495.0959399999999</v>
      </c>
      <c r="AG7" s="322">
        <f t="shared" si="2"/>
        <v>1375.5924</v>
      </c>
      <c r="AH7" s="322">
        <f t="shared" si="2"/>
        <v>6327.7199999999993</v>
      </c>
      <c r="AI7" s="322">
        <f t="shared" si="2"/>
        <v>1014.0569999999999</v>
      </c>
      <c r="AJ7" s="322">
        <f t="shared" si="2"/>
        <v>1182.7992000000002</v>
      </c>
      <c r="AK7" s="322">
        <f t="shared" si="2"/>
        <v>6292.8</v>
      </c>
      <c r="AL7" s="322">
        <f t="shared" si="2"/>
        <v>5057.8000000000011</v>
      </c>
      <c r="AM7" s="322">
        <f t="shared" si="2"/>
        <v>1256.1119999999999</v>
      </c>
      <c r="AN7" s="322">
        <f t="shared" si="2"/>
        <v>1348.96</v>
      </c>
    </row>
    <row r="8" spans="2:40">
      <c r="C8" s="283" t="s">
        <v>795</v>
      </c>
      <c r="E8" s="291">
        <f>E12/E13</f>
        <v>0.27302100161550891</v>
      </c>
      <c r="F8" s="291">
        <f t="shared" ref="F8:K8" si="3">F12/F13</f>
        <v>0.32017937219730941</v>
      </c>
      <c r="G8" s="291">
        <f>G12/G13</f>
        <v>3.5481963335304554E-3</v>
      </c>
      <c r="H8" s="291">
        <f t="shared" si="3"/>
        <v>0.25589225589225589</v>
      </c>
      <c r="I8" s="291">
        <f t="shared" si="3"/>
        <v>0.26621621621621622</v>
      </c>
      <c r="J8" s="291">
        <f t="shared" si="3"/>
        <v>0.37987173162308829</v>
      </c>
      <c r="K8" s="291">
        <f t="shared" si="3"/>
        <v>0.28140043763676148</v>
      </c>
      <c r="L8" s="291">
        <f>L12/L13</f>
        <v>0.32270168855534709</v>
      </c>
      <c r="M8" s="292">
        <v>0.3</v>
      </c>
      <c r="N8" s="292">
        <v>0.3</v>
      </c>
      <c r="O8" s="292">
        <v>0.3</v>
      </c>
      <c r="P8" s="292">
        <v>0.3</v>
      </c>
      <c r="Q8" s="292">
        <v>0.28000000000000003</v>
      </c>
      <c r="R8" s="292">
        <v>0.32</v>
      </c>
      <c r="S8" s="292">
        <v>0.2</v>
      </c>
      <c r="T8" s="292">
        <v>0.26</v>
      </c>
      <c r="U8" s="292">
        <v>0.27</v>
      </c>
      <c r="V8" s="292">
        <v>0.37</v>
      </c>
      <c r="W8" s="292">
        <v>0.3</v>
      </c>
      <c r="X8" s="292">
        <v>0.27</v>
      </c>
      <c r="Y8" s="292">
        <v>0.32</v>
      </c>
      <c r="Z8" s="292">
        <v>0.3</v>
      </c>
      <c r="AA8" s="292">
        <v>0.27</v>
      </c>
      <c r="AB8" s="292">
        <v>0.28000000000000003</v>
      </c>
      <c r="AC8" s="292">
        <v>0.28000000000000003</v>
      </c>
      <c r="AD8" s="292">
        <v>0.32</v>
      </c>
      <c r="AE8" s="292">
        <v>0.2</v>
      </c>
      <c r="AF8" s="292">
        <v>0.26</v>
      </c>
      <c r="AG8" s="292">
        <v>0.27</v>
      </c>
      <c r="AH8" s="292">
        <v>0.37</v>
      </c>
      <c r="AI8" s="292">
        <v>0.3</v>
      </c>
      <c r="AJ8" s="292">
        <v>0.27</v>
      </c>
      <c r="AK8" s="292">
        <v>0.32</v>
      </c>
      <c r="AL8" s="292">
        <v>0.3</v>
      </c>
      <c r="AM8" s="292">
        <v>0.27</v>
      </c>
      <c r="AN8" s="292">
        <v>0.28000000000000003</v>
      </c>
    </row>
    <row r="9" spans="2:40" s="7" customFormat="1" ht="14.5" customHeight="1">
      <c r="B9" s="235"/>
      <c r="C9" s="7" t="s">
        <v>865</v>
      </c>
      <c r="E9" s="321">
        <v>413</v>
      </c>
      <c r="F9" s="321">
        <v>1502</v>
      </c>
      <c r="G9" s="321">
        <v>1159</v>
      </c>
      <c r="H9" s="321">
        <v>429</v>
      </c>
      <c r="I9" s="321">
        <v>535</v>
      </c>
      <c r="J9" s="321">
        <v>1247</v>
      </c>
      <c r="K9" s="321">
        <v>1625</v>
      </c>
      <c r="L9" s="321">
        <v>346</v>
      </c>
      <c r="M9" s="322">
        <f t="shared" ref="M9:AN9" si="4">M58+M213+M363</f>
        <v>1333.6425878763303</v>
      </c>
      <c r="N9" s="322">
        <f t="shared" si="4"/>
        <v>1333.6425878763303</v>
      </c>
      <c r="O9" s="322">
        <f t="shared" si="4"/>
        <v>393.67875614867944</v>
      </c>
      <c r="P9" s="322">
        <f t="shared" si="4"/>
        <v>393.67875614867944</v>
      </c>
      <c r="Q9" s="322">
        <f t="shared" si="4"/>
        <v>402.5612421258075</v>
      </c>
      <c r="R9" s="322">
        <f t="shared" si="4"/>
        <v>805.85874304140066</v>
      </c>
      <c r="S9" s="322">
        <f t="shared" si="4"/>
        <v>742.16319109149038</v>
      </c>
      <c r="T9" s="322">
        <f t="shared" si="4"/>
        <v>545.8880859009638</v>
      </c>
      <c r="U9" s="322">
        <f t="shared" si="4"/>
        <v>555.7846547762781</v>
      </c>
      <c r="V9" s="322">
        <f t="shared" si="4"/>
        <v>715.95185449859127</v>
      </c>
      <c r="W9" s="322">
        <f t="shared" si="4"/>
        <v>584.12977137453584</v>
      </c>
      <c r="X9" s="322">
        <f t="shared" si="4"/>
        <v>502.29233833813913</v>
      </c>
      <c r="Y9" s="322">
        <f t="shared" si="4"/>
        <v>1102.3005172163023</v>
      </c>
      <c r="Z9" s="322">
        <f t="shared" si="4"/>
        <v>918.58376434691866</v>
      </c>
      <c r="AA9" s="322">
        <f t="shared" si="4"/>
        <v>433.04663176354728</v>
      </c>
      <c r="AB9" s="322">
        <f t="shared" si="4"/>
        <v>511.78238299328319</v>
      </c>
      <c r="AC9" s="322">
        <f t="shared" si="4"/>
        <v>485.60432042442062</v>
      </c>
      <c r="AD9" s="322">
        <f t="shared" si="4"/>
        <v>1134.1129101431645</v>
      </c>
      <c r="AE9" s="322">
        <f t="shared" si="4"/>
        <v>742.16319109149038</v>
      </c>
      <c r="AF9" s="322">
        <f t="shared" si="4"/>
        <v>709.65451167125298</v>
      </c>
      <c r="AG9" s="322">
        <f t="shared" si="4"/>
        <v>609.98948550213277</v>
      </c>
      <c r="AH9" s="322">
        <f t="shared" si="4"/>
        <v>1142.9491610511741</v>
      </c>
      <c r="AI9" s="322">
        <f t="shared" si="4"/>
        <v>523.35968785410341</v>
      </c>
      <c r="AJ9" s="322">
        <f t="shared" si="4"/>
        <v>550.04428375587747</v>
      </c>
      <c r="AK9" s="322">
        <f t="shared" si="4"/>
        <v>1322.7606206595628</v>
      </c>
      <c r="AL9" s="322">
        <f t="shared" si="4"/>
        <v>918.58376434691866</v>
      </c>
      <c r="AM9" s="322">
        <f t="shared" si="4"/>
        <v>476.351294939902</v>
      </c>
      <c r="AN9" s="322">
        <f t="shared" si="4"/>
        <v>614.13885959193988</v>
      </c>
    </row>
    <row r="10" spans="2:40" s="7" customFormat="1">
      <c r="B10" s="235"/>
      <c r="C10" s="7" t="s">
        <v>866</v>
      </c>
      <c r="E10" s="321">
        <v>31</v>
      </c>
      <c r="F10" s="321">
        <v>14</v>
      </c>
      <c r="G10" s="321">
        <v>6</v>
      </c>
      <c r="H10" s="321">
        <v>2</v>
      </c>
      <c r="I10" s="321">
        <v>1</v>
      </c>
      <c r="J10" s="321">
        <v>8</v>
      </c>
      <c r="K10" s="321">
        <v>14</v>
      </c>
      <c r="L10" s="321">
        <v>15</v>
      </c>
      <c r="M10" s="322">
        <f t="shared" ref="M10:AN10" si="5">M59+M60+M214+M215+M365+M364</f>
        <v>559.42861223491991</v>
      </c>
      <c r="N10" s="322">
        <f t="shared" si="5"/>
        <v>578.04563351151569</v>
      </c>
      <c r="O10" s="322">
        <f t="shared" si="5"/>
        <v>171.49854881585964</v>
      </c>
      <c r="P10" s="322">
        <f t="shared" si="5"/>
        <v>171.49854881585964</v>
      </c>
      <c r="Q10" s="322">
        <f t="shared" si="5"/>
        <v>169.64755787419259</v>
      </c>
      <c r="R10" s="322">
        <f t="shared" si="5"/>
        <v>339.60539029193279</v>
      </c>
      <c r="S10" s="322">
        <f t="shared" si="5"/>
        <v>323.30906422765855</v>
      </c>
      <c r="T10" s="322">
        <f t="shared" si="5"/>
        <v>237.80560440636478</v>
      </c>
      <c r="U10" s="322">
        <f t="shared" si="5"/>
        <v>242.69673884074331</v>
      </c>
      <c r="V10" s="322">
        <f t="shared" si="5"/>
        <v>312.63759940211798</v>
      </c>
      <c r="W10" s="322">
        <f t="shared" si="5"/>
        <v>255.68104280986125</v>
      </c>
      <c r="X10" s="322">
        <f t="shared" si="5"/>
        <v>219.85975575169533</v>
      </c>
      <c r="Y10" s="322">
        <f t="shared" si="5"/>
        <v>480.19593668440695</v>
      </c>
      <c r="Z10" s="322">
        <f t="shared" si="5"/>
        <v>400.16328057033911</v>
      </c>
      <c r="AA10" s="322">
        <f t="shared" si="5"/>
        <v>188.64840369744559</v>
      </c>
      <c r="AB10" s="322">
        <f t="shared" si="5"/>
        <v>222.94811346061749</v>
      </c>
      <c r="AC10" s="322">
        <f t="shared" si="5"/>
        <v>211.54414595855812</v>
      </c>
      <c r="AD10" s="322">
        <f t="shared" si="5"/>
        <v>494.05439141711884</v>
      </c>
      <c r="AE10" s="322">
        <f t="shared" si="5"/>
        <v>323.30906422765855</v>
      </c>
      <c r="AF10" s="322">
        <f t="shared" si="5"/>
        <v>309.14728572827426</v>
      </c>
      <c r="AG10" s="322">
        <f t="shared" si="5"/>
        <v>265.7301414482219</v>
      </c>
      <c r="AH10" s="322">
        <f t="shared" si="5"/>
        <v>497.90373351147389</v>
      </c>
      <c r="AI10" s="322">
        <f t="shared" si="5"/>
        <v>227.99154278419428</v>
      </c>
      <c r="AJ10" s="322">
        <f t="shared" si="5"/>
        <v>239.61617175239681</v>
      </c>
      <c r="AK10" s="322">
        <f t="shared" si="5"/>
        <v>576.23512402128836</v>
      </c>
      <c r="AL10" s="322">
        <f t="shared" si="5"/>
        <v>400.16328057033911</v>
      </c>
      <c r="AM10" s="322">
        <f t="shared" si="5"/>
        <v>207.51324406719013</v>
      </c>
      <c r="AN10" s="322">
        <f t="shared" si="5"/>
        <v>267.53773615274099</v>
      </c>
    </row>
    <row r="11" spans="2:40" s="7" customFormat="1">
      <c r="B11" s="235"/>
      <c r="C11" s="7" t="s">
        <v>798</v>
      </c>
      <c r="E11" s="321">
        <v>6</v>
      </c>
      <c r="F11" s="321">
        <v>0</v>
      </c>
      <c r="G11" s="321">
        <v>520</v>
      </c>
      <c r="H11" s="321">
        <v>11</v>
      </c>
      <c r="I11" s="321">
        <v>7</v>
      </c>
      <c r="J11" s="321">
        <v>2</v>
      </c>
      <c r="K11" s="321">
        <v>3</v>
      </c>
      <c r="L11" s="321">
        <v>0</v>
      </c>
      <c r="M11" s="322">
        <f t="shared" ref="M11:AN11" si="6">M63+M62+M217+M218+M366+M367</f>
        <v>504.51256423566838</v>
      </c>
      <c r="N11" s="322">
        <f t="shared" si="6"/>
        <v>434.89554295907266</v>
      </c>
      <c r="O11" s="322">
        <f t="shared" si="6"/>
        <v>395.50145118414036</v>
      </c>
      <c r="P11" s="322">
        <f t="shared" si="6"/>
        <v>446.50145118414036</v>
      </c>
      <c r="Q11" s="322">
        <f t="shared" si="6"/>
        <v>387.79868212580743</v>
      </c>
      <c r="R11" s="322">
        <f t="shared" si="6"/>
        <v>337.57644970806712</v>
      </c>
      <c r="S11" s="322">
        <f t="shared" si="6"/>
        <v>389.08533577234141</v>
      </c>
      <c r="T11" s="322">
        <f t="shared" si="6"/>
        <v>331.0469955936353</v>
      </c>
      <c r="U11" s="322">
        <f t="shared" si="6"/>
        <v>293.85246115925662</v>
      </c>
      <c r="V11" s="322">
        <f t="shared" si="6"/>
        <v>360.46880059788202</v>
      </c>
      <c r="W11" s="322">
        <f t="shared" si="6"/>
        <v>297.96759719013886</v>
      </c>
      <c r="X11" s="322">
        <f t="shared" si="6"/>
        <v>265.01472424830473</v>
      </c>
      <c r="Y11" s="322">
        <f t="shared" si="6"/>
        <v>344.40406331559319</v>
      </c>
      <c r="Z11" s="322">
        <f t="shared" si="6"/>
        <v>301.83671942966089</v>
      </c>
      <c r="AA11" s="322">
        <f t="shared" si="6"/>
        <v>265.55159630255446</v>
      </c>
      <c r="AB11" s="322">
        <f t="shared" si="6"/>
        <v>335.65188653938253</v>
      </c>
      <c r="AC11" s="322">
        <f t="shared" si="6"/>
        <v>280.19134204144189</v>
      </c>
      <c r="AD11" s="322">
        <f t="shared" si="6"/>
        <v>241.00018458288136</v>
      </c>
      <c r="AE11" s="322">
        <f t="shared" si="6"/>
        <v>319.08533577234141</v>
      </c>
      <c r="AF11" s="322">
        <f t="shared" si="6"/>
        <v>250.46109427172576</v>
      </c>
      <c r="AG11" s="322">
        <f t="shared" si="6"/>
        <v>217.57397855177811</v>
      </c>
      <c r="AH11" s="322">
        <f t="shared" si="6"/>
        <v>275.66650648852612</v>
      </c>
      <c r="AI11" s="322">
        <f t="shared" si="6"/>
        <v>228.49223321580587</v>
      </c>
      <c r="AJ11" s="322">
        <f t="shared" si="6"/>
        <v>187.24575624760325</v>
      </c>
      <c r="AK11" s="322">
        <f t="shared" si="6"/>
        <v>257.68487597871166</v>
      </c>
      <c r="AL11" s="322">
        <f t="shared" si="6"/>
        <v>214.83671942966089</v>
      </c>
      <c r="AM11" s="322">
        <f t="shared" si="6"/>
        <v>177.10675593280993</v>
      </c>
      <c r="AN11" s="322">
        <f t="shared" si="6"/>
        <v>252.78226384725903</v>
      </c>
    </row>
    <row r="12" spans="2:40" s="7" customFormat="1">
      <c r="B12" s="235"/>
      <c r="C12" s="7" t="s">
        <v>799</v>
      </c>
      <c r="E12" s="321">
        <v>169</v>
      </c>
      <c r="F12" s="321">
        <v>714</v>
      </c>
      <c r="G12" s="321">
        <v>6</v>
      </c>
      <c r="H12" s="321">
        <v>152</v>
      </c>
      <c r="I12" s="321">
        <v>197</v>
      </c>
      <c r="J12" s="321">
        <v>770</v>
      </c>
      <c r="K12" s="321">
        <v>643</v>
      </c>
      <c r="L12" s="321">
        <v>172</v>
      </c>
      <c r="M12" s="322">
        <f t="shared" ref="M12:AN12" si="7">(M61+M216+M366)+(M7*M8)</f>
        <v>901.35741212366963</v>
      </c>
      <c r="N12" s="322">
        <f t="shared" si="7"/>
        <v>881.35741212366963</v>
      </c>
      <c r="O12" s="322">
        <f t="shared" si="7"/>
        <v>559.96124385132055</v>
      </c>
      <c r="P12" s="322">
        <f t="shared" si="7"/>
        <v>567.00924385132055</v>
      </c>
      <c r="Q12" s="322">
        <f t="shared" si="7"/>
        <v>326.57843787419256</v>
      </c>
      <c r="R12" s="322">
        <f t="shared" si="7"/>
        <v>1195.1629529585994</v>
      </c>
      <c r="S12" s="322">
        <f t="shared" si="7"/>
        <v>566.14980890850961</v>
      </c>
      <c r="T12" s="322">
        <f t="shared" si="7"/>
        <v>410.13110209903618</v>
      </c>
      <c r="U12" s="322">
        <f t="shared" si="7"/>
        <v>410.72363522372194</v>
      </c>
      <c r="V12" s="322">
        <f t="shared" si="7"/>
        <v>1392.7461455014088</v>
      </c>
      <c r="W12" s="322">
        <f t="shared" si="7"/>
        <v>422.88922862546417</v>
      </c>
      <c r="X12" s="322">
        <f t="shared" si="7"/>
        <v>367.03110166186087</v>
      </c>
      <c r="Y12" s="322">
        <f t="shared" si="7"/>
        <v>1747.7794827836976</v>
      </c>
      <c r="Z12" s="322">
        <f t="shared" si="7"/>
        <v>1443.8162356530813</v>
      </c>
      <c r="AA12" s="322">
        <f t="shared" si="7"/>
        <v>399.10360823645271</v>
      </c>
      <c r="AB12" s="322">
        <f t="shared" si="7"/>
        <v>432.92641700671686</v>
      </c>
      <c r="AC12" s="322">
        <f t="shared" si="7"/>
        <v>230.53535957557941</v>
      </c>
      <c r="AD12" s="322">
        <f t="shared" si="7"/>
        <v>1531.3174642568351</v>
      </c>
      <c r="AE12" s="322">
        <f t="shared" si="7"/>
        <v>618.14370890850967</v>
      </c>
      <c r="AF12" s="322">
        <f t="shared" si="7"/>
        <v>428.07043272874699</v>
      </c>
      <c r="AG12" s="322">
        <f t="shared" si="7"/>
        <v>407.42046249786728</v>
      </c>
      <c r="AH12" s="322">
        <f t="shared" si="7"/>
        <v>2375.3072389488257</v>
      </c>
      <c r="AI12" s="322">
        <f t="shared" si="7"/>
        <v>335.85741214589649</v>
      </c>
      <c r="AJ12" s="322">
        <f t="shared" si="7"/>
        <v>348.31150024412261</v>
      </c>
      <c r="AK12" s="322">
        <f t="shared" si="7"/>
        <v>2039.9353793404373</v>
      </c>
      <c r="AL12" s="322">
        <f t="shared" si="7"/>
        <v>1542.7562356530818</v>
      </c>
      <c r="AM12" s="322">
        <f t="shared" si="7"/>
        <v>362.79894506009799</v>
      </c>
      <c r="AN12" s="322">
        <f t="shared" si="7"/>
        <v>399.56994040806023</v>
      </c>
    </row>
    <row r="13" spans="2:40" s="7" customFormat="1">
      <c r="B13" s="235" t="s">
        <v>883</v>
      </c>
      <c r="C13" s="7" t="s">
        <v>801</v>
      </c>
      <c r="E13" s="323">
        <f>SUM(E9:E12)</f>
        <v>619</v>
      </c>
      <c r="F13" s="323">
        <f t="shared" ref="F13:AN13" si="8">SUM(F9:F12)</f>
        <v>2230</v>
      </c>
      <c r="G13" s="323">
        <f t="shared" si="8"/>
        <v>1691</v>
      </c>
      <c r="H13" s="323">
        <f t="shared" si="8"/>
        <v>594</v>
      </c>
      <c r="I13" s="323">
        <f t="shared" si="8"/>
        <v>740</v>
      </c>
      <c r="J13" s="323">
        <f>SUM(J9:J12)</f>
        <v>2027</v>
      </c>
      <c r="K13" s="323">
        <f t="shared" si="8"/>
        <v>2285</v>
      </c>
      <c r="L13" s="323">
        <f t="shared" si="8"/>
        <v>533</v>
      </c>
      <c r="M13" s="324">
        <f t="shared" si="8"/>
        <v>3298.9411764705883</v>
      </c>
      <c r="N13" s="324">
        <f t="shared" si="8"/>
        <v>3227.9411764705883</v>
      </c>
      <c r="O13" s="324">
        <f t="shared" si="8"/>
        <v>1520.6399999999999</v>
      </c>
      <c r="P13" s="324">
        <f t="shared" si="8"/>
        <v>1578.6880000000001</v>
      </c>
      <c r="Q13" s="324">
        <f t="shared" si="8"/>
        <v>1286.58592</v>
      </c>
      <c r="R13" s="324">
        <f t="shared" si="8"/>
        <v>2678.203536</v>
      </c>
      <c r="S13" s="324">
        <f t="shared" si="8"/>
        <v>2020.7074</v>
      </c>
      <c r="T13" s="324">
        <f t="shared" si="8"/>
        <v>1524.8717879999999</v>
      </c>
      <c r="U13" s="324">
        <f t="shared" si="8"/>
        <v>1503.0574899999999</v>
      </c>
      <c r="V13" s="324">
        <f t="shared" si="8"/>
        <v>2781.8044</v>
      </c>
      <c r="W13" s="324">
        <f t="shared" si="8"/>
        <v>1560.6676400000001</v>
      </c>
      <c r="X13" s="324">
        <f t="shared" si="8"/>
        <v>1354.1979200000001</v>
      </c>
      <c r="Y13" s="324">
        <f t="shared" si="8"/>
        <v>3674.6800000000003</v>
      </c>
      <c r="Z13" s="324">
        <f t="shared" si="8"/>
        <v>3064.4</v>
      </c>
      <c r="AA13" s="324">
        <f t="shared" si="8"/>
        <v>1286.35024</v>
      </c>
      <c r="AB13" s="324">
        <f t="shared" si="8"/>
        <v>1503.3088000000002</v>
      </c>
      <c r="AC13" s="324">
        <f t="shared" si="8"/>
        <v>1207.875168</v>
      </c>
      <c r="AD13" s="324">
        <f t="shared" si="8"/>
        <v>3400.4849503999994</v>
      </c>
      <c r="AE13" s="324">
        <f t="shared" si="8"/>
        <v>2002.7013000000002</v>
      </c>
      <c r="AF13" s="324">
        <f t="shared" si="8"/>
        <v>1697.3333243999998</v>
      </c>
      <c r="AG13" s="324">
        <f t="shared" si="8"/>
        <v>1500.714068</v>
      </c>
      <c r="AH13" s="324">
        <f t="shared" si="8"/>
        <v>4291.8266399999993</v>
      </c>
      <c r="AI13" s="324">
        <f t="shared" si="8"/>
        <v>1315.7008760000001</v>
      </c>
      <c r="AJ13" s="324">
        <f t="shared" si="8"/>
        <v>1325.2177120000001</v>
      </c>
      <c r="AK13" s="324">
        <f t="shared" si="8"/>
        <v>4196.616</v>
      </c>
      <c r="AL13" s="324">
        <f t="shared" si="8"/>
        <v>3076.3400000000006</v>
      </c>
      <c r="AM13" s="324">
        <f t="shared" si="8"/>
        <v>1223.7702400000001</v>
      </c>
      <c r="AN13" s="324">
        <f t="shared" si="8"/>
        <v>1534.0288</v>
      </c>
    </row>
    <row r="14" spans="2:40" s="7" customFormat="1">
      <c r="B14" s="235"/>
      <c r="E14" s="217"/>
      <c r="F14" s="217"/>
      <c r="G14" s="217"/>
      <c r="H14" s="217"/>
      <c r="I14" s="217"/>
      <c r="J14" s="225"/>
      <c r="K14" s="217"/>
      <c r="L14" s="217"/>
    </row>
    <row r="15" spans="2:40">
      <c r="B15" s="282" t="s">
        <v>884</v>
      </c>
      <c r="C15" s="283" t="s">
        <v>803</v>
      </c>
      <c r="E15" s="296">
        <v>45</v>
      </c>
      <c r="F15" s="296">
        <v>42.61</v>
      </c>
      <c r="G15" s="296">
        <v>37.47</v>
      </c>
      <c r="H15" s="296">
        <v>37.770000000000003</v>
      </c>
      <c r="I15" s="296">
        <v>41.26</v>
      </c>
      <c r="J15" s="296">
        <v>40.19</v>
      </c>
      <c r="K15" s="296">
        <v>41.58</v>
      </c>
      <c r="L15" s="296">
        <v>39.35</v>
      </c>
      <c r="M15" s="297">
        <v>39.35</v>
      </c>
      <c r="N15" s="297">
        <v>39.35</v>
      </c>
      <c r="O15" s="297">
        <v>39.35</v>
      </c>
      <c r="P15" s="297">
        <v>39.35</v>
      </c>
      <c r="Q15" s="297">
        <v>45</v>
      </c>
      <c r="R15" s="297">
        <v>42.3</v>
      </c>
      <c r="S15" s="297">
        <v>37</v>
      </c>
      <c r="T15" s="297">
        <v>38</v>
      </c>
      <c r="U15" s="297">
        <v>42</v>
      </c>
      <c r="V15" s="297">
        <v>39</v>
      </c>
      <c r="W15" s="297">
        <v>41</v>
      </c>
      <c r="X15" s="297">
        <v>42</v>
      </c>
      <c r="Y15" s="297">
        <v>39.4</v>
      </c>
      <c r="Z15" s="297">
        <v>39.4</v>
      </c>
      <c r="AA15" s="297">
        <v>41</v>
      </c>
      <c r="AB15" s="297">
        <v>42</v>
      </c>
      <c r="AC15" s="297">
        <v>45</v>
      </c>
      <c r="AD15" s="297">
        <v>42.3</v>
      </c>
      <c r="AE15" s="297">
        <v>37</v>
      </c>
      <c r="AF15" s="297">
        <v>38</v>
      </c>
      <c r="AG15" s="297">
        <v>42</v>
      </c>
      <c r="AH15" s="297">
        <v>39</v>
      </c>
      <c r="AI15" s="297">
        <v>41</v>
      </c>
      <c r="AJ15" s="297">
        <v>42</v>
      </c>
      <c r="AK15" s="297">
        <v>39.4</v>
      </c>
      <c r="AL15" s="297">
        <v>39.4</v>
      </c>
      <c r="AM15" s="297">
        <v>41</v>
      </c>
      <c r="AN15" s="297">
        <v>42</v>
      </c>
    </row>
    <row r="16" spans="2:40" s="7" customFormat="1">
      <c r="B16" s="354"/>
      <c r="C16" s="7" t="s">
        <v>804</v>
      </c>
      <c r="E16" s="321">
        <f t="shared" ref="E16:AN16" si="9">E15*E12</f>
        <v>7605</v>
      </c>
      <c r="F16" s="321">
        <f t="shared" si="9"/>
        <v>30423.54</v>
      </c>
      <c r="G16" s="321">
        <f t="shared" si="9"/>
        <v>224.82</v>
      </c>
      <c r="H16" s="321">
        <f t="shared" si="9"/>
        <v>5741.0400000000009</v>
      </c>
      <c r="I16" s="321">
        <f t="shared" si="9"/>
        <v>8128.2199999999993</v>
      </c>
      <c r="J16" s="321">
        <f t="shared" si="9"/>
        <v>30946.3</v>
      </c>
      <c r="K16" s="321">
        <f t="shared" si="9"/>
        <v>26735.94</v>
      </c>
      <c r="L16" s="321">
        <f t="shared" si="9"/>
        <v>6768.2</v>
      </c>
      <c r="M16" s="322">
        <f t="shared" si="9"/>
        <v>35468.414167066403</v>
      </c>
      <c r="N16" s="322">
        <f t="shared" si="9"/>
        <v>34681.414167066403</v>
      </c>
      <c r="O16" s="322">
        <f t="shared" si="9"/>
        <v>22034.474945549464</v>
      </c>
      <c r="P16" s="322">
        <f t="shared" si="9"/>
        <v>22311.813745549465</v>
      </c>
      <c r="Q16" s="322">
        <f t="shared" si="9"/>
        <v>14696.029704338665</v>
      </c>
      <c r="R16" s="322">
        <f t="shared" si="9"/>
        <v>50555.392910148752</v>
      </c>
      <c r="S16" s="322">
        <f t="shared" si="9"/>
        <v>20947.542929614854</v>
      </c>
      <c r="T16" s="322">
        <f t="shared" si="9"/>
        <v>15584.981879763374</v>
      </c>
      <c r="U16" s="322">
        <f t="shared" si="9"/>
        <v>17250.392679396322</v>
      </c>
      <c r="V16" s="322">
        <f t="shared" si="9"/>
        <v>54317.099674554942</v>
      </c>
      <c r="W16" s="322">
        <f t="shared" si="9"/>
        <v>17338.458373644033</v>
      </c>
      <c r="X16" s="322">
        <f t="shared" si="9"/>
        <v>15415.306269798157</v>
      </c>
      <c r="Y16" s="322">
        <f t="shared" si="9"/>
        <v>68862.511621677681</v>
      </c>
      <c r="Z16" s="322">
        <f t="shared" si="9"/>
        <v>56886.359684731404</v>
      </c>
      <c r="AA16" s="322">
        <f t="shared" si="9"/>
        <v>16363.247937694561</v>
      </c>
      <c r="AB16" s="322">
        <f t="shared" si="9"/>
        <v>18182.90951428211</v>
      </c>
      <c r="AC16" s="322">
        <f t="shared" si="9"/>
        <v>10374.091180901074</v>
      </c>
      <c r="AD16" s="322">
        <f t="shared" si="9"/>
        <v>64774.728738064121</v>
      </c>
      <c r="AE16" s="322">
        <f t="shared" si="9"/>
        <v>22871.317229614859</v>
      </c>
      <c r="AF16" s="322">
        <f t="shared" si="9"/>
        <v>16266.676443692386</v>
      </c>
      <c r="AG16" s="322">
        <f t="shared" si="9"/>
        <v>17111.659424910427</v>
      </c>
      <c r="AH16" s="322">
        <f t="shared" si="9"/>
        <v>92636.982319004208</v>
      </c>
      <c r="AI16" s="322">
        <f t="shared" si="9"/>
        <v>13770.153897981756</v>
      </c>
      <c r="AJ16" s="322">
        <f t="shared" si="9"/>
        <v>14629.083010253149</v>
      </c>
      <c r="AK16" s="322">
        <f t="shared" si="9"/>
        <v>80373.453946013222</v>
      </c>
      <c r="AL16" s="322">
        <f t="shared" si="9"/>
        <v>60784.595684731423</v>
      </c>
      <c r="AM16" s="322">
        <f t="shared" si="9"/>
        <v>14874.756747464018</v>
      </c>
      <c r="AN16" s="322">
        <f t="shared" si="9"/>
        <v>16781.93749713853</v>
      </c>
    </row>
    <row r="17" spans="2:40">
      <c r="B17" s="282" t="s">
        <v>884</v>
      </c>
      <c r="C17" s="283" t="s">
        <v>805</v>
      </c>
      <c r="E17" s="296">
        <v>44.77</v>
      </c>
      <c r="F17" s="296">
        <v>0</v>
      </c>
      <c r="G17" s="296">
        <v>50.46</v>
      </c>
      <c r="H17" s="296">
        <v>53.24</v>
      </c>
      <c r="I17" s="296">
        <v>31.16</v>
      </c>
      <c r="J17" s="296">
        <v>49.93</v>
      </c>
      <c r="K17" s="296">
        <v>42.52</v>
      </c>
      <c r="L17" s="296">
        <v>0</v>
      </c>
      <c r="M17" s="297">
        <f t="shared" ref="M17:AN17" si="10">L17</f>
        <v>0</v>
      </c>
      <c r="N17" s="297">
        <f t="shared" si="10"/>
        <v>0</v>
      </c>
      <c r="O17" s="297">
        <f t="shared" si="10"/>
        <v>0</v>
      </c>
      <c r="P17" s="297">
        <f t="shared" si="10"/>
        <v>0</v>
      </c>
      <c r="Q17" s="297">
        <f t="shared" si="10"/>
        <v>0</v>
      </c>
      <c r="R17" s="297">
        <f t="shared" si="10"/>
        <v>0</v>
      </c>
      <c r="S17" s="297">
        <f t="shared" si="10"/>
        <v>0</v>
      </c>
      <c r="T17" s="297">
        <f t="shared" si="10"/>
        <v>0</v>
      </c>
      <c r="U17" s="297">
        <f t="shared" si="10"/>
        <v>0</v>
      </c>
      <c r="V17" s="297">
        <f t="shared" si="10"/>
        <v>0</v>
      </c>
      <c r="W17" s="297">
        <f t="shared" si="10"/>
        <v>0</v>
      </c>
      <c r="X17" s="297">
        <f t="shared" si="10"/>
        <v>0</v>
      </c>
      <c r="Y17" s="297">
        <f t="shared" si="10"/>
        <v>0</v>
      </c>
      <c r="Z17" s="297">
        <f t="shared" si="10"/>
        <v>0</v>
      </c>
      <c r="AA17" s="297">
        <f t="shared" si="10"/>
        <v>0</v>
      </c>
      <c r="AB17" s="297">
        <f t="shared" si="10"/>
        <v>0</v>
      </c>
      <c r="AC17" s="297">
        <f t="shared" si="10"/>
        <v>0</v>
      </c>
      <c r="AD17" s="297">
        <f t="shared" si="10"/>
        <v>0</v>
      </c>
      <c r="AE17" s="297">
        <f t="shared" si="10"/>
        <v>0</v>
      </c>
      <c r="AF17" s="297">
        <f t="shared" si="10"/>
        <v>0</v>
      </c>
      <c r="AG17" s="297">
        <f t="shared" si="10"/>
        <v>0</v>
      </c>
      <c r="AH17" s="297">
        <f t="shared" si="10"/>
        <v>0</v>
      </c>
      <c r="AI17" s="297">
        <f t="shared" si="10"/>
        <v>0</v>
      </c>
      <c r="AJ17" s="297">
        <f t="shared" si="10"/>
        <v>0</v>
      </c>
      <c r="AK17" s="297">
        <f t="shared" si="10"/>
        <v>0</v>
      </c>
      <c r="AL17" s="297">
        <f t="shared" si="10"/>
        <v>0</v>
      </c>
      <c r="AM17" s="297">
        <f t="shared" si="10"/>
        <v>0</v>
      </c>
      <c r="AN17" s="297">
        <f t="shared" si="10"/>
        <v>0</v>
      </c>
    </row>
    <row r="18" spans="2:40" s="7" customFormat="1">
      <c r="B18" s="235"/>
      <c r="C18" s="7" t="s">
        <v>806</v>
      </c>
      <c r="E18" s="321">
        <f>E11*E17</f>
        <v>268.62</v>
      </c>
      <c r="F18" s="321">
        <f>F11*F17</f>
        <v>0</v>
      </c>
      <c r="G18" s="321">
        <f>G11*G17</f>
        <v>26239.200000000001</v>
      </c>
      <c r="H18" s="321">
        <f>H11*H17</f>
        <v>585.64</v>
      </c>
      <c r="I18" s="321">
        <f>I11*I17</f>
        <v>218.12</v>
      </c>
      <c r="J18" s="321">
        <f t="shared" ref="J18:AN18" si="11">J11*J15</f>
        <v>80.38</v>
      </c>
      <c r="K18" s="321">
        <f t="shared" si="11"/>
        <v>124.74</v>
      </c>
      <c r="L18" s="321">
        <f t="shared" si="11"/>
        <v>0</v>
      </c>
      <c r="M18" s="322">
        <f t="shared" si="11"/>
        <v>19852.569402673551</v>
      </c>
      <c r="N18" s="322">
        <f t="shared" si="11"/>
        <v>17113.139615439508</v>
      </c>
      <c r="O18" s="322">
        <f t="shared" si="11"/>
        <v>15562.982104095923</v>
      </c>
      <c r="P18" s="322">
        <f t="shared" si="11"/>
        <v>17569.832104095924</v>
      </c>
      <c r="Q18" s="322">
        <f t="shared" si="11"/>
        <v>17450.940695661335</v>
      </c>
      <c r="R18" s="322">
        <f t="shared" si="11"/>
        <v>14279.483822651238</v>
      </c>
      <c r="S18" s="322">
        <f t="shared" si="11"/>
        <v>14396.157423576633</v>
      </c>
      <c r="T18" s="322">
        <f t="shared" si="11"/>
        <v>12579.785832558142</v>
      </c>
      <c r="U18" s="322">
        <f t="shared" si="11"/>
        <v>12341.803368688777</v>
      </c>
      <c r="V18" s="322">
        <f t="shared" si="11"/>
        <v>14058.283223317399</v>
      </c>
      <c r="W18" s="322">
        <f t="shared" si="11"/>
        <v>12216.671484795694</v>
      </c>
      <c r="X18" s="322">
        <f t="shared" si="11"/>
        <v>11130.618418428799</v>
      </c>
      <c r="Y18" s="322">
        <f t="shared" si="11"/>
        <v>13569.520094634372</v>
      </c>
      <c r="Z18" s="322">
        <f t="shared" si="11"/>
        <v>11892.366745528638</v>
      </c>
      <c r="AA18" s="322">
        <f t="shared" si="11"/>
        <v>10887.615448404733</v>
      </c>
      <c r="AB18" s="322">
        <f t="shared" si="11"/>
        <v>14097.379234654067</v>
      </c>
      <c r="AC18" s="322">
        <f t="shared" si="11"/>
        <v>12608.610391864884</v>
      </c>
      <c r="AD18" s="322">
        <f t="shared" si="11"/>
        <v>10194.307807855881</v>
      </c>
      <c r="AE18" s="322">
        <f t="shared" si="11"/>
        <v>11806.157423576633</v>
      </c>
      <c r="AF18" s="322">
        <f t="shared" si="11"/>
        <v>9517.5215823255785</v>
      </c>
      <c r="AG18" s="322">
        <f t="shared" si="11"/>
        <v>9138.1070991746801</v>
      </c>
      <c r="AH18" s="322">
        <f t="shared" si="11"/>
        <v>10750.993753052519</v>
      </c>
      <c r="AI18" s="322">
        <f t="shared" si="11"/>
        <v>9368.1815618480414</v>
      </c>
      <c r="AJ18" s="322">
        <f t="shared" si="11"/>
        <v>7864.3217623993369</v>
      </c>
      <c r="AK18" s="322">
        <f t="shared" si="11"/>
        <v>10152.78411356124</v>
      </c>
      <c r="AL18" s="322">
        <f t="shared" si="11"/>
        <v>8464.5667455286384</v>
      </c>
      <c r="AM18" s="322">
        <f t="shared" si="11"/>
        <v>7261.3769932452069</v>
      </c>
      <c r="AN18" s="322">
        <f t="shared" si="11"/>
        <v>10616.855081584879</v>
      </c>
    </row>
    <row r="19" spans="2:40" s="7" customFormat="1">
      <c r="B19" s="235"/>
      <c r="E19" s="217"/>
      <c r="F19" s="217"/>
      <c r="G19" s="217"/>
      <c r="H19" s="217"/>
      <c r="I19" s="217"/>
      <c r="J19" s="217"/>
      <c r="K19" s="217"/>
      <c r="L19" s="217"/>
    </row>
    <row r="20" spans="2:40">
      <c r="B20" s="282" t="s">
        <v>884</v>
      </c>
      <c r="C20" s="283" t="s">
        <v>869</v>
      </c>
      <c r="E20" s="296">
        <v>43.73</v>
      </c>
      <c r="F20" s="296">
        <v>40.65</v>
      </c>
      <c r="G20" s="296">
        <v>38.520000000000003</v>
      </c>
      <c r="H20" s="296">
        <v>36.299999999999997</v>
      </c>
      <c r="I20" s="296">
        <v>34.380000000000003</v>
      </c>
      <c r="J20" s="296">
        <v>40.1</v>
      </c>
      <c r="K20" s="296">
        <v>41.41</v>
      </c>
      <c r="L20" s="296">
        <v>46.27</v>
      </c>
      <c r="M20" s="297">
        <v>42</v>
      </c>
      <c r="N20" s="297">
        <v>42</v>
      </c>
      <c r="O20" s="297">
        <v>42</v>
      </c>
      <c r="P20" s="297">
        <v>40</v>
      </c>
      <c r="Q20" s="297">
        <v>43</v>
      </c>
      <c r="R20" s="297">
        <v>40.5</v>
      </c>
      <c r="S20" s="297">
        <v>39</v>
      </c>
      <c r="T20" s="297">
        <v>36.5</v>
      </c>
      <c r="U20" s="297">
        <v>35</v>
      </c>
      <c r="V20" s="297">
        <v>40.5</v>
      </c>
      <c r="W20" s="297">
        <v>41.5</v>
      </c>
      <c r="X20" s="297">
        <v>46.3</v>
      </c>
      <c r="Y20" s="297">
        <v>41.5</v>
      </c>
      <c r="Z20" s="297">
        <v>40</v>
      </c>
      <c r="AA20" s="297">
        <v>40</v>
      </c>
      <c r="AB20" s="297">
        <v>42</v>
      </c>
      <c r="AC20" s="297">
        <v>43</v>
      </c>
      <c r="AD20" s="297">
        <v>40.5</v>
      </c>
      <c r="AE20" s="297">
        <v>39</v>
      </c>
      <c r="AF20" s="297">
        <v>36.5</v>
      </c>
      <c r="AG20" s="297">
        <v>35</v>
      </c>
      <c r="AH20" s="297">
        <v>40.5</v>
      </c>
      <c r="AI20" s="297">
        <v>41.5</v>
      </c>
      <c r="AJ20" s="297">
        <v>46.3</v>
      </c>
      <c r="AK20" s="297">
        <v>41.5</v>
      </c>
      <c r="AL20" s="297">
        <v>40</v>
      </c>
      <c r="AM20" s="297">
        <v>40</v>
      </c>
      <c r="AN20" s="297">
        <v>42</v>
      </c>
    </row>
    <row r="21" spans="2:40" s="7" customFormat="1">
      <c r="B21" s="235"/>
      <c r="C21" s="7" t="s">
        <v>808</v>
      </c>
      <c r="E21" s="321">
        <f t="shared" ref="E21:AN21" si="12">E9*E20</f>
        <v>18060.489999999998</v>
      </c>
      <c r="F21" s="321">
        <f t="shared" si="12"/>
        <v>61056.299999999996</v>
      </c>
      <c r="G21" s="321">
        <f t="shared" si="12"/>
        <v>44644.68</v>
      </c>
      <c r="H21" s="321">
        <f t="shared" si="12"/>
        <v>15572.699999999999</v>
      </c>
      <c r="I21" s="321">
        <f t="shared" si="12"/>
        <v>18393.300000000003</v>
      </c>
      <c r="J21" s="321">
        <f t="shared" si="12"/>
        <v>50004.700000000004</v>
      </c>
      <c r="K21" s="321">
        <f t="shared" si="12"/>
        <v>67291.25</v>
      </c>
      <c r="L21" s="321">
        <f t="shared" si="12"/>
        <v>16009.420000000002</v>
      </c>
      <c r="M21" s="322">
        <f t="shared" si="12"/>
        <v>56012.988690805869</v>
      </c>
      <c r="N21" s="322">
        <f t="shared" si="12"/>
        <v>56012.988690805869</v>
      </c>
      <c r="O21" s="322">
        <f t="shared" si="12"/>
        <v>16534.507758244537</v>
      </c>
      <c r="P21" s="322">
        <f t="shared" si="12"/>
        <v>15747.150245947178</v>
      </c>
      <c r="Q21" s="322">
        <f t="shared" si="12"/>
        <v>17310.133411409723</v>
      </c>
      <c r="R21" s="322">
        <f t="shared" si="12"/>
        <v>32637.279093176727</v>
      </c>
      <c r="S21" s="322">
        <f t="shared" si="12"/>
        <v>28944.364452568123</v>
      </c>
      <c r="T21" s="322">
        <f t="shared" si="12"/>
        <v>19924.915135385178</v>
      </c>
      <c r="U21" s="322">
        <f t="shared" si="12"/>
        <v>19452.462917169734</v>
      </c>
      <c r="V21" s="322">
        <f t="shared" si="12"/>
        <v>28996.050107192947</v>
      </c>
      <c r="W21" s="322">
        <f t="shared" si="12"/>
        <v>24241.385512043238</v>
      </c>
      <c r="X21" s="322">
        <f t="shared" si="12"/>
        <v>23256.13526505584</v>
      </c>
      <c r="Y21" s="322">
        <f t="shared" si="12"/>
        <v>45745.471464476548</v>
      </c>
      <c r="Z21" s="322">
        <f t="shared" si="12"/>
        <v>36743.350573876749</v>
      </c>
      <c r="AA21" s="322">
        <f t="shared" si="12"/>
        <v>17321.86527054189</v>
      </c>
      <c r="AB21" s="322">
        <f t="shared" si="12"/>
        <v>21494.860085717894</v>
      </c>
      <c r="AC21" s="322">
        <f t="shared" si="12"/>
        <v>20880.985778250088</v>
      </c>
      <c r="AD21" s="322">
        <f t="shared" si="12"/>
        <v>45931.572860798165</v>
      </c>
      <c r="AE21" s="322">
        <f t="shared" si="12"/>
        <v>28944.364452568123</v>
      </c>
      <c r="AF21" s="322">
        <f t="shared" si="12"/>
        <v>25902.389676000734</v>
      </c>
      <c r="AG21" s="322">
        <f t="shared" si="12"/>
        <v>21349.631992574647</v>
      </c>
      <c r="AH21" s="322">
        <f t="shared" si="12"/>
        <v>46289.441022572551</v>
      </c>
      <c r="AI21" s="322">
        <f t="shared" si="12"/>
        <v>21719.427045945293</v>
      </c>
      <c r="AJ21" s="322">
        <f t="shared" si="12"/>
        <v>25467.050337897126</v>
      </c>
      <c r="AK21" s="322">
        <f t="shared" si="12"/>
        <v>54894.565757371856</v>
      </c>
      <c r="AL21" s="322">
        <f t="shared" si="12"/>
        <v>36743.350573876749</v>
      </c>
      <c r="AM21" s="322">
        <f t="shared" si="12"/>
        <v>19054.051797596079</v>
      </c>
      <c r="AN21" s="322">
        <f t="shared" si="12"/>
        <v>25793.832102861474</v>
      </c>
    </row>
    <row r="22" spans="2:40">
      <c r="B22" s="282" t="s">
        <v>884</v>
      </c>
      <c r="C22" s="283" t="s">
        <v>809</v>
      </c>
      <c r="E22" s="296">
        <v>53.28</v>
      </c>
      <c r="F22" s="296">
        <v>69.3</v>
      </c>
      <c r="G22" s="296">
        <v>86.12</v>
      </c>
      <c r="H22" s="296">
        <v>45.51</v>
      </c>
      <c r="I22" s="296">
        <v>126.53</v>
      </c>
      <c r="J22" s="296">
        <v>68.650000000000006</v>
      </c>
      <c r="K22" s="296">
        <v>68.91</v>
      </c>
      <c r="L22" s="296">
        <v>59.49</v>
      </c>
      <c r="M22" s="297">
        <f t="shared" ref="M22:AN22" si="13">L22</f>
        <v>59.49</v>
      </c>
      <c r="N22" s="297">
        <f t="shared" si="13"/>
        <v>59.49</v>
      </c>
      <c r="O22" s="297">
        <f t="shared" si="13"/>
        <v>59.49</v>
      </c>
      <c r="P22" s="297">
        <f t="shared" si="13"/>
        <v>59.49</v>
      </c>
      <c r="Q22" s="297">
        <v>53</v>
      </c>
      <c r="R22" s="297">
        <v>54</v>
      </c>
      <c r="S22" s="297">
        <f t="shared" si="13"/>
        <v>54</v>
      </c>
      <c r="T22" s="297">
        <f t="shared" si="13"/>
        <v>54</v>
      </c>
      <c r="U22" s="297">
        <f t="shared" si="13"/>
        <v>54</v>
      </c>
      <c r="V22" s="297">
        <f t="shared" si="13"/>
        <v>54</v>
      </c>
      <c r="W22" s="297">
        <f t="shared" si="13"/>
        <v>54</v>
      </c>
      <c r="X22" s="297">
        <f t="shared" si="13"/>
        <v>54</v>
      </c>
      <c r="Y22" s="297">
        <f t="shared" si="13"/>
        <v>54</v>
      </c>
      <c r="Z22" s="297">
        <f t="shared" si="13"/>
        <v>54</v>
      </c>
      <c r="AA22" s="297">
        <f t="shared" si="13"/>
        <v>54</v>
      </c>
      <c r="AB22" s="297">
        <f t="shared" si="13"/>
        <v>54</v>
      </c>
      <c r="AC22" s="297">
        <f t="shared" si="13"/>
        <v>54</v>
      </c>
      <c r="AD22" s="297">
        <f t="shared" si="13"/>
        <v>54</v>
      </c>
      <c r="AE22" s="297">
        <f t="shared" si="13"/>
        <v>54</v>
      </c>
      <c r="AF22" s="297">
        <f t="shared" si="13"/>
        <v>54</v>
      </c>
      <c r="AG22" s="297">
        <f t="shared" si="13"/>
        <v>54</v>
      </c>
      <c r="AH22" s="297">
        <f t="shared" si="13"/>
        <v>54</v>
      </c>
      <c r="AI22" s="297">
        <f t="shared" si="13"/>
        <v>54</v>
      </c>
      <c r="AJ22" s="297">
        <f t="shared" si="13"/>
        <v>54</v>
      </c>
      <c r="AK22" s="297">
        <f t="shared" si="13"/>
        <v>54</v>
      </c>
      <c r="AL22" s="297">
        <f t="shared" si="13"/>
        <v>54</v>
      </c>
      <c r="AM22" s="297">
        <f t="shared" si="13"/>
        <v>54</v>
      </c>
      <c r="AN22" s="297">
        <f t="shared" si="13"/>
        <v>54</v>
      </c>
    </row>
    <row r="23" spans="2:40" s="7" customFormat="1">
      <c r="B23" s="235"/>
      <c r="C23" s="7" t="s">
        <v>810</v>
      </c>
      <c r="E23" s="321">
        <f>E22*E10</f>
        <v>1651.68</v>
      </c>
      <c r="F23" s="321">
        <f>F22*F10</f>
        <v>970.19999999999993</v>
      </c>
      <c r="G23" s="321">
        <f>G22*G10</f>
        <v>516.72</v>
      </c>
      <c r="H23" s="321">
        <f>H22*H10</f>
        <v>91.02</v>
      </c>
      <c r="I23" s="321">
        <f>I22*I10</f>
        <v>126.53</v>
      </c>
      <c r="J23" s="321">
        <f t="shared" ref="J23:AN23" si="14">J20*J10</f>
        <v>320.8</v>
      </c>
      <c r="K23" s="321">
        <f t="shared" si="14"/>
        <v>579.74</v>
      </c>
      <c r="L23" s="321">
        <f t="shared" si="14"/>
        <v>694.05000000000007</v>
      </c>
      <c r="M23" s="322">
        <f t="shared" si="14"/>
        <v>23496.001713866637</v>
      </c>
      <c r="N23" s="322">
        <f t="shared" si="14"/>
        <v>24277.916607483658</v>
      </c>
      <c r="O23" s="322">
        <f t="shared" si="14"/>
        <v>7202.9390502661045</v>
      </c>
      <c r="P23" s="322">
        <f t="shared" si="14"/>
        <v>6859.9419526343854</v>
      </c>
      <c r="Q23" s="322">
        <f t="shared" si="14"/>
        <v>7294.844988590281</v>
      </c>
      <c r="R23" s="322">
        <f t="shared" si="14"/>
        <v>13754.018306823278</v>
      </c>
      <c r="S23" s="322">
        <f t="shared" si="14"/>
        <v>12609.053504878684</v>
      </c>
      <c r="T23" s="322">
        <f t="shared" si="14"/>
        <v>8679.904560832314</v>
      </c>
      <c r="U23" s="322">
        <f t="shared" si="14"/>
        <v>8494.3858594260164</v>
      </c>
      <c r="V23" s="322">
        <f t="shared" si="14"/>
        <v>12661.822775785779</v>
      </c>
      <c r="W23" s="322">
        <f t="shared" si="14"/>
        <v>10610.763276609243</v>
      </c>
      <c r="X23" s="322">
        <f t="shared" si="14"/>
        <v>10179.506691303493</v>
      </c>
      <c r="Y23" s="322">
        <f t="shared" si="14"/>
        <v>19928.131372402888</v>
      </c>
      <c r="Z23" s="322">
        <f t="shared" si="14"/>
        <v>16006.531222813564</v>
      </c>
      <c r="AA23" s="322">
        <f t="shared" si="14"/>
        <v>7545.9361478978235</v>
      </c>
      <c r="AB23" s="322">
        <f t="shared" si="14"/>
        <v>9363.820765345934</v>
      </c>
      <c r="AC23" s="322">
        <f t="shared" si="14"/>
        <v>9096.3982762179985</v>
      </c>
      <c r="AD23" s="322">
        <f t="shared" si="14"/>
        <v>20009.202852393311</v>
      </c>
      <c r="AE23" s="322">
        <f t="shared" si="14"/>
        <v>12609.053504878684</v>
      </c>
      <c r="AF23" s="322">
        <f t="shared" si="14"/>
        <v>11283.875929082011</v>
      </c>
      <c r="AG23" s="322">
        <f t="shared" si="14"/>
        <v>9300.5549506877669</v>
      </c>
      <c r="AH23" s="322">
        <f t="shared" si="14"/>
        <v>20165.101207214691</v>
      </c>
      <c r="AI23" s="322">
        <f t="shared" si="14"/>
        <v>9461.6490255440622</v>
      </c>
      <c r="AJ23" s="322">
        <f t="shared" si="14"/>
        <v>11094.228752135972</v>
      </c>
      <c r="AK23" s="322">
        <f t="shared" si="14"/>
        <v>23913.757646883467</v>
      </c>
      <c r="AL23" s="322">
        <f t="shared" si="14"/>
        <v>16006.531222813564</v>
      </c>
      <c r="AM23" s="322">
        <f t="shared" si="14"/>
        <v>8300.5297626876054</v>
      </c>
      <c r="AN23" s="322">
        <f t="shared" si="14"/>
        <v>11236.584918415121</v>
      </c>
    </row>
    <row r="24" spans="2:40" s="7" customFormat="1">
      <c r="B24" s="235"/>
      <c r="E24" s="217"/>
      <c r="F24" s="217"/>
      <c r="G24" s="217"/>
      <c r="H24" s="217"/>
      <c r="I24" s="217"/>
      <c r="J24" s="217"/>
      <c r="K24" s="217"/>
      <c r="L24" s="217"/>
    </row>
    <row r="25" spans="2:40" s="7" customFormat="1">
      <c r="B25" s="237"/>
      <c r="C25" s="7" t="s">
        <v>870</v>
      </c>
      <c r="E25" s="227">
        <f>(E21+E16+E18+E23)</f>
        <v>27585.789999999997</v>
      </c>
      <c r="F25" s="227">
        <f t="shared" ref="F25:AN25" si="15">(F21+F16+F18+F23)</f>
        <v>92450.04</v>
      </c>
      <c r="G25" s="227">
        <f t="shared" si="15"/>
        <v>71625.42</v>
      </c>
      <c r="H25" s="227">
        <f t="shared" si="15"/>
        <v>21990.399999999998</v>
      </c>
      <c r="I25" s="227">
        <f t="shared" si="15"/>
        <v>26866.170000000002</v>
      </c>
      <c r="J25" s="227">
        <f t="shared" si="15"/>
        <v>81352.180000000008</v>
      </c>
      <c r="K25" s="227">
        <f t="shared" si="15"/>
        <v>94731.670000000013</v>
      </c>
      <c r="L25" s="227">
        <f t="shared" si="15"/>
        <v>23471.670000000002</v>
      </c>
      <c r="M25" s="201">
        <f t="shared" si="15"/>
        <v>134829.97397441245</v>
      </c>
      <c r="N25" s="201">
        <f t="shared" si="15"/>
        <v>132085.45908079544</v>
      </c>
      <c r="O25" s="201">
        <f t="shared" si="15"/>
        <v>61334.903858156023</v>
      </c>
      <c r="P25" s="201">
        <f t="shared" si="15"/>
        <v>62488.738048226951</v>
      </c>
      <c r="Q25" s="201">
        <f t="shared" si="15"/>
        <v>56751.948799999998</v>
      </c>
      <c r="R25" s="201">
        <f t="shared" si="15"/>
        <v>111226.17413279999</v>
      </c>
      <c r="S25" s="201">
        <f t="shared" si="15"/>
        <v>76897.118310638296</v>
      </c>
      <c r="T25" s="201">
        <f t="shared" si="15"/>
        <v>56769.58740853901</v>
      </c>
      <c r="U25" s="201">
        <f t="shared" si="15"/>
        <v>57539.044824680852</v>
      </c>
      <c r="V25" s="201">
        <f t="shared" si="15"/>
        <v>110033.25578085108</v>
      </c>
      <c r="W25" s="201">
        <f t="shared" si="15"/>
        <v>64407.2786470922</v>
      </c>
      <c r="X25" s="201">
        <f t="shared" si="15"/>
        <v>59981.566644586288</v>
      </c>
      <c r="Y25" s="201">
        <f t="shared" si="15"/>
        <v>148105.63455319148</v>
      </c>
      <c r="Z25" s="201">
        <f t="shared" si="15"/>
        <v>121528.60822695035</v>
      </c>
      <c r="AA25" s="201">
        <f t="shared" si="15"/>
        <v>52118.664804539003</v>
      </c>
      <c r="AB25" s="201">
        <f t="shared" si="15"/>
        <v>63138.969599999997</v>
      </c>
      <c r="AC25" s="201">
        <f t="shared" si="15"/>
        <v>52960.085627234046</v>
      </c>
      <c r="AD25" s="201">
        <f t="shared" si="15"/>
        <v>140909.81225911147</v>
      </c>
      <c r="AE25" s="201">
        <f t="shared" si="15"/>
        <v>76230.892610638301</v>
      </c>
      <c r="AF25" s="201">
        <f t="shared" si="15"/>
        <v>62970.463631100705</v>
      </c>
      <c r="AG25" s="201">
        <f t="shared" si="15"/>
        <v>56899.953467347521</v>
      </c>
      <c r="AH25" s="201">
        <f t="shared" si="15"/>
        <v>169842.51830184399</v>
      </c>
      <c r="AI25" s="201">
        <f t="shared" si="15"/>
        <v>54319.411531319158</v>
      </c>
      <c r="AJ25" s="201">
        <f t="shared" si="15"/>
        <v>59054.683862685575</v>
      </c>
      <c r="AK25" s="201">
        <f t="shared" si="15"/>
        <v>169334.56146382977</v>
      </c>
      <c r="AL25" s="201">
        <f t="shared" si="15"/>
        <v>121999.04422695035</v>
      </c>
      <c r="AM25" s="201">
        <f t="shared" si="15"/>
        <v>49490.71530099291</v>
      </c>
      <c r="AN25" s="201">
        <f t="shared" si="15"/>
        <v>64429.209600000002</v>
      </c>
    </row>
    <row r="26" spans="2:40" s="7" customFormat="1">
      <c r="B26" s="235" t="s">
        <v>885</v>
      </c>
      <c r="C26" s="238" t="s">
        <v>812</v>
      </c>
      <c r="E26" s="228">
        <v>24155</v>
      </c>
      <c r="F26" s="228">
        <v>78643</v>
      </c>
      <c r="G26" s="228">
        <v>55360</v>
      </c>
      <c r="H26" s="228">
        <v>18962</v>
      </c>
      <c r="I26" s="228">
        <v>22140</v>
      </c>
      <c r="J26" s="228">
        <v>69826</v>
      </c>
      <c r="K26" s="228">
        <v>81280</v>
      </c>
      <c r="L26" s="228">
        <v>20360</v>
      </c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2"/>
      <c r="AC26" s="202"/>
      <c r="AD26" s="202"/>
      <c r="AE26" s="202"/>
      <c r="AF26" s="202"/>
      <c r="AG26" s="202"/>
      <c r="AH26" s="202"/>
      <c r="AI26" s="202"/>
      <c r="AJ26" s="202"/>
      <c r="AK26" s="202"/>
      <c r="AL26" s="202"/>
      <c r="AM26" s="202"/>
      <c r="AN26" s="202"/>
    </row>
    <row r="27" spans="2:40" s="7" customFormat="1">
      <c r="B27" s="237"/>
      <c r="C27" s="7" t="s">
        <v>813</v>
      </c>
      <c r="E27" s="229">
        <f t="shared" ref="E27:H27" si="16">E26-E25</f>
        <v>-3430.7899999999972</v>
      </c>
      <c r="F27" s="229">
        <f t="shared" si="16"/>
        <v>-13807.039999999994</v>
      </c>
      <c r="G27" s="229">
        <f t="shared" si="16"/>
        <v>-16265.419999999998</v>
      </c>
      <c r="H27" s="229">
        <f t="shared" si="16"/>
        <v>-3028.3999999999978</v>
      </c>
      <c r="I27" s="229">
        <f>I26-I25</f>
        <v>-4726.1700000000019</v>
      </c>
      <c r="J27" s="229">
        <f t="shared" ref="J27:L27" si="17">J26-J25</f>
        <v>-11526.180000000008</v>
      </c>
      <c r="K27" s="229">
        <f t="shared" si="17"/>
        <v>-13451.670000000013</v>
      </c>
      <c r="L27" s="229">
        <f t="shared" si="17"/>
        <v>-3111.6700000000019</v>
      </c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</row>
    <row r="28" spans="2:40" s="7" customFormat="1">
      <c r="B28" s="235"/>
      <c r="E28" s="326">
        <f>E27/E26</f>
        <v>-0.14203229145104521</v>
      </c>
      <c r="F28" s="326">
        <f t="shared" ref="F28:H28" si="18">F27/F26</f>
        <v>-0.17556603893544237</v>
      </c>
      <c r="G28" s="326">
        <f t="shared" si="18"/>
        <v>-0.29381177745664738</v>
      </c>
      <c r="H28" s="326">
        <f t="shared" si="18"/>
        <v>-0.1597088914671447</v>
      </c>
      <c r="I28" s="326">
        <f>I27/I26</f>
        <v>-0.21346747967479685</v>
      </c>
      <c r="J28" s="326">
        <f t="shared" ref="J28:L28" si="19">J27/J26</f>
        <v>-0.1650700312204624</v>
      </c>
      <c r="K28" s="326">
        <f t="shared" si="19"/>
        <v>-0.16549790846456708</v>
      </c>
      <c r="L28" s="326">
        <f t="shared" si="19"/>
        <v>-0.15283251473477416</v>
      </c>
    </row>
    <row r="29" spans="2:40">
      <c r="C29" s="283" t="s">
        <v>814</v>
      </c>
      <c r="E29" s="293">
        <v>0</v>
      </c>
      <c r="F29" s="293">
        <v>0</v>
      </c>
      <c r="G29" s="293">
        <v>0</v>
      </c>
      <c r="H29" s="293">
        <v>0</v>
      </c>
      <c r="I29" s="293">
        <v>0</v>
      </c>
      <c r="J29" s="293">
        <v>0</v>
      </c>
      <c r="K29" s="293">
        <v>0</v>
      </c>
      <c r="L29" s="293">
        <v>0</v>
      </c>
      <c r="M29" s="299">
        <v>0</v>
      </c>
      <c r="N29" s="299">
        <v>0</v>
      </c>
      <c r="O29" s="299">
        <v>0</v>
      </c>
      <c r="P29" s="299">
        <v>0</v>
      </c>
      <c r="Q29" s="299">
        <v>500</v>
      </c>
      <c r="R29" s="299">
        <v>1000</v>
      </c>
      <c r="S29" s="299">
        <v>1000</v>
      </c>
      <c r="T29" s="299">
        <v>500</v>
      </c>
      <c r="U29" s="299">
        <v>500</v>
      </c>
      <c r="V29" s="299">
        <v>1000</v>
      </c>
      <c r="W29" s="299">
        <v>500</v>
      </c>
      <c r="X29" s="299">
        <v>500</v>
      </c>
      <c r="Y29" s="299">
        <v>1000</v>
      </c>
      <c r="Z29" s="299">
        <v>1000</v>
      </c>
      <c r="AA29" s="299">
        <v>500</v>
      </c>
      <c r="AB29" s="299">
        <v>500</v>
      </c>
      <c r="AC29" s="299">
        <v>500</v>
      </c>
      <c r="AD29" s="299">
        <v>1000</v>
      </c>
      <c r="AE29" s="299">
        <v>1000</v>
      </c>
      <c r="AF29" s="299">
        <v>500</v>
      </c>
      <c r="AG29" s="299">
        <v>500</v>
      </c>
      <c r="AH29" s="299">
        <v>1000</v>
      </c>
      <c r="AI29" s="299">
        <v>500</v>
      </c>
      <c r="AJ29" s="299">
        <v>500</v>
      </c>
      <c r="AK29" s="299">
        <v>1000</v>
      </c>
      <c r="AL29" s="299">
        <v>1000</v>
      </c>
      <c r="AM29" s="299">
        <v>500</v>
      </c>
      <c r="AN29" s="299">
        <v>500</v>
      </c>
    </row>
    <row r="30" spans="2:40" s="7" customFormat="1">
      <c r="B30" s="235"/>
      <c r="E30" s="328"/>
      <c r="F30" s="328"/>
      <c r="G30" s="328"/>
      <c r="H30" s="328"/>
      <c r="I30" s="328"/>
      <c r="J30" s="321"/>
      <c r="K30" s="217"/>
      <c r="L30" s="217"/>
    </row>
    <row r="31" spans="2:40" s="7" customFormat="1">
      <c r="B31" s="235"/>
      <c r="E31" s="328"/>
      <c r="F31" s="328"/>
      <c r="G31" s="328"/>
      <c r="H31" s="328"/>
      <c r="I31" s="328"/>
      <c r="J31" s="321"/>
      <c r="K31" s="217"/>
      <c r="L31" s="217"/>
    </row>
    <row r="32" spans="2:40">
      <c r="C32" s="348" t="s">
        <v>815</v>
      </c>
      <c r="E32" s="300"/>
      <c r="F32" s="300"/>
      <c r="G32" s="300"/>
      <c r="H32" s="300"/>
      <c r="I32" s="300"/>
      <c r="J32" s="294"/>
      <c r="K32" s="349"/>
      <c r="L32" s="349"/>
      <c r="M32" s="355" t="s">
        <v>816</v>
      </c>
      <c r="N32" s="356" t="s">
        <v>817</v>
      </c>
      <c r="O32" s="355" t="s">
        <v>816</v>
      </c>
      <c r="P32" s="355" t="s">
        <v>816</v>
      </c>
      <c r="Q32" s="355" t="s">
        <v>816</v>
      </c>
      <c r="R32" s="355" t="s">
        <v>886</v>
      </c>
      <c r="S32" s="355" t="s">
        <v>886</v>
      </c>
      <c r="T32" s="355" t="s">
        <v>816</v>
      </c>
      <c r="U32" s="355" t="s">
        <v>816</v>
      </c>
      <c r="V32" s="355" t="s">
        <v>886</v>
      </c>
      <c r="W32" s="355" t="s">
        <v>816</v>
      </c>
      <c r="X32" s="355" t="s">
        <v>816</v>
      </c>
      <c r="Y32" s="355" t="s">
        <v>886</v>
      </c>
      <c r="Z32" s="355" t="s">
        <v>886</v>
      </c>
      <c r="AA32" s="355" t="s">
        <v>816</v>
      </c>
      <c r="AB32" s="355" t="s">
        <v>816</v>
      </c>
      <c r="AC32" s="355" t="s">
        <v>816</v>
      </c>
      <c r="AD32" s="355" t="s">
        <v>816</v>
      </c>
      <c r="AE32" s="355" t="s">
        <v>816</v>
      </c>
      <c r="AF32" s="355" t="s">
        <v>816</v>
      </c>
      <c r="AG32" s="355" t="s">
        <v>816</v>
      </c>
      <c r="AH32" s="355" t="s">
        <v>816</v>
      </c>
      <c r="AI32" s="355" t="s">
        <v>816</v>
      </c>
      <c r="AJ32" s="355" t="s">
        <v>816</v>
      </c>
      <c r="AK32" s="355" t="s">
        <v>816</v>
      </c>
      <c r="AL32" s="355" t="s">
        <v>816</v>
      </c>
      <c r="AM32" s="355" t="s">
        <v>816</v>
      </c>
      <c r="AN32" s="355" t="s">
        <v>816</v>
      </c>
    </row>
    <row r="33" spans="2:40" s="7" customFormat="1">
      <c r="B33" s="235"/>
      <c r="E33" s="328"/>
      <c r="F33" s="328"/>
      <c r="G33" s="328"/>
      <c r="H33" s="328"/>
      <c r="I33" s="328"/>
      <c r="J33" s="217"/>
      <c r="K33" s="217"/>
      <c r="L33" s="217"/>
    </row>
    <row r="34" spans="2:40" s="7" customFormat="1" ht="12" customHeight="1">
      <c r="B34" s="237" t="s">
        <v>819</v>
      </c>
      <c r="C34" s="208" t="s">
        <v>208</v>
      </c>
      <c r="D34" s="208"/>
      <c r="E34" s="218">
        <v>45689</v>
      </c>
      <c r="F34" s="218">
        <v>45717</v>
      </c>
      <c r="G34" s="218">
        <v>45748</v>
      </c>
      <c r="H34" s="218">
        <v>45778</v>
      </c>
      <c r="I34" s="218">
        <v>45809</v>
      </c>
      <c r="J34" s="218">
        <v>45839</v>
      </c>
      <c r="K34" s="218">
        <v>45870</v>
      </c>
      <c r="L34" s="218">
        <v>45901</v>
      </c>
      <c r="M34" s="195">
        <v>45931</v>
      </c>
      <c r="N34" s="195">
        <v>45962</v>
      </c>
      <c r="O34" s="195">
        <v>45992</v>
      </c>
      <c r="P34" s="195">
        <v>46023</v>
      </c>
      <c r="Q34" s="195">
        <v>46054</v>
      </c>
      <c r="R34" s="195">
        <v>46082</v>
      </c>
      <c r="S34" s="195">
        <v>46113</v>
      </c>
      <c r="T34" s="195">
        <v>46143</v>
      </c>
      <c r="U34" s="195">
        <v>46174</v>
      </c>
      <c r="V34" s="195">
        <v>46204</v>
      </c>
      <c r="W34" s="195">
        <v>46235</v>
      </c>
      <c r="X34" s="195">
        <v>46266</v>
      </c>
      <c r="Y34" s="195">
        <v>46296</v>
      </c>
      <c r="Z34" s="195">
        <v>46327</v>
      </c>
      <c r="AA34" s="195">
        <v>46357</v>
      </c>
      <c r="AB34" s="195">
        <v>46388</v>
      </c>
      <c r="AC34" s="195">
        <v>46419</v>
      </c>
      <c r="AD34" s="195">
        <v>46447</v>
      </c>
      <c r="AE34" s="195">
        <v>46478</v>
      </c>
      <c r="AF34" s="195">
        <v>46508</v>
      </c>
      <c r="AG34" s="195">
        <v>46539</v>
      </c>
      <c r="AH34" s="195">
        <v>46569</v>
      </c>
      <c r="AI34" s="195">
        <v>46600</v>
      </c>
      <c r="AJ34" s="195">
        <v>46631</v>
      </c>
      <c r="AK34" s="195">
        <v>46661</v>
      </c>
      <c r="AL34" s="195">
        <v>46692</v>
      </c>
      <c r="AM34" s="195">
        <v>46722</v>
      </c>
      <c r="AN34" s="195">
        <v>46753</v>
      </c>
    </row>
    <row r="35" spans="2:40" s="7" customFormat="1" ht="12" customHeight="1">
      <c r="B35" s="237"/>
      <c r="C35" s="208"/>
      <c r="D35" s="208"/>
      <c r="E35" s="219" t="s">
        <v>753</v>
      </c>
      <c r="F35" s="219" t="s">
        <v>754</v>
      </c>
      <c r="G35" s="219" t="s">
        <v>755</v>
      </c>
      <c r="H35" s="219" t="s">
        <v>756</v>
      </c>
      <c r="I35" s="219" t="s">
        <v>757</v>
      </c>
      <c r="J35" s="219" t="s">
        <v>758</v>
      </c>
      <c r="K35" s="219" t="s">
        <v>759</v>
      </c>
      <c r="L35" s="219" t="s">
        <v>760</v>
      </c>
      <c r="M35" s="196" t="s">
        <v>761</v>
      </c>
      <c r="N35" s="196" t="s">
        <v>762</v>
      </c>
      <c r="O35" s="196" t="s">
        <v>763</v>
      </c>
      <c r="P35" s="196" t="s">
        <v>764</v>
      </c>
      <c r="Q35" s="196" t="s">
        <v>765</v>
      </c>
      <c r="R35" s="196" t="s">
        <v>766</v>
      </c>
      <c r="S35" s="196" t="s">
        <v>767</v>
      </c>
      <c r="T35" s="196" t="s">
        <v>768</v>
      </c>
      <c r="U35" s="196" t="s">
        <v>769</v>
      </c>
      <c r="V35" s="196" t="s">
        <v>770</v>
      </c>
      <c r="W35" s="196" t="s">
        <v>771</v>
      </c>
      <c r="X35" s="196" t="s">
        <v>772</v>
      </c>
      <c r="Y35" s="196" t="s">
        <v>773</v>
      </c>
      <c r="Z35" s="196" t="s">
        <v>774</v>
      </c>
      <c r="AA35" s="196" t="s">
        <v>775</v>
      </c>
      <c r="AB35" s="196" t="s">
        <v>776</v>
      </c>
      <c r="AC35" s="196" t="s">
        <v>777</v>
      </c>
      <c r="AD35" s="196" t="s">
        <v>778</v>
      </c>
      <c r="AE35" s="196" t="s">
        <v>779</v>
      </c>
      <c r="AF35" s="196" t="s">
        <v>780</v>
      </c>
      <c r="AG35" s="196" t="s">
        <v>781</v>
      </c>
      <c r="AH35" s="196" t="s">
        <v>782</v>
      </c>
      <c r="AI35" s="196" t="s">
        <v>783</v>
      </c>
      <c r="AJ35" s="196" t="s">
        <v>784</v>
      </c>
      <c r="AK35" s="196" t="s">
        <v>785</v>
      </c>
      <c r="AL35" s="196" t="s">
        <v>786</v>
      </c>
      <c r="AM35" s="196" t="s">
        <v>787</v>
      </c>
      <c r="AN35" s="196" t="s">
        <v>788</v>
      </c>
    </row>
    <row r="36" spans="2:40" ht="12" customHeight="1">
      <c r="B36" s="301" t="s">
        <v>875</v>
      </c>
      <c r="C36" s="302" t="s">
        <v>821</v>
      </c>
      <c r="D36" s="303"/>
      <c r="E36" s="304">
        <v>8566</v>
      </c>
      <c r="F36" s="304">
        <v>22047</v>
      </c>
      <c r="G36" s="304">
        <v>28278</v>
      </c>
      <c r="H36" s="304">
        <v>12235</v>
      </c>
      <c r="I36" s="304">
        <v>14086</v>
      </c>
      <c r="J36" s="304">
        <v>13609</v>
      </c>
      <c r="K36" s="304">
        <v>18464</v>
      </c>
      <c r="L36" s="304">
        <v>13609</v>
      </c>
      <c r="M36" s="305">
        <v>35000</v>
      </c>
      <c r="N36" s="305">
        <v>35000</v>
      </c>
      <c r="O36" s="305">
        <v>15000</v>
      </c>
      <c r="P36" s="305">
        <f t="shared" ref="P36" si="20">O36</f>
        <v>15000</v>
      </c>
      <c r="Q36" s="305">
        <f>Q37*E36</f>
        <v>15418.800000000001</v>
      </c>
      <c r="R36" s="305">
        <f>R37*F36</f>
        <v>30865.8</v>
      </c>
      <c r="S36" s="305">
        <f t="shared" ref="S36:AN36" si="21">S37*G36</f>
        <v>28278</v>
      </c>
      <c r="T36" s="305">
        <f t="shared" si="21"/>
        <v>20799.5</v>
      </c>
      <c r="U36" s="305">
        <f t="shared" si="21"/>
        <v>21129</v>
      </c>
      <c r="V36" s="305">
        <f t="shared" si="21"/>
        <v>27218</v>
      </c>
      <c r="W36" s="305">
        <f t="shared" si="21"/>
        <v>22156.799999999999</v>
      </c>
      <c r="X36" s="305">
        <f t="shared" si="21"/>
        <v>19052.599999999999</v>
      </c>
      <c r="Y36" s="305">
        <f t="shared" si="21"/>
        <v>42000</v>
      </c>
      <c r="Z36" s="305">
        <f>Z37*N36</f>
        <v>35000</v>
      </c>
      <c r="AA36" s="305">
        <f t="shared" si="21"/>
        <v>16500</v>
      </c>
      <c r="AB36" s="305">
        <f t="shared" si="21"/>
        <v>19500</v>
      </c>
      <c r="AC36" s="305">
        <f t="shared" si="21"/>
        <v>18502.560000000001</v>
      </c>
      <c r="AD36" s="305">
        <f t="shared" si="21"/>
        <v>43212.119999999995</v>
      </c>
      <c r="AE36" s="305">
        <f t="shared" si="21"/>
        <v>28278</v>
      </c>
      <c r="AF36" s="305">
        <f t="shared" si="21"/>
        <v>27039.350000000002</v>
      </c>
      <c r="AG36" s="305">
        <f t="shared" si="21"/>
        <v>23241.9</v>
      </c>
      <c r="AH36" s="305">
        <f t="shared" si="21"/>
        <v>43548.800000000003</v>
      </c>
      <c r="AI36" s="305">
        <f t="shared" si="21"/>
        <v>19941.12</v>
      </c>
      <c r="AJ36" s="305">
        <f t="shared" si="21"/>
        <v>20957.86</v>
      </c>
      <c r="AK36" s="305">
        <f t="shared" si="21"/>
        <v>50400</v>
      </c>
      <c r="AL36" s="305">
        <f t="shared" si="21"/>
        <v>35000</v>
      </c>
      <c r="AM36" s="305">
        <f t="shared" si="21"/>
        <v>18150</v>
      </c>
      <c r="AN36" s="305">
        <f t="shared" si="21"/>
        <v>23400</v>
      </c>
    </row>
    <row r="37" spans="2:40" ht="12" customHeight="1">
      <c r="B37" s="301"/>
      <c r="C37" s="283" t="s">
        <v>887</v>
      </c>
      <c r="D37" s="303"/>
      <c r="E37" s="304"/>
      <c r="F37" s="304"/>
      <c r="G37" s="304"/>
      <c r="H37" s="304"/>
      <c r="I37" s="304"/>
      <c r="J37" s="304"/>
      <c r="K37" s="304"/>
      <c r="L37" s="304"/>
      <c r="M37" s="306"/>
      <c r="N37" s="306"/>
      <c r="O37" s="306"/>
      <c r="P37" s="306"/>
      <c r="Q37" s="352">
        <v>1.8</v>
      </c>
      <c r="R37" s="352">
        <v>1.4</v>
      </c>
      <c r="S37" s="352">
        <v>1</v>
      </c>
      <c r="T37" s="352">
        <v>1.7</v>
      </c>
      <c r="U37" s="352">
        <v>1.5</v>
      </c>
      <c r="V37" s="352">
        <v>2</v>
      </c>
      <c r="W37" s="352">
        <v>1.2</v>
      </c>
      <c r="X37" s="352">
        <v>1.4</v>
      </c>
      <c r="Y37" s="352">
        <v>1.2</v>
      </c>
      <c r="Z37" s="352">
        <v>1</v>
      </c>
      <c r="AA37" s="352">
        <v>1.1000000000000001</v>
      </c>
      <c r="AB37" s="352">
        <v>1.3</v>
      </c>
      <c r="AC37" s="352">
        <v>1.2</v>
      </c>
      <c r="AD37" s="352">
        <v>1.4</v>
      </c>
      <c r="AE37" s="352">
        <v>1</v>
      </c>
      <c r="AF37" s="352">
        <v>1.3</v>
      </c>
      <c r="AG37" s="352">
        <v>1.1000000000000001</v>
      </c>
      <c r="AH37" s="352">
        <v>1.6</v>
      </c>
      <c r="AI37" s="352">
        <v>0.9</v>
      </c>
      <c r="AJ37" s="352">
        <v>1.1000000000000001</v>
      </c>
      <c r="AK37" s="352">
        <v>1.2</v>
      </c>
      <c r="AL37" s="352">
        <v>1</v>
      </c>
      <c r="AM37" s="352">
        <v>1.1000000000000001</v>
      </c>
      <c r="AN37" s="352">
        <v>1.2</v>
      </c>
    </row>
    <row r="38" spans="2:40">
      <c r="C38" s="350" t="s">
        <v>822</v>
      </c>
      <c r="D38" s="303"/>
      <c r="E38" s="284"/>
      <c r="F38" s="284"/>
      <c r="G38" s="284"/>
      <c r="H38" s="284"/>
      <c r="I38" s="284"/>
      <c r="J38" s="304"/>
      <c r="K38" s="304"/>
      <c r="L38" s="304"/>
    </row>
    <row r="39" spans="2:40">
      <c r="C39" s="308" t="s">
        <v>751</v>
      </c>
      <c r="E39" s="353"/>
      <c r="F39" s="353"/>
      <c r="G39" s="353"/>
      <c r="H39" s="353"/>
      <c r="I39" s="353"/>
      <c r="J39" s="304"/>
      <c r="K39" s="304"/>
      <c r="L39" s="304"/>
      <c r="M39" s="310">
        <v>0.05</v>
      </c>
      <c r="N39" s="310">
        <v>0.05</v>
      </c>
      <c r="O39" s="310">
        <v>0.05</v>
      </c>
      <c r="P39" s="310">
        <v>0.05</v>
      </c>
      <c r="Q39" s="310">
        <v>0</v>
      </c>
      <c r="R39" s="310">
        <v>0</v>
      </c>
      <c r="S39" s="310">
        <v>0.05</v>
      </c>
      <c r="T39" s="310">
        <v>0.05</v>
      </c>
      <c r="U39" s="310">
        <v>0.05</v>
      </c>
      <c r="V39" s="310">
        <v>0.05</v>
      </c>
      <c r="W39" s="310">
        <v>0.05</v>
      </c>
      <c r="X39" s="310">
        <v>0.05</v>
      </c>
      <c r="Y39" s="310">
        <v>0.05</v>
      </c>
      <c r="Z39" s="310">
        <v>0.05</v>
      </c>
      <c r="AA39" s="310">
        <v>0.05</v>
      </c>
      <c r="AB39" s="310">
        <v>0.05</v>
      </c>
      <c r="AC39" s="310">
        <v>0.05</v>
      </c>
      <c r="AD39" s="310">
        <v>0.05</v>
      </c>
      <c r="AE39" s="310">
        <v>0.05</v>
      </c>
      <c r="AF39" s="310">
        <v>0.05</v>
      </c>
      <c r="AG39" s="310">
        <v>0.05</v>
      </c>
      <c r="AH39" s="310">
        <v>0.05</v>
      </c>
      <c r="AI39" s="310">
        <v>0.05</v>
      </c>
      <c r="AJ39" s="310">
        <v>0.05</v>
      </c>
      <c r="AK39" s="310">
        <v>0.05</v>
      </c>
      <c r="AL39" s="310">
        <v>0.05</v>
      </c>
      <c r="AM39" s="310">
        <v>0.05</v>
      </c>
      <c r="AN39" s="310">
        <v>0.05</v>
      </c>
    </row>
    <row r="40" spans="2:40">
      <c r="C40" s="308" t="s">
        <v>823</v>
      </c>
      <c r="E40" s="353"/>
      <c r="F40" s="353"/>
      <c r="G40" s="353"/>
      <c r="H40" s="353"/>
      <c r="I40" s="353"/>
      <c r="J40" s="304"/>
      <c r="K40" s="304"/>
      <c r="L40" s="304"/>
      <c r="M40" s="310">
        <v>0.05</v>
      </c>
      <c r="N40" s="310">
        <v>0.05</v>
      </c>
      <c r="O40" s="310">
        <v>0.05</v>
      </c>
      <c r="P40" s="310">
        <v>0.05</v>
      </c>
      <c r="Q40" s="310">
        <v>0.1</v>
      </c>
      <c r="R40" s="310">
        <v>0.1</v>
      </c>
      <c r="S40" s="310">
        <v>0.05</v>
      </c>
      <c r="T40" s="310">
        <v>0.05</v>
      </c>
      <c r="U40" s="310">
        <v>0.05</v>
      </c>
      <c r="V40" s="310">
        <v>0.05</v>
      </c>
      <c r="W40" s="310">
        <v>0.05</v>
      </c>
      <c r="X40" s="310">
        <v>0.05</v>
      </c>
      <c r="Y40" s="310">
        <v>0.05</v>
      </c>
      <c r="Z40" s="310">
        <v>0.05</v>
      </c>
      <c r="AA40" s="310">
        <v>0.05</v>
      </c>
      <c r="AB40" s="310">
        <v>0.05</v>
      </c>
      <c r="AC40" s="310">
        <v>0.05</v>
      </c>
      <c r="AD40" s="310">
        <v>0.05</v>
      </c>
      <c r="AE40" s="310">
        <v>0.05</v>
      </c>
      <c r="AF40" s="310">
        <v>0.05</v>
      </c>
      <c r="AG40" s="310">
        <v>0.05</v>
      </c>
      <c r="AH40" s="310">
        <v>0.05</v>
      </c>
      <c r="AI40" s="310">
        <v>0.05</v>
      </c>
      <c r="AJ40" s="310">
        <v>0.05</v>
      </c>
      <c r="AK40" s="310">
        <v>0.05</v>
      </c>
      <c r="AL40" s="310">
        <v>0.05</v>
      </c>
      <c r="AM40" s="310">
        <v>0.05</v>
      </c>
      <c r="AN40" s="310">
        <v>0.05</v>
      </c>
    </row>
    <row r="41" spans="2:40">
      <c r="C41" s="308" t="s">
        <v>824</v>
      </c>
      <c r="E41" s="353"/>
      <c r="F41" s="353"/>
      <c r="G41" s="353"/>
      <c r="H41" s="353"/>
      <c r="I41" s="353"/>
      <c r="J41" s="304"/>
      <c r="K41" s="304"/>
      <c r="L41" s="304"/>
      <c r="M41" s="310">
        <v>0.9</v>
      </c>
      <c r="N41" s="310">
        <v>0.9</v>
      </c>
      <c r="O41" s="310">
        <v>0.9</v>
      </c>
      <c r="P41" s="310">
        <v>0.9</v>
      </c>
      <c r="Q41" s="310">
        <v>0.9</v>
      </c>
      <c r="R41" s="310">
        <v>0.9</v>
      </c>
      <c r="S41" s="310">
        <v>0.9</v>
      </c>
      <c r="T41" s="310">
        <v>0.9</v>
      </c>
      <c r="U41" s="310">
        <v>0.9</v>
      </c>
      <c r="V41" s="310">
        <v>0.9</v>
      </c>
      <c r="W41" s="310">
        <v>0.9</v>
      </c>
      <c r="X41" s="310">
        <v>0.9</v>
      </c>
      <c r="Y41" s="310">
        <v>0.9</v>
      </c>
      <c r="Z41" s="310">
        <v>0.9</v>
      </c>
      <c r="AA41" s="310">
        <v>0.9</v>
      </c>
      <c r="AB41" s="310">
        <v>0.9</v>
      </c>
      <c r="AC41" s="310">
        <v>0.9</v>
      </c>
      <c r="AD41" s="310">
        <v>0.9</v>
      </c>
      <c r="AE41" s="310">
        <v>0.9</v>
      </c>
      <c r="AF41" s="310">
        <v>0.9</v>
      </c>
      <c r="AG41" s="310">
        <v>0.9</v>
      </c>
      <c r="AH41" s="310">
        <v>0.9</v>
      </c>
      <c r="AI41" s="310">
        <v>0.9</v>
      </c>
      <c r="AJ41" s="310">
        <v>0.9</v>
      </c>
      <c r="AK41" s="310">
        <v>0.9</v>
      </c>
      <c r="AL41" s="310">
        <v>0.9</v>
      </c>
      <c r="AM41" s="310">
        <v>0.9</v>
      </c>
      <c r="AN41" s="310">
        <v>0.9</v>
      </c>
    </row>
    <row r="42" spans="2:40">
      <c r="E42" s="284"/>
      <c r="F42" s="284"/>
      <c r="G42" s="284"/>
      <c r="H42" s="284"/>
      <c r="I42" s="284"/>
      <c r="J42" s="304"/>
      <c r="K42" s="304"/>
      <c r="L42" s="304"/>
      <c r="M42" s="311"/>
      <c r="N42" s="311"/>
      <c r="O42" s="311"/>
      <c r="P42" s="311"/>
      <c r="Q42" s="311"/>
      <c r="R42" s="311"/>
      <c r="S42" s="311"/>
      <c r="T42" s="311"/>
      <c r="U42" s="311"/>
      <c r="V42" s="311"/>
      <c r="W42" s="311"/>
      <c r="X42" s="311"/>
      <c r="Y42" s="311"/>
      <c r="Z42" s="311"/>
      <c r="AA42" s="311"/>
      <c r="AB42" s="311"/>
      <c r="AC42" s="311"/>
      <c r="AD42" s="311"/>
      <c r="AE42" s="311"/>
      <c r="AF42" s="311"/>
      <c r="AG42" s="311"/>
      <c r="AH42" s="311"/>
      <c r="AI42" s="311"/>
      <c r="AJ42" s="311"/>
      <c r="AK42" s="311"/>
      <c r="AL42" s="311"/>
      <c r="AM42" s="311"/>
      <c r="AN42" s="311"/>
    </row>
    <row r="43" spans="2:40" s="207" customFormat="1">
      <c r="C43" s="242" t="s">
        <v>825</v>
      </c>
    </row>
    <row r="44" spans="2:40" s="7" customFormat="1" ht="12" customHeight="1" outlineLevel="1">
      <c r="B44" s="235"/>
      <c r="C44" s="208"/>
      <c r="D44" s="208"/>
      <c r="E44" s="196" t="s">
        <v>753</v>
      </c>
      <c r="F44" s="196" t="s">
        <v>754</v>
      </c>
      <c r="G44" s="196" t="s">
        <v>755</v>
      </c>
      <c r="H44" s="196" t="s">
        <v>756</v>
      </c>
      <c r="I44" s="196" t="s">
        <v>757</v>
      </c>
      <c r="J44" s="196" t="s">
        <v>758</v>
      </c>
      <c r="K44" s="196" t="s">
        <v>759</v>
      </c>
      <c r="L44" s="196" t="s">
        <v>760</v>
      </c>
      <c r="M44" s="196" t="s">
        <v>761</v>
      </c>
      <c r="N44" s="196" t="s">
        <v>762</v>
      </c>
      <c r="O44" s="196" t="s">
        <v>763</v>
      </c>
      <c r="P44" s="196" t="s">
        <v>764</v>
      </c>
      <c r="Q44" s="196" t="s">
        <v>765</v>
      </c>
      <c r="R44" s="196" t="s">
        <v>766</v>
      </c>
      <c r="S44" s="196" t="s">
        <v>767</v>
      </c>
      <c r="T44" s="196" t="s">
        <v>768</v>
      </c>
      <c r="U44" s="196" t="s">
        <v>769</v>
      </c>
      <c r="V44" s="196" t="s">
        <v>770</v>
      </c>
      <c r="W44" s="196" t="s">
        <v>771</v>
      </c>
      <c r="X44" s="196" t="s">
        <v>772</v>
      </c>
      <c r="Y44" s="196" t="s">
        <v>773</v>
      </c>
      <c r="Z44" s="196" t="s">
        <v>774</v>
      </c>
      <c r="AA44" s="196" t="s">
        <v>775</v>
      </c>
      <c r="AB44" s="196" t="s">
        <v>776</v>
      </c>
      <c r="AC44" s="196" t="s">
        <v>777</v>
      </c>
      <c r="AD44" s="196" t="s">
        <v>778</v>
      </c>
      <c r="AE44" s="196" t="s">
        <v>779</v>
      </c>
      <c r="AF44" s="196" t="s">
        <v>780</v>
      </c>
      <c r="AG44" s="196" t="s">
        <v>781</v>
      </c>
      <c r="AH44" s="196" t="s">
        <v>782</v>
      </c>
      <c r="AI44" s="196" t="s">
        <v>783</v>
      </c>
      <c r="AJ44" s="196" t="s">
        <v>784</v>
      </c>
      <c r="AK44" s="196" t="s">
        <v>785</v>
      </c>
      <c r="AL44" s="196" t="s">
        <v>786</v>
      </c>
      <c r="AM44" s="196" t="s">
        <v>787</v>
      </c>
      <c r="AN44" s="196" t="s">
        <v>788</v>
      </c>
    </row>
    <row r="45" spans="2:40" s="7" customFormat="1" ht="12" customHeight="1" outlineLevel="1">
      <c r="B45" s="239"/>
      <c r="C45" s="214" t="s">
        <v>821</v>
      </c>
      <c r="D45" s="212"/>
      <c r="E45" s="351"/>
      <c r="F45" s="351"/>
      <c r="G45" s="351"/>
      <c r="H45" s="351"/>
      <c r="I45" s="351"/>
      <c r="J45" s="351"/>
      <c r="K45" s="351"/>
      <c r="L45" s="351"/>
      <c r="M45" s="337">
        <f t="shared" ref="M45:AN45" si="22">M36*M39</f>
        <v>1750</v>
      </c>
      <c r="N45" s="337">
        <f t="shared" si="22"/>
        <v>1750</v>
      </c>
      <c r="O45" s="337">
        <f t="shared" si="22"/>
        <v>750</v>
      </c>
      <c r="P45" s="337">
        <f t="shared" si="22"/>
        <v>750</v>
      </c>
      <c r="Q45" s="337">
        <f t="shared" si="22"/>
        <v>0</v>
      </c>
      <c r="R45" s="337">
        <f t="shared" si="22"/>
        <v>0</v>
      </c>
      <c r="S45" s="337">
        <f t="shared" si="22"/>
        <v>1413.9</v>
      </c>
      <c r="T45" s="337">
        <f t="shared" si="22"/>
        <v>1039.9750000000001</v>
      </c>
      <c r="U45" s="337">
        <f t="shared" si="22"/>
        <v>1056.45</v>
      </c>
      <c r="V45" s="337">
        <f t="shared" si="22"/>
        <v>1360.9</v>
      </c>
      <c r="W45" s="337">
        <f t="shared" si="22"/>
        <v>1107.8399999999999</v>
      </c>
      <c r="X45" s="337">
        <f t="shared" si="22"/>
        <v>952.63</v>
      </c>
      <c r="Y45" s="337">
        <f t="shared" si="22"/>
        <v>2100</v>
      </c>
      <c r="Z45" s="337">
        <f t="shared" si="22"/>
        <v>1750</v>
      </c>
      <c r="AA45" s="337">
        <f t="shared" si="22"/>
        <v>825</v>
      </c>
      <c r="AB45" s="337">
        <f t="shared" si="22"/>
        <v>975</v>
      </c>
      <c r="AC45" s="337">
        <f t="shared" si="22"/>
        <v>925.12800000000016</v>
      </c>
      <c r="AD45" s="337">
        <f t="shared" si="22"/>
        <v>2160.6059999999998</v>
      </c>
      <c r="AE45" s="337">
        <f t="shared" si="22"/>
        <v>1413.9</v>
      </c>
      <c r="AF45" s="337">
        <f t="shared" si="22"/>
        <v>1351.9675000000002</v>
      </c>
      <c r="AG45" s="337">
        <f t="shared" si="22"/>
        <v>1162.095</v>
      </c>
      <c r="AH45" s="337">
        <f t="shared" si="22"/>
        <v>2177.44</v>
      </c>
      <c r="AI45" s="337">
        <f t="shared" si="22"/>
        <v>997.05600000000004</v>
      </c>
      <c r="AJ45" s="337">
        <f t="shared" si="22"/>
        <v>1047.893</v>
      </c>
      <c r="AK45" s="337">
        <f t="shared" si="22"/>
        <v>2520</v>
      </c>
      <c r="AL45" s="337">
        <f t="shared" si="22"/>
        <v>1750</v>
      </c>
      <c r="AM45" s="337">
        <f t="shared" si="22"/>
        <v>907.5</v>
      </c>
      <c r="AN45" s="337">
        <f t="shared" si="22"/>
        <v>1170</v>
      </c>
    </row>
    <row r="46" spans="2:40" ht="12" customHeight="1" outlineLevel="1">
      <c r="B46" s="301" t="s">
        <v>856</v>
      </c>
      <c r="C46" s="303" t="s">
        <v>827</v>
      </c>
      <c r="D46" s="302"/>
      <c r="E46" s="312"/>
      <c r="F46" s="312"/>
      <c r="G46" s="312"/>
      <c r="H46" s="312"/>
      <c r="I46" s="312"/>
      <c r="J46" s="312"/>
      <c r="K46" s="312"/>
      <c r="L46" s="312"/>
      <c r="M46" s="313">
        <v>84.6</v>
      </c>
      <c r="N46" s="313">
        <v>84.6</v>
      </c>
      <c r="O46" s="313">
        <v>84.6</v>
      </c>
      <c r="P46" s="313">
        <v>84.6</v>
      </c>
      <c r="Q46" s="313">
        <v>84.6</v>
      </c>
      <c r="R46" s="313">
        <v>84.6</v>
      </c>
      <c r="S46" s="313">
        <v>84.6</v>
      </c>
      <c r="T46" s="313">
        <v>84.6</v>
      </c>
      <c r="U46" s="313">
        <v>84.6</v>
      </c>
      <c r="V46" s="313">
        <v>84.6</v>
      </c>
      <c r="W46" s="313">
        <v>84.6</v>
      </c>
      <c r="X46" s="313">
        <v>84.6</v>
      </c>
      <c r="Y46" s="313">
        <v>84.6</v>
      </c>
      <c r="Z46" s="313">
        <v>84.6</v>
      </c>
      <c r="AA46" s="313">
        <v>84.6</v>
      </c>
      <c r="AB46" s="313">
        <v>84.6</v>
      </c>
      <c r="AC46" s="313">
        <v>84.6</v>
      </c>
      <c r="AD46" s="313">
        <v>84.6</v>
      </c>
      <c r="AE46" s="313">
        <v>84.6</v>
      </c>
      <c r="AF46" s="313">
        <v>84.6</v>
      </c>
      <c r="AG46" s="313">
        <v>84.6</v>
      </c>
      <c r="AH46" s="313">
        <v>84.6</v>
      </c>
      <c r="AI46" s="313">
        <v>84.6</v>
      </c>
      <c r="AJ46" s="313">
        <v>84.6</v>
      </c>
      <c r="AK46" s="313">
        <v>84.6</v>
      </c>
      <c r="AL46" s="313">
        <v>84.6</v>
      </c>
      <c r="AM46" s="313">
        <v>84.6</v>
      </c>
      <c r="AN46" s="313">
        <v>84.6</v>
      </c>
    </row>
    <row r="47" spans="2:40" s="7" customFormat="1" ht="12" customHeight="1" outlineLevel="1">
      <c r="B47" s="239" t="s">
        <v>828</v>
      </c>
      <c r="C47" s="214" t="s">
        <v>829</v>
      </c>
      <c r="D47" s="212"/>
      <c r="E47" s="232"/>
      <c r="F47" s="232"/>
      <c r="G47" s="232"/>
      <c r="H47" s="232"/>
      <c r="I47" s="232"/>
      <c r="J47" s="232"/>
      <c r="K47" s="232"/>
      <c r="L47" s="232"/>
      <c r="M47" s="205">
        <f t="shared" ref="M47:AN47" si="23">M45/M46</f>
        <v>20.685579196217496</v>
      </c>
      <c r="N47" s="205">
        <f t="shared" si="23"/>
        <v>20.685579196217496</v>
      </c>
      <c r="O47" s="205">
        <f t="shared" si="23"/>
        <v>8.8652482269503547</v>
      </c>
      <c r="P47" s="205">
        <f t="shared" si="23"/>
        <v>8.8652482269503547</v>
      </c>
      <c r="Q47" s="205">
        <f t="shared" si="23"/>
        <v>0</v>
      </c>
      <c r="R47" s="205">
        <f t="shared" si="23"/>
        <v>0</v>
      </c>
      <c r="S47" s="205">
        <f t="shared" si="23"/>
        <v>16.712765957446809</v>
      </c>
      <c r="T47" s="205">
        <f t="shared" si="23"/>
        <v>12.292848699763596</v>
      </c>
      <c r="U47" s="205">
        <f t="shared" si="23"/>
        <v>12.487588652482271</v>
      </c>
      <c r="V47" s="205">
        <f t="shared" si="23"/>
        <v>16.086288416075654</v>
      </c>
      <c r="W47" s="205">
        <f t="shared" si="23"/>
        <v>13.095035460992907</v>
      </c>
      <c r="X47" s="205">
        <f t="shared" si="23"/>
        <v>11.260401891252956</v>
      </c>
      <c r="Y47" s="205">
        <f t="shared" si="23"/>
        <v>24.822695035460995</v>
      </c>
      <c r="Z47" s="205">
        <f t="shared" si="23"/>
        <v>20.685579196217496</v>
      </c>
      <c r="AA47" s="205">
        <f t="shared" si="23"/>
        <v>9.75177304964539</v>
      </c>
      <c r="AB47" s="205">
        <f t="shared" si="23"/>
        <v>11.524822695035462</v>
      </c>
      <c r="AC47" s="205">
        <f t="shared" si="23"/>
        <v>10.935319148936173</v>
      </c>
      <c r="AD47" s="205">
        <f t="shared" si="23"/>
        <v>25.539078014184398</v>
      </c>
      <c r="AE47" s="205">
        <f t="shared" si="23"/>
        <v>16.712765957446809</v>
      </c>
      <c r="AF47" s="205">
        <f t="shared" si="23"/>
        <v>15.980703309692675</v>
      </c>
      <c r="AG47" s="205">
        <f t="shared" si="23"/>
        <v>13.736347517730497</v>
      </c>
      <c r="AH47" s="205">
        <f t="shared" si="23"/>
        <v>25.738061465721042</v>
      </c>
      <c r="AI47" s="205">
        <f t="shared" si="23"/>
        <v>11.785531914893618</v>
      </c>
      <c r="AJ47" s="205">
        <f t="shared" si="23"/>
        <v>12.386442080378252</v>
      </c>
      <c r="AK47" s="205">
        <f t="shared" si="23"/>
        <v>29.787234042553195</v>
      </c>
      <c r="AL47" s="205">
        <f t="shared" si="23"/>
        <v>20.685579196217496</v>
      </c>
      <c r="AM47" s="205">
        <f t="shared" si="23"/>
        <v>10.726950354609929</v>
      </c>
      <c r="AN47" s="205">
        <f t="shared" si="23"/>
        <v>13.829787234042554</v>
      </c>
    </row>
    <row r="48" spans="2:40" ht="12" customHeight="1" outlineLevel="1">
      <c r="B48" s="301"/>
      <c r="C48" s="303" t="s">
        <v>830</v>
      </c>
      <c r="D48" s="302"/>
      <c r="E48" s="314">
        <v>0</v>
      </c>
      <c r="F48" s="314">
        <v>0</v>
      </c>
      <c r="G48" s="314">
        <v>0</v>
      </c>
      <c r="H48" s="314">
        <v>0</v>
      </c>
      <c r="I48" s="314">
        <v>0</v>
      </c>
      <c r="J48" s="314">
        <v>0</v>
      </c>
      <c r="K48" s="314">
        <v>0</v>
      </c>
      <c r="L48" s="314">
        <v>0</v>
      </c>
      <c r="M48" s="315">
        <v>0</v>
      </c>
      <c r="N48" s="315">
        <v>0</v>
      </c>
      <c r="O48" s="315">
        <v>0</v>
      </c>
      <c r="P48" s="315">
        <v>0</v>
      </c>
      <c r="Q48" s="315">
        <v>0</v>
      </c>
      <c r="R48" s="315">
        <f>Q48</f>
        <v>0</v>
      </c>
      <c r="S48" s="315">
        <f t="shared" ref="S48:AN48" si="24">R48</f>
        <v>0</v>
      </c>
      <c r="T48" s="315">
        <f t="shared" si="24"/>
        <v>0</v>
      </c>
      <c r="U48" s="315">
        <v>0.1</v>
      </c>
      <c r="V48" s="315">
        <f t="shared" si="24"/>
        <v>0.1</v>
      </c>
      <c r="W48" s="315">
        <v>0.2</v>
      </c>
      <c r="X48" s="315">
        <f t="shared" si="24"/>
        <v>0.2</v>
      </c>
      <c r="Y48" s="315">
        <v>0</v>
      </c>
      <c r="Z48" s="315">
        <f t="shared" si="24"/>
        <v>0</v>
      </c>
      <c r="AA48" s="315">
        <f t="shared" si="24"/>
        <v>0</v>
      </c>
      <c r="AB48" s="315">
        <f t="shared" si="24"/>
        <v>0</v>
      </c>
      <c r="AC48" s="315">
        <f t="shared" si="24"/>
        <v>0</v>
      </c>
      <c r="AD48" s="315">
        <f t="shared" si="24"/>
        <v>0</v>
      </c>
      <c r="AE48" s="315">
        <f t="shared" si="24"/>
        <v>0</v>
      </c>
      <c r="AF48" s="315">
        <f t="shared" si="24"/>
        <v>0</v>
      </c>
      <c r="AG48" s="315">
        <f t="shared" si="24"/>
        <v>0</v>
      </c>
      <c r="AH48" s="315">
        <f t="shared" si="24"/>
        <v>0</v>
      </c>
      <c r="AI48" s="315">
        <f t="shared" si="24"/>
        <v>0</v>
      </c>
      <c r="AJ48" s="315">
        <f t="shared" si="24"/>
        <v>0</v>
      </c>
      <c r="AK48" s="315">
        <f t="shared" si="24"/>
        <v>0</v>
      </c>
      <c r="AL48" s="315">
        <f t="shared" si="24"/>
        <v>0</v>
      </c>
      <c r="AM48" s="315">
        <f t="shared" si="24"/>
        <v>0</v>
      </c>
      <c r="AN48" s="315">
        <f t="shared" si="24"/>
        <v>0</v>
      </c>
    </row>
    <row r="49" spans="2:40" s="7" customFormat="1" ht="12" customHeight="1" outlineLevel="1">
      <c r="B49" s="239"/>
      <c r="C49" s="214" t="s">
        <v>831</v>
      </c>
      <c r="D49" s="212"/>
      <c r="E49" s="232">
        <f t="shared" ref="E49:I49" si="25">E47*E48</f>
        <v>0</v>
      </c>
      <c r="F49" s="232">
        <f t="shared" si="25"/>
        <v>0</v>
      </c>
      <c r="G49" s="232">
        <f t="shared" si="25"/>
        <v>0</v>
      </c>
      <c r="H49" s="232">
        <f t="shared" si="25"/>
        <v>0</v>
      </c>
      <c r="I49" s="232">
        <f t="shared" si="25"/>
        <v>0</v>
      </c>
      <c r="J49" s="232">
        <f t="shared" ref="J49:AN49" si="26">J47*J48</f>
        <v>0</v>
      </c>
      <c r="K49" s="232">
        <f t="shared" si="26"/>
        <v>0</v>
      </c>
      <c r="L49" s="232">
        <f t="shared" si="26"/>
        <v>0</v>
      </c>
      <c r="M49" s="205">
        <f t="shared" si="26"/>
        <v>0</v>
      </c>
      <c r="N49" s="205">
        <f t="shared" si="26"/>
        <v>0</v>
      </c>
      <c r="O49" s="205">
        <f t="shared" si="26"/>
        <v>0</v>
      </c>
      <c r="P49" s="205">
        <f t="shared" si="26"/>
        <v>0</v>
      </c>
      <c r="Q49" s="205">
        <f t="shared" si="26"/>
        <v>0</v>
      </c>
      <c r="R49" s="205">
        <f t="shared" si="26"/>
        <v>0</v>
      </c>
      <c r="S49" s="205">
        <f t="shared" si="26"/>
        <v>0</v>
      </c>
      <c r="T49" s="205">
        <f t="shared" si="26"/>
        <v>0</v>
      </c>
      <c r="U49" s="205">
        <f t="shared" si="26"/>
        <v>1.2487588652482273</v>
      </c>
      <c r="V49" s="205">
        <f t="shared" si="26"/>
        <v>1.6086288416075654</v>
      </c>
      <c r="W49" s="205">
        <f t="shared" si="26"/>
        <v>2.6190070921985815</v>
      </c>
      <c r="X49" s="205">
        <f t="shared" si="26"/>
        <v>2.2520803782505912</v>
      </c>
      <c r="Y49" s="205">
        <f t="shared" si="26"/>
        <v>0</v>
      </c>
      <c r="Z49" s="205">
        <f t="shared" si="26"/>
        <v>0</v>
      </c>
      <c r="AA49" s="205">
        <f t="shared" si="26"/>
        <v>0</v>
      </c>
      <c r="AB49" s="205">
        <f t="shared" si="26"/>
        <v>0</v>
      </c>
      <c r="AC49" s="205">
        <f t="shared" si="26"/>
        <v>0</v>
      </c>
      <c r="AD49" s="205">
        <f t="shared" si="26"/>
        <v>0</v>
      </c>
      <c r="AE49" s="205">
        <f t="shared" si="26"/>
        <v>0</v>
      </c>
      <c r="AF49" s="205">
        <f t="shared" si="26"/>
        <v>0</v>
      </c>
      <c r="AG49" s="205">
        <f t="shared" si="26"/>
        <v>0</v>
      </c>
      <c r="AH49" s="205">
        <f t="shared" si="26"/>
        <v>0</v>
      </c>
      <c r="AI49" s="205">
        <f t="shared" si="26"/>
        <v>0</v>
      </c>
      <c r="AJ49" s="205">
        <f t="shared" si="26"/>
        <v>0</v>
      </c>
      <c r="AK49" s="205">
        <f t="shared" si="26"/>
        <v>0</v>
      </c>
      <c r="AL49" s="205">
        <f t="shared" si="26"/>
        <v>0</v>
      </c>
      <c r="AM49" s="205">
        <f t="shared" si="26"/>
        <v>0</v>
      </c>
      <c r="AN49" s="205">
        <f t="shared" si="26"/>
        <v>0</v>
      </c>
    </row>
    <row r="50" spans="2:40" s="7" customFormat="1" ht="12" customHeight="1" outlineLevel="1">
      <c r="B50" s="239" t="s">
        <v>888</v>
      </c>
      <c r="C50" s="214" t="s">
        <v>833</v>
      </c>
      <c r="D50" s="212"/>
      <c r="E50" s="232">
        <v>3</v>
      </c>
      <c r="F50" s="232">
        <v>1</v>
      </c>
      <c r="G50" s="232">
        <v>1</v>
      </c>
      <c r="H50" s="232">
        <v>1</v>
      </c>
      <c r="I50" s="232">
        <v>1</v>
      </c>
      <c r="J50" s="232">
        <v>1</v>
      </c>
      <c r="K50" s="232">
        <v>2</v>
      </c>
      <c r="L50" s="232">
        <v>2</v>
      </c>
      <c r="M50" s="205">
        <f t="shared" ref="M50:AN50" si="27">M47+M49</f>
        <v>20.685579196217496</v>
      </c>
      <c r="N50" s="205">
        <f t="shared" si="27"/>
        <v>20.685579196217496</v>
      </c>
      <c r="O50" s="205">
        <f t="shared" si="27"/>
        <v>8.8652482269503547</v>
      </c>
      <c r="P50" s="205">
        <f t="shared" si="27"/>
        <v>8.8652482269503547</v>
      </c>
      <c r="Q50" s="205">
        <f t="shared" si="27"/>
        <v>0</v>
      </c>
      <c r="R50" s="205">
        <f t="shared" si="27"/>
        <v>0</v>
      </c>
      <c r="S50" s="205">
        <f>S47+S49</f>
        <v>16.712765957446809</v>
      </c>
      <c r="T50" s="205">
        <f t="shared" si="27"/>
        <v>12.292848699763596</v>
      </c>
      <c r="U50" s="205">
        <f t="shared" si="27"/>
        <v>13.736347517730499</v>
      </c>
      <c r="V50" s="205">
        <f t="shared" si="27"/>
        <v>17.694917257683219</v>
      </c>
      <c r="W50" s="205">
        <f t="shared" si="27"/>
        <v>15.714042553191488</v>
      </c>
      <c r="X50" s="205">
        <f t="shared" si="27"/>
        <v>13.512482269503547</v>
      </c>
      <c r="Y50" s="205">
        <f t="shared" si="27"/>
        <v>24.822695035460995</v>
      </c>
      <c r="Z50" s="205">
        <f t="shared" si="27"/>
        <v>20.685579196217496</v>
      </c>
      <c r="AA50" s="205">
        <f t="shared" si="27"/>
        <v>9.75177304964539</v>
      </c>
      <c r="AB50" s="205">
        <f t="shared" si="27"/>
        <v>11.524822695035462</v>
      </c>
      <c r="AC50" s="205">
        <f t="shared" si="27"/>
        <v>10.935319148936173</v>
      </c>
      <c r="AD50" s="205">
        <f t="shared" si="27"/>
        <v>25.539078014184398</v>
      </c>
      <c r="AE50" s="205">
        <f t="shared" si="27"/>
        <v>16.712765957446809</v>
      </c>
      <c r="AF50" s="205">
        <f t="shared" si="27"/>
        <v>15.980703309692675</v>
      </c>
      <c r="AG50" s="205">
        <f t="shared" si="27"/>
        <v>13.736347517730497</v>
      </c>
      <c r="AH50" s="205">
        <f t="shared" si="27"/>
        <v>25.738061465721042</v>
      </c>
      <c r="AI50" s="205">
        <f t="shared" si="27"/>
        <v>11.785531914893618</v>
      </c>
      <c r="AJ50" s="205">
        <f t="shared" si="27"/>
        <v>12.386442080378252</v>
      </c>
      <c r="AK50" s="205">
        <f t="shared" si="27"/>
        <v>29.787234042553195</v>
      </c>
      <c r="AL50" s="205">
        <f t="shared" si="27"/>
        <v>20.685579196217496</v>
      </c>
      <c r="AM50" s="205">
        <f t="shared" si="27"/>
        <v>10.726950354609929</v>
      </c>
      <c r="AN50" s="205">
        <f t="shared" si="27"/>
        <v>13.829787234042554</v>
      </c>
    </row>
    <row r="51" spans="2:40" s="7" customFormat="1" ht="12" customHeight="1" outlineLevel="1">
      <c r="B51" s="239"/>
      <c r="C51" s="214" t="s">
        <v>834</v>
      </c>
      <c r="D51" s="212"/>
      <c r="E51" s="232">
        <v>2</v>
      </c>
      <c r="F51" s="232">
        <v>1</v>
      </c>
      <c r="G51" s="232">
        <v>1</v>
      </c>
      <c r="H51" s="232">
        <v>0</v>
      </c>
      <c r="I51" s="232">
        <v>0</v>
      </c>
      <c r="J51" s="232">
        <v>0</v>
      </c>
      <c r="K51" s="232">
        <v>1</v>
      </c>
      <c r="L51" s="232">
        <v>1</v>
      </c>
      <c r="M51" s="205">
        <f t="shared" ref="M51:AN51" si="28">M59+M60</f>
        <v>0</v>
      </c>
      <c r="N51" s="205">
        <f t="shared" si="28"/>
        <v>18.617021276595747</v>
      </c>
      <c r="O51" s="205">
        <f t="shared" si="28"/>
        <v>7.9787234042553195</v>
      </c>
      <c r="P51" s="205">
        <f t="shared" si="28"/>
        <v>7.9787234042553195</v>
      </c>
      <c r="Q51" s="205">
        <f t="shared" si="28"/>
        <v>0</v>
      </c>
      <c r="R51" s="205">
        <f t="shared" si="28"/>
        <v>0</v>
      </c>
      <c r="S51" s="205">
        <f t="shared" si="28"/>
        <v>15.041489361702128</v>
      </c>
      <c r="T51" s="205">
        <f t="shared" si="28"/>
        <v>11.063563829787237</v>
      </c>
      <c r="U51" s="205">
        <f t="shared" si="28"/>
        <v>12.362712765957451</v>
      </c>
      <c r="V51" s="205">
        <f t="shared" si="28"/>
        <v>15.925425531914899</v>
      </c>
      <c r="W51" s="205">
        <f t="shared" si="28"/>
        <v>14.14263829787234</v>
      </c>
      <c r="X51" s="205">
        <f t="shared" si="28"/>
        <v>12.161234042553193</v>
      </c>
      <c r="Y51" s="205">
        <f t="shared" si="28"/>
        <v>22.340425531914896</v>
      </c>
      <c r="Z51" s="205">
        <f t="shared" si="28"/>
        <v>18.617021276595747</v>
      </c>
      <c r="AA51" s="205">
        <f t="shared" si="28"/>
        <v>8.7765957446808507</v>
      </c>
      <c r="AB51" s="205">
        <f t="shared" si="28"/>
        <v>10.372340425531917</v>
      </c>
      <c r="AC51" s="205">
        <f t="shared" si="28"/>
        <v>9.8417872340425561</v>
      </c>
      <c r="AD51" s="205">
        <f t="shared" si="28"/>
        <v>22.985170212765958</v>
      </c>
      <c r="AE51" s="205">
        <f t="shared" si="28"/>
        <v>15.041489361702128</v>
      </c>
      <c r="AF51" s="205">
        <f t="shared" si="28"/>
        <v>14.382632978723409</v>
      </c>
      <c r="AG51" s="205">
        <f t="shared" si="28"/>
        <v>12.362712765957449</v>
      </c>
      <c r="AH51" s="205">
        <f t="shared" si="28"/>
        <v>23.164255319148939</v>
      </c>
      <c r="AI51" s="205">
        <f t="shared" si="28"/>
        <v>10.606978723404257</v>
      </c>
      <c r="AJ51" s="205">
        <f t="shared" si="28"/>
        <v>11.147797872340428</v>
      </c>
      <c r="AK51" s="205">
        <f t="shared" si="28"/>
        <v>26.808510638297875</v>
      </c>
      <c r="AL51" s="205">
        <f t="shared" si="28"/>
        <v>18.617021276595747</v>
      </c>
      <c r="AM51" s="205">
        <f t="shared" si="28"/>
        <v>9.6542553191489375</v>
      </c>
      <c r="AN51" s="205">
        <f t="shared" si="28"/>
        <v>12.446808510638299</v>
      </c>
    </row>
    <row r="52" spans="2:40" s="7" customFormat="1" ht="12" customHeight="1" outlineLevel="1">
      <c r="B52" s="239"/>
      <c r="C52" s="214" t="s">
        <v>835</v>
      </c>
      <c r="D52" s="212"/>
      <c r="E52" s="232">
        <f>E45/E50</f>
        <v>0</v>
      </c>
      <c r="F52" s="232">
        <f t="shared" ref="F52:I52" si="29">F45/F50</f>
        <v>0</v>
      </c>
      <c r="G52" s="232">
        <f t="shared" si="29"/>
        <v>0</v>
      </c>
      <c r="H52" s="232">
        <f t="shared" si="29"/>
        <v>0</v>
      </c>
      <c r="I52" s="232">
        <f t="shared" si="29"/>
        <v>0</v>
      </c>
      <c r="J52" s="232">
        <f>J45/J50</f>
        <v>0</v>
      </c>
      <c r="K52" s="232">
        <f t="shared" ref="K52:AN52" si="30">K45/K50</f>
        <v>0</v>
      </c>
      <c r="L52" s="232">
        <f t="shared" si="30"/>
        <v>0</v>
      </c>
      <c r="M52" s="205">
        <f t="shared" si="30"/>
        <v>84.6</v>
      </c>
      <c r="N52" s="205">
        <f t="shared" si="30"/>
        <v>84.6</v>
      </c>
      <c r="O52" s="205">
        <f t="shared" si="30"/>
        <v>84.6</v>
      </c>
      <c r="P52" s="205">
        <f t="shared" si="30"/>
        <v>84.6</v>
      </c>
      <c r="Q52" s="205" t="e">
        <f t="shared" si="30"/>
        <v>#DIV/0!</v>
      </c>
      <c r="R52" s="205" t="e">
        <f t="shared" si="30"/>
        <v>#DIV/0!</v>
      </c>
      <c r="S52" s="205">
        <f t="shared" si="30"/>
        <v>84.600000000000009</v>
      </c>
      <c r="T52" s="205">
        <f t="shared" si="30"/>
        <v>84.6</v>
      </c>
      <c r="U52" s="205">
        <f t="shared" si="30"/>
        <v>76.909090909090892</v>
      </c>
      <c r="V52" s="205">
        <f t="shared" si="30"/>
        <v>76.909090909090892</v>
      </c>
      <c r="W52" s="205">
        <f t="shared" si="30"/>
        <v>70.5</v>
      </c>
      <c r="X52" s="205">
        <f t="shared" si="30"/>
        <v>70.5</v>
      </c>
      <c r="Y52" s="205">
        <f t="shared" si="30"/>
        <v>84.6</v>
      </c>
      <c r="Z52" s="205">
        <f t="shared" si="30"/>
        <v>84.6</v>
      </c>
      <c r="AA52" s="205">
        <f t="shared" si="30"/>
        <v>84.6</v>
      </c>
      <c r="AB52" s="205">
        <f t="shared" si="30"/>
        <v>84.6</v>
      </c>
      <c r="AC52" s="205">
        <f t="shared" si="30"/>
        <v>84.6</v>
      </c>
      <c r="AD52" s="205">
        <f t="shared" si="30"/>
        <v>84.6</v>
      </c>
      <c r="AE52" s="205">
        <f t="shared" si="30"/>
        <v>84.600000000000009</v>
      </c>
      <c r="AF52" s="205">
        <f t="shared" si="30"/>
        <v>84.6</v>
      </c>
      <c r="AG52" s="205">
        <f t="shared" si="30"/>
        <v>84.6</v>
      </c>
      <c r="AH52" s="205">
        <f t="shared" si="30"/>
        <v>84.6</v>
      </c>
      <c r="AI52" s="205">
        <f t="shared" si="30"/>
        <v>84.6</v>
      </c>
      <c r="AJ52" s="205">
        <f t="shared" si="30"/>
        <v>84.6</v>
      </c>
      <c r="AK52" s="205">
        <f t="shared" si="30"/>
        <v>84.6</v>
      </c>
      <c r="AL52" s="205">
        <f t="shared" si="30"/>
        <v>84.6</v>
      </c>
      <c r="AM52" s="205">
        <f t="shared" si="30"/>
        <v>84.6</v>
      </c>
      <c r="AN52" s="205">
        <f t="shared" si="30"/>
        <v>84.6</v>
      </c>
    </row>
    <row r="53" spans="2:40" s="7" customFormat="1" ht="12" customHeight="1" outlineLevel="1">
      <c r="B53" s="239"/>
      <c r="C53" s="243" t="s">
        <v>836</v>
      </c>
      <c r="D53" s="212"/>
      <c r="E53" s="205"/>
      <c r="F53" s="205"/>
      <c r="G53" s="205"/>
      <c r="H53" s="205"/>
      <c r="I53" s="205"/>
      <c r="J53" s="205"/>
      <c r="K53" s="205"/>
      <c r="L53" s="205"/>
      <c r="M53" s="205"/>
      <c r="N53" s="205"/>
      <c r="O53" s="205"/>
      <c r="P53" s="205"/>
      <c r="Q53" s="205"/>
      <c r="R53" s="205"/>
      <c r="S53" s="205"/>
      <c r="T53" s="205"/>
      <c r="U53" s="205"/>
      <c r="V53" s="205"/>
      <c r="W53" s="205"/>
      <c r="X53" s="205"/>
      <c r="Y53" s="205"/>
      <c r="Z53" s="205"/>
      <c r="AA53" s="205"/>
      <c r="AB53" s="205"/>
      <c r="AC53" s="205"/>
      <c r="AD53" s="205"/>
      <c r="AE53" s="205"/>
      <c r="AF53" s="205"/>
      <c r="AG53" s="205"/>
      <c r="AH53" s="205"/>
      <c r="AI53" s="205"/>
      <c r="AJ53" s="205"/>
      <c r="AK53" s="205"/>
      <c r="AL53" s="205"/>
      <c r="AM53" s="205"/>
      <c r="AN53" s="205"/>
    </row>
    <row r="54" spans="2:40" ht="12" customHeight="1" outlineLevel="1">
      <c r="B54" s="316" t="s">
        <v>858</v>
      </c>
      <c r="C54" s="303" t="s">
        <v>837</v>
      </c>
      <c r="D54" s="302"/>
      <c r="E54" s="317">
        <f t="shared" ref="E54:F54" si="31">1-(E51/E50)</f>
        <v>0.33333333333333337</v>
      </c>
      <c r="F54" s="317">
        <f t="shared" si="31"/>
        <v>0</v>
      </c>
      <c r="G54" s="317">
        <f>1-(G51/G50)</f>
        <v>0</v>
      </c>
      <c r="H54" s="317">
        <f t="shared" ref="H54:I54" si="32">1-(H51/H50)</f>
        <v>1</v>
      </c>
      <c r="I54" s="317">
        <f t="shared" si="32"/>
        <v>1</v>
      </c>
      <c r="J54" s="317">
        <v>1</v>
      </c>
      <c r="K54" s="317">
        <v>0.5</v>
      </c>
      <c r="L54" s="317">
        <v>0.5</v>
      </c>
      <c r="M54" s="318">
        <v>1</v>
      </c>
      <c r="N54" s="318">
        <v>1</v>
      </c>
      <c r="O54" s="318">
        <v>1</v>
      </c>
      <c r="P54" s="318">
        <v>1</v>
      </c>
      <c r="Q54" s="318">
        <v>1</v>
      </c>
      <c r="R54" s="318">
        <v>1</v>
      </c>
      <c r="S54" s="318">
        <v>1</v>
      </c>
      <c r="T54" s="318">
        <v>1</v>
      </c>
      <c r="U54" s="318">
        <v>1</v>
      </c>
      <c r="V54" s="318">
        <v>1</v>
      </c>
      <c r="W54" s="318">
        <v>1</v>
      </c>
      <c r="X54" s="318">
        <v>1</v>
      </c>
      <c r="Y54" s="318">
        <v>1</v>
      </c>
      <c r="Z54" s="318">
        <v>1</v>
      </c>
      <c r="AA54" s="318">
        <v>1</v>
      </c>
      <c r="AB54" s="318">
        <v>1</v>
      </c>
      <c r="AC54" s="318">
        <v>1</v>
      </c>
      <c r="AD54" s="318">
        <v>1</v>
      </c>
      <c r="AE54" s="318">
        <v>1</v>
      </c>
      <c r="AF54" s="318">
        <v>1</v>
      </c>
      <c r="AG54" s="318">
        <v>1</v>
      </c>
      <c r="AH54" s="318">
        <v>1</v>
      </c>
      <c r="AI54" s="318">
        <v>1</v>
      </c>
      <c r="AJ54" s="318">
        <v>1</v>
      </c>
      <c r="AK54" s="318">
        <v>1</v>
      </c>
      <c r="AL54" s="318">
        <v>1</v>
      </c>
      <c r="AM54" s="318">
        <v>1</v>
      </c>
      <c r="AN54" s="318">
        <v>1</v>
      </c>
    </row>
    <row r="55" spans="2:40" ht="12" customHeight="1" outlineLevel="1">
      <c r="B55" s="301" t="s">
        <v>859</v>
      </c>
      <c r="C55" s="303" t="s">
        <v>839</v>
      </c>
      <c r="D55" s="302"/>
      <c r="E55" s="317">
        <f t="shared" ref="E55:I55" si="33">1-E54</f>
        <v>0.66666666666666663</v>
      </c>
      <c r="F55" s="317">
        <f t="shared" si="33"/>
        <v>1</v>
      </c>
      <c r="G55" s="317">
        <f t="shared" si="33"/>
        <v>1</v>
      </c>
      <c r="H55" s="317">
        <f t="shared" si="33"/>
        <v>0</v>
      </c>
      <c r="I55" s="317">
        <f t="shared" si="33"/>
        <v>0</v>
      </c>
      <c r="J55" s="317">
        <v>0</v>
      </c>
      <c r="K55" s="317">
        <v>0.5</v>
      </c>
      <c r="L55" s="317">
        <v>0.5</v>
      </c>
      <c r="M55" s="318">
        <v>0</v>
      </c>
      <c r="N55" s="318">
        <v>0.1</v>
      </c>
      <c r="O55" s="318">
        <v>0.1</v>
      </c>
      <c r="P55" s="318">
        <v>0.1</v>
      </c>
      <c r="Q55" s="318">
        <v>0.1</v>
      </c>
      <c r="R55" s="318">
        <v>0.1</v>
      </c>
      <c r="S55" s="318">
        <v>0.1</v>
      </c>
      <c r="T55" s="318">
        <v>0.1</v>
      </c>
      <c r="U55" s="318">
        <v>0.1</v>
      </c>
      <c r="V55" s="318">
        <v>0.1</v>
      </c>
      <c r="W55" s="318">
        <v>0.1</v>
      </c>
      <c r="X55" s="318">
        <v>0.1</v>
      </c>
      <c r="Y55" s="318">
        <v>0.1</v>
      </c>
      <c r="Z55" s="318">
        <v>0.1</v>
      </c>
      <c r="AA55" s="318">
        <v>0.1</v>
      </c>
      <c r="AB55" s="318">
        <v>0.1</v>
      </c>
      <c r="AC55" s="318">
        <v>0.1</v>
      </c>
      <c r="AD55" s="318">
        <v>0.1</v>
      </c>
      <c r="AE55" s="318">
        <v>0.1</v>
      </c>
      <c r="AF55" s="318">
        <v>0.1</v>
      </c>
      <c r="AG55" s="318">
        <v>0.1</v>
      </c>
      <c r="AH55" s="318">
        <v>0.1</v>
      </c>
      <c r="AI55" s="318">
        <v>0.1</v>
      </c>
      <c r="AJ55" s="318">
        <v>0.1</v>
      </c>
      <c r="AK55" s="318">
        <v>0.1</v>
      </c>
      <c r="AL55" s="318">
        <v>0.1</v>
      </c>
      <c r="AM55" s="318">
        <v>0.1</v>
      </c>
      <c r="AN55" s="318">
        <v>0.1</v>
      </c>
    </row>
    <row r="56" spans="2:40" ht="12" customHeight="1" outlineLevel="1">
      <c r="B56" s="301"/>
      <c r="C56" s="303" t="s">
        <v>840</v>
      </c>
      <c r="D56" s="302"/>
      <c r="E56" s="317">
        <v>0</v>
      </c>
      <c r="F56" s="317">
        <v>0</v>
      </c>
      <c r="G56" s="317">
        <v>0</v>
      </c>
      <c r="H56" s="317">
        <v>0</v>
      </c>
      <c r="I56" s="317">
        <v>0</v>
      </c>
      <c r="J56" s="317">
        <v>0</v>
      </c>
      <c r="K56" s="317">
        <v>0</v>
      </c>
      <c r="L56" s="317">
        <v>0</v>
      </c>
      <c r="M56" s="318">
        <v>0</v>
      </c>
      <c r="N56" s="318">
        <v>0.8</v>
      </c>
      <c r="O56" s="318">
        <v>0.8</v>
      </c>
      <c r="P56" s="318">
        <v>0.8</v>
      </c>
      <c r="Q56" s="318">
        <v>0.8</v>
      </c>
      <c r="R56" s="318">
        <v>0.8</v>
      </c>
      <c r="S56" s="318">
        <v>0.8</v>
      </c>
      <c r="T56" s="318">
        <v>0.8</v>
      </c>
      <c r="U56" s="318">
        <v>0.8</v>
      </c>
      <c r="V56" s="318">
        <v>0.8</v>
      </c>
      <c r="W56" s="318">
        <v>0.8</v>
      </c>
      <c r="X56" s="318">
        <v>0.8</v>
      </c>
      <c r="Y56" s="318">
        <v>0.8</v>
      </c>
      <c r="Z56" s="318">
        <v>0.8</v>
      </c>
      <c r="AA56" s="318">
        <v>0.8</v>
      </c>
      <c r="AB56" s="318">
        <v>0.8</v>
      </c>
      <c r="AC56" s="318">
        <v>0.8</v>
      </c>
      <c r="AD56" s="318">
        <v>0.8</v>
      </c>
      <c r="AE56" s="318">
        <v>0.8</v>
      </c>
      <c r="AF56" s="318">
        <v>0.8</v>
      </c>
      <c r="AG56" s="318">
        <v>0.8</v>
      </c>
      <c r="AH56" s="318">
        <v>0.8</v>
      </c>
      <c r="AI56" s="318">
        <v>0.8</v>
      </c>
      <c r="AJ56" s="318">
        <v>0.8</v>
      </c>
      <c r="AK56" s="318">
        <v>0.8</v>
      </c>
      <c r="AL56" s="318">
        <v>0.8</v>
      </c>
      <c r="AM56" s="318">
        <v>0.8</v>
      </c>
      <c r="AN56" s="318">
        <v>0.8</v>
      </c>
    </row>
    <row r="57" spans="2:40" s="7" customFormat="1" ht="12" customHeight="1" outlineLevel="1">
      <c r="B57" s="237"/>
      <c r="C57" s="208"/>
      <c r="D57" s="208"/>
      <c r="E57" s="208"/>
      <c r="F57" s="208"/>
      <c r="G57" s="208"/>
      <c r="H57" s="208"/>
      <c r="I57" s="208"/>
      <c r="J57" s="208"/>
      <c r="K57" s="208"/>
      <c r="L57" s="208"/>
      <c r="M57" s="208"/>
      <c r="N57" s="208"/>
      <c r="O57" s="208"/>
      <c r="P57" s="208"/>
      <c r="Q57" s="208"/>
      <c r="R57" s="208"/>
      <c r="S57" s="208"/>
      <c r="T57" s="208"/>
      <c r="U57" s="208"/>
      <c r="V57" s="208"/>
      <c r="W57" s="208"/>
      <c r="X57" s="208"/>
      <c r="Y57" s="208"/>
      <c r="Z57" s="208"/>
      <c r="AA57" s="208"/>
      <c r="AB57" s="208"/>
      <c r="AC57" s="208"/>
      <c r="AD57" s="208"/>
      <c r="AE57" s="208"/>
      <c r="AF57" s="208"/>
      <c r="AG57" s="208"/>
      <c r="AH57" s="208"/>
      <c r="AI57" s="208"/>
      <c r="AJ57" s="208"/>
      <c r="AK57" s="208"/>
      <c r="AL57" s="208"/>
      <c r="AM57" s="208"/>
      <c r="AN57" s="208"/>
    </row>
    <row r="58" spans="2:40" s="7" customFormat="1" ht="12" customHeight="1" outlineLevel="1">
      <c r="B58" s="239"/>
      <c r="C58" s="214" t="s">
        <v>841</v>
      </c>
      <c r="D58" s="214"/>
      <c r="E58" s="209">
        <f>E$48*E54</f>
        <v>0</v>
      </c>
      <c r="F58" s="209">
        <f>F$48*F54</f>
        <v>0</v>
      </c>
      <c r="G58" s="209">
        <f t="shared" ref="E58:I60" si="34">G$48*G54</f>
        <v>0</v>
      </c>
      <c r="H58" s="209">
        <f t="shared" si="34"/>
        <v>0</v>
      </c>
      <c r="I58" s="209">
        <f t="shared" si="34"/>
        <v>0</v>
      </c>
      <c r="J58" s="209">
        <f>J$50*J54</f>
        <v>1</v>
      </c>
      <c r="K58" s="209">
        <f t="shared" ref="J58:P60" si="35">K$50*K54</f>
        <v>1</v>
      </c>
      <c r="L58" s="209">
        <f t="shared" si="35"/>
        <v>1</v>
      </c>
      <c r="M58" s="209">
        <f t="shared" si="35"/>
        <v>20.685579196217496</v>
      </c>
      <c r="N58" s="209">
        <f t="shared" si="35"/>
        <v>20.685579196217496</v>
      </c>
      <c r="O58" s="209">
        <f t="shared" si="35"/>
        <v>8.8652482269503547</v>
      </c>
      <c r="P58" s="209">
        <f t="shared" si="35"/>
        <v>8.8652482269503547</v>
      </c>
      <c r="Q58" s="209">
        <f>Q$50*Q54</f>
        <v>0</v>
      </c>
      <c r="R58" s="209">
        <f t="shared" ref="R58:AN60" si="36">R$50*R54</f>
        <v>0</v>
      </c>
      <c r="S58" s="209">
        <f t="shared" si="36"/>
        <v>16.712765957446809</v>
      </c>
      <c r="T58" s="209">
        <f t="shared" si="36"/>
        <v>12.292848699763596</v>
      </c>
      <c r="U58" s="209">
        <f t="shared" si="36"/>
        <v>13.736347517730499</v>
      </c>
      <c r="V58" s="209">
        <f t="shared" si="36"/>
        <v>17.694917257683219</v>
      </c>
      <c r="W58" s="209">
        <f t="shared" si="36"/>
        <v>15.714042553191488</v>
      </c>
      <c r="X58" s="209">
        <f t="shared" si="36"/>
        <v>13.512482269503547</v>
      </c>
      <c r="Y58" s="209">
        <f t="shared" si="36"/>
        <v>24.822695035460995</v>
      </c>
      <c r="Z58" s="209">
        <f t="shared" si="36"/>
        <v>20.685579196217496</v>
      </c>
      <c r="AA58" s="209">
        <f t="shared" si="36"/>
        <v>9.75177304964539</v>
      </c>
      <c r="AB58" s="209">
        <f t="shared" si="36"/>
        <v>11.524822695035462</v>
      </c>
      <c r="AC58" s="209">
        <f t="shared" si="36"/>
        <v>10.935319148936173</v>
      </c>
      <c r="AD58" s="209">
        <f t="shared" si="36"/>
        <v>25.539078014184398</v>
      </c>
      <c r="AE58" s="209">
        <f t="shared" si="36"/>
        <v>16.712765957446809</v>
      </c>
      <c r="AF58" s="209">
        <f t="shared" si="36"/>
        <v>15.980703309692675</v>
      </c>
      <c r="AG58" s="209">
        <f t="shared" si="36"/>
        <v>13.736347517730497</v>
      </c>
      <c r="AH58" s="209">
        <f t="shared" si="36"/>
        <v>25.738061465721042</v>
      </c>
      <c r="AI58" s="209">
        <f t="shared" si="36"/>
        <v>11.785531914893618</v>
      </c>
      <c r="AJ58" s="209">
        <f t="shared" si="36"/>
        <v>12.386442080378252</v>
      </c>
      <c r="AK58" s="209">
        <f t="shared" si="36"/>
        <v>29.787234042553195</v>
      </c>
      <c r="AL58" s="209">
        <f t="shared" si="36"/>
        <v>20.685579196217496</v>
      </c>
      <c r="AM58" s="209">
        <f t="shared" si="36"/>
        <v>10.726950354609929</v>
      </c>
      <c r="AN58" s="209">
        <f t="shared" si="36"/>
        <v>13.829787234042554</v>
      </c>
    </row>
    <row r="59" spans="2:40" s="7" customFormat="1" ht="12" customHeight="1" outlineLevel="1">
      <c r="B59" s="239"/>
      <c r="C59" s="214" t="s">
        <v>842</v>
      </c>
      <c r="D59" s="214"/>
      <c r="E59" s="209">
        <f>E$48*E55</f>
        <v>0</v>
      </c>
      <c r="F59" s="209">
        <f>F$48*F55</f>
        <v>0</v>
      </c>
      <c r="G59" s="209">
        <f t="shared" si="34"/>
        <v>0</v>
      </c>
      <c r="H59" s="209">
        <f t="shared" si="34"/>
        <v>0</v>
      </c>
      <c r="I59" s="209">
        <f t="shared" si="34"/>
        <v>0</v>
      </c>
      <c r="J59" s="209">
        <f t="shared" si="35"/>
        <v>0</v>
      </c>
      <c r="K59" s="209">
        <f t="shared" si="35"/>
        <v>1</v>
      </c>
      <c r="L59" s="209">
        <f t="shared" si="35"/>
        <v>1</v>
      </c>
      <c r="M59" s="209">
        <f t="shared" si="35"/>
        <v>0</v>
      </c>
      <c r="N59" s="209">
        <f t="shared" si="35"/>
        <v>2.0685579196217496</v>
      </c>
      <c r="O59" s="209">
        <f t="shared" si="35"/>
        <v>0.88652482269503552</v>
      </c>
      <c r="P59" s="209">
        <f t="shared" si="35"/>
        <v>0.88652482269503552</v>
      </c>
      <c r="Q59" s="209">
        <f>Q$50*Q55</f>
        <v>0</v>
      </c>
      <c r="R59" s="209">
        <f t="shared" si="36"/>
        <v>0</v>
      </c>
      <c r="S59" s="209">
        <f t="shared" si="36"/>
        <v>1.6712765957446809</v>
      </c>
      <c r="T59" s="209">
        <f t="shared" si="36"/>
        <v>1.2292848699763597</v>
      </c>
      <c r="U59" s="209">
        <f t="shared" si="36"/>
        <v>1.3736347517730501</v>
      </c>
      <c r="V59" s="209">
        <f t="shared" si="36"/>
        <v>1.769491725768322</v>
      </c>
      <c r="W59" s="209">
        <f t="shared" si="36"/>
        <v>1.571404255319149</v>
      </c>
      <c r="X59" s="209">
        <f t="shared" si="36"/>
        <v>1.3512482269503547</v>
      </c>
      <c r="Y59" s="209">
        <f t="shared" si="36"/>
        <v>2.4822695035460995</v>
      </c>
      <c r="Z59" s="209">
        <f t="shared" si="36"/>
        <v>2.0685579196217496</v>
      </c>
      <c r="AA59" s="209">
        <f t="shared" si="36"/>
        <v>0.97517730496453903</v>
      </c>
      <c r="AB59" s="209">
        <f t="shared" si="36"/>
        <v>1.1524822695035464</v>
      </c>
      <c r="AC59" s="209">
        <f t="shared" si="36"/>
        <v>1.0935319148936173</v>
      </c>
      <c r="AD59" s="209">
        <f t="shared" si="36"/>
        <v>2.5539078014184398</v>
      </c>
      <c r="AE59" s="209">
        <f t="shared" si="36"/>
        <v>1.6712765957446809</v>
      </c>
      <c r="AF59" s="209">
        <f t="shared" si="36"/>
        <v>1.5980703309692676</v>
      </c>
      <c r="AG59" s="209">
        <f t="shared" si="36"/>
        <v>1.3736347517730498</v>
      </c>
      <c r="AH59" s="209">
        <f t="shared" si="36"/>
        <v>2.5738061465721045</v>
      </c>
      <c r="AI59" s="209">
        <f t="shared" si="36"/>
        <v>1.1785531914893619</v>
      </c>
      <c r="AJ59" s="209">
        <f t="shared" si="36"/>
        <v>1.2386442080378253</v>
      </c>
      <c r="AK59" s="209">
        <f t="shared" si="36"/>
        <v>2.9787234042553195</v>
      </c>
      <c r="AL59" s="209">
        <f t="shared" si="36"/>
        <v>2.0685579196217496</v>
      </c>
      <c r="AM59" s="209">
        <f t="shared" si="36"/>
        <v>1.072695035460993</v>
      </c>
      <c r="AN59" s="209">
        <f t="shared" si="36"/>
        <v>1.3829787234042554</v>
      </c>
    </row>
    <row r="60" spans="2:40" s="7" customFormat="1" ht="12" customHeight="1" outlineLevel="1">
      <c r="B60" s="239"/>
      <c r="C60" s="214" t="s">
        <v>843</v>
      </c>
      <c r="D60" s="214"/>
      <c r="E60" s="209">
        <f t="shared" si="34"/>
        <v>0</v>
      </c>
      <c r="F60" s="209">
        <f t="shared" si="34"/>
        <v>0</v>
      </c>
      <c r="G60" s="209">
        <f t="shared" si="34"/>
        <v>0</v>
      </c>
      <c r="H60" s="209">
        <f t="shared" si="34"/>
        <v>0</v>
      </c>
      <c r="I60" s="209">
        <f t="shared" si="34"/>
        <v>0</v>
      </c>
      <c r="J60" s="209">
        <f t="shared" si="35"/>
        <v>0</v>
      </c>
      <c r="K60" s="209">
        <f t="shared" si="35"/>
        <v>0</v>
      </c>
      <c r="L60" s="209">
        <f t="shared" si="35"/>
        <v>0</v>
      </c>
      <c r="M60" s="209">
        <f t="shared" si="35"/>
        <v>0</v>
      </c>
      <c r="N60" s="209">
        <f t="shared" si="35"/>
        <v>16.548463356973997</v>
      </c>
      <c r="O60" s="209">
        <f t="shared" si="35"/>
        <v>7.0921985815602842</v>
      </c>
      <c r="P60" s="209">
        <f t="shared" si="35"/>
        <v>7.0921985815602842</v>
      </c>
      <c r="Q60" s="209">
        <f>Q$50*Q56</f>
        <v>0</v>
      </c>
      <c r="R60" s="209">
        <f t="shared" si="36"/>
        <v>0</v>
      </c>
      <c r="S60" s="209">
        <f t="shared" si="36"/>
        <v>13.370212765957447</v>
      </c>
      <c r="T60" s="209">
        <f t="shared" si="36"/>
        <v>9.8342789598108773</v>
      </c>
      <c r="U60" s="209">
        <f t="shared" si="36"/>
        <v>10.9890780141844</v>
      </c>
      <c r="V60" s="209">
        <f t="shared" si="36"/>
        <v>14.155933806146576</v>
      </c>
      <c r="W60" s="209">
        <f t="shared" si="36"/>
        <v>12.571234042553192</v>
      </c>
      <c r="X60" s="209">
        <f t="shared" si="36"/>
        <v>10.809985815602838</v>
      </c>
      <c r="Y60" s="209">
        <f t="shared" si="36"/>
        <v>19.858156028368796</v>
      </c>
      <c r="Z60" s="209">
        <f t="shared" si="36"/>
        <v>16.548463356973997</v>
      </c>
      <c r="AA60" s="209">
        <f t="shared" si="36"/>
        <v>7.8014184397163122</v>
      </c>
      <c r="AB60" s="209">
        <f t="shared" si="36"/>
        <v>9.219858156028371</v>
      </c>
      <c r="AC60" s="209">
        <f t="shared" si="36"/>
        <v>8.7482553191489387</v>
      </c>
      <c r="AD60" s="209">
        <f t="shared" si="36"/>
        <v>20.431262411347518</v>
      </c>
      <c r="AE60" s="209">
        <f t="shared" si="36"/>
        <v>13.370212765957447</v>
      </c>
      <c r="AF60" s="209">
        <f t="shared" si="36"/>
        <v>12.784562647754141</v>
      </c>
      <c r="AG60" s="209">
        <f t="shared" si="36"/>
        <v>10.989078014184399</v>
      </c>
      <c r="AH60" s="209">
        <f t="shared" si="36"/>
        <v>20.590449172576836</v>
      </c>
      <c r="AI60" s="209">
        <f t="shared" si="36"/>
        <v>9.4284255319148951</v>
      </c>
      <c r="AJ60" s="209">
        <f t="shared" si="36"/>
        <v>9.9091536643026021</v>
      </c>
      <c r="AK60" s="209">
        <f t="shared" si="36"/>
        <v>23.829787234042556</v>
      </c>
      <c r="AL60" s="209">
        <f t="shared" si="36"/>
        <v>16.548463356973997</v>
      </c>
      <c r="AM60" s="209">
        <f t="shared" si="36"/>
        <v>8.5815602836879439</v>
      </c>
      <c r="AN60" s="209">
        <f t="shared" si="36"/>
        <v>11.063829787234043</v>
      </c>
    </row>
    <row r="61" spans="2:40" s="7" customFormat="1" ht="12" customHeight="1" outlineLevel="1">
      <c r="B61" s="239"/>
      <c r="C61" s="214" t="s">
        <v>844</v>
      </c>
      <c r="D61" s="214"/>
      <c r="E61" s="209">
        <f>ROUNDDOWN(SUM(E71:E107),0)-E58</f>
        <v>26</v>
      </c>
      <c r="F61" s="209">
        <f t="shared" ref="F61:H61" si="37">ROUNDDOWN(SUM(F71:F107),0)-F58</f>
        <v>25</v>
      </c>
      <c r="G61" s="209">
        <f>ROUNDDOWN(SUM(G71:G107),0)-G58</f>
        <v>38</v>
      </c>
      <c r="H61" s="209">
        <f t="shared" si="37"/>
        <v>37</v>
      </c>
      <c r="I61" s="209">
        <f>ROUNDDOWN(SUM(I71:I107),0)-I58</f>
        <v>14</v>
      </c>
      <c r="J61" s="209">
        <f>ROUNDDOWN(SUM(J71:J107),0)-J58</f>
        <v>13</v>
      </c>
      <c r="K61" s="209">
        <f>ROUNDDOWN(SUM(K71:K107),0)-K58</f>
        <v>13</v>
      </c>
      <c r="L61" s="209">
        <f t="shared" ref="L61:AN61" si="38">ROUNDDOWN(SUM(L71:L107),0)-L58</f>
        <v>13</v>
      </c>
      <c r="M61" s="209">
        <f t="shared" si="38"/>
        <v>12.314420803782504</v>
      </c>
      <c r="N61" s="209">
        <f t="shared" si="38"/>
        <v>12.314420803782504</v>
      </c>
      <c r="O61" s="209">
        <f t="shared" si="38"/>
        <v>12.134751773049645</v>
      </c>
      <c r="P61" s="209">
        <f t="shared" si="38"/>
        <v>12.134751773049645</v>
      </c>
      <c r="Q61" s="209">
        <f t="shared" si="38"/>
        <v>11</v>
      </c>
      <c r="R61" s="209">
        <f t="shared" si="38"/>
        <v>11</v>
      </c>
      <c r="S61" s="209">
        <f t="shared" si="38"/>
        <v>11.287234042553191</v>
      </c>
      <c r="T61" s="209">
        <f t="shared" si="38"/>
        <v>10.707151300236404</v>
      </c>
      <c r="U61" s="209">
        <f t="shared" si="38"/>
        <v>10.263652482269501</v>
      </c>
      <c r="V61" s="209">
        <f t="shared" si="38"/>
        <v>10.305082742316781</v>
      </c>
      <c r="W61" s="209">
        <f t="shared" si="38"/>
        <v>10.285957446808512</v>
      </c>
      <c r="X61" s="209">
        <f t="shared" si="38"/>
        <v>9.4875177304964531</v>
      </c>
      <c r="Y61" s="209">
        <f t="shared" si="38"/>
        <v>9.1773049645390046</v>
      </c>
      <c r="Z61" s="209">
        <f t="shared" si="38"/>
        <v>9.3144208037825038</v>
      </c>
      <c r="AA61" s="209">
        <f t="shared" si="38"/>
        <v>9.24822695035461</v>
      </c>
      <c r="AB61" s="209">
        <f t="shared" si="38"/>
        <v>9.4751773049645376</v>
      </c>
      <c r="AC61" s="209">
        <f t="shared" si="38"/>
        <v>9.0646808510638266</v>
      </c>
      <c r="AD61" s="209">
        <f t="shared" si="38"/>
        <v>8.4609219858156024</v>
      </c>
      <c r="AE61" s="209">
        <f t="shared" si="38"/>
        <v>8.287234042553191</v>
      </c>
      <c r="AF61" s="209">
        <f t="shared" si="38"/>
        <v>8.0192966903073248</v>
      </c>
      <c r="AG61" s="209">
        <f t="shared" si="38"/>
        <v>8.263652482269503</v>
      </c>
      <c r="AH61" s="209">
        <f t="shared" si="38"/>
        <v>8.2619385342789577</v>
      </c>
      <c r="AI61" s="209">
        <f t="shared" si="38"/>
        <v>8.2144680851063825</v>
      </c>
      <c r="AJ61" s="209">
        <f t="shared" si="38"/>
        <v>7.6135579196217478</v>
      </c>
      <c r="AK61" s="209">
        <f t="shared" si="38"/>
        <v>7.2127659574468055</v>
      </c>
      <c r="AL61" s="209">
        <f t="shared" si="38"/>
        <v>7.3144208037825038</v>
      </c>
      <c r="AM61" s="209">
        <f t="shared" si="38"/>
        <v>7.2730496453900706</v>
      </c>
      <c r="AN61" s="209">
        <f t="shared" si="38"/>
        <v>7.1702127659574462</v>
      </c>
    </row>
    <row r="62" spans="2:40" s="7" customFormat="1" ht="12" customHeight="1" outlineLevel="1">
      <c r="B62" s="239"/>
      <c r="C62" s="214" t="s">
        <v>845</v>
      </c>
      <c r="D62" s="214"/>
      <c r="E62" s="209">
        <f>ROUNDDOWN(SUM(E112:E148),0)-E59</f>
        <v>28</v>
      </c>
      <c r="F62" s="209">
        <f>ROUNDDOWN(SUM(F112:F148),0)-F59</f>
        <v>27</v>
      </c>
      <c r="G62" s="209">
        <f t="shared" ref="G62:I62" si="39">ROUNDDOWN(SUM(G112:G148),0)-G59</f>
        <v>27</v>
      </c>
      <c r="H62" s="209">
        <f t="shared" si="39"/>
        <v>26</v>
      </c>
      <c r="I62" s="209">
        <f t="shared" si="39"/>
        <v>26</v>
      </c>
      <c r="J62" s="209">
        <f t="shared" ref="J62:AN62" si="40">ROUNDDOWN(SUM(J112:J148),0)-J59</f>
        <v>25</v>
      </c>
      <c r="K62" s="209">
        <f t="shared" si="40"/>
        <v>25</v>
      </c>
      <c r="L62" s="209">
        <f t="shared" si="40"/>
        <v>24</v>
      </c>
      <c r="M62" s="209">
        <f t="shared" si="40"/>
        <v>24</v>
      </c>
      <c r="N62" s="209">
        <f t="shared" si="40"/>
        <v>23.93144208037825</v>
      </c>
      <c r="O62" s="209">
        <f t="shared" si="40"/>
        <v>24.113475177304963</v>
      </c>
      <c r="P62" s="209">
        <f t="shared" si="40"/>
        <v>24.113475177304963</v>
      </c>
      <c r="Q62" s="209">
        <f t="shared" si="40"/>
        <v>25</v>
      </c>
      <c r="R62" s="209">
        <f t="shared" si="40"/>
        <v>25</v>
      </c>
      <c r="S62" s="209">
        <f t="shared" si="40"/>
        <v>25.328723404255321</v>
      </c>
      <c r="T62" s="209">
        <f t="shared" si="40"/>
        <v>24.770715130023639</v>
      </c>
      <c r="U62" s="209">
        <f>ROUNDDOWN(SUM(U112:U148),0)-U59</f>
        <v>25.62636524822695</v>
      </c>
      <c r="V62" s="209">
        <f t="shared" si="40"/>
        <v>26.230508274231678</v>
      </c>
      <c r="W62" s="209">
        <f t="shared" si="40"/>
        <v>26.428595744680852</v>
      </c>
      <c r="X62" s="209">
        <f t="shared" si="40"/>
        <v>27.648751773049646</v>
      </c>
      <c r="Y62" s="209">
        <f t="shared" si="40"/>
        <v>28.5177304964539</v>
      </c>
      <c r="Z62" s="209">
        <f t="shared" si="40"/>
        <v>29.93144208037825</v>
      </c>
      <c r="AA62" s="209">
        <f t="shared" si="40"/>
        <v>31.024822695035461</v>
      </c>
      <c r="AB62" s="209">
        <f t="shared" si="40"/>
        <v>31.847517730496453</v>
      </c>
      <c r="AC62" s="209">
        <f t="shared" si="40"/>
        <v>32.906468085106383</v>
      </c>
      <c r="AD62" s="209">
        <f t="shared" si="40"/>
        <v>34.44609219858156</v>
      </c>
      <c r="AE62" s="209">
        <f t="shared" si="40"/>
        <v>35.328723404255321</v>
      </c>
      <c r="AF62" s="209">
        <f t="shared" si="40"/>
        <v>36.401929669030736</v>
      </c>
      <c r="AG62" s="209">
        <f t="shared" si="40"/>
        <v>37.626365248226953</v>
      </c>
      <c r="AH62" s="209">
        <f t="shared" si="40"/>
        <v>39.426193853427897</v>
      </c>
      <c r="AI62" s="209">
        <f t="shared" si="40"/>
        <v>40.821446808510636</v>
      </c>
      <c r="AJ62" s="209">
        <f t="shared" si="40"/>
        <v>41.761355791962174</v>
      </c>
      <c r="AK62" s="209">
        <f t="shared" si="40"/>
        <v>43.021276595744681</v>
      </c>
      <c r="AL62" s="209">
        <f t="shared" si="40"/>
        <v>44.931442080378247</v>
      </c>
      <c r="AM62" s="209">
        <f t="shared" si="40"/>
        <v>45.927304964539005</v>
      </c>
      <c r="AN62" s="209">
        <f t="shared" si="40"/>
        <v>47.617021276595743</v>
      </c>
    </row>
    <row r="63" spans="2:40" s="7" customFormat="1" ht="12" customHeight="1" outlineLevel="1">
      <c r="B63" s="239"/>
      <c r="C63" s="214" t="s">
        <v>846</v>
      </c>
      <c r="D63" s="214"/>
      <c r="E63" s="209">
        <f>ROUNDDOWN(SUM(E154:E190),0)-E60</f>
        <v>56</v>
      </c>
      <c r="F63" s="209">
        <f>ROUNDDOWN(SUM(F154:F190),0)-F60</f>
        <v>41</v>
      </c>
      <c r="G63" s="209">
        <f t="shared" ref="G63:I63" si="41">ROUNDDOWN(SUM(G154:G190),0)-G60</f>
        <v>83</v>
      </c>
      <c r="H63" s="209">
        <f t="shared" si="41"/>
        <v>28</v>
      </c>
      <c r="I63" s="209">
        <f t="shared" si="41"/>
        <v>0</v>
      </c>
      <c r="J63" s="209">
        <f t="shared" ref="J63:AN63" si="42">ROUNDDOWN(SUM(J154:J190),0)-J60</f>
        <v>81</v>
      </c>
      <c r="K63" s="209">
        <f t="shared" si="42"/>
        <v>28</v>
      </c>
      <c r="L63" s="209">
        <f>ROUNDDOWN(SUM(L154:L190),0)-L60</f>
        <v>0</v>
      </c>
      <c r="M63" s="209">
        <f>ROUNDDOWN(SUM(M154:M190),0)-M60</f>
        <v>79</v>
      </c>
      <c r="N63" s="209">
        <f t="shared" si="42"/>
        <v>27.451536643026003</v>
      </c>
      <c r="O63" s="209">
        <f t="shared" si="42"/>
        <v>-9.2198581560284154E-2</v>
      </c>
      <c r="P63" s="209">
        <f t="shared" si="42"/>
        <v>77.907801418439718</v>
      </c>
      <c r="Q63" s="209">
        <f t="shared" si="42"/>
        <v>41</v>
      </c>
      <c r="R63" s="209">
        <f t="shared" si="42"/>
        <v>15</v>
      </c>
      <c r="S63" s="209">
        <f t="shared" si="42"/>
        <v>82.629787234042553</v>
      </c>
      <c r="T63" s="209">
        <f t="shared" si="42"/>
        <v>36.165721040189126</v>
      </c>
      <c r="U63" s="209">
        <f t="shared" si="42"/>
        <v>10.0109219858156</v>
      </c>
      <c r="V63" s="209">
        <f t="shared" si="42"/>
        <v>90.844066193853422</v>
      </c>
      <c r="W63" s="209">
        <f t="shared" si="42"/>
        <v>40.428765957446807</v>
      </c>
      <c r="X63" s="209">
        <f t="shared" si="42"/>
        <v>16.190014184397164</v>
      </c>
      <c r="Y63" s="209">
        <f t="shared" si="42"/>
        <v>96.141843971631204</v>
      </c>
      <c r="Z63" s="209">
        <f t="shared" si="42"/>
        <v>45.451536643026003</v>
      </c>
      <c r="AA63" s="209">
        <f t="shared" si="42"/>
        <v>19.198581560283689</v>
      </c>
      <c r="AB63" s="209">
        <f t="shared" si="42"/>
        <v>104.78014184397163</v>
      </c>
      <c r="AC63" s="209">
        <f t="shared" si="42"/>
        <v>53.251744680851061</v>
      </c>
      <c r="AD63" s="209">
        <f t="shared" si="42"/>
        <v>19.568737588652482</v>
      </c>
      <c r="AE63" s="209">
        <f t="shared" si="42"/>
        <v>99.629787234042553</v>
      </c>
      <c r="AF63" s="209">
        <f t="shared" si="42"/>
        <v>50.215437352245857</v>
      </c>
      <c r="AG63" s="209">
        <f t="shared" si="42"/>
        <v>31.0109219858156</v>
      </c>
      <c r="AH63" s="209">
        <f t="shared" si="42"/>
        <v>99.409550827423161</v>
      </c>
      <c r="AI63" s="209">
        <f t="shared" si="42"/>
        <v>51.571574468085103</v>
      </c>
      <c r="AJ63" s="209">
        <f t="shared" si="42"/>
        <v>30.0908463356974</v>
      </c>
      <c r="AK63" s="209">
        <f t="shared" si="42"/>
        <v>105.17021276595744</v>
      </c>
      <c r="AL63" s="209">
        <f t="shared" si="42"/>
        <v>49.451536643026003</v>
      </c>
      <c r="AM63" s="209">
        <f t="shared" si="42"/>
        <v>28.418439716312058</v>
      </c>
      <c r="AN63" s="209">
        <f t="shared" si="42"/>
        <v>112.93617021276596</v>
      </c>
    </row>
    <row r="64" spans="2:40" s="7" customFormat="1" ht="12" customHeight="1" outlineLevel="1">
      <c r="B64" s="237"/>
      <c r="C64" s="214" t="s">
        <v>833</v>
      </c>
      <c r="D64" s="214"/>
      <c r="E64" s="210">
        <f>SUM(E58:E60)</f>
        <v>0</v>
      </c>
      <c r="F64" s="210">
        <f t="shared" ref="F64:I64" si="43">SUM(F58:F60)</f>
        <v>0</v>
      </c>
      <c r="G64" s="210">
        <f t="shared" si="43"/>
        <v>0</v>
      </c>
      <c r="H64" s="210">
        <f t="shared" si="43"/>
        <v>0</v>
      </c>
      <c r="I64" s="210">
        <f t="shared" si="43"/>
        <v>0</v>
      </c>
      <c r="J64" s="210">
        <f>SUM(J58:J60)</f>
        <v>1</v>
      </c>
      <c r="K64" s="210">
        <f t="shared" ref="K64:P64" si="44">SUM(K58:K60)</f>
        <v>2</v>
      </c>
      <c r="L64" s="210">
        <f t="shared" si="44"/>
        <v>2</v>
      </c>
      <c r="M64" s="210">
        <f t="shared" si="44"/>
        <v>20.685579196217496</v>
      </c>
      <c r="N64" s="210">
        <f t="shared" si="44"/>
        <v>39.302600472813239</v>
      </c>
      <c r="O64" s="210">
        <f t="shared" si="44"/>
        <v>16.843971631205676</v>
      </c>
      <c r="P64" s="210">
        <f t="shared" si="44"/>
        <v>16.843971631205676</v>
      </c>
      <c r="Q64" s="210">
        <f>SUM(Q58:Q60)</f>
        <v>0</v>
      </c>
      <c r="R64" s="210">
        <f t="shared" ref="R64:AN64" si="45">SUM(R58:R60)</f>
        <v>0</v>
      </c>
      <c r="S64" s="210">
        <f t="shared" si="45"/>
        <v>31.754255319148939</v>
      </c>
      <c r="T64" s="210">
        <f t="shared" si="45"/>
        <v>23.35641252955083</v>
      </c>
      <c r="U64" s="210">
        <f t="shared" si="45"/>
        <v>26.099060283687948</v>
      </c>
      <c r="V64" s="210">
        <f t="shared" si="45"/>
        <v>33.620342789598119</v>
      </c>
      <c r="W64" s="210">
        <f t="shared" si="45"/>
        <v>29.856680851063828</v>
      </c>
      <c r="X64" s="210">
        <f t="shared" si="45"/>
        <v>25.67371631205674</v>
      </c>
      <c r="Y64" s="210">
        <f t="shared" si="45"/>
        <v>47.163120567375891</v>
      </c>
      <c r="Z64" s="210">
        <f t="shared" si="45"/>
        <v>39.302600472813239</v>
      </c>
      <c r="AA64" s="210">
        <f t="shared" si="45"/>
        <v>18.528368794326241</v>
      </c>
      <c r="AB64" s="210">
        <f t="shared" si="45"/>
        <v>21.897163120567377</v>
      </c>
      <c r="AC64" s="210">
        <f t="shared" si="45"/>
        <v>20.777106382978729</v>
      </c>
      <c r="AD64" s="210">
        <f t="shared" si="45"/>
        <v>48.524248226950355</v>
      </c>
      <c r="AE64" s="210">
        <f t="shared" si="45"/>
        <v>31.754255319148939</v>
      </c>
      <c r="AF64" s="210">
        <f t="shared" si="45"/>
        <v>30.363336288416086</v>
      </c>
      <c r="AG64" s="210">
        <f t="shared" si="45"/>
        <v>26.099060283687948</v>
      </c>
      <c r="AH64" s="210">
        <f t="shared" si="45"/>
        <v>48.902316784869981</v>
      </c>
      <c r="AI64" s="210">
        <f t="shared" si="45"/>
        <v>22.392510638297875</v>
      </c>
      <c r="AJ64" s="210">
        <f t="shared" si="45"/>
        <v>23.534239952718679</v>
      </c>
      <c r="AK64" s="210">
        <f t="shared" si="45"/>
        <v>56.59574468085107</v>
      </c>
      <c r="AL64" s="210">
        <f t="shared" si="45"/>
        <v>39.302600472813239</v>
      </c>
      <c r="AM64" s="210">
        <f t="shared" si="45"/>
        <v>20.381205673758867</v>
      </c>
      <c r="AN64" s="210">
        <f t="shared" si="45"/>
        <v>26.276595744680854</v>
      </c>
    </row>
    <row r="65" spans="2:40" s="7" customFormat="1" ht="12" customHeight="1" outlineLevel="1">
      <c r="B65" s="237"/>
      <c r="C65" s="214" t="s">
        <v>847</v>
      </c>
      <c r="D65" s="214"/>
      <c r="E65" s="210">
        <f t="shared" ref="E65:I65" si="46">SUM(E61:E63)</f>
        <v>110</v>
      </c>
      <c r="F65" s="210">
        <f t="shared" si="46"/>
        <v>93</v>
      </c>
      <c r="G65" s="210">
        <f t="shared" si="46"/>
        <v>148</v>
      </c>
      <c r="H65" s="210">
        <f t="shared" si="46"/>
        <v>91</v>
      </c>
      <c r="I65" s="210">
        <f t="shared" si="46"/>
        <v>40</v>
      </c>
      <c r="J65" s="210">
        <f t="shared" ref="J65:AN65" si="47">SUM(J61:J63)</f>
        <v>119</v>
      </c>
      <c r="K65" s="210">
        <f t="shared" si="47"/>
        <v>66</v>
      </c>
      <c r="L65" s="210">
        <f t="shared" si="47"/>
        <v>37</v>
      </c>
      <c r="M65" s="210">
        <f>SUM(M61:M63)</f>
        <v>115.3144208037825</v>
      </c>
      <c r="N65" s="210">
        <f t="shared" si="47"/>
        <v>63.697399527186761</v>
      </c>
      <c r="O65" s="210">
        <f t="shared" si="47"/>
        <v>36.156028368794324</v>
      </c>
      <c r="P65" s="210">
        <f t="shared" si="47"/>
        <v>114.15602836879432</v>
      </c>
      <c r="Q65" s="210">
        <f t="shared" si="47"/>
        <v>77</v>
      </c>
      <c r="R65" s="210">
        <f t="shared" si="47"/>
        <v>51</v>
      </c>
      <c r="S65" s="210">
        <f t="shared" si="47"/>
        <v>119.24574468085106</v>
      </c>
      <c r="T65" s="210">
        <f t="shared" si="47"/>
        <v>71.643587470449177</v>
      </c>
      <c r="U65" s="210">
        <f t="shared" si="47"/>
        <v>45.900939716312052</v>
      </c>
      <c r="V65" s="210">
        <f t="shared" si="47"/>
        <v>127.37965721040189</v>
      </c>
      <c r="W65" s="210">
        <f t="shared" si="47"/>
        <v>77.143319148936172</v>
      </c>
      <c r="X65" s="210">
        <f t="shared" si="47"/>
        <v>53.326283687943267</v>
      </c>
      <c r="Y65" s="210">
        <f t="shared" si="47"/>
        <v>133.8368794326241</v>
      </c>
      <c r="Z65" s="210">
        <f t="shared" si="47"/>
        <v>84.697399527186761</v>
      </c>
      <c r="AA65" s="210">
        <f t="shared" si="47"/>
        <v>59.471631205673759</v>
      </c>
      <c r="AB65" s="210">
        <f t="shared" si="47"/>
        <v>146.10283687943263</v>
      </c>
      <c r="AC65" s="210">
        <f t="shared" si="47"/>
        <v>95.222893617021271</v>
      </c>
      <c r="AD65" s="210">
        <f t="shared" si="47"/>
        <v>62.475751773049645</v>
      </c>
      <c r="AE65" s="210">
        <f t="shared" si="47"/>
        <v>143.24574468085106</v>
      </c>
      <c r="AF65" s="210">
        <f t="shared" si="47"/>
        <v>94.636663711583921</v>
      </c>
      <c r="AG65" s="210">
        <f t="shared" si="47"/>
        <v>76.900939716312052</v>
      </c>
      <c r="AH65" s="210">
        <f t="shared" si="47"/>
        <v>147.09768321513002</v>
      </c>
      <c r="AI65" s="210">
        <f t="shared" si="47"/>
        <v>100.60748936170212</v>
      </c>
      <c r="AJ65" s="210">
        <f t="shared" si="47"/>
        <v>79.465760047281321</v>
      </c>
      <c r="AK65" s="210">
        <f t="shared" si="47"/>
        <v>155.40425531914894</v>
      </c>
      <c r="AL65" s="210">
        <f t="shared" si="47"/>
        <v>101.69739952718675</v>
      </c>
      <c r="AM65" s="210">
        <f t="shared" si="47"/>
        <v>81.61879432624113</v>
      </c>
      <c r="AN65" s="210">
        <f t="shared" si="47"/>
        <v>167.72340425531914</v>
      </c>
    </row>
    <row r="66" spans="2:40" s="7" customFormat="1" ht="12" customHeight="1" outlineLevel="1">
      <c r="B66" s="237"/>
      <c r="C66" s="214" t="s">
        <v>848</v>
      </c>
      <c r="D66" s="214"/>
      <c r="E66" s="205">
        <f t="shared" ref="E66:I66" si="48">SUM(E64:E65)</f>
        <v>110</v>
      </c>
      <c r="F66" s="205">
        <f t="shared" si="48"/>
        <v>93</v>
      </c>
      <c r="G66" s="205">
        <f t="shared" si="48"/>
        <v>148</v>
      </c>
      <c r="H66" s="205">
        <f t="shared" si="48"/>
        <v>91</v>
      </c>
      <c r="I66" s="205">
        <f t="shared" si="48"/>
        <v>40</v>
      </c>
      <c r="J66" s="205">
        <f>SUM(J64:J65)</f>
        <v>120</v>
      </c>
      <c r="K66" s="205">
        <f t="shared" ref="K66:AN66" si="49">SUM(K64:K65)</f>
        <v>68</v>
      </c>
      <c r="L66" s="205">
        <f t="shared" si="49"/>
        <v>39</v>
      </c>
      <c r="M66" s="205">
        <f t="shared" si="49"/>
        <v>136</v>
      </c>
      <c r="N66" s="205">
        <f t="shared" si="49"/>
        <v>103</v>
      </c>
      <c r="O66" s="205">
        <f t="shared" si="49"/>
        <v>53</v>
      </c>
      <c r="P66" s="205">
        <f t="shared" si="49"/>
        <v>131</v>
      </c>
      <c r="Q66" s="205">
        <f t="shared" si="49"/>
        <v>77</v>
      </c>
      <c r="R66" s="205">
        <f t="shared" si="49"/>
        <v>51</v>
      </c>
      <c r="S66" s="205">
        <f t="shared" si="49"/>
        <v>151</v>
      </c>
      <c r="T66" s="205">
        <f t="shared" si="49"/>
        <v>95</v>
      </c>
      <c r="U66" s="205">
        <f t="shared" si="49"/>
        <v>72</v>
      </c>
      <c r="V66" s="205">
        <f t="shared" si="49"/>
        <v>161</v>
      </c>
      <c r="W66" s="205">
        <f t="shared" si="49"/>
        <v>107</v>
      </c>
      <c r="X66" s="205">
        <f t="shared" si="49"/>
        <v>79</v>
      </c>
      <c r="Y66" s="205">
        <f t="shared" si="49"/>
        <v>181</v>
      </c>
      <c r="Z66" s="205">
        <f t="shared" si="49"/>
        <v>124</v>
      </c>
      <c r="AA66" s="205">
        <f t="shared" si="49"/>
        <v>78</v>
      </c>
      <c r="AB66" s="205">
        <f t="shared" si="49"/>
        <v>168</v>
      </c>
      <c r="AC66" s="205">
        <f t="shared" si="49"/>
        <v>116</v>
      </c>
      <c r="AD66" s="205">
        <f t="shared" si="49"/>
        <v>111</v>
      </c>
      <c r="AE66" s="205">
        <f t="shared" si="49"/>
        <v>175</v>
      </c>
      <c r="AF66" s="205">
        <f t="shared" si="49"/>
        <v>125</v>
      </c>
      <c r="AG66" s="205">
        <f t="shared" si="49"/>
        <v>103</v>
      </c>
      <c r="AH66" s="205">
        <f t="shared" si="49"/>
        <v>196</v>
      </c>
      <c r="AI66" s="205">
        <f t="shared" si="49"/>
        <v>123</v>
      </c>
      <c r="AJ66" s="205">
        <f t="shared" si="49"/>
        <v>103</v>
      </c>
      <c r="AK66" s="205">
        <f t="shared" si="49"/>
        <v>212</v>
      </c>
      <c r="AL66" s="205">
        <f t="shared" si="49"/>
        <v>141</v>
      </c>
      <c r="AM66" s="205">
        <f t="shared" si="49"/>
        <v>102</v>
      </c>
      <c r="AN66" s="205">
        <f t="shared" si="49"/>
        <v>194</v>
      </c>
    </row>
    <row r="67" spans="2:40" s="7" customFormat="1" ht="12" customHeight="1" outlineLevel="1">
      <c r="B67" s="239"/>
      <c r="C67" s="214"/>
      <c r="D67" s="214"/>
      <c r="E67" s="211"/>
      <c r="F67" s="211"/>
      <c r="G67" s="211"/>
      <c r="H67" s="211"/>
      <c r="I67" s="211"/>
      <c r="J67" s="211"/>
      <c r="K67" s="211"/>
      <c r="L67" s="211"/>
      <c r="M67" s="211"/>
      <c r="N67" s="211"/>
      <c r="O67" s="211"/>
      <c r="P67" s="211"/>
      <c r="Q67" s="211"/>
      <c r="R67" s="211"/>
      <c r="S67" s="211"/>
      <c r="T67" s="211"/>
      <c r="U67" s="211"/>
      <c r="V67" s="211"/>
      <c r="W67" s="211"/>
      <c r="X67" s="211"/>
      <c r="Y67" s="211"/>
      <c r="Z67" s="211"/>
      <c r="AA67" s="211"/>
      <c r="AB67" s="211"/>
      <c r="AC67" s="211"/>
      <c r="AD67" s="211"/>
      <c r="AE67" s="211"/>
      <c r="AF67" s="211"/>
      <c r="AG67" s="211"/>
      <c r="AH67" s="211"/>
      <c r="AI67" s="211"/>
      <c r="AJ67" s="211"/>
      <c r="AK67" s="211"/>
      <c r="AL67" s="211"/>
      <c r="AM67" s="211"/>
      <c r="AN67" s="211"/>
    </row>
    <row r="68" spans="2:40" s="7" customFormat="1" ht="12" hidden="1" customHeight="1" outlineLevel="2">
      <c r="B68" s="239"/>
      <c r="C68" s="243" t="s">
        <v>849</v>
      </c>
      <c r="D68" s="214"/>
      <c r="O68" s="212"/>
      <c r="P68" s="212"/>
      <c r="Q68" s="212"/>
      <c r="R68" s="212"/>
      <c r="S68" s="212"/>
      <c r="T68" s="212"/>
      <c r="U68" s="212"/>
      <c r="V68" s="212"/>
      <c r="W68" s="212"/>
      <c r="X68" s="212"/>
      <c r="Y68" s="212"/>
      <c r="Z68" s="212"/>
      <c r="AA68" s="212"/>
      <c r="AB68" s="212"/>
      <c r="AC68" s="212"/>
      <c r="AD68" s="212"/>
      <c r="AE68" s="212"/>
      <c r="AF68" s="212"/>
      <c r="AG68" s="212"/>
      <c r="AH68" s="212"/>
      <c r="AI68" s="212"/>
      <c r="AJ68" s="212"/>
      <c r="AK68" s="212"/>
      <c r="AL68" s="212"/>
      <c r="AM68" s="212"/>
      <c r="AN68" s="212"/>
    </row>
    <row r="69" spans="2:40" s="7" customFormat="1" ht="12" hidden="1" customHeight="1" outlineLevel="2">
      <c r="B69" s="239"/>
      <c r="C69" s="214" t="s">
        <v>850</v>
      </c>
      <c r="D69" s="214"/>
      <c r="E69" s="196" t="s">
        <v>753</v>
      </c>
      <c r="F69" s="196" t="s">
        <v>754</v>
      </c>
      <c r="G69" s="196" t="s">
        <v>755</v>
      </c>
      <c r="H69" s="196" t="s">
        <v>756</v>
      </c>
      <c r="I69" s="196" t="s">
        <v>757</v>
      </c>
      <c r="J69" s="196" t="s">
        <v>758</v>
      </c>
      <c r="K69" s="196" t="s">
        <v>759</v>
      </c>
      <c r="L69" s="196" t="s">
        <v>760</v>
      </c>
      <c r="M69" s="196" t="s">
        <v>761</v>
      </c>
      <c r="N69" s="196" t="s">
        <v>762</v>
      </c>
      <c r="O69" s="196" t="s">
        <v>763</v>
      </c>
      <c r="P69" s="196" t="s">
        <v>764</v>
      </c>
      <c r="Q69" s="196" t="s">
        <v>765</v>
      </c>
      <c r="R69" s="196" t="s">
        <v>766</v>
      </c>
      <c r="S69" s="196" t="s">
        <v>767</v>
      </c>
      <c r="T69" s="196" t="s">
        <v>768</v>
      </c>
      <c r="U69" s="196" t="s">
        <v>769</v>
      </c>
      <c r="V69" s="196" t="s">
        <v>770</v>
      </c>
      <c r="W69" s="196" t="s">
        <v>771</v>
      </c>
      <c r="X69" s="196" t="s">
        <v>772</v>
      </c>
      <c r="Y69" s="196" t="s">
        <v>773</v>
      </c>
      <c r="Z69" s="196" t="s">
        <v>774</v>
      </c>
      <c r="AA69" s="196" t="s">
        <v>775</v>
      </c>
      <c r="AB69" s="196" t="s">
        <v>776</v>
      </c>
      <c r="AC69" s="196" t="s">
        <v>777</v>
      </c>
      <c r="AD69" s="196" t="s">
        <v>778</v>
      </c>
      <c r="AE69" s="196" t="s">
        <v>779</v>
      </c>
      <c r="AF69" s="196" t="s">
        <v>780</v>
      </c>
      <c r="AG69" s="196" t="s">
        <v>781</v>
      </c>
      <c r="AH69" s="196" t="s">
        <v>782</v>
      </c>
      <c r="AI69" s="196" t="s">
        <v>783</v>
      </c>
      <c r="AJ69" s="196" t="s">
        <v>784</v>
      </c>
      <c r="AK69" s="196" t="s">
        <v>785</v>
      </c>
      <c r="AL69" s="196" t="s">
        <v>786</v>
      </c>
      <c r="AM69" s="196" t="s">
        <v>787</v>
      </c>
      <c r="AN69" s="196" t="s">
        <v>788</v>
      </c>
    </row>
    <row r="70" spans="2:40" s="7" customFormat="1" ht="12" hidden="1" customHeight="1" outlineLevel="2">
      <c r="B70" s="239"/>
      <c r="C70" s="212" t="s">
        <v>851</v>
      </c>
      <c r="D70" s="212"/>
      <c r="E70" s="344">
        <v>0</v>
      </c>
      <c r="F70" s="344">
        <v>0</v>
      </c>
      <c r="G70" s="344">
        <v>0</v>
      </c>
      <c r="H70" s="344">
        <v>0</v>
      </c>
      <c r="I70" s="344">
        <v>0</v>
      </c>
      <c r="J70" s="344">
        <v>0</v>
      </c>
      <c r="K70" s="344">
        <v>0</v>
      </c>
      <c r="L70" s="344">
        <v>0</v>
      </c>
      <c r="M70" s="344">
        <v>0</v>
      </c>
      <c r="N70" s="344">
        <v>0</v>
      </c>
      <c r="O70" s="344">
        <v>0</v>
      </c>
      <c r="P70" s="344">
        <v>0</v>
      </c>
      <c r="Q70" s="344">
        <v>0</v>
      </c>
      <c r="R70" s="344">
        <v>0</v>
      </c>
      <c r="S70" s="344">
        <v>0</v>
      </c>
      <c r="T70" s="344">
        <v>0</v>
      </c>
      <c r="U70" s="344">
        <v>0</v>
      </c>
      <c r="V70" s="344">
        <v>0</v>
      </c>
      <c r="W70" s="344">
        <v>0</v>
      </c>
      <c r="X70" s="344">
        <v>0</v>
      </c>
      <c r="Y70" s="344">
        <v>0</v>
      </c>
      <c r="Z70" s="344">
        <v>0</v>
      </c>
      <c r="AA70" s="344">
        <v>0</v>
      </c>
      <c r="AB70" s="344">
        <v>0</v>
      </c>
      <c r="AC70" s="344">
        <v>0</v>
      </c>
      <c r="AD70" s="344">
        <v>0</v>
      </c>
      <c r="AE70" s="344">
        <v>0</v>
      </c>
      <c r="AF70" s="344">
        <v>0</v>
      </c>
      <c r="AG70" s="344">
        <v>0</v>
      </c>
      <c r="AH70" s="344">
        <v>0</v>
      </c>
      <c r="AI70" s="344">
        <v>0</v>
      </c>
      <c r="AJ70" s="344">
        <v>0</v>
      </c>
      <c r="AK70" s="344">
        <v>0</v>
      </c>
      <c r="AL70" s="344">
        <v>0</v>
      </c>
      <c r="AM70" s="344">
        <v>0</v>
      </c>
      <c r="AN70" s="344">
        <v>0</v>
      </c>
    </row>
    <row r="71" spans="2:40" s="7" customFormat="1" ht="12" hidden="1" customHeight="1" outlineLevel="2">
      <c r="B71" s="239"/>
      <c r="C71" s="214" t="s">
        <v>852</v>
      </c>
      <c r="D71" s="212"/>
      <c r="E71" s="211">
        <v>26</v>
      </c>
      <c r="F71" s="211">
        <f>E71*98%</f>
        <v>25.48</v>
      </c>
      <c r="G71" s="211">
        <v>38</v>
      </c>
      <c r="H71" s="211">
        <f t="shared" ref="H71:AN71" si="50">G71*98%</f>
        <v>37.24</v>
      </c>
      <c r="I71" s="211">
        <v>14</v>
      </c>
      <c r="J71" s="211">
        <f t="shared" si="50"/>
        <v>13.719999999999999</v>
      </c>
      <c r="K71" s="211">
        <f t="shared" si="50"/>
        <v>13.445599999999999</v>
      </c>
      <c r="L71" s="211">
        <f t="shared" si="50"/>
        <v>13.176687999999999</v>
      </c>
      <c r="M71" s="211">
        <f t="shared" si="50"/>
        <v>12.913154239999999</v>
      </c>
      <c r="N71" s="211">
        <f t="shared" si="50"/>
        <v>12.6548911552</v>
      </c>
      <c r="O71" s="211">
        <f t="shared" si="50"/>
        <v>12.401793332096</v>
      </c>
      <c r="P71" s="211">
        <f t="shared" si="50"/>
        <v>12.153757465454079</v>
      </c>
      <c r="Q71" s="211">
        <f t="shared" si="50"/>
        <v>11.910682316144998</v>
      </c>
      <c r="R71" s="211">
        <f t="shared" si="50"/>
        <v>11.672468669822097</v>
      </c>
      <c r="S71" s="211">
        <f t="shared" si="50"/>
        <v>11.439019296425654</v>
      </c>
      <c r="T71" s="211">
        <f t="shared" si="50"/>
        <v>11.210238910497141</v>
      </c>
      <c r="U71" s="211">
        <f t="shared" si="50"/>
        <v>10.986034132287198</v>
      </c>
      <c r="V71" s="211">
        <f t="shared" si="50"/>
        <v>10.766313449641453</v>
      </c>
      <c r="W71" s="211">
        <f t="shared" si="50"/>
        <v>10.550987180648624</v>
      </c>
      <c r="X71" s="211">
        <f t="shared" si="50"/>
        <v>10.339967437035652</v>
      </c>
      <c r="Y71" s="211">
        <f t="shared" si="50"/>
        <v>10.133168088294939</v>
      </c>
      <c r="Z71" s="211">
        <f t="shared" si="50"/>
        <v>9.9305047265290405</v>
      </c>
      <c r="AA71" s="211">
        <f t="shared" si="50"/>
        <v>9.7318946319984594</v>
      </c>
      <c r="AB71" s="211">
        <f t="shared" si="50"/>
        <v>9.5372567393584902</v>
      </c>
      <c r="AC71" s="211">
        <f t="shared" si="50"/>
        <v>9.3465116045713206</v>
      </c>
      <c r="AD71" s="211">
        <f t="shared" si="50"/>
        <v>9.1595813724798933</v>
      </c>
      <c r="AE71" s="211">
        <f t="shared" si="50"/>
        <v>8.9763897450302945</v>
      </c>
      <c r="AF71" s="211">
        <f t="shared" si="50"/>
        <v>8.7968619501296885</v>
      </c>
      <c r="AG71" s="211">
        <f t="shared" si="50"/>
        <v>8.6209247111270955</v>
      </c>
      <c r="AH71" s="211">
        <f t="shared" si="50"/>
        <v>8.4485062169045531</v>
      </c>
      <c r="AI71" s="211">
        <f t="shared" si="50"/>
        <v>8.2795360925664614</v>
      </c>
      <c r="AJ71" s="211">
        <f t="shared" si="50"/>
        <v>8.1139453707151326</v>
      </c>
      <c r="AK71" s="211">
        <f t="shared" si="50"/>
        <v>7.95166646330083</v>
      </c>
      <c r="AL71" s="211">
        <f t="shared" si="50"/>
        <v>7.7926331340348129</v>
      </c>
      <c r="AM71" s="211">
        <f t="shared" si="50"/>
        <v>7.6367804713541165</v>
      </c>
      <c r="AN71" s="211">
        <f t="shared" si="50"/>
        <v>7.4840448619270337</v>
      </c>
    </row>
    <row r="72" spans="2:40" s="7" customFormat="1" ht="12" hidden="1" customHeight="1" outlineLevel="2">
      <c r="B72" s="245"/>
      <c r="C72" s="213" t="s">
        <v>753</v>
      </c>
      <c r="D72" s="213"/>
      <c r="E72" s="211">
        <f>INDEX($C$44:$AN$64,MATCH("New Customers One-Time",$C$44:$C$64,0),MATCH($C72,$C$44:$AN$44,0))</f>
        <v>0</v>
      </c>
      <c r="F72" s="211">
        <f t="shared" ref="F72:AN72" si="51">$E$72*(E70)</f>
        <v>0</v>
      </c>
      <c r="G72" s="211">
        <f t="shared" si="51"/>
        <v>0</v>
      </c>
      <c r="H72" s="211">
        <f t="shared" si="51"/>
        <v>0</v>
      </c>
      <c r="I72" s="211">
        <f t="shared" si="51"/>
        <v>0</v>
      </c>
      <c r="J72" s="211">
        <f t="shared" si="51"/>
        <v>0</v>
      </c>
      <c r="K72" s="211">
        <f t="shared" si="51"/>
        <v>0</v>
      </c>
      <c r="L72" s="211">
        <f t="shared" si="51"/>
        <v>0</v>
      </c>
      <c r="M72" s="211">
        <f t="shared" si="51"/>
        <v>0</v>
      </c>
      <c r="N72" s="211">
        <f t="shared" si="51"/>
        <v>0</v>
      </c>
      <c r="O72" s="211">
        <f t="shared" si="51"/>
        <v>0</v>
      </c>
      <c r="P72" s="211">
        <f t="shared" si="51"/>
        <v>0</v>
      </c>
      <c r="Q72" s="211">
        <f t="shared" si="51"/>
        <v>0</v>
      </c>
      <c r="R72" s="211">
        <f t="shared" si="51"/>
        <v>0</v>
      </c>
      <c r="S72" s="211">
        <f t="shared" si="51"/>
        <v>0</v>
      </c>
      <c r="T72" s="211">
        <f t="shared" si="51"/>
        <v>0</v>
      </c>
      <c r="U72" s="211">
        <f t="shared" si="51"/>
        <v>0</v>
      </c>
      <c r="V72" s="211">
        <f t="shared" si="51"/>
        <v>0</v>
      </c>
      <c r="W72" s="211">
        <f t="shared" si="51"/>
        <v>0</v>
      </c>
      <c r="X72" s="211">
        <f t="shared" si="51"/>
        <v>0</v>
      </c>
      <c r="Y72" s="211">
        <f t="shared" si="51"/>
        <v>0</v>
      </c>
      <c r="Z72" s="211">
        <f t="shared" si="51"/>
        <v>0</v>
      </c>
      <c r="AA72" s="211">
        <f t="shared" si="51"/>
        <v>0</v>
      </c>
      <c r="AB72" s="211">
        <f t="shared" si="51"/>
        <v>0</v>
      </c>
      <c r="AC72" s="211">
        <f t="shared" si="51"/>
        <v>0</v>
      </c>
      <c r="AD72" s="211">
        <f t="shared" si="51"/>
        <v>0</v>
      </c>
      <c r="AE72" s="211">
        <f t="shared" si="51"/>
        <v>0</v>
      </c>
      <c r="AF72" s="211">
        <f t="shared" si="51"/>
        <v>0</v>
      </c>
      <c r="AG72" s="211">
        <f t="shared" si="51"/>
        <v>0</v>
      </c>
      <c r="AH72" s="211">
        <f t="shared" si="51"/>
        <v>0</v>
      </c>
      <c r="AI72" s="211">
        <f t="shared" si="51"/>
        <v>0</v>
      </c>
      <c r="AJ72" s="211">
        <f t="shared" si="51"/>
        <v>0</v>
      </c>
      <c r="AK72" s="211">
        <f t="shared" si="51"/>
        <v>0</v>
      </c>
      <c r="AL72" s="211">
        <f t="shared" si="51"/>
        <v>0</v>
      </c>
      <c r="AM72" s="211">
        <f t="shared" si="51"/>
        <v>0</v>
      </c>
      <c r="AN72" s="211">
        <f t="shared" si="51"/>
        <v>0</v>
      </c>
    </row>
    <row r="73" spans="2:40" s="7" customFormat="1" ht="12" hidden="1" customHeight="1" outlineLevel="2">
      <c r="B73" s="245"/>
      <c r="C73" s="213" t="s">
        <v>754</v>
      </c>
      <c r="D73" s="213"/>
      <c r="E73" s="213"/>
      <c r="F73" s="211">
        <f>INDEX($C$44:$AN$64,MATCH("New Customers One-Time",$C$44:$C$64,0),MATCH($C73,$C$44:$AN$44,0))</f>
        <v>0</v>
      </c>
      <c r="G73" s="211">
        <f t="shared" ref="G73:AN73" si="52">$F$73*(E70)</f>
        <v>0</v>
      </c>
      <c r="H73" s="211">
        <f t="shared" si="52"/>
        <v>0</v>
      </c>
      <c r="I73" s="211">
        <f t="shared" si="52"/>
        <v>0</v>
      </c>
      <c r="J73" s="211">
        <f t="shared" si="52"/>
        <v>0</v>
      </c>
      <c r="K73" s="211">
        <f t="shared" si="52"/>
        <v>0</v>
      </c>
      <c r="L73" s="211">
        <f t="shared" si="52"/>
        <v>0</v>
      </c>
      <c r="M73" s="211">
        <f t="shared" si="52"/>
        <v>0</v>
      </c>
      <c r="N73" s="211">
        <f t="shared" si="52"/>
        <v>0</v>
      </c>
      <c r="O73" s="211">
        <f t="shared" si="52"/>
        <v>0</v>
      </c>
      <c r="P73" s="211">
        <f t="shared" si="52"/>
        <v>0</v>
      </c>
      <c r="Q73" s="211">
        <f t="shared" si="52"/>
        <v>0</v>
      </c>
      <c r="R73" s="211">
        <f t="shared" si="52"/>
        <v>0</v>
      </c>
      <c r="S73" s="211">
        <f t="shared" si="52"/>
        <v>0</v>
      </c>
      <c r="T73" s="211">
        <f t="shared" si="52"/>
        <v>0</v>
      </c>
      <c r="U73" s="211">
        <f t="shared" si="52"/>
        <v>0</v>
      </c>
      <c r="V73" s="211">
        <f t="shared" si="52"/>
        <v>0</v>
      </c>
      <c r="W73" s="211">
        <f t="shared" si="52"/>
        <v>0</v>
      </c>
      <c r="X73" s="211">
        <f t="shared" si="52"/>
        <v>0</v>
      </c>
      <c r="Y73" s="211">
        <f t="shared" si="52"/>
        <v>0</v>
      </c>
      <c r="Z73" s="211">
        <f t="shared" si="52"/>
        <v>0</v>
      </c>
      <c r="AA73" s="211">
        <f t="shared" si="52"/>
        <v>0</v>
      </c>
      <c r="AB73" s="211">
        <f t="shared" si="52"/>
        <v>0</v>
      </c>
      <c r="AC73" s="211">
        <f t="shared" si="52"/>
        <v>0</v>
      </c>
      <c r="AD73" s="211">
        <f t="shared" si="52"/>
        <v>0</v>
      </c>
      <c r="AE73" s="211">
        <f t="shared" si="52"/>
        <v>0</v>
      </c>
      <c r="AF73" s="211">
        <f t="shared" si="52"/>
        <v>0</v>
      </c>
      <c r="AG73" s="211">
        <f t="shared" si="52"/>
        <v>0</v>
      </c>
      <c r="AH73" s="211">
        <f t="shared" si="52"/>
        <v>0</v>
      </c>
      <c r="AI73" s="211">
        <f t="shared" si="52"/>
        <v>0</v>
      </c>
      <c r="AJ73" s="211">
        <f t="shared" si="52"/>
        <v>0</v>
      </c>
      <c r="AK73" s="211">
        <f t="shared" si="52"/>
        <v>0</v>
      </c>
      <c r="AL73" s="211">
        <f t="shared" si="52"/>
        <v>0</v>
      </c>
      <c r="AM73" s="211">
        <f t="shared" si="52"/>
        <v>0</v>
      </c>
      <c r="AN73" s="211">
        <f t="shared" si="52"/>
        <v>0</v>
      </c>
    </row>
    <row r="74" spans="2:40" s="7" customFormat="1" ht="12" hidden="1" customHeight="1" outlineLevel="2">
      <c r="B74" s="245"/>
      <c r="C74" s="213" t="s">
        <v>755</v>
      </c>
      <c r="D74" s="213"/>
      <c r="E74" s="213"/>
      <c r="G74" s="211">
        <f>INDEX($C$44:$AN$66,MATCH("New Customers One-Time",$C$44:$C$66,0),MATCH($C74,$C$44:$AN$44,0))</f>
        <v>0</v>
      </c>
      <c r="H74" s="211">
        <f t="shared" ref="H74:AN74" si="53">$G$74*(E70)</f>
        <v>0</v>
      </c>
      <c r="I74" s="211">
        <f t="shared" si="53"/>
        <v>0</v>
      </c>
      <c r="J74" s="211">
        <f t="shared" si="53"/>
        <v>0</v>
      </c>
      <c r="K74" s="211">
        <f t="shared" si="53"/>
        <v>0</v>
      </c>
      <c r="L74" s="211">
        <f t="shared" si="53"/>
        <v>0</v>
      </c>
      <c r="M74" s="211">
        <f t="shared" si="53"/>
        <v>0</v>
      </c>
      <c r="N74" s="211">
        <f t="shared" si="53"/>
        <v>0</v>
      </c>
      <c r="O74" s="211">
        <f t="shared" si="53"/>
        <v>0</v>
      </c>
      <c r="P74" s="211">
        <f t="shared" si="53"/>
        <v>0</v>
      </c>
      <c r="Q74" s="211">
        <f t="shared" si="53"/>
        <v>0</v>
      </c>
      <c r="R74" s="211">
        <f t="shared" si="53"/>
        <v>0</v>
      </c>
      <c r="S74" s="211">
        <f t="shared" si="53"/>
        <v>0</v>
      </c>
      <c r="T74" s="211">
        <f t="shared" si="53"/>
        <v>0</v>
      </c>
      <c r="U74" s="211">
        <f t="shared" si="53"/>
        <v>0</v>
      </c>
      <c r="V74" s="211">
        <f t="shared" si="53"/>
        <v>0</v>
      </c>
      <c r="W74" s="211">
        <f t="shared" si="53"/>
        <v>0</v>
      </c>
      <c r="X74" s="211">
        <f t="shared" si="53"/>
        <v>0</v>
      </c>
      <c r="Y74" s="211">
        <f t="shared" si="53"/>
        <v>0</v>
      </c>
      <c r="Z74" s="211">
        <f t="shared" si="53"/>
        <v>0</v>
      </c>
      <c r="AA74" s="211">
        <f t="shared" si="53"/>
        <v>0</v>
      </c>
      <c r="AB74" s="211">
        <f t="shared" si="53"/>
        <v>0</v>
      </c>
      <c r="AC74" s="211">
        <f t="shared" si="53"/>
        <v>0</v>
      </c>
      <c r="AD74" s="211">
        <f t="shared" si="53"/>
        <v>0</v>
      </c>
      <c r="AE74" s="211">
        <f t="shared" si="53"/>
        <v>0</v>
      </c>
      <c r="AF74" s="211">
        <f t="shared" si="53"/>
        <v>0</v>
      </c>
      <c r="AG74" s="211">
        <f t="shared" si="53"/>
        <v>0</v>
      </c>
      <c r="AH74" s="211">
        <f t="shared" si="53"/>
        <v>0</v>
      </c>
      <c r="AI74" s="211">
        <f t="shared" si="53"/>
        <v>0</v>
      </c>
      <c r="AJ74" s="211">
        <f t="shared" si="53"/>
        <v>0</v>
      </c>
      <c r="AK74" s="211">
        <f t="shared" si="53"/>
        <v>0</v>
      </c>
      <c r="AL74" s="211">
        <f t="shared" si="53"/>
        <v>0</v>
      </c>
      <c r="AM74" s="211">
        <f t="shared" si="53"/>
        <v>0</v>
      </c>
      <c r="AN74" s="211">
        <f t="shared" si="53"/>
        <v>0</v>
      </c>
    </row>
    <row r="75" spans="2:40" s="7" customFormat="1" ht="12" hidden="1" customHeight="1" outlineLevel="2">
      <c r="B75" s="245"/>
      <c r="C75" s="213" t="s">
        <v>756</v>
      </c>
      <c r="D75" s="213"/>
      <c r="E75" s="213"/>
      <c r="F75" s="213"/>
      <c r="G75" s="213"/>
      <c r="H75" s="211">
        <f>INDEX($C$44:$AN$66,MATCH("New Customers One-Time",$C$44:$C$66,0),MATCH($C75,$C$44:$AN$44,0))</f>
        <v>0</v>
      </c>
      <c r="I75" s="211">
        <f t="shared" ref="I75:AN75" si="54">$H$75*(E70)</f>
        <v>0</v>
      </c>
      <c r="J75" s="211">
        <f t="shared" si="54"/>
        <v>0</v>
      </c>
      <c r="K75" s="211">
        <f t="shared" si="54"/>
        <v>0</v>
      </c>
      <c r="L75" s="211">
        <f t="shared" si="54"/>
        <v>0</v>
      </c>
      <c r="M75" s="211">
        <f t="shared" si="54"/>
        <v>0</v>
      </c>
      <c r="N75" s="211">
        <f t="shared" si="54"/>
        <v>0</v>
      </c>
      <c r="O75" s="211">
        <f t="shared" si="54"/>
        <v>0</v>
      </c>
      <c r="P75" s="211">
        <f t="shared" si="54"/>
        <v>0</v>
      </c>
      <c r="Q75" s="211">
        <f t="shared" si="54"/>
        <v>0</v>
      </c>
      <c r="R75" s="211">
        <f t="shared" si="54"/>
        <v>0</v>
      </c>
      <c r="S75" s="211">
        <f t="shared" si="54"/>
        <v>0</v>
      </c>
      <c r="T75" s="211">
        <f t="shared" si="54"/>
        <v>0</v>
      </c>
      <c r="U75" s="211">
        <f t="shared" si="54"/>
        <v>0</v>
      </c>
      <c r="V75" s="211">
        <f t="shared" si="54"/>
        <v>0</v>
      </c>
      <c r="W75" s="211">
        <f t="shared" si="54"/>
        <v>0</v>
      </c>
      <c r="X75" s="211">
        <f t="shared" si="54"/>
        <v>0</v>
      </c>
      <c r="Y75" s="211">
        <f t="shared" si="54"/>
        <v>0</v>
      </c>
      <c r="Z75" s="211">
        <f t="shared" si="54"/>
        <v>0</v>
      </c>
      <c r="AA75" s="211">
        <f t="shared" si="54"/>
        <v>0</v>
      </c>
      <c r="AB75" s="211">
        <f t="shared" si="54"/>
        <v>0</v>
      </c>
      <c r="AC75" s="211">
        <f t="shared" si="54"/>
        <v>0</v>
      </c>
      <c r="AD75" s="211">
        <f t="shared" si="54"/>
        <v>0</v>
      </c>
      <c r="AE75" s="211">
        <f t="shared" si="54"/>
        <v>0</v>
      </c>
      <c r="AF75" s="211">
        <f t="shared" si="54"/>
        <v>0</v>
      </c>
      <c r="AG75" s="211">
        <f t="shared" si="54"/>
        <v>0</v>
      </c>
      <c r="AH75" s="211">
        <f t="shared" si="54"/>
        <v>0</v>
      </c>
      <c r="AI75" s="211">
        <f t="shared" si="54"/>
        <v>0</v>
      </c>
      <c r="AJ75" s="211">
        <f t="shared" si="54"/>
        <v>0</v>
      </c>
      <c r="AK75" s="211">
        <f t="shared" si="54"/>
        <v>0</v>
      </c>
      <c r="AL75" s="211">
        <f t="shared" si="54"/>
        <v>0</v>
      </c>
      <c r="AM75" s="211">
        <f t="shared" si="54"/>
        <v>0</v>
      </c>
      <c r="AN75" s="211">
        <f t="shared" si="54"/>
        <v>0</v>
      </c>
    </row>
    <row r="76" spans="2:40" s="7" customFormat="1" ht="12" hidden="1" customHeight="1" outlineLevel="2">
      <c r="B76" s="245"/>
      <c r="C76" s="213" t="s">
        <v>757</v>
      </c>
      <c r="D76" s="213"/>
      <c r="E76" s="213"/>
      <c r="F76" s="213"/>
      <c r="G76" s="213"/>
      <c r="H76" s="213"/>
      <c r="I76" s="211">
        <f>INDEX($C$44:$AN$66,MATCH("New Customers One-Time",$C$44:$C$66,0),MATCH($C76,$C$44:$AN$44,0))</f>
        <v>0</v>
      </c>
      <c r="J76" s="211">
        <f t="shared" ref="J76:AN76" si="55">$I$76*(E70)</f>
        <v>0</v>
      </c>
      <c r="K76" s="211">
        <f t="shared" si="55"/>
        <v>0</v>
      </c>
      <c r="L76" s="211">
        <f t="shared" si="55"/>
        <v>0</v>
      </c>
      <c r="M76" s="211">
        <f t="shared" si="55"/>
        <v>0</v>
      </c>
      <c r="N76" s="211">
        <f t="shared" si="55"/>
        <v>0</v>
      </c>
      <c r="O76" s="211">
        <f t="shared" si="55"/>
        <v>0</v>
      </c>
      <c r="P76" s="211">
        <f t="shared" si="55"/>
        <v>0</v>
      </c>
      <c r="Q76" s="211">
        <f t="shared" si="55"/>
        <v>0</v>
      </c>
      <c r="R76" s="211">
        <f t="shared" si="55"/>
        <v>0</v>
      </c>
      <c r="S76" s="211">
        <f t="shared" si="55"/>
        <v>0</v>
      </c>
      <c r="T76" s="211">
        <f t="shared" si="55"/>
        <v>0</v>
      </c>
      <c r="U76" s="211">
        <f t="shared" si="55"/>
        <v>0</v>
      </c>
      <c r="V76" s="211">
        <f t="shared" si="55"/>
        <v>0</v>
      </c>
      <c r="W76" s="211">
        <f t="shared" si="55"/>
        <v>0</v>
      </c>
      <c r="X76" s="211">
        <f t="shared" si="55"/>
        <v>0</v>
      </c>
      <c r="Y76" s="211">
        <f t="shared" si="55"/>
        <v>0</v>
      </c>
      <c r="Z76" s="211">
        <f t="shared" si="55"/>
        <v>0</v>
      </c>
      <c r="AA76" s="211">
        <f t="shared" si="55"/>
        <v>0</v>
      </c>
      <c r="AB76" s="211">
        <f t="shared" si="55"/>
        <v>0</v>
      </c>
      <c r="AC76" s="211">
        <f t="shared" si="55"/>
        <v>0</v>
      </c>
      <c r="AD76" s="211">
        <f t="shared" si="55"/>
        <v>0</v>
      </c>
      <c r="AE76" s="211">
        <f t="shared" si="55"/>
        <v>0</v>
      </c>
      <c r="AF76" s="211">
        <f t="shared" si="55"/>
        <v>0</v>
      </c>
      <c r="AG76" s="211">
        <f t="shared" si="55"/>
        <v>0</v>
      </c>
      <c r="AH76" s="211">
        <f t="shared" si="55"/>
        <v>0</v>
      </c>
      <c r="AI76" s="211">
        <f t="shared" si="55"/>
        <v>0</v>
      </c>
      <c r="AJ76" s="211">
        <f t="shared" si="55"/>
        <v>0</v>
      </c>
      <c r="AK76" s="211">
        <f t="shared" si="55"/>
        <v>0</v>
      </c>
      <c r="AL76" s="211">
        <f t="shared" si="55"/>
        <v>0</v>
      </c>
      <c r="AM76" s="211">
        <f t="shared" si="55"/>
        <v>0</v>
      </c>
      <c r="AN76" s="211">
        <f t="shared" si="55"/>
        <v>0</v>
      </c>
    </row>
    <row r="77" spans="2:40" s="7" customFormat="1" ht="12" hidden="1" customHeight="1" outlineLevel="2">
      <c r="B77" s="245"/>
      <c r="C77" s="213" t="s">
        <v>758</v>
      </c>
      <c r="D77" s="213"/>
      <c r="E77" s="213"/>
      <c r="F77" s="213"/>
      <c r="G77" s="213"/>
      <c r="H77" s="213"/>
      <c r="I77" s="213"/>
      <c r="J77" s="211">
        <f>INDEX($C$44:$AN$66,MATCH("New Customers One-Time",$C$44:$C$66,0),MATCH($C77,$C$44:$AN$44,0))</f>
        <v>1</v>
      </c>
      <c r="K77" s="211">
        <f t="shared" ref="K77:AN77" si="56">$J$77*(E70)</f>
        <v>0</v>
      </c>
      <c r="L77" s="211">
        <f t="shared" si="56"/>
        <v>0</v>
      </c>
      <c r="M77" s="211">
        <f t="shared" si="56"/>
        <v>0</v>
      </c>
      <c r="N77" s="211">
        <f t="shared" si="56"/>
        <v>0</v>
      </c>
      <c r="O77" s="211">
        <f t="shared" si="56"/>
        <v>0</v>
      </c>
      <c r="P77" s="211">
        <f t="shared" si="56"/>
        <v>0</v>
      </c>
      <c r="Q77" s="211">
        <f t="shared" si="56"/>
        <v>0</v>
      </c>
      <c r="R77" s="211">
        <f t="shared" si="56"/>
        <v>0</v>
      </c>
      <c r="S77" s="211">
        <f t="shared" si="56"/>
        <v>0</v>
      </c>
      <c r="T77" s="211">
        <f t="shared" si="56"/>
        <v>0</v>
      </c>
      <c r="U77" s="211">
        <f t="shared" si="56"/>
        <v>0</v>
      </c>
      <c r="V77" s="211">
        <f t="shared" si="56"/>
        <v>0</v>
      </c>
      <c r="W77" s="211">
        <f t="shared" si="56"/>
        <v>0</v>
      </c>
      <c r="X77" s="211">
        <f t="shared" si="56"/>
        <v>0</v>
      </c>
      <c r="Y77" s="211">
        <f t="shared" si="56"/>
        <v>0</v>
      </c>
      <c r="Z77" s="211">
        <f t="shared" si="56"/>
        <v>0</v>
      </c>
      <c r="AA77" s="211">
        <f t="shared" si="56"/>
        <v>0</v>
      </c>
      <c r="AB77" s="211">
        <f t="shared" si="56"/>
        <v>0</v>
      </c>
      <c r="AC77" s="211">
        <f t="shared" si="56"/>
        <v>0</v>
      </c>
      <c r="AD77" s="211">
        <f t="shared" si="56"/>
        <v>0</v>
      </c>
      <c r="AE77" s="211">
        <f t="shared" si="56"/>
        <v>0</v>
      </c>
      <c r="AF77" s="211">
        <f t="shared" si="56"/>
        <v>0</v>
      </c>
      <c r="AG77" s="211">
        <f t="shared" si="56"/>
        <v>0</v>
      </c>
      <c r="AH77" s="211">
        <f t="shared" si="56"/>
        <v>0</v>
      </c>
      <c r="AI77" s="211">
        <f t="shared" si="56"/>
        <v>0</v>
      </c>
      <c r="AJ77" s="211">
        <f t="shared" si="56"/>
        <v>0</v>
      </c>
      <c r="AK77" s="211">
        <f t="shared" si="56"/>
        <v>0</v>
      </c>
      <c r="AL77" s="211">
        <f t="shared" si="56"/>
        <v>0</v>
      </c>
      <c r="AM77" s="211">
        <f t="shared" si="56"/>
        <v>0</v>
      </c>
      <c r="AN77" s="211">
        <f t="shared" si="56"/>
        <v>0</v>
      </c>
    </row>
    <row r="78" spans="2:40" s="7" customFormat="1" ht="12" hidden="1" customHeight="1" outlineLevel="2">
      <c r="B78" s="245"/>
      <c r="C78" s="213" t="s">
        <v>759</v>
      </c>
      <c r="D78" s="213"/>
      <c r="E78" s="213"/>
      <c r="F78" s="213"/>
      <c r="G78" s="213"/>
      <c r="H78" s="213"/>
      <c r="I78" s="213"/>
      <c r="J78" s="213"/>
      <c r="K78" s="211">
        <f>INDEX($C$44:$AN$66,MATCH("New Customers One-Time",$C$44:$C$66,0),MATCH($C78,$C$44:$AN$44,0))</f>
        <v>1</v>
      </c>
      <c r="L78" s="211">
        <f t="shared" ref="L78:AN78" si="57">$K$78*(E70)</f>
        <v>0</v>
      </c>
      <c r="M78" s="211">
        <f t="shared" si="57"/>
        <v>0</v>
      </c>
      <c r="N78" s="211">
        <f t="shared" si="57"/>
        <v>0</v>
      </c>
      <c r="O78" s="211">
        <f t="shared" si="57"/>
        <v>0</v>
      </c>
      <c r="P78" s="211">
        <f t="shared" si="57"/>
        <v>0</v>
      </c>
      <c r="Q78" s="211">
        <f t="shared" si="57"/>
        <v>0</v>
      </c>
      <c r="R78" s="211">
        <f t="shared" si="57"/>
        <v>0</v>
      </c>
      <c r="S78" s="211">
        <f t="shared" si="57"/>
        <v>0</v>
      </c>
      <c r="T78" s="211">
        <f t="shared" si="57"/>
        <v>0</v>
      </c>
      <c r="U78" s="211">
        <f t="shared" si="57"/>
        <v>0</v>
      </c>
      <c r="V78" s="211">
        <f t="shared" si="57"/>
        <v>0</v>
      </c>
      <c r="W78" s="211">
        <f t="shared" si="57"/>
        <v>0</v>
      </c>
      <c r="X78" s="211">
        <f t="shared" si="57"/>
        <v>0</v>
      </c>
      <c r="Y78" s="211">
        <f t="shared" si="57"/>
        <v>0</v>
      </c>
      <c r="Z78" s="211">
        <f t="shared" si="57"/>
        <v>0</v>
      </c>
      <c r="AA78" s="211">
        <f t="shared" si="57"/>
        <v>0</v>
      </c>
      <c r="AB78" s="211">
        <f t="shared" si="57"/>
        <v>0</v>
      </c>
      <c r="AC78" s="211">
        <f t="shared" si="57"/>
        <v>0</v>
      </c>
      <c r="AD78" s="211">
        <f t="shared" si="57"/>
        <v>0</v>
      </c>
      <c r="AE78" s="211">
        <f t="shared" si="57"/>
        <v>0</v>
      </c>
      <c r="AF78" s="211">
        <f t="shared" si="57"/>
        <v>0</v>
      </c>
      <c r="AG78" s="211">
        <f t="shared" si="57"/>
        <v>0</v>
      </c>
      <c r="AH78" s="211">
        <f t="shared" si="57"/>
        <v>0</v>
      </c>
      <c r="AI78" s="211">
        <f t="shared" si="57"/>
        <v>0</v>
      </c>
      <c r="AJ78" s="211">
        <f t="shared" si="57"/>
        <v>0</v>
      </c>
      <c r="AK78" s="211">
        <f t="shared" si="57"/>
        <v>0</v>
      </c>
      <c r="AL78" s="211">
        <f t="shared" si="57"/>
        <v>0</v>
      </c>
      <c r="AM78" s="211">
        <f t="shared" si="57"/>
        <v>0</v>
      </c>
      <c r="AN78" s="211">
        <f t="shared" si="57"/>
        <v>0</v>
      </c>
    </row>
    <row r="79" spans="2:40" s="7" customFormat="1" ht="12" hidden="1" customHeight="1" outlineLevel="2">
      <c r="B79" s="245"/>
      <c r="C79" s="213" t="s">
        <v>760</v>
      </c>
      <c r="D79" s="213"/>
      <c r="E79" s="213"/>
      <c r="F79" s="213"/>
      <c r="G79" s="213"/>
      <c r="H79" s="213"/>
      <c r="I79" s="213"/>
      <c r="J79" s="213"/>
      <c r="K79" s="213"/>
      <c r="L79" s="211">
        <f>INDEX($C$44:$AN$66,MATCH("New Customers One-Time",$C$44:$C$66,0),MATCH($C79,$C$44:$AN$44,0))</f>
        <v>1</v>
      </c>
      <c r="M79" s="211">
        <f t="shared" ref="M79:AN79" si="58">$L$79*(E70)</f>
        <v>0</v>
      </c>
      <c r="N79" s="211">
        <f t="shared" si="58"/>
        <v>0</v>
      </c>
      <c r="O79" s="211">
        <f t="shared" si="58"/>
        <v>0</v>
      </c>
      <c r="P79" s="211">
        <f t="shared" si="58"/>
        <v>0</v>
      </c>
      <c r="Q79" s="211">
        <f t="shared" si="58"/>
        <v>0</v>
      </c>
      <c r="R79" s="211">
        <f t="shared" si="58"/>
        <v>0</v>
      </c>
      <c r="S79" s="211">
        <f t="shared" si="58"/>
        <v>0</v>
      </c>
      <c r="T79" s="211">
        <f t="shared" si="58"/>
        <v>0</v>
      </c>
      <c r="U79" s="211">
        <f t="shared" si="58"/>
        <v>0</v>
      </c>
      <c r="V79" s="211">
        <f t="shared" si="58"/>
        <v>0</v>
      </c>
      <c r="W79" s="211">
        <f t="shared" si="58"/>
        <v>0</v>
      </c>
      <c r="X79" s="211">
        <f t="shared" si="58"/>
        <v>0</v>
      </c>
      <c r="Y79" s="211">
        <f t="shared" si="58"/>
        <v>0</v>
      </c>
      <c r="Z79" s="211">
        <f t="shared" si="58"/>
        <v>0</v>
      </c>
      <c r="AA79" s="211">
        <f t="shared" si="58"/>
        <v>0</v>
      </c>
      <c r="AB79" s="211">
        <f t="shared" si="58"/>
        <v>0</v>
      </c>
      <c r="AC79" s="211">
        <f t="shared" si="58"/>
        <v>0</v>
      </c>
      <c r="AD79" s="211">
        <f t="shared" si="58"/>
        <v>0</v>
      </c>
      <c r="AE79" s="211">
        <f t="shared" si="58"/>
        <v>0</v>
      </c>
      <c r="AF79" s="211">
        <f t="shared" si="58"/>
        <v>0</v>
      </c>
      <c r="AG79" s="211">
        <f t="shared" si="58"/>
        <v>0</v>
      </c>
      <c r="AH79" s="211">
        <f t="shared" si="58"/>
        <v>0</v>
      </c>
      <c r="AI79" s="211">
        <f t="shared" si="58"/>
        <v>0</v>
      </c>
      <c r="AJ79" s="211">
        <f t="shared" si="58"/>
        <v>0</v>
      </c>
      <c r="AK79" s="211">
        <f t="shared" si="58"/>
        <v>0</v>
      </c>
      <c r="AL79" s="211">
        <f t="shared" si="58"/>
        <v>0</v>
      </c>
      <c r="AM79" s="211">
        <f t="shared" si="58"/>
        <v>0</v>
      </c>
      <c r="AN79" s="211">
        <f t="shared" si="58"/>
        <v>0</v>
      </c>
    </row>
    <row r="80" spans="2:40" s="7" customFormat="1" ht="12" hidden="1" customHeight="1" outlineLevel="2">
      <c r="B80" s="245"/>
      <c r="C80" s="213" t="s">
        <v>761</v>
      </c>
      <c r="D80" s="213"/>
      <c r="E80" s="213"/>
      <c r="F80" s="213"/>
      <c r="G80" s="213"/>
      <c r="H80" s="213"/>
      <c r="I80" s="213"/>
      <c r="J80" s="213"/>
      <c r="K80" s="213"/>
      <c r="L80" s="213"/>
      <c r="M80" s="211">
        <f>INDEX($C$44:$AN$66,MATCH("New Customers One-Time",$C$44:$C$66,0),MATCH($C80,$C$44:$AN$44,0))</f>
        <v>20.685579196217496</v>
      </c>
      <c r="N80" s="211">
        <f t="shared" ref="N80:AN80" si="59">$M$80*(E70)</f>
        <v>0</v>
      </c>
      <c r="O80" s="211">
        <f t="shared" si="59"/>
        <v>0</v>
      </c>
      <c r="P80" s="211">
        <f t="shared" si="59"/>
        <v>0</v>
      </c>
      <c r="Q80" s="211">
        <f t="shared" si="59"/>
        <v>0</v>
      </c>
      <c r="R80" s="211">
        <f t="shared" si="59"/>
        <v>0</v>
      </c>
      <c r="S80" s="211">
        <f t="shared" si="59"/>
        <v>0</v>
      </c>
      <c r="T80" s="211">
        <f t="shared" si="59"/>
        <v>0</v>
      </c>
      <c r="U80" s="211">
        <f t="shared" si="59"/>
        <v>0</v>
      </c>
      <c r="V80" s="211">
        <f t="shared" si="59"/>
        <v>0</v>
      </c>
      <c r="W80" s="211">
        <f t="shared" si="59"/>
        <v>0</v>
      </c>
      <c r="X80" s="211">
        <f t="shared" si="59"/>
        <v>0</v>
      </c>
      <c r="Y80" s="211">
        <f t="shared" si="59"/>
        <v>0</v>
      </c>
      <c r="Z80" s="211">
        <f t="shared" si="59"/>
        <v>0</v>
      </c>
      <c r="AA80" s="211">
        <f t="shared" si="59"/>
        <v>0</v>
      </c>
      <c r="AB80" s="211">
        <f t="shared" si="59"/>
        <v>0</v>
      </c>
      <c r="AC80" s="211">
        <f t="shared" si="59"/>
        <v>0</v>
      </c>
      <c r="AD80" s="211">
        <f t="shared" si="59"/>
        <v>0</v>
      </c>
      <c r="AE80" s="211">
        <f t="shared" si="59"/>
        <v>0</v>
      </c>
      <c r="AF80" s="211">
        <f t="shared" si="59"/>
        <v>0</v>
      </c>
      <c r="AG80" s="211">
        <f t="shared" si="59"/>
        <v>0</v>
      </c>
      <c r="AH80" s="211">
        <f t="shared" si="59"/>
        <v>0</v>
      </c>
      <c r="AI80" s="211">
        <f t="shared" si="59"/>
        <v>0</v>
      </c>
      <c r="AJ80" s="211">
        <f t="shared" si="59"/>
        <v>0</v>
      </c>
      <c r="AK80" s="211">
        <f t="shared" si="59"/>
        <v>0</v>
      </c>
      <c r="AL80" s="211">
        <f t="shared" si="59"/>
        <v>0</v>
      </c>
      <c r="AM80" s="211">
        <f t="shared" si="59"/>
        <v>0</v>
      </c>
      <c r="AN80" s="211">
        <f t="shared" si="59"/>
        <v>0</v>
      </c>
    </row>
    <row r="81" spans="2:40" s="7" customFormat="1" ht="12" hidden="1" customHeight="1" outlineLevel="2">
      <c r="B81" s="245"/>
      <c r="C81" s="213" t="s">
        <v>762</v>
      </c>
      <c r="D81" s="213"/>
      <c r="E81" s="213"/>
      <c r="F81" s="213"/>
      <c r="G81" s="213"/>
      <c r="H81" s="213"/>
      <c r="I81" s="213"/>
      <c r="J81" s="213"/>
      <c r="K81" s="213"/>
      <c r="L81" s="213"/>
      <c r="M81" s="213"/>
      <c r="N81" s="211">
        <f>INDEX($C$44:$AN$66,MATCH("New Customers One-Time",$C$44:$C$66,0),MATCH($C81,$C$44:$AN$44,0))</f>
        <v>20.685579196217496</v>
      </c>
      <c r="O81" s="211">
        <f t="shared" ref="O81:AN81" si="60">$N$81*(E70)</f>
        <v>0</v>
      </c>
      <c r="P81" s="211">
        <f t="shared" si="60"/>
        <v>0</v>
      </c>
      <c r="Q81" s="211">
        <f t="shared" si="60"/>
        <v>0</v>
      </c>
      <c r="R81" s="211">
        <f t="shared" si="60"/>
        <v>0</v>
      </c>
      <c r="S81" s="211">
        <f t="shared" si="60"/>
        <v>0</v>
      </c>
      <c r="T81" s="211">
        <f t="shared" si="60"/>
        <v>0</v>
      </c>
      <c r="U81" s="211">
        <f t="shared" si="60"/>
        <v>0</v>
      </c>
      <c r="V81" s="211">
        <f t="shared" si="60"/>
        <v>0</v>
      </c>
      <c r="W81" s="211">
        <f t="shared" si="60"/>
        <v>0</v>
      </c>
      <c r="X81" s="211">
        <f t="shared" si="60"/>
        <v>0</v>
      </c>
      <c r="Y81" s="211">
        <f t="shared" si="60"/>
        <v>0</v>
      </c>
      <c r="Z81" s="211">
        <f t="shared" si="60"/>
        <v>0</v>
      </c>
      <c r="AA81" s="211">
        <f t="shared" si="60"/>
        <v>0</v>
      </c>
      <c r="AB81" s="211">
        <f t="shared" si="60"/>
        <v>0</v>
      </c>
      <c r="AC81" s="211">
        <f t="shared" si="60"/>
        <v>0</v>
      </c>
      <c r="AD81" s="211">
        <f t="shared" si="60"/>
        <v>0</v>
      </c>
      <c r="AE81" s="211">
        <f t="shared" si="60"/>
        <v>0</v>
      </c>
      <c r="AF81" s="211">
        <f t="shared" si="60"/>
        <v>0</v>
      </c>
      <c r="AG81" s="211">
        <f t="shared" si="60"/>
        <v>0</v>
      </c>
      <c r="AH81" s="211">
        <f t="shared" si="60"/>
        <v>0</v>
      </c>
      <c r="AI81" s="211">
        <f t="shared" si="60"/>
        <v>0</v>
      </c>
      <c r="AJ81" s="211">
        <f t="shared" si="60"/>
        <v>0</v>
      </c>
      <c r="AK81" s="211">
        <f t="shared" si="60"/>
        <v>0</v>
      </c>
      <c r="AL81" s="211">
        <f t="shared" si="60"/>
        <v>0</v>
      </c>
      <c r="AM81" s="211">
        <f t="shared" si="60"/>
        <v>0</v>
      </c>
      <c r="AN81" s="211">
        <f t="shared" si="60"/>
        <v>0</v>
      </c>
    </row>
    <row r="82" spans="2:40" s="7" customFormat="1" ht="12" hidden="1" customHeight="1" outlineLevel="2">
      <c r="B82" s="245"/>
      <c r="C82" s="213" t="s">
        <v>763</v>
      </c>
      <c r="D82" s="213"/>
      <c r="E82" s="213"/>
      <c r="F82" s="213"/>
      <c r="G82" s="213"/>
      <c r="H82" s="213"/>
      <c r="I82" s="213"/>
      <c r="J82" s="213"/>
      <c r="K82" s="213"/>
      <c r="L82" s="213"/>
      <c r="M82" s="213"/>
      <c r="N82" s="213"/>
      <c r="O82" s="211">
        <f>INDEX($C$44:$AN$66,MATCH("New Customers One-Time",$C$44:$C$66,0),MATCH($C82,$C$44:$AN$44,0))</f>
        <v>8.8652482269503547</v>
      </c>
      <c r="P82" s="211">
        <f t="shared" ref="P82:AN82" si="61">$O$82*(E70)</f>
        <v>0</v>
      </c>
      <c r="Q82" s="211">
        <f t="shared" si="61"/>
        <v>0</v>
      </c>
      <c r="R82" s="211">
        <f t="shared" si="61"/>
        <v>0</v>
      </c>
      <c r="S82" s="211">
        <f t="shared" si="61"/>
        <v>0</v>
      </c>
      <c r="T82" s="211">
        <f t="shared" si="61"/>
        <v>0</v>
      </c>
      <c r="U82" s="211">
        <f t="shared" si="61"/>
        <v>0</v>
      </c>
      <c r="V82" s="211">
        <f t="shared" si="61"/>
        <v>0</v>
      </c>
      <c r="W82" s="211">
        <f t="shared" si="61"/>
        <v>0</v>
      </c>
      <c r="X82" s="211">
        <f t="shared" si="61"/>
        <v>0</v>
      </c>
      <c r="Y82" s="211">
        <f t="shared" si="61"/>
        <v>0</v>
      </c>
      <c r="Z82" s="211">
        <f t="shared" si="61"/>
        <v>0</v>
      </c>
      <c r="AA82" s="211">
        <f t="shared" si="61"/>
        <v>0</v>
      </c>
      <c r="AB82" s="211">
        <f t="shared" si="61"/>
        <v>0</v>
      </c>
      <c r="AC82" s="211">
        <f t="shared" si="61"/>
        <v>0</v>
      </c>
      <c r="AD82" s="211">
        <f t="shared" si="61"/>
        <v>0</v>
      </c>
      <c r="AE82" s="211">
        <f t="shared" si="61"/>
        <v>0</v>
      </c>
      <c r="AF82" s="211">
        <f t="shared" si="61"/>
        <v>0</v>
      </c>
      <c r="AG82" s="211">
        <f t="shared" si="61"/>
        <v>0</v>
      </c>
      <c r="AH82" s="211">
        <f t="shared" si="61"/>
        <v>0</v>
      </c>
      <c r="AI82" s="211">
        <f t="shared" si="61"/>
        <v>0</v>
      </c>
      <c r="AJ82" s="211">
        <f t="shared" si="61"/>
        <v>0</v>
      </c>
      <c r="AK82" s="211">
        <f t="shared" si="61"/>
        <v>0</v>
      </c>
      <c r="AL82" s="211">
        <f t="shared" si="61"/>
        <v>0</v>
      </c>
      <c r="AM82" s="211">
        <f t="shared" si="61"/>
        <v>0</v>
      </c>
      <c r="AN82" s="211">
        <f t="shared" si="61"/>
        <v>0</v>
      </c>
    </row>
    <row r="83" spans="2:40" s="7" customFormat="1" ht="12" hidden="1" customHeight="1" outlineLevel="2">
      <c r="B83" s="245"/>
      <c r="C83" s="213" t="s">
        <v>764</v>
      </c>
      <c r="D83" s="213"/>
      <c r="E83" s="213"/>
      <c r="F83" s="213"/>
      <c r="G83" s="213"/>
      <c r="H83" s="213"/>
      <c r="I83" s="213"/>
      <c r="J83" s="213"/>
      <c r="K83" s="213"/>
      <c r="L83" s="213"/>
      <c r="M83" s="213"/>
      <c r="N83" s="213"/>
      <c r="O83" s="213"/>
      <c r="P83" s="211">
        <f>INDEX($C$44:$AN$66,MATCH("New Customers One-Time",$C$44:$C$66,0),MATCH($C83,$C$44:$AN$44,0))</f>
        <v>8.8652482269503547</v>
      </c>
      <c r="Q83" s="211">
        <f t="shared" ref="Q83:AN83" si="62">$P$83*(E70)</f>
        <v>0</v>
      </c>
      <c r="R83" s="211">
        <f t="shared" si="62"/>
        <v>0</v>
      </c>
      <c r="S83" s="211">
        <f t="shared" si="62"/>
        <v>0</v>
      </c>
      <c r="T83" s="211">
        <f t="shared" si="62"/>
        <v>0</v>
      </c>
      <c r="U83" s="211">
        <f t="shared" si="62"/>
        <v>0</v>
      </c>
      <c r="V83" s="211">
        <f t="shared" si="62"/>
        <v>0</v>
      </c>
      <c r="W83" s="211">
        <f t="shared" si="62"/>
        <v>0</v>
      </c>
      <c r="X83" s="211">
        <f t="shared" si="62"/>
        <v>0</v>
      </c>
      <c r="Y83" s="211">
        <f t="shared" si="62"/>
        <v>0</v>
      </c>
      <c r="Z83" s="211">
        <f t="shared" si="62"/>
        <v>0</v>
      </c>
      <c r="AA83" s="211">
        <f t="shared" si="62"/>
        <v>0</v>
      </c>
      <c r="AB83" s="211">
        <f t="shared" si="62"/>
        <v>0</v>
      </c>
      <c r="AC83" s="211">
        <f t="shared" si="62"/>
        <v>0</v>
      </c>
      <c r="AD83" s="211">
        <f t="shared" si="62"/>
        <v>0</v>
      </c>
      <c r="AE83" s="211">
        <f t="shared" si="62"/>
        <v>0</v>
      </c>
      <c r="AF83" s="211">
        <f t="shared" si="62"/>
        <v>0</v>
      </c>
      <c r="AG83" s="211">
        <f t="shared" si="62"/>
        <v>0</v>
      </c>
      <c r="AH83" s="211">
        <f t="shared" si="62"/>
        <v>0</v>
      </c>
      <c r="AI83" s="211">
        <f t="shared" si="62"/>
        <v>0</v>
      </c>
      <c r="AJ83" s="211">
        <f t="shared" si="62"/>
        <v>0</v>
      </c>
      <c r="AK83" s="211">
        <f t="shared" si="62"/>
        <v>0</v>
      </c>
      <c r="AL83" s="211">
        <f t="shared" si="62"/>
        <v>0</v>
      </c>
      <c r="AM83" s="211">
        <f t="shared" si="62"/>
        <v>0</v>
      </c>
      <c r="AN83" s="211">
        <f t="shared" si="62"/>
        <v>0</v>
      </c>
    </row>
    <row r="84" spans="2:40" s="7" customFormat="1" ht="12" hidden="1" customHeight="1" outlineLevel="2">
      <c r="B84" s="245"/>
      <c r="C84" s="213" t="s">
        <v>765</v>
      </c>
      <c r="D84" s="213"/>
      <c r="E84" s="213"/>
      <c r="F84" s="213"/>
      <c r="G84" s="213"/>
      <c r="H84" s="213"/>
      <c r="I84" s="213"/>
      <c r="J84" s="213"/>
      <c r="K84" s="213"/>
      <c r="L84" s="213"/>
      <c r="M84" s="213"/>
      <c r="N84" s="213"/>
      <c r="O84" s="213"/>
      <c r="P84" s="213"/>
      <c r="Q84" s="211">
        <f>INDEX($C$44:$AN$66,MATCH("New Customers One-Time",$C$44:$C$66,0),MATCH($C84,$C$44:$AN$44,0))</f>
        <v>0</v>
      </c>
      <c r="R84" s="211">
        <f t="shared" ref="R84:AN84" si="63">$Q$84*(E70)</f>
        <v>0</v>
      </c>
      <c r="S84" s="211">
        <f t="shared" si="63"/>
        <v>0</v>
      </c>
      <c r="T84" s="211">
        <f t="shared" si="63"/>
        <v>0</v>
      </c>
      <c r="U84" s="211">
        <f t="shared" si="63"/>
        <v>0</v>
      </c>
      <c r="V84" s="211">
        <f t="shared" si="63"/>
        <v>0</v>
      </c>
      <c r="W84" s="211">
        <f t="shared" si="63"/>
        <v>0</v>
      </c>
      <c r="X84" s="211">
        <f t="shared" si="63"/>
        <v>0</v>
      </c>
      <c r="Y84" s="211">
        <f t="shared" si="63"/>
        <v>0</v>
      </c>
      <c r="Z84" s="211">
        <f t="shared" si="63"/>
        <v>0</v>
      </c>
      <c r="AA84" s="211">
        <f t="shared" si="63"/>
        <v>0</v>
      </c>
      <c r="AB84" s="211">
        <f t="shared" si="63"/>
        <v>0</v>
      </c>
      <c r="AC84" s="211">
        <f t="shared" si="63"/>
        <v>0</v>
      </c>
      <c r="AD84" s="211">
        <f t="shared" si="63"/>
        <v>0</v>
      </c>
      <c r="AE84" s="211">
        <f t="shared" si="63"/>
        <v>0</v>
      </c>
      <c r="AF84" s="211">
        <f t="shared" si="63"/>
        <v>0</v>
      </c>
      <c r="AG84" s="211">
        <f t="shared" si="63"/>
        <v>0</v>
      </c>
      <c r="AH84" s="211">
        <f t="shared" si="63"/>
        <v>0</v>
      </c>
      <c r="AI84" s="211">
        <f t="shared" si="63"/>
        <v>0</v>
      </c>
      <c r="AJ84" s="211">
        <f t="shared" si="63"/>
        <v>0</v>
      </c>
      <c r="AK84" s="211">
        <f t="shared" si="63"/>
        <v>0</v>
      </c>
      <c r="AL84" s="211">
        <f t="shared" si="63"/>
        <v>0</v>
      </c>
      <c r="AM84" s="211">
        <f t="shared" si="63"/>
        <v>0</v>
      </c>
      <c r="AN84" s="211">
        <f t="shared" si="63"/>
        <v>0</v>
      </c>
    </row>
    <row r="85" spans="2:40" s="7" customFormat="1" ht="12" hidden="1" customHeight="1" outlineLevel="2">
      <c r="B85" s="245"/>
      <c r="C85" s="213" t="s">
        <v>766</v>
      </c>
      <c r="D85" s="213"/>
      <c r="E85" s="213"/>
      <c r="F85" s="213"/>
      <c r="G85" s="213"/>
      <c r="H85" s="213"/>
      <c r="I85" s="213"/>
      <c r="J85" s="213"/>
      <c r="K85" s="213"/>
      <c r="L85" s="213"/>
      <c r="M85" s="213"/>
      <c r="N85" s="213"/>
      <c r="O85" s="213"/>
      <c r="P85" s="213"/>
      <c r="Q85" s="213"/>
      <c r="R85" s="211">
        <f>INDEX($C$44:$AN$66,MATCH("New Customers One-Time",$C$44:$C$66,0),MATCH($C85,$C$44:$AN$44,0))</f>
        <v>0</v>
      </c>
      <c r="S85" s="211">
        <f t="shared" ref="S85:AN85" si="64">$R$85*(E70)</f>
        <v>0</v>
      </c>
      <c r="T85" s="211">
        <f t="shared" si="64"/>
        <v>0</v>
      </c>
      <c r="U85" s="211">
        <f t="shared" si="64"/>
        <v>0</v>
      </c>
      <c r="V85" s="211">
        <f t="shared" si="64"/>
        <v>0</v>
      </c>
      <c r="W85" s="211">
        <f t="shared" si="64"/>
        <v>0</v>
      </c>
      <c r="X85" s="211">
        <f t="shared" si="64"/>
        <v>0</v>
      </c>
      <c r="Y85" s="211">
        <f t="shared" si="64"/>
        <v>0</v>
      </c>
      <c r="Z85" s="211">
        <f t="shared" si="64"/>
        <v>0</v>
      </c>
      <c r="AA85" s="211">
        <f t="shared" si="64"/>
        <v>0</v>
      </c>
      <c r="AB85" s="211">
        <f t="shared" si="64"/>
        <v>0</v>
      </c>
      <c r="AC85" s="211">
        <f t="shared" si="64"/>
        <v>0</v>
      </c>
      <c r="AD85" s="211">
        <f t="shared" si="64"/>
        <v>0</v>
      </c>
      <c r="AE85" s="211">
        <f t="shared" si="64"/>
        <v>0</v>
      </c>
      <c r="AF85" s="211">
        <f t="shared" si="64"/>
        <v>0</v>
      </c>
      <c r="AG85" s="211">
        <f t="shared" si="64"/>
        <v>0</v>
      </c>
      <c r="AH85" s="211">
        <f t="shared" si="64"/>
        <v>0</v>
      </c>
      <c r="AI85" s="211">
        <f t="shared" si="64"/>
        <v>0</v>
      </c>
      <c r="AJ85" s="211">
        <f t="shared" si="64"/>
        <v>0</v>
      </c>
      <c r="AK85" s="211">
        <f t="shared" si="64"/>
        <v>0</v>
      </c>
      <c r="AL85" s="211">
        <f t="shared" si="64"/>
        <v>0</v>
      </c>
      <c r="AM85" s="211">
        <f t="shared" si="64"/>
        <v>0</v>
      </c>
      <c r="AN85" s="211">
        <f t="shared" si="64"/>
        <v>0</v>
      </c>
    </row>
    <row r="86" spans="2:40" s="7" customFormat="1" ht="12" hidden="1" customHeight="1" outlineLevel="2">
      <c r="B86" s="245"/>
      <c r="C86" s="213" t="s">
        <v>767</v>
      </c>
      <c r="D86" s="213"/>
      <c r="E86" s="213"/>
      <c r="F86" s="213"/>
      <c r="G86" s="213"/>
      <c r="H86" s="213"/>
      <c r="I86" s="213"/>
      <c r="J86" s="213"/>
      <c r="K86" s="213"/>
      <c r="L86" s="213"/>
      <c r="M86" s="213"/>
      <c r="N86" s="213"/>
      <c r="O86" s="213"/>
      <c r="P86" s="213"/>
      <c r="Q86" s="213"/>
      <c r="R86" s="213"/>
      <c r="S86" s="211">
        <f>INDEX($C$44:$AN$66,MATCH("New Customers One-Time",$C$44:$C$66,0),MATCH($C86,$C$44:$AN$44,0))</f>
        <v>16.712765957446809</v>
      </c>
      <c r="T86" s="211">
        <f t="shared" ref="T86:AN86" si="65">$S$86*(E70)</f>
        <v>0</v>
      </c>
      <c r="U86" s="211">
        <f t="shared" si="65"/>
        <v>0</v>
      </c>
      <c r="V86" s="211">
        <f t="shared" si="65"/>
        <v>0</v>
      </c>
      <c r="W86" s="211">
        <f t="shared" si="65"/>
        <v>0</v>
      </c>
      <c r="X86" s="211">
        <f t="shared" si="65"/>
        <v>0</v>
      </c>
      <c r="Y86" s="211">
        <f t="shared" si="65"/>
        <v>0</v>
      </c>
      <c r="Z86" s="211">
        <f t="shared" si="65"/>
        <v>0</v>
      </c>
      <c r="AA86" s="211">
        <f t="shared" si="65"/>
        <v>0</v>
      </c>
      <c r="AB86" s="211">
        <f t="shared" si="65"/>
        <v>0</v>
      </c>
      <c r="AC86" s="211">
        <f t="shared" si="65"/>
        <v>0</v>
      </c>
      <c r="AD86" s="211">
        <f t="shared" si="65"/>
        <v>0</v>
      </c>
      <c r="AE86" s="211">
        <f t="shared" si="65"/>
        <v>0</v>
      </c>
      <c r="AF86" s="211">
        <f t="shared" si="65"/>
        <v>0</v>
      </c>
      <c r="AG86" s="211">
        <f t="shared" si="65"/>
        <v>0</v>
      </c>
      <c r="AH86" s="211">
        <f t="shared" si="65"/>
        <v>0</v>
      </c>
      <c r="AI86" s="211">
        <f t="shared" si="65"/>
        <v>0</v>
      </c>
      <c r="AJ86" s="211">
        <f t="shared" si="65"/>
        <v>0</v>
      </c>
      <c r="AK86" s="211">
        <f t="shared" si="65"/>
        <v>0</v>
      </c>
      <c r="AL86" s="211">
        <f t="shared" si="65"/>
        <v>0</v>
      </c>
      <c r="AM86" s="211">
        <f t="shared" si="65"/>
        <v>0</v>
      </c>
      <c r="AN86" s="211">
        <f t="shared" si="65"/>
        <v>0</v>
      </c>
    </row>
    <row r="87" spans="2:40" s="7" customFormat="1" ht="12" hidden="1" customHeight="1" outlineLevel="2">
      <c r="B87" s="245"/>
      <c r="C87" s="213" t="s">
        <v>768</v>
      </c>
      <c r="D87" s="213"/>
      <c r="E87" s="213"/>
      <c r="F87" s="213"/>
      <c r="G87" s="213"/>
      <c r="H87" s="213"/>
      <c r="I87" s="213"/>
      <c r="J87" s="213"/>
      <c r="K87" s="213"/>
      <c r="L87" s="213"/>
      <c r="M87" s="213"/>
      <c r="N87" s="213"/>
      <c r="O87" s="213"/>
      <c r="P87" s="213"/>
      <c r="Q87" s="213"/>
      <c r="R87" s="213"/>
      <c r="S87" s="213"/>
      <c r="T87" s="211">
        <f>INDEX($C$44:$AN$66,MATCH("New Customers One-Time",$C$44:$C$66,0),MATCH($C87,$C$44:$AN$44,0))</f>
        <v>12.292848699763596</v>
      </c>
      <c r="U87" s="211">
        <f t="shared" ref="U87:AN87" si="66">$T$87*(E70)</f>
        <v>0</v>
      </c>
      <c r="V87" s="211">
        <f t="shared" si="66"/>
        <v>0</v>
      </c>
      <c r="W87" s="211">
        <f t="shared" si="66"/>
        <v>0</v>
      </c>
      <c r="X87" s="211">
        <f t="shared" si="66"/>
        <v>0</v>
      </c>
      <c r="Y87" s="211">
        <f t="shared" si="66"/>
        <v>0</v>
      </c>
      <c r="Z87" s="211">
        <f t="shared" si="66"/>
        <v>0</v>
      </c>
      <c r="AA87" s="211">
        <f t="shared" si="66"/>
        <v>0</v>
      </c>
      <c r="AB87" s="211">
        <f t="shared" si="66"/>
        <v>0</v>
      </c>
      <c r="AC87" s="211">
        <f t="shared" si="66"/>
        <v>0</v>
      </c>
      <c r="AD87" s="211">
        <f t="shared" si="66"/>
        <v>0</v>
      </c>
      <c r="AE87" s="211">
        <f t="shared" si="66"/>
        <v>0</v>
      </c>
      <c r="AF87" s="211">
        <f t="shared" si="66"/>
        <v>0</v>
      </c>
      <c r="AG87" s="211">
        <f t="shared" si="66"/>
        <v>0</v>
      </c>
      <c r="AH87" s="211">
        <f t="shared" si="66"/>
        <v>0</v>
      </c>
      <c r="AI87" s="211">
        <f t="shared" si="66"/>
        <v>0</v>
      </c>
      <c r="AJ87" s="211">
        <f t="shared" si="66"/>
        <v>0</v>
      </c>
      <c r="AK87" s="211">
        <f t="shared" si="66"/>
        <v>0</v>
      </c>
      <c r="AL87" s="211">
        <f t="shared" si="66"/>
        <v>0</v>
      </c>
      <c r="AM87" s="211">
        <f t="shared" si="66"/>
        <v>0</v>
      </c>
      <c r="AN87" s="211">
        <f t="shared" si="66"/>
        <v>0</v>
      </c>
    </row>
    <row r="88" spans="2:40" s="7" customFormat="1" ht="12" hidden="1" customHeight="1" outlineLevel="2">
      <c r="B88" s="245"/>
      <c r="C88" s="213" t="s">
        <v>769</v>
      </c>
      <c r="D88" s="213"/>
      <c r="E88" s="213"/>
      <c r="F88" s="213"/>
      <c r="G88" s="213"/>
      <c r="H88" s="213"/>
      <c r="I88" s="213"/>
      <c r="J88" s="213"/>
      <c r="K88" s="213"/>
      <c r="L88" s="213"/>
      <c r="M88" s="213"/>
      <c r="N88" s="213"/>
      <c r="O88" s="213"/>
      <c r="P88" s="213"/>
      <c r="Q88" s="213"/>
      <c r="R88" s="213"/>
      <c r="S88" s="213"/>
      <c r="T88" s="213"/>
      <c r="U88" s="211">
        <f>INDEX($C$44:$AN$66,MATCH("New Customers One-Time",$C$44:$C$66,0),MATCH($C88,$C$44:$AN$44,0))</f>
        <v>13.736347517730499</v>
      </c>
      <c r="V88" s="211">
        <f t="shared" ref="V88:AN88" si="67">$U$88*(E70)</f>
        <v>0</v>
      </c>
      <c r="W88" s="211">
        <f t="shared" si="67"/>
        <v>0</v>
      </c>
      <c r="X88" s="211">
        <f t="shared" si="67"/>
        <v>0</v>
      </c>
      <c r="Y88" s="211">
        <f t="shared" si="67"/>
        <v>0</v>
      </c>
      <c r="Z88" s="211">
        <f t="shared" si="67"/>
        <v>0</v>
      </c>
      <c r="AA88" s="211">
        <f t="shared" si="67"/>
        <v>0</v>
      </c>
      <c r="AB88" s="211">
        <f t="shared" si="67"/>
        <v>0</v>
      </c>
      <c r="AC88" s="211">
        <f t="shared" si="67"/>
        <v>0</v>
      </c>
      <c r="AD88" s="211">
        <f t="shared" si="67"/>
        <v>0</v>
      </c>
      <c r="AE88" s="211">
        <f t="shared" si="67"/>
        <v>0</v>
      </c>
      <c r="AF88" s="211">
        <f t="shared" si="67"/>
        <v>0</v>
      </c>
      <c r="AG88" s="211">
        <f t="shared" si="67"/>
        <v>0</v>
      </c>
      <c r="AH88" s="211">
        <f t="shared" si="67"/>
        <v>0</v>
      </c>
      <c r="AI88" s="211">
        <f t="shared" si="67"/>
        <v>0</v>
      </c>
      <c r="AJ88" s="211">
        <f t="shared" si="67"/>
        <v>0</v>
      </c>
      <c r="AK88" s="211">
        <f t="shared" si="67"/>
        <v>0</v>
      </c>
      <c r="AL88" s="211">
        <f t="shared" si="67"/>
        <v>0</v>
      </c>
      <c r="AM88" s="211">
        <f t="shared" si="67"/>
        <v>0</v>
      </c>
      <c r="AN88" s="211">
        <f t="shared" si="67"/>
        <v>0</v>
      </c>
    </row>
    <row r="89" spans="2:40" s="7" customFormat="1" ht="12" hidden="1" customHeight="1" outlineLevel="2">
      <c r="B89" s="245"/>
      <c r="C89" s="213" t="s">
        <v>770</v>
      </c>
      <c r="D89" s="213"/>
      <c r="E89" s="213"/>
      <c r="F89" s="213"/>
      <c r="G89" s="213"/>
      <c r="H89" s="213"/>
      <c r="I89" s="213"/>
      <c r="J89" s="213"/>
      <c r="K89" s="213"/>
      <c r="L89" s="213"/>
      <c r="M89" s="213"/>
      <c r="N89" s="213"/>
      <c r="O89" s="213"/>
      <c r="P89" s="213"/>
      <c r="Q89" s="213"/>
      <c r="R89" s="213"/>
      <c r="S89" s="213"/>
      <c r="T89" s="213"/>
      <c r="U89" s="213"/>
      <c r="V89" s="211">
        <f>INDEX($C$44:$AN$66,MATCH("New Customers One-Time",$C$44:$C$66,0),MATCH($C89,$C$44:$AN$44,0))</f>
        <v>17.694917257683219</v>
      </c>
      <c r="W89" s="211">
        <f t="shared" ref="W89:AN89" si="68">$V$89*(E70)</f>
        <v>0</v>
      </c>
      <c r="X89" s="211">
        <f t="shared" si="68"/>
        <v>0</v>
      </c>
      <c r="Y89" s="211">
        <f t="shared" si="68"/>
        <v>0</v>
      </c>
      <c r="Z89" s="211">
        <f t="shared" si="68"/>
        <v>0</v>
      </c>
      <c r="AA89" s="211">
        <f t="shared" si="68"/>
        <v>0</v>
      </c>
      <c r="AB89" s="211">
        <f t="shared" si="68"/>
        <v>0</v>
      </c>
      <c r="AC89" s="211">
        <f t="shared" si="68"/>
        <v>0</v>
      </c>
      <c r="AD89" s="211">
        <f t="shared" si="68"/>
        <v>0</v>
      </c>
      <c r="AE89" s="211">
        <f t="shared" si="68"/>
        <v>0</v>
      </c>
      <c r="AF89" s="211">
        <f t="shared" si="68"/>
        <v>0</v>
      </c>
      <c r="AG89" s="211">
        <f t="shared" si="68"/>
        <v>0</v>
      </c>
      <c r="AH89" s="211">
        <f t="shared" si="68"/>
        <v>0</v>
      </c>
      <c r="AI89" s="211">
        <f t="shared" si="68"/>
        <v>0</v>
      </c>
      <c r="AJ89" s="211">
        <f t="shared" si="68"/>
        <v>0</v>
      </c>
      <c r="AK89" s="211">
        <f t="shared" si="68"/>
        <v>0</v>
      </c>
      <c r="AL89" s="211">
        <f t="shared" si="68"/>
        <v>0</v>
      </c>
      <c r="AM89" s="211">
        <f t="shared" si="68"/>
        <v>0</v>
      </c>
      <c r="AN89" s="211">
        <f t="shared" si="68"/>
        <v>0</v>
      </c>
    </row>
    <row r="90" spans="2:40" s="7" customFormat="1" ht="12" hidden="1" customHeight="1" outlineLevel="2">
      <c r="B90" s="245"/>
      <c r="C90" s="213" t="s">
        <v>771</v>
      </c>
      <c r="D90" s="213"/>
      <c r="E90" s="213"/>
      <c r="F90" s="213"/>
      <c r="G90" s="213"/>
      <c r="H90" s="213"/>
      <c r="I90" s="213"/>
      <c r="J90" s="213"/>
      <c r="K90" s="213"/>
      <c r="L90" s="213"/>
      <c r="M90" s="213"/>
      <c r="N90" s="213"/>
      <c r="O90" s="213"/>
      <c r="P90" s="213"/>
      <c r="Q90" s="213"/>
      <c r="R90" s="213"/>
      <c r="S90" s="213"/>
      <c r="T90" s="213"/>
      <c r="U90" s="213"/>
      <c r="V90" s="213"/>
      <c r="W90" s="211">
        <f>INDEX($C$44:$AN$66,MATCH("New Customers One-Time",$C$44:$C$66,0),MATCH($C90,$C$44:$AN$44,0))</f>
        <v>15.714042553191488</v>
      </c>
      <c r="X90" s="211">
        <f t="shared" ref="X90:AN90" si="69">$W$90*(E70)</f>
        <v>0</v>
      </c>
      <c r="Y90" s="211">
        <f t="shared" si="69"/>
        <v>0</v>
      </c>
      <c r="Z90" s="211">
        <f t="shared" si="69"/>
        <v>0</v>
      </c>
      <c r="AA90" s="211">
        <f t="shared" si="69"/>
        <v>0</v>
      </c>
      <c r="AB90" s="211">
        <f t="shared" si="69"/>
        <v>0</v>
      </c>
      <c r="AC90" s="211">
        <f t="shared" si="69"/>
        <v>0</v>
      </c>
      <c r="AD90" s="211">
        <f t="shared" si="69"/>
        <v>0</v>
      </c>
      <c r="AE90" s="211">
        <f t="shared" si="69"/>
        <v>0</v>
      </c>
      <c r="AF90" s="211">
        <f t="shared" si="69"/>
        <v>0</v>
      </c>
      <c r="AG90" s="211">
        <f t="shared" si="69"/>
        <v>0</v>
      </c>
      <c r="AH90" s="211">
        <f t="shared" si="69"/>
        <v>0</v>
      </c>
      <c r="AI90" s="211">
        <f t="shared" si="69"/>
        <v>0</v>
      </c>
      <c r="AJ90" s="211">
        <f t="shared" si="69"/>
        <v>0</v>
      </c>
      <c r="AK90" s="211">
        <f t="shared" si="69"/>
        <v>0</v>
      </c>
      <c r="AL90" s="211">
        <f t="shared" si="69"/>
        <v>0</v>
      </c>
      <c r="AM90" s="211">
        <f t="shared" si="69"/>
        <v>0</v>
      </c>
      <c r="AN90" s="211">
        <f t="shared" si="69"/>
        <v>0</v>
      </c>
    </row>
    <row r="91" spans="2:40" s="7" customFormat="1" ht="12" hidden="1" customHeight="1" outlineLevel="2">
      <c r="B91" s="245"/>
      <c r="C91" s="213" t="s">
        <v>772</v>
      </c>
      <c r="D91" s="213"/>
      <c r="E91" s="213"/>
      <c r="F91" s="213"/>
      <c r="G91" s="213"/>
      <c r="H91" s="213"/>
      <c r="I91" s="213"/>
      <c r="J91" s="213"/>
      <c r="K91" s="213"/>
      <c r="L91" s="213"/>
      <c r="M91" s="213"/>
      <c r="N91" s="213"/>
      <c r="O91" s="213"/>
      <c r="P91" s="213"/>
      <c r="Q91" s="213"/>
      <c r="R91" s="213"/>
      <c r="S91" s="213"/>
      <c r="T91" s="213"/>
      <c r="U91" s="213"/>
      <c r="V91" s="213"/>
      <c r="W91" s="213"/>
      <c r="X91" s="211">
        <f>INDEX($C$44:$AN$66,MATCH("New Customers One-Time",$C$44:$C$66,0),MATCH($C91,$C$44:$AN$44,0))</f>
        <v>13.512482269503547</v>
      </c>
      <c r="Y91" s="211">
        <f t="shared" ref="Y91:AN91" si="70">$X$91*(E70)</f>
        <v>0</v>
      </c>
      <c r="Z91" s="211">
        <f t="shared" si="70"/>
        <v>0</v>
      </c>
      <c r="AA91" s="211">
        <f t="shared" si="70"/>
        <v>0</v>
      </c>
      <c r="AB91" s="211">
        <f t="shared" si="70"/>
        <v>0</v>
      </c>
      <c r="AC91" s="211">
        <f t="shared" si="70"/>
        <v>0</v>
      </c>
      <c r="AD91" s="211">
        <f t="shared" si="70"/>
        <v>0</v>
      </c>
      <c r="AE91" s="211">
        <f t="shared" si="70"/>
        <v>0</v>
      </c>
      <c r="AF91" s="211">
        <f t="shared" si="70"/>
        <v>0</v>
      </c>
      <c r="AG91" s="211">
        <f t="shared" si="70"/>
        <v>0</v>
      </c>
      <c r="AH91" s="211">
        <f t="shared" si="70"/>
        <v>0</v>
      </c>
      <c r="AI91" s="211">
        <f t="shared" si="70"/>
        <v>0</v>
      </c>
      <c r="AJ91" s="211">
        <f t="shared" si="70"/>
        <v>0</v>
      </c>
      <c r="AK91" s="211">
        <f t="shared" si="70"/>
        <v>0</v>
      </c>
      <c r="AL91" s="211">
        <f t="shared" si="70"/>
        <v>0</v>
      </c>
      <c r="AM91" s="211">
        <f t="shared" si="70"/>
        <v>0</v>
      </c>
      <c r="AN91" s="211">
        <f t="shared" si="70"/>
        <v>0</v>
      </c>
    </row>
    <row r="92" spans="2:40" s="7" customFormat="1" ht="12" hidden="1" customHeight="1" outlineLevel="2">
      <c r="B92" s="245"/>
      <c r="C92" s="213" t="s">
        <v>773</v>
      </c>
      <c r="D92" s="213"/>
      <c r="E92" s="213"/>
      <c r="F92" s="213"/>
      <c r="G92" s="213"/>
      <c r="H92" s="213"/>
      <c r="I92" s="213"/>
      <c r="J92" s="213"/>
      <c r="K92" s="213"/>
      <c r="L92" s="213"/>
      <c r="M92" s="213"/>
      <c r="N92" s="213"/>
      <c r="O92" s="213"/>
      <c r="P92" s="213"/>
      <c r="Q92" s="213"/>
      <c r="R92" s="213"/>
      <c r="S92" s="213"/>
      <c r="T92" s="213"/>
      <c r="U92" s="213"/>
      <c r="V92" s="213"/>
      <c r="W92" s="213"/>
      <c r="X92" s="213"/>
      <c r="Y92" s="211">
        <f>INDEX($C$44:$AN$66,MATCH("New Customers One-Time",$C$44:$C$66,0),MATCH($C92,$C$44:$AN$44,0))</f>
        <v>24.822695035460995</v>
      </c>
      <c r="Z92" s="211">
        <f t="shared" ref="Z92:AN92" si="71">$Y$92*(E70)</f>
        <v>0</v>
      </c>
      <c r="AA92" s="211">
        <f t="shared" si="71"/>
        <v>0</v>
      </c>
      <c r="AB92" s="211">
        <f t="shared" si="71"/>
        <v>0</v>
      </c>
      <c r="AC92" s="211">
        <f t="shared" si="71"/>
        <v>0</v>
      </c>
      <c r="AD92" s="211">
        <f t="shared" si="71"/>
        <v>0</v>
      </c>
      <c r="AE92" s="211">
        <f t="shared" si="71"/>
        <v>0</v>
      </c>
      <c r="AF92" s="211">
        <f t="shared" si="71"/>
        <v>0</v>
      </c>
      <c r="AG92" s="211">
        <f t="shared" si="71"/>
        <v>0</v>
      </c>
      <c r="AH92" s="211">
        <f t="shared" si="71"/>
        <v>0</v>
      </c>
      <c r="AI92" s="211">
        <f t="shared" si="71"/>
        <v>0</v>
      </c>
      <c r="AJ92" s="211">
        <f t="shared" si="71"/>
        <v>0</v>
      </c>
      <c r="AK92" s="211">
        <f t="shared" si="71"/>
        <v>0</v>
      </c>
      <c r="AL92" s="211">
        <f t="shared" si="71"/>
        <v>0</v>
      </c>
      <c r="AM92" s="211">
        <f t="shared" si="71"/>
        <v>0</v>
      </c>
      <c r="AN92" s="211">
        <f t="shared" si="71"/>
        <v>0</v>
      </c>
    </row>
    <row r="93" spans="2:40" s="7" customFormat="1" ht="12" hidden="1" customHeight="1" outlineLevel="2">
      <c r="B93" s="245"/>
      <c r="C93" s="213" t="s">
        <v>774</v>
      </c>
      <c r="D93" s="213"/>
      <c r="E93" s="213"/>
      <c r="F93" s="213"/>
      <c r="G93" s="213"/>
      <c r="H93" s="213"/>
      <c r="I93" s="213"/>
      <c r="J93" s="213"/>
      <c r="K93" s="213"/>
      <c r="L93" s="213"/>
      <c r="M93" s="213"/>
      <c r="N93" s="213"/>
      <c r="O93" s="213"/>
      <c r="P93" s="213"/>
      <c r="Q93" s="213"/>
      <c r="R93" s="213"/>
      <c r="S93" s="213"/>
      <c r="T93" s="213"/>
      <c r="U93" s="213"/>
      <c r="V93" s="213"/>
      <c r="W93" s="213"/>
      <c r="X93" s="213"/>
      <c r="Y93" s="213"/>
      <c r="Z93" s="211">
        <f>INDEX($C$44:$AN$66,MATCH("New Customers One-Time",$C$44:$C$66,0),MATCH($C93,$C$44:$AN$44,0))</f>
        <v>20.685579196217496</v>
      </c>
      <c r="AA93" s="211">
        <f t="shared" ref="AA93:AN93" si="72">$Z$93*(E70)</f>
        <v>0</v>
      </c>
      <c r="AB93" s="211">
        <f t="shared" si="72"/>
        <v>0</v>
      </c>
      <c r="AC93" s="211">
        <f t="shared" si="72"/>
        <v>0</v>
      </c>
      <c r="AD93" s="211">
        <f t="shared" si="72"/>
        <v>0</v>
      </c>
      <c r="AE93" s="211">
        <f t="shared" si="72"/>
        <v>0</v>
      </c>
      <c r="AF93" s="211">
        <f t="shared" si="72"/>
        <v>0</v>
      </c>
      <c r="AG93" s="211">
        <f t="shared" si="72"/>
        <v>0</v>
      </c>
      <c r="AH93" s="211">
        <f t="shared" si="72"/>
        <v>0</v>
      </c>
      <c r="AI93" s="211">
        <f t="shared" si="72"/>
        <v>0</v>
      </c>
      <c r="AJ93" s="211">
        <f t="shared" si="72"/>
        <v>0</v>
      </c>
      <c r="AK93" s="211">
        <f t="shared" si="72"/>
        <v>0</v>
      </c>
      <c r="AL93" s="211">
        <f t="shared" si="72"/>
        <v>0</v>
      </c>
      <c r="AM93" s="211">
        <f t="shared" si="72"/>
        <v>0</v>
      </c>
      <c r="AN93" s="211">
        <f t="shared" si="72"/>
        <v>0</v>
      </c>
    </row>
    <row r="94" spans="2:40" s="7" customFormat="1" ht="12" hidden="1" customHeight="1" outlineLevel="2">
      <c r="B94" s="245"/>
      <c r="C94" s="213" t="s">
        <v>775</v>
      </c>
      <c r="D94" s="213"/>
      <c r="E94" s="213"/>
      <c r="F94" s="213"/>
      <c r="G94" s="213"/>
      <c r="H94" s="213"/>
      <c r="I94" s="213"/>
      <c r="J94" s="213"/>
      <c r="K94" s="213"/>
      <c r="L94" s="213"/>
      <c r="M94" s="213"/>
      <c r="N94" s="213"/>
      <c r="O94" s="213"/>
      <c r="P94" s="213"/>
      <c r="Q94" s="213"/>
      <c r="R94" s="213"/>
      <c r="S94" s="213"/>
      <c r="T94" s="213"/>
      <c r="U94" s="213"/>
      <c r="V94" s="213"/>
      <c r="W94" s="213"/>
      <c r="X94" s="213"/>
      <c r="Y94" s="213"/>
      <c r="Z94" s="213"/>
      <c r="AA94" s="211">
        <f>INDEX($C$44:$AN$66,MATCH("New Customers One-Time",$C$44:$C$66,0),MATCH($C94,$C$44:$AN$44,0))</f>
        <v>9.75177304964539</v>
      </c>
      <c r="AB94" s="211">
        <f t="shared" ref="AB94:AN94" si="73">$AA$94*(E70)</f>
        <v>0</v>
      </c>
      <c r="AC94" s="211">
        <f t="shared" si="73"/>
        <v>0</v>
      </c>
      <c r="AD94" s="211">
        <f t="shared" si="73"/>
        <v>0</v>
      </c>
      <c r="AE94" s="211">
        <f t="shared" si="73"/>
        <v>0</v>
      </c>
      <c r="AF94" s="211">
        <f t="shared" si="73"/>
        <v>0</v>
      </c>
      <c r="AG94" s="211">
        <f t="shared" si="73"/>
        <v>0</v>
      </c>
      <c r="AH94" s="211">
        <f t="shared" si="73"/>
        <v>0</v>
      </c>
      <c r="AI94" s="211">
        <f t="shared" si="73"/>
        <v>0</v>
      </c>
      <c r="AJ94" s="211">
        <f t="shared" si="73"/>
        <v>0</v>
      </c>
      <c r="AK94" s="211">
        <f t="shared" si="73"/>
        <v>0</v>
      </c>
      <c r="AL94" s="211">
        <f t="shared" si="73"/>
        <v>0</v>
      </c>
      <c r="AM94" s="211">
        <f t="shared" si="73"/>
        <v>0</v>
      </c>
      <c r="AN94" s="211">
        <f t="shared" si="73"/>
        <v>0</v>
      </c>
    </row>
    <row r="95" spans="2:40" s="7" customFormat="1" ht="12" hidden="1" customHeight="1" outlineLevel="2">
      <c r="B95" s="245"/>
      <c r="C95" s="213" t="s">
        <v>776</v>
      </c>
      <c r="D95" s="213"/>
      <c r="E95" s="213"/>
      <c r="F95" s="213"/>
      <c r="G95" s="213"/>
      <c r="H95" s="213"/>
      <c r="I95" s="213"/>
      <c r="J95" s="213"/>
      <c r="K95" s="213"/>
      <c r="L95" s="213"/>
      <c r="M95" s="213"/>
      <c r="N95" s="213"/>
      <c r="O95" s="213"/>
      <c r="P95" s="213"/>
      <c r="Q95" s="213"/>
      <c r="R95" s="213"/>
      <c r="S95" s="213"/>
      <c r="T95" s="213"/>
      <c r="U95" s="213"/>
      <c r="V95" s="213"/>
      <c r="W95" s="213"/>
      <c r="X95" s="213"/>
      <c r="Y95" s="213"/>
      <c r="Z95" s="213"/>
      <c r="AA95" s="213"/>
      <c r="AB95" s="211">
        <f>INDEX($C$44:$AN$66,MATCH("New Customers One-Time",$C$44:$C$66,0),MATCH($C95,$C$44:$AN$44,0))</f>
        <v>11.524822695035462</v>
      </c>
      <c r="AC95" s="211">
        <f t="shared" ref="AC95:AN95" si="74">$AB$95*(E70)</f>
        <v>0</v>
      </c>
      <c r="AD95" s="211">
        <f t="shared" si="74"/>
        <v>0</v>
      </c>
      <c r="AE95" s="211">
        <f t="shared" si="74"/>
        <v>0</v>
      </c>
      <c r="AF95" s="211">
        <f t="shared" si="74"/>
        <v>0</v>
      </c>
      <c r="AG95" s="211">
        <f t="shared" si="74"/>
        <v>0</v>
      </c>
      <c r="AH95" s="211">
        <f t="shared" si="74"/>
        <v>0</v>
      </c>
      <c r="AI95" s="211">
        <f t="shared" si="74"/>
        <v>0</v>
      </c>
      <c r="AJ95" s="211">
        <f t="shared" si="74"/>
        <v>0</v>
      </c>
      <c r="AK95" s="211">
        <f t="shared" si="74"/>
        <v>0</v>
      </c>
      <c r="AL95" s="211">
        <f t="shared" si="74"/>
        <v>0</v>
      </c>
      <c r="AM95" s="211">
        <f t="shared" si="74"/>
        <v>0</v>
      </c>
      <c r="AN95" s="211">
        <f t="shared" si="74"/>
        <v>0</v>
      </c>
    </row>
    <row r="96" spans="2:40" s="7" customFormat="1" ht="12" hidden="1" customHeight="1" outlineLevel="2">
      <c r="B96" s="245"/>
      <c r="C96" s="213" t="s">
        <v>777</v>
      </c>
      <c r="D96" s="213"/>
      <c r="E96" s="213"/>
      <c r="F96" s="213"/>
      <c r="G96" s="213"/>
      <c r="H96" s="213"/>
      <c r="I96" s="213"/>
      <c r="J96" s="213"/>
      <c r="K96" s="213"/>
      <c r="L96" s="213"/>
      <c r="M96" s="213"/>
      <c r="N96" s="213"/>
      <c r="O96" s="213"/>
      <c r="P96" s="213"/>
      <c r="Q96" s="213"/>
      <c r="R96" s="213"/>
      <c r="S96" s="213"/>
      <c r="T96" s="213"/>
      <c r="U96" s="213"/>
      <c r="V96" s="213"/>
      <c r="W96" s="213"/>
      <c r="X96" s="213"/>
      <c r="Y96" s="213"/>
      <c r="Z96" s="213"/>
      <c r="AA96" s="213"/>
      <c r="AB96" s="211"/>
      <c r="AC96" s="211">
        <f>INDEX($C$44:$AN$66,MATCH("New Customers One-Time",$C$44:$C$66,0),MATCH($C96,$C$44:$AN$44,0))</f>
        <v>10.935319148936173</v>
      </c>
      <c r="AD96" s="211">
        <f t="shared" ref="AD96:AN96" si="75">$AC$96*(E70)</f>
        <v>0</v>
      </c>
      <c r="AE96" s="211">
        <f t="shared" si="75"/>
        <v>0</v>
      </c>
      <c r="AF96" s="211">
        <f t="shared" si="75"/>
        <v>0</v>
      </c>
      <c r="AG96" s="211">
        <f t="shared" si="75"/>
        <v>0</v>
      </c>
      <c r="AH96" s="211">
        <f t="shared" si="75"/>
        <v>0</v>
      </c>
      <c r="AI96" s="211">
        <f t="shared" si="75"/>
        <v>0</v>
      </c>
      <c r="AJ96" s="211">
        <f t="shared" si="75"/>
        <v>0</v>
      </c>
      <c r="AK96" s="211">
        <f t="shared" si="75"/>
        <v>0</v>
      </c>
      <c r="AL96" s="211">
        <f t="shared" si="75"/>
        <v>0</v>
      </c>
      <c r="AM96" s="211">
        <f t="shared" si="75"/>
        <v>0</v>
      </c>
      <c r="AN96" s="211">
        <f t="shared" si="75"/>
        <v>0</v>
      </c>
    </row>
    <row r="97" spans="2:40" s="7" customFormat="1" ht="12" hidden="1" customHeight="1" outlineLevel="2">
      <c r="B97" s="245"/>
      <c r="C97" s="213" t="s">
        <v>778</v>
      </c>
      <c r="D97" s="213"/>
      <c r="E97" s="213"/>
      <c r="F97" s="213"/>
      <c r="G97" s="213"/>
      <c r="H97" s="213"/>
      <c r="I97" s="213"/>
      <c r="J97" s="213"/>
      <c r="K97" s="213"/>
      <c r="L97" s="213"/>
      <c r="M97" s="213"/>
      <c r="N97" s="213"/>
      <c r="O97" s="213"/>
      <c r="P97" s="213"/>
      <c r="Q97" s="213"/>
      <c r="R97" s="213"/>
      <c r="S97" s="213"/>
      <c r="T97" s="213"/>
      <c r="U97" s="213"/>
      <c r="V97" s="213"/>
      <c r="W97" s="213"/>
      <c r="X97" s="213"/>
      <c r="Y97" s="213"/>
      <c r="Z97" s="213"/>
      <c r="AA97" s="213"/>
      <c r="AB97" s="211"/>
      <c r="AC97" s="211"/>
      <c r="AD97" s="211">
        <f>INDEX($C$44:$AN$66,MATCH("New Customers One-Time",$C$44:$C$66,0),MATCH($C97,$C$44:$AN$44,0))</f>
        <v>25.539078014184398</v>
      </c>
      <c r="AE97" s="211">
        <f t="shared" ref="AE97:AN97" si="76">$AD$97*(E70)</f>
        <v>0</v>
      </c>
      <c r="AF97" s="211">
        <f t="shared" si="76"/>
        <v>0</v>
      </c>
      <c r="AG97" s="211">
        <f t="shared" si="76"/>
        <v>0</v>
      </c>
      <c r="AH97" s="211">
        <f t="shared" si="76"/>
        <v>0</v>
      </c>
      <c r="AI97" s="211">
        <f t="shared" si="76"/>
        <v>0</v>
      </c>
      <c r="AJ97" s="211">
        <f t="shared" si="76"/>
        <v>0</v>
      </c>
      <c r="AK97" s="211">
        <f t="shared" si="76"/>
        <v>0</v>
      </c>
      <c r="AL97" s="211">
        <f t="shared" si="76"/>
        <v>0</v>
      </c>
      <c r="AM97" s="211">
        <f t="shared" si="76"/>
        <v>0</v>
      </c>
      <c r="AN97" s="211">
        <f t="shared" si="76"/>
        <v>0</v>
      </c>
    </row>
    <row r="98" spans="2:40" s="7" customFormat="1" ht="12" hidden="1" customHeight="1" outlineLevel="2">
      <c r="B98" s="245"/>
      <c r="C98" s="213" t="s">
        <v>779</v>
      </c>
      <c r="D98" s="213"/>
      <c r="E98" s="213"/>
      <c r="F98" s="213"/>
      <c r="G98" s="213"/>
      <c r="H98" s="213"/>
      <c r="I98" s="213"/>
      <c r="J98" s="213"/>
      <c r="K98" s="213"/>
      <c r="L98" s="213"/>
      <c r="M98" s="213"/>
      <c r="N98" s="213"/>
      <c r="O98" s="213"/>
      <c r="P98" s="213"/>
      <c r="Q98" s="213"/>
      <c r="R98" s="213"/>
      <c r="S98" s="213"/>
      <c r="T98" s="213"/>
      <c r="U98" s="213"/>
      <c r="V98" s="213"/>
      <c r="W98" s="213"/>
      <c r="X98" s="213"/>
      <c r="Y98" s="213"/>
      <c r="Z98" s="213"/>
      <c r="AA98" s="213"/>
      <c r="AB98" s="211"/>
      <c r="AC98" s="211"/>
      <c r="AD98" s="211"/>
      <c r="AE98" s="211">
        <f>INDEX($C$44:$AN$66,MATCH("New Customers One-Time",$C$44:$C$66,0),MATCH($C98,$C$44:$AN$44,0))</f>
        <v>16.712765957446809</v>
      </c>
      <c r="AF98" s="211">
        <f t="shared" ref="AF98:AN98" si="77">$AE$98*(E70)</f>
        <v>0</v>
      </c>
      <c r="AG98" s="211">
        <f t="shared" si="77"/>
        <v>0</v>
      </c>
      <c r="AH98" s="211">
        <f t="shared" si="77"/>
        <v>0</v>
      </c>
      <c r="AI98" s="211">
        <f t="shared" si="77"/>
        <v>0</v>
      </c>
      <c r="AJ98" s="211">
        <f t="shared" si="77"/>
        <v>0</v>
      </c>
      <c r="AK98" s="211">
        <f t="shared" si="77"/>
        <v>0</v>
      </c>
      <c r="AL98" s="211">
        <f t="shared" si="77"/>
        <v>0</v>
      </c>
      <c r="AM98" s="211">
        <f t="shared" si="77"/>
        <v>0</v>
      </c>
      <c r="AN98" s="211">
        <f t="shared" si="77"/>
        <v>0</v>
      </c>
    </row>
    <row r="99" spans="2:40" s="7" customFormat="1" ht="12" hidden="1" customHeight="1" outlineLevel="2">
      <c r="B99" s="245"/>
      <c r="C99" s="213" t="s">
        <v>780</v>
      </c>
      <c r="D99" s="213"/>
      <c r="E99" s="213"/>
      <c r="F99" s="213"/>
      <c r="G99" s="213"/>
      <c r="H99" s="213"/>
      <c r="I99" s="213"/>
      <c r="J99" s="213"/>
      <c r="K99" s="213"/>
      <c r="L99" s="213"/>
      <c r="M99" s="213"/>
      <c r="N99" s="213"/>
      <c r="O99" s="213"/>
      <c r="P99" s="213"/>
      <c r="Q99" s="213"/>
      <c r="R99" s="213"/>
      <c r="S99" s="213"/>
      <c r="T99" s="213"/>
      <c r="U99" s="213"/>
      <c r="V99" s="213"/>
      <c r="W99" s="213"/>
      <c r="X99" s="213"/>
      <c r="Y99" s="213"/>
      <c r="Z99" s="213"/>
      <c r="AA99" s="213"/>
      <c r="AB99" s="211"/>
      <c r="AC99" s="211"/>
      <c r="AD99" s="211"/>
      <c r="AE99" s="211"/>
      <c r="AF99" s="211">
        <f>INDEX($C$44:$AN$66,MATCH("New Customers One-Time",$C$44:$C$66,0),MATCH($C99,$C$44:$AN$44,0))</f>
        <v>15.980703309692675</v>
      </c>
      <c r="AG99" s="211">
        <f t="shared" ref="AG99:AN99" si="78">$AF$99*(E70)</f>
        <v>0</v>
      </c>
      <c r="AH99" s="211">
        <f t="shared" si="78"/>
        <v>0</v>
      </c>
      <c r="AI99" s="211">
        <f t="shared" si="78"/>
        <v>0</v>
      </c>
      <c r="AJ99" s="211">
        <f t="shared" si="78"/>
        <v>0</v>
      </c>
      <c r="AK99" s="211">
        <f t="shared" si="78"/>
        <v>0</v>
      </c>
      <c r="AL99" s="211">
        <f t="shared" si="78"/>
        <v>0</v>
      </c>
      <c r="AM99" s="211">
        <f t="shared" si="78"/>
        <v>0</v>
      </c>
      <c r="AN99" s="211">
        <f t="shared" si="78"/>
        <v>0</v>
      </c>
    </row>
    <row r="100" spans="2:40" s="7" customFormat="1" ht="12" hidden="1" customHeight="1" outlineLevel="2">
      <c r="B100" s="245"/>
      <c r="C100" s="213" t="s">
        <v>781</v>
      </c>
      <c r="D100" s="213"/>
      <c r="E100" s="213"/>
      <c r="F100" s="213"/>
      <c r="G100" s="213"/>
      <c r="H100" s="213"/>
      <c r="I100" s="213"/>
      <c r="J100" s="213"/>
      <c r="K100" s="213"/>
      <c r="L100" s="213"/>
      <c r="M100" s="213"/>
      <c r="N100" s="213"/>
      <c r="O100" s="213"/>
      <c r="P100" s="213"/>
      <c r="Q100" s="213"/>
      <c r="R100" s="213"/>
      <c r="S100" s="213"/>
      <c r="T100" s="213"/>
      <c r="U100" s="213"/>
      <c r="V100" s="213"/>
      <c r="W100" s="213"/>
      <c r="X100" s="213"/>
      <c r="Y100" s="213"/>
      <c r="Z100" s="213"/>
      <c r="AA100" s="213"/>
      <c r="AB100" s="211"/>
      <c r="AC100" s="211"/>
      <c r="AD100" s="211"/>
      <c r="AE100" s="211"/>
      <c r="AF100" s="211"/>
      <c r="AG100" s="211">
        <f>INDEX($C$44:$AN$66,MATCH("New Customers One-Time",$C$44:$C$66,0),MATCH($C100,$C$44:$AN$44,0))</f>
        <v>13.736347517730497</v>
      </c>
      <c r="AH100" s="211">
        <f t="shared" ref="AH100:AN100" si="79">$AG$100*(E70)</f>
        <v>0</v>
      </c>
      <c r="AI100" s="211">
        <f t="shared" si="79"/>
        <v>0</v>
      </c>
      <c r="AJ100" s="211">
        <f t="shared" si="79"/>
        <v>0</v>
      </c>
      <c r="AK100" s="211">
        <f t="shared" si="79"/>
        <v>0</v>
      </c>
      <c r="AL100" s="211">
        <f t="shared" si="79"/>
        <v>0</v>
      </c>
      <c r="AM100" s="211">
        <f t="shared" si="79"/>
        <v>0</v>
      </c>
      <c r="AN100" s="211">
        <f t="shared" si="79"/>
        <v>0</v>
      </c>
    </row>
    <row r="101" spans="2:40" s="7" customFormat="1" ht="12" hidden="1" customHeight="1" outlineLevel="2">
      <c r="B101" s="245"/>
      <c r="C101" s="213" t="s">
        <v>782</v>
      </c>
      <c r="D101" s="213"/>
      <c r="E101" s="213"/>
      <c r="F101" s="213"/>
      <c r="G101" s="213"/>
      <c r="H101" s="213"/>
      <c r="I101" s="213"/>
      <c r="J101" s="213"/>
      <c r="K101" s="213"/>
      <c r="L101" s="213"/>
      <c r="M101" s="213"/>
      <c r="N101" s="213"/>
      <c r="O101" s="213"/>
      <c r="P101" s="213"/>
      <c r="Q101" s="213"/>
      <c r="R101" s="213"/>
      <c r="S101" s="213"/>
      <c r="T101" s="213"/>
      <c r="U101" s="213"/>
      <c r="V101" s="213"/>
      <c r="W101" s="213"/>
      <c r="X101" s="213"/>
      <c r="Y101" s="213"/>
      <c r="Z101" s="213"/>
      <c r="AA101" s="213"/>
      <c r="AB101" s="211"/>
      <c r="AC101" s="211"/>
      <c r="AD101" s="211"/>
      <c r="AE101" s="211"/>
      <c r="AF101" s="211"/>
      <c r="AG101" s="211"/>
      <c r="AH101" s="211">
        <f>INDEX($C$44:$AN$66,MATCH("New Customers One-Time",$C$44:$C$66,0),MATCH($C101,$C$44:$AN$44,0))</f>
        <v>25.738061465721042</v>
      </c>
      <c r="AI101" s="211">
        <f t="shared" ref="AI101:AN101" si="80">$AH$101*(E70)</f>
        <v>0</v>
      </c>
      <c r="AJ101" s="211">
        <f t="shared" si="80"/>
        <v>0</v>
      </c>
      <c r="AK101" s="211">
        <f t="shared" si="80"/>
        <v>0</v>
      </c>
      <c r="AL101" s="211">
        <f t="shared" si="80"/>
        <v>0</v>
      </c>
      <c r="AM101" s="211">
        <f t="shared" si="80"/>
        <v>0</v>
      </c>
      <c r="AN101" s="211">
        <f t="shared" si="80"/>
        <v>0</v>
      </c>
    </row>
    <row r="102" spans="2:40" s="7" customFormat="1" ht="12" hidden="1" customHeight="1" outlineLevel="2">
      <c r="B102" s="245"/>
      <c r="C102" s="213" t="s">
        <v>783</v>
      </c>
      <c r="D102" s="213"/>
      <c r="E102" s="213"/>
      <c r="F102" s="213"/>
      <c r="G102" s="213"/>
      <c r="H102" s="213"/>
      <c r="I102" s="213"/>
      <c r="J102" s="213"/>
      <c r="K102" s="213"/>
      <c r="L102" s="213"/>
      <c r="M102" s="213"/>
      <c r="N102" s="213"/>
      <c r="O102" s="213"/>
      <c r="P102" s="213"/>
      <c r="Q102" s="213"/>
      <c r="R102" s="213"/>
      <c r="S102" s="213"/>
      <c r="T102" s="213"/>
      <c r="U102" s="213"/>
      <c r="V102" s="213"/>
      <c r="W102" s="213"/>
      <c r="X102" s="213"/>
      <c r="Y102" s="213"/>
      <c r="Z102" s="213"/>
      <c r="AA102" s="213"/>
      <c r="AB102" s="211"/>
      <c r="AC102" s="211"/>
      <c r="AD102" s="211"/>
      <c r="AE102" s="211"/>
      <c r="AF102" s="211"/>
      <c r="AG102" s="211"/>
      <c r="AH102" s="211"/>
      <c r="AI102" s="211">
        <f>INDEX($C$44:$AN$66,MATCH("New Customers One-Time",$C$44:$C$66,0),MATCH($C102,$C$44:$AN$44,0))</f>
        <v>11.785531914893618</v>
      </c>
      <c r="AJ102" s="211">
        <f>$AI$102*(E70)</f>
        <v>0</v>
      </c>
      <c r="AK102" s="211">
        <f>$AI$102*(F70)</f>
        <v>0</v>
      </c>
      <c r="AL102" s="211">
        <f>$AI$102*(G70)</f>
        <v>0</v>
      </c>
      <c r="AM102" s="211">
        <f>$AI$102*(H70)</f>
        <v>0</v>
      </c>
      <c r="AN102" s="211">
        <f>$AI$102*(I70)</f>
        <v>0</v>
      </c>
    </row>
    <row r="103" spans="2:40" s="7" customFormat="1" ht="12" hidden="1" customHeight="1" outlineLevel="2">
      <c r="B103" s="245"/>
      <c r="C103" s="213" t="s">
        <v>784</v>
      </c>
      <c r="D103" s="213"/>
      <c r="E103" s="213"/>
      <c r="F103" s="213"/>
      <c r="G103" s="213"/>
      <c r="H103" s="213"/>
      <c r="I103" s="213"/>
      <c r="J103" s="213"/>
      <c r="K103" s="213"/>
      <c r="L103" s="213"/>
      <c r="M103" s="213"/>
      <c r="N103" s="213"/>
      <c r="O103" s="213"/>
      <c r="P103" s="213"/>
      <c r="Q103" s="213"/>
      <c r="R103" s="213"/>
      <c r="S103" s="213"/>
      <c r="T103" s="213"/>
      <c r="U103" s="213"/>
      <c r="V103" s="213"/>
      <c r="W103" s="213"/>
      <c r="X103" s="213"/>
      <c r="Y103" s="213"/>
      <c r="Z103" s="213"/>
      <c r="AA103" s="213"/>
      <c r="AB103" s="211"/>
      <c r="AC103" s="211"/>
      <c r="AD103" s="211"/>
      <c r="AE103" s="211"/>
      <c r="AF103" s="211"/>
      <c r="AG103" s="211"/>
      <c r="AH103" s="211"/>
      <c r="AI103" s="211"/>
      <c r="AJ103" s="211">
        <f>INDEX($C$44:$AN$66,MATCH("New Customers One-Time",$C$44:$C$66,0),MATCH($C103,$C$44:$AN$44,0))</f>
        <v>12.386442080378252</v>
      </c>
      <c r="AK103" s="211">
        <f>$AJ$103*(E70)</f>
        <v>0</v>
      </c>
      <c r="AL103" s="211">
        <f>$AJ$103*(F70)</f>
        <v>0</v>
      </c>
      <c r="AM103" s="211">
        <f>$AJ$103*(G70)</f>
        <v>0</v>
      </c>
      <c r="AN103" s="211">
        <f>$AJ$103*(H70)</f>
        <v>0</v>
      </c>
    </row>
    <row r="104" spans="2:40" s="7" customFormat="1" ht="12" hidden="1" customHeight="1" outlineLevel="2">
      <c r="B104" s="245"/>
      <c r="C104" s="213" t="s">
        <v>785</v>
      </c>
      <c r="D104" s="213"/>
      <c r="E104" s="213"/>
      <c r="F104" s="213"/>
      <c r="G104" s="213"/>
      <c r="H104" s="213"/>
      <c r="I104" s="213"/>
      <c r="J104" s="213"/>
      <c r="K104" s="213"/>
      <c r="L104" s="213"/>
      <c r="M104" s="213"/>
      <c r="N104" s="213"/>
      <c r="O104" s="213"/>
      <c r="P104" s="213"/>
      <c r="Q104" s="213"/>
      <c r="R104" s="213"/>
      <c r="S104" s="213"/>
      <c r="T104" s="213"/>
      <c r="U104" s="213"/>
      <c r="V104" s="213"/>
      <c r="W104" s="213"/>
      <c r="X104" s="213"/>
      <c r="Y104" s="213"/>
      <c r="Z104" s="213"/>
      <c r="AA104" s="213"/>
      <c r="AB104" s="211"/>
      <c r="AC104" s="211"/>
      <c r="AD104" s="211"/>
      <c r="AE104" s="211"/>
      <c r="AF104" s="211"/>
      <c r="AG104" s="211"/>
      <c r="AH104" s="211"/>
      <c r="AI104" s="211"/>
      <c r="AJ104" s="211"/>
      <c r="AK104" s="211">
        <f>INDEX($C$44:$AN$66,MATCH("New Customers One-Time",$C$44:$C$66,0),MATCH($C104,$C$44:$AN$44,0))</f>
        <v>29.787234042553195</v>
      </c>
      <c r="AL104" s="211">
        <f>$AK$104*(E70)</f>
        <v>0</v>
      </c>
      <c r="AM104" s="211">
        <f>$AK$104*(F70)</f>
        <v>0</v>
      </c>
      <c r="AN104" s="211">
        <f>$AK$104*(G70)</f>
        <v>0</v>
      </c>
    </row>
    <row r="105" spans="2:40" s="7" customFormat="1" ht="12" hidden="1" customHeight="1" outlineLevel="2">
      <c r="B105" s="245"/>
      <c r="C105" s="213" t="s">
        <v>786</v>
      </c>
      <c r="D105" s="213"/>
      <c r="E105" s="213"/>
      <c r="F105" s="213"/>
      <c r="G105" s="213"/>
      <c r="H105" s="213"/>
      <c r="I105" s="213"/>
      <c r="J105" s="213"/>
      <c r="K105" s="213"/>
      <c r="L105" s="213"/>
      <c r="M105" s="213"/>
      <c r="N105" s="213"/>
      <c r="O105" s="213"/>
      <c r="P105" s="213"/>
      <c r="Q105" s="213"/>
      <c r="R105" s="213"/>
      <c r="S105" s="213"/>
      <c r="T105" s="213"/>
      <c r="U105" s="213"/>
      <c r="V105" s="213"/>
      <c r="W105" s="213"/>
      <c r="X105" s="213"/>
      <c r="Y105" s="213"/>
      <c r="Z105" s="213"/>
      <c r="AA105" s="213"/>
      <c r="AB105" s="211"/>
      <c r="AC105" s="211"/>
      <c r="AD105" s="211"/>
      <c r="AE105" s="211"/>
      <c r="AF105" s="211"/>
      <c r="AG105" s="211"/>
      <c r="AH105" s="211"/>
      <c r="AI105" s="211"/>
      <c r="AJ105" s="211"/>
      <c r="AK105" s="211"/>
      <c r="AL105" s="211">
        <f>INDEX($C$44:$AN$66,MATCH("New Customers One-Time",$C$44:$C$66,0),MATCH($C105,$C$44:$AN$44,0))</f>
        <v>20.685579196217496</v>
      </c>
      <c r="AM105" s="211">
        <f>$AL$105*(E70)</f>
        <v>0</v>
      </c>
      <c r="AN105" s="211">
        <f>$AL$105*(F70)</f>
        <v>0</v>
      </c>
    </row>
    <row r="106" spans="2:40" s="7" customFormat="1" ht="12" hidden="1" customHeight="1" outlineLevel="2">
      <c r="B106" s="245"/>
      <c r="C106" s="213" t="s">
        <v>787</v>
      </c>
      <c r="D106" s="213"/>
      <c r="E106" s="213"/>
      <c r="F106" s="213"/>
      <c r="G106" s="213"/>
      <c r="H106" s="213"/>
      <c r="I106" s="213"/>
      <c r="J106" s="213"/>
      <c r="K106" s="213"/>
      <c r="L106" s="213"/>
      <c r="M106" s="213"/>
      <c r="N106" s="213"/>
      <c r="O106" s="213"/>
      <c r="P106" s="213"/>
      <c r="Q106" s="213"/>
      <c r="R106" s="213"/>
      <c r="S106" s="213"/>
      <c r="T106" s="213"/>
      <c r="U106" s="213"/>
      <c r="V106" s="213"/>
      <c r="W106" s="213"/>
      <c r="X106" s="213"/>
      <c r="Y106" s="213"/>
      <c r="Z106" s="213"/>
      <c r="AA106" s="213"/>
      <c r="AB106" s="211"/>
      <c r="AC106" s="211"/>
      <c r="AD106" s="211"/>
      <c r="AE106" s="211"/>
      <c r="AF106" s="211"/>
      <c r="AG106" s="211"/>
      <c r="AH106" s="211"/>
      <c r="AI106" s="211"/>
      <c r="AJ106" s="211"/>
      <c r="AK106" s="211"/>
      <c r="AL106" s="211"/>
      <c r="AM106" s="211">
        <f>INDEX($C$44:$AN$66,MATCH("New Customers One-Time",$C$44:$C$66,0),MATCH($C106,$C$44:$AN$44,0))</f>
        <v>10.726950354609929</v>
      </c>
      <c r="AN106" s="211">
        <f>$AM$106*(E70)</f>
        <v>0</v>
      </c>
    </row>
    <row r="107" spans="2:40" s="7" customFormat="1" ht="12" hidden="1" customHeight="1" outlineLevel="2">
      <c r="B107" s="245"/>
      <c r="C107" s="213" t="s">
        <v>788</v>
      </c>
      <c r="D107" s="213"/>
      <c r="E107" s="213"/>
      <c r="F107" s="213"/>
      <c r="G107" s="213"/>
      <c r="H107" s="213"/>
      <c r="I107" s="213"/>
      <c r="J107" s="213"/>
      <c r="K107" s="213"/>
      <c r="L107" s="213"/>
      <c r="M107" s="213"/>
      <c r="N107" s="213"/>
      <c r="O107" s="213"/>
      <c r="P107" s="213"/>
      <c r="Q107" s="213"/>
      <c r="R107" s="213"/>
      <c r="S107" s="213"/>
      <c r="T107" s="213"/>
      <c r="U107" s="213"/>
      <c r="V107" s="213"/>
      <c r="W107" s="213"/>
      <c r="X107" s="213"/>
      <c r="Y107" s="213"/>
      <c r="Z107" s="213"/>
      <c r="AA107" s="213"/>
      <c r="AB107" s="211"/>
      <c r="AC107" s="211"/>
      <c r="AD107" s="211"/>
      <c r="AE107" s="211"/>
      <c r="AF107" s="211"/>
      <c r="AG107" s="211"/>
      <c r="AH107" s="211"/>
      <c r="AI107" s="211"/>
      <c r="AJ107" s="211"/>
      <c r="AK107" s="211"/>
      <c r="AL107" s="211"/>
      <c r="AM107" s="211"/>
      <c r="AN107" s="211">
        <f>INDEX($C$44:$AN$66,MATCH("New Customers One-Time",$C$44:$C$66,0),MATCH($C107,$C$44:$AN$44,0))</f>
        <v>13.829787234042554</v>
      </c>
    </row>
    <row r="108" spans="2:40" s="7" customFormat="1" ht="12" hidden="1" customHeight="1" outlineLevel="2">
      <c r="B108" s="245"/>
      <c r="C108" s="213"/>
      <c r="D108" s="213"/>
      <c r="E108" s="213"/>
      <c r="F108" s="213"/>
      <c r="G108" s="213"/>
      <c r="H108" s="213"/>
      <c r="I108" s="213"/>
      <c r="J108" s="213"/>
      <c r="K108" s="213"/>
      <c r="L108" s="213"/>
      <c r="M108" s="213"/>
      <c r="N108" s="213"/>
      <c r="O108" s="213"/>
      <c r="P108" s="213"/>
      <c r="Q108" s="213"/>
      <c r="R108" s="213"/>
      <c r="S108" s="213"/>
      <c r="T108" s="213"/>
      <c r="U108" s="213"/>
      <c r="V108" s="213"/>
      <c r="W108" s="213"/>
      <c r="X108" s="213"/>
      <c r="Y108" s="213"/>
      <c r="Z108" s="213"/>
      <c r="AA108" s="213"/>
      <c r="AB108" s="211"/>
      <c r="AC108" s="211"/>
      <c r="AD108" s="211"/>
      <c r="AE108" s="211"/>
      <c r="AF108" s="211"/>
      <c r="AG108" s="211"/>
      <c r="AH108" s="211"/>
      <c r="AI108" s="211"/>
      <c r="AJ108" s="211"/>
      <c r="AK108" s="211"/>
      <c r="AL108" s="211"/>
      <c r="AM108" s="211"/>
      <c r="AN108" s="211"/>
    </row>
    <row r="109" spans="2:40" s="7" customFormat="1" ht="12" hidden="1" customHeight="1" outlineLevel="2">
      <c r="B109" s="245"/>
      <c r="C109" s="243" t="s">
        <v>853</v>
      </c>
      <c r="D109" s="213"/>
      <c r="E109" s="213"/>
      <c r="F109" s="213"/>
      <c r="G109" s="213"/>
      <c r="H109" s="213"/>
      <c r="I109" s="213"/>
      <c r="J109" s="213"/>
      <c r="K109" s="213"/>
      <c r="L109" s="213"/>
      <c r="M109" s="213"/>
      <c r="N109" s="213"/>
      <c r="O109" s="213"/>
      <c r="P109" s="213"/>
      <c r="Q109" s="213"/>
      <c r="R109" s="213"/>
      <c r="S109" s="213"/>
      <c r="T109" s="213"/>
      <c r="U109" s="213"/>
      <c r="V109" s="213"/>
      <c r="W109" s="213"/>
      <c r="X109" s="213"/>
      <c r="Y109" s="213"/>
      <c r="Z109" s="213"/>
      <c r="AA109" s="213"/>
      <c r="AB109" s="213"/>
      <c r="AC109" s="211"/>
    </row>
    <row r="110" spans="2:40" s="7" customFormat="1" ht="12" hidden="1" customHeight="1" outlineLevel="2">
      <c r="B110" s="239"/>
      <c r="C110" s="214" t="s">
        <v>850</v>
      </c>
      <c r="D110" s="214"/>
      <c r="E110" s="196" t="s">
        <v>753</v>
      </c>
      <c r="F110" s="196" t="s">
        <v>754</v>
      </c>
      <c r="G110" s="196" t="s">
        <v>755</v>
      </c>
      <c r="H110" s="196" t="s">
        <v>756</v>
      </c>
      <c r="I110" s="196" t="s">
        <v>757</v>
      </c>
      <c r="J110" s="196" t="s">
        <v>758</v>
      </c>
      <c r="K110" s="196" t="s">
        <v>759</v>
      </c>
      <c r="L110" s="196" t="s">
        <v>760</v>
      </c>
      <c r="M110" s="196" t="s">
        <v>761</v>
      </c>
      <c r="N110" s="196" t="s">
        <v>762</v>
      </c>
      <c r="O110" s="196" t="s">
        <v>763</v>
      </c>
      <c r="P110" s="196" t="s">
        <v>764</v>
      </c>
      <c r="Q110" s="196" t="s">
        <v>765</v>
      </c>
      <c r="R110" s="196" t="s">
        <v>766</v>
      </c>
      <c r="S110" s="196" t="s">
        <v>767</v>
      </c>
      <c r="T110" s="196" t="s">
        <v>768</v>
      </c>
      <c r="U110" s="196" t="s">
        <v>769</v>
      </c>
      <c r="V110" s="196" t="s">
        <v>770</v>
      </c>
      <c r="W110" s="196" t="s">
        <v>771</v>
      </c>
      <c r="X110" s="196" t="s">
        <v>772</v>
      </c>
      <c r="Y110" s="196" t="s">
        <v>773</v>
      </c>
      <c r="Z110" s="196" t="s">
        <v>774</v>
      </c>
      <c r="AA110" s="196" t="s">
        <v>775</v>
      </c>
      <c r="AB110" s="196" t="s">
        <v>776</v>
      </c>
      <c r="AC110" s="196" t="s">
        <v>777</v>
      </c>
      <c r="AD110" s="196" t="s">
        <v>778</v>
      </c>
      <c r="AE110" s="196" t="s">
        <v>779</v>
      </c>
      <c r="AF110" s="196" t="s">
        <v>780</v>
      </c>
      <c r="AG110" s="196" t="s">
        <v>781</v>
      </c>
      <c r="AH110" s="196" t="s">
        <v>782</v>
      </c>
      <c r="AI110" s="196" t="s">
        <v>783</v>
      </c>
      <c r="AJ110" s="196" t="s">
        <v>784</v>
      </c>
      <c r="AK110" s="196" t="s">
        <v>785</v>
      </c>
      <c r="AL110" s="196" t="s">
        <v>786</v>
      </c>
      <c r="AM110" s="196" t="s">
        <v>787</v>
      </c>
      <c r="AN110" s="196" t="s">
        <v>788</v>
      </c>
    </row>
    <row r="111" spans="2:40" s="7" customFormat="1" ht="12" hidden="1" customHeight="1" outlineLevel="2">
      <c r="B111" s="239"/>
      <c r="C111" s="246" t="s">
        <v>851</v>
      </c>
      <c r="D111" s="212"/>
      <c r="E111" s="344">
        <v>8.536585365853655E-2</v>
      </c>
      <c r="F111" s="344">
        <v>0.36933797909407662</v>
      </c>
      <c r="G111" s="344">
        <v>0.56445993031358888</v>
      </c>
      <c r="H111" s="344">
        <v>0.67770034843205573</v>
      </c>
      <c r="I111" s="344">
        <v>0.74912891986062724</v>
      </c>
      <c r="J111" s="344">
        <v>0.79616724738675959</v>
      </c>
      <c r="K111" s="344">
        <v>0.82752613240418116</v>
      </c>
      <c r="L111" s="344">
        <v>0.85888501742160273</v>
      </c>
      <c r="M111" s="344">
        <v>0.89198606271777003</v>
      </c>
      <c r="N111" s="344">
        <v>0.91289198606271782</v>
      </c>
      <c r="O111" s="344">
        <v>0.9285714285714286</v>
      </c>
      <c r="P111" s="344">
        <v>0.93031358885017423</v>
      </c>
      <c r="Q111" s="344">
        <v>0.93554006968641112</v>
      </c>
      <c r="R111" s="344">
        <v>0.94250871080139376</v>
      </c>
      <c r="S111" s="344">
        <v>0.94425087108013939</v>
      </c>
      <c r="T111" s="344">
        <v>0.95296167247386765</v>
      </c>
      <c r="U111" s="344">
        <v>0.96515679442508706</v>
      </c>
      <c r="V111" s="344">
        <v>0.97735191637630658</v>
      </c>
      <c r="W111" s="344">
        <v>0.98257839721254359</v>
      </c>
      <c r="X111" s="344">
        <v>0.98432055749128922</v>
      </c>
      <c r="Y111" s="344">
        <v>0.99</v>
      </c>
      <c r="Z111" s="344">
        <v>0.99</v>
      </c>
      <c r="AA111" s="345">
        <f t="shared" ref="AA111:AB111" si="81">Z111</f>
        <v>0.99</v>
      </c>
      <c r="AB111" s="345">
        <f t="shared" si="81"/>
        <v>0.99</v>
      </c>
      <c r="AC111" s="345">
        <f>AB111</f>
        <v>0.99</v>
      </c>
      <c r="AD111" s="345">
        <f t="shared" ref="AD111:AN111" si="82">AC111</f>
        <v>0.99</v>
      </c>
      <c r="AE111" s="345">
        <f t="shared" si="82"/>
        <v>0.99</v>
      </c>
      <c r="AF111" s="345">
        <f t="shared" si="82"/>
        <v>0.99</v>
      </c>
      <c r="AG111" s="345">
        <f t="shared" si="82"/>
        <v>0.99</v>
      </c>
      <c r="AH111" s="345">
        <f t="shared" si="82"/>
        <v>0.99</v>
      </c>
      <c r="AI111" s="345">
        <f t="shared" si="82"/>
        <v>0.99</v>
      </c>
      <c r="AJ111" s="345">
        <f t="shared" si="82"/>
        <v>0.99</v>
      </c>
      <c r="AK111" s="345">
        <f t="shared" si="82"/>
        <v>0.99</v>
      </c>
      <c r="AL111" s="345">
        <f t="shared" si="82"/>
        <v>0.99</v>
      </c>
      <c r="AM111" s="345">
        <f t="shared" si="82"/>
        <v>0.99</v>
      </c>
      <c r="AN111" s="345">
        <f t="shared" si="82"/>
        <v>0.99</v>
      </c>
    </row>
    <row r="112" spans="2:40" s="7" customFormat="1" ht="12" hidden="1" customHeight="1" outlineLevel="2">
      <c r="B112" s="239"/>
      <c r="C112" s="214" t="s">
        <v>852</v>
      </c>
      <c r="D112" s="212"/>
      <c r="E112" s="211">
        <f>86*33%</f>
        <v>28.380000000000003</v>
      </c>
      <c r="F112" s="211">
        <f>E112*98%</f>
        <v>27.8124</v>
      </c>
      <c r="G112" s="211">
        <f>F112*98%</f>
        <v>27.256152</v>
      </c>
      <c r="H112" s="211">
        <f t="shared" ref="H112:AN112" si="83">G112*98%</f>
        <v>26.71102896</v>
      </c>
      <c r="I112" s="211">
        <f t="shared" si="83"/>
        <v>26.176808380800001</v>
      </c>
      <c r="J112" s="211">
        <f t="shared" si="83"/>
        <v>25.653272213184</v>
      </c>
      <c r="K112" s="211">
        <f t="shared" si="83"/>
        <v>25.140206768920319</v>
      </c>
      <c r="L112" s="211">
        <f t="shared" si="83"/>
        <v>24.63740263354191</v>
      </c>
      <c r="M112" s="211">
        <f t="shared" si="83"/>
        <v>24.144654580871073</v>
      </c>
      <c r="N112" s="211">
        <f t="shared" si="83"/>
        <v>23.661761489253649</v>
      </c>
      <c r="O112" s="211">
        <f t="shared" si="83"/>
        <v>23.188526259468578</v>
      </c>
      <c r="P112" s="211">
        <f t="shared" si="83"/>
        <v>22.724755734279206</v>
      </c>
      <c r="Q112" s="211">
        <f t="shared" si="83"/>
        <v>22.270260619593621</v>
      </c>
      <c r="R112" s="211">
        <f t="shared" si="83"/>
        <v>21.824855407201749</v>
      </c>
      <c r="S112" s="211">
        <f t="shared" si="83"/>
        <v>21.388358299057714</v>
      </c>
      <c r="T112" s="211">
        <f t="shared" si="83"/>
        <v>20.960591133076559</v>
      </c>
      <c r="U112" s="211">
        <f t="shared" si="83"/>
        <v>20.541379310415028</v>
      </c>
      <c r="V112" s="211">
        <f t="shared" si="83"/>
        <v>20.130551724206725</v>
      </c>
      <c r="W112" s="211">
        <f t="shared" si="83"/>
        <v>19.72794068972259</v>
      </c>
      <c r="X112" s="211">
        <f t="shared" si="83"/>
        <v>19.33338187592814</v>
      </c>
      <c r="Y112" s="211">
        <f t="shared" si="83"/>
        <v>18.946714238409577</v>
      </c>
      <c r="Z112" s="211">
        <f t="shared" si="83"/>
        <v>18.567779953641384</v>
      </c>
      <c r="AA112" s="211">
        <f t="shared" si="83"/>
        <v>18.196424354568556</v>
      </c>
      <c r="AB112" s="211">
        <f t="shared" si="83"/>
        <v>17.832495867477185</v>
      </c>
      <c r="AC112" s="211">
        <f t="shared" si="83"/>
        <v>17.475845950127642</v>
      </c>
      <c r="AD112" s="211">
        <f t="shared" si="83"/>
        <v>17.126329031125088</v>
      </c>
      <c r="AE112" s="211">
        <f t="shared" si="83"/>
        <v>16.783802450502588</v>
      </c>
      <c r="AF112" s="211">
        <f t="shared" si="83"/>
        <v>16.448126401492537</v>
      </c>
      <c r="AG112" s="211">
        <f t="shared" si="83"/>
        <v>16.119163873462686</v>
      </c>
      <c r="AH112" s="211">
        <f t="shared" si="83"/>
        <v>15.796780595993432</v>
      </c>
      <c r="AI112" s="211">
        <f t="shared" si="83"/>
        <v>15.480844984073563</v>
      </c>
      <c r="AJ112" s="211">
        <f t="shared" si="83"/>
        <v>15.171228084392093</v>
      </c>
      <c r="AK112" s="211">
        <f t="shared" si="83"/>
        <v>14.86780352270425</v>
      </c>
      <c r="AL112" s="211">
        <f t="shared" si="83"/>
        <v>14.570447452250164</v>
      </c>
      <c r="AM112" s="211">
        <f t="shared" si="83"/>
        <v>14.279038503205161</v>
      </c>
      <c r="AN112" s="211">
        <f t="shared" si="83"/>
        <v>13.993457733141058</v>
      </c>
    </row>
    <row r="113" spans="2:40" s="7" customFormat="1" ht="12" hidden="1" customHeight="1" outlineLevel="2">
      <c r="B113" s="245"/>
      <c r="C113" s="213" t="s">
        <v>753</v>
      </c>
      <c r="D113" s="213"/>
      <c r="E113" s="211">
        <f>INDEX($C$44:$AN$66,MATCH("New Customers 1MS",$C$44:$C$66,0),MATCH($C113,$C$44:$AN$44,0))</f>
        <v>0</v>
      </c>
      <c r="F113" s="211">
        <f t="shared" ref="F113:AN113" si="84">$E$113*(E111)</f>
        <v>0</v>
      </c>
      <c r="G113" s="211">
        <f t="shared" si="84"/>
        <v>0</v>
      </c>
      <c r="H113" s="211">
        <f t="shared" si="84"/>
        <v>0</v>
      </c>
      <c r="I113" s="211">
        <f t="shared" si="84"/>
        <v>0</v>
      </c>
      <c r="J113" s="211">
        <f t="shared" si="84"/>
        <v>0</v>
      </c>
      <c r="K113" s="211">
        <f t="shared" si="84"/>
        <v>0</v>
      </c>
      <c r="L113" s="211">
        <f t="shared" si="84"/>
        <v>0</v>
      </c>
      <c r="M113" s="211">
        <f t="shared" si="84"/>
        <v>0</v>
      </c>
      <c r="N113" s="211">
        <f t="shared" si="84"/>
        <v>0</v>
      </c>
      <c r="O113" s="211">
        <f t="shared" si="84"/>
        <v>0</v>
      </c>
      <c r="P113" s="211">
        <f t="shared" si="84"/>
        <v>0</v>
      </c>
      <c r="Q113" s="211">
        <f t="shared" si="84"/>
        <v>0</v>
      </c>
      <c r="R113" s="211">
        <f t="shared" si="84"/>
        <v>0</v>
      </c>
      <c r="S113" s="211">
        <f t="shared" si="84"/>
        <v>0</v>
      </c>
      <c r="T113" s="211">
        <f t="shared" si="84"/>
        <v>0</v>
      </c>
      <c r="U113" s="211">
        <f t="shared" si="84"/>
        <v>0</v>
      </c>
      <c r="V113" s="211">
        <f t="shared" si="84"/>
        <v>0</v>
      </c>
      <c r="W113" s="211">
        <f t="shared" si="84"/>
        <v>0</v>
      </c>
      <c r="X113" s="211">
        <f t="shared" si="84"/>
        <v>0</v>
      </c>
      <c r="Y113" s="211">
        <f t="shared" si="84"/>
        <v>0</v>
      </c>
      <c r="Z113" s="211">
        <f t="shared" si="84"/>
        <v>0</v>
      </c>
      <c r="AA113" s="211">
        <f t="shared" si="84"/>
        <v>0</v>
      </c>
      <c r="AB113" s="211">
        <f t="shared" si="84"/>
        <v>0</v>
      </c>
      <c r="AC113" s="211">
        <f t="shared" si="84"/>
        <v>0</v>
      </c>
      <c r="AD113" s="211">
        <f t="shared" si="84"/>
        <v>0</v>
      </c>
      <c r="AE113" s="211">
        <f t="shared" si="84"/>
        <v>0</v>
      </c>
      <c r="AF113" s="211">
        <f t="shared" si="84"/>
        <v>0</v>
      </c>
      <c r="AG113" s="211">
        <f t="shared" si="84"/>
        <v>0</v>
      </c>
      <c r="AH113" s="211">
        <f t="shared" si="84"/>
        <v>0</v>
      </c>
      <c r="AI113" s="211">
        <f t="shared" si="84"/>
        <v>0</v>
      </c>
      <c r="AJ113" s="211">
        <f t="shared" si="84"/>
        <v>0</v>
      </c>
      <c r="AK113" s="211">
        <f t="shared" si="84"/>
        <v>0</v>
      </c>
      <c r="AL113" s="211">
        <f t="shared" si="84"/>
        <v>0</v>
      </c>
      <c r="AM113" s="211">
        <f t="shared" si="84"/>
        <v>0</v>
      </c>
      <c r="AN113" s="211">
        <f t="shared" si="84"/>
        <v>0</v>
      </c>
    </row>
    <row r="114" spans="2:40" s="7" customFormat="1" ht="12" hidden="1" customHeight="1" outlineLevel="2">
      <c r="B114" s="245"/>
      <c r="C114" s="213" t="s">
        <v>754</v>
      </c>
      <c r="D114" s="213"/>
      <c r="E114" s="213"/>
      <c r="F114" s="211">
        <f>INDEX($C$44:$AN$66,MATCH("New Customers 1MS",$C$44:$C$66,0),MATCH($C114,$C$44:$AN$44,0))</f>
        <v>0</v>
      </c>
      <c r="G114" s="211">
        <f t="shared" ref="G114:AN114" si="85">$F$114*(E111)</f>
        <v>0</v>
      </c>
      <c r="H114" s="211">
        <f t="shared" si="85"/>
        <v>0</v>
      </c>
      <c r="I114" s="211">
        <f t="shared" si="85"/>
        <v>0</v>
      </c>
      <c r="J114" s="211">
        <f t="shared" si="85"/>
        <v>0</v>
      </c>
      <c r="K114" s="211">
        <f t="shared" si="85"/>
        <v>0</v>
      </c>
      <c r="L114" s="211">
        <f t="shared" si="85"/>
        <v>0</v>
      </c>
      <c r="M114" s="211">
        <f t="shared" si="85"/>
        <v>0</v>
      </c>
      <c r="N114" s="211">
        <f t="shared" si="85"/>
        <v>0</v>
      </c>
      <c r="O114" s="211">
        <f t="shared" si="85"/>
        <v>0</v>
      </c>
      <c r="P114" s="211">
        <f t="shared" si="85"/>
        <v>0</v>
      </c>
      <c r="Q114" s="211">
        <f t="shared" si="85"/>
        <v>0</v>
      </c>
      <c r="R114" s="211">
        <f t="shared" si="85"/>
        <v>0</v>
      </c>
      <c r="S114" s="211">
        <f t="shared" si="85"/>
        <v>0</v>
      </c>
      <c r="T114" s="211">
        <f t="shared" si="85"/>
        <v>0</v>
      </c>
      <c r="U114" s="211">
        <f t="shared" si="85"/>
        <v>0</v>
      </c>
      <c r="V114" s="211">
        <f t="shared" si="85"/>
        <v>0</v>
      </c>
      <c r="W114" s="211">
        <f t="shared" si="85"/>
        <v>0</v>
      </c>
      <c r="X114" s="211">
        <f t="shared" si="85"/>
        <v>0</v>
      </c>
      <c r="Y114" s="211">
        <f t="shared" si="85"/>
        <v>0</v>
      </c>
      <c r="Z114" s="211">
        <f t="shared" si="85"/>
        <v>0</v>
      </c>
      <c r="AA114" s="211">
        <f t="shared" si="85"/>
        <v>0</v>
      </c>
      <c r="AB114" s="211">
        <f t="shared" si="85"/>
        <v>0</v>
      </c>
      <c r="AC114" s="211">
        <f t="shared" si="85"/>
        <v>0</v>
      </c>
      <c r="AD114" s="211">
        <f t="shared" si="85"/>
        <v>0</v>
      </c>
      <c r="AE114" s="211">
        <f t="shared" si="85"/>
        <v>0</v>
      </c>
      <c r="AF114" s="211">
        <f t="shared" si="85"/>
        <v>0</v>
      </c>
      <c r="AG114" s="211">
        <f t="shared" si="85"/>
        <v>0</v>
      </c>
      <c r="AH114" s="211">
        <f t="shared" si="85"/>
        <v>0</v>
      </c>
      <c r="AI114" s="211">
        <f t="shared" si="85"/>
        <v>0</v>
      </c>
      <c r="AJ114" s="211">
        <f t="shared" si="85"/>
        <v>0</v>
      </c>
      <c r="AK114" s="211">
        <f t="shared" si="85"/>
        <v>0</v>
      </c>
      <c r="AL114" s="211">
        <f t="shared" si="85"/>
        <v>0</v>
      </c>
      <c r="AM114" s="211">
        <f t="shared" si="85"/>
        <v>0</v>
      </c>
      <c r="AN114" s="211">
        <f t="shared" si="85"/>
        <v>0</v>
      </c>
    </row>
    <row r="115" spans="2:40" s="7" customFormat="1" ht="12" hidden="1" customHeight="1" outlineLevel="2">
      <c r="B115" s="245"/>
      <c r="C115" s="213" t="s">
        <v>755</v>
      </c>
      <c r="D115" s="213"/>
      <c r="E115" s="213"/>
      <c r="F115" s="213"/>
      <c r="G115" s="211">
        <f>INDEX($C$44:$AN$66,MATCH("New Customers 1MS",$C$44:$C$66,0),MATCH($C115,$C$44:$AN$44,0))</f>
        <v>0</v>
      </c>
      <c r="H115" s="211">
        <f t="shared" ref="H115:AN115" si="86">$G$115*(E111)</f>
        <v>0</v>
      </c>
      <c r="I115" s="211">
        <f t="shared" si="86"/>
        <v>0</v>
      </c>
      <c r="J115" s="211">
        <f t="shared" si="86"/>
        <v>0</v>
      </c>
      <c r="K115" s="211">
        <f t="shared" si="86"/>
        <v>0</v>
      </c>
      <c r="L115" s="211">
        <f t="shared" si="86"/>
        <v>0</v>
      </c>
      <c r="M115" s="211">
        <f t="shared" si="86"/>
        <v>0</v>
      </c>
      <c r="N115" s="211">
        <f t="shared" si="86"/>
        <v>0</v>
      </c>
      <c r="O115" s="211">
        <f t="shared" si="86"/>
        <v>0</v>
      </c>
      <c r="P115" s="211">
        <f t="shared" si="86"/>
        <v>0</v>
      </c>
      <c r="Q115" s="211">
        <f t="shared" si="86"/>
        <v>0</v>
      </c>
      <c r="R115" s="211">
        <f t="shared" si="86"/>
        <v>0</v>
      </c>
      <c r="S115" s="211">
        <f t="shared" si="86"/>
        <v>0</v>
      </c>
      <c r="T115" s="211">
        <f t="shared" si="86"/>
        <v>0</v>
      </c>
      <c r="U115" s="211">
        <f t="shared" si="86"/>
        <v>0</v>
      </c>
      <c r="V115" s="211">
        <f t="shared" si="86"/>
        <v>0</v>
      </c>
      <c r="W115" s="211">
        <f t="shared" si="86"/>
        <v>0</v>
      </c>
      <c r="X115" s="211">
        <f t="shared" si="86"/>
        <v>0</v>
      </c>
      <c r="Y115" s="211">
        <f t="shared" si="86"/>
        <v>0</v>
      </c>
      <c r="Z115" s="211">
        <f t="shared" si="86"/>
        <v>0</v>
      </c>
      <c r="AA115" s="211">
        <f t="shared" si="86"/>
        <v>0</v>
      </c>
      <c r="AB115" s="211">
        <f t="shared" si="86"/>
        <v>0</v>
      </c>
      <c r="AC115" s="211">
        <f t="shared" si="86"/>
        <v>0</v>
      </c>
      <c r="AD115" s="211">
        <f t="shared" si="86"/>
        <v>0</v>
      </c>
      <c r="AE115" s="211">
        <f t="shared" si="86"/>
        <v>0</v>
      </c>
      <c r="AF115" s="211">
        <f t="shared" si="86"/>
        <v>0</v>
      </c>
      <c r="AG115" s="211">
        <f t="shared" si="86"/>
        <v>0</v>
      </c>
      <c r="AH115" s="211">
        <f t="shared" si="86"/>
        <v>0</v>
      </c>
      <c r="AI115" s="211">
        <f t="shared" si="86"/>
        <v>0</v>
      </c>
      <c r="AJ115" s="211">
        <f t="shared" si="86"/>
        <v>0</v>
      </c>
      <c r="AK115" s="211">
        <f t="shared" si="86"/>
        <v>0</v>
      </c>
      <c r="AL115" s="211">
        <f t="shared" si="86"/>
        <v>0</v>
      </c>
      <c r="AM115" s="211">
        <f t="shared" si="86"/>
        <v>0</v>
      </c>
      <c r="AN115" s="211">
        <f t="shared" si="86"/>
        <v>0</v>
      </c>
    </row>
    <row r="116" spans="2:40" s="7" customFormat="1" ht="12" hidden="1" customHeight="1" outlineLevel="2">
      <c r="B116" s="245"/>
      <c r="C116" s="213" t="s">
        <v>756</v>
      </c>
      <c r="D116" s="213"/>
      <c r="E116" s="213"/>
      <c r="F116" s="213"/>
      <c r="G116" s="213"/>
      <c r="H116" s="211">
        <f>INDEX($C$44:$AN$66,MATCH("New Customers 1MS",$C$44:$C$66,0),MATCH($C116,$C$44:$AN$44,0))</f>
        <v>0</v>
      </c>
      <c r="I116" s="211">
        <f t="shared" ref="I116:AN116" si="87">$H$116*(E111)</f>
        <v>0</v>
      </c>
      <c r="J116" s="211">
        <f t="shared" si="87"/>
        <v>0</v>
      </c>
      <c r="K116" s="211">
        <f t="shared" si="87"/>
        <v>0</v>
      </c>
      <c r="L116" s="211">
        <f t="shared" si="87"/>
        <v>0</v>
      </c>
      <c r="M116" s="211">
        <f t="shared" si="87"/>
        <v>0</v>
      </c>
      <c r="N116" s="211">
        <f t="shared" si="87"/>
        <v>0</v>
      </c>
      <c r="O116" s="211">
        <f t="shared" si="87"/>
        <v>0</v>
      </c>
      <c r="P116" s="211">
        <f t="shared" si="87"/>
        <v>0</v>
      </c>
      <c r="Q116" s="211">
        <f t="shared" si="87"/>
        <v>0</v>
      </c>
      <c r="R116" s="211">
        <f t="shared" si="87"/>
        <v>0</v>
      </c>
      <c r="S116" s="211">
        <f t="shared" si="87"/>
        <v>0</v>
      </c>
      <c r="T116" s="211">
        <f t="shared" si="87"/>
        <v>0</v>
      </c>
      <c r="U116" s="211">
        <f t="shared" si="87"/>
        <v>0</v>
      </c>
      <c r="V116" s="211">
        <f t="shared" si="87"/>
        <v>0</v>
      </c>
      <c r="W116" s="211">
        <f t="shared" si="87"/>
        <v>0</v>
      </c>
      <c r="X116" s="211">
        <f t="shared" si="87"/>
        <v>0</v>
      </c>
      <c r="Y116" s="211">
        <f t="shared" si="87"/>
        <v>0</v>
      </c>
      <c r="Z116" s="211">
        <f t="shared" si="87"/>
        <v>0</v>
      </c>
      <c r="AA116" s="211">
        <f t="shared" si="87"/>
        <v>0</v>
      </c>
      <c r="AB116" s="211">
        <f t="shared" si="87"/>
        <v>0</v>
      </c>
      <c r="AC116" s="211">
        <f t="shared" si="87"/>
        <v>0</v>
      </c>
      <c r="AD116" s="211">
        <f t="shared" si="87"/>
        <v>0</v>
      </c>
      <c r="AE116" s="211">
        <f t="shared" si="87"/>
        <v>0</v>
      </c>
      <c r="AF116" s="211">
        <f t="shared" si="87"/>
        <v>0</v>
      </c>
      <c r="AG116" s="211">
        <f t="shared" si="87"/>
        <v>0</v>
      </c>
      <c r="AH116" s="211">
        <f t="shared" si="87"/>
        <v>0</v>
      </c>
      <c r="AI116" s="211">
        <f t="shared" si="87"/>
        <v>0</v>
      </c>
      <c r="AJ116" s="211">
        <f t="shared" si="87"/>
        <v>0</v>
      </c>
      <c r="AK116" s="211">
        <f t="shared" si="87"/>
        <v>0</v>
      </c>
      <c r="AL116" s="211">
        <f t="shared" si="87"/>
        <v>0</v>
      </c>
      <c r="AM116" s="211">
        <f t="shared" si="87"/>
        <v>0</v>
      </c>
      <c r="AN116" s="211">
        <f t="shared" si="87"/>
        <v>0</v>
      </c>
    </row>
    <row r="117" spans="2:40" s="7" customFormat="1" ht="12" hidden="1" customHeight="1" outlineLevel="2">
      <c r="B117" s="245"/>
      <c r="C117" s="213" t="s">
        <v>757</v>
      </c>
      <c r="D117" s="213"/>
      <c r="E117" s="213"/>
      <c r="F117" s="213"/>
      <c r="G117" s="213"/>
      <c r="H117" s="213"/>
      <c r="I117" s="211">
        <f>INDEX($C$44:$AN$66,MATCH("New Customers 1MS",$C$44:$C$66,0),MATCH($C117,$C$44:$AN$44,0))</f>
        <v>0</v>
      </c>
      <c r="J117" s="211">
        <f t="shared" ref="J117:AN117" si="88">$I$117*(E111)</f>
        <v>0</v>
      </c>
      <c r="K117" s="211">
        <f t="shared" si="88"/>
        <v>0</v>
      </c>
      <c r="L117" s="211">
        <f t="shared" si="88"/>
        <v>0</v>
      </c>
      <c r="M117" s="211">
        <f t="shared" si="88"/>
        <v>0</v>
      </c>
      <c r="N117" s="211">
        <f t="shared" si="88"/>
        <v>0</v>
      </c>
      <c r="O117" s="211">
        <f t="shared" si="88"/>
        <v>0</v>
      </c>
      <c r="P117" s="211">
        <f t="shared" si="88"/>
        <v>0</v>
      </c>
      <c r="Q117" s="211">
        <f t="shared" si="88"/>
        <v>0</v>
      </c>
      <c r="R117" s="211">
        <f t="shared" si="88"/>
        <v>0</v>
      </c>
      <c r="S117" s="211">
        <f t="shared" si="88"/>
        <v>0</v>
      </c>
      <c r="T117" s="211">
        <f t="shared" si="88"/>
        <v>0</v>
      </c>
      <c r="U117" s="211">
        <f t="shared" si="88"/>
        <v>0</v>
      </c>
      <c r="V117" s="211">
        <f t="shared" si="88"/>
        <v>0</v>
      </c>
      <c r="W117" s="211">
        <f t="shared" si="88"/>
        <v>0</v>
      </c>
      <c r="X117" s="211">
        <f t="shared" si="88"/>
        <v>0</v>
      </c>
      <c r="Y117" s="211">
        <f t="shared" si="88"/>
        <v>0</v>
      </c>
      <c r="Z117" s="211">
        <f t="shared" si="88"/>
        <v>0</v>
      </c>
      <c r="AA117" s="211">
        <f t="shared" si="88"/>
        <v>0</v>
      </c>
      <c r="AB117" s="211">
        <f t="shared" si="88"/>
        <v>0</v>
      </c>
      <c r="AC117" s="211">
        <f t="shared" si="88"/>
        <v>0</v>
      </c>
      <c r="AD117" s="211">
        <f t="shared" si="88"/>
        <v>0</v>
      </c>
      <c r="AE117" s="211">
        <f t="shared" si="88"/>
        <v>0</v>
      </c>
      <c r="AF117" s="211">
        <f t="shared" si="88"/>
        <v>0</v>
      </c>
      <c r="AG117" s="211">
        <f t="shared" si="88"/>
        <v>0</v>
      </c>
      <c r="AH117" s="211">
        <f t="shared" si="88"/>
        <v>0</v>
      </c>
      <c r="AI117" s="211">
        <f t="shared" si="88"/>
        <v>0</v>
      </c>
      <c r="AJ117" s="211">
        <f t="shared" si="88"/>
        <v>0</v>
      </c>
      <c r="AK117" s="211">
        <f t="shared" si="88"/>
        <v>0</v>
      </c>
      <c r="AL117" s="211">
        <f t="shared" si="88"/>
        <v>0</v>
      </c>
      <c r="AM117" s="211">
        <f t="shared" si="88"/>
        <v>0</v>
      </c>
      <c r="AN117" s="211">
        <f t="shared" si="88"/>
        <v>0</v>
      </c>
    </row>
    <row r="118" spans="2:40" s="7" customFormat="1" ht="12" hidden="1" customHeight="1" outlineLevel="2">
      <c r="B118" s="245"/>
      <c r="C118" s="213" t="s">
        <v>758</v>
      </c>
      <c r="D118" s="213"/>
      <c r="E118" s="213"/>
      <c r="F118" s="213"/>
      <c r="G118" s="213"/>
      <c r="H118" s="213"/>
      <c r="I118" s="213"/>
      <c r="J118" s="211">
        <f>INDEX($C$44:$AN$66,MATCH("New Customers 1MS",$C$44:$C$66,0),MATCH($C118,$C$44:$AN$44,0))</f>
        <v>0</v>
      </c>
      <c r="K118" s="211">
        <f t="shared" ref="K118:AN118" si="89">$J$118*(E111)</f>
        <v>0</v>
      </c>
      <c r="L118" s="211">
        <f t="shared" si="89"/>
        <v>0</v>
      </c>
      <c r="M118" s="211">
        <f t="shared" si="89"/>
        <v>0</v>
      </c>
      <c r="N118" s="211">
        <f t="shared" si="89"/>
        <v>0</v>
      </c>
      <c r="O118" s="211">
        <f t="shared" si="89"/>
        <v>0</v>
      </c>
      <c r="P118" s="211">
        <f t="shared" si="89"/>
        <v>0</v>
      </c>
      <c r="Q118" s="211">
        <f t="shared" si="89"/>
        <v>0</v>
      </c>
      <c r="R118" s="211">
        <f t="shared" si="89"/>
        <v>0</v>
      </c>
      <c r="S118" s="211">
        <f t="shared" si="89"/>
        <v>0</v>
      </c>
      <c r="T118" s="211">
        <f t="shared" si="89"/>
        <v>0</v>
      </c>
      <c r="U118" s="211">
        <f t="shared" si="89"/>
        <v>0</v>
      </c>
      <c r="V118" s="211">
        <f t="shared" si="89"/>
        <v>0</v>
      </c>
      <c r="W118" s="211">
        <f t="shared" si="89"/>
        <v>0</v>
      </c>
      <c r="X118" s="211">
        <f t="shared" si="89"/>
        <v>0</v>
      </c>
      <c r="Y118" s="211">
        <f t="shared" si="89"/>
        <v>0</v>
      </c>
      <c r="Z118" s="211">
        <f t="shared" si="89"/>
        <v>0</v>
      </c>
      <c r="AA118" s="211">
        <f t="shared" si="89"/>
        <v>0</v>
      </c>
      <c r="AB118" s="211">
        <f t="shared" si="89"/>
        <v>0</v>
      </c>
      <c r="AC118" s="211">
        <f t="shared" si="89"/>
        <v>0</v>
      </c>
      <c r="AD118" s="211">
        <f t="shared" si="89"/>
        <v>0</v>
      </c>
      <c r="AE118" s="211">
        <f t="shared" si="89"/>
        <v>0</v>
      </c>
      <c r="AF118" s="211">
        <f t="shared" si="89"/>
        <v>0</v>
      </c>
      <c r="AG118" s="211">
        <f t="shared" si="89"/>
        <v>0</v>
      </c>
      <c r="AH118" s="211">
        <f t="shared" si="89"/>
        <v>0</v>
      </c>
      <c r="AI118" s="211">
        <f t="shared" si="89"/>
        <v>0</v>
      </c>
      <c r="AJ118" s="211">
        <f t="shared" si="89"/>
        <v>0</v>
      </c>
      <c r="AK118" s="211">
        <f t="shared" si="89"/>
        <v>0</v>
      </c>
      <c r="AL118" s="211">
        <f t="shared" si="89"/>
        <v>0</v>
      </c>
      <c r="AM118" s="211">
        <f t="shared" si="89"/>
        <v>0</v>
      </c>
      <c r="AN118" s="211">
        <f t="shared" si="89"/>
        <v>0</v>
      </c>
    </row>
    <row r="119" spans="2:40" s="7" customFormat="1" ht="12" hidden="1" customHeight="1" outlineLevel="2">
      <c r="B119" s="245"/>
      <c r="C119" s="213" t="s">
        <v>759</v>
      </c>
      <c r="D119" s="213"/>
      <c r="E119" s="213"/>
      <c r="F119" s="213"/>
      <c r="G119" s="213"/>
      <c r="H119" s="213"/>
      <c r="I119" s="213"/>
      <c r="J119" s="213"/>
      <c r="K119" s="211">
        <f>INDEX($C$44:$AN$66,MATCH("New Customers 1MS",$C$44:$C$66,0),MATCH($C119,$C$44:$AN$44,0))</f>
        <v>1</v>
      </c>
      <c r="L119" s="211">
        <f t="shared" ref="L119:AN119" si="90">$K$119*(E111)</f>
        <v>8.536585365853655E-2</v>
      </c>
      <c r="M119" s="211">
        <f t="shared" si="90"/>
        <v>0.36933797909407662</v>
      </c>
      <c r="N119" s="211">
        <f t="shared" si="90"/>
        <v>0.56445993031358888</v>
      </c>
      <c r="O119" s="211">
        <f t="shared" si="90"/>
        <v>0.67770034843205573</v>
      </c>
      <c r="P119" s="211">
        <f t="shared" si="90"/>
        <v>0.74912891986062724</v>
      </c>
      <c r="Q119" s="211">
        <f t="shared" si="90"/>
        <v>0.79616724738675959</v>
      </c>
      <c r="R119" s="211">
        <f t="shared" si="90"/>
        <v>0.82752613240418116</v>
      </c>
      <c r="S119" s="211">
        <f t="shared" si="90"/>
        <v>0.85888501742160273</v>
      </c>
      <c r="T119" s="211">
        <f t="shared" si="90"/>
        <v>0.89198606271777003</v>
      </c>
      <c r="U119" s="211">
        <f t="shared" si="90"/>
        <v>0.91289198606271782</v>
      </c>
      <c r="V119" s="211">
        <f t="shared" si="90"/>
        <v>0.9285714285714286</v>
      </c>
      <c r="W119" s="211">
        <f t="shared" si="90"/>
        <v>0.93031358885017423</v>
      </c>
      <c r="X119" s="211">
        <f t="shared" si="90"/>
        <v>0.93554006968641112</v>
      </c>
      <c r="Y119" s="211">
        <f t="shared" si="90"/>
        <v>0.94250871080139376</v>
      </c>
      <c r="Z119" s="211">
        <f t="shared" si="90"/>
        <v>0.94425087108013939</v>
      </c>
      <c r="AA119" s="211">
        <f t="shared" si="90"/>
        <v>0.95296167247386765</v>
      </c>
      <c r="AB119" s="211">
        <f t="shared" si="90"/>
        <v>0.96515679442508706</v>
      </c>
      <c r="AC119" s="211">
        <f t="shared" si="90"/>
        <v>0.97735191637630658</v>
      </c>
      <c r="AD119" s="211">
        <f t="shared" si="90"/>
        <v>0.98257839721254359</v>
      </c>
      <c r="AE119" s="211">
        <f t="shared" si="90"/>
        <v>0.98432055749128922</v>
      </c>
      <c r="AF119" s="211">
        <f t="shared" si="90"/>
        <v>0.99</v>
      </c>
      <c r="AG119" s="211">
        <f t="shared" si="90"/>
        <v>0.99</v>
      </c>
      <c r="AH119" s="211">
        <f t="shared" si="90"/>
        <v>0.99</v>
      </c>
      <c r="AI119" s="211">
        <f t="shared" si="90"/>
        <v>0.99</v>
      </c>
      <c r="AJ119" s="211">
        <f t="shared" si="90"/>
        <v>0.99</v>
      </c>
      <c r="AK119" s="211">
        <f t="shared" si="90"/>
        <v>0.99</v>
      </c>
      <c r="AL119" s="211">
        <f t="shared" si="90"/>
        <v>0.99</v>
      </c>
      <c r="AM119" s="211">
        <f t="shared" si="90"/>
        <v>0.99</v>
      </c>
      <c r="AN119" s="211">
        <f t="shared" si="90"/>
        <v>0.99</v>
      </c>
    </row>
    <row r="120" spans="2:40" s="7" customFormat="1" ht="12" hidden="1" customHeight="1" outlineLevel="2">
      <c r="B120" s="245"/>
      <c r="C120" s="213" t="s">
        <v>760</v>
      </c>
      <c r="D120" s="213"/>
      <c r="E120" s="213"/>
      <c r="F120" s="213"/>
      <c r="G120" s="213"/>
      <c r="H120" s="213"/>
      <c r="I120" s="213"/>
      <c r="J120" s="213"/>
      <c r="K120" s="213"/>
      <c r="L120" s="211">
        <f>INDEX($C$44:$AN$66,MATCH("New Customers 1MS",$C$44:$C$66,0),MATCH($C120,$C$44:$AN$44,0))</f>
        <v>1</v>
      </c>
      <c r="M120" s="211">
        <f t="shared" ref="M120:AN120" si="91">$L$120*(E111)</f>
        <v>8.536585365853655E-2</v>
      </c>
      <c r="N120" s="211">
        <f t="shared" si="91"/>
        <v>0.36933797909407662</v>
      </c>
      <c r="O120" s="211">
        <f t="shared" si="91"/>
        <v>0.56445993031358888</v>
      </c>
      <c r="P120" s="211">
        <f t="shared" si="91"/>
        <v>0.67770034843205573</v>
      </c>
      <c r="Q120" s="211">
        <f t="shared" si="91"/>
        <v>0.74912891986062724</v>
      </c>
      <c r="R120" s="211">
        <f t="shared" si="91"/>
        <v>0.79616724738675959</v>
      </c>
      <c r="S120" s="211">
        <f t="shared" si="91"/>
        <v>0.82752613240418116</v>
      </c>
      <c r="T120" s="211">
        <f t="shared" si="91"/>
        <v>0.85888501742160273</v>
      </c>
      <c r="U120" s="211">
        <f t="shared" si="91"/>
        <v>0.89198606271777003</v>
      </c>
      <c r="V120" s="211">
        <f t="shared" si="91"/>
        <v>0.91289198606271782</v>
      </c>
      <c r="W120" s="211">
        <f t="shared" si="91"/>
        <v>0.9285714285714286</v>
      </c>
      <c r="X120" s="211">
        <f t="shared" si="91"/>
        <v>0.93031358885017423</v>
      </c>
      <c r="Y120" s="211">
        <f t="shared" si="91"/>
        <v>0.93554006968641112</v>
      </c>
      <c r="Z120" s="211">
        <f t="shared" si="91"/>
        <v>0.94250871080139376</v>
      </c>
      <c r="AA120" s="211">
        <f t="shared" si="91"/>
        <v>0.94425087108013939</v>
      </c>
      <c r="AB120" s="211">
        <f t="shared" si="91"/>
        <v>0.95296167247386765</v>
      </c>
      <c r="AC120" s="211">
        <f t="shared" si="91"/>
        <v>0.96515679442508706</v>
      </c>
      <c r="AD120" s="211">
        <f t="shared" si="91"/>
        <v>0.97735191637630658</v>
      </c>
      <c r="AE120" s="211">
        <f t="shared" si="91"/>
        <v>0.98257839721254359</v>
      </c>
      <c r="AF120" s="211">
        <f t="shared" si="91"/>
        <v>0.98432055749128922</v>
      </c>
      <c r="AG120" s="211">
        <f t="shared" si="91"/>
        <v>0.99</v>
      </c>
      <c r="AH120" s="211">
        <f t="shared" si="91"/>
        <v>0.99</v>
      </c>
      <c r="AI120" s="211">
        <f t="shared" si="91"/>
        <v>0.99</v>
      </c>
      <c r="AJ120" s="211">
        <f t="shared" si="91"/>
        <v>0.99</v>
      </c>
      <c r="AK120" s="211">
        <f t="shared" si="91"/>
        <v>0.99</v>
      </c>
      <c r="AL120" s="211">
        <f t="shared" si="91"/>
        <v>0.99</v>
      </c>
      <c r="AM120" s="211">
        <f t="shared" si="91"/>
        <v>0.99</v>
      </c>
      <c r="AN120" s="211">
        <f t="shared" si="91"/>
        <v>0.99</v>
      </c>
    </row>
    <row r="121" spans="2:40" s="7" customFormat="1" ht="12" hidden="1" customHeight="1" outlineLevel="2">
      <c r="B121" s="245"/>
      <c r="C121" s="213" t="s">
        <v>761</v>
      </c>
      <c r="D121" s="213"/>
      <c r="E121" s="213"/>
      <c r="F121" s="213"/>
      <c r="G121" s="213"/>
      <c r="H121" s="213"/>
      <c r="I121" s="213"/>
      <c r="J121" s="213"/>
      <c r="K121" s="213"/>
      <c r="L121" s="213"/>
      <c r="M121" s="211">
        <f>INDEX($C$44:$AN$66,MATCH("New Customers 1MS",$C$44:$C$66,0),MATCH($C121,$C$44:$AN$44,0))</f>
        <v>0</v>
      </c>
      <c r="N121" s="211">
        <f t="shared" ref="N121:AN121" si="92">$M$121*(E111)</f>
        <v>0</v>
      </c>
      <c r="O121" s="211">
        <f t="shared" si="92"/>
        <v>0</v>
      </c>
      <c r="P121" s="211">
        <f t="shared" si="92"/>
        <v>0</v>
      </c>
      <c r="Q121" s="211">
        <f t="shared" si="92"/>
        <v>0</v>
      </c>
      <c r="R121" s="211">
        <f t="shared" si="92"/>
        <v>0</v>
      </c>
      <c r="S121" s="211">
        <f t="shared" si="92"/>
        <v>0</v>
      </c>
      <c r="T121" s="211">
        <f t="shared" si="92"/>
        <v>0</v>
      </c>
      <c r="U121" s="211">
        <f t="shared" si="92"/>
        <v>0</v>
      </c>
      <c r="V121" s="211">
        <f t="shared" si="92"/>
        <v>0</v>
      </c>
      <c r="W121" s="211">
        <f t="shared" si="92"/>
        <v>0</v>
      </c>
      <c r="X121" s="211">
        <f t="shared" si="92"/>
        <v>0</v>
      </c>
      <c r="Y121" s="211">
        <f t="shared" si="92"/>
        <v>0</v>
      </c>
      <c r="Z121" s="211">
        <f t="shared" si="92"/>
        <v>0</v>
      </c>
      <c r="AA121" s="211">
        <f t="shared" si="92"/>
        <v>0</v>
      </c>
      <c r="AB121" s="211">
        <f t="shared" si="92"/>
        <v>0</v>
      </c>
      <c r="AC121" s="211">
        <f t="shared" si="92"/>
        <v>0</v>
      </c>
      <c r="AD121" s="211">
        <f t="shared" si="92"/>
        <v>0</v>
      </c>
      <c r="AE121" s="211">
        <f t="shared" si="92"/>
        <v>0</v>
      </c>
      <c r="AF121" s="211">
        <f t="shared" si="92"/>
        <v>0</v>
      </c>
      <c r="AG121" s="211">
        <f t="shared" si="92"/>
        <v>0</v>
      </c>
      <c r="AH121" s="211">
        <f t="shared" si="92"/>
        <v>0</v>
      </c>
      <c r="AI121" s="211">
        <f t="shared" si="92"/>
        <v>0</v>
      </c>
      <c r="AJ121" s="211">
        <f t="shared" si="92"/>
        <v>0</v>
      </c>
      <c r="AK121" s="211">
        <f t="shared" si="92"/>
        <v>0</v>
      </c>
      <c r="AL121" s="211">
        <f t="shared" si="92"/>
        <v>0</v>
      </c>
      <c r="AM121" s="211">
        <f t="shared" si="92"/>
        <v>0</v>
      </c>
      <c r="AN121" s="211">
        <f t="shared" si="92"/>
        <v>0</v>
      </c>
    </row>
    <row r="122" spans="2:40" s="7" customFormat="1" ht="12" hidden="1" customHeight="1" outlineLevel="2">
      <c r="B122" s="245"/>
      <c r="C122" s="213" t="s">
        <v>762</v>
      </c>
      <c r="D122" s="213"/>
      <c r="E122" s="213"/>
      <c r="F122" s="213"/>
      <c r="G122" s="213"/>
      <c r="H122" s="213"/>
      <c r="I122" s="213"/>
      <c r="J122" s="213"/>
      <c r="K122" s="213"/>
      <c r="L122" s="213"/>
      <c r="M122" s="213"/>
      <c r="N122" s="211">
        <f>INDEX($C$44:$AN$66,MATCH("New Customers 1MS",$C$44:$C$66,0),MATCH($C122,$C$44:$AN$44,0))</f>
        <v>2.0685579196217496</v>
      </c>
      <c r="O122" s="211">
        <f t="shared" ref="O122:AN122" si="93">$N$122*(E111)</f>
        <v>0.17658421265063709</v>
      </c>
      <c r="P122" s="211">
        <f t="shared" si="93"/>
        <v>0.76399700167214435</v>
      </c>
      <c r="Q122" s="211">
        <f t="shared" si="93"/>
        <v>1.1676180591593153</v>
      </c>
      <c r="R122" s="211">
        <f t="shared" si="93"/>
        <v>1.401862422879548</v>
      </c>
      <c r="S122" s="211">
        <f t="shared" si="93"/>
        <v>1.5496165599953875</v>
      </c>
      <c r="T122" s="211">
        <f t="shared" si="93"/>
        <v>1.6469180649253303</v>
      </c>
      <c r="U122" s="211">
        <f t="shared" si="93"/>
        <v>1.7117857348786254</v>
      </c>
      <c r="V122" s="211">
        <f t="shared" si="93"/>
        <v>1.7766534048319207</v>
      </c>
      <c r="W122" s="211">
        <f t="shared" si="93"/>
        <v>1.8451248342270659</v>
      </c>
      <c r="X122" s="211">
        <f t="shared" si="93"/>
        <v>1.8883699475292628</v>
      </c>
      <c r="Y122" s="211">
        <f t="shared" si="93"/>
        <v>1.9208037825059103</v>
      </c>
      <c r="Z122" s="211">
        <f t="shared" si="93"/>
        <v>1.9244075419477602</v>
      </c>
      <c r="AA122" s="211">
        <f t="shared" si="93"/>
        <v>1.9352188202733092</v>
      </c>
      <c r="AB122" s="211">
        <f t="shared" si="93"/>
        <v>1.9496338580407084</v>
      </c>
      <c r="AC122" s="211">
        <f t="shared" si="93"/>
        <v>1.9532376174825581</v>
      </c>
      <c r="AD122" s="211">
        <f t="shared" si="93"/>
        <v>1.9712564146918068</v>
      </c>
      <c r="AE122" s="211">
        <f t="shared" si="93"/>
        <v>1.9964827307847548</v>
      </c>
      <c r="AF122" s="211">
        <f t="shared" si="93"/>
        <v>2.021709046877703</v>
      </c>
      <c r="AG122" s="211">
        <f t="shared" si="93"/>
        <v>2.0325203252032522</v>
      </c>
      <c r="AH122" s="211">
        <f t="shared" si="93"/>
        <v>2.0361240846451021</v>
      </c>
      <c r="AI122" s="211">
        <f t="shared" si="93"/>
        <v>2.0478723404255321</v>
      </c>
      <c r="AJ122" s="211">
        <f t="shared" si="93"/>
        <v>2.0478723404255321</v>
      </c>
      <c r="AK122" s="211">
        <f t="shared" si="93"/>
        <v>2.0478723404255321</v>
      </c>
      <c r="AL122" s="211">
        <f t="shared" si="93"/>
        <v>2.0478723404255321</v>
      </c>
      <c r="AM122" s="211">
        <f t="shared" si="93"/>
        <v>2.0478723404255321</v>
      </c>
      <c r="AN122" s="211">
        <f t="shared" si="93"/>
        <v>2.0478723404255321</v>
      </c>
    </row>
    <row r="123" spans="2:40" s="7" customFormat="1" ht="12" hidden="1" customHeight="1" outlineLevel="2">
      <c r="B123" s="245"/>
      <c r="C123" s="213" t="s">
        <v>763</v>
      </c>
      <c r="D123" s="213"/>
      <c r="E123" s="213"/>
      <c r="F123" s="213"/>
      <c r="G123" s="213"/>
      <c r="H123" s="213"/>
      <c r="I123" s="213"/>
      <c r="J123" s="213"/>
      <c r="K123" s="213"/>
      <c r="L123" s="213"/>
      <c r="M123" s="213"/>
      <c r="N123" s="213"/>
      <c r="O123" s="211">
        <f>INDEX($C$44:$AN$66,MATCH("New Customers 1MS",$C$44:$C$66,0),MATCH($C123,$C$44:$AN$44,0))</f>
        <v>0.88652482269503552</v>
      </c>
      <c r="P123" s="211">
        <f t="shared" ref="P123:AN123" si="94">$O$123*(E111)</f>
        <v>7.5678948278844471E-2</v>
      </c>
      <c r="Q123" s="211">
        <f t="shared" si="94"/>
        <v>0.32742728643091901</v>
      </c>
      <c r="R123" s="211">
        <f t="shared" si="94"/>
        <v>0.50040773963970653</v>
      </c>
      <c r="S123" s="211">
        <f t="shared" si="94"/>
        <v>0.60079818123409201</v>
      </c>
      <c r="T123" s="211">
        <f t="shared" si="94"/>
        <v>0.66412138285516609</v>
      </c>
      <c r="U123" s="211">
        <f t="shared" si="94"/>
        <v>0.70582202782514147</v>
      </c>
      <c r="V123" s="211">
        <f t="shared" si="94"/>
        <v>0.73362245780512514</v>
      </c>
      <c r="W123" s="211">
        <f t="shared" si="94"/>
        <v>0.7614228877851088</v>
      </c>
      <c r="X123" s="211">
        <f t="shared" si="94"/>
        <v>0.79076778609731391</v>
      </c>
      <c r="Y123" s="211">
        <f t="shared" si="94"/>
        <v>0.80930140608396972</v>
      </c>
      <c r="Z123" s="211">
        <f t="shared" si="94"/>
        <v>0.82320162107396155</v>
      </c>
      <c r="AA123" s="211">
        <f t="shared" si="94"/>
        <v>0.82474608940618288</v>
      </c>
      <c r="AB123" s="211">
        <f t="shared" si="94"/>
        <v>0.82937949440284675</v>
      </c>
      <c r="AC123" s="211">
        <f t="shared" si="94"/>
        <v>0.83555736773173206</v>
      </c>
      <c r="AD123" s="211">
        <f t="shared" si="94"/>
        <v>0.83710183606395339</v>
      </c>
      <c r="AE123" s="211">
        <f t="shared" si="94"/>
        <v>0.84482417772506002</v>
      </c>
      <c r="AF123" s="211">
        <f t="shared" si="94"/>
        <v>0.8556354560506092</v>
      </c>
      <c r="AG123" s="211">
        <f t="shared" si="94"/>
        <v>0.86644673437615838</v>
      </c>
      <c r="AH123" s="211">
        <f t="shared" si="94"/>
        <v>0.87108013937282236</v>
      </c>
      <c r="AI123" s="211">
        <f t="shared" si="94"/>
        <v>0.87262460770504369</v>
      </c>
      <c r="AJ123" s="211">
        <f t="shared" si="94"/>
        <v>0.87765957446808518</v>
      </c>
      <c r="AK123" s="211">
        <f t="shared" si="94"/>
        <v>0.87765957446808518</v>
      </c>
      <c r="AL123" s="211">
        <f t="shared" si="94"/>
        <v>0.87765957446808518</v>
      </c>
      <c r="AM123" s="211">
        <f t="shared" si="94"/>
        <v>0.87765957446808518</v>
      </c>
      <c r="AN123" s="211">
        <f t="shared" si="94"/>
        <v>0.87765957446808518</v>
      </c>
    </row>
    <row r="124" spans="2:40" s="7" customFormat="1" ht="12" hidden="1" customHeight="1" outlineLevel="2">
      <c r="B124" s="245"/>
      <c r="C124" s="213" t="s">
        <v>764</v>
      </c>
      <c r="D124" s="213"/>
      <c r="E124" s="213"/>
      <c r="F124" s="213"/>
      <c r="G124" s="213"/>
      <c r="H124" s="213"/>
      <c r="I124" s="213"/>
      <c r="J124" s="213"/>
      <c r="K124" s="213"/>
      <c r="L124" s="213"/>
      <c r="M124" s="213"/>
      <c r="N124" s="213"/>
      <c r="O124" s="213"/>
      <c r="P124" s="211">
        <f>INDEX($C$44:$AN$66,MATCH("New Customers 1MS",$C$44:$C$66,0),MATCH($C124,$C$44:$AN$44,0))</f>
        <v>0.88652482269503552</v>
      </c>
      <c r="Q124" s="211">
        <f t="shared" ref="Q124:AN124" si="95">$P$124*(E111)</f>
        <v>7.5678948278844471E-2</v>
      </c>
      <c r="R124" s="211">
        <f t="shared" si="95"/>
        <v>0.32742728643091901</v>
      </c>
      <c r="S124" s="211">
        <f t="shared" si="95"/>
        <v>0.50040773963970653</v>
      </c>
      <c r="T124" s="211">
        <f t="shared" si="95"/>
        <v>0.60079818123409201</v>
      </c>
      <c r="U124" s="211">
        <f t="shared" si="95"/>
        <v>0.66412138285516609</v>
      </c>
      <c r="V124" s="211">
        <f t="shared" si="95"/>
        <v>0.70582202782514147</v>
      </c>
      <c r="W124" s="211">
        <f t="shared" si="95"/>
        <v>0.73362245780512514</v>
      </c>
      <c r="X124" s="211">
        <f t="shared" si="95"/>
        <v>0.7614228877851088</v>
      </c>
      <c r="Y124" s="211">
        <f t="shared" si="95"/>
        <v>0.79076778609731391</v>
      </c>
      <c r="Z124" s="211">
        <f t="shared" si="95"/>
        <v>0.80930140608396972</v>
      </c>
      <c r="AA124" s="211">
        <f t="shared" si="95"/>
        <v>0.82320162107396155</v>
      </c>
      <c r="AB124" s="211">
        <f t="shared" si="95"/>
        <v>0.82474608940618288</v>
      </c>
      <c r="AC124" s="211">
        <f t="shared" si="95"/>
        <v>0.82937949440284675</v>
      </c>
      <c r="AD124" s="211">
        <f t="shared" si="95"/>
        <v>0.83555736773173206</v>
      </c>
      <c r="AE124" s="211">
        <f t="shared" si="95"/>
        <v>0.83710183606395339</v>
      </c>
      <c r="AF124" s="211">
        <f t="shared" si="95"/>
        <v>0.84482417772506002</v>
      </c>
      <c r="AG124" s="211">
        <f t="shared" si="95"/>
        <v>0.8556354560506092</v>
      </c>
      <c r="AH124" s="211">
        <f t="shared" si="95"/>
        <v>0.86644673437615838</v>
      </c>
      <c r="AI124" s="211">
        <f t="shared" si="95"/>
        <v>0.87108013937282236</v>
      </c>
      <c r="AJ124" s="211">
        <f t="shared" si="95"/>
        <v>0.87262460770504369</v>
      </c>
      <c r="AK124" s="211">
        <f t="shared" si="95"/>
        <v>0.87765957446808518</v>
      </c>
      <c r="AL124" s="211">
        <f t="shared" si="95"/>
        <v>0.87765957446808518</v>
      </c>
      <c r="AM124" s="211">
        <f t="shared" si="95"/>
        <v>0.87765957446808518</v>
      </c>
      <c r="AN124" s="211">
        <f t="shared" si="95"/>
        <v>0.87765957446808518</v>
      </c>
    </row>
    <row r="125" spans="2:40" s="7" customFormat="1" ht="12" hidden="1" customHeight="1" outlineLevel="2">
      <c r="B125" s="245"/>
      <c r="C125" s="213" t="s">
        <v>765</v>
      </c>
      <c r="D125" s="213"/>
      <c r="E125" s="213"/>
      <c r="F125" s="213"/>
      <c r="G125" s="213"/>
      <c r="H125" s="213"/>
      <c r="I125" s="213"/>
      <c r="J125" s="213"/>
      <c r="K125" s="213"/>
      <c r="L125" s="213"/>
      <c r="M125" s="213"/>
      <c r="N125" s="213"/>
      <c r="O125" s="213"/>
      <c r="P125" s="213"/>
      <c r="Q125" s="211">
        <f>INDEX($C$44:$AN$66,MATCH("New Customers 1MS",$C$44:$C$66,0),MATCH($C125,$C$44:$AN$44,0))</f>
        <v>0</v>
      </c>
      <c r="R125" s="211">
        <f t="shared" ref="R125:AN125" si="96">$Q$125*(E111)</f>
        <v>0</v>
      </c>
      <c r="S125" s="211">
        <f t="shared" si="96"/>
        <v>0</v>
      </c>
      <c r="T125" s="211">
        <f t="shared" si="96"/>
        <v>0</v>
      </c>
      <c r="U125" s="211">
        <f t="shared" si="96"/>
        <v>0</v>
      </c>
      <c r="V125" s="211">
        <f t="shared" si="96"/>
        <v>0</v>
      </c>
      <c r="W125" s="211">
        <f t="shared" si="96"/>
        <v>0</v>
      </c>
      <c r="X125" s="211">
        <f t="shared" si="96"/>
        <v>0</v>
      </c>
      <c r="Y125" s="211">
        <f t="shared" si="96"/>
        <v>0</v>
      </c>
      <c r="Z125" s="211">
        <f t="shared" si="96"/>
        <v>0</v>
      </c>
      <c r="AA125" s="211">
        <f t="shared" si="96"/>
        <v>0</v>
      </c>
      <c r="AB125" s="211">
        <f t="shared" si="96"/>
        <v>0</v>
      </c>
      <c r="AC125" s="211">
        <f t="shared" si="96"/>
        <v>0</v>
      </c>
      <c r="AD125" s="211">
        <f t="shared" si="96"/>
        <v>0</v>
      </c>
      <c r="AE125" s="211">
        <f t="shared" si="96"/>
        <v>0</v>
      </c>
      <c r="AF125" s="211">
        <f t="shared" si="96"/>
        <v>0</v>
      </c>
      <c r="AG125" s="211">
        <f t="shared" si="96"/>
        <v>0</v>
      </c>
      <c r="AH125" s="211">
        <f t="shared" si="96"/>
        <v>0</v>
      </c>
      <c r="AI125" s="211">
        <f t="shared" si="96"/>
        <v>0</v>
      </c>
      <c r="AJ125" s="211">
        <f t="shared" si="96"/>
        <v>0</v>
      </c>
      <c r="AK125" s="211">
        <f t="shared" si="96"/>
        <v>0</v>
      </c>
      <c r="AL125" s="211">
        <f t="shared" si="96"/>
        <v>0</v>
      </c>
      <c r="AM125" s="211">
        <f t="shared" si="96"/>
        <v>0</v>
      </c>
      <c r="AN125" s="211">
        <f t="shared" si="96"/>
        <v>0</v>
      </c>
    </row>
    <row r="126" spans="2:40" s="7" customFormat="1" ht="12" hidden="1" customHeight="1" outlineLevel="2">
      <c r="B126" s="245"/>
      <c r="C126" s="213" t="s">
        <v>766</v>
      </c>
      <c r="D126" s="213"/>
      <c r="E126" s="213"/>
      <c r="F126" s="213"/>
      <c r="G126" s="213"/>
      <c r="H126" s="213"/>
      <c r="I126" s="213"/>
      <c r="J126" s="213"/>
      <c r="K126" s="213"/>
      <c r="L126" s="213"/>
      <c r="M126" s="213"/>
      <c r="N126" s="213"/>
      <c r="O126" s="213"/>
      <c r="P126" s="213"/>
      <c r="Q126" s="213"/>
      <c r="R126" s="211">
        <f>INDEX($C$44:$AN$66,MATCH("New Customers 1MS",$C$44:$C$66,0),MATCH($C126,$C$44:$AN$44,0))</f>
        <v>0</v>
      </c>
      <c r="S126" s="211">
        <f t="shared" ref="S126:AN126" si="97">$R$126*(E111)</f>
        <v>0</v>
      </c>
      <c r="T126" s="211">
        <f t="shared" si="97"/>
        <v>0</v>
      </c>
      <c r="U126" s="211">
        <f t="shared" si="97"/>
        <v>0</v>
      </c>
      <c r="V126" s="211">
        <f t="shared" si="97"/>
        <v>0</v>
      </c>
      <c r="W126" s="211">
        <f t="shared" si="97"/>
        <v>0</v>
      </c>
      <c r="X126" s="211">
        <f t="shared" si="97"/>
        <v>0</v>
      </c>
      <c r="Y126" s="211">
        <f t="shared" si="97"/>
        <v>0</v>
      </c>
      <c r="Z126" s="211">
        <f t="shared" si="97"/>
        <v>0</v>
      </c>
      <c r="AA126" s="211">
        <f t="shared" si="97"/>
        <v>0</v>
      </c>
      <c r="AB126" s="211">
        <f t="shared" si="97"/>
        <v>0</v>
      </c>
      <c r="AC126" s="211">
        <f t="shared" si="97"/>
        <v>0</v>
      </c>
      <c r="AD126" s="211">
        <f t="shared" si="97"/>
        <v>0</v>
      </c>
      <c r="AE126" s="211">
        <f t="shared" si="97"/>
        <v>0</v>
      </c>
      <c r="AF126" s="211">
        <f t="shared" si="97"/>
        <v>0</v>
      </c>
      <c r="AG126" s="211">
        <f t="shared" si="97"/>
        <v>0</v>
      </c>
      <c r="AH126" s="211">
        <f t="shared" si="97"/>
        <v>0</v>
      </c>
      <c r="AI126" s="211">
        <f t="shared" si="97"/>
        <v>0</v>
      </c>
      <c r="AJ126" s="211">
        <f t="shared" si="97"/>
        <v>0</v>
      </c>
      <c r="AK126" s="211">
        <f t="shared" si="97"/>
        <v>0</v>
      </c>
      <c r="AL126" s="211">
        <f t="shared" si="97"/>
        <v>0</v>
      </c>
      <c r="AM126" s="211">
        <f t="shared" si="97"/>
        <v>0</v>
      </c>
      <c r="AN126" s="211">
        <f t="shared" si="97"/>
        <v>0</v>
      </c>
    </row>
    <row r="127" spans="2:40" s="7" customFormat="1" ht="12" hidden="1" customHeight="1" outlineLevel="2">
      <c r="B127" s="245"/>
      <c r="C127" s="213" t="s">
        <v>767</v>
      </c>
      <c r="D127" s="213"/>
      <c r="E127" s="213"/>
      <c r="F127" s="213"/>
      <c r="G127" s="213"/>
      <c r="H127" s="213"/>
      <c r="I127" s="213"/>
      <c r="J127" s="213"/>
      <c r="K127" s="213"/>
      <c r="L127" s="213"/>
      <c r="M127" s="213"/>
      <c r="N127" s="213"/>
      <c r="O127" s="213"/>
      <c r="P127" s="213"/>
      <c r="Q127" s="213"/>
      <c r="R127" s="213"/>
      <c r="S127" s="211">
        <f>INDEX($C$44:$AN$66,MATCH("New Customers 1MS",$C$44:$C$66,0),MATCH($C127,$C$44:$AN$44,0))</f>
        <v>1.6712765957446809</v>
      </c>
      <c r="T127" s="211">
        <f t="shared" ref="T127:AN127" si="98">$S$127*(E111)</f>
        <v>0.14266995329527757</v>
      </c>
      <c r="U127" s="211">
        <f t="shared" si="98"/>
        <v>0.61726592037956851</v>
      </c>
      <c r="V127" s="211">
        <f t="shared" si="98"/>
        <v>0.94336867076877462</v>
      </c>
      <c r="W127" s="211">
        <f t="shared" si="98"/>
        <v>1.1326247312625102</v>
      </c>
      <c r="X127" s="211">
        <f t="shared" si="98"/>
        <v>1.2520016309585589</v>
      </c>
      <c r="Y127" s="211">
        <f t="shared" si="98"/>
        <v>1.3306156868559567</v>
      </c>
      <c r="Z127" s="211">
        <f t="shared" si="98"/>
        <v>1.383025057454222</v>
      </c>
      <c r="AA127" s="211">
        <f t="shared" si="98"/>
        <v>1.4354344280524871</v>
      </c>
      <c r="AB127" s="211">
        <f t="shared" si="98"/>
        <v>1.4907554303506561</v>
      </c>
      <c r="AC127" s="211">
        <f t="shared" si="98"/>
        <v>1.5256950107494998</v>
      </c>
      <c r="AD127" s="211">
        <f t="shared" si="98"/>
        <v>1.5518996960486324</v>
      </c>
      <c r="AE127" s="211">
        <f t="shared" si="98"/>
        <v>1.554811327748536</v>
      </c>
      <c r="AF127" s="211">
        <f t="shared" si="98"/>
        <v>1.5635462228482466</v>
      </c>
      <c r="AG127" s="211">
        <f t="shared" si="98"/>
        <v>1.5751927496478613</v>
      </c>
      <c r="AH127" s="211">
        <f t="shared" si="98"/>
        <v>1.5781043813477649</v>
      </c>
      <c r="AI127" s="211">
        <f t="shared" si="98"/>
        <v>1.5926625398472831</v>
      </c>
      <c r="AJ127" s="211">
        <f t="shared" si="98"/>
        <v>1.6130439617466084</v>
      </c>
      <c r="AK127" s="211">
        <f t="shared" si="98"/>
        <v>1.6334253836459338</v>
      </c>
      <c r="AL127" s="211">
        <f t="shared" si="98"/>
        <v>1.6421602787456446</v>
      </c>
      <c r="AM127" s="211">
        <f t="shared" si="98"/>
        <v>1.6450719104455482</v>
      </c>
      <c r="AN127" s="211">
        <f t="shared" si="98"/>
        <v>1.654563829787234</v>
      </c>
    </row>
    <row r="128" spans="2:40" s="7" customFormat="1" ht="12" hidden="1" customHeight="1" outlineLevel="2">
      <c r="B128" s="245"/>
      <c r="C128" s="213" t="s">
        <v>768</v>
      </c>
      <c r="D128" s="213"/>
      <c r="E128" s="213"/>
      <c r="F128" s="213"/>
      <c r="G128" s="213"/>
      <c r="H128" s="213"/>
      <c r="I128" s="213"/>
      <c r="J128" s="213"/>
      <c r="K128" s="213"/>
      <c r="L128" s="213"/>
      <c r="M128" s="213"/>
      <c r="N128" s="213"/>
      <c r="O128" s="213"/>
      <c r="P128" s="213"/>
      <c r="Q128" s="213"/>
      <c r="R128" s="213"/>
      <c r="S128" s="213"/>
      <c r="T128" s="211">
        <f>INDEX($C$44:$AN$66,MATCH("New Customers 1MS",$C$44:$C$66,0),MATCH($C128,$C$44:$AN$44,0))</f>
        <v>1.2292848699763597</v>
      </c>
      <c r="U128" s="211">
        <f t="shared" ref="U128:AN128" si="99">$T$128*(E111)</f>
        <v>0.10493895231505505</v>
      </c>
      <c r="V128" s="211">
        <f t="shared" si="99"/>
        <v>0.45402158960799344</v>
      </c>
      <c r="W128" s="211">
        <f t="shared" si="99"/>
        <v>0.69388205204240516</v>
      </c>
      <c r="X128" s="211">
        <f t="shared" si="99"/>
        <v>0.83308678470523323</v>
      </c>
      <c r="Y128" s="211">
        <f t="shared" si="99"/>
        <v>0.92089284684640194</v>
      </c>
      <c r="Z128" s="211">
        <f t="shared" si="99"/>
        <v>0.97871635118326894</v>
      </c>
      <c r="AA128" s="211">
        <f t="shared" si="99"/>
        <v>1.0172653540745136</v>
      </c>
      <c r="AB128" s="211">
        <f t="shared" si="99"/>
        <v>1.0558143569657583</v>
      </c>
      <c r="AC128" s="211">
        <f t="shared" si="99"/>
        <v>1.0965049711287389</v>
      </c>
      <c r="AD128" s="211">
        <f t="shared" si="99"/>
        <v>1.1222043063895688</v>
      </c>
      <c r="AE128" s="211">
        <f t="shared" si="99"/>
        <v>1.1414788078351912</v>
      </c>
      <c r="AF128" s="211">
        <f t="shared" si="99"/>
        <v>1.143620419106927</v>
      </c>
      <c r="AG128" s="211">
        <f t="shared" si="99"/>
        <v>1.1500452529221343</v>
      </c>
      <c r="AH128" s="211">
        <f t="shared" si="99"/>
        <v>1.1586116980090777</v>
      </c>
      <c r="AI128" s="211">
        <f t="shared" si="99"/>
        <v>1.1607533092808135</v>
      </c>
      <c r="AJ128" s="211">
        <f t="shared" si="99"/>
        <v>1.1714613656394925</v>
      </c>
      <c r="AK128" s="211">
        <f t="shared" si="99"/>
        <v>1.1864526445416432</v>
      </c>
      <c r="AL128" s="211">
        <f t="shared" si="99"/>
        <v>1.2014439234437939</v>
      </c>
      <c r="AM128" s="211">
        <f t="shared" si="99"/>
        <v>1.2078687572590014</v>
      </c>
      <c r="AN128" s="211">
        <f t="shared" si="99"/>
        <v>1.2100103685307373</v>
      </c>
    </row>
    <row r="129" spans="2:40" s="7" customFormat="1" ht="12" hidden="1" customHeight="1" outlineLevel="2">
      <c r="B129" s="245"/>
      <c r="C129" s="213" t="s">
        <v>769</v>
      </c>
      <c r="D129" s="213"/>
      <c r="E129" s="213"/>
      <c r="F129" s="213"/>
      <c r="G129" s="213"/>
      <c r="H129" s="213"/>
      <c r="I129" s="213"/>
      <c r="J129" s="213"/>
      <c r="K129" s="213"/>
      <c r="L129" s="213"/>
      <c r="M129" s="213"/>
      <c r="N129" s="213"/>
      <c r="O129" s="213"/>
      <c r="P129" s="213"/>
      <c r="Q129" s="213"/>
      <c r="R129" s="213"/>
      <c r="S129" s="213"/>
      <c r="T129" s="213"/>
      <c r="U129" s="211">
        <f>INDEX($C$44:$AN$66,MATCH("New Customers 1MS",$C$44:$C$66,0),MATCH($C129,$C$44:$AN$44,0))</f>
        <v>1.3736347517730501</v>
      </c>
      <c r="V129" s="211">
        <f t="shared" ref="V129:AN129" si="100">$U$129*(E111)</f>
        <v>0.11726150320013837</v>
      </c>
      <c r="W129" s="211">
        <f t="shared" si="100"/>
        <v>0.50733548323325184</v>
      </c>
      <c r="X129" s="211">
        <f t="shared" si="100"/>
        <v>0.77536177626213976</v>
      </c>
      <c r="Y129" s="211">
        <f t="shared" si="100"/>
        <v>0.93091274989497641</v>
      </c>
      <c r="Z129" s="211">
        <f t="shared" si="100"/>
        <v>1.0290295178787658</v>
      </c>
      <c r="AA129" s="211">
        <f t="shared" si="100"/>
        <v>1.093642999233944</v>
      </c>
      <c r="AB129" s="211">
        <f t="shared" si="100"/>
        <v>1.1367186534707296</v>
      </c>
      <c r="AC129" s="211">
        <f t="shared" si="100"/>
        <v>1.179794307707515</v>
      </c>
      <c r="AD129" s="211">
        <f t="shared" si="100"/>
        <v>1.2252630538463443</v>
      </c>
      <c r="AE129" s="211">
        <f t="shared" si="100"/>
        <v>1.2539801566708682</v>
      </c>
      <c r="AF129" s="211">
        <f t="shared" si="100"/>
        <v>1.2755179837892607</v>
      </c>
      <c r="AG129" s="211">
        <f t="shared" si="100"/>
        <v>1.2779110756913044</v>
      </c>
      <c r="AH129" s="211">
        <f t="shared" si="100"/>
        <v>1.2850903513974352</v>
      </c>
      <c r="AI129" s="211">
        <f t="shared" si="100"/>
        <v>1.2946627190056099</v>
      </c>
      <c r="AJ129" s="211">
        <f t="shared" si="100"/>
        <v>1.2970558109076535</v>
      </c>
      <c r="AK129" s="211">
        <f t="shared" si="100"/>
        <v>1.3090212704178719</v>
      </c>
      <c r="AL129" s="211">
        <f t="shared" si="100"/>
        <v>1.3257729137321772</v>
      </c>
      <c r="AM129" s="211">
        <f t="shared" si="100"/>
        <v>1.3425245570464828</v>
      </c>
      <c r="AN129" s="211">
        <f t="shared" si="100"/>
        <v>1.3497038327526136</v>
      </c>
    </row>
    <row r="130" spans="2:40" s="7" customFormat="1" ht="12" hidden="1" customHeight="1" outlineLevel="2">
      <c r="B130" s="245"/>
      <c r="C130" s="213" t="s">
        <v>770</v>
      </c>
      <c r="D130" s="213"/>
      <c r="E130" s="213"/>
      <c r="F130" s="213"/>
      <c r="G130" s="213"/>
      <c r="H130" s="213"/>
      <c r="I130" s="213"/>
      <c r="J130" s="213"/>
      <c r="K130" s="213"/>
      <c r="L130" s="213"/>
      <c r="M130" s="213"/>
      <c r="N130" s="213"/>
      <c r="O130" s="213"/>
      <c r="P130" s="213"/>
      <c r="Q130" s="213"/>
      <c r="R130" s="213"/>
      <c r="S130" s="213"/>
      <c r="T130" s="213"/>
      <c r="U130" s="213"/>
      <c r="V130" s="211">
        <f>INDEX($C$44:$AN$66,MATCH("New Customers 1MS",$C$44:$C$66,0),MATCH($C130,$C$44:$AN$44,0))</f>
        <v>1.769491725768322</v>
      </c>
      <c r="W130" s="211">
        <f t="shared" ref="W130:AN130" si="101">$V$130*(E111)</f>
        <v>0.15105417171192986</v>
      </c>
      <c r="X130" s="211">
        <f t="shared" si="101"/>
        <v>0.65354049801896208</v>
      </c>
      <c r="Y130" s="211">
        <f t="shared" si="101"/>
        <v>0.99880717621765913</v>
      </c>
      <c r="Z130" s="211">
        <f t="shared" si="101"/>
        <v>1.1991851591008313</v>
      </c>
      <c r="AA130" s="211">
        <f t="shared" si="101"/>
        <v>1.3255774252271404</v>
      </c>
      <c r="AB130" s="211">
        <f t="shared" si="101"/>
        <v>1.4088113565786118</v>
      </c>
      <c r="AC130" s="211">
        <f t="shared" si="101"/>
        <v>1.4643006441462594</v>
      </c>
      <c r="AD130" s="211">
        <f t="shared" si="101"/>
        <v>1.5197899317139072</v>
      </c>
      <c r="AE130" s="211">
        <f t="shared" si="101"/>
        <v>1.5783619574797576</v>
      </c>
      <c r="AF130" s="211">
        <f t="shared" si="101"/>
        <v>1.6153548158581896</v>
      </c>
      <c r="AG130" s="211">
        <f t="shared" si="101"/>
        <v>1.6430994596420134</v>
      </c>
      <c r="AH130" s="211">
        <f t="shared" si="101"/>
        <v>1.646182197840216</v>
      </c>
      <c r="AI130" s="211">
        <f t="shared" si="101"/>
        <v>1.6554304124348238</v>
      </c>
      <c r="AJ130" s="211">
        <f t="shared" si="101"/>
        <v>1.6677613652276346</v>
      </c>
      <c r="AK130" s="211">
        <f t="shared" si="101"/>
        <v>1.6708441034258372</v>
      </c>
      <c r="AL130" s="211">
        <f t="shared" si="101"/>
        <v>1.6862577944168506</v>
      </c>
      <c r="AM130" s="211">
        <f t="shared" si="101"/>
        <v>1.707836961804269</v>
      </c>
      <c r="AN130" s="211">
        <f t="shared" si="101"/>
        <v>1.7294161291916874</v>
      </c>
    </row>
    <row r="131" spans="2:40" s="7" customFormat="1" ht="12" hidden="1" customHeight="1" outlineLevel="2">
      <c r="B131" s="245"/>
      <c r="C131" s="213" t="s">
        <v>771</v>
      </c>
      <c r="D131" s="213"/>
      <c r="E131" s="213"/>
      <c r="F131" s="213"/>
      <c r="G131" s="213"/>
      <c r="H131" s="213"/>
      <c r="I131" s="213"/>
      <c r="J131" s="213"/>
      <c r="K131" s="213"/>
      <c r="L131" s="213"/>
      <c r="M131" s="213"/>
      <c r="N131" s="213"/>
      <c r="O131" s="213"/>
      <c r="P131" s="213"/>
      <c r="Q131" s="213"/>
      <c r="R131" s="213"/>
      <c r="S131" s="213"/>
      <c r="T131" s="213"/>
      <c r="U131" s="213"/>
      <c r="V131" s="213"/>
      <c r="W131" s="211">
        <f>INDEX($C$44:$AN$66,MATCH("New Customers 1MS",$C$44:$C$66,0),MATCH($C131,$C$44:$AN$44,0))</f>
        <v>1.571404255319149</v>
      </c>
      <c r="X131" s="211">
        <f t="shared" ref="X131:AN131" si="102">$W$131*(E111)</f>
        <v>0.13414426569797608</v>
      </c>
      <c r="Y131" s="211">
        <f t="shared" si="102"/>
        <v>0.58037927199940686</v>
      </c>
      <c r="Z131" s="211">
        <f t="shared" si="102"/>
        <v>0.88699473645192384</v>
      </c>
      <c r="AA131" s="211">
        <f t="shared" si="102"/>
        <v>1.0649412113574024</v>
      </c>
      <c r="AB131" s="211">
        <f t="shared" si="102"/>
        <v>1.1771843724516273</v>
      </c>
      <c r="AC131" s="211">
        <f t="shared" si="102"/>
        <v>1.2511006004892875</v>
      </c>
      <c r="AD131" s="211">
        <f t="shared" si="102"/>
        <v>1.3003780858477278</v>
      </c>
      <c r="AE131" s="211">
        <f t="shared" si="102"/>
        <v>1.349655571206168</v>
      </c>
      <c r="AF131" s="211">
        <f t="shared" si="102"/>
        <v>1.4016706946400772</v>
      </c>
      <c r="AG131" s="211">
        <f t="shared" si="102"/>
        <v>1.434522351545704</v>
      </c>
      <c r="AH131" s="211">
        <f t="shared" si="102"/>
        <v>1.459161094224924</v>
      </c>
      <c r="AI131" s="211">
        <f t="shared" si="102"/>
        <v>1.4618987323003929</v>
      </c>
      <c r="AJ131" s="211">
        <f t="shared" si="102"/>
        <v>1.4701116465267996</v>
      </c>
      <c r="AK131" s="211">
        <f t="shared" si="102"/>
        <v>1.4810621988286752</v>
      </c>
      <c r="AL131" s="211">
        <f t="shared" si="102"/>
        <v>1.4837998369041441</v>
      </c>
      <c r="AM131" s="211">
        <f t="shared" si="102"/>
        <v>1.4974880272814888</v>
      </c>
      <c r="AN131" s="211">
        <f t="shared" si="102"/>
        <v>1.5166514938097708</v>
      </c>
    </row>
    <row r="132" spans="2:40" s="7" customFormat="1" ht="12" hidden="1" customHeight="1" outlineLevel="2">
      <c r="B132" s="245"/>
      <c r="C132" s="213" t="s">
        <v>772</v>
      </c>
      <c r="D132" s="213"/>
      <c r="E132" s="213"/>
      <c r="F132" s="213"/>
      <c r="G132" s="213"/>
      <c r="H132" s="213"/>
      <c r="I132" s="213"/>
      <c r="J132" s="213"/>
      <c r="K132" s="213"/>
      <c r="L132" s="213"/>
      <c r="M132" s="213"/>
      <c r="N132" s="213"/>
      <c r="O132" s="213"/>
      <c r="P132" s="213"/>
      <c r="Q132" s="213"/>
      <c r="R132" s="213"/>
      <c r="S132" s="213"/>
      <c r="T132" s="213"/>
      <c r="U132" s="213"/>
      <c r="V132" s="213"/>
      <c r="W132" s="213"/>
      <c r="X132" s="211">
        <f>INDEX($C$44:$AN$66,MATCH("New Customers 1MS",$C$44:$C$66,0),MATCH($C132,$C$44:$AN$44,0))</f>
        <v>1.3512482269503547</v>
      </c>
      <c r="Y132" s="211">
        <f t="shared" ref="Y132:AN132" si="103">$X$132*(E111)</f>
        <v>0.11535045839820096</v>
      </c>
      <c r="Z132" s="211">
        <f t="shared" si="103"/>
        <v>0.49906728939629824</v>
      </c>
      <c r="AA132" s="211">
        <f t="shared" si="103"/>
        <v>0.7627254800207578</v>
      </c>
      <c r="AB132" s="211">
        <f t="shared" si="103"/>
        <v>0.91574139422245293</v>
      </c>
      <c r="AC132" s="211">
        <f t="shared" si="103"/>
        <v>1.012259124718907</v>
      </c>
      <c r="AD132" s="211">
        <f t="shared" si="103"/>
        <v>1.0758195813873033</v>
      </c>
      <c r="AE132" s="211">
        <f t="shared" si="103"/>
        <v>1.1181932191662343</v>
      </c>
      <c r="AF132" s="211">
        <f t="shared" si="103"/>
        <v>1.1605668569451653</v>
      </c>
      <c r="AG132" s="211">
        <f t="shared" si="103"/>
        <v>1.2052945857118147</v>
      </c>
      <c r="AH132" s="211">
        <f t="shared" si="103"/>
        <v>1.2335436775644355</v>
      </c>
      <c r="AI132" s="211">
        <f t="shared" si="103"/>
        <v>1.2547304964539008</v>
      </c>
      <c r="AJ132" s="211">
        <f t="shared" si="103"/>
        <v>1.2570845874416192</v>
      </c>
      <c r="AK132" s="211">
        <f t="shared" si="103"/>
        <v>1.2641468604047743</v>
      </c>
      <c r="AL132" s="211">
        <f t="shared" si="103"/>
        <v>1.2735632243556481</v>
      </c>
      <c r="AM132" s="211">
        <f t="shared" si="103"/>
        <v>1.2759173153433663</v>
      </c>
      <c r="AN132" s="211">
        <f t="shared" si="103"/>
        <v>1.2876877702819582</v>
      </c>
    </row>
    <row r="133" spans="2:40" s="7" customFormat="1" ht="12" hidden="1" customHeight="1" outlineLevel="2">
      <c r="B133" s="245"/>
      <c r="C133" s="213" t="s">
        <v>773</v>
      </c>
      <c r="D133" s="213"/>
      <c r="E133" s="213"/>
      <c r="F133" s="213"/>
      <c r="G133" s="213"/>
      <c r="H133" s="213"/>
      <c r="I133" s="213"/>
      <c r="J133" s="213"/>
      <c r="K133" s="213"/>
      <c r="L133" s="213"/>
      <c r="M133" s="213"/>
      <c r="N133" s="213"/>
      <c r="O133" s="213"/>
      <c r="P133" s="213"/>
      <c r="Q133" s="213"/>
      <c r="R133" s="213"/>
      <c r="S133" s="213"/>
      <c r="T133" s="213"/>
      <c r="U133" s="213"/>
      <c r="V133" s="213"/>
      <c r="W133" s="213"/>
      <c r="X133" s="213"/>
      <c r="Y133" s="211">
        <f>INDEX($C$44:$AN$66,MATCH("New Customers 1MS",$C$44:$C$66,0),MATCH($C133,$C$44:$AN$44,0))</f>
        <v>2.4822695035460995</v>
      </c>
      <c r="Z133" s="211">
        <f t="shared" ref="Z133:AN133" si="104">$Y$133*(E111)</f>
        <v>0.21190105518076452</v>
      </c>
      <c r="AA133" s="211">
        <f t="shared" si="104"/>
        <v>0.91679640200657331</v>
      </c>
      <c r="AB133" s="211">
        <f t="shared" si="104"/>
        <v>1.4011416709911781</v>
      </c>
      <c r="AC133" s="211">
        <f t="shared" si="104"/>
        <v>1.6822349074554577</v>
      </c>
      <c r="AD133" s="211">
        <f t="shared" si="104"/>
        <v>1.8595398719944649</v>
      </c>
      <c r="AE133" s="211">
        <f t="shared" si="104"/>
        <v>1.9763016779103963</v>
      </c>
      <c r="AF133" s="211">
        <f t="shared" si="104"/>
        <v>2.0541428818543506</v>
      </c>
      <c r="AG133" s="211">
        <f t="shared" si="104"/>
        <v>2.131984085798305</v>
      </c>
      <c r="AH133" s="211">
        <f t="shared" si="104"/>
        <v>2.2141498010724789</v>
      </c>
      <c r="AI133" s="211">
        <f t="shared" si="104"/>
        <v>2.2660439370351155</v>
      </c>
      <c r="AJ133" s="211">
        <f t="shared" si="104"/>
        <v>2.3049645390070923</v>
      </c>
      <c r="AK133" s="211">
        <f t="shared" si="104"/>
        <v>2.3092890503373122</v>
      </c>
      <c r="AL133" s="211">
        <f t="shared" si="104"/>
        <v>2.3222625843279712</v>
      </c>
      <c r="AM133" s="211">
        <f t="shared" si="104"/>
        <v>2.33956062964885</v>
      </c>
      <c r="AN133" s="211">
        <f t="shared" si="104"/>
        <v>2.3438851409790695</v>
      </c>
    </row>
    <row r="134" spans="2:40" s="7" customFormat="1" ht="12" hidden="1" customHeight="1" outlineLevel="2">
      <c r="B134" s="245"/>
      <c r="C134" s="213" t="s">
        <v>774</v>
      </c>
      <c r="D134" s="213"/>
      <c r="E134" s="213"/>
      <c r="F134" s="213"/>
      <c r="G134" s="213"/>
      <c r="H134" s="213"/>
      <c r="I134" s="213"/>
      <c r="J134" s="213"/>
      <c r="K134" s="213"/>
      <c r="L134" s="213"/>
      <c r="M134" s="213"/>
      <c r="N134" s="213"/>
      <c r="O134" s="213"/>
      <c r="P134" s="213"/>
      <c r="Q134" s="213"/>
      <c r="R134" s="213"/>
      <c r="S134" s="213"/>
      <c r="T134" s="213"/>
      <c r="U134" s="213"/>
      <c r="V134" s="213"/>
      <c r="W134" s="213"/>
      <c r="X134" s="213"/>
      <c r="Y134" s="213"/>
      <c r="Z134" s="211">
        <f>INDEX($C$44:$AN$66,MATCH("New Customers 1MS",$C$44:$C$66,0),MATCH($C134,$C$44:$AN$44,0))</f>
        <v>2.0685579196217496</v>
      </c>
      <c r="AA134" s="211">
        <f t="shared" ref="AA134:AN134" si="105">$Z$134*(E111)</f>
        <v>0.17658421265063709</v>
      </c>
      <c r="AB134" s="211">
        <f t="shared" si="105"/>
        <v>0.76399700167214435</v>
      </c>
      <c r="AC134" s="211">
        <f t="shared" si="105"/>
        <v>1.1676180591593153</v>
      </c>
      <c r="AD134" s="211">
        <f t="shared" si="105"/>
        <v>1.401862422879548</v>
      </c>
      <c r="AE134" s="211">
        <f t="shared" si="105"/>
        <v>1.5496165599953875</v>
      </c>
      <c r="AF134" s="211">
        <f t="shared" si="105"/>
        <v>1.6469180649253303</v>
      </c>
      <c r="AG134" s="211">
        <f t="shared" si="105"/>
        <v>1.7117857348786254</v>
      </c>
      <c r="AH134" s="211">
        <f t="shared" si="105"/>
        <v>1.7766534048319207</v>
      </c>
      <c r="AI134" s="211">
        <f t="shared" si="105"/>
        <v>1.8451248342270659</v>
      </c>
      <c r="AJ134" s="211">
        <f t="shared" si="105"/>
        <v>1.8883699475292628</v>
      </c>
      <c r="AK134" s="211">
        <f t="shared" si="105"/>
        <v>1.9208037825059103</v>
      </c>
      <c r="AL134" s="211">
        <f t="shared" si="105"/>
        <v>1.9244075419477602</v>
      </c>
      <c r="AM134" s="211">
        <f t="shared" si="105"/>
        <v>1.9352188202733092</v>
      </c>
      <c r="AN134" s="211">
        <f t="shared" si="105"/>
        <v>1.9496338580407084</v>
      </c>
    </row>
    <row r="135" spans="2:40" s="7" customFormat="1" ht="12" hidden="1" customHeight="1" outlineLevel="2">
      <c r="B135" s="245"/>
      <c r="C135" s="213" t="s">
        <v>775</v>
      </c>
      <c r="D135" s="213"/>
      <c r="E135" s="213"/>
      <c r="F135" s="213"/>
      <c r="G135" s="213"/>
      <c r="H135" s="213"/>
      <c r="I135" s="213"/>
      <c r="J135" s="213"/>
      <c r="K135" s="213"/>
      <c r="L135" s="213"/>
      <c r="M135" s="213"/>
      <c r="N135" s="213"/>
      <c r="O135" s="213"/>
      <c r="P135" s="213"/>
      <c r="Q135" s="213"/>
      <c r="R135" s="213"/>
      <c r="S135" s="213"/>
      <c r="T135" s="213"/>
      <c r="U135" s="213"/>
      <c r="V135" s="213"/>
      <c r="W135" s="213"/>
      <c r="X135" s="213"/>
      <c r="Y135" s="213"/>
      <c r="Z135" s="213"/>
      <c r="AA135" s="211">
        <f>INDEX($C$44:$AN$66,MATCH("New Customers 1MS",$C$44:$C$66,0),MATCH($C135,$C$44:$AN$44,0))</f>
        <v>0.97517730496453903</v>
      </c>
      <c r="AB135" s="211">
        <f t="shared" ref="AB135:AN135" si="106">$AA$135*(E111)</f>
        <v>8.3246843106728904E-2</v>
      </c>
      <c r="AC135" s="211">
        <f t="shared" si="106"/>
        <v>0.36017001507401092</v>
      </c>
      <c r="AD135" s="211">
        <f t="shared" si="106"/>
        <v>0.55044851360367708</v>
      </c>
      <c r="AE135" s="211">
        <f t="shared" si="106"/>
        <v>0.66087799935750113</v>
      </c>
      <c r="AF135" s="211">
        <f t="shared" si="106"/>
        <v>0.7305335211406826</v>
      </c>
      <c r="AG135" s="211">
        <f t="shared" si="106"/>
        <v>0.77640423060765562</v>
      </c>
      <c r="AH135" s="211">
        <f t="shared" si="106"/>
        <v>0.80698470358563767</v>
      </c>
      <c r="AI135" s="211">
        <f t="shared" si="106"/>
        <v>0.83756517656361973</v>
      </c>
      <c r="AJ135" s="211">
        <f t="shared" si="106"/>
        <v>0.8698445647070453</v>
      </c>
      <c r="AK135" s="211">
        <f t="shared" si="106"/>
        <v>0.8902315466923667</v>
      </c>
      <c r="AL135" s="211">
        <f t="shared" si="106"/>
        <v>0.90552178318135768</v>
      </c>
      <c r="AM135" s="211">
        <f t="shared" si="106"/>
        <v>0.90722069834680108</v>
      </c>
      <c r="AN135" s="211">
        <f t="shared" si="106"/>
        <v>0.9123174438431314</v>
      </c>
    </row>
    <row r="136" spans="2:40" s="7" customFormat="1" ht="12" hidden="1" customHeight="1" outlineLevel="2">
      <c r="B136" s="245"/>
      <c r="C136" s="213" t="s">
        <v>776</v>
      </c>
      <c r="D136" s="213"/>
      <c r="E136" s="213"/>
      <c r="F136" s="213"/>
      <c r="G136" s="213"/>
      <c r="H136" s="213"/>
      <c r="I136" s="213"/>
      <c r="J136" s="213"/>
      <c r="K136" s="213"/>
      <c r="L136" s="213"/>
      <c r="M136" s="213"/>
      <c r="N136" s="213"/>
      <c r="O136" s="213"/>
      <c r="P136" s="213"/>
      <c r="Q136" s="213"/>
      <c r="R136" s="213"/>
      <c r="S136" s="213"/>
      <c r="T136" s="213"/>
      <c r="U136" s="213"/>
      <c r="V136" s="213"/>
      <c r="W136" s="213"/>
      <c r="X136" s="213"/>
      <c r="Y136" s="213"/>
      <c r="Z136" s="213"/>
      <c r="AA136" s="213"/>
      <c r="AB136" s="211">
        <f>INDEX($C$44:$AN$66,MATCH("New Customers 1MS",$C$44:$C$66,0),MATCH($C136,$C$44:$AN$44,0))</f>
        <v>1.1524822695035464</v>
      </c>
      <c r="AC136" s="211">
        <f t="shared" ref="AC136:AN136" si="107">$AB$136*(E111)</f>
        <v>9.8382632762497826E-2</v>
      </c>
      <c r="AD136" s="211">
        <f t="shared" si="107"/>
        <v>0.4256554723601948</v>
      </c>
      <c r="AE136" s="211">
        <f t="shared" si="107"/>
        <v>0.65053006153161852</v>
      </c>
      <c r="AF136" s="211">
        <f t="shared" si="107"/>
        <v>0.78103763560431971</v>
      </c>
      <c r="AG136" s="211">
        <f t="shared" si="107"/>
        <v>0.86335779771171595</v>
      </c>
      <c r="AH136" s="211">
        <f t="shared" si="107"/>
        <v>0.91756863617268414</v>
      </c>
      <c r="AI136" s="211">
        <f t="shared" si="107"/>
        <v>0.95370919514666286</v>
      </c>
      <c r="AJ136" s="211">
        <f t="shared" si="107"/>
        <v>0.98984975412064169</v>
      </c>
      <c r="AK136" s="211">
        <f t="shared" si="107"/>
        <v>1.0279981219265082</v>
      </c>
      <c r="AL136" s="211">
        <f t="shared" si="107"/>
        <v>1.0520918279091609</v>
      </c>
      <c r="AM136" s="211">
        <f t="shared" si="107"/>
        <v>1.0701621073961503</v>
      </c>
      <c r="AN136" s="211">
        <f t="shared" si="107"/>
        <v>1.072169916228038</v>
      </c>
    </row>
    <row r="137" spans="2:40" s="7" customFormat="1" ht="12" hidden="1" customHeight="1" outlineLevel="2">
      <c r="B137" s="245"/>
      <c r="C137" s="213" t="s">
        <v>777</v>
      </c>
      <c r="D137" s="213"/>
      <c r="E137" s="213"/>
      <c r="F137" s="213"/>
      <c r="G137" s="213"/>
      <c r="H137" s="213"/>
      <c r="I137" s="213"/>
      <c r="J137" s="213"/>
      <c r="K137" s="213"/>
      <c r="L137" s="213"/>
      <c r="M137" s="213"/>
      <c r="N137" s="213"/>
      <c r="O137" s="213"/>
      <c r="P137" s="213"/>
      <c r="Q137" s="213"/>
      <c r="R137" s="213"/>
      <c r="S137" s="213"/>
      <c r="T137" s="213"/>
      <c r="U137" s="213"/>
      <c r="V137" s="213"/>
      <c r="W137" s="213"/>
      <c r="X137" s="213"/>
      <c r="Y137" s="213"/>
      <c r="Z137" s="213"/>
      <c r="AA137" s="213"/>
      <c r="AB137" s="211"/>
      <c r="AC137" s="211">
        <f>INDEX($C$44:$AN$66,MATCH("New Customers 1MS",$C$44:$C$66,0),MATCH($C137,$C$44:$AN$44,0))</f>
        <v>1.0935319148936173</v>
      </c>
      <c r="AD137" s="211">
        <f t="shared" ref="AD137:AN137" si="108">$AC$137*(E111)</f>
        <v>9.3350285417747786E-2</v>
      </c>
      <c r="AE137" s="211">
        <f t="shared" si="108"/>
        <v>0.4038828675216844</v>
      </c>
      <c r="AF137" s="211">
        <f t="shared" si="108"/>
        <v>0.61725494847653661</v>
      </c>
      <c r="AG137" s="211">
        <f t="shared" si="108"/>
        <v>0.74108695974497762</v>
      </c>
      <c r="AH137" s="211">
        <f t="shared" si="108"/>
        <v>0.8191963822373789</v>
      </c>
      <c r="AI137" s="211">
        <f t="shared" si="108"/>
        <v>0.87063429461042352</v>
      </c>
      <c r="AJ137" s="211">
        <f t="shared" si="108"/>
        <v>0.90492623619245338</v>
      </c>
      <c r="AK137" s="211">
        <f t="shared" si="108"/>
        <v>0.93921817777448313</v>
      </c>
      <c r="AL137" s="211">
        <f t="shared" si="108"/>
        <v>0.97541522722218132</v>
      </c>
      <c r="AM137" s="211">
        <f t="shared" si="108"/>
        <v>0.9982765216102012</v>
      </c>
      <c r="AN137" s="211">
        <f t="shared" si="108"/>
        <v>1.0154224924012161</v>
      </c>
    </row>
    <row r="138" spans="2:40" s="7" customFormat="1" ht="12" hidden="1" customHeight="1" outlineLevel="2">
      <c r="B138" s="245"/>
      <c r="C138" s="213" t="s">
        <v>778</v>
      </c>
      <c r="D138" s="213"/>
      <c r="E138" s="213"/>
      <c r="F138" s="213"/>
      <c r="G138" s="213"/>
      <c r="H138" s="213"/>
      <c r="I138" s="213"/>
      <c r="J138" s="213"/>
      <c r="K138" s="213"/>
      <c r="L138" s="213"/>
      <c r="M138" s="213"/>
      <c r="N138" s="213"/>
      <c r="O138" s="213"/>
      <c r="P138" s="213"/>
      <c r="Q138" s="213"/>
      <c r="R138" s="213"/>
      <c r="S138" s="213"/>
      <c r="T138" s="213"/>
      <c r="U138" s="213"/>
      <c r="V138" s="213"/>
      <c r="W138" s="213"/>
      <c r="X138" s="213"/>
      <c r="Y138" s="213"/>
      <c r="Z138" s="213"/>
      <c r="AA138" s="213"/>
      <c r="AB138" s="211"/>
      <c r="AC138" s="211"/>
      <c r="AD138" s="211">
        <f>INDEX($C$44:$AN$66,MATCH("New Customers 1MS",$C$44:$C$66,0),MATCH($C138,$C$44:$AN$44,0))</f>
        <v>2.5539078014184398</v>
      </c>
      <c r="AE138" s="211">
        <f t="shared" ref="AE138:AN138" si="109">$AD$138*(E111)</f>
        <v>0.21801651963328136</v>
      </c>
      <c r="AF138" s="211">
        <f t="shared" si="109"/>
        <v>0.94325514616848294</v>
      </c>
      <c r="AG138" s="211">
        <f t="shared" si="109"/>
        <v>1.4415786196159834</v>
      </c>
      <c r="AH138" s="211">
        <f t="shared" si="109"/>
        <v>1.730784206884622</v>
      </c>
      <c r="AI138" s="211">
        <f t="shared" si="109"/>
        <v>1.9132061927002251</v>
      </c>
      <c r="AJ138" s="211">
        <f t="shared" si="109"/>
        <v>2.0333377443348901</v>
      </c>
      <c r="AK138" s="211">
        <f t="shared" si="109"/>
        <v>2.1134254454246668</v>
      </c>
      <c r="AL138" s="211">
        <f t="shared" si="109"/>
        <v>2.193513146514444</v>
      </c>
      <c r="AM138" s="211">
        <f t="shared" si="109"/>
        <v>2.2780501643314306</v>
      </c>
      <c r="AN138" s="211">
        <f t="shared" si="109"/>
        <v>2.3314419650579485</v>
      </c>
    </row>
    <row r="139" spans="2:40" s="7" customFormat="1" ht="12" hidden="1" customHeight="1" outlineLevel="2">
      <c r="B139" s="245"/>
      <c r="C139" s="213" t="s">
        <v>779</v>
      </c>
      <c r="D139" s="213"/>
      <c r="E139" s="213"/>
      <c r="F139" s="213"/>
      <c r="G139" s="213"/>
      <c r="H139" s="213"/>
      <c r="I139" s="213"/>
      <c r="J139" s="213"/>
      <c r="K139" s="213"/>
      <c r="L139" s="213"/>
      <c r="M139" s="213"/>
      <c r="N139" s="213"/>
      <c r="O139" s="213"/>
      <c r="P139" s="213"/>
      <c r="Q139" s="213"/>
      <c r="R139" s="213"/>
      <c r="S139" s="213"/>
      <c r="T139" s="213"/>
      <c r="U139" s="213"/>
      <c r="V139" s="213"/>
      <c r="W139" s="213"/>
      <c r="X139" s="213"/>
      <c r="Y139" s="213"/>
      <c r="Z139" s="213"/>
      <c r="AA139" s="213"/>
      <c r="AB139" s="211"/>
      <c r="AC139" s="211"/>
      <c r="AD139" s="211"/>
      <c r="AE139" s="211">
        <f>INDEX($C$44:$AN$66,MATCH("New Customers 1MS",$C$44:$C$66,0),MATCH($C139,$C$44:$AN$44,0))</f>
        <v>1.6712765957446809</v>
      </c>
      <c r="AF139" s="211">
        <f t="shared" ref="AF139:AM139" si="110">$AE$139*(E111)</f>
        <v>0.14266995329527757</v>
      </c>
      <c r="AG139" s="211">
        <f t="shared" si="110"/>
        <v>0.61726592037956851</v>
      </c>
      <c r="AH139" s="211">
        <f t="shared" si="110"/>
        <v>0.94336867076877462</v>
      </c>
      <c r="AI139" s="211">
        <f t="shared" si="110"/>
        <v>1.1326247312625102</v>
      </c>
      <c r="AJ139" s="211">
        <f t="shared" si="110"/>
        <v>1.2520016309585589</v>
      </c>
      <c r="AK139" s="211">
        <f t="shared" si="110"/>
        <v>1.3306156868559567</v>
      </c>
      <c r="AL139" s="211">
        <f t="shared" si="110"/>
        <v>1.383025057454222</v>
      </c>
      <c r="AM139" s="211">
        <f t="shared" si="110"/>
        <v>1.4354344280524871</v>
      </c>
      <c r="AN139" s="211">
        <f>AM139*(M111)</f>
        <v>1.2803875037680721</v>
      </c>
    </row>
    <row r="140" spans="2:40" s="7" customFormat="1" ht="12" hidden="1" customHeight="1" outlineLevel="2">
      <c r="B140" s="245"/>
      <c r="C140" s="213" t="s">
        <v>780</v>
      </c>
      <c r="D140" s="213"/>
      <c r="E140" s="213"/>
      <c r="F140" s="213"/>
      <c r="G140" s="213"/>
      <c r="H140" s="213"/>
      <c r="I140" s="213"/>
      <c r="J140" s="213"/>
      <c r="K140" s="213"/>
      <c r="L140" s="213"/>
      <c r="M140" s="213"/>
      <c r="N140" s="213"/>
      <c r="O140" s="213"/>
      <c r="P140" s="213"/>
      <c r="Q140" s="213"/>
      <c r="R140" s="213"/>
      <c r="S140" s="213"/>
      <c r="T140" s="213"/>
      <c r="U140" s="213"/>
      <c r="V140" s="213"/>
      <c r="W140" s="213"/>
      <c r="X140" s="213"/>
      <c r="Y140" s="213"/>
      <c r="Z140" s="213"/>
      <c r="AA140" s="213"/>
      <c r="AB140" s="211"/>
      <c r="AC140" s="211"/>
      <c r="AD140" s="211"/>
      <c r="AE140" s="211"/>
      <c r="AF140" s="211">
        <f>INDEX($C$44:$AN$66,MATCH("New Customers 1MS",$C$44:$C$66,0),MATCH($C140,$C$44:$AN$44,0))</f>
        <v>1.5980703309692676</v>
      </c>
      <c r="AG140" s="211">
        <f t="shared" ref="AG140:AM140" si="111">$AF$140*(E111)</f>
        <v>0.13642063800957158</v>
      </c>
      <c r="AH140" s="211">
        <f t="shared" si="111"/>
        <v>0.5902280664903915</v>
      </c>
      <c r="AI140" s="211">
        <f t="shared" si="111"/>
        <v>0.90204666765512675</v>
      </c>
      <c r="AJ140" s="211">
        <f t="shared" si="111"/>
        <v>1.0830128201168032</v>
      </c>
      <c r="AK140" s="211">
        <f t="shared" si="111"/>
        <v>1.1971607009003224</v>
      </c>
      <c r="AL140" s="211">
        <f t="shared" si="111"/>
        <v>1.2723312565382496</v>
      </c>
      <c r="AM140" s="211">
        <f t="shared" si="111"/>
        <v>1.3224449602968678</v>
      </c>
      <c r="AN140" s="211">
        <f>AM140*(L111)</f>
        <v>1.1358281627636859</v>
      </c>
    </row>
    <row r="141" spans="2:40" s="7" customFormat="1" ht="12" hidden="1" customHeight="1" outlineLevel="2">
      <c r="B141" s="245"/>
      <c r="C141" s="213" t="s">
        <v>781</v>
      </c>
      <c r="D141" s="213"/>
      <c r="E141" s="213"/>
      <c r="F141" s="213"/>
      <c r="G141" s="213"/>
      <c r="H141" s="213"/>
      <c r="I141" s="213"/>
      <c r="J141" s="213"/>
      <c r="K141" s="213"/>
      <c r="L141" s="213"/>
      <c r="M141" s="213"/>
      <c r="N141" s="213"/>
      <c r="O141" s="213"/>
      <c r="P141" s="213"/>
      <c r="Q141" s="213"/>
      <c r="R141" s="213"/>
      <c r="S141" s="213"/>
      <c r="T141" s="213"/>
      <c r="U141" s="213"/>
      <c r="V141" s="213"/>
      <c r="W141" s="213"/>
      <c r="X141" s="213"/>
      <c r="Y141" s="213"/>
      <c r="Z141" s="213"/>
      <c r="AA141" s="213"/>
      <c r="AB141" s="211"/>
      <c r="AC141" s="211"/>
      <c r="AD141" s="211"/>
      <c r="AE141" s="211"/>
      <c r="AF141" s="211"/>
      <c r="AG141" s="211">
        <f>INDEX($C$44:$AN$66,MATCH("New Customers 1MS",$C$44:$C$66,0),MATCH($C141,$C$44:$AN$44,0))</f>
        <v>1.3736347517730498</v>
      </c>
      <c r="AH141" s="211">
        <f t="shared" ref="AH141:AN141" si="112">$AG$141*(E111)</f>
        <v>0.11726150320013835</v>
      </c>
      <c r="AI141" s="211">
        <f t="shared" si="112"/>
        <v>0.50733548323325184</v>
      </c>
      <c r="AJ141" s="211">
        <f t="shared" si="112"/>
        <v>0.77536177626213965</v>
      </c>
      <c r="AK141" s="211">
        <f t="shared" si="112"/>
        <v>0.9309127498949763</v>
      </c>
      <c r="AL141" s="211">
        <f t="shared" si="112"/>
        <v>1.0290295178787656</v>
      </c>
      <c r="AM141" s="211">
        <f t="shared" si="112"/>
        <v>1.0936429992339438</v>
      </c>
      <c r="AN141" s="211">
        <f t="shared" si="112"/>
        <v>1.1367186534707294</v>
      </c>
    </row>
    <row r="142" spans="2:40" s="7" customFormat="1" ht="12" hidden="1" customHeight="1" outlineLevel="2">
      <c r="B142" s="245"/>
      <c r="C142" s="213" t="s">
        <v>782</v>
      </c>
      <c r="D142" s="213"/>
      <c r="E142" s="213"/>
      <c r="F142" s="213"/>
      <c r="G142" s="213"/>
      <c r="H142" s="213"/>
      <c r="I142" s="213"/>
      <c r="J142" s="213"/>
      <c r="K142" s="213"/>
      <c r="L142" s="213"/>
      <c r="M142" s="213"/>
      <c r="N142" s="213"/>
      <c r="O142" s="213"/>
      <c r="P142" s="213"/>
      <c r="Q142" s="213"/>
      <c r="R142" s="213"/>
      <c r="S142" s="213"/>
      <c r="T142" s="213"/>
      <c r="U142" s="213"/>
      <c r="V142" s="213"/>
      <c r="W142" s="213"/>
      <c r="X142" s="213"/>
      <c r="Y142" s="213"/>
      <c r="Z142" s="213"/>
      <c r="AA142" s="213"/>
      <c r="AB142" s="211"/>
      <c r="AC142" s="211"/>
      <c r="AD142" s="211"/>
      <c r="AE142" s="211"/>
      <c r="AF142" s="211"/>
      <c r="AG142" s="211"/>
      <c r="AH142" s="211">
        <f>INDEX($C$44:$AN$66,MATCH("New Customers 1MS",$C$44:$C$66,0),MATCH($C142,$C$44:$AN$44,0))</f>
        <v>2.5738061465721045</v>
      </c>
      <c r="AI142" s="211">
        <f t="shared" ref="AI142:AN142" si="113">$AH$142*(E111)</f>
        <v>0.21971515885371615</v>
      </c>
      <c r="AJ142" s="211">
        <f t="shared" si="113"/>
        <v>0.95060436075485388</v>
      </c>
      <c r="AK142" s="211">
        <f t="shared" si="113"/>
        <v>1.4528104381347768</v>
      </c>
      <c r="AL142" s="211">
        <f t="shared" si="113"/>
        <v>1.744269322328482</v>
      </c>
      <c r="AM142" s="211">
        <f t="shared" si="113"/>
        <v>1.9281126185122039</v>
      </c>
      <c r="AN142" s="211">
        <f t="shared" si="113"/>
        <v>2.0491801550234352</v>
      </c>
    </row>
    <row r="143" spans="2:40" s="7" customFormat="1" ht="12" hidden="1" customHeight="1" outlineLevel="2">
      <c r="B143" s="245"/>
      <c r="C143" s="213" t="s">
        <v>783</v>
      </c>
      <c r="D143" s="213"/>
      <c r="E143" s="213"/>
      <c r="F143" s="213"/>
      <c r="G143" s="213"/>
      <c r="H143" s="213"/>
      <c r="I143" s="213"/>
      <c r="J143" s="213"/>
      <c r="K143" s="213"/>
      <c r="L143" s="213"/>
      <c r="M143" s="213"/>
      <c r="N143" s="213"/>
      <c r="O143" s="213"/>
      <c r="P143" s="213"/>
      <c r="Q143" s="213"/>
      <c r="R143" s="213"/>
      <c r="S143" s="213"/>
      <c r="T143" s="213"/>
      <c r="U143" s="213"/>
      <c r="V143" s="213"/>
      <c r="W143" s="213"/>
      <c r="X143" s="213"/>
      <c r="Y143" s="213"/>
      <c r="Z143" s="213"/>
      <c r="AA143" s="213"/>
      <c r="AB143" s="211"/>
      <c r="AC143" s="211"/>
      <c r="AD143" s="211"/>
      <c r="AE143" s="211"/>
      <c r="AF143" s="211"/>
      <c r="AG143" s="211"/>
      <c r="AH143" s="211"/>
      <c r="AI143" s="211">
        <f>INDEX($C$44:$AN$66,MATCH("New Customers 1MS",$C$44:$C$66,0),MATCH($C143,$C$44:$AN$44,0))</f>
        <v>1.1785531914893619</v>
      </c>
      <c r="AJ143" s="211">
        <f>$AI$143*(E111)</f>
        <v>0.10060819927348207</v>
      </c>
      <c r="AK143" s="211">
        <f>$AI$143*(F111)</f>
        <v>0.43528445399955523</v>
      </c>
      <c r="AL143" s="211">
        <f>$AI$143*(G111)</f>
        <v>0.66524605233894296</v>
      </c>
      <c r="AM143" s="211">
        <f>$AI$143*(H111)</f>
        <v>0.7987059085180519</v>
      </c>
      <c r="AN143" s="211">
        <f>$AI$143*(I111)</f>
        <v>0.88288827933872061</v>
      </c>
    </row>
    <row r="144" spans="2:40" s="7" customFormat="1" ht="12" hidden="1" customHeight="1" outlineLevel="2">
      <c r="B144" s="245"/>
      <c r="C144" s="213" t="s">
        <v>784</v>
      </c>
      <c r="D144" s="213"/>
      <c r="E144" s="213"/>
      <c r="F144" s="213"/>
      <c r="G144" s="213"/>
      <c r="H144" s="213"/>
      <c r="I144" s="213"/>
      <c r="J144" s="213"/>
      <c r="K144" s="213"/>
      <c r="L144" s="213"/>
      <c r="M144" s="213"/>
      <c r="N144" s="213"/>
      <c r="O144" s="213"/>
      <c r="P144" s="213"/>
      <c r="Q144" s="213"/>
      <c r="R144" s="213"/>
      <c r="S144" s="213"/>
      <c r="T144" s="213"/>
      <c r="U144" s="213"/>
      <c r="V144" s="213"/>
      <c r="W144" s="213"/>
      <c r="X144" s="213"/>
      <c r="Y144" s="213"/>
      <c r="Z144" s="213"/>
      <c r="AA144" s="213"/>
      <c r="AB144" s="211"/>
      <c r="AC144" s="211"/>
      <c r="AD144" s="211"/>
      <c r="AE144" s="211"/>
      <c r="AF144" s="211"/>
      <c r="AG144" s="211"/>
      <c r="AH144" s="211"/>
      <c r="AI144" s="211"/>
      <c r="AJ144" s="211">
        <f>INDEX($C$44:$AN$66,MATCH("New Customers 1MS",$C$44:$C$66,0),MATCH($C144,$C$44:$AN$44,0))</f>
        <v>1.2386442080378253</v>
      </c>
      <c r="AK144" s="211">
        <f>$AJ$144*(E111)</f>
        <v>0.10573792019835089</v>
      </c>
      <c r="AL144" s="211">
        <f>$AJ$144*(F111)</f>
        <v>0.45747834861327341</v>
      </c>
      <c r="AM144" s="211">
        <f>$AJ$144*(G111)</f>
        <v>0.6991650233523613</v>
      </c>
      <c r="AN144" s="211">
        <f>$AJ$144*(H111)</f>
        <v>0.83942961137058192</v>
      </c>
    </row>
    <row r="145" spans="2:41" s="7" customFormat="1" ht="12" hidden="1" customHeight="1" outlineLevel="2">
      <c r="B145" s="245"/>
      <c r="C145" s="213" t="s">
        <v>785</v>
      </c>
      <c r="D145" s="213"/>
      <c r="E145" s="213"/>
      <c r="F145" s="213"/>
      <c r="G145" s="213"/>
      <c r="H145" s="213"/>
      <c r="I145" s="213"/>
      <c r="J145" s="213"/>
      <c r="K145" s="213"/>
      <c r="L145" s="213"/>
      <c r="M145" s="213"/>
      <c r="N145" s="213"/>
      <c r="O145" s="213"/>
      <c r="P145" s="213"/>
      <c r="Q145" s="213"/>
      <c r="R145" s="213"/>
      <c r="S145" s="213"/>
      <c r="T145" s="213"/>
      <c r="U145" s="213"/>
      <c r="V145" s="213"/>
      <c r="W145" s="213"/>
      <c r="X145" s="213"/>
      <c r="Y145" s="213"/>
      <c r="Z145" s="213"/>
      <c r="AA145" s="213"/>
      <c r="AB145" s="211"/>
      <c r="AC145" s="211"/>
      <c r="AD145" s="211"/>
      <c r="AE145" s="211"/>
      <c r="AF145" s="211"/>
      <c r="AG145" s="211"/>
      <c r="AH145" s="211"/>
      <c r="AI145" s="211"/>
      <c r="AJ145" s="211"/>
      <c r="AK145" s="211">
        <f>INDEX($C$44:$AN$66,MATCH("New Customers 1MS",$C$44:$C$66,0),MATCH($C145,$C$44:$AN$44,0))</f>
        <v>2.9787234042553195</v>
      </c>
      <c r="AL145" s="211">
        <f>$AK$145*(E111)</f>
        <v>0.25428126621691743</v>
      </c>
      <c r="AM145" s="211">
        <f>$AK$145*(F111)</f>
        <v>1.100155682407888</v>
      </c>
      <c r="AN145" s="211">
        <f>$AK$145*(G111)</f>
        <v>1.6813700051894138</v>
      </c>
    </row>
    <row r="146" spans="2:41" s="7" customFormat="1" ht="12" hidden="1" customHeight="1" outlineLevel="2">
      <c r="B146" s="245"/>
      <c r="C146" s="213" t="s">
        <v>786</v>
      </c>
      <c r="D146" s="213"/>
      <c r="E146" s="213"/>
      <c r="F146" s="213"/>
      <c r="G146" s="213"/>
      <c r="H146" s="213"/>
      <c r="I146" s="213"/>
      <c r="J146" s="213"/>
      <c r="K146" s="213"/>
      <c r="L146" s="213"/>
      <c r="M146" s="213"/>
      <c r="N146" s="213"/>
      <c r="O146" s="213"/>
      <c r="P146" s="213"/>
      <c r="Q146" s="213"/>
      <c r="R146" s="213"/>
      <c r="S146" s="213"/>
      <c r="T146" s="213"/>
      <c r="U146" s="213"/>
      <c r="V146" s="213"/>
      <c r="W146" s="213"/>
      <c r="X146" s="213"/>
      <c r="Y146" s="213"/>
      <c r="Z146" s="213"/>
      <c r="AA146" s="213"/>
      <c r="AB146" s="211"/>
      <c r="AC146" s="211"/>
      <c r="AD146" s="211"/>
      <c r="AE146" s="211"/>
      <c r="AF146" s="211"/>
      <c r="AG146" s="211"/>
      <c r="AH146" s="211"/>
      <c r="AI146" s="211"/>
      <c r="AJ146" s="211"/>
      <c r="AK146" s="211"/>
      <c r="AL146" s="211">
        <f>INDEX($C$44:$AN$66,MATCH("New Customers 1MS",$C$44:$C$66,0),MATCH($C146,$C$44:$AN$44,0))</f>
        <v>2.0685579196217496</v>
      </c>
      <c r="AM146" s="211">
        <f>$AL$146*(E111)</f>
        <v>0.17658421265063709</v>
      </c>
      <c r="AN146" s="211">
        <f>$AL$146*(F111)</f>
        <v>0.76399700167214435</v>
      </c>
    </row>
    <row r="147" spans="2:41" s="7" customFormat="1" ht="12" hidden="1" customHeight="1" outlineLevel="2">
      <c r="B147" s="245"/>
      <c r="C147" s="213" t="s">
        <v>787</v>
      </c>
      <c r="D147" s="213"/>
      <c r="E147" s="213"/>
      <c r="F147" s="213"/>
      <c r="G147" s="213"/>
      <c r="H147" s="213"/>
      <c r="I147" s="213"/>
      <c r="J147" s="213"/>
      <c r="K147" s="213"/>
      <c r="L147" s="213"/>
      <c r="M147" s="213"/>
      <c r="N147" s="213"/>
      <c r="O147" s="213"/>
      <c r="P147" s="213"/>
      <c r="Q147" s="213"/>
      <c r="R147" s="213"/>
      <c r="S147" s="213"/>
      <c r="T147" s="213"/>
      <c r="U147" s="213"/>
      <c r="V147" s="213"/>
      <c r="W147" s="213"/>
      <c r="X147" s="213"/>
      <c r="Y147" s="213"/>
      <c r="Z147" s="213"/>
      <c r="AA147" s="213"/>
      <c r="AB147" s="211"/>
      <c r="AC147" s="211"/>
      <c r="AD147" s="211"/>
      <c r="AE147" s="211"/>
      <c r="AF147" s="211"/>
      <c r="AG147" s="211"/>
      <c r="AH147" s="211"/>
      <c r="AI147" s="211"/>
      <c r="AJ147" s="211"/>
      <c r="AK147" s="211"/>
      <c r="AL147" s="211"/>
      <c r="AM147" s="211">
        <f>INDEX($C$44:$AN$66,MATCH("New Customers 1MS",$C$44:$C$66,0),MATCH($C147,$C$44:$AN$44,0))</f>
        <v>1.072695035460993</v>
      </c>
      <c r="AN147" s="211">
        <f>$AM$147*(E111)</f>
        <v>9.1571527417401807E-2</v>
      </c>
    </row>
    <row r="148" spans="2:41" s="7" customFormat="1" ht="12" hidden="1" customHeight="1" outlineLevel="2">
      <c r="B148" s="245"/>
      <c r="C148" s="213" t="s">
        <v>788</v>
      </c>
      <c r="D148" s="213"/>
      <c r="E148" s="213"/>
      <c r="F148" s="213"/>
      <c r="G148" s="213"/>
      <c r="H148" s="213"/>
      <c r="I148" s="213"/>
      <c r="J148" s="213"/>
      <c r="K148" s="213"/>
      <c r="L148" s="213"/>
      <c r="M148" s="213"/>
      <c r="N148" s="213"/>
      <c r="O148" s="213"/>
      <c r="P148" s="213"/>
      <c r="Q148" s="213"/>
      <c r="R148" s="213"/>
      <c r="S148" s="213"/>
      <c r="T148" s="213"/>
      <c r="U148" s="213"/>
      <c r="V148" s="213"/>
      <c r="W148" s="213"/>
      <c r="X148" s="213"/>
      <c r="Y148" s="213"/>
      <c r="Z148" s="213"/>
      <c r="AA148" s="213"/>
      <c r="AB148" s="211"/>
      <c r="AC148" s="211"/>
      <c r="AD148" s="211"/>
      <c r="AE148" s="211"/>
      <c r="AF148" s="211"/>
      <c r="AG148" s="211"/>
      <c r="AH148" s="211"/>
      <c r="AI148" s="211"/>
      <c r="AJ148" s="211"/>
      <c r="AK148" s="211"/>
      <c r="AL148" s="211"/>
      <c r="AM148" s="211"/>
      <c r="AN148" s="211">
        <f>INDEX($C$44:$AN$66,MATCH("New Customers 1MS",$C$44:$C$66,0),MATCH($C148,$C$44:$AN$44,0))</f>
        <v>1.3829787234042554</v>
      </c>
    </row>
    <row r="149" spans="2:41" s="7" customFormat="1" ht="12" hidden="1" customHeight="1" outlineLevel="2">
      <c r="B149" s="245"/>
      <c r="C149" s="213"/>
      <c r="D149" s="213"/>
      <c r="E149" s="213"/>
      <c r="F149" s="213"/>
      <c r="G149" s="213"/>
      <c r="H149" s="213"/>
      <c r="I149" s="213"/>
      <c r="J149" s="213"/>
      <c r="K149" s="213"/>
      <c r="L149" s="213"/>
      <c r="M149" s="213"/>
      <c r="N149" s="213"/>
      <c r="O149" s="213"/>
      <c r="P149" s="213"/>
      <c r="Q149" s="213"/>
      <c r="R149" s="213"/>
      <c r="S149" s="213"/>
      <c r="T149" s="213"/>
      <c r="U149" s="213"/>
      <c r="V149" s="213"/>
      <c r="W149" s="213"/>
      <c r="X149" s="213"/>
      <c r="Y149" s="213"/>
      <c r="Z149" s="213"/>
      <c r="AA149" s="213"/>
      <c r="AB149" s="211"/>
      <c r="AC149" s="211"/>
      <c r="AD149" s="211"/>
      <c r="AE149" s="211"/>
      <c r="AF149" s="211"/>
      <c r="AG149" s="211"/>
      <c r="AH149" s="211"/>
      <c r="AI149" s="211"/>
      <c r="AJ149" s="211"/>
      <c r="AK149" s="211"/>
      <c r="AL149" s="211"/>
      <c r="AM149" s="211"/>
      <c r="AN149" s="211"/>
    </row>
    <row r="150" spans="2:41" s="7" customFormat="1" ht="12" hidden="1" customHeight="1" outlineLevel="2">
      <c r="B150" s="245"/>
      <c r="C150" s="213"/>
      <c r="D150" s="213"/>
      <c r="E150" s="213"/>
      <c r="F150" s="213"/>
      <c r="G150" s="213"/>
      <c r="H150" s="213"/>
      <c r="I150" s="213"/>
      <c r="J150" s="213"/>
      <c r="K150" s="213"/>
      <c r="L150" s="213"/>
      <c r="M150" s="213"/>
      <c r="N150" s="213"/>
      <c r="O150" s="213"/>
      <c r="P150" s="213"/>
      <c r="Q150" s="213"/>
      <c r="R150" s="213"/>
      <c r="S150" s="213"/>
      <c r="T150" s="213"/>
      <c r="U150" s="213"/>
      <c r="V150" s="213"/>
      <c r="W150" s="213"/>
      <c r="X150" s="213"/>
      <c r="Y150" s="213"/>
      <c r="Z150" s="213"/>
      <c r="AA150" s="213"/>
      <c r="AB150" s="211"/>
      <c r="AC150" s="211"/>
      <c r="AD150" s="211"/>
      <c r="AE150" s="211"/>
      <c r="AF150" s="211"/>
      <c r="AG150" s="211"/>
      <c r="AH150" s="211"/>
      <c r="AI150" s="211"/>
      <c r="AJ150" s="211"/>
      <c r="AK150" s="211"/>
      <c r="AL150" s="211"/>
      <c r="AM150" s="211"/>
      <c r="AN150" s="211"/>
    </row>
    <row r="151" spans="2:41" s="7" customFormat="1" ht="12" hidden="1" customHeight="1" outlineLevel="2">
      <c r="B151" s="245"/>
      <c r="C151" s="243" t="s">
        <v>854</v>
      </c>
      <c r="D151" s="213"/>
      <c r="E151" s="213"/>
      <c r="F151" s="213"/>
      <c r="G151" s="213"/>
      <c r="H151" s="213"/>
      <c r="I151" s="213"/>
      <c r="J151" s="213"/>
      <c r="K151" s="213"/>
      <c r="L151" s="213"/>
      <c r="M151" s="213"/>
      <c r="N151" s="213"/>
      <c r="O151" s="213"/>
      <c r="P151" s="213"/>
      <c r="Q151" s="213"/>
      <c r="R151" s="213"/>
      <c r="S151" s="213"/>
      <c r="T151" s="213"/>
      <c r="U151" s="213"/>
      <c r="V151" s="213"/>
      <c r="W151" s="213"/>
      <c r="X151" s="213"/>
      <c r="Y151" s="213"/>
      <c r="Z151" s="213"/>
      <c r="AA151" s="213"/>
      <c r="AB151" s="213"/>
      <c r="AC151" s="211"/>
    </row>
    <row r="152" spans="2:41" s="7" customFormat="1" ht="12" hidden="1" customHeight="1" outlineLevel="2">
      <c r="B152" s="239"/>
      <c r="C152" s="214" t="s">
        <v>850</v>
      </c>
      <c r="D152" s="214"/>
      <c r="E152" s="196" t="s">
        <v>753</v>
      </c>
      <c r="F152" s="196" t="s">
        <v>754</v>
      </c>
      <c r="G152" s="196" t="s">
        <v>755</v>
      </c>
      <c r="H152" s="196" t="s">
        <v>756</v>
      </c>
      <c r="I152" s="196" t="s">
        <v>757</v>
      </c>
      <c r="J152" s="196" t="s">
        <v>758</v>
      </c>
      <c r="K152" s="196" t="s">
        <v>759</v>
      </c>
      <c r="L152" s="196" t="s">
        <v>760</v>
      </c>
      <c r="M152" s="196" t="s">
        <v>761</v>
      </c>
      <c r="N152" s="196" t="s">
        <v>762</v>
      </c>
      <c r="O152" s="196" t="s">
        <v>763</v>
      </c>
      <c r="P152" s="196" t="s">
        <v>764</v>
      </c>
      <c r="Q152" s="196" t="s">
        <v>765</v>
      </c>
      <c r="R152" s="196" t="s">
        <v>766</v>
      </c>
      <c r="S152" s="196" t="s">
        <v>767</v>
      </c>
      <c r="T152" s="196" t="s">
        <v>768</v>
      </c>
      <c r="U152" s="196" t="s">
        <v>769</v>
      </c>
      <c r="V152" s="196" t="s">
        <v>770</v>
      </c>
      <c r="W152" s="196" t="s">
        <v>771</v>
      </c>
      <c r="X152" s="196" t="s">
        <v>772</v>
      </c>
      <c r="Y152" s="196" t="s">
        <v>773</v>
      </c>
      <c r="Z152" s="196" t="s">
        <v>774</v>
      </c>
      <c r="AA152" s="196" t="s">
        <v>775</v>
      </c>
      <c r="AB152" s="196" t="s">
        <v>776</v>
      </c>
      <c r="AC152" s="196" t="s">
        <v>777</v>
      </c>
      <c r="AD152" s="196" t="s">
        <v>778</v>
      </c>
      <c r="AE152" s="196" t="s">
        <v>779</v>
      </c>
      <c r="AF152" s="196" t="s">
        <v>780</v>
      </c>
      <c r="AG152" s="196" t="s">
        <v>781</v>
      </c>
      <c r="AH152" s="196" t="s">
        <v>782</v>
      </c>
      <c r="AI152" s="196" t="s">
        <v>783</v>
      </c>
      <c r="AJ152" s="196" t="s">
        <v>784</v>
      </c>
      <c r="AK152" s="196" t="s">
        <v>785</v>
      </c>
      <c r="AL152" s="196" t="s">
        <v>786</v>
      </c>
      <c r="AM152" s="196" t="s">
        <v>787</v>
      </c>
      <c r="AN152" s="196" t="s">
        <v>788</v>
      </c>
    </row>
    <row r="153" spans="2:41" s="7" customFormat="1" ht="12" hidden="1" customHeight="1" outlineLevel="2">
      <c r="B153" s="239"/>
      <c r="C153" s="247" t="s">
        <v>851</v>
      </c>
      <c r="D153" s="212"/>
      <c r="E153" s="345">
        <v>0.9</v>
      </c>
      <c r="F153" s="342"/>
      <c r="G153" s="342"/>
      <c r="H153" s="345">
        <v>0.6</v>
      </c>
      <c r="I153" s="342"/>
      <c r="J153" s="342"/>
      <c r="K153" s="345">
        <v>0.4</v>
      </c>
      <c r="L153" s="342"/>
      <c r="M153" s="342"/>
      <c r="N153" s="345">
        <v>0.2</v>
      </c>
      <c r="O153" s="342"/>
      <c r="P153" s="342"/>
      <c r="Q153" s="345">
        <v>0.15</v>
      </c>
      <c r="R153" s="342"/>
      <c r="S153" s="342"/>
      <c r="T153" s="345">
        <v>0.1</v>
      </c>
      <c r="U153" s="342"/>
      <c r="V153" s="342"/>
      <c r="W153" s="345">
        <v>0.08</v>
      </c>
      <c r="X153" s="342"/>
      <c r="Y153" s="342"/>
      <c r="Z153" s="345">
        <v>7.0000000000000007E-2</v>
      </c>
      <c r="AA153" s="342"/>
      <c r="AB153" s="342"/>
      <c r="AC153" s="345">
        <v>0.05</v>
      </c>
      <c r="AD153" s="342"/>
      <c r="AE153" s="342"/>
      <c r="AF153" s="345">
        <v>0.04</v>
      </c>
      <c r="AG153" s="342"/>
      <c r="AH153" s="342"/>
      <c r="AI153" s="345">
        <v>0.02</v>
      </c>
      <c r="AJ153" s="342"/>
      <c r="AK153" s="342"/>
      <c r="AL153" s="345">
        <v>0.01</v>
      </c>
      <c r="AM153" s="342"/>
      <c r="AN153" s="342"/>
    </row>
    <row r="154" spans="2:41" s="7" customFormat="1" ht="12" hidden="1" customHeight="1" outlineLevel="2">
      <c r="B154" s="239"/>
      <c r="C154" s="214" t="s">
        <v>852</v>
      </c>
      <c r="D154" s="212"/>
      <c r="E154" s="211">
        <f>86*66%</f>
        <v>56.760000000000005</v>
      </c>
      <c r="F154" s="211">
        <f>69-28</f>
        <v>41</v>
      </c>
      <c r="G154" s="211">
        <f>111-28</f>
        <v>83</v>
      </c>
      <c r="H154" s="211">
        <f>E154*0.98-27</f>
        <v>28.6248</v>
      </c>
      <c r="I154" s="211">
        <f>F154*0.98-40</f>
        <v>0.17999999999999972</v>
      </c>
      <c r="J154" s="211">
        <f t="shared" ref="J154:AN154" si="114">G154*0.98</f>
        <v>81.34</v>
      </c>
      <c r="K154" s="211">
        <f t="shared" si="114"/>
        <v>28.052303999999999</v>
      </c>
      <c r="L154" s="211">
        <f t="shared" si="114"/>
        <v>0.17639999999999972</v>
      </c>
      <c r="M154" s="211">
        <f t="shared" si="114"/>
        <v>79.713200000000001</v>
      </c>
      <c r="N154" s="211">
        <f t="shared" si="114"/>
        <v>27.491257919999999</v>
      </c>
      <c r="O154" s="211">
        <f t="shared" si="114"/>
        <v>0.17287199999999972</v>
      </c>
      <c r="P154" s="211">
        <f t="shared" si="114"/>
        <v>78.118936000000005</v>
      </c>
      <c r="Q154" s="211">
        <f t="shared" si="114"/>
        <v>26.941432761599998</v>
      </c>
      <c r="R154" s="211">
        <f t="shared" si="114"/>
        <v>0.16941455999999971</v>
      </c>
      <c r="S154" s="211">
        <f t="shared" si="114"/>
        <v>76.556557280000007</v>
      </c>
      <c r="T154" s="211">
        <f t="shared" si="114"/>
        <v>26.402604106367999</v>
      </c>
      <c r="U154" s="211">
        <f t="shared" si="114"/>
        <v>0.16602626879999971</v>
      </c>
      <c r="V154" s="211">
        <f t="shared" si="114"/>
        <v>75.025426134400007</v>
      </c>
      <c r="W154" s="211">
        <f t="shared" si="114"/>
        <v>25.874552024240639</v>
      </c>
      <c r="X154" s="211">
        <f t="shared" si="114"/>
        <v>0.16270574342399971</v>
      </c>
      <c r="Y154" s="211">
        <f t="shared" si="114"/>
        <v>73.524917611711999</v>
      </c>
      <c r="Z154" s="211">
        <f t="shared" si="114"/>
        <v>25.357060983755826</v>
      </c>
      <c r="AA154" s="211">
        <f t="shared" si="114"/>
        <v>0.15945162855551973</v>
      </c>
      <c r="AB154" s="211">
        <f t="shared" si="114"/>
        <v>72.054419259477754</v>
      </c>
      <c r="AC154" s="211">
        <f t="shared" si="114"/>
        <v>24.84991976408071</v>
      </c>
      <c r="AD154" s="211">
        <f t="shared" si="114"/>
        <v>0.15626259598440934</v>
      </c>
      <c r="AE154" s="211">
        <f t="shared" si="114"/>
        <v>70.613330874288195</v>
      </c>
      <c r="AF154" s="211">
        <f t="shared" si="114"/>
        <v>24.352921368799095</v>
      </c>
      <c r="AG154" s="211">
        <f t="shared" si="114"/>
        <v>0.15313734406472115</v>
      </c>
      <c r="AH154" s="211">
        <f t="shared" si="114"/>
        <v>69.201064256802425</v>
      </c>
      <c r="AI154" s="211">
        <f t="shared" si="114"/>
        <v>23.865862941423114</v>
      </c>
      <c r="AJ154" s="211">
        <f t="shared" si="114"/>
        <v>0.15007459718342672</v>
      </c>
      <c r="AK154" s="211">
        <f t="shared" si="114"/>
        <v>67.817042971666382</v>
      </c>
      <c r="AL154" s="211">
        <f t="shared" si="114"/>
        <v>23.38854568259465</v>
      </c>
      <c r="AM154" s="211">
        <f t="shared" si="114"/>
        <v>0.1470731052397582</v>
      </c>
      <c r="AN154" s="211">
        <f t="shared" si="114"/>
        <v>66.460702112233051</v>
      </c>
      <c r="AO154" s="211"/>
    </row>
    <row r="155" spans="2:41" s="7" customFormat="1" ht="12" hidden="1" customHeight="1" outlineLevel="2">
      <c r="B155" s="245"/>
      <c r="C155" s="213" t="s">
        <v>753</v>
      </c>
      <c r="D155" s="213"/>
      <c r="E155" s="211">
        <f>INDEX($C$44:$AN$66,MATCH("New Customers 3MS",$C$44:$C$66,0),MATCH($C155,$C$44:$AN$44,0))</f>
        <v>0</v>
      </c>
      <c r="F155" s="211"/>
      <c r="G155" s="211"/>
      <c r="H155" s="211">
        <f>E155*(E153)</f>
        <v>0</v>
      </c>
      <c r="I155" s="211"/>
      <c r="J155" s="211"/>
      <c r="K155" s="211">
        <f>$E$155*(H153)</f>
        <v>0</v>
      </c>
      <c r="L155" s="211"/>
      <c r="M155" s="211"/>
      <c r="N155" s="211">
        <f>$E$155*(K153)</f>
        <v>0</v>
      </c>
      <c r="O155" s="211"/>
      <c r="P155" s="211"/>
      <c r="Q155" s="211">
        <f>$E$155*(N153)</f>
        <v>0</v>
      </c>
      <c r="R155" s="211"/>
      <c r="S155" s="211"/>
      <c r="T155" s="211">
        <f>$E$155*(Q153)</f>
        <v>0</v>
      </c>
      <c r="U155" s="211"/>
      <c r="V155" s="211"/>
      <c r="W155" s="211">
        <f>$E$155*(T153)</f>
        <v>0</v>
      </c>
      <c r="X155" s="211"/>
      <c r="Y155" s="211"/>
      <c r="Z155" s="211">
        <f>$E$155*(W153)</f>
        <v>0</v>
      </c>
      <c r="AA155" s="211"/>
      <c r="AB155" s="211"/>
      <c r="AC155" s="211">
        <f>$E$155*(Z153)</f>
        <v>0</v>
      </c>
      <c r="AD155" s="211"/>
      <c r="AE155" s="211"/>
      <c r="AF155" s="211">
        <f>$E$155*(AC153)</f>
        <v>0</v>
      </c>
      <c r="AG155" s="211"/>
      <c r="AH155" s="211"/>
      <c r="AI155" s="211">
        <f>$E$155*(AF153)</f>
        <v>0</v>
      </c>
      <c r="AJ155" s="211"/>
      <c r="AK155" s="211"/>
      <c r="AL155" s="211">
        <f>$E$155*(AI153)</f>
        <v>0</v>
      </c>
      <c r="AM155" s="211"/>
      <c r="AN155" s="211"/>
    </row>
    <row r="156" spans="2:41" s="7" customFormat="1" ht="12" hidden="1" customHeight="1" outlineLevel="2">
      <c r="B156" s="245"/>
      <c r="C156" s="213" t="s">
        <v>754</v>
      </c>
      <c r="D156" s="213"/>
      <c r="E156" s="213"/>
      <c r="F156" s="211">
        <f>INDEX($C$44:$AN$66,MATCH("New Customers 3MS",$C$44:$C$66,0),MATCH($C156,$C$44:$AN$44,0))</f>
        <v>0</v>
      </c>
      <c r="G156" s="211"/>
      <c r="H156" s="211"/>
      <c r="I156" s="211">
        <f>$F$156*(E153)</f>
        <v>0</v>
      </c>
      <c r="J156" s="211"/>
      <c r="K156" s="211"/>
      <c r="L156" s="211">
        <f>$F$156*(H153)</f>
        <v>0</v>
      </c>
      <c r="M156" s="211"/>
      <c r="N156" s="211"/>
      <c r="O156" s="211">
        <f>$F$156*(K153)</f>
        <v>0</v>
      </c>
      <c r="P156" s="211"/>
      <c r="Q156" s="211"/>
      <c r="R156" s="211">
        <f>$F$156*(N153)</f>
        <v>0</v>
      </c>
      <c r="S156" s="211"/>
      <c r="T156" s="211"/>
      <c r="U156" s="211">
        <f>$F$156*(Q153)</f>
        <v>0</v>
      </c>
      <c r="V156" s="211"/>
      <c r="W156" s="211"/>
      <c r="X156" s="211">
        <f>$F$156*(T153)</f>
        <v>0</v>
      </c>
      <c r="Y156" s="211"/>
      <c r="Z156" s="211"/>
      <c r="AA156" s="211">
        <f>$F$156*(W153)</f>
        <v>0</v>
      </c>
      <c r="AB156" s="211"/>
      <c r="AC156" s="211"/>
      <c r="AD156" s="211">
        <f>$F$156*(Z153)</f>
        <v>0</v>
      </c>
      <c r="AE156" s="211"/>
      <c r="AF156" s="211"/>
      <c r="AG156" s="211">
        <f>$F$156*(AC153)</f>
        <v>0</v>
      </c>
      <c r="AH156" s="211"/>
      <c r="AI156" s="211"/>
      <c r="AJ156" s="211">
        <f>$F$156*(AF153)</f>
        <v>0</v>
      </c>
      <c r="AK156" s="211"/>
      <c r="AL156" s="211"/>
      <c r="AM156" s="211">
        <f>$F$156*(AI153)</f>
        <v>0</v>
      </c>
      <c r="AN156" s="211"/>
    </row>
    <row r="157" spans="2:41" s="7" customFormat="1" ht="12" hidden="1" customHeight="1" outlineLevel="2">
      <c r="B157" s="245"/>
      <c r="C157" s="213" t="s">
        <v>755</v>
      </c>
      <c r="D157" s="213"/>
      <c r="E157" s="213"/>
      <c r="F157" s="213"/>
      <c r="G157" s="211">
        <f>INDEX($C$44:$AN$66,MATCH("New Customers 3MS",$C$44:$C$66,0),MATCH($C157,$C$44:$AN$44,0))</f>
        <v>0</v>
      </c>
      <c r="H157" s="211"/>
      <c r="I157" s="211"/>
      <c r="J157" s="211">
        <f>$G$157*(E153)</f>
        <v>0</v>
      </c>
      <c r="K157" s="211"/>
      <c r="L157" s="211"/>
      <c r="M157" s="211">
        <f>$G$157*(H153)</f>
        <v>0</v>
      </c>
      <c r="N157" s="211"/>
      <c r="O157" s="211"/>
      <c r="P157" s="211">
        <f>$G$157*(K153)</f>
        <v>0</v>
      </c>
      <c r="Q157" s="211"/>
      <c r="R157" s="211"/>
      <c r="S157" s="211">
        <f>$G$157*(N153)</f>
        <v>0</v>
      </c>
      <c r="T157" s="211"/>
      <c r="U157" s="211"/>
      <c r="V157" s="211">
        <f>$G$157*(Q153)</f>
        <v>0</v>
      </c>
      <c r="W157" s="211"/>
      <c r="X157" s="211"/>
      <c r="Y157" s="211">
        <f>$G$157*(T153)</f>
        <v>0</v>
      </c>
      <c r="Z157" s="211"/>
      <c r="AA157" s="211"/>
      <c r="AB157" s="211">
        <f>$G$157*(W153)</f>
        <v>0</v>
      </c>
      <c r="AC157" s="211"/>
      <c r="AD157" s="211"/>
      <c r="AE157" s="211">
        <f>$G$157*(Z153)</f>
        <v>0</v>
      </c>
      <c r="AF157" s="211"/>
      <c r="AG157" s="211"/>
      <c r="AH157" s="211">
        <f>$G$157*(AC153)</f>
        <v>0</v>
      </c>
      <c r="AI157" s="211"/>
      <c r="AJ157" s="211"/>
      <c r="AK157" s="211">
        <f>$G$157*(AF153)</f>
        <v>0</v>
      </c>
      <c r="AL157" s="211"/>
      <c r="AM157" s="211"/>
      <c r="AN157" s="211">
        <f>$G$157*(AI153)</f>
        <v>0</v>
      </c>
    </row>
    <row r="158" spans="2:41" s="7" customFormat="1" ht="12" hidden="1" customHeight="1" outlineLevel="2">
      <c r="B158" s="245"/>
      <c r="C158" s="213" t="s">
        <v>756</v>
      </c>
      <c r="D158" s="213"/>
      <c r="E158" s="213"/>
      <c r="F158" s="213"/>
      <c r="G158" s="213"/>
      <c r="H158" s="211">
        <f>INDEX($C$44:$AN$66,MATCH("New Customers 3MS",$C$44:$C$66,0),MATCH($C158,$C$44:$AN$44,0))</f>
        <v>0</v>
      </c>
      <c r="I158" s="211"/>
      <c r="J158" s="211"/>
      <c r="K158" s="211">
        <f>$H$158*(E153)</f>
        <v>0</v>
      </c>
      <c r="L158" s="211"/>
      <c r="M158" s="211"/>
      <c r="N158" s="211">
        <f>$H$158*(H153)</f>
        <v>0</v>
      </c>
      <c r="O158" s="211"/>
      <c r="P158" s="211"/>
      <c r="Q158" s="211">
        <f>$H$158*(K153)</f>
        <v>0</v>
      </c>
      <c r="R158" s="211"/>
      <c r="S158" s="211"/>
      <c r="T158" s="211">
        <f>$H$158*(N153)</f>
        <v>0</v>
      </c>
      <c r="U158" s="211"/>
      <c r="V158" s="211"/>
      <c r="W158" s="211">
        <f>$H$158*(Q153)</f>
        <v>0</v>
      </c>
      <c r="X158" s="211"/>
      <c r="Y158" s="211"/>
      <c r="Z158" s="211">
        <f>$H$158*(T153)</f>
        <v>0</v>
      </c>
      <c r="AA158" s="211"/>
      <c r="AB158" s="211"/>
      <c r="AC158" s="211">
        <f>$H$158*(W153)</f>
        <v>0</v>
      </c>
      <c r="AD158" s="211"/>
      <c r="AE158" s="211"/>
      <c r="AF158" s="211">
        <f>$H$158*(Z153)</f>
        <v>0</v>
      </c>
      <c r="AG158" s="211"/>
      <c r="AH158" s="211"/>
      <c r="AI158" s="211">
        <f>$H$158*(AC153)</f>
        <v>0</v>
      </c>
      <c r="AJ158" s="211"/>
      <c r="AK158" s="211"/>
      <c r="AL158" s="211">
        <f>$H$158*(AF153)</f>
        <v>0</v>
      </c>
      <c r="AM158" s="211"/>
      <c r="AN158" s="211"/>
    </row>
    <row r="159" spans="2:41" s="7" customFormat="1" ht="12" hidden="1" customHeight="1" outlineLevel="2">
      <c r="B159" s="245"/>
      <c r="C159" s="213" t="s">
        <v>757</v>
      </c>
      <c r="D159" s="213"/>
      <c r="E159" s="213"/>
      <c r="F159" s="213"/>
      <c r="G159" s="213"/>
      <c r="H159" s="213"/>
      <c r="I159" s="211">
        <f>INDEX($C$44:$AN$66,MATCH("New Customers 3MS",$C$44:$C$66,0),MATCH($C159,$C$44:$AN$44,0))</f>
        <v>0</v>
      </c>
      <c r="J159" s="211"/>
      <c r="K159" s="211"/>
      <c r="L159" s="211">
        <f>$I$159*(E153)</f>
        <v>0</v>
      </c>
      <c r="M159" s="211"/>
      <c r="N159" s="211"/>
      <c r="O159" s="211">
        <f>$I$159*(H153)</f>
        <v>0</v>
      </c>
      <c r="P159" s="211"/>
      <c r="Q159" s="211"/>
      <c r="R159" s="211">
        <f>$I$159*(K153)</f>
        <v>0</v>
      </c>
      <c r="S159" s="211"/>
      <c r="T159" s="211"/>
      <c r="U159" s="211">
        <f>$I$159*(N153)</f>
        <v>0</v>
      </c>
      <c r="V159" s="211"/>
      <c r="W159" s="211"/>
      <c r="X159" s="211">
        <f>$I$159*(Q153)</f>
        <v>0</v>
      </c>
      <c r="Y159" s="211"/>
      <c r="Z159" s="211"/>
      <c r="AA159" s="211">
        <f>$I$159*(T153)</f>
        <v>0</v>
      </c>
      <c r="AB159" s="211"/>
      <c r="AC159" s="211"/>
      <c r="AD159" s="211">
        <f>$I$159*(W153)</f>
        <v>0</v>
      </c>
      <c r="AE159" s="211"/>
      <c r="AF159" s="211"/>
      <c r="AG159" s="211">
        <f>$I$159*(Z153)</f>
        <v>0</v>
      </c>
      <c r="AH159" s="211"/>
      <c r="AI159" s="211"/>
      <c r="AJ159" s="211">
        <f>$I$159*(AC153)</f>
        <v>0</v>
      </c>
      <c r="AK159" s="211"/>
      <c r="AL159" s="211"/>
      <c r="AM159" s="211">
        <f>$I$159*(AF153)</f>
        <v>0</v>
      </c>
      <c r="AN159" s="211"/>
    </row>
    <row r="160" spans="2:41" s="7" customFormat="1" ht="12" hidden="1" customHeight="1" outlineLevel="2">
      <c r="B160" s="245"/>
      <c r="C160" s="213" t="s">
        <v>758</v>
      </c>
      <c r="D160" s="213"/>
      <c r="E160" s="213"/>
      <c r="F160" s="213"/>
      <c r="G160" s="213"/>
      <c r="H160" s="213"/>
      <c r="I160" s="213"/>
      <c r="J160" s="211">
        <f>INDEX($C$44:$AN$66,MATCH("New Customers 3MS",$C$44:$C$66,0),MATCH($C160,$C$44:$AN$44,0))</f>
        <v>0</v>
      </c>
      <c r="K160" s="211"/>
      <c r="L160" s="211"/>
      <c r="M160" s="211">
        <f>$J$160*(E153)</f>
        <v>0</v>
      </c>
      <c r="N160" s="211"/>
      <c r="O160" s="211"/>
      <c r="P160" s="211">
        <f>$J$160*(H153)</f>
        <v>0</v>
      </c>
      <c r="Q160" s="211"/>
      <c r="R160" s="211"/>
      <c r="S160" s="211">
        <f>$J$160*(K153)</f>
        <v>0</v>
      </c>
      <c r="T160" s="211"/>
      <c r="U160" s="211"/>
      <c r="V160" s="211">
        <f>$J$160*(N153)</f>
        <v>0</v>
      </c>
      <c r="W160" s="211"/>
      <c r="X160" s="211"/>
      <c r="Y160" s="211">
        <f>$J$160*(Q153)</f>
        <v>0</v>
      </c>
      <c r="Z160" s="211"/>
      <c r="AA160" s="211"/>
      <c r="AB160" s="211">
        <f>$J$160*(T153)</f>
        <v>0</v>
      </c>
      <c r="AC160" s="211"/>
      <c r="AD160" s="211"/>
      <c r="AE160" s="211">
        <f>$J$160*(W153)</f>
        <v>0</v>
      </c>
      <c r="AF160" s="211"/>
      <c r="AG160" s="211"/>
      <c r="AH160" s="211">
        <f>$J$160*(Z153)</f>
        <v>0</v>
      </c>
      <c r="AI160" s="211"/>
      <c r="AJ160" s="211"/>
      <c r="AK160" s="211">
        <f>$J$160*(AC153)</f>
        <v>0</v>
      </c>
      <c r="AL160" s="211"/>
      <c r="AM160" s="211"/>
      <c r="AN160" s="211">
        <f>$J$160*(AF153)</f>
        <v>0</v>
      </c>
    </row>
    <row r="161" spans="2:42" s="7" customFormat="1" ht="12" hidden="1" customHeight="1" outlineLevel="2">
      <c r="B161" s="245"/>
      <c r="C161" s="213" t="s">
        <v>759</v>
      </c>
      <c r="D161" s="213"/>
      <c r="E161" s="213"/>
      <c r="F161" s="213"/>
      <c r="G161" s="213"/>
      <c r="H161" s="213"/>
      <c r="I161" s="213"/>
      <c r="J161" s="213"/>
      <c r="K161" s="211">
        <f>INDEX($C$44:$AN$66,MATCH("New Customers 3MS",$C$44:$C$66,0),MATCH($C161,$C$44:$AN$44,0))</f>
        <v>0</v>
      </c>
      <c r="L161" s="211"/>
      <c r="M161" s="211"/>
      <c r="N161" s="211">
        <f>$K$161*(E153)</f>
        <v>0</v>
      </c>
      <c r="O161" s="211"/>
      <c r="P161" s="211"/>
      <c r="Q161" s="211">
        <f>$K$161*(H153)</f>
        <v>0</v>
      </c>
      <c r="R161" s="211"/>
      <c r="S161" s="211"/>
      <c r="T161" s="211">
        <f>$K$161*(K153)</f>
        <v>0</v>
      </c>
      <c r="U161" s="211"/>
      <c r="V161" s="211"/>
      <c r="W161" s="211">
        <f>$K$161*(N153)</f>
        <v>0</v>
      </c>
      <c r="X161" s="211"/>
      <c r="Y161" s="211"/>
      <c r="Z161" s="211">
        <f>$K$161*(Q153)</f>
        <v>0</v>
      </c>
      <c r="AA161" s="211"/>
      <c r="AB161" s="211"/>
      <c r="AC161" s="211">
        <f>$K$161*(T153)</f>
        <v>0</v>
      </c>
      <c r="AD161" s="211"/>
      <c r="AE161" s="211"/>
      <c r="AF161" s="211">
        <f>$K$161*(W153)</f>
        <v>0</v>
      </c>
      <c r="AG161" s="211"/>
      <c r="AH161" s="211"/>
      <c r="AI161" s="211">
        <f>$K$161*(Z153)</f>
        <v>0</v>
      </c>
      <c r="AJ161" s="211"/>
      <c r="AK161" s="211"/>
      <c r="AL161" s="211">
        <f>$K$161*(AC153)</f>
        <v>0</v>
      </c>
      <c r="AM161" s="211"/>
      <c r="AN161" s="211"/>
    </row>
    <row r="162" spans="2:42" s="7" customFormat="1" ht="12" hidden="1" customHeight="1" outlineLevel="2">
      <c r="B162" s="245"/>
      <c r="C162" s="213" t="s">
        <v>760</v>
      </c>
      <c r="D162" s="213"/>
      <c r="E162" s="213"/>
      <c r="F162" s="213"/>
      <c r="G162" s="213"/>
      <c r="H162" s="213"/>
      <c r="I162" s="213"/>
      <c r="J162" s="213"/>
      <c r="K162" s="213"/>
      <c r="L162" s="211">
        <f>INDEX($C$44:$AN$66,MATCH("New Customers 3MS",$C$44:$C$66,0),MATCH($C162,$C$44:$AN$44,0))</f>
        <v>0</v>
      </c>
      <c r="M162" s="211"/>
      <c r="N162" s="211"/>
      <c r="O162" s="211">
        <f>$L$162*(E153)</f>
        <v>0</v>
      </c>
      <c r="P162" s="211"/>
      <c r="Q162" s="211"/>
      <c r="R162" s="211">
        <f>$L$162*(H153)</f>
        <v>0</v>
      </c>
      <c r="S162" s="211"/>
      <c r="T162" s="211"/>
      <c r="U162" s="211">
        <f>$L$162*(K153)</f>
        <v>0</v>
      </c>
      <c r="V162" s="211"/>
      <c r="W162" s="211"/>
      <c r="X162" s="211">
        <f>$L$162*(N153)</f>
        <v>0</v>
      </c>
      <c r="Y162" s="211"/>
      <c r="Z162" s="211"/>
      <c r="AA162" s="211">
        <f>$L$162*(Q153)</f>
        <v>0</v>
      </c>
      <c r="AB162" s="211"/>
      <c r="AC162" s="211"/>
      <c r="AD162" s="211">
        <f>$L$162*(T153)</f>
        <v>0</v>
      </c>
      <c r="AE162" s="211"/>
      <c r="AF162" s="211"/>
      <c r="AG162" s="211">
        <f>$L$162*(W153)</f>
        <v>0</v>
      </c>
      <c r="AH162" s="211"/>
      <c r="AI162" s="211"/>
      <c r="AJ162" s="211">
        <f>$L$162*(Z153)</f>
        <v>0</v>
      </c>
      <c r="AK162" s="211"/>
      <c r="AL162" s="211"/>
      <c r="AM162" s="211">
        <f>$L$162*(AC153)</f>
        <v>0</v>
      </c>
      <c r="AN162" s="211"/>
    </row>
    <row r="163" spans="2:42" s="7" customFormat="1" ht="12" hidden="1" customHeight="1" outlineLevel="2">
      <c r="B163" s="245"/>
      <c r="C163" s="213" t="s">
        <v>761</v>
      </c>
      <c r="D163" s="213"/>
      <c r="E163" s="213"/>
      <c r="F163" s="213"/>
      <c r="G163" s="213"/>
      <c r="H163" s="213"/>
      <c r="I163" s="213"/>
      <c r="J163" s="213"/>
      <c r="K163" s="213"/>
      <c r="L163" s="213"/>
      <c r="M163" s="211">
        <f>INDEX($C$44:$AN$64,MATCH("New Customers 3MS",$C$44:$C$64,0),MATCH($C163,$C$44:$AN$44,0))</f>
        <v>0</v>
      </c>
      <c r="N163" s="211"/>
      <c r="O163" s="211"/>
      <c r="P163" s="211">
        <f>$M$163*(E153)</f>
        <v>0</v>
      </c>
      <c r="Q163" s="211"/>
      <c r="R163" s="211"/>
      <c r="S163" s="211">
        <f>$M$163*(H153)</f>
        <v>0</v>
      </c>
      <c r="T163" s="211"/>
      <c r="U163" s="211"/>
      <c r="V163" s="211">
        <f>$M$163*(K153)</f>
        <v>0</v>
      </c>
      <c r="W163" s="211"/>
      <c r="X163" s="211"/>
      <c r="Y163" s="211">
        <f>$M$163*(N153)</f>
        <v>0</v>
      </c>
      <c r="Z163" s="211"/>
      <c r="AA163" s="211"/>
      <c r="AB163" s="211">
        <f>$M$163*(Q153)</f>
        <v>0</v>
      </c>
      <c r="AC163" s="211"/>
      <c r="AD163" s="211"/>
      <c r="AE163" s="211">
        <f>$M$163*(T153)</f>
        <v>0</v>
      </c>
      <c r="AF163" s="211"/>
      <c r="AG163" s="211"/>
      <c r="AH163" s="211">
        <f>$M$163*(W153)</f>
        <v>0</v>
      </c>
      <c r="AI163" s="211"/>
      <c r="AJ163" s="211"/>
      <c r="AK163" s="211">
        <f>$M$163*(Z153)</f>
        <v>0</v>
      </c>
      <c r="AL163" s="211"/>
      <c r="AM163" s="211"/>
      <c r="AN163" s="211">
        <f>$M$163*(AC153)</f>
        <v>0</v>
      </c>
    </row>
    <row r="164" spans="2:42" s="7" customFormat="1" ht="12" hidden="1" customHeight="1" outlineLevel="2">
      <c r="B164" s="245"/>
      <c r="C164" s="213" t="s">
        <v>762</v>
      </c>
      <c r="D164" s="213"/>
      <c r="E164" s="213"/>
      <c r="F164" s="213"/>
      <c r="G164" s="213"/>
      <c r="H164" s="213"/>
      <c r="I164" s="213"/>
      <c r="J164" s="213"/>
      <c r="K164" s="213"/>
      <c r="L164" s="213"/>
      <c r="M164" s="213"/>
      <c r="N164" s="211">
        <f>INDEX($C$44:$AN$66,MATCH("New Customers 3MS",$C$44:$C$66,0),MATCH($C164,$C$44:$AN$44,0))</f>
        <v>16.548463356973997</v>
      </c>
      <c r="O164" s="211"/>
      <c r="P164" s="211"/>
      <c r="Q164" s="211">
        <f>$N$164*(E153)</f>
        <v>14.893617021276597</v>
      </c>
      <c r="R164" s="211"/>
      <c r="S164" s="211"/>
      <c r="T164" s="211">
        <f>$N$164*(H153)</f>
        <v>9.9290780141843982</v>
      </c>
      <c r="U164" s="211"/>
      <c r="V164" s="211"/>
      <c r="W164" s="211">
        <f>$N$164*(K153)</f>
        <v>6.6193853427895988</v>
      </c>
      <c r="X164" s="211"/>
      <c r="Y164" s="211"/>
      <c r="Z164" s="211">
        <f>$N$164*(N153)</f>
        <v>3.3096926713947994</v>
      </c>
      <c r="AA164" s="211"/>
      <c r="AB164" s="211"/>
      <c r="AC164" s="211">
        <f>$N$164*(Q153)</f>
        <v>2.4822695035460995</v>
      </c>
      <c r="AD164" s="211"/>
      <c r="AE164" s="211"/>
      <c r="AF164" s="211">
        <f>$N$164*(T153)</f>
        <v>1.6548463356973997</v>
      </c>
      <c r="AG164" s="211"/>
      <c r="AH164" s="211"/>
      <c r="AI164" s="211">
        <f>$N$164*(W153)</f>
        <v>1.3238770685579198</v>
      </c>
      <c r="AJ164" s="211"/>
      <c r="AK164" s="211"/>
      <c r="AL164" s="211">
        <f>$N$164*(Z153)</f>
        <v>1.1583924349881798</v>
      </c>
      <c r="AM164" s="211"/>
      <c r="AN164" s="211"/>
      <c r="AO164" s="211"/>
    </row>
    <row r="165" spans="2:42" s="7" customFormat="1" ht="12" hidden="1" customHeight="1" outlineLevel="2">
      <c r="B165" s="245"/>
      <c r="C165" s="213" t="s">
        <v>763</v>
      </c>
      <c r="D165" s="213"/>
      <c r="E165" s="213"/>
      <c r="F165" s="213"/>
      <c r="G165" s="213"/>
      <c r="H165" s="213"/>
      <c r="I165" s="213"/>
      <c r="J165" s="213"/>
      <c r="K165" s="213"/>
      <c r="L165" s="213"/>
      <c r="M165" s="213"/>
      <c r="N165" s="213"/>
      <c r="O165" s="211">
        <f>INDEX($C$44:$AN$66,MATCH("New Customers 3MS",$C$44:$C$66,0),MATCH($C165,$C$44:$AN$44,0))</f>
        <v>7.0921985815602842</v>
      </c>
      <c r="P165" s="211"/>
      <c r="Q165" s="211"/>
      <c r="R165" s="211">
        <f>$N$164*(E153)</f>
        <v>14.893617021276597</v>
      </c>
      <c r="S165" s="211"/>
      <c r="T165" s="211"/>
      <c r="U165" s="211">
        <f>$N$164*(H153)</f>
        <v>9.9290780141843982</v>
      </c>
      <c r="V165" s="211"/>
      <c r="W165" s="211"/>
      <c r="X165" s="211">
        <f>$N$164*(K153)</f>
        <v>6.6193853427895988</v>
      </c>
      <c r="Y165" s="211"/>
      <c r="Z165" s="211"/>
      <c r="AA165" s="211">
        <f>$N$164*(N153)</f>
        <v>3.3096926713947994</v>
      </c>
      <c r="AB165" s="211"/>
      <c r="AC165" s="211"/>
      <c r="AD165" s="211">
        <f>$N$164*(Q153)</f>
        <v>2.4822695035460995</v>
      </c>
      <c r="AE165" s="211"/>
      <c r="AF165" s="211"/>
      <c r="AG165" s="211">
        <f>$N$164*(T153)</f>
        <v>1.6548463356973997</v>
      </c>
      <c r="AH165" s="211"/>
      <c r="AI165" s="211"/>
      <c r="AJ165" s="211">
        <f>$N$164*(W153)</f>
        <v>1.3238770685579198</v>
      </c>
      <c r="AK165" s="211"/>
      <c r="AL165" s="211"/>
      <c r="AM165" s="211">
        <f>$N$164*(Z153)</f>
        <v>1.1583924349881798</v>
      </c>
      <c r="AN165" s="211"/>
    </row>
    <row r="166" spans="2:42" s="7" customFormat="1" ht="12" hidden="1" customHeight="1" outlineLevel="2">
      <c r="B166" s="245"/>
      <c r="C166" s="213" t="s">
        <v>764</v>
      </c>
      <c r="D166" s="213"/>
      <c r="E166" s="213"/>
      <c r="F166" s="213"/>
      <c r="G166" s="213"/>
      <c r="H166" s="213"/>
      <c r="I166" s="213"/>
      <c r="J166" s="213"/>
      <c r="K166" s="213"/>
      <c r="L166" s="213"/>
      <c r="M166" s="213"/>
      <c r="N166" s="213"/>
      <c r="O166" s="213"/>
      <c r="P166" s="211">
        <f>INDEX($C$44:$AN$66,MATCH("New Customers 3MS",$C$44:$C$66,0),MATCH($C166,$C$44:$AN$44,0))</f>
        <v>7.0921985815602842</v>
      </c>
      <c r="Q166" s="211"/>
      <c r="R166" s="211"/>
      <c r="S166" s="211">
        <f>$P$166*(E153)</f>
        <v>6.3829787234042561</v>
      </c>
      <c r="T166" s="211"/>
      <c r="U166" s="211"/>
      <c r="V166" s="211">
        <f>$P$166*(H153)</f>
        <v>4.2553191489361701</v>
      </c>
      <c r="W166" s="211"/>
      <c r="X166" s="211"/>
      <c r="Y166" s="211">
        <f>$P$166*(K153)</f>
        <v>2.836879432624114</v>
      </c>
      <c r="Z166" s="211"/>
      <c r="AA166" s="211"/>
      <c r="AB166" s="211">
        <f>$P$166*(N153)</f>
        <v>1.418439716312057</v>
      </c>
      <c r="AC166" s="211"/>
      <c r="AD166" s="211"/>
      <c r="AE166" s="211">
        <f>$P$166*(Q153)</f>
        <v>1.0638297872340425</v>
      </c>
      <c r="AF166" s="211"/>
      <c r="AG166" s="211"/>
      <c r="AH166" s="211">
        <f>$P$166*(T153)</f>
        <v>0.7092198581560285</v>
      </c>
      <c r="AI166" s="211"/>
      <c r="AJ166" s="211"/>
      <c r="AK166" s="211">
        <f>$P$166*(W153)</f>
        <v>0.56737588652482274</v>
      </c>
      <c r="AL166" s="211"/>
      <c r="AM166" s="211"/>
      <c r="AN166" s="211">
        <f>$P$166*(Z153)</f>
        <v>0.49645390070921996</v>
      </c>
    </row>
    <row r="167" spans="2:42" s="7" customFormat="1" ht="12" hidden="1" customHeight="1" outlineLevel="2">
      <c r="B167" s="245"/>
      <c r="C167" s="213" t="s">
        <v>765</v>
      </c>
      <c r="D167" s="213"/>
      <c r="E167" s="213"/>
      <c r="F167" s="213"/>
      <c r="G167" s="213"/>
      <c r="H167" s="213"/>
      <c r="I167" s="213"/>
      <c r="J167" s="213"/>
      <c r="K167" s="213"/>
      <c r="L167" s="213"/>
      <c r="M167" s="213"/>
      <c r="N167" s="213"/>
      <c r="O167" s="213"/>
      <c r="P167" s="213"/>
      <c r="Q167" s="211">
        <f>INDEX($C$44:$AN$66,MATCH("New Customers 3MS",$C$44:$C$66,0),MATCH($C167,$C$44:$AN$44,0))</f>
        <v>0</v>
      </c>
      <c r="R167" s="211"/>
      <c r="S167" s="211"/>
      <c r="T167" s="211">
        <f>$Q$167*(E153)</f>
        <v>0</v>
      </c>
      <c r="U167" s="211"/>
      <c r="V167" s="211"/>
      <c r="W167" s="211">
        <f>$Q$167*(H153)</f>
        <v>0</v>
      </c>
      <c r="X167" s="211"/>
      <c r="Y167" s="211"/>
      <c r="Z167" s="211">
        <f>$Q$167*(K153)</f>
        <v>0</v>
      </c>
      <c r="AA167" s="211"/>
      <c r="AB167" s="211"/>
      <c r="AC167" s="211">
        <f>$Q$167*(N153)</f>
        <v>0</v>
      </c>
      <c r="AD167" s="211"/>
      <c r="AE167" s="211"/>
      <c r="AF167" s="211">
        <f>$Q$167*(Q153)</f>
        <v>0</v>
      </c>
      <c r="AG167" s="211"/>
      <c r="AH167" s="211"/>
      <c r="AI167" s="211">
        <f>$Q$167*(T153)</f>
        <v>0</v>
      </c>
      <c r="AJ167" s="211"/>
      <c r="AK167" s="211"/>
      <c r="AL167" s="211">
        <f>$Q$167*(W153)</f>
        <v>0</v>
      </c>
      <c r="AM167" s="211"/>
      <c r="AN167" s="211"/>
      <c r="AO167" s="211"/>
    </row>
    <row r="168" spans="2:42" s="7" customFormat="1" ht="12" hidden="1" customHeight="1" outlineLevel="2">
      <c r="B168" s="245"/>
      <c r="C168" s="213" t="s">
        <v>766</v>
      </c>
      <c r="D168" s="213"/>
      <c r="E168" s="213"/>
      <c r="F168" s="213"/>
      <c r="G168" s="213"/>
      <c r="H168" s="213"/>
      <c r="I168" s="213"/>
      <c r="J168" s="213"/>
      <c r="K168" s="213"/>
      <c r="L168" s="213"/>
      <c r="M168" s="213"/>
      <c r="N168" s="213"/>
      <c r="O168" s="213"/>
      <c r="P168" s="213"/>
      <c r="Q168" s="213"/>
      <c r="R168" s="211">
        <f>INDEX($C$44:$AN$66,MATCH("New Customers 3MS",$C$44:$C$66,0),MATCH($C168,$C$44:$AN$44,0))</f>
        <v>0</v>
      </c>
      <c r="S168" s="211"/>
      <c r="T168" s="211"/>
      <c r="U168" s="211">
        <f>$R$168*(E153)</f>
        <v>0</v>
      </c>
      <c r="V168" s="211"/>
      <c r="W168" s="211"/>
      <c r="X168" s="211">
        <f>$R$168*(H153)</f>
        <v>0</v>
      </c>
      <c r="Y168" s="211"/>
      <c r="Z168" s="211"/>
      <c r="AA168" s="211">
        <f>$R$168*(K153)</f>
        <v>0</v>
      </c>
      <c r="AB168" s="211"/>
      <c r="AC168" s="211"/>
      <c r="AD168" s="211">
        <f>$R$168*(N153)</f>
        <v>0</v>
      </c>
      <c r="AE168" s="211"/>
      <c r="AF168" s="211"/>
      <c r="AG168" s="211">
        <f>$R$168*(Q153)</f>
        <v>0</v>
      </c>
      <c r="AH168" s="211"/>
      <c r="AI168" s="211"/>
      <c r="AJ168" s="211">
        <f>$R$168*(T153)</f>
        <v>0</v>
      </c>
      <c r="AK168" s="211"/>
      <c r="AL168" s="211"/>
      <c r="AM168" s="211">
        <f>$R$168*(W153)</f>
        <v>0</v>
      </c>
      <c r="AN168" s="211"/>
    </row>
    <row r="169" spans="2:42" s="7" customFormat="1" ht="12" hidden="1" customHeight="1" outlineLevel="2">
      <c r="B169" s="245"/>
      <c r="C169" s="213" t="s">
        <v>767</v>
      </c>
      <c r="D169" s="213"/>
      <c r="E169" s="213"/>
      <c r="F169" s="213"/>
      <c r="G169" s="213"/>
      <c r="H169" s="213"/>
      <c r="I169" s="213"/>
      <c r="J169" s="213"/>
      <c r="K169" s="213"/>
      <c r="L169" s="213"/>
      <c r="M169" s="213"/>
      <c r="N169" s="213"/>
      <c r="O169" s="213"/>
      <c r="P169" s="213"/>
      <c r="Q169" s="213"/>
      <c r="R169" s="213"/>
      <c r="S169" s="211">
        <f>INDEX($C$44:$AN$66,MATCH("New Customers 3MS",$C$44:$C$66,0),MATCH($C169,$C$44:$AN$44,0))</f>
        <v>13.370212765957447</v>
      </c>
      <c r="T169" s="211"/>
      <c r="U169" s="211"/>
      <c r="V169" s="211">
        <f>$S$169*(E153)</f>
        <v>12.033191489361704</v>
      </c>
      <c r="W169" s="211"/>
      <c r="X169" s="211"/>
      <c r="Y169" s="211">
        <f>$S$169*(H153)</f>
        <v>8.0221276595744673</v>
      </c>
      <c r="Z169" s="211"/>
      <c r="AA169" s="211"/>
      <c r="AB169" s="211">
        <f>$S$169*(K153)</f>
        <v>5.3480851063829791</v>
      </c>
      <c r="AC169" s="211"/>
      <c r="AD169" s="211"/>
      <c r="AE169" s="211">
        <f>$S$169*(N153)</f>
        <v>2.6740425531914895</v>
      </c>
      <c r="AF169" s="211"/>
      <c r="AG169" s="211"/>
      <c r="AH169" s="211">
        <f>$S$169*(Q153)</f>
        <v>2.0055319148936168</v>
      </c>
      <c r="AI169" s="211"/>
      <c r="AJ169" s="211"/>
      <c r="AK169" s="211">
        <f>$S$169*(T153)</f>
        <v>1.3370212765957448</v>
      </c>
      <c r="AL169" s="211"/>
      <c r="AM169" s="211"/>
      <c r="AN169" s="211">
        <f>$S$169*(W153)</f>
        <v>1.0696170212765959</v>
      </c>
    </row>
    <row r="170" spans="2:42" s="7" customFormat="1" ht="12" hidden="1" customHeight="1" outlineLevel="2">
      <c r="B170" s="245"/>
      <c r="C170" s="213" t="s">
        <v>768</v>
      </c>
      <c r="D170" s="213"/>
      <c r="E170" s="213"/>
      <c r="F170" s="213"/>
      <c r="G170" s="213"/>
      <c r="H170" s="213"/>
      <c r="I170" s="213"/>
      <c r="J170" s="213"/>
      <c r="K170" s="213"/>
      <c r="L170" s="213"/>
      <c r="M170" s="213"/>
      <c r="N170" s="213"/>
      <c r="O170" s="213"/>
      <c r="P170" s="213"/>
      <c r="Q170" s="213"/>
      <c r="R170" s="213"/>
      <c r="S170" s="213"/>
      <c r="T170" s="211">
        <f>INDEX($C$44:$AN$66,MATCH("New Customers 3MS",$C$44:$C$66,0),MATCH($C170,$C$44:$AN$44,0))</f>
        <v>9.8342789598108773</v>
      </c>
      <c r="U170" s="211"/>
      <c r="V170" s="211"/>
      <c r="W170" s="211">
        <f>$T$170*(E153)</f>
        <v>8.8508510638297899</v>
      </c>
      <c r="X170" s="211"/>
      <c r="Y170" s="211"/>
      <c r="Z170" s="211">
        <f>$T$170*(H153)</f>
        <v>5.900567375886526</v>
      </c>
      <c r="AA170" s="211"/>
      <c r="AB170" s="211"/>
      <c r="AC170" s="211">
        <f>$T$170*(K153)</f>
        <v>3.9337115839243513</v>
      </c>
      <c r="AD170" s="211"/>
      <c r="AE170" s="211"/>
      <c r="AF170" s="211">
        <f>$T$170*(N153)</f>
        <v>1.9668557919621756</v>
      </c>
      <c r="AG170" s="211"/>
      <c r="AH170" s="211"/>
      <c r="AI170" s="211">
        <f>$T$170*(Q153)</f>
        <v>1.4751418439716315</v>
      </c>
      <c r="AJ170" s="211"/>
      <c r="AK170" s="211"/>
      <c r="AL170" s="211">
        <f>$T$170*(T153)</f>
        <v>0.98342789598108782</v>
      </c>
      <c r="AM170" s="211"/>
      <c r="AN170" s="211"/>
      <c r="AO170" s="211"/>
    </row>
    <row r="171" spans="2:42" s="7" customFormat="1" ht="12" hidden="1" customHeight="1" outlineLevel="2">
      <c r="B171" s="245"/>
      <c r="C171" s="213" t="s">
        <v>769</v>
      </c>
      <c r="D171" s="213"/>
      <c r="E171" s="213"/>
      <c r="F171" s="213"/>
      <c r="G171" s="213"/>
      <c r="H171" s="213"/>
      <c r="I171" s="213"/>
      <c r="J171" s="213"/>
      <c r="K171" s="213"/>
      <c r="L171" s="213"/>
      <c r="M171" s="213"/>
      <c r="N171" s="213"/>
      <c r="O171" s="213"/>
      <c r="P171" s="213"/>
      <c r="Q171" s="213"/>
      <c r="R171" s="213"/>
      <c r="S171" s="213"/>
      <c r="T171" s="213"/>
      <c r="U171" s="211">
        <f>INDEX($C$44:$AN$66,MATCH("New Customers 3MS",$C$44:$C$66,0),MATCH($C171,$C$44:$AN$44,0))</f>
        <v>10.9890780141844</v>
      </c>
      <c r="V171" s="211"/>
      <c r="W171" s="211"/>
      <c r="X171" s="211">
        <f>$U$171*(E153)</f>
        <v>9.8901702127659608</v>
      </c>
      <c r="Y171" s="211"/>
      <c r="Z171" s="211"/>
      <c r="AA171" s="211">
        <f>$U$171*(H153)</f>
        <v>6.5934468085106399</v>
      </c>
      <c r="AB171" s="211"/>
      <c r="AC171" s="211"/>
      <c r="AD171" s="211">
        <f>$U$171*(K153)</f>
        <v>4.3956312056737605</v>
      </c>
      <c r="AE171" s="211"/>
      <c r="AF171" s="211"/>
      <c r="AG171" s="211">
        <f>$U$171*(N153)</f>
        <v>2.1978156028368803</v>
      </c>
      <c r="AH171" s="211"/>
      <c r="AI171" s="211"/>
      <c r="AJ171" s="211">
        <f>$U$171*(Q153)</f>
        <v>1.64836170212766</v>
      </c>
      <c r="AK171" s="211"/>
      <c r="AL171" s="211"/>
      <c r="AM171" s="211">
        <f>$U$171*(T153)</f>
        <v>1.0989078014184401</v>
      </c>
      <c r="AN171" s="211"/>
      <c r="AP171" s="211"/>
    </row>
    <row r="172" spans="2:42" s="7" customFormat="1" ht="12" hidden="1" customHeight="1" outlineLevel="2">
      <c r="B172" s="245"/>
      <c r="C172" s="213" t="s">
        <v>770</v>
      </c>
      <c r="D172" s="213"/>
      <c r="E172" s="213"/>
      <c r="F172" s="213"/>
      <c r="G172" s="213"/>
      <c r="H172" s="213"/>
      <c r="I172" s="213"/>
      <c r="J172" s="213"/>
      <c r="K172" s="213"/>
      <c r="L172" s="213"/>
      <c r="M172" s="213"/>
      <c r="N172" s="213"/>
      <c r="O172" s="213"/>
      <c r="P172" s="213"/>
      <c r="Q172" s="213"/>
      <c r="R172" s="213"/>
      <c r="S172" s="213"/>
      <c r="T172" s="213"/>
      <c r="U172" s="213"/>
      <c r="V172" s="211">
        <f>INDEX($C$44:$AN$66,MATCH("New Customers 3MS",$C$44:$C$66,0),MATCH($C172,$C$44:$AN$44,0))</f>
        <v>14.155933806146576</v>
      </c>
      <c r="W172" s="211"/>
      <c r="X172" s="211"/>
      <c r="Y172" s="211">
        <f>$V$172*(E153)</f>
        <v>12.740340425531919</v>
      </c>
      <c r="Z172" s="211"/>
      <c r="AA172" s="211"/>
      <c r="AB172" s="211">
        <f>$V$172*(H153)</f>
        <v>8.4935602836879447</v>
      </c>
      <c r="AC172" s="211"/>
      <c r="AD172" s="211"/>
      <c r="AE172" s="211">
        <f>$V$172*(K153)</f>
        <v>5.6623735224586307</v>
      </c>
      <c r="AF172" s="211"/>
      <c r="AG172" s="211"/>
      <c r="AH172" s="211">
        <f>$V$172*(N153)</f>
        <v>2.8311867612293153</v>
      </c>
      <c r="AI172" s="211"/>
      <c r="AJ172" s="211"/>
      <c r="AK172" s="211">
        <f>$V$172*(Q153)</f>
        <v>2.1233900709219862</v>
      </c>
      <c r="AL172" s="211"/>
      <c r="AM172" s="211"/>
      <c r="AN172" s="211">
        <f>$V$172*(T153)</f>
        <v>1.4155933806146577</v>
      </c>
    </row>
    <row r="173" spans="2:42" s="7" customFormat="1" ht="12" hidden="1" customHeight="1" outlineLevel="2">
      <c r="B173" s="245"/>
      <c r="C173" s="213" t="s">
        <v>771</v>
      </c>
      <c r="D173" s="213"/>
      <c r="E173" s="213"/>
      <c r="F173" s="213"/>
      <c r="G173" s="213"/>
      <c r="H173" s="213"/>
      <c r="I173" s="213"/>
      <c r="J173" s="213"/>
      <c r="K173" s="213"/>
      <c r="L173" s="213"/>
      <c r="M173" s="213"/>
      <c r="N173" s="213"/>
      <c r="O173" s="213"/>
      <c r="P173" s="213"/>
      <c r="Q173" s="213"/>
      <c r="R173" s="213"/>
      <c r="S173" s="213"/>
      <c r="T173" s="213"/>
      <c r="U173" s="213"/>
      <c r="V173" s="213"/>
      <c r="W173" s="211">
        <f>INDEX($C$44:$AN$66,MATCH("New Customers 3MS",$C$44:$C$66,0),MATCH($C173,$C$44:$AN$44,0))</f>
        <v>12.571234042553192</v>
      </c>
      <c r="X173" s="211"/>
      <c r="Y173" s="211"/>
      <c r="Z173" s="211">
        <f>$W$173*(E153)</f>
        <v>11.314110638297873</v>
      </c>
      <c r="AA173" s="211"/>
      <c r="AB173" s="211"/>
      <c r="AC173" s="211">
        <f>$W$173*(H153)</f>
        <v>7.5427404255319148</v>
      </c>
      <c r="AD173" s="211"/>
      <c r="AE173" s="211"/>
      <c r="AF173" s="211">
        <f>$W$173*(K153)</f>
        <v>5.0284936170212768</v>
      </c>
      <c r="AG173" s="211"/>
      <c r="AH173" s="211"/>
      <c r="AI173" s="211">
        <f>$W$173*(N153)</f>
        <v>2.5142468085106384</v>
      </c>
      <c r="AJ173" s="211"/>
      <c r="AK173" s="211"/>
      <c r="AL173" s="211">
        <f>$W$173*(Q153)</f>
        <v>1.8856851063829787</v>
      </c>
      <c r="AM173" s="211"/>
      <c r="AN173" s="211"/>
    </row>
    <row r="174" spans="2:42" s="7" customFormat="1" ht="12" hidden="1" customHeight="1" outlineLevel="2">
      <c r="B174" s="245"/>
      <c r="C174" s="213" t="s">
        <v>772</v>
      </c>
      <c r="D174" s="213"/>
      <c r="E174" s="213"/>
      <c r="F174" s="213"/>
      <c r="G174" s="213"/>
      <c r="H174" s="213"/>
      <c r="I174" s="213"/>
      <c r="J174" s="213"/>
      <c r="K174" s="213"/>
      <c r="L174" s="213"/>
      <c r="M174" s="213"/>
      <c r="N174" s="213"/>
      <c r="O174" s="213"/>
      <c r="P174" s="213"/>
      <c r="Q174" s="213"/>
      <c r="R174" s="213"/>
      <c r="S174" s="213"/>
      <c r="T174" s="213"/>
      <c r="U174" s="213"/>
      <c r="V174" s="213"/>
      <c r="W174" s="213"/>
      <c r="X174" s="211">
        <f>INDEX($C$44:$AN$66,MATCH("New Customers 3MS",$C$44:$C$66,0),MATCH($C174,$C$44:$AN$44,0))</f>
        <v>10.809985815602838</v>
      </c>
      <c r="Y174" s="211"/>
      <c r="Z174" s="211"/>
      <c r="AA174" s="211">
        <f>$X$174*(E153)</f>
        <v>9.7289872340425543</v>
      </c>
      <c r="AB174" s="211"/>
      <c r="AC174" s="211"/>
      <c r="AD174" s="211">
        <f>$X$174*(H153)</f>
        <v>6.4859914893617026</v>
      </c>
      <c r="AE174" s="211"/>
      <c r="AF174" s="211"/>
      <c r="AG174" s="211">
        <f>$X$174*(K153)</f>
        <v>4.3239943262411353</v>
      </c>
      <c r="AH174" s="211"/>
      <c r="AI174" s="211"/>
      <c r="AJ174" s="211">
        <f>$X$174*(N153)</f>
        <v>2.1619971631205677</v>
      </c>
      <c r="AK174" s="211"/>
      <c r="AL174" s="211"/>
      <c r="AM174" s="211">
        <f>$X$174*(Q153)</f>
        <v>1.6214978723404256</v>
      </c>
      <c r="AN174" s="211"/>
    </row>
    <row r="175" spans="2:42" s="7" customFormat="1" ht="12" hidden="1" customHeight="1" outlineLevel="2">
      <c r="B175" s="245"/>
      <c r="C175" s="213" t="s">
        <v>773</v>
      </c>
      <c r="D175" s="213"/>
      <c r="E175" s="213"/>
      <c r="F175" s="213"/>
      <c r="G175" s="213"/>
      <c r="H175" s="213"/>
      <c r="I175" s="213"/>
      <c r="J175" s="213"/>
      <c r="K175" s="213"/>
      <c r="L175" s="213"/>
      <c r="M175" s="213"/>
      <c r="N175" s="213"/>
      <c r="O175" s="213"/>
      <c r="P175" s="213"/>
      <c r="Q175" s="213"/>
      <c r="R175" s="213"/>
      <c r="S175" s="213"/>
      <c r="T175" s="213"/>
      <c r="U175" s="213"/>
      <c r="V175" s="213"/>
      <c r="W175" s="213"/>
      <c r="X175" s="213"/>
      <c r="Y175" s="211">
        <f>INDEX($C$44:$AN$66,MATCH("New Customers 3MS",$C$44:$C$66,0),MATCH($C175,$C$44:$AN$44,0))</f>
        <v>19.858156028368796</v>
      </c>
      <c r="Z175" s="211"/>
      <c r="AA175" s="211"/>
      <c r="AB175" s="211">
        <f>$Y$175*(E153)</f>
        <v>17.872340425531917</v>
      </c>
      <c r="AC175" s="211"/>
      <c r="AD175" s="211"/>
      <c r="AE175" s="211">
        <f>$Y$175*(H153)</f>
        <v>11.914893617021278</v>
      </c>
      <c r="AF175" s="211"/>
      <c r="AG175" s="211"/>
      <c r="AH175" s="211">
        <f>$Y$175*(K153)</f>
        <v>7.9432624113475185</v>
      </c>
      <c r="AI175" s="211"/>
      <c r="AJ175" s="211"/>
      <c r="AK175" s="211">
        <f>$Y$175*(N153)</f>
        <v>3.9716312056737593</v>
      </c>
      <c r="AL175" s="211"/>
      <c r="AM175" s="211"/>
      <c r="AN175" s="211">
        <f>$Y$175*(Q153)</f>
        <v>2.9787234042553195</v>
      </c>
    </row>
    <row r="176" spans="2:42" s="7" customFormat="1" ht="12" hidden="1" customHeight="1" outlineLevel="2">
      <c r="B176" s="245"/>
      <c r="C176" s="213" t="s">
        <v>774</v>
      </c>
      <c r="D176" s="213"/>
      <c r="E176" s="213"/>
      <c r="F176" s="213"/>
      <c r="G176" s="213"/>
      <c r="H176" s="213"/>
      <c r="I176" s="213"/>
      <c r="J176" s="213"/>
      <c r="K176" s="213"/>
      <c r="L176" s="213"/>
      <c r="M176" s="213"/>
      <c r="N176" s="213"/>
      <c r="O176" s="213"/>
      <c r="P176" s="213"/>
      <c r="Q176" s="213"/>
      <c r="R176" s="213"/>
      <c r="S176" s="213"/>
      <c r="T176" s="213"/>
      <c r="U176" s="213"/>
      <c r="V176" s="213"/>
      <c r="W176" s="213"/>
      <c r="X176" s="213"/>
      <c r="Y176" s="213"/>
      <c r="Z176" s="211">
        <f>INDEX($C$44:$AN$66,MATCH("New Customers 3MS",$C$44:$C$66,0),MATCH($C176,$C$44:$AN$44,0))</f>
        <v>16.548463356973997</v>
      </c>
      <c r="AA176" s="211"/>
      <c r="AB176" s="211"/>
      <c r="AC176" s="211">
        <f>$Z$176*(E153)</f>
        <v>14.893617021276597</v>
      </c>
      <c r="AD176" s="211"/>
      <c r="AE176" s="211"/>
      <c r="AF176" s="211">
        <f>$Z$176*(H153)</f>
        <v>9.9290780141843982</v>
      </c>
      <c r="AG176" s="211"/>
      <c r="AH176" s="211"/>
      <c r="AI176" s="211">
        <f>$Z$176*(K153)</f>
        <v>6.6193853427895988</v>
      </c>
      <c r="AJ176" s="211"/>
      <c r="AK176" s="211"/>
      <c r="AL176" s="211">
        <f>$Z$176*(N153)</f>
        <v>3.3096926713947994</v>
      </c>
      <c r="AM176" s="211"/>
      <c r="AN176" s="211"/>
    </row>
    <row r="177" spans="2:41" s="7" customFormat="1" ht="12" hidden="1" customHeight="1" outlineLevel="2">
      <c r="B177" s="245"/>
      <c r="C177" s="213" t="s">
        <v>775</v>
      </c>
      <c r="D177" s="213"/>
      <c r="E177" s="213"/>
      <c r="F177" s="213"/>
      <c r="G177" s="213"/>
      <c r="H177" s="213"/>
      <c r="I177" s="213"/>
      <c r="J177" s="213"/>
      <c r="K177" s="213"/>
      <c r="L177" s="213"/>
      <c r="M177" s="213"/>
      <c r="N177" s="213"/>
      <c r="O177" s="213"/>
      <c r="P177" s="213"/>
      <c r="Q177" s="213"/>
      <c r="R177" s="213"/>
      <c r="S177" s="213"/>
      <c r="T177" s="213"/>
      <c r="U177" s="213"/>
      <c r="V177" s="213"/>
      <c r="W177" s="213"/>
      <c r="X177" s="213"/>
      <c r="Y177" s="213"/>
      <c r="Z177" s="213"/>
      <c r="AA177" s="211">
        <f>INDEX($C$44:$AN$66,MATCH("New Customers 3MS",$C$44:$C$66,0),MATCH($C177,$C$44:$AN$44,0))</f>
        <v>7.8014184397163122</v>
      </c>
      <c r="AB177" s="211"/>
      <c r="AC177" s="211"/>
      <c r="AD177" s="211">
        <f>$AA$177*(E153)</f>
        <v>7.0212765957446814</v>
      </c>
      <c r="AE177" s="211"/>
      <c r="AF177" s="211"/>
      <c r="AG177" s="211">
        <f>$AA$177*(H153)</f>
        <v>4.6808510638297873</v>
      </c>
      <c r="AH177" s="211"/>
      <c r="AI177" s="211"/>
      <c r="AJ177" s="211">
        <f>$AA$177*(K153)</f>
        <v>3.1205673758865249</v>
      </c>
      <c r="AK177" s="211"/>
      <c r="AL177" s="211"/>
      <c r="AM177" s="211">
        <f>$AA$177*(N153)</f>
        <v>1.5602836879432624</v>
      </c>
      <c r="AN177" s="211"/>
    </row>
    <row r="178" spans="2:41" s="7" customFormat="1" ht="12" hidden="1" customHeight="1" outlineLevel="2">
      <c r="B178" s="245"/>
      <c r="C178" s="213" t="s">
        <v>776</v>
      </c>
      <c r="D178" s="213"/>
      <c r="E178" s="213"/>
      <c r="F178" s="213"/>
      <c r="G178" s="213"/>
      <c r="H178" s="213"/>
      <c r="I178" s="213"/>
      <c r="J178" s="213"/>
      <c r="K178" s="213"/>
      <c r="L178" s="213"/>
      <c r="M178" s="213"/>
      <c r="N178" s="213"/>
      <c r="O178" s="213"/>
      <c r="P178" s="213"/>
      <c r="Q178" s="213"/>
      <c r="R178" s="213"/>
      <c r="S178" s="213"/>
      <c r="T178" s="213"/>
      <c r="U178" s="213"/>
      <c r="V178" s="213"/>
      <c r="W178" s="213"/>
      <c r="X178" s="213"/>
      <c r="Y178" s="213"/>
      <c r="Z178" s="213"/>
      <c r="AA178" s="213"/>
      <c r="AB178" s="211">
        <f>INDEX($C$44:$AN$66,MATCH("New Customers 3MS",$C$44:$C$66,0),MATCH($C178,$C$44:$AN$44,0))</f>
        <v>9.219858156028371</v>
      </c>
      <c r="AC178" s="211"/>
      <c r="AD178" s="211"/>
      <c r="AE178" s="211">
        <f>$AB$178*(E153)</f>
        <v>8.2978723404255348</v>
      </c>
      <c r="AF178" s="211"/>
      <c r="AG178" s="211"/>
      <c r="AH178" s="211">
        <f>$AB$178*(H153)</f>
        <v>5.5319148936170226</v>
      </c>
      <c r="AI178" s="211"/>
      <c r="AJ178" s="211"/>
      <c r="AK178" s="211">
        <f>$AB$178*(K153)</f>
        <v>3.6879432624113484</v>
      </c>
      <c r="AL178" s="211"/>
      <c r="AM178" s="211"/>
      <c r="AN178" s="211">
        <f>$AB$178*(N153)</f>
        <v>1.8439716312056742</v>
      </c>
    </row>
    <row r="179" spans="2:41" s="7" customFormat="1" ht="12" hidden="1" customHeight="1" outlineLevel="2">
      <c r="B179" s="245"/>
      <c r="C179" s="213" t="s">
        <v>777</v>
      </c>
      <c r="D179" s="213"/>
      <c r="E179" s="213"/>
      <c r="F179" s="213"/>
      <c r="G179" s="213"/>
      <c r="H179" s="213"/>
      <c r="I179" s="213"/>
      <c r="J179" s="213"/>
      <c r="K179" s="213"/>
      <c r="L179" s="213"/>
      <c r="M179" s="213"/>
      <c r="N179" s="213"/>
      <c r="O179" s="213"/>
      <c r="P179" s="213"/>
      <c r="Q179" s="213"/>
      <c r="R179" s="213"/>
      <c r="S179" s="213"/>
      <c r="T179" s="213"/>
      <c r="U179" s="213"/>
      <c r="V179" s="213"/>
      <c r="W179" s="213"/>
      <c r="X179" s="213"/>
      <c r="Y179" s="213"/>
      <c r="Z179" s="213"/>
      <c r="AA179" s="213"/>
      <c r="AB179" s="211"/>
      <c r="AC179" s="211">
        <f>INDEX($C$44:$AN$66,MATCH("New Customers 3MS",$C$44:$C$66,0),MATCH($C179,$C$44:$AN$44,0))</f>
        <v>8.7482553191489387</v>
      </c>
      <c r="AD179" s="211"/>
      <c r="AE179" s="211"/>
      <c r="AF179" s="211">
        <f>$AC$179*(E153)</f>
        <v>7.8734297872340449</v>
      </c>
      <c r="AG179" s="211"/>
      <c r="AH179" s="211"/>
      <c r="AI179" s="211">
        <f>$AC$179*(H153)</f>
        <v>5.2489531914893632</v>
      </c>
      <c r="AJ179" s="211"/>
      <c r="AK179" s="211"/>
      <c r="AL179" s="211">
        <f>$AC$179*(K153)</f>
        <v>3.4993021276595755</v>
      </c>
      <c r="AM179" s="211"/>
      <c r="AN179" s="211"/>
      <c r="AO179" s="211"/>
    </row>
    <row r="180" spans="2:41" s="7" customFormat="1" ht="12" hidden="1" customHeight="1" outlineLevel="2">
      <c r="B180" s="245"/>
      <c r="C180" s="213" t="s">
        <v>778</v>
      </c>
      <c r="D180" s="213"/>
      <c r="E180" s="213"/>
      <c r="F180" s="213"/>
      <c r="G180" s="213"/>
      <c r="H180" s="213"/>
      <c r="I180" s="213"/>
      <c r="J180" s="213"/>
      <c r="K180" s="213"/>
      <c r="L180" s="213"/>
      <c r="M180" s="213"/>
      <c r="N180" s="213"/>
      <c r="O180" s="213"/>
      <c r="P180" s="213"/>
      <c r="Q180" s="213"/>
      <c r="R180" s="213"/>
      <c r="S180" s="213"/>
      <c r="T180" s="213"/>
      <c r="U180" s="213"/>
      <c r="V180" s="213"/>
      <c r="W180" s="213"/>
      <c r="X180" s="213"/>
      <c r="Y180" s="213"/>
      <c r="Z180" s="213"/>
      <c r="AA180" s="213"/>
      <c r="AB180" s="211"/>
      <c r="AC180" s="211"/>
      <c r="AD180" s="211">
        <f>INDEX($C$44:$AN$66,MATCH("New Customers 3MS",$C$44:$C$66,0),MATCH($C180,$C$44:$AN$44,0))</f>
        <v>20.431262411347518</v>
      </c>
      <c r="AE180" s="211"/>
      <c r="AF180" s="211"/>
      <c r="AG180" s="211">
        <f>$AD$180*(E153)</f>
        <v>18.388136170212768</v>
      </c>
      <c r="AH180" s="211"/>
      <c r="AI180" s="211"/>
      <c r="AJ180" s="211">
        <f>$AD$180*(H153)</f>
        <v>12.258757446808511</v>
      </c>
      <c r="AK180" s="211"/>
      <c r="AL180" s="211"/>
      <c r="AM180" s="211">
        <f>$AD$180*(K153)</f>
        <v>8.1725049645390069</v>
      </c>
      <c r="AN180" s="211"/>
    </row>
    <row r="181" spans="2:41" s="7" customFormat="1" ht="12" hidden="1" customHeight="1" outlineLevel="2">
      <c r="B181" s="245"/>
      <c r="C181" s="213" t="s">
        <v>779</v>
      </c>
      <c r="D181" s="213"/>
      <c r="E181" s="213"/>
      <c r="F181" s="213"/>
      <c r="G181" s="213"/>
      <c r="H181" s="213"/>
      <c r="I181" s="213"/>
      <c r="J181" s="213"/>
      <c r="K181" s="213"/>
      <c r="L181" s="213"/>
      <c r="M181" s="213"/>
      <c r="N181" s="213"/>
      <c r="O181" s="213"/>
      <c r="P181" s="213"/>
      <c r="Q181" s="213"/>
      <c r="R181" s="213"/>
      <c r="S181" s="213"/>
      <c r="T181" s="213"/>
      <c r="U181" s="213"/>
      <c r="V181" s="213"/>
      <c r="W181" s="213"/>
      <c r="X181" s="213"/>
      <c r="Y181" s="213"/>
      <c r="Z181" s="213"/>
      <c r="AA181" s="213"/>
      <c r="AB181" s="211"/>
      <c r="AC181" s="211"/>
      <c r="AD181" s="211"/>
      <c r="AE181" s="211">
        <f>INDEX($C$44:$AN$66,MATCH("New Customers 3MS",$C$44:$C$66,0),MATCH($C181,$C$44:$AN$44,0))</f>
        <v>13.370212765957447</v>
      </c>
      <c r="AF181" s="211"/>
      <c r="AG181" s="211"/>
      <c r="AH181" s="211">
        <f>$AE$181*(E153)</f>
        <v>12.033191489361704</v>
      </c>
      <c r="AI181" s="211"/>
      <c r="AJ181" s="211"/>
      <c r="AK181" s="211">
        <f>$AE$181*(H153)</f>
        <v>8.0221276595744673</v>
      </c>
      <c r="AL181" s="211"/>
      <c r="AM181" s="211"/>
      <c r="AN181" s="211">
        <f>$AE$181*(K153)</f>
        <v>5.3480851063829791</v>
      </c>
    </row>
    <row r="182" spans="2:41" s="7" customFormat="1" ht="12" hidden="1" customHeight="1" outlineLevel="2">
      <c r="B182" s="245"/>
      <c r="C182" s="213" t="s">
        <v>780</v>
      </c>
      <c r="D182" s="213"/>
      <c r="E182" s="213"/>
      <c r="F182" s="213"/>
      <c r="G182" s="213"/>
      <c r="H182" s="213"/>
      <c r="I182" s="213"/>
      <c r="J182" s="213"/>
      <c r="K182" s="213"/>
      <c r="L182" s="213"/>
      <c r="M182" s="213"/>
      <c r="N182" s="213"/>
      <c r="O182" s="213"/>
      <c r="P182" s="213"/>
      <c r="Q182" s="213"/>
      <c r="R182" s="213"/>
      <c r="S182" s="213"/>
      <c r="T182" s="213"/>
      <c r="U182" s="213"/>
      <c r="V182" s="213"/>
      <c r="W182" s="213"/>
      <c r="X182" s="213"/>
      <c r="Y182" s="213"/>
      <c r="Z182" s="213"/>
      <c r="AA182" s="213"/>
      <c r="AB182" s="211"/>
      <c r="AC182" s="211"/>
      <c r="AD182" s="211"/>
      <c r="AE182" s="211"/>
      <c r="AF182" s="211">
        <f>INDEX($C$44:$AN$66,MATCH("New Customers 3MS",$C$44:$C$66,0),MATCH($C182,$C$44:$AN$44,0))</f>
        <v>12.784562647754141</v>
      </c>
      <c r="AG182" s="211"/>
      <c r="AH182" s="211"/>
      <c r="AI182" s="211">
        <f>$AF$182*(E153)</f>
        <v>11.506106382978727</v>
      </c>
      <c r="AJ182" s="211"/>
      <c r="AK182" s="211"/>
      <c r="AL182" s="211">
        <f>$AF$182*(H153)</f>
        <v>7.670737588652484</v>
      </c>
      <c r="AM182" s="211"/>
      <c r="AN182" s="211"/>
    </row>
    <row r="183" spans="2:41" s="7" customFormat="1" ht="12" hidden="1" customHeight="1" outlineLevel="2">
      <c r="B183" s="245"/>
      <c r="C183" s="213" t="s">
        <v>781</v>
      </c>
      <c r="D183" s="213"/>
      <c r="E183" s="213"/>
      <c r="F183" s="213"/>
      <c r="G183" s="213"/>
      <c r="H183" s="213"/>
      <c r="I183" s="213"/>
      <c r="J183" s="213"/>
      <c r="K183" s="213"/>
      <c r="L183" s="213"/>
      <c r="M183" s="213"/>
      <c r="N183" s="213"/>
      <c r="O183" s="213"/>
      <c r="P183" s="213"/>
      <c r="Q183" s="213"/>
      <c r="R183" s="213"/>
      <c r="S183" s="213"/>
      <c r="T183" s="213"/>
      <c r="U183" s="213"/>
      <c r="V183" s="213"/>
      <c r="W183" s="213"/>
      <c r="X183" s="213"/>
      <c r="Y183" s="213"/>
      <c r="Z183" s="213"/>
      <c r="AA183" s="213"/>
      <c r="AB183" s="211"/>
      <c r="AC183" s="211"/>
      <c r="AD183" s="211"/>
      <c r="AE183" s="211"/>
      <c r="AF183" s="211"/>
      <c r="AG183" s="211">
        <f>INDEX($C$44:$AN$66,MATCH("New Customers 3MS",$C$44:$C$66,0),MATCH($C183,$C$44:$AN$44,0))</f>
        <v>10.989078014184399</v>
      </c>
      <c r="AH183" s="211"/>
      <c r="AI183" s="211"/>
      <c r="AJ183" s="211">
        <f>$AG$183*(E153)</f>
        <v>9.890170212765959</v>
      </c>
      <c r="AK183" s="211"/>
      <c r="AL183" s="211"/>
      <c r="AM183" s="211">
        <f>$AG$183*(H153)</f>
        <v>6.593446808510639</v>
      </c>
      <c r="AN183" s="211"/>
    </row>
    <row r="184" spans="2:41" s="7" customFormat="1" ht="12" hidden="1" customHeight="1" outlineLevel="2">
      <c r="B184" s="245"/>
      <c r="C184" s="213" t="s">
        <v>782</v>
      </c>
      <c r="D184" s="213"/>
      <c r="E184" s="213"/>
      <c r="F184" s="213"/>
      <c r="G184" s="213"/>
      <c r="H184" s="213"/>
      <c r="I184" s="213"/>
      <c r="J184" s="213"/>
      <c r="K184" s="213"/>
      <c r="L184" s="213"/>
      <c r="M184" s="213"/>
      <c r="N184" s="213"/>
      <c r="O184" s="213"/>
      <c r="P184" s="213"/>
      <c r="Q184" s="213"/>
      <c r="R184" s="213"/>
      <c r="S184" s="213"/>
      <c r="T184" s="213"/>
      <c r="U184" s="213"/>
      <c r="V184" s="213"/>
      <c r="W184" s="213"/>
      <c r="X184" s="213"/>
      <c r="Y184" s="213"/>
      <c r="Z184" s="213"/>
      <c r="AA184" s="213"/>
      <c r="AB184" s="211"/>
      <c r="AC184" s="211"/>
      <c r="AD184" s="211"/>
      <c r="AE184" s="211"/>
      <c r="AF184" s="211"/>
      <c r="AG184" s="211"/>
      <c r="AH184" s="211">
        <f>INDEX($C$44:$AN$66,MATCH("New Customers 3MS",$C$44:$C$66,0),MATCH($C184,$C$44:$AN$44,0))</f>
        <v>20.590449172576836</v>
      </c>
      <c r="AI184" s="211"/>
      <c r="AJ184" s="211"/>
      <c r="AK184" s="211">
        <f>$AH$184*(E153)</f>
        <v>18.531404255319153</v>
      </c>
      <c r="AL184" s="211"/>
      <c r="AM184" s="211"/>
      <c r="AN184" s="211">
        <f>$AH$184*(H153)</f>
        <v>12.354269503546101</v>
      </c>
    </row>
    <row r="185" spans="2:41" s="7" customFormat="1" ht="12" hidden="1" customHeight="1" outlineLevel="2">
      <c r="B185" s="245"/>
      <c r="C185" s="213" t="s">
        <v>783</v>
      </c>
      <c r="D185" s="213"/>
      <c r="E185" s="213"/>
      <c r="F185" s="213"/>
      <c r="G185" s="213"/>
      <c r="H185" s="213"/>
      <c r="I185" s="213"/>
      <c r="J185" s="213"/>
      <c r="K185" s="213"/>
      <c r="L185" s="213"/>
      <c r="M185" s="213"/>
      <c r="N185" s="213"/>
      <c r="O185" s="213"/>
      <c r="P185" s="213"/>
      <c r="Q185" s="213"/>
      <c r="R185" s="213"/>
      <c r="S185" s="213"/>
      <c r="T185" s="213"/>
      <c r="U185" s="213"/>
      <c r="V185" s="213"/>
      <c r="W185" s="213"/>
      <c r="X185" s="213"/>
      <c r="Y185" s="213"/>
      <c r="Z185" s="213"/>
      <c r="AA185" s="213"/>
      <c r="AB185" s="211"/>
      <c r="AC185" s="211"/>
      <c r="AD185" s="211"/>
      <c r="AE185" s="211"/>
      <c r="AF185" s="211"/>
      <c r="AG185" s="211"/>
      <c r="AH185" s="211"/>
      <c r="AI185" s="211">
        <f>INDEX($C$44:$AN$66,MATCH("New Customers 3MS",$C$44:$C$66,0),MATCH($C185,$C$44:$AN$44,0))</f>
        <v>9.4284255319148951</v>
      </c>
      <c r="AJ185" s="211"/>
      <c r="AK185" s="211"/>
      <c r="AL185" s="211">
        <f>$AI$185*(E153)</f>
        <v>8.4855829787234054</v>
      </c>
      <c r="AM185" s="211"/>
      <c r="AN185" s="211"/>
    </row>
    <row r="186" spans="2:41" s="7" customFormat="1" ht="12" hidden="1" customHeight="1" outlineLevel="2">
      <c r="B186" s="245"/>
      <c r="C186" s="213" t="s">
        <v>784</v>
      </c>
      <c r="D186" s="213"/>
      <c r="E186" s="213"/>
      <c r="F186" s="213"/>
      <c r="G186" s="213"/>
      <c r="H186" s="213"/>
      <c r="I186" s="213"/>
      <c r="J186" s="213"/>
      <c r="K186" s="213"/>
      <c r="L186" s="213"/>
      <c r="M186" s="213"/>
      <c r="N186" s="213"/>
      <c r="O186" s="213"/>
      <c r="P186" s="213"/>
      <c r="Q186" s="213"/>
      <c r="R186" s="213"/>
      <c r="S186" s="213"/>
      <c r="T186" s="213"/>
      <c r="U186" s="213"/>
      <c r="V186" s="213"/>
      <c r="W186" s="213"/>
      <c r="X186" s="213"/>
      <c r="Y186" s="213"/>
      <c r="Z186" s="213"/>
      <c r="AA186" s="213"/>
      <c r="AB186" s="211"/>
      <c r="AC186" s="211"/>
      <c r="AD186" s="211"/>
      <c r="AE186" s="211"/>
      <c r="AF186" s="211"/>
      <c r="AG186" s="211"/>
      <c r="AH186" s="211"/>
      <c r="AI186" s="211"/>
      <c r="AJ186" s="211">
        <f>INDEX($C$44:$AN$66,MATCH("New Customers 3MS",$C$44:$C$66,0),MATCH($C186,$C$44:$AN$44,0))</f>
        <v>9.9091536643026021</v>
      </c>
      <c r="AK186" s="211"/>
      <c r="AL186" s="211"/>
      <c r="AM186" s="211">
        <f>$AJ$186*(E153)</f>
        <v>8.9182382978723425</v>
      </c>
      <c r="AN186" s="211"/>
    </row>
    <row r="187" spans="2:41" s="7" customFormat="1" ht="12" hidden="1" customHeight="1" outlineLevel="2">
      <c r="B187" s="245"/>
      <c r="C187" s="213" t="s">
        <v>785</v>
      </c>
      <c r="D187" s="213"/>
      <c r="E187" s="213"/>
      <c r="F187" s="213"/>
      <c r="G187" s="213"/>
      <c r="H187" s="213"/>
      <c r="I187" s="213"/>
      <c r="J187" s="213"/>
      <c r="K187" s="213"/>
      <c r="L187" s="213"/>
      <c r="M187" s="213"/>
      <c r="N187" s="213"/>
      <c r="O187" s="213"/>
      <c r="P187" s="213"/>
      <c r="Q187" s="213"/>
      <c r="R187" s="213"/>
      <c r="S187" s="213"/>
      <c r="T187" s="213"/>
      <c r="U187" s="213"/>
      <c r="V187" s="213"/>
      <c r="W187" s="213"/>
      <c r="X187" s="213"/>
      <c r="Y187" s="213"/>
      <c r="Z187" s="213"/>
      <c r="AA187" s="213"/>
      <c r="AB187" s="211"/>
      <c r="AC187" s="211"/>
      <c r="AD187" s="211"/>
      <c r="AE187" s="211"/>
      <c r="AF187" s="211"/>
      <c r="AG187" s="211"/>
      <c r="AH187" s="211"/>
      <c r="AI187" s="211"/>
      <c r="AJ187" s="211"/>
      <c r="AK187" s="211">
        <f>INDEX($C$44:$AN$66,MATCH("New Customers 3MS",$C$44:$C$66,0),MATCH($C187,$C$44:$AN$44,0))</f>
        <v>23.829787234042556</v>
      </c>
      <c r="AL187" s="211"/>
      <c r="AM187" s="211"/>
      <c r="AN187" s="211">
        <f>$AK$187*(E153)</f>
        <v>21.446808510638302</v>
      </c>
    </row>
    <row r="188" spans="2:41" s="7" customFormat="1" ht="12" hidden="1" customHeight="1" outlineLevel="2">
      <c r="B188" s="245"/>
      <c r="C188" s="213" t="s">
        <v>786</v>
      </c>
      <c r="D188" s="213"/>
      <c r="E188" s="213"/>
      <c r="F188" s="213"/>
      <c r="G188" s="213"/>
      <c r="H188" s="213"/>
      <c r="I188" s="213"/>
      <c r="J188" s="213"/>
      <c r="K188" s="213"/>
      <c r="L188" s="213"/>
      <c r="M188" s="213"/>
      <c r="N188" s="213"/>
      <c r="O188" s="213"/>
      <c r="P188" s="213"/>
      <c r="Q188" s="213"/>
      <c r="R188" s="213"/>
      <c r="S188" s="213"/>
      <c r="T188" s="213"/>
      <c r="U188" s="213"/>
      <c r="V188" s="213"/>
      <c r="W188" s="213"/>
      <c r="X188" s="213"/>
      <c r="Y188" s="213"/>
      <c r="Z188" s="213"/>
      <c r="AA188" s="213"/>
      <c r="AB188" s="211"/>
      <c r="AC188" s="211"/>
      <c r="AD188" s="211"/>
      <c r="AE188" s="211"/>
      <c r="AF188" s="211"/>
      <c r="AG188" s="211"/>
      <c r="AH188" s="211"/>
      <c r="AI188" s="211"/>
      <c r="AJ188" s="211"/>
      <c r="AK188" s="211"/>
      <c r="AL188" s="211">
        <f>INDEX($C$44:$AN$66,MATCH("New Customers 3MS",$C$44:$C$66,0),MATCH($C188,$C$44:$AN$44,0))</f>
        <v>16.548463356973997</v>
      </c>
      <c r="AM188" s="211"/>
      <c r="AN188" s="211"/>
    </row>
    <row r="189" spans="2:41" s="7" customFormat="1" ht="12" hidden="1" customHeight="1" outlineLevel="2">
      <c r="B189" s="245"/>
      <c r="C189" s="213" t="s">
        <v>787</v>
      </c>
      <c r="D189" s="213"/>
      <c r="E189" s="213"/>
      <c r="F189" s="213"/>
      <c r="G189" s="213"/>
      <c r="H189" s="213"/>
      <c r="I189" s="213"/>
      <c r="J189" s="213"/>
      <c r="K189" s="213"/>
      <c r="L189" s="213"/>
      <c r="M189" s="213"/>
      <c r="N189" s="213"/>
      <c r="O189" s="213"/>
      <c r="P189" s="213"/>
      <c r="Q189" s="213"/>
      <c r="R189" s="213"/>
      <c r="S189" s="213"/>
      <c r="T189" s="213"/>
      <c r="U189" s="213"/>
      <c r="V189" s="213"/>
      <c r="W189" s="213"/>
      <c r="X189" s="213"/>
      <c r="Y189" s="213"/>
      <c r="Z189" s="213"/>
      <c r="AA189" s="213"/>
      <c r="AB189" s="211"/>
      <c r="AC189" s="211"/>
      <c r="AD189" s="211"/>
      <c r="AE189" s="211"/>
      <c r="AF189" s="211"/>
      <c r="AG189" s="211"/>
      <c r="AH189" s="211"/>
      <c r="AI189" s="211"/>
      <c r="AJ189" s="211"/>
      <c r="AK189" s="211"/>
      <c r="AL189" s="211"/>
      <c r="AM189" s="211">
        <f>INDEX($C$44:$AN$66,MATCH("New Customers 3MS",$C$44:$C$66,0),MATCH($C189,$C$44:$AN$44,0))</f>
        <v>8.5815602836879439</v>
      </c>
      <c r="AN189" s="211"/>
    </row>
    <row r="190" spans="2:41" s="7" customFormat="1" ht="12" hidden="1" customHeight="1" outlineLevel="2">
      <c r="B190" s="245"/>
      <c r="C190" s="213" t="s">
        <v>788</v>
      </c>
      <c r="D190" s="213"/>
      <c r="E190" s="213"/>
      <c r="F190" s="213"/>
      <c r="G190" s="213"/>
      <c r="H190" s="213"/>
      <c r="I190" s="213"/>
      <c r="J190" s="213"/>
      <c r="K190" s="213"/>
      <c r="L190" s="213"/>
      <c r="M190" s="213"/>
      <c r="N190" s="213"/>
      <c r="O190" s="213"/>
      <c r="P190" s="213"/>
      <c r="Q190" s="213"/>
      <c r="R190" s="213"/>
      <c r="S190" s="213"/>
      <c r="T190" s="213"/>
      <c r="U190" s="213"/>
      <c r="V190" s="213"/>
      <c r="W190" s="213"/>
      <c r="X190" s="213"/>
      <c r="Y190" s="213"/>
      <c r="Z190" s="213"/>
      <c r="AA190" s="213"/>
      <c r="AB190" s="211"/>
      <c r="AC190" s="211"/>
      <c r="AD190" s="211"/>
      <c r="AE190" s="211"/>
      <c r="AF190" s="211"/>
      <c r="AG190" s="211"/>
      <c r="AH190" s="211"/>
      <c r="AI190" s="211"/>
      <c r="AJ190" s="211"/>
      <c r="AK190" s="211"/>
      <c r="AL190" s="211"/>
      <c r="AM190" s="211"/>
      <c r="AN190" s="211">
        <f>INDEX($C$44:$AN$66,MATCH("New Customers 3MS",$C$44:$C$66,0),MATCH($C190,$C$44:$AN$44,0))</f>
        <v>11.063829787234043</v>
      </c>
    </row>
    <row r="191" spans="2:41" s="7" customFormat="1" ht="12" hidden="1" customHeight="1" outlineLevel="2">
      <c r="B191" s="245"/>
      <c r="C191" s="213"/>
      <c r="D191" s="213"/>
      <c r="E191" s="213"/>
      <c r="F191" s="213"/>
      <c r="G191" s="213"/>
      <c r="H191" s="213"/>
      <c r="I191" s="213"/>
      <c r="J191" s="213"/>
      <c r="K191" s="213"/>
      <c r="L191" s="213"/>
      <c r="M191" s="213"/>
      <c r="N191" s="213"/>
      <c r="O191" s="213"/>
      <c r="P191" s="213"/>
      <c r="Q191" s="213"/>
      <c r="R191" s="213"/>
      <c r="S191" s="213"/>
      <c r="T191" s="213"/>
      <c r="U191" s="213"/>
      <c r="V191" s="213"/>
      <c r="W191" s="213"/>
      <c r="X191" s="213"/>
      <c r="Y191" s="213"/>
      <c r="Z191" s="213"/>
      <c r="AA191" s="213"/>
      <c r="AB191" s="211"/>
      <c r="AC191" s="211"/>
      <c r="AD191" s="211"/>
      <c r="AE191" s="211"/>
      <c r="AF191" s="211"/>
      <c r="AG191" s="211"/>
      <c r="AH191" s="211"/>
      <c r="AI191" s="211"/>
      <c r="AJ191" s="211"/>
      <c r="AK191" s="211"/>
      <c r="AL191" s="211"/>
      <c r="AM191" s="211"/>
      <c r="AN191" s="211"/>
    </row>
    <row r="192" spans="2:41" s="7" customFormat="1" ht="12" hidden="1" customHeight="1" outlineLevel="2">
      <c r="B192" s="245"/>
      <c r="C192" s="213"/>
      <c r="D192" s="213"/>
      <c r="E192" s="213"/>
      <c r="F192" s="213"/>
      <c r="G192" s="213"/>
      <c r="H192" s="213"/>
      <c r="I192" s="213"/>
      <c r="J192" s="213"/>
      <c r="K192" s="213"/>
      <c r="L192" s="213"/>
      <c r="M192" s="213"/>
      <c r="N192" s="213"/>
      <c r="O192" s="213"/>
      <c r="P192" s="213"/>
      <c r="Q192" s="213"/>
      <c r="R192" s="213"/>
      <c r="S192" s="213"/>
      <c r="T192" s="213"/>
      <c r="U192" s="213"/>
      <c r="V192" s="213"/>
      <c r="W192" s="213"/>
      <c r="X192" s="213"/>
      <c r="Y192" s="213"/>
      <c r="Z192" s="213"/>
      <c r="AA192" s="213"/>
      <c r="AB192" s="211"/>
      <c r="AC192" s="211"/>
      <c r="AD192" s="211"/>
      <c r="AE192" s="211"/>
      <c r="AF192" s="211"/>
      <c r="AG192" s="211"/>
      <c r="AH192" s="211"/>
      <c r="AI192" s="211"/>
      <c r="AJ192" s="211"/>
      <c r="AK192" s="211"/>
      <c r="AL192" s="211"/>
      <c r="AM192" s="211"/>
      <c r="AN192" s="211"/>
    </row>
    <row r="193" spans="2:40" s="7" customFormat="1" ht="12" hidden="1" customHeight="1" outlineLevel="2">
      <c r="B193" s="245"/>
      <c r="C193" s="213"/>
      <c r="D193" s="213"/>
      <c r="E193" s="213"/>
      <c r="F193" s="213"/>
      <c r="G193" s="213"/>
      <c r="H193" s="213"/>
      <c r="I193" s="213"/>
      <c r="J193" s="213"/>
      <c r="K193" s="213"/>
      <c r="L193" s="213"/>
      <c r="M193" s="213"/>
      <c r="N193" s="213"/>
      <c r="O193" s="213"/>
      <c r="P193" s="213"/>
      <c r="Q193" s="213"/>
      <c r="R193" s="213"/>
      <c r="S193" s="213"/>
      <c r="T193" s="213"/>
      <c r="U193" s="213"/>
      <c r="V193" s="213"/>
      <c r="W193" s="213"/>
      <c r="X193" s="213"/>
      <c r="Y193" s="213"/>
      <c r="Z193" s="213"/>
      <c r="AA193" s="213"/>
      <c r="AB193" s="211"/>
      <c r="AC193" s="211"/>
      <c r="AD193" s="211"/>
      <c r="AE193" s="211"/>
      <c r="AF193" s="211"/>
      <c r="AG193" s="211"/>
      <c r="AH193" s="211"/>
      <c r="AI193" s="211"/>
      <c r="AJ193" s="211"/>
      <c r="AK193" s="211"/>
      <c r="AL193" s="211"/>
      <c r="AM193" s="211"/>
      <c r="AN193" s="211"/>
    </row>
    <row r="194" spans="2:40" s="7" customFormat="1" ht="12" hidden="1" customHeight="1" outlineLevel="2">
      <c r="B194" s="245"/>
      <c r="C194" s="213"/>
      <c r="D194" s="213"/>
      <c r="E194" s="213"/>
      <c r="F194" s="213"/>
      <c r="G194" s="213"/>
      <c r="H194" s="213"/>
      <c r="I194" s="213"/>
      <c r="J194" s="213"/>
      <c r="K194" s="213"/>
      <c r="L194" s="213"/>
      <c r="M194" s="213"/>
      <c r="N194" s="213"/>
      <c r="O194" s="213"/>
      <c r="P194" s="213"/>
      <c r="Q194" s="213"/>
      <c r="R194" s="213"/>
      <c r="S194" s="213"/>
      <c r="T194" s="213"/>
      <c r="U194" s="213"/>
      <c r="V194" s="213"/>
      <c r="W194" s="213"/>
      <c r="X194" s="213"/>
      <c r="Y194" s="213"/>
      <c r="Z194" s="213"/>
      <c r="AA194" s="213"/>
      <c r="AB194" s="211"/>
      <c r="AC194" s="211"/>
      <c r="AD194" s="211"/>
      <c r="AE194" s="211"/>
      <c r="AF194" s="211"/>
      <c r="AG194" s="211"/>
      <c r="AH194" s="211"/>
      <c r="AI194" s="211"/>
      <c r="AJ194" s="211"/>
      <c r="AK194" s="211"/>
      <c r="AL194" s="211"/>
      <c r="AM194" s="211"/>
      <c r="AN194" s="211"/>
    </row>
    <row r="195" spans="2:40" s="7" customFormat="1" ht="12" customHeight="1" outlineLevel="1" collapsed="1">
      <c r="B195" s="245"/>
      <c r="C195" s="243" t="s">
        <v>855</v>
      </c>
      <c r="D195" s="214"/>
      <c r="E195" s="214"/>
      <c r="F195" s="214"/>
      <c r="G195" s="214"/>
      <c r="H195" s="214"/>
      <c r="I195" s="214"/>
      <c r="J195" s="214"/>
      <c r="K195" s="214"/>
      <c r="L195" s="214"/>
      <c r="M195" s="214"/>
      <c r="N195" s="214"/>
      <c r="O195" s="214"/>
      <c r="P195" s="214"/>
      <c r="Q195" s="214"/>
      <c r="R195" s="214"/>
      <c r="S195" s="214"/>
      <c r="T195" s="214"/>
      <c r="U195" s="214"/>
      <c r="V195" s="214"/>
      <c r="W195" s="214"/>
      <c r="X195" s="214"/>
      <c r="Y195" s="214"/>
      <c r="Z195" s="214"/>
      <c r="AA195" s="214"/>
      <c r="AB195" s="214"/>
      <c r="AC195" s="211"/>
    </row>
    <row r="196" spans="2:40" s="7" customFormat="1" ht="12" customHeight="1" outlineLevel="1">
      <c r="B196" s="239"/>
      <c r="C196" s="214"/>
      <c r="D196" s="214"/>
      <c r="E196" s="214"/>
      <c r="F196" s="214"/>
      <c r="G196" s="214"/>
      <c r="H196" s="214"/>
      <c r="I196" s="214"/>
      <c r="J196" s="214"/>
      <c r="K196" s="214"/>
      <c r="L196" s="214"/>
      <c r="M196" s="214"/>
      <c r="N196" s="214"/>
      <c r="O196" s="214"/>
      <c r="P196" s="214"/>
      <c r="Q196" s="214"/>
      <c r="R196" s="214"/>
      <c r="S196" s="214"/>
      <c r="T196" s="214"/>
      <c r="U196" s="214"/>
      <c r="V196" s="214"/>
      <c r="W196" s="214"/>
      <c r="X196" s="214"/>
      <c r="Y196" s="214"/>
      <c r="Z196" s="214"/>
      <c r="AA196" s="214"/>
      <c r="AB196" s="214"/>
      <c r="AC196" s="215"/>
    </row>
    <row r="197" spans="2:40" s="7" customFormat="1" outlineLevel="1">
      <c r="B197" s="235"/>
    </row>
    <row r="198" spans="2:40" s="207" customFormat="1">
      <c r="C198" s="248" t="s">
        <v>823</v>
      </c>
    </row>
    <row r="199" spans="2:40" s="7" customFormat="1" ht="12" customHeight="1" outlineLevel="1">
      <c r="B199" s="237"/>
      <c r="C199" s="208"/>
      <c r="D199" s="208"/>
      <c r="E199" s="196" t="s">
        <v>753</v>
      </c>
      <c r="F199" s="196" t="s">
        <v>754</v>
      </c>
      <c r="G199" s="196" t="s">
        <v>755</v>
      </c>
      <c r="H199" s="196" t="s">
        <v>756</v>
      </c>
      <c r="I199" s="196" t="s">
        <v>757</v>
      </c>
      <c r="J199" s="196" t="s">
        <v>758</v>
      </c>
      <c r="K199" s="196" t="s">
        <v>759</v>
      </c>
      <c r="L199" s="196" t="s">
        <v>760</v>
      </c>
      <c r="M199" s="196" t="s">
        <v>761</v>
      </c>
      <c r="N199" s="196" t="s">
        <v>762</v>
      </c>
      <c r="O199" s="196" t="s">
        <v>763</v>
      </c>
      <c r="P199" s="196" t="s">
        <v>764</v>
      </c>
      <c r="Q199" s="196" t="s">
        <v>765</v>
      </c>
      <c r="R199" s="196" t="s">
        <v>766</v>
      </c>
      <c r="S199" s="196" t="s">
        <v>767</v>
      </c>
      <c r="T199" s="196" t="s">
        <v>768</v>
      </c>
      <c r="U199" s="196" t="s">
        <v>769</v>
      </c>
      <c r="V199" s="196" t="s">
        <v>770</v>
      </c>
      <c r="W199" s="196" t="s">
        <v>771</v>
      </c>
      <c r="X199" s="196" t="s">
        <v>772</v>
      </c>
      <c r="Y199" s="196" t="s">
        <v>773</v>
      </c>
      <c r="Z199" s="196" t="s">
        <v>774</v>
      </c>
      <c r="AA199" s="196" t="s">
        <v>775</v>
      </c>
      <c r="AB199" s="196" t="s">
        <v>776</v>
      </c>
      <c r="AC199" s="196" t="s">
        <v>777</v>
      </c>
      <c r="AD199" s="196" t="s">
        <v>778</v>
      </c>
      <c r="AE199" s="196" t="s">
        <v>779</v>
      </c>
      <c r="AF199" s="196" t="s">
        <v>780</v>
      </c>
      <c r="AG199" s="196" t="s">
        <v>781</v>
      </c>
      <c r="AH199" s="196" t="s">
        <v>782</v>
      </c>
      <c r="AI199" s="196" t="s">
        <v>783</v>
      </c>
      <c r="AJ199" s="196" t="s">
        <v>784</v>
      </c>
      <c r="AK199" s="196" t="s">
        <v>785</v>
      </c>
      <c r="AL199" s="196" t="s">
        <v>786</v>
      </c>
      <c r="AM199" s="196" t="s">
        <v>787</v>
      </c>
      <c r="AN199" s="196" t="s">
        <v>788</v>
      </c>
    </row>
    <row r="200" spans="2:40" s="7" customFormat="1" ht="12" customHeight="1" outlineLevel="1">
      <c r="B200" s="239"/>
      <c r="C200" s="214" t="s">
        <v>821</v>
      </c>
      <c r="D200" s="212"/>
      <c r="E200" s="351"/>
      <c r="F200" s="351"/>
      <c r="G200" s="351"/>
      <c r="H200" s="351"/>
      <c r="I200" s="351"/>
      <c r="J200" s="351"/>
      <c r="K200" s="351"/>
      <c r="L200" s="351"/>
      <c r="M200" s="337">
        <f t="shared" ref="M200:AN200" si="115">M36*M40</f>
        <v>1750</v>
      </c>
      <c r="N200" s="337">
        <f t="shared" si="115"/>
        <v>1750</v>
      </c>
      <c r="O200" s="337">
        <f t="shared" si="115"/>
        <v>750</v>
      </c>
      <c r="P200" s="337">
        <f t="shared" si="115"/>
        <v>750</v>
      </c>
      <c r="Q200" s="337">
        <f t="shared" si="115"/>
        <v>1541.88</v>
      </c>
      <c r="R200" s="337">
        <f t="shared" si="115"/>
        <v>3086.58</v>
      </c>
      <c r="S200" s="337">
        <f t="shared" si="115"/>
        <v>1413.9</v>
      </c>
      <c r="T200" s="337">
        <f t="shared" si="115"/>
        <v>1039.9750000000001</v>
      </c>
      <c r="U200" s="337">
        <f t="shared" si="115"/>
        <v>1056.45</v>
      </c>
      <c r="V200" s="337">
        <f t="shared" si="115"/>
        <v>1360.9</v>
      </c>
      <c r="W200" s="337">
        <f t="shared" si="115"/>
        <v>1107.8399999999999</v>
      </c>
      <c r="X200" s="337">
        <f t="shared" si="115"/>
        <v>952.63</v>
      </c>
      <c r="Y200" s="337">
        <f t="shared" si="115"/>
        <v>2100</v>
      </c>
      <c r="Z200" s="337">
        <f t="shared" si="115"/>
        <v>1750</v>
      </c>
      <c r="AA200" s="337">
        <f t="shared" si="115"/>
        <v>825</v>
      </c>
      <c r="AB200" s="337">
        <f t="shared" si="115"/>
        <v>975</v>
      </c>
      <c r="AC200" s="337">
        <f t="shared" si="115"/>
        <v>925.12800000000016</v>
      </c>
      <c r="AD200" s="337">
        <f t="shared" si="115"/>
        <v>2160.6059999999998</v>
      </c>
      <c r="AE200" s="337">
        <f t="shared" si="115"/>
        <v>1413.9</v>
      </c>
      <c r="AF200" s="337">
        <f t="shared" si="115"/>
        <v>1351.9675000000002</v>
      </c>
      <c r="AG200" s="337">
        <f t="shared" si="115"/>
        <v>1162.095</v>
      </c>
      <c r="AH200" s="337">
        <f t="shared" si="115"/>
        <v>2177.44</v>
      </c>
      <c r="AI200" s="337">
        <f t="shared" si="115"/>
        <v>997.05600000000004</v>
      </c>
      <c r="AJ200" s="337">
        <f t="shared" si="115"/>
        <v>1047.893</v>
      </c>
      <c r="AK200" s="337">
        <f t="shared" si="115"/>
        <v>2520</v>
      </c>
      <c r="AL200" s="337">
        <f t="shared" si="115"/>
        <v>1750</v>
      </c>
      <c r="AM200" s="337">
        <f t="shared" si="115"/>
        <v>907.5</v>
      </c>
      <c r="AN200" s="337">
        <f t="shared" si="115"/>
        <v>1170</v>
      </c>
    </row>
    <row r="201" spans="2:40" ht="12" customHeight="1" outlineLevel="1">
      <c r="B201" s="301" t="s">
        <v>856</v>
      </c>
      <c r="C201" s="303" t="s">
        <v>827</v>
      </c>
      <c r="D201" s="302"/>
      <c r="E201" s="312"/>
      <c r="F201" s="312"/>
      <c r="G201" s="312"/>
      <c r="H201" s="312"/>
      <c r="I201" s="312"/>
      <c r="J201" s="312"/>
      <c r="K201" s="312"/>
      <c r="L201" s="312"/>
      <c r="M201" s="313">
        <v>90</v>
      </c>
      <c r="N201" s="313">
        <v>90</v>
      </c>
      <c r="O201" s="313">
        <v>90</v>
      </c>
      <c r="P201" s="313">
        <v>90</v>
      </c>
      <c r="Q201" s="313">
        <v>90</v>
      </c>
      <c r="R201" s="313">
        <v>90</v>
      </c>
      <c r="S201" s="313">
        <v>90</v>
      </c>
      <c r="T201" s="313">
        <v>90</v>
      </c>
      <c r="U201" s="313">
        <v>90</v>
      </c>
      <c r="V201" s="313">
        <v>90</v>
      </c>
      <c r="W201" s="313">
        <v>90</v>
      </c>
      <c r="X201" s="313">
        <v>90</v>
      </c>
      <c r="Y201" s="313">
        <v>90</v>
      </c>
      <c r="Z201" s="313">
        <v>90</v>
      </c>
      <c r="AA201" s="313">
        <v>90</v>
      </c>
      <c r="AB201" s="313">
        <v>90</v>
      </c>
      <c r="AC201" s="313">
        <v>90</v>
      </c>
      <c r="AD201" s="313">
        <v>90</v>
      </c>
      <c r="AE201" s="313">
        <v>90</v>
      </c>
      <c r="AF201" s="313">
        <v>90</v>
      </c>
      <c r="AG201" s="313">
        <v>90</v>
      </c>
      <c r="AH201" s="313">
        <v>90</v>
      </c>
      <c r="AI201" s="313">
        <v>90</v>
      </c>
      <c r="AJ201" s="313">
        <v>90</v>
      </c>
      <c r="AK201" s="313">
        <v>90</v>
      </c>
      <c r="AL201" s="313">
        <v>90</v>
      </c>
      <c r="AM201" s="313">
        <v>90</v>
      </c>
      <c r="AN201" s="313">
        <v>90</v>
      </c>
    </row>
    <row r="202" spans="2:40" s="7" customFormat="1" ht="12" customHeight="1" outlineLevel="1">
      <c r="B202" s="239" t="s">
        <v>828</v>
      </c>
      <c r="C202" s="214" t="s">
        <v>829</v>
      </c>
      <c r="D202" s="212"/>
      <c r="E202" s="232"/>
      <c r="F202" s="232"/>
      <c r="G202" s="232"/>
      <c r="H202" s="232"/>
      <c r="I202" s="232"/>
      <c r="J202" s="232"/>
      <c r="K202" s="232"/>
      <c r="L202" s="232"/>
      <c r="M202" s="205">
        <f t="shared" ref="M202:AN202" si="116">M200/M201</f>
        <v>19.444444444444443</v>
      </c>
      <c r="N202" s="205">
        <f t="shared" si="116"/>
        <v>19.444444444444443</v>
      </c>
      <c r="O202" s="205">
        <f t="shared" si="116"/>
        <v>8.3333333333333339</v>
      </c>
      <c r="P202" s="205">
        <f t="shared" si="116"/>
        <v>8.3333333333333339</v>
      </c>
      <c r="Q202" s="205">
        <f t="shared" si="116"/>
        <v>17.132000000000001</v>
      </c>
      <c r="R202" s="205">
        <f t="shared" si="116"/>
        <v>34.295333333333332</v>
      </c>
      <c r="S202" s="205">
        <f t="shared" si="116"/>
        <v>15.71</v>
      </c>
      <c r="T202" s="205">
        <f t="shared" si="116"/>
        <v>11.555277777777778</v>
      </c>
      <c r="U202" s="205">
        <f t="shared" si="116"/>
        <v>11.738333333333333</v>
      </c>
      <c r="V202" s="205">
        <f t="shared" si="116"/>
        <v>15.121111111111112</v>
      </c>
      <c r="W202" s="205">
        <f t="shared" si="116"/>
        <v>12.309333333333333</v>
      </c>
      <c r="X202" s="205">
        <f t="shared" si="116"/>
        <v>10.584777777777777</v>
      </c>
      <c r="Y202" s="205">
        <f t="shared" si="116"/>
        <v>23.333333333333332</v>
      </c>
      <c r="Z202" s="205">
        <f t="shared" si="116"/>
        <v>19.444444444444443</v>
      </c>
      <c r="AA202" s="205">
        <f t="shared" si="116"/>
        <v>9.1666666666666661</v>
      </c>
      <c r="AB202" s="205">
        <f t="shared" si="116"/>
        <v>10.833333333333334</v>
      </c>
      <c r="AC202" s="205">
        <f t="shared" si="116"/>
        <v>10.279200000000001</v>
      </c>
      <c r="AD202" s="205">
        <f t="shared" si="116"/>
        <v>24.006733333333329</v>
      </c>
      <c r="AE202" s="205">
        <f t="shared" si="116"/>
        <v>15.71</v>
      </c>
      <c r="AF202" s="205">
        <f t="shared" si="116"/>
        <v>15.021861111111113</v>
      </c>
      <c r="AG202" s="205">
        <f t="shared" si="116"/>
        <v>12.912166666666668</v>
      </c>
      <c r="AH202" s="205">
        <f t="shared" si="116"/>
        <v>24.193777777777779</v>
      </c>
      <c r="AI202" s="205">
        <f t="shared" si="116"/>
        <v>11.0784</v>
      </c>
      <c r="AJ202" s="205">
        <f t="shared" si="116"/>
        <v>11.643255555555555</v>
      </c>
      <c r="AK202" s="205">
        <f t="shared" si="116"/>
        <v>28</v>
      </c>
      <c r="AL202" s="205">
        <f t="shared" si="116"/>
        <v>19.444444444444443</v>
      </c>
      <c r="AM202" s="205">
        <f t="shared" si="116"/>
        <v>10.083333333333334</v>
      </c>
      <c r="AN202" s="205">
        <f t="shared" si="116"/>
        <v>13</v>
      </c>
    </row>
    <row r="203" spans="2:40" ht="12" customHeight="1" outlineLevel="1">
      <c r="B203" s="301"/>
      <c r="C203" s="303" t="s">
        <v>830</v>
      </c>
      <c r="D203" s="302"/>
      <c r="E203" s="314">
        <v>0</v>
      </c>
      <c r="F203" s="314">
        <v>0</v>
      </c>
      <c r="G203" s="314">
        <v>0</v>
      </c>
      <c r="H203" s="314">
        <v>0</v>
      </c>
      <c r="I203" s="314">
        <v>0</v>
      </c>
      <c r="J203" s="314">
        <v>0</v>
      </c>
      <c r="K203" s="314">
        <v>0</v>
      </c>
      <c r="L203" s="314">
        <v>0</v>
      </c>
      <c r="M203" s="315">
        <v>0</v>
      </c>
      <c r="N203" s="315">
        <v>0</v>
      </c>
      <c r="O203" s="315">
        <v>0</v>
      </c>
      <c r="P203" s="315">
        <v>0</v>
      </c>
      <c r="Q203" s="315">
        <v>0</v>
      </c>
      <c r="R203" s="315">
        <v>0</v>
      </c>
      <c r="S203" s="315">
        <v>0</v>
      </c>
      <c r="T203" s="315">
        <v>0</v>
      </c>
      <c r="U203" s="315">
        <v>0</v>
      </c>
      <c r="V203" s="315">
        <v>0</v>
      </c>
      <c r="W203" s="315">
        <v>0</v>
      </c>
      <c r="X203" s="315">
        <v>0</v>
      </c>
      <c r="Y203" s="315">
        <v>0</v>
      </c>
      <c r="Z203" s="315">
        <v>0</v>
      </c>
      <c r="AA203" s="315">
        <v>0</v>
      </c>
      <c r="AB203" s="315">
        <v>0</v>
      </c>
      <c r="AC203" s="315">
        <v>0</v>
      </c>
      <c r="AD203" s="315">
        <v>0</v>
      </c>
      <c r="AE203" s="315">
        <v>0</v>
      </c>
      <c r="AF203" s="315">
        <v>0</v>
      </c>
      <c r="AG203" s="315">
        <v>0</v>
      </c>
      <c r="AH203" s="315">
        <v>0</v>
      </c>
      <c r="AI203" s="315">
        <v>0</v>
      </c>
      <c r="AJ203" s="315">
        <v>0</v>
      </c>
      <c r="AK203" s="315">
        <v>0</v>
      </c>
      <c r="AL203" s="315">
        <v>0</v>
      </c>
      <c r="AM203" s="315">
        <v>0</v>
      </c>
      <c r="AN203" s="315">
        <v>0</v>
      </c>
    </row>
    <row r="204" spans="2:40" s="7" customFormat="1" ht="12" customHeight="1" outlineLevel="1">
      <c r="B204" s="239"/>
      <c r="C204" s="214" t="s">
        <v>831</v>
      </c>
      <c r="D204" s="212"/>
      <c r="E204" s="232">
        <f t="shared" ref="E204:L204" si="117">E202*E203</f>
        <v>0</v>
      </c>
      <c r="F204" s="232">
        <f t="shared" si="117"/>
        <v>0</v>
      </c>
      <c r="G204" s="232">
        <f t="shared" si="117"/>
        <v>0</v>
      </c>
      <c r="H204" s="232">
        <f t="shared" si="117"/>
        <v>0</v>
      </c>
      <c r="I204" s="232">
        <f t="shared" si="117"/>
        <v>0</v>
      </c>
      <c r="J204" s="232">
        <f t="shared" si="117"/>
        <v>0</v>
      </c>
      <c r="K204" s="232">
        <f t="shared" si="117"/>
        <v>0</v>
      </c>
      <c r="L204" s="232">
        <f t="shared" si="117"/>
        <v>0</v>
      </c>
      <c r="M204" s="205">
        <f t="shared" ref="M204:AN204" si="118">M202*M203</f>
        <v>0</v>
      </c>
      <c r="N204" s="205">
        <f t="shared" si="118"/>
        <v>0</v>
      </c>
      <c r="O204" s="205">
        <f t="shared" si="118"/>
        <v>0</v>
      </c>
      <c r="P204" s="205">
        <f t="shared" si="118"/>
        <v>0</v>
      </c>
      <c r="Q204" s="205">
        <f t="shared" si="118"/>
        <v>0</v>
      </c>
      <c r="R204" s="205">
        <f t="shared" si="118"/>
        <v>0</v>
      </c>
      <c r="S204" s="205">
        <f t="shared" si="118"/>
        <v>0</v>
      </c>
      <c r="T204" s="205">
        <f t="shared" si="118"/>
        <v>0</v>
      </c>
      <c r="U204" s="205">
        <f t="shared" si="118"/>
        <v>0</v>
      </c>
      <c r="V204" s="205">
        <f t="shared" si="118"/>
        <v>0</v>
      </c>
      <c r="W204" s="205">
        <f t="shared" si="118"/>
        <v>0</v>
      </c>
      <c r="X204" s="205">
        <f t="shared" si="118"/>
        <v>0</v>
      </c>
      <c r="Y204" s="205">
        <f t="shared" si="118"/>
        <v>0</v>
      </c>
      <c r="Z204" s="205">
        <f t="shared" si="118"/>
        <v>0</v>
      </c>
      <c r="AA204" s="205">
        <f t="shared" si="118"/>
        <v>0</v>
      </c>
      <c r="AB204" s="205">
        <f t="shared" si="118"/>
        <v>0</v>
      </c>
      <c r="AC204" s="205">
        <f t="shared" si="118"/>
        <v>0</v>
      </c>
      <c r="AD204" s="205">
        <f t="shared" si="118"/>
        <v>0</v>
      </c>
      <c r="AE204" s="205">
        <f t="shared" si="118"/>
        <v>0</v>
      </c>
      <c r="AF204" s="205">
        <f t="shared" si="118"/>
        <v>0</v>
      </c>
      <c r="AG204" s="205">
        <f t="shared" si="118"/>
        <v>0</v>
      </c>
      <c r="AH204" s="205">
        <f t="shared" si="118"/>
        <v>0</v>
      </c>
      <c r="AI204" s="205">
        <f t="shared" si="118"/>
        <v>0</v>
      </c>
      <c r="AJ204" s="205">
        <f t="shared" si="118"/>
        <v>0</v>
      </c>
      <c r="AK204" s="205">
        <f t="shared" si="118"/>
        <v>0</v>
      </c>
      <c r="AL204" s="205">
        <f t="shared" si="118"/>
        <v>0</v>
      </c>
      <c r="AM204" s="205">
        <f t="shared" si="118"/>
        <v>0</v>
      </c>
      <c r="AN204" s="205">
        <f t="shared" si="118"/>
        <v>0</v>
      </c>
    </row>
    <row r="205" spans="2:40" s="7" customFormat="1" ht="12" customHeight="1" outlineLevel="1">
      <c r="B205" s="239" t="s">
        <v>828</v>
      </c>
      <c r="C205" s="214" t="s">
        <v>833</v>
      </c>
      <c r="D205" s="212"/>
      <c r="E205" s="232">
        <v>27</v>
      </c>
      <c r="F205" s="232">
        <v>16</v>
      </c>
      <c r="G205" s="232">
        <v>21</v>
      </c>
      <c r="H205" s="232">
        <v>6</v>
      </c>
      <c r="I205" s="232">
        <v>22</v>
      </c>
      <c r="J205" s="232">
        <f>44+1</f>
        <v>45</v>
      </c>
      <c r="K205" s="232">
        <v>51</v>
      </c>
      <c r="L205" s="232">
        <v>4</v>
      </c>
      <c r="M205" s="205">
        <f t="shared" ref="M205:AN205" si="119">M202+M204</f>
        <v>19.444444444444443</v>
      </c>
      <c r="N205" s="205">
        <f t="shared" si="119"/>
        <v>19.444444444444443</v>
      </c>
      <c r="O205" s="205">
        <f t="shared" si="119"/>
        <v>8.3333333333333339</v>
      </c>
      <c r="P205" s="205">
        <f t="shared" si="119"/>
        <v>8.3333333333333339</v>
      </c>
      <c r="Q205" s="205">
        <f t="shared" si="119"/>
        <v>17.132000000000001</v>
      </c>
      <c r="R205" s="205">
        <f t="shared" si="119"/>
        <v>34.295333333333332</v>
      </c>
      <c r="S205" s="205">
        <f t="shared" si="119"/>
        <v>15.71</v>
      </c>
      <c r="T205" s="205">
        <f t="shared" si="119"/>
        <v>11.555277777777778</v>
      </c>
      <c r="U205" s="205">
        <f t="shared" si="119"/>
        <v>11.738333333333333</v>
      </c>
      <c r="V205" s="205">
        <f t="shared" si="119"/>
        <v>15.121111111111112</v>
      </c>
      <c r="W205" s="205">
        <f t="shared" si="119"/>
        <v>12.309333333333333</v>
      </c>
      <c r="X205" s="205">
        <f t="shared" si="119"/>
        <v>10.584777777777777</v>
      </c>
      <c r="Y205" s="205">
        <f t="shared" si="119"/>
        <v>23.333333333333332</v>
      </c>
      <c r="Z205" s="205">
        <f t="shared" si="119"/>
        <v>19.444444444444443</v>
      </c>
      <c r="AA205" s="205">
        <f t="shared" si="119"/>
        <v>9.1666666666666661</v>
      </c>
      <c r="AB205" s="205">
        <f t="shared" si="119"/>
        <v>10.833333333333334</v>
      </c>
      <c r="AC205" s="205">
        <f t="shared" si="119"/>
        <v>10.279200000000001</v>
      </c>
      <c r="AD205" s="205">
        <f t="shared" si="119"/>
        <v>24.006733333333329</v>
      </c>
      <c r="AE205" s="205">
        <f t="shared" si="119"/>
        <v>15.71</v>
      </c>
      <c r="AF205" s="205">
        <f t="shared" si="119"/>
        <v>15.021861111111113</v>
      </c>
      <c r="AG205" s="205">
        <f t="shared" si="119"/>
        <v>12.912166666666668</v>
      </c>
      <c r="AH205" s="205">
        <f t="shared" si="119"/>
        <v>24.193777777777779</v>
      </c>
      <c r="AI205" s="205">
        <f t="shared" si="119"/>
        <v>11.0784</v>
      </c>
      <c r="AJ205" s="205">
        <f t="shared" si="119"/>
        <v>11.643255555555555</v>
      </c>
      <c r="AK205" s="205">
        <f t="shared" si="119"/>
        <v>28</v>
      </c>
      <c r="AL205" s="205">
        <f t="shared" si="119"/>
        <v>19.444444444444443</v>
      </c>
      <c r="AM205" s="205">
        <f t="shared" si="119"/>
        <v>10.083333333333334</v>
      </c>
      <c r="AN205" s="205">
        <f t="shared" si="119"/>
        <v>13</v>
      </c>
    </row>
    <row r="206" spans="2:40" s="7" customFormat="1" ht="12" customHeight="1" outlineLevel="1">
      <c r="B206" s="239" t="s">
        <v>857</v>
      </c>
      <c r="C206" s="214" t="s">
        <v>834</v>
      </c>
      <c r="D206" s="212"/>
      <c r="E206" s="232">
        <v>1</v>
      </c>
      <c r="F206" s="232">
        <v>1</v>
      </c>
      <c r="G206" s="232">
        <v>0</v>
      </c>
      <c r="H206" s="232">
        <v>0</v>
      </c>
      <c r="I206" s="232">
        <v>0</v>
      </c>
      <c r="J206" s="232">
        <v>1</v>
      </c>
      <c r="K206" s="232">
        <v>2</v>
      </c>
      <c r="L206" s="232">
        <v>0</v>
      </c>
      <c r="M206" s="205">
        <f t="shared" ref="M206:AN206" si="120">M214+M215</f>
        <v>3.5462592937433133</v>
      </c>
      <c r="N206" s="205">
        <f t="shared" si="120"/>
        <v>3.5462592937433133</v>
      </c>
      <c r="O206" s="205">
        <f t="shared" si="120"/>
        <v>1.5198254116042773</v>
      </c>
      <c r="P206" s="205">
        <f t="shared" si="120"/>
        <v>1.5198254116042773</v>
      </c>
      <c r="Q206" s="205">
        <f t="shared" si="120"/>
        <v>3.1245178741925375</v>
      </c>
      <c r="R206" s="205">
        <f t="shared" si="120"/>
        <v>6.254750291932706</v>
      </c>
      <c r="S206" s="205">
        <f t="shared" si="120"/>
        <v>2.8651748659563836</v>
      </c>
      <c r="T206" s="205">
        <f t="shared" si="120"/>
        <v>2.1074405765775444</v>
      </c>
      <c r="U206" s="205">
        <f t="shared" si="120"/>
        <v>2.1408260747857848</v>
      </c>
      <c r="V206" s="205">
        <f t="shared" si="120"/>
        <v>2.7577738702030148</v>
      </c>
      <c r="W206" s="205">
        <f t="shared" si="120"/>
        <v>2.2449645119889099</v>
      </c>
      <c r="X206" s="205">
        <f t="shared" si="120"/>
        <v>1.93044170914211</v>
      </c>
      <c r="Y206" s="205">
        <f t="shared" si="120"/>
        <v>4.2555111524919758</v>
      </c>
      <c r="Z206" s="205">
        <f t="shared" si="120"/>
        <v>3.5462592937433133</v>
      </c>
      <c r="AA206" s="205">
        <f t="shared" si="120"/>
        <v>1.6718079527647047</v>
      </c>
      <c r="AB206" s="205">
        <f t="shared" si="120"/>
        <v>1.9757730350855605</v>
      </c>
      <c r="AC206" s="205">
        <f t="shared" si="120"/>
        <v>1.8747107245155226</v>
      </c>
      <c r="AD206" s="205">
        <f t="shared" si="120"/>
        <v>4.378325204352894</v>
      </c>
      <c r="AE206" s="205">
        <f t="shared" si="120"/>
        <v>2.8651748659563836</v>
      </c>
      <c r="AF206" s="205">
        <f t="shared" si="120"/>
        <v>2.7396727495508078</v>
      </c>
      <c r="AG206" s="205">
        <f t="shared" si="120"/>
        <v>2.3549086822643637</v>
      </c>
      <c r="AH206" s="205">
        <f t="shared" si="120"/>
        <v>4.4124381923248235</v>
      </c>
      <c r="AI206" s="205">
        <f t="shared" si="120"/>
        <v>2.0204680607900189</v>
      </c>
      <c r="AJ206" s="205">
        <f t="shared" si="120"/>
        <v>2.1234858800563212</v>
      </c>
      <c r="AK206" s="205">
        <f t="shared" si="120"/>
        <v>5.1066133829903713</v>
      </c>
      <c r="AL206" s="205">
        <f t="shared" si="120"/>
        <v>3.5462592937433133</v>
      </c>
      <c r="AM206" s="205">
        <f t="shared" si="120"/>
        <v>1.8389887480411755</v>
      </c>
      <c r="AN206" s="205">
        <f t="shared" si="120"/>
        <v>2.3709276421026724</v>
      </c>
    </row>
    <row r="207" spans="2:40" s="7" customFormat="1" ht="12" customHeight="1" outlineLevel="1">
      <c r="B207" s="239"/>
      <c r="C207" s="214" t="s">
        <v>835</v>
      </c>
      <c r="D207" s="212"/>
      <c r="E207" s="232">
        <f>E200/E205</f>
        <v>0</v>
      </c>
      <c r="F207" s="232">
        <f t="shared" ref="F207:I207" si="121">F200/F205</f>
        <v>0</v>
      </c>
      <c r="G207" s="232">
        <f t="shared" si="121"/>
        <v>0</v>
      </c>
      <c r="H207" s="232">
        <f t="shared" si="121"/>
        <v>0</v>
      </c>
      <c r="I207" s="232">
        <f t="shared" si="121"/>
        <v>0</v>
      </c>
      <c r="J207" s="232">
        <f t="shared" ref="J207:AN207" si="122">J200/J205</f>
        <v>0</v>
      </c>
      <c r="K207" s="232">
        <f t="shared" si="122"/>
        <v>0</v>
      </c>
      <c r="L207" s="232">
        <f t="shared" si="122"/>
        <v>0</v>
      </c>
      <c r="M207" s="205">
        <f t="shared" si="122"/>
        <v>90.000000000000014</v>
      </c>
      <c r="N207" s="205">
        <f t="shared" si="122"/>
        <v>90.000000000000014</v>
      </c>
      <c r="O207" s="205">
        <f t="shared" si="122"/>
        <v>90</v>
      </c>
      <c r="P207" s="205">
        <f t="shared" si="122"/>
        <v>90</v>
      </c>
      <c r="Q207" s="205">
        <f t="shared" si="122"/>
        <v>90</v>
      </c>
      <c r="R207" s="205">
        <f t="shared" si="122"/>
        <v>90</v>
      </c>
      <c r="S207" s="205">
        <f t="shared" si="122"/>
        <v>90</v>
      </c>
      <c r="T207" s="205">
        <f t="shared" si="122"/>
        <v>90</v>
      </c>
      <c r="U207" s="205">
        <f t="shared" si="122"/>
        <v>90</v>
      </c>
      <c r="V207" s="205">
        <f t="shared" si="122"/>
        <v>90</v>
      </c>
      <c r="W207" s="205">
        <f t="shared" si="122"/>
        <v>90</v>
      </c>
      <c r="X207" s="205">
        <f t="shared" si="122"/>
        <v>90</v>
      </c>
      <c r="Y207" s="205">
        <f t="shared" si="122"/>
        <v>90</v>
      </c>
      <c r="Z207" s="205">
        <f t="shared" si="122"/>
        <v>90.000000000000014</v>
      </c>
      <c r="AA207" s="205">
        <f t="shared" si="122"/>
        <v>90</v>
      </c>
      <c r="AB207" s="205">
        <f t="shared" si="122"/>
        <v>90</v>
      </c>
      <c r="AC207" s="205">
        <f t="shared" si="122"/>
        <v>90</v>
      </c>
      <c r="AD207" s="205">
        <f t="shared" si="122"/>
        <v>90</v>
      </c>
      <c r="AE207" s="205">
        <f t="shared" si="122"/>
        <v>90</v>
      </c>
      <c r="AF207" s="205">
        <f t="shared" si="122"/>
        <v>90</v>
      </c>
      <c r="AG207" s="205">
        <f t="shared" si="122"/>
        <v>90</v>
      </c>
      <c r="AH207" s="205">
        <f t="shared" si="122"/>
        <v>90</v>
      </c>
      <c r="AI207" s="205">
        <f t="shared" si="122"/>
        <v>90</v>
      </c>
      <c r="AJ207" s="205">
        <f t="shared" si="122"/>
        <v>90</v>
      </c>
      <c r="AK207" s="205">
        <f t="shared" si="122"/>
        <v>90</v>
      </c>
      <c r="AL207" s="205">
        <f t="shared" si="122"/>
        <v>90.000000000000014</v>
      </c>
      <c r="AM207" s="205">
        <f t="shared" si="122"/>
        <v>90</v>
      </c>
      <c r="AN207" s="205">
        <f t="shared" si="122"/>
        <v>90</v>
      </c>
    </row>
    <row r="208" spans="2:40" s="7" customFormat="1" ht="12" customHeight="1" outlineLevel="1">
      <c r="B208" s="239"/>
      <c r="C208" s="214" t="s">
        <v>836</v>
      </c>
      <c r="D208" s="212"/>
      <c r="E208" s="205"/>
      <c r="F208" s="205"/>
      <c r="G208" s="205"/>
      <c r="H208" s="205"/>
      <c r="I208" s="205"/>
      <c r="J208" s="205"/>
      <c r="K208" s="205"/>
      <c r="L208" s="205"/>
      <c r="M208" s="205"/>
      <c r="N208" s="205"/>
      <c r="O208" s="205"/>
      <c r="P208" s="205"/>
      <c r="Q208" s="205"/>
      <c r="R208" s="205"/>
      <c r="S208" s="205"/>
      <c r="T208" s="205"/>
      <c r="U208" s="205"/>
      <c r="V208" s="205"/>
      <c r="W208" s="205"/>
      <c r="X208" s="205"/>
      <c r="Y208" s="205"/>
      <c r="Z208" s="205"/>
      <c r="AA208" s="205"/>
      <c r="AB208" s="205"/>
      <c r="AC208" s="205"/>
      <c r="AD208" s="205"/>
      <c r="AE208" s="205"/>
      <c r="AF208" s="205"/>
      <c r="AG208" s="205"/>
      <c r="AH208" s="205"/>
      <c r="AI208" s="205"/>
      <c r="AJ208" s="205"/>
      <c r="AK208" s="205"/>
      <c r="AL208" s="205"/>
      <c r="AM208" s="205"/>
      <c r="AN208" s="205"/>
    </row>
    <row r="209" spans="2:40" ht="12" customHeight="1" outlineLevel="1">
      <c r="B209" s="316" t="s">
        <v>858</v>
      </c>
      <c r="C209" s="303" t="s">
        <v>837</v>
      </c>
      <c r="D209" s="302"/>
      <c r="E209" s="317">
        <f t="shared" ref="E209:I209" si="123">1-(E206/E205)</f>
        <v>0.96296296296296302</v>
      </c>
      <c r="F209" s="317">
        <f t="shared" si="123"/>
        <v>0.9375</v>
      </c>
      <c r="G209" s="317">
        <f t="shared" si="123"/>
        <v>1</v>
      </c>
      <c r="H209" s="317">
        <f t="shared" si="123"/>
        <v>1</v>
      </c>
      <c r="I209" s="317">
        <f t="shared" si="123"/>
        <v>1</v>
      </c>
      <c r="J209" s="317">
        <f>44/45</f>
        <v>0.97777777777777775</v>
      </c>
      <c r="K209" s="317">
        <f>51/53</f>
        <v>0.96226415094339623</v>
      </c>
      <c r="L209" s="317">
        <v>1</v>
      </c>
      <c r="M209" s="318">
        <v>0.81762095060748674</v>
      </c>
      <c r="N209" s="318">
        <v>0.81762095060748674</v>
      </c>
      <c r="O209" s="318">
        <v>0.81762095060748674</v>
      </c>
      <c r="P209" s="318">
        <v>0.81762095060748674</v>
      </c>
      <c r="Q209" s="318">
        <v>0.81762095060748674</v>
      </c>
      <c r="R209" s="318">
        <v>0.81762095060748674</v>
      </c>
      <c r="S209" s="318">
        <v>0.81762095060748674</v>
      </c>
      <c r="T209" s="318">
        <v>0.81762095060748674</v>
      </c>
      <c r="U209" s="318">
        <v>0.81762095060748674</v>
      </c>
      <c r="V209" s="318">
        <v>0.81762095060748674</v>
      </c>
      <c r="W209" s="318">
        <v>0.81762095060748674</v>
      </c>
      <c r="X209" s="318">
        <v>0.81762095060748674</v>
      </c>
      <c r="Y209" s="318">
        <v>0.81762095060748674</v>
      </c>
      <c r="Z209" s="318">
        <v>0.81762095060748674</v>
      </c>
      <c r="AA209" s="318">
        <v>0.81762095060748674</v>
      </c>
      <c r="AB209" s="318">
        <v>0.81762095060748674</v>
      </c>
      <c r="AC209" s="318">
        <v>0.81762095060748674</v>
      </c>
      <c r="AD209" s="318">
        <v>0.81762095060748674</v>
      </c>
      <c r="AE209" s="318">
        <v>0.81762095060748674</v>
      </c>
      <c r="AF209" s="318">
        <v>0.81762095060748674</v>
      </c>
      <c r="AG209" s="318">
        <v>0.81762095060748674</v>
      </c>
      <c r="AH209" s="318">
        <v>0.81762095060748674</v>
      </c>
      <c r="AI209" s="318">
        <v>0.81762095060748674</v>
      </c>
      <c r="AJ209" s="318">
        <v>0.81762095060748674</v>
      </c>
      <c r="AK209" s="318">
        <v>0.81762095060748674</v>
      </c>
      <c r="AL209" s="318">
        <v>0.81762095060748674</v>
      </c>
      <c r="AM209" s="318">
        <v>0.81762095060748674</v>
      </c>
      <c r="AN209" s="318">
        <v>0.81762095060748674</v>
      </c>
    </row>
    <row r="210" spans="2:40" ht="12" customHeight="1" outlineLevel="1">
      <c r="B210" s="301" t="s">
        <v>859</v>
      </c>
      <c r="C210" s="303" t="s">
        <v>839</v>
      </c>
      <c r="D210" s="302"/>
      <c r="E210" s="317">
        <f t="shared" ref="E210:I210" si="124">1-E209</f>
        <v>3.7037037037036979E-2</v>
      </c>
      <c r="F210" s="317">
        <f t="shared" si="124"/>
        <v>6.25E-2</v>
      </c>
      <c r="G210" s="317">
        <f t="shared" si="124"/>
        <v>0</v>
      </c>
      <c r="H210" s="317">
        <f t="shared" si="124"/>
        <v>0</v>
      </c>
      <c r="I210" s="317">
        <f t="shared" si="124"/>
        <v>0</v>
      </c>
      <c r="J210" s="317">
        <f>1-J209</f>
        <v>2.2222222222222254E-2</v>
      </c>
      <c r="K210" s="317">
        <f>2/53</f>
        <v>3.7735849056603772E-2</v>
      </c>
      <c r="L210" s="317">
        <v>0</v>
      </c>
      <c r="M210" s="318">
        <v>0.18237904939251326</v>
      </c>
      <c r="N210" s="318">
        <v>0.18237904939251326</v>
      </c>
      <c r="O210" s="318">
        <v>0.18237904939251326</v>
      </c>
      <c r="P210" s="318">
        <v>0.18237904939251326</v>
      </c>
      <c r="Q210" s="318">
        <v>0.18237904939251326</v>
      </c>
      <c r="R210" s="318">
        <v>0.18237904939251326</v>
      </c>
      <c r="S210" s="318">
        <v>0.18237904939251326</v>
      </c>
      <c r="T210" s="318">
        <v>0.18237904939251326</v>
      </c>
      <c r="U210" s="318">
        <v>0.18237904939251326</v>
      </c>
      <c r="V210" s="318">
        <v>0.18237904939251326</v>
      </c>
      <c r="W210" s="318">
        <v>0.18237904939251326</v>
      </c>
      <c r="X210" s="318">
        <v>0.18237904939251326</v>
      </c>
      <c r="Y210" s="318">
        <v>0.18237904939251326</v>
      </c>
      <c r="Z210" s="318">
        <v>0.18237904939251326</v>
      </c>
      <c r="AA210" s="318">
        <v>0.18237904939251326</v>
      </c>
      <c r="AB210" s="318">
        <v>0.18237904939251326</v>
      </c>
      <c r="AC210" s="318">
        <v>0.18237904939251326</v>
      </c>
      <c r="AD210" s="318">
        <v>0.18237904939251326</v>
      </c>
      <c r="AE210" s="318">
        <v>0.18237904939251326</v>
      </c>
      <c r="AF210" s="318">
        <v>0.18237904939251326</v>
      </c>
      <c r="AG210" s="318">
        <v>0.18237904939251326</v>
      </c>
      <c r="AH210" s="318">
        <v>0.18237904939251326</v>
      </c>
      <c r="AI210" s="318">
        <v>0.18237904939251326</v>
      </c>
      <c r="AJ210" s="318">
        <v>0.18237904939251326</v>
      </c>
      <c r="AK210" s="318">
        <v>0.18237904939251326</v>
      </c>
      <c r="AL210" s="318">
        <v>0.18237904939251326</v>
      </c>
      <c r="AM210" s="318">
        <v>0.18237904939251326</v>
      </c>
      <c r="AN210" s="318">
        <v>0.18237904939251326</v>
      </c>
    </row>
    <row r="211" spans="2:40" ht="12" customHeight="1" outlineLevel="1">
      <c r="B211" s="301"/>
      <c r="C211" s="303" t="s">
        <v>840</v>
      </c>
      <c r="D211" s="302"/>
      <c r="E211" s="317">
        <v>0</v>
      </c>
      <c r="F211" s="317">
        <v>0</v>
      </c>
      <c r="G211" s="317">
        <v>0</v>
      </c>
      <c r="H211" s="317">
        <v>0</v>
      </c>
      <c r="I211" s="317">
        <v>0</v>
      </c>
      <c r="J211" s="317">
        <v>0</v>
      </c>
      <c r="K211" s="317">
        <v>0</v>
      </c>
      <c r="L211" s="317">
        <v>0</v>
      </c>
      <c r="M211" s="318">
        <v>0</v>
      </c>
      <c r="N211" s="318">
        <v>0</v>
      </c>
      <c r="O211" s="318">
        <v>0</v>
      </c>
      <c r="P211" s="318">
        <v>0</v>
      </c>
      <c r="Q211" s="318">
        <v>0</v>
      </c>
      <c r="R211" s="318">
        <v>0</v>
      </c>
      <c r="S211" s="318">
        <v>0</v>
      </c>
      <c r="T211" s="318">
        <v>0</v>
      </c>
      <c r="U211" s="318">
        <v>0</v>
      </c>
      <c r="V211" s="318">
        <v>0</v>
      </c>
      <c r="W211" s="318">
        <v>0</v>
      </c>
      <c r="X211" s="318">
        <v>0</v>
      </c>
      <c r="Y211" s="318">
        <v>0</v>
      </c>
      <c r="Z211" s="318">
        <v>0</v>
      </c>
      <c r="AA211" s="318">
        <v>0</v>
      </c>
      <c r="AB211" s="318">
        <v>0</v>
      </c>
      <c r="AC211" s="318">
        <v>0</v>
      </c>
      <c r="AD211" s="318">
        <v>0</v>
      </c>
      <c r="AE211" s="318">
        <v>0</v>
      </c>
      <c r="AF211" s="318">
        <v>0</v>
      </c>
      <c r="AG211" s="318">
        <v>0</v>
      </c>
      <c r="AH211" s="318">
        <v>0</v>
      </c>
      <c r="AI211" s="318">
        <v>0</v>
      </c>
      <c r="AJ211" s="318">
        <v>0</v>
      </c>
      <c r="AK211" s="318">
        <v>0</v>
      </c>
      <c r="AL211" s="318">
        <v>0</v>
      </c>
      <c r="AM211" s="318">
        <v>0</v>
      </c>
      <c r="AN211" s="318">
        <v>0</v>
      </c>
    </row>
    <row r="212" spans="2:40" s="7" customFormat="1" ht="12" customHeight="1" outlineLevel="1">
      <c r="B212" s="237"/>
      <c r="C212" s="208"/>
      <c r="D212" s="208"/>
      <c r="E212" s="216"/>
      <c r="F212" s="208"/>
      <c r="G212" s="208"/>
      <c r="H212" s="208"/>
      <c r="I212" s="208"/>
      <c r="J212" s="208"/>
      <c r="K212" s="208"/>
      <c r="L212" s="208"/>
      <c r="M212" s="208"/>
      <c r="N212" s="208"/>
      <c r="O212" s="208"/>
      <c r="P212" s="208"/>
      <c r="Q212" s="208"/>
      <c r="R212" s="208"/>
      <c r="S212" s="208"/>
      <c r="T212" s="208"/>
      <c r="U212" s="208"/>
      <c r="V212" s="208"/>
      <c r="W212" s="208"/>
      <c r="X212" s="208"/>
      <c r="Y212" s="208"/>
      <c r="Z212" s="208"/>
      <c r="AA212" s="208"/>
      <c r="AB212" s="208"/>
      <c r="AC212" s="208"/>
      <c r="AD212" s="208"/>
      <c r="AE212" s="208"/>
      <c r="AF212" s="208"/>
      <c r="AG212" s="208"/>
      <c r="AH212" s="208"/>
      <c r="AI212" s="208"/>
      <c r="AJ212" s="208"/>
      <c r="AK212" s="208"/>
      <c r="AL212" s="208"/>
      <c r="AM212" s="208"/>
      <c r="AN212" s="208"/>
    </row>
    <row r="213" spans="2:40" s="7" customFormat="1" ht="12" customHeight="1" outlineLevel="1">
      <c r="B213" s="239"/>
      <c r="C213" s="214" t="s">
        <v>841</v>
      </c>
      <c r="D213" s="214"/>
      <c r="E213" s="209">
        <f>E205*E209</f>
        <v>26</v>
      </c>
      <c r="F213" s="209">
        <f>F205*F209</f>
        <v>15</v>
      </c>
      <c r="G213" s="209">
        <f t="shared" ref="G213:I213" si="125">G205*G209</f>
        <v>21</v>
      </c>
      <c r="H213" s="209">
        <f>H205*H209</f>
        <v>6</v>
      </c>
      <c r="I213" s="209">
        <f t="shared" si="125"/>
        <v>22</v>
      </c>
      <c r="J213" s="209">
        <f t="shared" ref="J213:AN213" si="126">J205*J209</f>
        <v>44</v>
      </c>
      <c r="K213" s="209">
        <f t="shared" si="126"/>
        <v>49.075471698113205</v>
      </c>
      <c r="L213" s="209">
        <f t="shared" si="126"/>
        <v>4</v>
      </c>
      <c r="M213" s="209">
        <f t="shared" si="126"/>
        <v>15.89818515070113</v>
      </c>
      <c r="N213" s="209">
        <f t="shared" si="126"/>
        <v>15.89818515070113</v>
      </c>
      <c r="O213" s="209">
        <f t="shared" si="126"/>
        <v>6.8135079217290571</v>
      </c>
      <c r="P213" s="209">
        <f t="shared" si="126"/>
        <v>6.8135079217290571</v>
      </c>
      <c r="Q213" s="209">
        <f t="shared" si="126"/>
        <v>14.007482125807464</v>
      </c>
      <c r="R213" s="209">
        <f t="shared" si="126"/>
        <v>28.040583041400627</v>
      </c>
      <c r="S213" s="209">
        <f t="shared" si="126"/>
        <v>12.844825134043617</v>
      </c>
      <c r="T213" s="209">
        <f t="shared" si="126"/>
        <v>9.447837201200235</v>
      </c>
      <c r="U213" s="209">
        <f t="shared" si="126"/>
        <v>9.597507258547548</v>
      </c>
      <c r="V213" s="209">
        <f t="shared" si="126"/>
        <v>12.363337240908098</v>
      </c>
      <c r="W213" s="209">
        <f t="shared" si="126"/>
        <v>10.064368821344424</v>
      </c>
      <c r="X213" s="209">
        <f t="shared" si="126"/>
        <v>8.6543360686356667</v>
      </c>
      <c r="Y213" s="209">
        <f t="shared" si="126"/>
        <v>19.077822180841356</v>
      </c>
      <c r="Z213" s="209">
        <f t="shared" si="126"/>
        <v>15.89818515070113</v>
      </c>
      <c r="AA213" s="209">
        <f t="shared" si="126"/>
        <v>7.4948587139019613</v>
      </c>
      <c r="AB213" s="209">
        <f t="shared" si="126"/>
        <v>8.8575602982477744</v>
      </c>
      <c r="AC213" s="209">
        <f t="shared" si="126"/>
        <v>8.4044892754844795</v>
      </c>
      <c r="AD213" s="209">
        <f t="shared" si="126"/>
        <v>19.628408128980436</v>
      </c>
      <c r="AE213" s="209">
        <f t="shared" si="126"/>
        <v>12.844825134043617</v>
      </c>
      <c r="AF213" s="209">
        <f t="shared" si="126"/>
        <v>12.282188361560305</v>
      </c>
      <c r="AG213" s="209">
        <f t="shared" si="126"/>
        <v>10.557257984402304</v>
      </c>
      <c r="AH213" s="209">
        <f t="shared" si="126"/>
        <v>19.781339585452955</v>
      </c>
      <c r="AI213" s="209">
        <f>AI205*AI209</f>
        <v>9.0579319392099809</v>
      </c>
      <c r="AJ213" s="209">
        <f t="shared" si="126"/>
        <v>9.5197696754992336</v>
      </c>
      <c r="AK213" s="209">
        <f t="shared" si="126"/>
        <v>22.893386617009629</v>
      </c>
      <c r="AL213" s="209">
        <f t="shared" si="126"/>
        <v>15.89818515070113</v>
      </c>
      <c r="AM213" s="209">
        <f t="shared" si="126"/>
        <v>8.2443445852921577</v>
      </c>
      <c r="AN213" s="209">
        <f t="shared" si="126"/>
        <v>10.629072357897329</v>
      </c>
    </row>
    <row r="214" spans="2:40" s="7" customFormat="1" ht="12" customHeight="1" outlineLevel="1">
      <c r="B214" s="239"/>
      <c r="C214" s="214" t="s">
        <v>842</v>
      </c>
      <c r="D214" s="214"/>
      <c r="E214" s="209">
        <f>E205*E210</f>
        <v>0.99999999999999845</v>
      </c>
      <c r="F214" s="209">
        <f>F205*F210</f>
        <v>1</v>
      </c>
      <c r="G214" s="209">
        <f>G205*G210</f>
        <v>0</v>
      </c>
      <c r="H214" s="209">
        <f t="shared" ref="H214:I214" si="127">H205*H210</f>
        <v>0</v>
      </c>
      <c r="I214" s="209">
        <f t="shared" si="127"/>
        <v>0</v>
      </c>
      <c r="J214" s="209">
        <f t="shared" ref="J214:AN214" si="128">J205*J210</f>
        <v>1.0000000000000013</v>
      </c>
      <c r="K214" s="209">
        <f t="shared" si="128"/>
        <v>1.9245283018867925</v>
      </c>
      <c r="L214" s="209">
        <f t="shared" si="128"/>
        <v>0</v>
      </c>
      <c r="M214" s="209">
        <f t="shared" si="128"/>
        <v>3.5462592937433133</v>
      </c>
      <c r="N214" s="209">
        <f t="shared" si="128"/>
        <v>3.5462592937433133</v>
      </c>
      <c r="O214" s="209">
        <f t="shared" si="128"/>
        <v>1.5198254116042773</v>
      </c>
      <c r="P214" s="209">
        <f t="shared" si="128"/>
        <v>1.5198254116042773</v>
      </c>
      <c r="Q214" s="209">
        <f t="shared" si="128"/>
        <v>3.1245178741925375</v>
      </c>
      <c r="R214" s="209">
        <f t="shared" si="128"/>
        <v>6.254750291932706</v>
      </c>
      <c r="S214" s="209">
        <f t="shared" si="128"/>
        <v>2.8651748659563836</v>
      </c>
      <c r="T214" s="209">
        <f t="shared" si="128"/>
        <v>2.1074405765775444</v>
      </c>
      <c r="U214" s="209">
        <f t="shared" si="128"/>
        <v>2.1408260747857848</v>
      </c>
      <c r="V214" s="209">
        <f t="shared" si="128"/>
        <v>2.7577738702030148</v>
      </c>
      <c r="W214" s="209">
        <f t="shared" si="128"/>
        <v>2.2449645119889099</v>
      </c>
      <c r="X214" s="209">
        <f t="shared" si="128"/>
        <v>1.93044170914211</v>
      </c>
      <c r="Y214" s="209">
        <f t="shared" si="128"/>
        <v>4.2555111524919758</v>
      </c>
      <c r="Z214" s="209">
        <f t="shared" si="128"/>
        <v>3.5462592937433133</v>
      </c>
      <c r="AA214" s="209">
        <f t="shared" si="128"/>
        <v>1.6718079527647047</v>
      </c>
      <c r="AB214" s="209">
        <f t="shared" si="128"/>
        <v>1.9757730350855605</v>
      </c>
      <c r="AC214" s="209">
        <f t="shared" si="128"/>
        <v>1.8747107245155226</v>
      </c>
      <c r="AD214" s="209">
        <f t="shared" si="128"/>
        <v>4.378325204352894</v>
      </c>
      <c r="AE214" s="209">
        <f t="shared" si="128"/>
        <v>2.8651748659563836</v>
      </c>
      <c r="AF214" s="209">
        <f t="shared" si="128"/>
        <v>2.7396727495508078</v>
      </c>
      <c r="AG214" s="209">
        <f t="shared" si="128"/>
        <v>2.3549086822643637</v>
      </c>
      <c r="AH214" s="209">
        <f t="shared" si="128"/>
        <v>4.4124381923248235</v>
      </c>
      <c r="AI214" s="209">
        <f t="shared" si="128"/>
        <v>2.0204680607900189</v>
      </c>
      <c r="AJ214" s="209">
        <f t="shared" si="128"/>
        <v>2.1234858800563212</v>
      </c>
      <c r="AK214" s="209">
        <f t="shared" si="128"/>
        <v>5.1066133829903713</v>
      </c>
      <c r="AL214" s="209">
        <f t="shared" si="128"/>
        <v>3.5462592937433133</v>
      </c>
      <c r="AM214" s="209">
        <f t="shared" si="128"/>
        <v>1.8389887480411755</v>
      </c>
      <c r="AN214" s="209">
        <f t="shared" si="128"/>
        <v>2.3709276421026724</v>
      </c>
    </row>
    <row r="215" spans="2:40" s="7" customFormat="1" ht="12" customHeight="1" outlineLevel="1">
      <c r="B215" s="239"/>
      <c r="C215" s="214" t="s">
        <v>843</v>
      </c>
      <c r="D215" s="214"/>
      <c r="E215" s="209">
        <f>E205*E211</f>
        <v>0</v>
      </c>
      <c r="F215" s="209">
        <f t="shared" ref="F215:I215" si="129">F205*F211</f>
        <v>0</v>
      </c>
      <c r="G215" s="209">
        <f t="shared" si="129"/>
        <v>0</v>
      </c>
      <c r="H215" s="209">
        <f t="shared" si="129"/>
        <v>0</v>
      </c>
      <c r="I215" s="209">
        <f t="shared" si="129"/>
        <v>0</v>
      </c>
      <c r="J215" s="209">
        <f t="shared" ref="J215:AN215" si="130">J205*J211</f>
        <v>0</v>
      </c>
      <c r="K215" s="209">
        <f t="shared" si="130"/>
        <v>0</v>
      </c>
      <c r="L215" s="209">
        <f t="shared" si="130"/>
        <v>0</v>
      </c>
      <c r="M215" s="209">
        <f t="shared" si="130"/>
        <v>0</v>
      </c>
      <c r="N215" s="209">
        <f t="shared" si="130"/>
        <v>0</v>
      </c>
      <c r="O215" s="209">
        <f t="shared" si="130"/>
        <v>0</v>
      </c>
      <c r="P215" s="209">
        <f t="shared" si="130"/>
        <v>0</v>
      </c>
      <c r="Q215" s="209">
        <f t="shared" si="130"/>
        <v>0</v>
      </c>
      <c r="R215" s="209">
        <f t="shared" si="130"/>
        <v>0</v>
      </c>
      <c r="S215" s="209">
        <f t="shared" si="130"/>
        <v>0</v>
      </c>
      <c r="T215" s="209">
        <f t="shared" si="130"/>
        <v>0</v>
      </c>
      <c r="U215" s="209">
        <f t="shared" si="130"/>
        <v>0</v>
      </c>
      <c r="V215" s="209">
        <f t="shared" si="130"/>
        <v>0</v>
      </c>
      <c r="W215" s="209">
        <f t="shared" si="130"/>
        <v>0</v>
      </c>
      <c r="X215" s="209">
        <f t="shared" si="130"/>
        <v>0</v>
      </c>
      <c r="Y215" s="209">
        <f t="shared" si="130"/>
        <v>0</v>
      </c>
      <c r="Z215" s="209">
        <f t="shared" si="130"/>
        <v>0</v>
      </c>
      <c r="AA215" s="209">
        <f t="shared" si="130"/>
        <v>0</v>
      </c>
      <c r="AB215" s="209">
        <f t="shared" si="130"/>
        <v>0</v>
      </c>
      <c r="AC215" s="209">
        <f t="shared" si="130"/>
        <v>0</v>
      </c>
      <c r="AD215" s="209">
        <f t="shared" si="130"/>
        <v>0</v>
      </c>
      <c r="AE215" s="209">
        <f t="shared" si="130"/>
        <v>0</v>
      </c>
      <c r="AF215" s="209">
        <f t="shared" si="130"/>
        <v>0</v>
      </c>
      <c r="AG215" s="209">
        <f t="shared" si="130"/>
        <v>0</v>
      </c>
      <c r="AH215" s="209">
        <f t="shared" si="130"/>
        <v>0</v>
      </c>
      <c r="AI215" s="209">
        <f t="shared" si="130"/>
        <v>0</v>
      </c>
      <c r="AJ215" s="209">
        <f t="shared" si="130"/>
        <v>0</v>
      </c>
      <c r="AK215" s="209">
        <f t="shared" si="130"/>
        <v>0</v>
      </c>
      <c r="AL215" s="209">
        <f t="shared" si="130"/>
        <v>0</v>
      </c>
      <c r="AM215" s="209">
        <f t="shared" si="130"/>
        <v>0</v>
      </c>
      <c r="AN215" s="209">
        <f t="shared" si="130"/>
        <v>0</v>
      </c>
    </row>
    <row r="216" spans="2:40" s="7" customFormat="1" ht="12" customHeight="1" outlineLevel="1">
      <c r="B216" s="239"/>
      <c r="C216" s="214" t="s">
        <v>844</v>
      </c>
      <c r="D216" s="214"/>
      <c r="E216" s="209">
        <f>IF((SUM(E226:E262)-E213)&lt;2,ROUNDUP(SUM(E226:E262),0)-E213,ROUNDDOWN(SUM(E226:E262),0)-E213)</f>
        <v>33</v>
      </c>
      <c r="F216" s="209">
        <f t="shared" ref="F216" si="131">IF((SUM(F226:F262)-F213)&lt;2,ROUNDUP(SUM(F226:F262),0)-F213,ROUNDDOWN(SUM(F226:F262),0)-F213)</f>
        <v>90</v>
      </c>
      <c r="G216" s="209">
        <f>IF((SUM(G226:G262)-G213)&lt;2,ROUNDUP(SUM(G226:G262),0)-G213,ROUNDDOWN(SUM(G226:G262),0)-G213)</f>
        <v>6</v>
      </c>
      <c r="H216" s="209">
        <f>IF((SUM(H226:H262)-H213)&lt;2,ROUNDUP(SUM(H226:H262),0)-H213,ROUNDDOWN(SUM(H226:H262),0)-H213)</f>
        <v>178</v>
      </c>
      <c r="I216" s="209">
        <f>IF((SUM(I226:I262)-I213)&lt;2,ROUNDUP(SUM(I226:I262),0)-I213,ROUNDDOWN(SUM(I226:I262),0)-I213)</f>
        <v>8</v>
      </c>
      <c r="J216" s="209">
        <f t="shared" ref="J216:AN216" si="132">IF((SUM(J226:J262)-J213)&lt;2,ROUNDUP(SUM(J226:J262),0)-J213,ROUNDDOWN(SUM(J226:J262),0)-J213)</f>
        <v>7</v>
      </c>
      <c r="K216" s="209">
        <f t="shared" si="132"/>
        <v>6.9245283018867951</v>
      </c>
      <c r="L216" s="209">
        <f t="shared" si="132"/>
        <v>7</v>
      </c>
      <c r="M216" s="209">
        <f t="shared" si="132"/>
        <v>7.1018148492988704</v>
      </c>
      <c r="N216" s="209">
        <f t="shared" si="132"/>
        <v>7.1018148492988704</v>
      </c>
      <c r="O216" s="209">
        <f t="shared" si="132"/>
        <v>6.1864920782709429</v>
      </c>
      <c r="P216" s="209">
        <f t="shared" si="132"/>
        <v>6.1864920782709429</v>
      </c>
      <c r="Q216" s="209">
        <f t="shared" si="132"/>
        <v>5.9925178741925365</v>
      </c>
      <c r="R216" s="209">
        <f t="shared" si="132"/>
        <v>5.9594169585993733</v>
      </c>
      <c r="S216" s="209">
        <f t="shared" si="132"/>
        <v>6.1551748659563827</v>
      </c>
      <c r="T216" s="209">
        <f t="shared" si="132"/>
        <v>5.552162798799765</v>
      </c>
      <c r="U216" s="209">
        <f t="shared" si="132"/>
        <v>5.402492741452452</v>
      </c>
      <c r="V216" s="209">
        <f t="shared" si="132"/>
        <v>5.6366627590919016</v>
      </c>
      <c r="W216" s="209">
        <f t="shared" si="132"/>
        <v>5.9356311786555764</v>
      </c>
      <c r="X216" s="209">
        <f t="shared" si="132"/>
        <v>5.3456639313643333</v>
      </c>
      <c r="Y216" s="209">
        <f t="shared" si="132"/>
        <v>4.9221778191586445</v>
      </c>
      <c r="Z216" s="209">
        <f t="shared" si="132"/>
        <v>5.1018148492988704</v>
      </c>
      <c r="AA216" s="209">
        <f t="shared" si="132"/>
        <v>5.5051412860980387</v>
      </c>
      <c r="AB216" s="209">
        <f t="shared" si="132"/>
        <v>5.1424397017522256</v>
      </c>
      <c r="AC216" s="209">
        <f t="shared" si="132"/>
        <v>4.5955107245155205</v>
      </c>
      <c r="AD216" s="209">
        <f t="shared" si="132"/>
        <v>4.3715918710195645</v>
      </c>
      <c r="AE216" s="209">
        <f t="shared" si="132"/>
        <v>4.1551748659563827</v>
      </c>
      <c r="AF216" s="209">
        <f t="shared" si="132"/>
        <v>4.7178116384396951</v>
      </c>
      <c r="AG216" s="209">
        <f t="shared" si="132"/>
        <v>4.4427420155976964</v>
      </c>
      <c r="AH216" s="209">
        <f t="shared" si="132"/>
        <v>4.2186604145470454</v>
      </c>
      <c r="AI216" s="209">
        <f t="shared" si="132"/>
        <v>3.9420680607900191</v>
      </c>
      <c r="AJ216" s="209">
        <f t="shared" si="132"/>
        <v>4.4802303245007664</v>
      </c>
      <c r="AK216" s="209">
        <f t="shared" si="132"/>
        <v>4.1066133829903713</v>
      </c>
      <c r="AL216" s="209">
        <f t="shared" si="132"/>
        <v>4.1018148492988704</v>
      </c>
      <c r="AM216" s="209">
        <f t="shared" si="132"/>
        <v>3.7556554147078423</v>
      </c>
      <c r="AN216" s="209">
        <f t="shared" si="132"/>
        <v>3.3709276421026715</v>
      </c>
    </row>
    <row r="217" spans="2:40" s="7" customFormat="1" ht="12" customHeight="1" outlineLevel="1">
      <c r="B217" s="239"/>
      <c r="C217" s="214" t="s">
        <v>845</v>
      </c>
      <c r="D217" s="214"/>
      <c r="E217" s="209">
        <f>IF((SUM(E267:E303)-E214)&lt;2,ROUNDUP(SUM(E267:E303),0)-E214,ROUNDDOWN(SUM(E267:E303),0)-E214)</f>
        <v>1.5543122344752192E-15</v>
      </c>
      <c r="F217" s="209">
        <f>IF((SUM(F267:F303)-F214)&lt;2,ROUND(SUM(F267:F303),0)-F214,ROUNDDOWN(SUM(F267:F303),0)-F214)</f>
        <v>0</v>
      </c>
      <c r="G217" s="209">
        <f>IF((SUM(G267:G303)-G214)&lt;2,ROUND(SUM(G267:G303),0)-G214,ROUNDDOWN(SUM(G267:G303),0)-G214)</f>
        <v>0</v>
      </c>
      <c r="H217" s="209">
        <f t="shared" ref="H217:I217" si="133">IF((SUM(H267:H303)-H214)&lt;2,ROUND(SUM(H267:H303),0)-H214,ROUNDDOWN(SUM(H267:H303),0)-H214)</f>
        <v>0</v>
      </c>
      <c r="I217" s="209">
        <f t="shared" si="133"/>
        <v>0</v>
      </c>
      <c r="J217" s="209">
        <f t="shared" ref="J217:AN217" si="134">IF((SUM(J267:J303)-J214)&lt;2,ROUNDUP(SUM(J267:J303),0)-J214,ROUNDDOWN(SUM(J267:J303),0)-J214)</f>
        <v>0.99999999999999867</v>
      </c>
      <c r="K217" s="209">
        <f t="shared" si="134"/>
        <v>1.0754716981132075</v>
      </c>
      <c r="L217" s="209">
        <f t="shared" si="134"/>
        <v>1</v>
      </c>
      <c r="M217" s="209">
        <f t="shared" si="134"/>
        <v>0.45374070625668672</v>
      </c>
      <c r="N217" s="209">
        <f t="shared" si="134"/>
        <v>1.4537407062566867</v>
      </c>
      <c r="O217" s="209">
        <f t="shared" si="134"/>
        <v>1.4801745883957227</v>
      </c>
      <c r="P217" s="209">
        <f t="shared" si="134"/>
        <v>1.4801745883957227</v>
      </c>
      <c r="Q217" s="209">
        <f t="shared" si="134"/>
        <v>1.8754821258074625</v>
      </c>
      <c r="R217" s="209">
        <f t="shared" si="134"/>
        <v>1.745249708067294</v>
      </c>
      <c r="S217" s="209">
        <f t="shared" si="134"/>
        <v>2.1348251340436164</v>
      </c>
      <c r="T217" s="209">
        <f t="shared" si="134"/>
        <v>1.8925594234224556</v>
      </c>
      <c r="U217" s="209">
        <f t="shared" si="134"/>
        <v>1.8591739252142152</v>
      </c>
      <c r="V217" s="209">
        <f t="shared" si="134"/>
        <v>2.2422261297969852</v>
      </c>
      <c r="W217" s="209">
        <f t="shared" si="134"/>
        <v>2.7550354880110901</v>
      </c>
      <c r="X217" s="209">
        <f t="shared" si="134"/>
        <v>2.06955829085789</v>
      </c>
      <c r="Y217" s="209">
        <f t="shared" si="134"/>
        <v>2.7444888475080242</v>
      </c>
      <c r="Z217" s="209">
        <f t="shared" si="134"/>
        <v>1.4537407062566867</v>
      </c>
      <c r="AA217" s="209">
        <f t="shared" si="134"/>
        <v>1.3281920472352953</v>
      </c>
      <c r="AB217" s="209">
        <f t="shared" si="134"/>
        <v>2.0242269649144395</v>
      </c>
      <c r="AC217" s="209">
        <f t="shared" si="134"/>
        <v>2.1252892754844774</v>
      </c>
      <c r="AD217" s="209">
        <f t="shared" si="134"/>
        <v>1.621674795647106</v>
      </c>
      <c r="AE217" s="209">
        <f t="shared" si="134"/>
        <v>2.1348251340436164</v>
      </c>
      <c r="AF217" s="209">
        <f t="shared" si="134"/>
        <v>2.2603272504491922</v>
      </c>
      <c r="AG217" s="209">
        <f t="shared" si="134"/>
        <v>1.6450913177356363</v>
      </c>
      <c r="AH217" s="209">
        <f t="shared" si="134"/>
        <v>1.5875618076751765</v>
      </c>
      <c r="AI217" s="209">
        <f t="shared" si="134"/>
        <v>1.9795319392099811</v>
      </c>
      <c r="AJ217" s="209">
        <f t="shared" si="134"/>
        <v>1.8765141199436788</v>
      </c>
      <c r="AK217" s="209">
        <f t="shared" si="134"/>
        <v>1.8933866170096287</v>
      </c>
      <c r="AL217" s="209">
        <f t="shared" si="134"/>
        <v>2.4537407062566867</v>
      </c>
      <c r="AM217" s="209">
        <f t="shared" si="134"/>
        <v>2.1610112519588247</v>
      </c>
      <c r="AN217" s="209">
        <f t="shared" si="134"/>
        <v>2.6290723578973276</v>
      </c>
    </row>
    <row r="218" spans="2:40" s="7" customFormat="1" ht="12" customHeight="1" outlineLevel="1">
      <c r="B218" s="239"/>
      <c r="C218" s="214" t="s">
        <v>846</v>
      </c>
      <c r="D218" s="214"/>
      <c r="E218" s="209">
        <f>IF((SUM(E308:E343)-E215)&lt;1,ROUNDUP(SUM(E308:E343),0)-E215,ROUNDDOWN(SUM(E308:E343),0)-E215)</f>
        <v>0</v>
      </c>
      <c r="F218" s="209">
        <f t="shared" ref="F218:I218" si="135">IF((SUM(F308:F343)-F215)&lt;1,ROUNDUP(SUM(F308:F343),0)-F215,ROUNDDOWN(SUM(F308:F343),0)-F215)</f>
        <v>0</v>
      </c>
      <c r="G218" s="209">
        <f t="shared" si="135"/>
        <v>0</v>
      </c>
      <c r="H218" s="209">
        <f t="shared" si="135"/>
        <v>0</v>
      </c>
      <c r="I218" s="209">
        <f t="shared" si="135"/>
        <v>0</v>
      </c>
      <c r="J218" s="209">
        <f t="shared" ref="J218:AN218" si="136">IF((SUM(J308:J343)-J215)&lt;1,ROUNDUP(SUM(J308:J343),0)-J215,ROUNDDOWN(SUM(J308:J343),0)-J215)</f>
        <v>0</v>
      </c>
      <c r="K218" s="209">
        <f t="shared" si="136"/>
        <v>0</v>
      </c>
      <c r="L218" s="209">
        <f t="shared" si="136"/>
        <v>0</v>
      </c>
      <c r="M218" s="209">
        <f t="shared" si="136"/>
        <v>0</v>
      </c>
      <c r="N218" s="209">
        <f t="shared" si="136"/>
        <v>0</v>
      </c>
      <c r="O218" s="209">
        <f t="shared" si="136"/>
        <v>0</v>
      </c>
      <c r="P218" s="209">
        <f t="shared" si="136"/>
        <v>0</v>
      </c>
      <c r="Q218" s="209">
        <f t="shared" si="136"/>
        <v>0</v>
      </c>
      <c r="R218" s="209">
        <f t="shared" si="136"/>
        <v>0</v>
      </c>
      <c r="S218" s="209">
        <f t="shared" si="136"/>
        <v>0</v>
      </c>
      <c r="T218" s="209">
        <f t="shared" si="136"/>
        <v>0</v>
      </c>
      <c r="U218" s="209">
        <f t="shared" si="136"/>
        <v>0</v>
      </c>
      <c r="V218" s="209">
        <f t="shared" si="136"/>
        <v>0</v>
      </c>
      <c r="W218" s="209">
        <f t="shared" si="136"/>
        <v>0</v>
      </c>
      <c r="X218" s="209">
        <f t="shared" si="136"/>
        <v>0</v>
      </c>
      <c r="Y218" s="209">
        <f t="shared" si="136"/>
        <v>0</v>
      </c>
      <c r="Z218" s="209">
        <f t="shared" si="136"/>
        <v>0</v>
      </c>
      <c r="AA218" s="209">
        <f t="shared" si="136"/>
        <v>0</v>
      </c>
      <c r="AB218" s="209">
        <f t="shared" si="136"/>
        <v>0</v>
      </c>
      <c r="AC218" s="209">
        <f t="shared" si="136"/>
        <v>0</v>
      </c>
      <c r="AD218" s="209">
        <f t="shared" si="136"/>
        <v>0</v>
      </c>
      <c r="AE218" s="209">
        <f t="shared" si="136"/>
        <v>0</v>
      </c>
      <c r="AF218" s="209">
        <f t="shared" si="136"/>
        <v>0</v>
      </c>
      <c r="AG218" s="209">
        <f t="shared" si="136"/>
        <v>0</v>
      </c>
      <c r="AH218" s="209">
        <f t="shared" si="136"/>
        <v>0</v>
      </c>
      <c r="AI218" s="209">
        <f t="shared" si="136"/>
        <v>0</v>
      </c>
      <c r="AJ218" s="209">
        <f t="shared" si="136"/>
        <v>0</v>
      </c>
      <c r="AK218" s="209">
        <f t="shared" si="136"/>
        <v>0</v>
      </c>
      <c r="AL218" s="209">
        <f t="shared" si="136"/>
        <v>0</v>
      </c>
      <c r="AM218" s="209">
        <f t="shared" si="136"/>
        <v>0</v>
      </c>
      <c r="AN218" s="209">
        <f t="shared" si="136"/>
        <v>0</v>
      </c>
    </row>
    <row r="219" spans="2:40" s="7" customFormat="1" ht="12" customHeight="1" outlineLevel="1">
      <c r="B219" s="237"/>
      <c r="C219" s="214" t="s">
        <v>833</v>
      </c>
      <c r="D219" s="214"/>
      <c r="E219" s="210">
        <f t="shared" ref="E219:I219" si="137">SUM(E213:E215)</f>
        <v>27</v>
      </c>
      <c r="F219" s="210">
        <f t="shared" si="137"/>
        <v>16</v>
      </c>
      <c r="G219" s="210">
        <f t="shared" si="137"/>
        <v>21</v>
      </c>
      <c r="H219" s="210">
        <f>SUM(H213:H215)</f>
        <v>6</v>
      </c>
      <c r="I219" s="210">
        <f t="shared" si="137"/>
        <v>22</v>
      </c>
      <c r="J219" s="210">
        <f t="shared" ref="J219:P219" si="138">SUM(J213:J215)</f>
        <v>45</v>
      </c>
      <c r="K219" s="210">
        <f t="shared" si="138"/>
        <v>51</v>
      </c>
      <c r="L219" s="210">
        <f t="shared" si="138"/>
        <v>4</v>
      </c>
      <c r="M219" s="210">
        <f t="shared" si="138"/>
        <v>19.444444444444443</v>
      </c>
      <c r="N219" s="210">
        <f t="shared" si="138"/>
        <v>19.444444444444443</v>
      </c>
      <c r="O219" s="210">
        <f t="shared" si="138"/>
        <v>8.3333333333333339</v>
      </c>
      <c r="P219" s="210">
        <f t="shared" si="138"/>
        <v>8.3333333333333339</v>
      </c>
      <c r="Q219" s="210">
        <f t="shared" ref="Q219:AN219" si="139">SUM(Q213:Q215)</f>
        <v>17.132000000000001</v>
      </c>
      <c r="R219" s="210">
        <f t="shared" si="139"/>
        <v>34.295333333333332</v>
      </c>
      <c r="S219" s="210">
        <f t="shared" si="139"/>
        <v>15.71</v>
      </c>
      <c r="T219" s="210">
        <f t="shared" si="139"/>
        <v>11.555277777777778</v>
      </c>
      <c r="U219" s="210">
        <f t="shared" si="139"/>
        <v>11.738333333333333</v>
      </c>
      <c r="V219" s="210">
        <f t="shared" si="139"/>
        <v>15.121111111111112</v>
      </c>
      <c r="W219" s="210">
        <f t="shared" si="139"/>
        <v>12.309333333333333</v>
      </c>
      <c r="X219" s="210">
        <f t="shared" si="139"/>
        <v>10.584777777777777</v>
      </c>
      <c r="Y219" s="210">
        <f t="shared" si="139"/>
        <v>23.333333333333332</v>
      </c>
      <c r="Z219" s="210">
        <f t="shared" si="139"/>
        <v>19.444444444444443</v>
      </c>
      <c r="AA219" s="210">
        <f t="shared" si="139"/>
        <v>9.1666666666666661</v>
      </c>
      <c r="AB219" s="210">
        <f t="shared" si="139"/>
        <v>10.833333333333336</v>
      </c>
      <c r="AC219" s="210">
        <f t="shared" si="139"/>
        <v>10.279200000000003</v>
      </c>
      <c r="AD219" s="210">
        <f t="shared" si="139"/>
        <v>24.006733333333329</v>
      </c>
      <c r="AE219" s="210">
        <f t="shared" si="139"/>
        <v>15.71</v>
      </c>
      <c r="AF219" s="210">
        <f t="shared" si="139"/>
        <v>15.021861111111113</v>
      </c>
      <c r="AG219" s="210">
        <f t="shared" si="139"/>
        <v>12.912166666666668</v>
      </c>
      <c r="AH219" s="210">
        <f t="shared" si="139"/>
        <v>24.193777777777779</v>
      </c>
      <c r="AI219" s="210">
        <f t="shared" si="139"/>
        <v>11.0784</v>
      </c>
      <c r="AJ219" s="210">
        <f t="shared" si="139"/>
        <v>11.643255555555555</v>
      </c>
      <c r="AK219" s="210">
        <f t="shared" si="139"/>
        <v>28</v>
      </c>
      <c r="AL219" s="210">
        <f t="shared" si="139"/>
        <v>19.444444444444443</v>
      </c>
      <c r="AM219" s="210">
        <f t="shared" si="139"/>
        <v>10.083333333333334</v>
      </c>
      <c r="AN219" s="210">
        <f t="shared" si="139"/>
        <v>13</v>
      </c>
    </row>
    <row r="220" spans="2:40" s="7" customFormat="1" ht="12" customHeight="1" outlineLevel="1">
      <c r="B220" s="237"/>
      <c r="C220" s="214" t="s">
        <v>847</v>
      </c>
      <c r="D220" s="214"/>
      <c r="E220" s="210">
        <f>SUM(E216:E218)</f>
        <v>33</v>
      </c>
      <c r="F220" s="210">
        <f t="shared" ref="F220:I220" si="140">SUM(F216:F218)</f>
        <v>90</v>
      </c>
      <c r="G220" s="210">
        <f t="shared" si="140"/>
        <v>6</v>
      </c>
      <c r="H220" s="210">
        <f t="shared" si="140"/>
        <v>178</v>
      </c>
      <c r="I220" s="210">
        <f t="shared" si="140"/>
        <v>8</v>
      </c>
      <c r="J220" s="210">
        <f t="shared" ref="J220:AN220" si="141">SUM(J216:J218)</f>
        <v>7.9999999999999982</v>
      </c>
      <c r="K220" s="210">
        <f t="shared" si="141"/>
        <v>8.0000000000000036</v>
      </c>
      <c r="L220" s="210">
        <f t="shared" si="141"/>
        <v>8</v>
      </c>
      <c r="M220" s="210">
        <f t="shared" si="141"/>
        <v>7.5555555555555571</v>
      </c>
      <c r="N220" s="210">
        <f t="shared" si="141"/>
        <v>8.5555555555555571</v>
      </c>
      <c r="O220" s="210">
        <f t="shared" si="141"/>
        <v>7.6666666666666661</v>
      </c>
      <c r="P220" s="210">
        <f t="shared" si="141"/>
        <v>7.6666666666666661</v>
      </c>
      <c r="Q220" s="210">
        <f t="shared" si="141"/>
        <v>7.8679999999999986</v>
      </c>
      <c r="R220" s="210">
        <f t="shared" si="141"/>
        <v>7.7046666666666672</v>
      </c>
      <c r="S220" s="210">
        <f t="shared" si="141"/>
        <v>8.2899999999999991</v>
      </c>
      <c r="T220" s="210">
        <f t="shared" si="141"/>
        <v>7.4447222222222207</v>
      </c>
      <c r="U220" s="210">
        <f t="shared" si="141"/>
        <v>7.2616666666666667</v>
      </c>
      <c r="V220" s="210">
        <f t="shared" si="141"/>
        <v>7.8788888888888868</v>
      </c>
      <c r="W220" s="210">
        <f t="shared" si="141"/>
        <v>8.690666666666667</v>
      </c>
      <c r="X220" s="210">
        <f t="shared" si="141"/>
        <v>7.4152222222222228</v>
      </c>
      <c r="Y220" s="210">
        <f t="shared" si="141"/>
        <v>7.6666666666666687</v>
      </c>
      <c r="Z220" s="210">
        <f t="shared" si="141"/>
        <v>6.5555555555555571</v>
      </c>
      <c r="AA220" s="210">
        <f t="shared" si="141"/>
        <v>6.8333333333333339</v>
      </c>
      <c r="AB220" s="210">
        <f t="shared" si="141"/>
        <v>7.1666666666666652</v>
      </c>
      <c r="AC220" s="210">
        <f t="shared" si="141"/>
        <v>6.7207999999999979</v>
      </c>
      <c r="AD220" s="210">
        <f t="shared" si="141"/>
        <v>5.9932666666666705</v>
      </c>
      <c r="AE220" s="210">
        <f t="shared" si="141"/>
        <v>6.2899999999999991</v>
      </c>
      <c r="AF220" s="210">
        <f t="shared" si="141"/>
        <v>6.9781388888888873</v>
      </c>
      <c r="AG220" s="210">
        <f t="shared" si="141"/>
        <v>6.0878333333333323</v>
      </c>
      <c r="AH220" s="210">
        <f t="shared" si="141"/>
        <v>5.806222222222222</v>
      </c>
      <c r="AI220" s="210">
        <f t="shared" si="141"/>
        <v>5.9215999999999998</v>
      </c>
      <c r="AJ220" s="210">
        <f t="shared" si="141"/>
        <v>6.3567444444444448</v>
      </c>
      <c r="AK220" s="210">
        <f t="shared" si="141"/>
        <v>6</v>
      </c>
      <c r="AL220" s="210">
        <f t="shared" si="141"/>
        <v>6.5555555555555571</v>
      </c>
      <c r="AM220" s="210">
        <f t="shared" si="141"/>
        <v>5.916666666666667</v>
      </c>
      <c r="AN220" s="210">
        <f t="shared" si="141"/>
        <v>5.9999999999999991</v>
      </c>
    </row>
    <row r="221" spans="2:40" s="7" customFormat="1" ht="12" customHeight="1" outlineLevel="1">
      <c r="B221" s="237"/>
      <c r="C221" s="214" t="s">
        <v>848</v>
      </c>
      <c r="D221" s="214"/>
      <c r="E221" s="205">
        <f>SUM(E219:E220)</f>
        <v>60</v>
      </c>
      <c r="F221" s="205">
        <f t="shared" ref="F221:I221" si="142">SUM(F219:F220)</f>
        <v>106</v>
      </c>
      <c r="G221" s="205">
        <f t="shared" si="142"/>
        <v>27</v>
      </c>
      <c r="H221" s="205">
        <f t="shared" si="142"/>
        <v>184</v>
      </c>
      <c r="I221" s="205">
        <f t="shared" si="142"/>
        <v>30</v>
      </c>
      <c r="J221" s="205">
        <f t="shared" ref="J221:AN221" si="143">SUM(J219:J220)</f>
        <v>53</v>
      </c>
      <c r="K221" s="205">
        <f t="shared" si="143"/>
        <v>59</v>
      </c>
      <c r="L221" s="205">
        <f t="shared" si="143"/>
        <v>12</v>
      </c>
      <c r="M221" s="205">
        <f t="shared" si="143"/>
        <v>27</v>
      </c>
      <c r="N221" s="205">
        <f t="shared" si="143"/>
        <v>28</v>
      </c>
      <c r="O221" s="205">
        <f t="shared" si="143"/>
        <v>16</v>
      </c>
      <c r="P221" s="205">
        <f t="shared" si="143"/>
        <v>16</v>
      </c>
      <c r="Q221" s="205">
        <f t="shared" si="143"/>
        <v>25</v>
      </c>
      <c r="R221" s="205">
        <f t="shared" si="143"/>
        <v>42</v>
      </c>
      <c r="S221" s="205">
        <f t="shared" si="143"/>
        <v>24</v>
      </c>
      <c r="T221" s="205">
        <f t="shared" si="143"/>
        <v>19</v>
      </c>
      <c r="U221" s="205">
        <f t="shared" si="143"/>
        <v>19</v>
      </c>
      <c r="V221" s="205">
        <f t="shared" si="143"/>
        <v>23</v>
      </c>
      <c r="W221" s="205">
        <f t="shared" si="143"/>
        <v>21</v>
      </c>
      <c r="X221" s="205">
        <f t="shared" si="143"/>
        <v>18</v>
      </c>
      <c r="Y221" s="205">
        <f t="shared" si="143"/>
        <v>31</v>
      </c>
      <c r="Z221" s="205">
        <f t="shared" si="143"/>
        <v>26</v>
      </c>
      <c r="AA221" s="205">
        <f t="shared" si="143"/>
        <v>16</v>
      </c>
      <c r="AB221" s="205">
        <f t="shared" si="143"/>
        <v>18</v>
      </c>
      <c r="AC221" s="205">
        <f t="shared" si="143"/>
        <v>17</v>
      </c>
      <c r="AD221" s="205">
        <f t="shared" si="143"/>
        <v>30</v>
      </c>
      <c r="AE221" s="205">
        <f t="shared" si="143"/>
        <v>22</v>
      </c>
      <c r="AF221" s="205">
        <f t="shared" si="143"/>
        <v>22</v>
      </c>
      <c r="AG221" s="205">
        <f t="shared" si="143"/>
        <v>19</v>
      </c>
      <c r="AH221" s="205">
        <f t="shared" si="143"/>
        <v>30</v>
      </c>
      <c r="AI221" s="205">
        <f t="shared" si="143"/>
        <v>17</v>
      </c>
      <c r="AJ221" s="205">
        <f t="shared" si="143"/>
        <v>18</v>
      </c>
      <c r="AK221" s="205">
        <f t="shared" si="143"/>
        <v>34</v>
      </c>
      <c r="AL221" s="205">
        <f t="shared" si="143"/>
        <v>26</v>
      </c>
      <c r="AM221" s="205">
        <f t="shared" si="143"/>
        <v>16</v>
      </c>
      <c r="AN221" s="205">
        <f t="shared" si="143"/>
        <v>19</v>
      </c>
    </row>
    <row r="222" spans="2:40" s="7" customFormat="1" ht="12" customHeight="1" outlineLevel="1">
      <c r="B222" s="239"/>
      <c r="C222" s="212"/>
      <c r="D222" s="212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</row>
    <row r="223" spans="2:40" s="7" customFormat="1" ht="12" hidden="1" customHeight="1" outlineLevel="2">
      <c r="B223" s="239"/>
      <c r="C223" s="249" t="s">
        <v>849</v>
      </c>
      <c r="D223" s="212"/>
      <c r="O223" s="212"/>
      <c r="P223" s="212"/>
      <c r="Q223" s="212"/>
      <c r="R223" s="212"/>
      <c r="S223" s="212"/>
      <c r="T223" s="212"/>
      <c r="U223" s="212"/>
      <c r="V223" s="212"/>
      <c r="W223" s="212"/>
      <c r="X223" s="212"/>
      <c r="Y223" s="212"/>
      <c r="Z223" s="212"/>
      <c r="AA223" s="212"/>
      <c r="AB223" s="212"/>
      <c r="AC223" s="212"/>
      <c r="AD223" s="212"/>
      <c r="AE223" s="212"/>
      <c r="AF223" s="212"/>
      <c r="AG223" s="212"/>
      <c r="AH223" s="212"/>
      <c r="AI223" s="212"/>
      <c r="AJ223" s="212"/>
      <c r="AK223" s="212"/>
      <c r="AL223" s="212"/>
      <c r="AM223" s="212"/>
      <c r="AN223" s="212"/>
    </row>
    <row r="224" spans="2:40" s="7" customFormat="1" ht="12" hidden="1" customHeight="1" outlineLevel="2">
      <c r="B224" s="239"/>
      <c r="C224" s="212" t="s">
        <v>850</v>
      </c>
      <c r="D224" s="212"/>
      <c r="E224" s="196" t="s">
        <v>753</v>
      </c>
      <c r="F224" s="196" t="s">
        <v>754</v>
      </c>
      <c r="G224" s="196" t="s">
        <v>755</v>
      </c>
      <c r="H224" s="196" t="s">
        <v>756</v>
      </c>
      <c r="I224" s="196" t="s">
        <v>757</v>
      </c>
      <c r="J224" s="196" t="s">
        <v>758</v>
      </c>
      <c r="K224" s="196" t="s">
        <v>759</v>
      </c>
      <c r="L224" s="196" t="s">
        <v>760</v>
      </c>
      <c r="M224" s="196" t="s">
        <v>761</v>
      </c>
      <c r="N224" s="196" t="s">
        <v>762</v>
      </c>
      <c r="O224" s="196" t="s">
        <v>763</v>
      </c>
      <c r="P224" s="196" t="s">
        <v>764</v>
      </c>
      <c r="Q224" s="196" t="s">
        <v>765</v>
      </c>
      <c r="R224" s="196" t="s">
        <v>766</v>
      </c>
      <c r="S224" s="196" t="s">
        <v>767</v>
      </c>
      <c r="T224" s="196" t="s">
        <v>768</v>
      </c>
      <c r="U224" s="196" t="s">
        <v>769</v>
      </c>
      <c r="V224" s="196" t="s">
        <v>770</v>
      </c>
      <c r="W224" s="196" t="s">
        <v>771</v>
      </c>
      <c r="X224" s="196" t="s">
        <v>772</v>
      </c>
      <c r="Y224" s="196" t="s">
        <v>773</v>
      </c>
      <c r="Z224" s="196" t="s">
        <v>774</v>
      </c>
      <c r="AA224" s="196" t="s">
        <v>775</v>
      </c>
      <c r="AB224" s="196" t="s">
        <v>776</v>
      </c>
      <c r="AC224" s="196" t="s">
        <v>777</v>
      </c>
      <c r="AD224" s="196" t="s">
        <v>778</v>
      </c>
      <c r="AE224" s="196" t="s">
        <v>779</v>
      </c>
      <c r="AF224" s="196" t="s">
        <v>780</v>
      </c>
      <c r="AG224" s="196" t="s">
        <v>781</v>
      </c>
      <c r="AH224" s="196" t="s">
        <v>782</v>
      </c>
      <c r="AI224" s="196" t="s">
        <v>783</v>
      </c>
      <c r="AJ224" s="196" t="s">
        <v>784</v>
      </c>
      <c r="AK224" s="196" t="s">
        <v>785</v>
      </c>
      <c r="AL224" s="196" t="s">
        <v>786</v>
      </c>
      <c r="AM224" s="196" t="s">
        <v>787</v>
      </c>
      <c r="AN224" s="196" t="s">
        <v>788</v>
      </c>
    </row>
    <row r="225" spans="2:40" s="7" customFormat="1" ht="12" hidden="1" customHeight="1" outlineLevel="2">
      <c r="B225" s="239"/>
      <c r="C225" s="212" t="s">
        <v>851</v>
      </c>
      <c r="D225" s="212"/>
      <c r="E225" s="344">
        <v>0</v>
      </c>
      <c r="F225" s="344">
        <v>0</v>
      </c>
      <c r="G225" s="344">
        <v>0</v>
      </c>
      <c r="H225" s="344">
        <v>0</v>
      </c>
      <c r="I225" s="344">
        <v>0</v>
      </c>
      <c r="J225" s="344">
        <v>0</v>
      </c>
      <c r="K225" s="344">
        <v>0</v>
      </c>
      <c r="L225" s="344">
        <v>0</v>
      </c>
      <c r="M225" s="344">
        <v>0</v>
      </c>
      <c r="N225" s="344">
        <v>0</v>
      </c>
      <c r="O225" s="344">
        <v>0</v>
      </c>
      <c r="P225" s="344">
        <v>0</v>
      </c>
      <c r="Q225" s="344">
        <v>0</v>
      </c>
      <c r="R225" s="344">
        <v>0</v>
      </c>
      <c r="S225" s="344">
        <v>0</v>
      </c>
      <c r="T225" s="344">
        <v>0</v>
      </c>
      <c r="U225" s="344">
        <v>0</v>
      </c>
      <c r="V225" s="344">
        <v>0</v>
      </c>
      <c r="W225" s="344">
        <v>0</v>
      </c>
      <c r="X225" s="344">
        <v>0</v>
      </c>
      <c r="Y225" s="344">
        <v>0</v>
      </c>
      <c r="Z225" s="344">
        <v>0</v>
      </c>
      <c r="AA225" s="344">
        <v>0</v>
      </c>
      <c r="AB225" s="344">
        <v>0</v>
      </c>
      <c r="AC225" s="344">
        <v>0</v>
      </c>
      <c r="AD225" s="344">
        <v>0</v>
      </c>
      <c r="AE225" s="344">
        <v>0</v>
      </c>
      <c r="AF225" s="344">
        <v>0</v>
      </c>
      <c r="AG225" s="344">
        <v>0</v>
      </c>
      <c r="AH225" s="344">
        <v>0</v>
      </c>
      <c r="AI225" s="344">
        <v>0</v>
      </c>
      <c r="AJ225" s="344">
        <v>0</v>
      </c>
      <c r="AK225" s="344">
        <v>0</v>
      </c>
      <c r="AL225" s="344">
        <v>0</v>
      </c>
      <c r="AM225" s="344">
        <v>0</v>
      </c>
      <c r="AN225" s="344">
        <v>0</v>
      </c>
    </row>
    <row r="226" spans="2:40" s="7" customFormat="1" ht="12" hidden="1" customHeight="1" outlineLevel="2">
      <c r="B226" s="239"/>
      <c r="C226" s="212" t="s">
        <v>861</v>
      </c>
      <c r="D226" s="212"/>
      <c r="E226" s="211">
        <v>33</v>
      </c>
      <c r="F226" s="211">
        <v>90</v>
      </c>
      <c r="G226" s="211">
        <v>6</v>
      </c>
      <c r="H226" s="211">
        <v>178</v>
      </c>
      <c r="I226" s="211">
        <v>8</v>
      </c>
      <c r="J226" s="211">
        <f t="shared" ref="J226:AN226" si="144">I226*98%</f>
        <v>7.84</v>
      </c>
      <c r="K226" s="211">
        <f t="shared" si="144"/>
        <v>7.6831999999999994</v>
      </c>
      <c r="L226" s="211">
        <f t="shared" si="144"/>
        <v>7.5295359999999993</v>
      </c>
      <c r="M226" s="211">
        <f t="shared" si="144"/>
        <v>7.3789452799999991</v>
      </c>
      <c r="N226" s="211">
        <f t="shared" si="144"/>
        <v>7.2313663743999985</v>
      </c>
      <c r="O226" s="211">
        <f t="shared" si="144"/>
        <v>7.0867390469119984</v>
      </c>
      <c r="P226" s="211">
        <f t="shared" si="144"/>
        <v>6.9450042659737585</v>
      </c>
      <c r="Q226" s="211">
        <f t="shared" si="144"/>
        <v>6.806104180654283</v>
      </c>
      <c r="R226" s="211">
        <f t="shared" si="144"/>
        <v>6.6699820970411974</v>
      </c>
      <c r="S226" s="211">
        <f t="shared" si="144"/>
        <v>6.5365824551003735</v>
      </c>
      <c r="T226" s="211">
        <f t="shared" si="144"/>
        <v>6.4058508059983659</v>
      </c>
      <c r="U226" s="211">
        <f t="shared" si="144"/>
        <v>6.2777337898783987</v>
      </c>
      <c r="V226" s="211">
        <f t="shared" si="144"/>
        <v>6.1521791140808304</v>
      </c>
      <c r="W226" s="211">
        <f t="shared" si="144"/>
        <v>6.0291355317992137</v>
      </c>
      <c r="X226" s="211">
        <f t="shared" si="144"/>
        <v>5.9085528211632292</v>
      </c>
      <c r="Y226" s="211">
        <f t="shared" si="144"/>
        <v>5.7903817647399647</v>
      </c>
      <c r="Z226" s="211">
        <f t="shared" si="144"/>
        <v>5.6745741294451655</v>
      </c>
      <c r="AA226" s="211">
        <f t="shared" si="144"/>
        <v>5.5610826468562617</v>
      </c>
      <c r="AB226" s="211">
        <f t="shared" si="144"/>
        <v>5.4498609939191365</v>
      </c>
      <c r="AC226" s="211">
        <f t="shared" si="144"/>
        <v>5.3408637740407539</v>
      </c>
      <c r="AD226" s="211">
        <f t="shared" si="144"/>
        <v>5.2340464985599384</v>
      </c>
      <c r="AE226" s="211">
        <f t="shared" si="144"/>
        <v>5.1293655685887396</v>
      </c>
      <c r="AF226" s="211">
        <f t="shared" si="144"/>
        <v>5.0267782572169644</v>
      </c>
      <c r="AG226" s="211">
        <f t="shared" si="144"/>
        <v>4.9262426920726252</v>
      </c>
      <c r="AH226" s="211">
        <f t="shared" si="144"/>
        <v>4.8277178382311723</v>
      </c>
      <c r="AI226" s="211">
        <f t="shared" si="144"/>
        <v>4.7311634814665489</v>
      </c>
      <c r="AJ226" s="211">
        <f t="shared" si="144"/>
        <v>4.6365402118372181</v>
      </c>
      <c r="AK226" s="211">
        <f t="shared" si="144"/>
        <v>4.5438094076004738</v>
      </c>
      <c r="AL226" s="211">
        <f t="shared" si="144"/>
        <v>4.4529332194484645</v>
      </c>
      <c r="AM226" s="211">
        <f t="shared" si="144"/>
        <v>4.3638745550594953</v>
      </c>
      <c r="AN226" s="211">
        <f t="shared" si="144"/>
        <v>4.2765970639583051</v>
      </c>
    </row>
    <row r="227" spans="2:40" s="7" customFormat="1" ht="12" hidden="1" customHeight="1" outlineLevel="2">
      <c r="B227" s="245"/>
      <c r="C227" s="250" t="s">
        <v>753</v>
      </c>
      <c r="D227" s="250"/>
      <c r="E227" s="211">
        <f>INDEX($C$199:$AN$221,MATCH("New Customers One-Time",$C$199:$C$221,0),MATCH($C227,$C$199:$AN$199,0))</f>
        <v>26</v>
      </c>
      <c r="F227" s="211">
        <f t="shared" ref="F227:AN227" si="145">$E$227*(E225)</f>
        <v>0</v>
      </c>
      <c r="G227" s="211">
        <f t="shared" si="145"/>
        <v>0</v>
      </c>
      <c r="H227" s="211">
        <f t="shared" si="145"/>
        <v>0</v>
      </c>
      <c r="I227" s="211">
        <f t="shared" si="145"/>
        <v>0</v>
      </c>
      <c r="J227" s="211">
        <f t="shared" si="145"/>
        <v>0</v>
      </c>
      <c r="K227" s="211">
        <f t="shared" si="145"/>
        <v>0</v>
      </c>
      <c r="L227" s="211">
        <f t="shared" si="145"/>
        <v>0</v>
      </c>
      <c r="M227" s="211">
        <f t="shared" si="145"/>
        <v>0</v>
      </c>
      <c r="N227" s="211">
        <f t="shared" si="145"/>
        <v>0</v>
      </c>
      <c r="O227" s="211">
        <f t="shared" si="145"/>
        <v>0</v>
      </c>
      <c r="P227" s="211">
        <f t="shared" si="145"/>
        <v>0</v>
      </c>
      <c r="Q227" s="211">
        <f t="shared" si="145"/>
        <v>0</v>
      </c>
      <c r="R227" s="211">
        <f t="shared" si="145"/>
        <v>0</v>
      </c>
      <c r="S227" s="211">
        <f t="shared" si="145"/>
        <v>0</v>
      </c>
      <c r="T227" s="211">
        <f t="shared" si="145"/>
        <v>0</v>
      </c>
      <c r="U227" s="211">
        <f t="shared" si="145"/>
        <v>0</v>
      </c>
      <c r="V227" s="211">
        <f t="shared" si="145"/>
        <v>0</v>
      </c>
      <c r="W227" s="211">
        <f t="shared" si="145"/>
        <v>0</v>
      </c>
      <c r="X227" s="211">
        <f t="shared" si="145"/>
        <v>0</v>
      </c>
      <c r="Y227" s="211">
        <f t="shared" si="145"/>
        <v>0</v>
      </c>
      <c r="Z227" s="211">
        <f t="shared" si="145"/>
        <v>0</v>
      </c>
      <c r="AA227" s="211">
        <f t="shared" si="145"/>
        <v>0</v>
      </c>
      <c r="AB227" s="211">
        <f t="shared" si="145"/>
        <v>0</v>
      </c>
      <c r="AC227" s="211">
        <f t="shared" si="145"/>
        <v>0</v>
      </c>
      <c r="AD227" s="211">
        <f t="shared" si="145"/>
        <v>0</v>
      </c>
      <c r="AE227" s="211">
        <f t="shared" si="145"/>
        <v>0</v>
      </c>
      <c r="AF227" s="211">
        <f t="shared" si="145"/>
        <v>0</v>
      </c>
      <c r="AG227" s="211">
        <f t="shared" si="145"/>
        <v>0</v>
      </c>
      <c r="AH227" s="211">
        <f t="shared" si="145"/>
        <v>0</v>
      </c>
      <c r="AI227" s="211">
        <f t="shared" si="145"/>
        <v>0</v>
      </c>
      <c r="AJ227" s="211">
        <f t="shared" si="145"/>
        <v>0</v>
      </c>
      <c r="AK227" s="211">
        <f t="shared" si="145"/>
        <v>0</v>
      </c>
      <c r="AL227" s="211">
        <f t="shared" si="145"/>
        <v>0</v>
      </c>
      <c r="AM227" s="211">
        <f t="shared" si="145"/>
        <v>0</v>
      </c>
      <c r="AN227" s="211">
        <f t="shared" si="145"/>
        <v>0</v>
      </c>
    </row>
    <row r="228" spans="2:40" s="7" customFormat="1" ht="12" hidden="1" customHeight="1" outlineLevel="2">
      <c r="B228" s="245"/>
      <c r="C228" s="250" t="s">
        <v>754</v>
      </c>
      <c r="D228" s="250"/>
      <c r="E228" s="213"/>
      <c r="F228" s="211">
        <f>INDEX($C$199:$AN$221,MATCH("New Customers One-Time",$C$199:$C$221,0),MATCH($C228,$C$199:$AN$199,0))</f>
        <v>15</v>
      </c>
      <c r="G228" s="211">
        <f t="shared" ref="G228:AN228" si="146">$F$228*(E225)</f>
        <v>0</v>
      </c>
      <c r="H228" s="211">
        <f t="shared" si="146"/>
        <v>0</v>
      </c>
      <c r="I228" s="211">
        <f t="shared" si="146"/>
        <v>0</v>
      </c>
      <c r="J228" s="211">
        <f t="shared" si="146"/>
        <v>0</v>
      </c>
      <c r="K228" s="211">
        <f t="shared" si="146"/>
        <v>0</v>
      </c>
      <c r="L228" s="211">
        <f t="shared" si="146"/>
        <v>0</v>
      </c>
      <c r="M228" s="211">
        <f t="shared" si="146"/>
        <v>0</v>
      </c>
      <c r="N228" s="211">
        <f t="shared" si="146"/>
        <v>0</v>
      </c>
      <c r="O228" s="211">
        <f t="shared" si="146"/>
        <v>0</v>
      </c>
      <c r="P228" s="211">
        <f t="shared" si="146"/>
        <v>0</v>
      </c>
      <c r="Q228" s="211">
        <f t="shared" si="146"/>
        <v>0</v>
      </c>
      <c r="R228" s="211">
        <f t="shared" si="146"/>
        <v>0</v>
      </c>
      <c r="S228" s="211">
        <f t="shared" si="146"/>
        <v>0</v>
      </c>
      <c r="T228" s="211">
        <f t="shared" si="146"/>
        <v>0</v>
      </c>
      <c r="U228" s="211">
        <f t="shared" si="146"/>
        <v>0</v>
      </c>
      <c r="V228" s="211">
        <f t="shared" si="146"/>
        <v>0</v>
      </c>
      <c r="W228" s="211">
        <f t="shared" si="146"/>
        <v>0</v>
      </c>
      <c r="X228" s="211">
        <f t="shared" si="146"/>
        <v>0</v>
      </c>
      <c r="Y228" s="211">
        <f t="shared" si="146"/>
        <v>0</v>
      </c>
      <c r="Z228" s="211">
        <f t="shared" si="146"/>
        <v>0</v>
      </c>
      <c r="AA228" s="211">
        <f t="shared" si="146"/>
        <v>0</v>
      </c>
      <c r="AB228" s="211">
        <f t="shared" si="146"/>
        <v>0</v>
      </c>
      <c r="AC228" s="211">
        <f t="shared" si="146"/>
        <v>0</v>
      </c>
      <c r="AD228" s="211">
        <f t="shared" si="146"/>
        <v>0</v>
      </c>
      <c r="AE228" s="211">
        <f t="shared" si="146"/>
        <v>0</v>
      </c>
      <c r="AF228" s="211">
        <f t="shared" si="146"/>
        <v>0</v>
      </c>
      <c r="AG228" s="211">
        <f t="shared" si="146"/>
        <v>0</v>
      </c>
      <c r="AH228" s="211">
        <f t="shared" si="146"/>
        <v>0</v>
      </c>
      <c r="AI228" s="211">
        <f t="shared" si="146"/>
        <v>0</v>
      </c>
      <c r="AJ228" s="211">
        <f t="shared" si="146"/>
        <v>0</v>
      </c>
      <c r="AK228" s="211">
        <f t="shared" si="146"/>
        <v>0</v>
      </c>
      <c r="AL228" s="211">
        <f t="shared" si="146"/>
        <v>0</v>
      </c>
      <c r="AM228" s="211">
        <f t="shared" si="146"/>
        <v>0</v>
      </c>
      <c r="AN228" s="211">
        <f t="shared" si="146"/>
        <v>0</v>
      </c>
    </row>
    <row r="229" spans="2:40" s="7" customFormat="1" ht="12" hidden="1" customHeight="1" outlineLevel="2">
      <c r="B229" s="245"/>
      <c r="C229" s="250" t="s">
        <v>755</v>
      </c>
      <c r="D229" s="250"/>
      <c r="E229" s="213"/>
      <c r="G229" s="211">
        <f>INDEX($C$199:$AN$221,MATCH("New Customers One-Time",$C$199:$C$221,0),MATCH($C229,$C$199:$AN$199,0))</f>
        <v>21</v>
      </c>
      <c r="H229" s="211">
        <f t="shared" ref="H229:AN229" si="147">$G$229*(E225)</f>
        <v>0</v>
      </c>
      <c r="I229" s="211">
        <f t="shared" si="147"/>
        <v>0</v>
      </c>
      <c r="J229" s="211">
        <f t="shared" si="147"/>
        <v>0</v>
      </c>
      <c r="K229" s="211">
        <f t="shared" si="147"/>
        <v>0</v>
      </c>
      <c r="L229" s="211">
        <f t="shared" si="147"/>
        <v>0</v>
      </c>
      <c r="M229" s="211">
        <f t="shared" si="147"/>
        <v>0</v>
      </c>
      <c r="N229" s="211">
        <f t="shared" si="147"/>
        <v>0</v>
      </c>
      <c r="O229" s="211">
        <f t="shared" si="147"/>
        <v>0</v>
      </c>
      <c r="P229" s="211">
        <f t="shared" si="147"/>
        <v>0</v>
      </c>
      <c r="Q229" s="211">
        <f t="shared" si="147"/>
        <v>0</v>
      </c>
      <c r="R229" s="211">
        <f t="shared" si="147"/>
        <v>0</v>
      </c>
      <c r="S229" s="211">
        <f t="shared" si="147"/>
        <v>0</v>
      </c>
      <c r="T229" s="211">
        <f t="shared" si="147"/>
        <v>0</v>
      </c>
      <c r="U229" s="211">
        <f t="shared" si="147"/>
        <v>0</v>
      </c>
      <c r="V229" s="211">
        <f t="shared" si="147"/>
        <v>0</v>
      </c>
      <c r="W229" s="211">
        <f t="shared" si="147"/>
        <v>0</v>
      </c>
      <c r="X229" s="211">
        <f t="shared" si="147"/>
        <v>0</v>
      </c>
      <c r="Y229" s="211">
        <f t="shared" si="147"/>
        <v>0</v>
      </c>
      <c r="Z229" s="211">
        <f t="shared" si="147"/>
        <v>0</v>
      </c>
      <c r="AA229" s="211">
        <f t="shared" si="147"/>
        <v>0</v>
      </c>
      <c r="AB229" s="211">
        <f t="shared" si="147"/>
        <v>0</v>
      </c>
      <c r="AC229" s="211">
        <f t="shared" si="147"/>
        <v>0</v>
      </c>
      <c r="AD229" s="211">
        <f t="shared" si="147"/>
        <v>0</v>
      </c>
      <c r="AE229" s="211">
        <f t="shared" si="147"/>
        <v>0</v>
      </c>
      <c r="AF229" s="211">
        <f t="shared" si="147"/>
        <v>0</v>
      </c>
      <c r="AG229" s="211">
        <f t="shared" si="147"/>
        <v>0</v>
      </c>
      <c r="AH229" s="211">
        <f t="shared" si="147"/>
        <v>0</v>
      </c>
      <c r="AI229" s="211">
        <f t="shared" si="147"/>
        <v>0</v>
      </c>
      <c r="AJ229" s="211">
        <f t="shared" si="147"/>
        <v>0</v>
      </c>
      <c r="AK229" s="211">
        <f t="shared" si="147"/>
        <v>0</v>
      </c>
      <c r="AL229" s="211">
        <f t="shared" si="147"/>
        <v>0</v>
      </c>
      <c r="AM229" s="211">
        <f t="shared" si="147"/>
        <v>0</v>
      </c>
      <c r="AN229" s="211">
        <f t="shared" si="147"/>
        <v>0</v>
      </c>
    </row>
    <row r="230" spans="2:40" s="7" customFormat="1" ht="12" hidden="1" customHeight="1" outlineLevel="2">
      <c r="B230" s="245"/>
      <c r="C230" s="250" t="s">
        <v>756</v>
      </c>
      <c r="D230" s="250"/>
      <c r="E230" s="213"/>
      <c r="F230" s="213"/>
      <c r="G230" s="213"/>
      <c r="H230" s="211">
        <f>INDEX($C$199:$AN$221,MATCH("New Customers One-Time",$C$199:$C$221,0),MATCH($C230,$C$199:$AN$199,0))</f>
        <v>6</v>
      </c>
      <c r="I230" s="211">
        <f t="shared" ref="I230:AN230" si="148">$H$230*(E225)</f>
        <v>0</v>
      </c>
      <c r="J230" s="211">
        <f t="shared" si="148"/>
        <v>0</v>
      </c>
      <c r="K230" s="211">
        <f t="shared" si="148"/>
        <v>0</v>
      </c>
      <c r="L230" s="211">
        <f t="shared" si="148"/>
        <v>0</v>
      </c>
      <c r="M230" s="211">
        <f t="shared" si="148"/>
        <v>0</v>
      </c>
      <c r="N230" s="211">
        <f t="shared" si="148"/>
        <v>0</v>
      </c>
      <c r="O230" s="211">
        <f t="shared" si="148"/>
        <v>0</v>
      </c>
      <c r="P230" s="211">
        <f t="shared" si="148"/>
        <v>0</v>
      </c>
      <c r="Q230" s="211">
        <f t="shared" si="148"/>
        <v>0</v>
      </c>
      <c r="R230" s="211">
        <f t="shared" si="148"/>
        <v>0</v>
      </c>
      <c r="S230" s="211">
        <f t="shared" si="148"/>
        <v>0</v>
      </c>
      <c r="T230" s="211">
        <f t="shared" si="148"/>
        <v>0</v>
      </c>
      <c r="U230" s="211">
        <f t="shared" si="148"/>
        <v>0</v>
      </c>
      <c r="V230" s="211">
        <f t="shared" si="148"/>
        <v>0</v>
      </c>
      <c r="W230" s="211">
        <f t="shared" si="148"/>
        <v>0</v>
      </c>
      <c r="X230" s="211">
        <f t="shared" si="148"/>
        <v>0</v>
      </c>
      <c r="Y230" s="211">
        <f t="shared" si="148"/>
        <v>0</v>
      </c>
      <c r="Z230" s="211">
        <f t="shared" si="148"/>
        <v>0</v>
      </c>
      <c r="AA230" s="211">
        <f t="shared" si="148"/>
        <v>0</v>
      </c>
      <c r="AB230" s="211">
        <f t="shared" si="148"/>
        <v>0</v>
      </c>
      <c r="AC230" s="211">
        <f t="shared" si="148"/>
        <v>0</v>
      </c>
      <c r="AD230" s="211">
        <f t="shared" si="148"/>
        <v>0</v>
      </c>
      <c r="AE230" s="211">
        <f t="shared" si="148"/>
        <v>0</v>
      </c>
      <c r="AF230" s="211">
        <f t="shared" si="148"/>
        <v>0</v>
      </c>
      <c r="AG230" s="211">
        <f t="shared" si="148"/>
        <v>0</v>
      </c>
      <c r="AH230" s="211">
        <f t="shared" si="148"/>
        <v>0</v>
      </c>
      <c r="AI230" s="211">
        <f t="shared" si="148"/>
        <v>0</v>
      </c>
      <c r="AJ230" s="211">
        <f t="shared" si="148"/>
        <v>0</v>
      </c>
      <c r="AK230" s="211">
        <f t="shared" si="148"/>
        <v>0</v>
      </c>
      <c r="AL230" s="211">
        <f t="shared" si="148"/>
        <v>0</v>
      </c>
      <c r="AM230" s="211">
        <f t="shared" si="148"/>
        <v>0</v>
      </c>
      <c r="AN230" s="211">
        <f t="shared" si="148"/>
        <v>0</v>
      </c>
    </row>
    <row r="231" spans="2:40" s="7" customFormat="1" ht="12" hidden="1" customHeight="1" outlineLevel="2">
      <c r="B231" s="245"/>
      <c r="C231" s="250" t="s">
        <v>757</v>
      </c>
      <c r="D231" s="250"/>
      <c r="E231" s="213"/>
      <c r="F231" s="213"/>
      <c r="G231" s="213"/>
      <c r="H231" s="213"/>
      <c r="I231" s="211">
        <f>INDEX($C$199:$AN$221,MATCH("New Customers One-Time",$C$199:$C$221,0),MATCH($C231,$C$199:$AN$199,0))</f>
        <v>22</v>
      </c>
      <c r="J231" s="211">
        <f t="shared" ref="J231:AN231" si="149">$I$231*(E225)</f>
        <v>0</v>
      </c>
      <c r="K231" s="211">
        <f t="shared" si="149"/>
        <v>0</v>
      </c>
      <c r="L231" s="211">
        <f t="shared" si="149"/>
        <v>0</v>
      </c>
      <c r="M231" s="211">
        <f t="shared" si="149"/>
        <v>0</v>
      </c>
      <c r="N231" s="211">
        <f t="shared" si="149"/>
        <v>0</v>
      </c>
      <c r="O231" s="211">
        <f t="shared" si="149"/>
        <v>0</v>
      </c>
      <c r="P231" s="211">
        <f t="shared" si="149"/>
        <v>0</v>
      </c>
      <c r="Q231" s="211">
        <f t="shared" si="149"/>
        <v>0</v>
      </c>
      <c r="R231" s="211">
        <f t="shared" si="149"/>
        <v>0</v>
      </c>
      <c r="S231" s="211">
        <f t="shared" si="149"/>
        <v>0</v>
      </c>
      <c r="T231" s="211">
        <f t="shared" si="149"/>
        <v>0</v>
      </c>
      <c r="U231" s="211">
        <f t="shared" si="149"/>
        <v>0</v>
      </c>
      <c r="V231" s="211">
        <f t="shared" si="149"/>
        <v>0</v>
      </c>
      <c r="W231" s="211">
        <f t="shared" si="149"/>
        <v>0</v>
      </c>
      <c r="X231" s="211">
        <f t="shared" si="149"/>
        <v>0</v>
      </c>
      <c r="Y231" s="211">
        <f t="shared" si="149"/>
        <v>0</v>
      </c>
      <c r="Z231" s="211">
        <f t="shared" si="149"/>
        <v>0</v>
      </c>
      <c r="AA231" s="211">
        <f t="shared" si="149"/>
        <v>0</v>
      </c>
      <c r="AB231" s="211">
        <f t="shared" si="149"/>
        <v>0</v>
      </c>
      <c r="AC231" s="211">
        <f t="shared" si="149"/>
        <v>0</v>
      </c>
      <c r="AD231" s="211">
        <f t="shared" si="149"/>
        <v>0</v>
      </c>
      <c r="AE231" s="211">
        <f t="shared" si="149"/>
        <v>0</v>
      </c>
      <c r="AF231" s="211">
        <f t="shared" si="149"/>
        <v>0</v>
      </c>
      <c r="AG231" s="211">
        <f t="shared" si="149"/>
        <v>0</v>
      </c>
      <c r="AH231" s="211">
        <f t="shared" si="149"/>
        <v>0</v>
      </c>
      <c r="AI231" s="211">
        <f t="shared" si="149"/>
        <v>0</v>
      </c>
      <c r="AJ231" s="211">
        <f t="shared" si="149"/>
        <v>0</v>
      </c>
      <c r="AK231" s="211">
        <f t="shared" si="149"/>
        <v>0</v>
      </c>
      <c r="AL231" s="211">
        <f t="shared" si="149"/>
        <v>0</v>
      </c>
      <c r="AM231" s="211">
        <f t="shared" si="149"/>
        <v>0</v>
      </c>
      <c r="AN231" s="211">
        <f t="shared" si="149"/>
        <v>0</v>
      </c>
    </row>
    <row r="232" spans="2:40" s="7" customFormat="1" ht="12" hidden="1" customHeight="1" outlineLevel="2">
      <c r="B232" s="245"/>
      <c r="C232" s="250" t="s">
        <v>758</v>
      </c>
      <c r="D232" s="250"/>
      <c r="E232" s="213"/>
      <c r="F232" s="213"/>
      <c r="G232" s="213"/>
      <c r="H232" s="213"/>
      <c r="I232" s="213"/>
      <c r="J232" s="211">
        <f>INDEX($C$199:$AN$221,MATCH("New Customers One-Time",$C$199:$C$221,0),MATCH($C232,$C$199:$AN$199,0))</f>
        <v>44</v>
      </c>
      <c r="K232" s="211">
        <f t="shared" ref="K232:AN232" si="150">$J$232*(E225)</f>
        <v>0</v>
      </c>
      <c r="L232" s="211">
        <f t="shared" si="150"/>
        <v>0</v>
      </c>
      <c r="M232" s="211">
        <f t="shared" si="150"/>
        <v>0</v>
      </c>
      <c r="N232" s="211">
        <f t="shared" si="150"/>
        <v>0</v>
      </c>
      <c r="O232" s="211">
        <f t="shared" si="150"/>
        <v>0</v>
      </c>
      <c r="P232" s="211">
        <f t="shared" si="150"/>
        <v>0</v>
      </c>
      <c r="Q232" s="211">
        <f t="shared" si="150"/>
        <v>0</v>
      </c>
      <c r="R232" s="211">
        <f t="shared" si="150"/>
        <v>0</v>
      </c>
      <c r="S232" s="211">
        <f t="shared" si="150"/>
        <v>0</v>
      </c>
      <c r="T232" s="211">
        <f t="shared" si="150"/>
        <v>0</v>
      </c>
      <c r="U232" s="211">
        <f t="shared" si="150"/>
        <v>0</v>
      </c>
      <c r="V232" s="211">
        <f t="shared" si="150"/>
        <v>0</v>
      </c>
      <c r="W232" s="211">
        <f t="shared" si="150"/>
        <v>0</v>
      </c>
      <c r="X232" s="211">
        <f t="shared" si="150"/>
        <v>0</v>
      </c>
      <c r="Y232" s="211">
        <f t="shared" si="150"/>
        <v>0</v>
      </c>
      <c r="Z232" s="211">
        <f t="shared" si="150"/>
        <v>0</v>
      </c>
      <c r="AA232" s="211">
        <f t="shared" si="150"/>
        <v>0</v>
      </c>
      <c r="AB232" s="211">
        <f t="shared" si="150"/>
        <v>0</v>
      </c>
      <c r="AC232" s="211">
        <f t="shared" si="150"/>
        <v>0</v>
      </c>
      <c r="AD232" s="211">
        <f t="shared" si="150"/>
        <v>0</v>
      </c>
      <c r="AE232" s="211">
        <f t="shared" si="150"/>
        <v>0</v>
      </c>
      <c r="AF232" s="211">
        <f t="shared" si="150"/>
        <v>0</v>
      </c>
      <c r="AG232" s="211">
        <f t="shared" si="150"/>
        <v>0</v>
      </c>
      <c r="AH232" s="211">
        <f t="shared" si="150"/>
        <v>0</v>
      </c>
      <c r="AI232" s="211">
        <f t="shared" si="150"/>
        <v>0</v>
      </c>
      <c r="AJ232" s="211">
        <f t="shared" si="150"/>
        <v>0</v>
      </c>
      <c r="AK232" s="211">
        <f t="shared" si="150"/>
        <v>0</v>
      </c>
      <c r="AL232" s="211">
        <f t="shared" si="150"/>
        <v>0</v>
      </c>
      <c r="AM232" s="211">
        <f t="shared" si="150"/>
        <v>0</v>
      </c>
      <c r="AN232" s="211">
        <f t="shared" si="150"/>
        <v>0</v>
      </c>
    </row>
    <row r="233" spans="2:40" s="7" customFormat="1" ht="12" hidden="1" customHeight="1" outlineLevel="2">
      <c r="B233" s="245"/>
      <c r="C233" s="250" t="s">
        <v>759</v>
      </c>
      <c r="D233" s="250"/>
      <c r="E233" s="213"/>
      <c r="F233" s="213"/>
      <c r="G233" s="213"/>
      <c r="H233" s="213"/>
      <c r="I233" s="213"/>
      <c r="J233" s="213"/>
      <c r="K233" s="211">
        <f>INDEX($C$199:$AN$221,MATCH("New Customers One-Time",$C$199:$C$221,0),MATCH($C233,$C$199:$AN$199,0))</f>
        <v>49.075471698113205</v>
      </c>
      <c r="L233" s="211">
        <f t="shared" ref="L233:AN233" si="151">$K$233*(E225)</f>
        <v>0</v>
      </c>
      <c r="M233" s="211">
        <f t="shared" si="151"/>
        <v>0</v>
      </c>
      <c r="N233" s="211">
        <f t="shared" si="151"/>
        <v>0</v>
      </c>
      <c r="O233" s="211">
        <f t="shared" si="151"/>
        <v>0</v>
      </c>
      <c r="P233" s="211">
        <f t="shared" si="151"/>
        <v>0</v>
      </c>
      <c r="Q233" s="211">
        <f t="shared" si="151"/>
        <v>0</v>
      </c>
      <c r="R233" s="211">
        <f t="shared" si="151"/>
        <v>0</v>
      </c>
      <c r="S233" s="211">
        <f t="shared" si="151"/>
        <v>0</v>
      </c>
      <c r="T233" s="211">
        <f t="shared" si="151"/>
        <v>0</v>
      </c>
      <c r="U233" s="211">
        <f t="shared" si="151"/>
        <v>0</v>
      </c>
      <c r="V233" s="211">
        <f t="shared" si="151"/>
        <v>0</v>
      </c>
      <c r="W233" s="211">
        <f t="shared" si="151"/>
        <v>0</v>
      </c>
      <c r="X233" s="211">
        <f t="shared" si="151"/>
        <v>0</v>
      </c>
      <c r="Y233" s="211">
        <f t="shared" si="151"/>
        <v>0</v>
      </c>
      <c r="Z233" s="211">
        <f t="shared" si="151"/>
        <v>0</v>
      </c>
      <c r="AA233" s="211">
        <f t="shared" si="151"/>
        <v>0</v>
      </c>
      <c r="AB233" s="211">
        <f t="shared" si="151"/>
        <v>0</v>
      </c>
      <c r="AC233" s="211">
        <f t="shared" si="151"/>
        <v>0</v>
      </c>
      <c r="AD233" s="211">
        <f t="shared" si="151"/>
        <v>0</v>
      </c>
      <c r="AE233" s="211">
        <f t="shared" si="151"/>
        <v>0</v>
      </c>
      <c r="AF233" s="211">
        <f t="shared" si="151"/>
        <v>0</v>
      </c>
      <c r="AG233" s="211">
        <f t="shared" si="151"/>
        <v>0</v>
      </c>
      <c r="AH233" s="211">
        <f t="shared" si="151"/>
        <v>0</v>
      </c>
      <c r="AI233" s="211">
        <f t="shared" si="151"/>
        <v>0</v>
      </c>
      <c r="AJ233" s="211">
        <f t="shared" si="151"/>
        <v>0</v>
      </c>
      <c r="AK233" s="211">
        <f t="shared" si="151"/>
        <v>0</v>
      </c>
      <c r="AL233" s="211">
        <f t="shared" si="151"/>
        <v>0</v>
      </c>
      <c r="AM233" s="211">
        <f t="shared" si="151"/>
        <v>0</v>
      </c>
      <c r="AN233" s="211">
        <f t="shared" si="151"/>
        <v>0</v>
      </c>
    </row>
    <row r="234" spans="2:40" s="7" customFormat="1" ht="12" hidden="1" customHeight="1" outlineLevel="2">
      <c r="B234" s="245"/>
      <c r="C234" s="250" t="s">
        <v>760</v>
      </c>
      <c r="D234" s="250"/>
      <c r="E234" s="213"/>
      <c r="F234" s="213"/>
      <c r="G234" s="213"/>
      <c r="H234" s="213"/>
      <c r="I234" s="213"/>
      <c r="J234" s="213"/>
      <c r="K234" s="213"/>
      <c r="L234" s="211">
        <f>INDEX($C$199:$AN$221,MATCH("New Customers One-Time",$C$199:$C$221,0),MATCH($C234,$C$199:$AN$199,0))</f>
        <v>4</v>
      </c>
      <c r="M234" s="211">
        <f t="shared" ref="M234:AN234" si="152">$L$234*(E225)</f>
        <v>0</v>
      </c>
      <c r="N234" s="211">
        <f t="shared" si="152"/>
        <v>0</v>
      </c>
      <c r="O234" s="211">
        <f t="shared" si="152"/>
        <v>0</v>
      </c>
      <c r="P234" s="211">
        <f t="shared" si="152"/>
        <v>0</v>
      </c>
      <c r="Q234" s="211">
        <f t="shared" si="152"/>
        <v>0</v>
      </c>
      <c r="R234" s="211">
        <f t="shared" si="152"/>
        <v>0</v>
      </c>
      <c r="S234" s="211">
        <f t="shared" si="152"/>
        <v>0</v>
      </c>
      <c r="T234" s="211">
        <f t="shared" si="152"/>
        <v>0</v>
      </c>
      <c r="U234" s="211">
        <f t="shared" si="152"/>
        <v>0</v>
      </c>
      <c r="V234" s="211">
        <f t="shared" si="152"/>
        <v>0</v>
      </c>
      <c r="W234" s="211">
        <f t="shared" si="152"/>
        <v>0</v>
      </c>
      <c r="X234" s="211">
        <f t="shared" si="152"/>
        <v>0</v>
      </c>
      <c r="Y234" s="211">
        <f t="shared" si="152"/>
        <v>0</v>
      </c>
      <c r="Z234" s="211">
        <f t="shared" si="152"/>
        <v>0</v>
      </c>
      <c r="AA234" s="211">
        <f t="shared" si="152"/>
        <v>0</v>
      </c>
      <c r="AB234" s="211">
        <f t="shared" si="152"/>
        <v>0</v>
      </c>
      <c r="AC234" s="211">
        <f t="shared" si="152"/>
        <v>0</v>
      </c>
      <c r="AD234" s="211">
        <f t="shared" si="152"/>
        <v>0</v>
      </c>
      <c r="AE234" s="211">
        <f t="shared" si="152"/>
        <v>0</v>
      </c>
      <c r="AF234" s="211">
        <f t="shared" si="152"/>
        <v>0</v>
      </c>
      <c r="AG234" s="211">
        <f t="shared" si="152"/>
        <v>0</v>
      </c>
      <c r="AH234" s="211">
        <f t="shared" si="152"/>
        <v>0</v>
      </c>
      <c r="AI234" s="211">
        <f t="shared" si="152"/>
        <v>0</v>
      </c>
      <c r="AJ234" s="211">
        <f t="shared" si="152"/>
        <v>0</v>
      </c>
      <c r="AK234" s="211">
        <f t="shared" si="152"/>
        <v>0</v>
      </c>
      <c r="AL234" s="211">
        <f t="shared" si="152"/>
        <v>0</v>
      </c>
      <c r="AM234" s="211">
        <f t="shared" si="152"/>
        <v>0</v>
      </c>
      <c r="AN234" s="211">
        <f t="shared" si="152"/>
        <v>0</v>
      </c>
    </row>
    <row r="235" spans="2:40" s="7" customFormat="1" ht="12" hidden="1" customHeight="1" outlineLevel="2">
      <c r="B235" s="245"/>
      <c r="C235" s="250" t="s">
        <v>761</v>
      </c>
      <c r="D235" s="250"/>
      <c r="E235" s="213"/>
      <c r="F235" s="213"/>
      <c r="G235" s="213"/>
      <c r="H235" s="213"/>
      <c r="I235" s="213"/>
      <c r="J235" s="213"/>
      <c r="K235" s="213"/>
      <c r="L235" s="213"/>
      <c r="M235" s="211">
        <f>INDEX($C$199:$AN$221,MATCH("New Customers One-Time",$C$199:$C$221,0),MATCH($C235,$C$199:$AN$199,0))</f>
        <v>15.89818515070113</v>
      </c>
      <c r="N235" s="211">
        <f t="shared" ref="N235:AN235" si="153">$M$235*(E225)</f>
        <v>0</v>
      </c>
      <c r="O235" s="211">
        <f t="shared" si="153"/>
        <v>0</v>
      </c>
      <c r="P235" s="211">
        <f t="shared" si="153"/>
        <v>0</v>
      </c>
      <c r="Q235" s="211">
        <f t="shared" si="153"/>
        <v>0</v>
      </c>
      <c r="R235" s="211">
        <f t="shared" si="153"/>
        <v>0</v>
      </c>
      <c r="S235" s="211">
        <f t="shared" si="153"/>
        <v>0</v>
      </c>
      <c r="T235" s="211">
        <f t="shared" si="153"/>
        <v>0</v>
      </c>
      <c r="U235" s="211">
        <f t="shared" si="153"/>
        <v>0</v>
      </c>
      <c r="V235" s="211">
        <f t="shared" si="153"/>
        <v>0</v>
      </c>
      <c r="W235" s="211">
        <f t="shared" si="153"/>
        <v>0</v>
      </c>
      <c r="X235" s="211">
        <f t="shared" si="153"/>
        <v>0</v>
      </c>
      <c r="Y235" s="211">
        <f t="shared" si="153"/>
        <v>0</v>
      </c>
      <c r="Z235" s="211">
        <f t="shared" si="153"/>
        <v>0</v>
      </c>
      <c r="AA235" s="211">
        <f t="shared" si="153"/>
        <v>0</v>
      </c>
      <c r="AB235" s="211">
        <f t="shared" si="153"/>
        <v>0</v>
      </c>
      <c r="AC235" s="211">
        <f t="shared" si="153"/>
        <v>0</v>
      </c>
      <c r="AD235" s="211">
        <f t="shared" si="153"/>
        <v>0</v>
      </c>
      <c r="AE235" s="211">
        <f t="shared" si="153"/>
        <v>0</v>
      </c>
      <c r="AF235" s="211">
        <f t="shared" si="153"/>
        <v>0</v>
      </c>
      <c r="AG235" s="211">
        <f t="shared" si="153"/>
        <v>0</v>
      </c>
      <c r="AH235" s="211">
        <f t="shared" si="153"/>
        <v>0</v>
      </c>
      <c r="AI235" s="211">
        <f t="shared" si="153"/>
        <v>0</v>
      </c>
      <c r="AJ235" s="211">
        <f t="shared" si="153"/>
        <v>0</v>
      </c>
      <c r="AK235" s="211">
        <f t="shared" si="153"/>
        <v>0</v>
      </c>
      <c r="AL235" s="211">
        <f t="shared" si="153"/>
        <v>0</v>
      </c>
      <c r="AM235" s="211">
        <f t="shared" si="153"/>
        <v>0</v>
      </c>
      <c r="AN235" s="211">
        <f t="shared" si="153"/>
        <v>0</v>
      </c>
    </row>
    <row r="236" spans="2:40" s="7" customFormat="1" ht="12" hidden="1" customHeight="1" outlineLevel="2">
      <c r="B236" s="245"/>
      <c r="C236" s="250" t="s">
        <v>762</v>
      </c>
      <c r="D236" s="250"/>
      <c r="E236" s="213"/>
      <c r="F236" s="213"/>
      <c r="G236" s="213"/>
      <c r="H236" s="213"/>
      <c r="I236" s="213"/>
      <c r="J236" s="213"/>
      <c r="K236" s="213"/>
      <c r="L236" s="213"/>
      <c r="M236" s="213"/>
      <c r="N236" s="211">
        <f>INDEX($C$199:$AN$221,MATCH("New Customers One-Time",$C$199:$C$221,0),MATCH($C236,$C$199:$AN$199,0))</f>
        <v>15.89818515070113</v>
      </c>
      <c r="O236" s="211">
        <f t="shared" ref="O236:AN236" si="154">$N$236*(E225)</f>
        <v>0</v>
      </c>
      <c r="P236" s="211">
        <f t="shared" si="154"/>
        <v>0</v>
      </c>
      <c r="Q236" s="211">
        <f t="shared" si="154"/>
        <v>0</v>
      </c>
      <c r="R236" s="211">
        <f t="shared" si="154"/>
        <v>0</v>
      </c>
      <c r="S236" s="211">
        <f t="shared" si="154"/>
        <v>0</v>
      </c>
      <c r="T236" s="211">
        <f t="shared" si="154"/>
        <v>0</v>
      </c>
      <c r="U236" s="211">
        <f t="shared" si="154"/>
        <v>0</v>
      </c>
      <c r="V236" s="211">
        <f t="shared" si="154"/>
        <v>0</v>
      </c>
      <c r="W236" s="211">
        <f t="shared" si="154"/>
        <v>0</v>
      </c>
      <c r="X236" s="211">
        <f t="shared" si="154"/>
        <v>0</v>
      </c>
      <c r="Y236" s="211">
        <f t="shared" si="154"/>
        <v>0</v>
      </c>
      <c r="Z236" s="211">
        <f t="shared" si="154"/>
        <v>0</v>
      </c>
      <c r="AA236" s="211">
        <f t="shared" si="154"/>
        <v>0</v>
      </c>
      <c r="AB236" s="211">
        <f t="shared" si="154"/>
        <v>0</v>
      </c>
      <c r="AC236" s="211">
        <f t="shared" si="154"/>
        <v>0</v>
      </c>
      <c r="AD236" s="211">
        <f t="shared" si="154"/>
        <v>0</v>
      </c>
      <c r="AE236" s="211">
        <f t="shared" si="154"/>
        <v>0</v>
      </c>
      <c r="AF236" s="211">
        <f t="shared" si="154"/>
        <v>0</v>
      </c>
      <c r="AG236" s="211">
        <f t="shared" si="154"/>
        <v>0</v>
      </c>
      <c r="AH236" s="211">
        <f t="shared" si="154"/>
        <v>0</v>
      </c>
      <c r="AI236" s="211">
        <f t="shared" si="154"/>
        <v>0</v>
      </c>
      <c r="AJ236" s="211">
        <f t="shared" si="154"/>
        <v>0</v>
      </c>
      <c r="AK236" s="211">
        <f t="shared" si="154"/>
        <v>0</v>
      </c>
      <c r="AL236" s="211">
        <f t="shared" si="154"/>
        <v>0</v>
      </c>
      <c r="AM236" s="211">
        <f t="shared" si="154"/>
        <v>0</v>
      </c>
      <c r="AN236" s="211">
        <f t="shared" si="154"/>
        <v>0</v>
      </c>
    </row>
    <row r="237" spans="2:40" s="7" customFormat="1" ht="12" hidden="1" customHeight="1" outlineLevel="2">
      <c r="B237" s="245"/>
      <c r="C237" s="250" t="s">
        <v>763</v>
      </c>
      <c r="D237" s="250"/>
      <c r="E237" s="213"/>
      <c r="F237" s="213"/>
      <c r="G237" s="213"/>
      <c r="H237" s="213"/>
      <c r="I237" s="213"/>
      <c r="J237" s="213"/>
      <c r="K237" s="213"/>
      <c r="L237" s="213"/>
      <c r="M237" s="213"/>
      <c r="N237" s="213"/>
      <c r="O237" s="211">
        <f>INDEX($C$199:$AN$221,MATCH("New Customers One-Time",$C$199:$C$221,0),MATCH($C237,$C$199:$AN$199,0))</f>
        <v>6.8135079217290571</v>
      </c>
      <c r="P237" s="211">
        <f t="shared" ref="P237:AN237" si="155">$O$237*(E225)</f>
        <v>0</v>
      </c>
      <c r="Q237" s="211">
        <f t="shared" si="155"/>
        <v>0</v>
      </c>
      <c r="R237" s="211">
        <f t="shared" si="155"/>
        <v>0</v>
      </c>
      <c r="S237" s="211">
        <f t="shared" si="155"/>
        <v>0</v>
      </c>
      <c r="T237" s="211">
        <f t="shared" si="155"/>
        <v>0</v>
      </c>
      <c r="U237" s="211">
        <f t="shared" si="155"/>
        <v>0</v>
      </c>
      <c r="V237" s="211">
        <f t="shared" si="155"/>
        <v>0</v>
      </c>
      <c r="W237" s="211">
        <f t="shared" si="155"/>
        <v>0</v>
      </c>
      <c r="X237" s="211">
        <f t="shared" si="155"/>
        <v>0</v>
      </c>
      <c r="Y237" s="211">
        <f t="shared" si="155"/>
        <v>0</v>
      </c>
      <c r="Z237" s="211">
        <f t="shared" si="155"/>
        <v>0</v>
      </c>
      <c r="AA237" s="211">
        <f t="shared" si="155"/>
        <v>0</v>
      </c>
      <c r="AB237" s="211">
        <f t="shared" si="155"/>
        <v>0</v>
      </c>
      <c r="AC237" s="211">
        <f t="shared" si="155"/>
        <v>0</v>
      </c>
      <c r="AD237" s="211">
        <f t="shared" si="155"/>
        <v>0</v>
      </c>
      <c r="AE237" s="211">
        <f t="shared" si="155"/>
        <v>0</v>
      </c>
      <c r="AF237" s="211">
        <f t="shared" si="155"/>
        <v>0</v>
      </c>
      <c r="AG237" s="211">
        <f t="shared" si="155"/>
        <v>0</v>
      </c>
      <c r="AH237" s="211">
        <f t="shared" si="155"/>
        <v>0</v>
      </c>
      <c r="AI237" s="211">
        <f t="shared" si="155"/>
        <v>0</v>
      </c>
      <c r="AJ237" s="211">
        <f t="shared" si="155"/>
        <v>0</v>
      </c>
      <c r="AK237" s="211">
        <f t="shared" si="155"/>
        <v>0</v>
      </c>
      <c r="AL237" s="211">
        <f t="shared" si="155"/>
        <v>0</v>
      </c>
      <c r="AM237" s="211">
        <f t="shared" si="155"/>
        <v>0</v>
      </c>
      <c r="AN237" s="211">
        <f t="shared" si="155"/>
        <v>0</v>
      </c>
    </row>
    <row r="238" spans="2:40" s="7" customFormat="1" ht="12" hidden="1" customHeight="1" outlineLevel="2">
      <c r="B238" s="245"/>
      <c r="C238" s="250" t="s">
        <v>764</v>
      </c>
      <c r="D238" s="250"/>
      <c r="E238" s="213"/>
      <c r="F238" s="213"/>
      <c r="G238" s="213"/>
      <c r="H238" s="213"/>
      <c r="I238" s="213"/>
      <c r="J238" s="213"/>
      <c r="K238" s="213"/>
      <c r="L238" s="213"/>
      <c r="M238" s="213"/>
      <c r="N238" s="213"/>
      <c r="O238" s="213"/>
      <c r="P238" s="211">
        <f>INDEX($C$199:$AN$221,MATCH("New Customers One-Time",$C$199:$C$221,0),MATCH($C238,$C$199:$AN$199,0))</f>
        <v>6.8135079217290571</v>
      </c>
      <c r="Q238" s="211">
        <f t="shared" ref="Q238:AN238" si="156">$P$238*(E225)</f>
        <v>0</v>
      </c>
      <c r="R238" s="211">
        <f t="shared" si="156"/>
        <v>0</v>
      </c>
      <c r="S238" s="211">
        <f t="shared" si="156"/>
        <v>0</v>
      </c>
      <c r="T238" s="211">
        <f t="shared" si="156"/>
        <v>0</v>
      </c>
      <c r="U238" s="211">
        <f t="shared" si="156"/>
        <v>0</v>
      </c>
      <c r="V238" s="211">
        <f t="shared" si="156"/>
        <v>0</v>
      </c>
      <c r="W238" s="211">
        <f t="shared" si="156"/>
        <v>0</v>
      </c>
      <c r="X238" s="211">
        <f t="shared" si="156"/>
        <v>0</v>
      </c>
      <c r="Y238" s="211">
        <f t="shared" si="156"/>
        <v>0</v>
      </c>
      <c r="Z238" s="211">
        <f t="shared" si="156"/>
        <v>0</v>
      </c>
      <c r="AA238" s="211">
        <f t="shared" si="156"/>
        <v>0</v>
      </c>
      <c r="AB238" s="211">
        <f t="shared" si="156"/>
        <v>0</v>
      </c>
      <c r="AC238" s="211">
        <f t="shared" si="156"/>
        <v>0</v>
      </c>
      <c r="AD238" s="211">
        <f t="shared" si="156"/>
        <v>0</v>
      </c>
      <c r="AE238" s="211">
        <f t="shared" si="156"/>
        <v>0</v>
      </c>
      <c r="AF238" s="211">
        <f t="shared" si="156"/>
        <v>0</v>
      </c>
      <c r="AG238" s="211">
        <f t="shared" si="156"/>
        <v>0</v>
      </c>
      <c r="AH238" s="211">
        <f t="shared" si="156"/>
        <v>0</v>
      </c>
      <c r="AI238" s="211">
        <f t="shared" si="156"/>
        <v>0</v>
      </c>
      <c r="AJ238" s="211">
        <f t="shared" si="156"/>
        <v>0</v>
      </c>
      <c r="AK238" s="211">
        <f t="shared" si="156"/>
        <v>0</v>
      </c>
      <c r="AL238" s="211">
        <f t="shared" si="156"/>
        <v>0</v>
      </c>
      <c r="AM238" s="211">
        <f t="shared" si="156"/>
        <v>0</v>
      </c>
      <c r="AN238" s="211">
        <f t="shared" si="156"/>
        <v>0</v>
      </c>
    </row>
    <row r="239" spans="2:40" s="7" customFormat="1" ht="12" hidden="1" customHeight="1" outlineLevel="2">
      <c r="B239" s="245"/>
      <c r="C239" s="250" t="s">
        <v>765</v>
      </c>
      <c r="D239" s="250"/>
      <c r="E239" s="213"/>
      <c r="F239" s="213"/>
      <c r="G239" s="213"/>
      <c r="H239" s="213"/>
      <c r="I239" s="213"/>
      <c r="J239" s="213"/>
      <c r="K239" s="213"/>
      <c r="L239" s="213"/>
      <c r="M239" s="213"/>
      <c r="N239" s="213"/>
      <c r="O239" s="213"/>
      <c r="P239" s="213"/>
      <c r="Q239" s="211">
        <f>INDEX($C$199:$AN$221,MATCH("New Customers One-Time",$C$199:$C$221,0),MATCH($C239,$C$199:$AN$199,0))</f>
        <v>14.007482125807464</v>
      </c>
      <c r="R239" s="211">
        <f t="shared" ref="R239:AN239" si="157">$Q$239*(E225)</f>
        <v>0</v>
      </c>
      <c r="S239" s="211">
        <f t="shared" si="157"/>
        <v>0</v>
      </c>
      <c r="T239" s="211">
        <f t="shared" si="157"/>
        <v>0</v>
      </c>
      <c r="U239" s="211">
        <f t="shared" si="157"/>
        <v>0</v>
      </c>
      <c r="V239" s="211">
        <f t="shared" si="157"/>
        <v>0</v>
      </c>
      <c r="W239" s="211">
        <f t="shared" si="157"/>
        <v>0</v>
      </c>
      <c r="X239" s="211">
        <f t="shared" si="157"/>
        <v>0</v>
      </c>
      <c r="Y239" s="211">
        <f t="shared" si="157"/>
        <v>0</v>
      </c>
      <c r="Z239" s="211">
        <f t="shared" si="157"/>
        <v>0</v>
      </c>
      <c r="AA239" s="211">
        <f t="shared" si="157"/>
        <v>0</v>
      </c>
      <c r="AB239" s="211">
        <f t="shared" si="157"/>
        <v>0</v>
      </c>
      <c r="AC239" s="211">
        <f t="shared" si="157"/>
        <v>0</v>
      </c>
      <c r="AD239" s="211">
        <f t="shared" si="157"/>
        <v>0</v>
      </c>
      <c r="AE239" s="211">
        <f t="shared" si="157"/>
        <v>0</v>
      </c>
      <c r="AF239" s="211">
        <f t="shared" si="157"/>
        <v>0</v>
      </c>
      <c r="AG239" s="211">
        <f t="shared" si="157"/>
        <v>0</v>
      </c>
      <c r="AH239" s="211">
        <f t="shared" si="157"/>
        <v>0</v>
      </c>
      <c r="AI239" s="211">
        <f t="shared" si="157"/>
        <v>0</v>
      </c>
      <c r="AJ239" s="211">
        <f t="shared" si="157"/>
        <v>0</v>
      </c>
      <c r="AK239" s="211">
        <f t="shared" si="157"/>
        <v>0</v>
      </c>
      <c r="AL239" s="211">
        <f t="shared" si="157"/>
        <v>0</v>
      </c>
      <c r="AM239" s="211">
        <f t="shared" si="157"/>
        <v>0</v>
      </c>
      <c r="AN239" s="211">
        <f t="shared" si="157"/>
        <v>0</v>
      </c>
    </row>
    <row r="240" spans="2:40" s="7" customFormat="1" ht="12" hidden="1" customHeight="1" outlineLevel="2">
      <c r="B240" s="245"/>
      <c r="C240" s="250" t="s">
        <v>766</v>
      </c>
      <c r="D240" s="250"/>
      <c r="E240" s="213"/>
      <c r="F240" s="213"/>
      <c r="G240" s="213"/>
      <c r="H240" s="213"/>
      <c r="I240" s="213"/>
      <c r="J240" s="213"/>
      <c r="K240" s="213"/>
      <c r="L240" s="213"/>
      <c r="M240" s="213"/>
      <c r="N240" s="213"/>
      <c r="O240" s="213"/>
      <c r="P240" s="213"/>
      <c r="Q240" s="213"/>
      <c r="R240" s="211">
        <f>INDEX($C$199:$AN$221,MATCH("New Customers One-Time",$C$199:$C$221,0),MATCH($C240,$C$199:$AN$199,0))</f>
        <v>28.040583041400627</v>
      </c>
      <c r="S240" s="211">
        <f t="shared" ref="S240:AN240" si="158">$R$240*(E225)</f>
        <v>0</v>
      </c>
      <c r="T240" s="211">
        <f t="shared" si="158"/>
        <v>0</v>
      </c>
      <c r="U240" s="211">
        <f t="shared" si="158"/>
        <v>0</v>
      </c>
      <c r="V240" s="211">
        <f t="shared" si="158"/>
        <v>0</v>
      </c>
      <c r="W240" s="211">
        <f t="shared" si="158"/>
        <v>0</v>
      </c>
      <c r="X240" s="211">
        <f t="shared" si="158"/>
        <v>0</v>
      </c>
      <c r="Y240" s="211">
        <f t="shared" si="158"/>
        <v>0</v>
      </c>
      <c r="Z240" s="211">
        <f t="shared" si="158"/>
        <v>0</v>
      </c>
      <c r="AA240" s="211">
        <f t="shared" si="158"/>
        <v>0</v>
      </c>
      <c r="AB240" s="211">
        <f t="shared" si="158"/>
        <v>0</v>
      </c>
      <c r="AC240" s="211">
        <f t="shared" si="158"/>
        <v>0</v>
      </c>
      <c r="AD240" s="211">
        <f t="shared" si="158"/>
        <v>0</v>
      </c>
      <c r="AE240" s="211">
        <f t="shared" si="158"/>
        <v>0</v>
      </c>
      <c r="AF240" s="211">
        <f t="shared" si="158"/>
        <v>0</v>
      </c>
      <c r="AG240" s="211">
        <f t="shared" si="158"/>
        <v>0</v>
      </c>
      <c r="AH240" s="211">
        <f t="shared" si="158"/>
        <v>0</v>
      </c>
      <c r="AI240" s="211">
        <f t="shared" si="158"/>
        <v>0</v>
      </c>
      <c r="AJ240" s="211">
        <f t="shared" si="158"/>
        <v>0</v>
      </c>
      <c r="AK240" s="211">
        <f t="shared" si="158"/>
        <v>0</v>
      </c>
      <c r="AL240" s="211">
        <f t="shared" si="158"/>
        <v>0</v>
      </c>
      <c r="AM240" s="211">
        <f t="shared" si="158"/>
        <v>0</v>
      </c>
      <c r="AN240" s="211">
        <f t="shared" si="158"/>
        <v>0</v>
      </c>
    </row>
    <row r="241" spans="2:41" s="7" customFormat="1" ht="12" hidden="1" customHeight="1" outlineLevel="2">
      <c r="B241" s="245"/>
      <c r="C241" s="250" t="s">
        <v>767</v>
      </c>
      <c r="D241" s="250"/>
      <c r="E241" s="213"/>
      <c r="F241" s="213"/>
      <c r="G241" s="213"/>
      <c r="H241" s="213"/>
      <c r="I241" s="213"/>
      <c r="J241" s="213"/>
      <c r="K241" s="213"/>
      <c r="L241" s="213"/>
      <c r="M241" s="213"/>
      <c r="N241" s="213"/>
      <c r="O241" s="213"/>
      <c r="P241" s="213"/>
      <c r="Q241" s="213"/>
      <c r="R241" s="213"/>
      <c r="S241" s="211">
        <f>INDEX($C$199:$AN$221,MATCH("New Customers One-Time",$C$199:$C$221,0),MATCH($C241,$C$199:$AN$199,0))</f>
        <v>12.844825134043617</v>
      </c>
      <c r="T241" s="211">
        <f t="shared" ref="T241:AN241" si="159">$S$241*(E225)</f>
        <v>0</v>
      </c>
      <c r="U241" s="211">
        <f t="shared" si="159"/>
        <v>0</v>
      </c>
      <c r="V241" s="211">
        <f t="shared" si="159"/>
        <v>0</v>
      </c>
      <c r="W241" s="211">
        <f t="shared" si="159"/>
        <v>0</v>
      </c>
      <c r="X241" s="211">
        <f t="shared" si="159"/>
        <v>0</v>
      </c>
      <c r="Y241" s="211">
        <f t="shared" si="159"/>
        <v>0</v>
      </c>
      <c r="Z241" s="211">
        <f t="shared" si="159"/>
        <v>0</v>
      </c>
      <c r="AA241" s="211">
        <f t="shared" si="159"/>
        <v>0</v>
      </c>
      <c r="AB241" s="211">
        <f t="shared" si="159"/>
        <v>0</v>
      </c>
      <c r="AC241" s="211">
        <f t="shared" si="159"/>
        <v>0</v>
      </c>
      <c r="AD241" s="211">
        <f t="shared" si="159"/>
        <v>0</v>
      </c>
      <c r="AE241" s="211">
        <f t="shared" si="159"/>
        <v>0</v>
      </c>
      <c r="AF241" s="211">
        <f t="shared" si="159"/>
        <v>0</v>
      </c>
      <c r="AG241" s="211">
        <f t="shared" si="159"/>
        <v>0</v>
      </c>
      <c r="AH241" s="211">
        <f t="shared" si="159"/>
        <v>0</v>
      </c>
      <c r="AI241" s="211">
        <f t="shared" si="159"/>
        <v>0</v>
      </c>
      <c r="AJ241" s="211">
        <f t="shared" si="159"/>
        <v>0</v>
      </c>
      <c r="AK241" s="211">
        <f t="shared" si="159"/>
        <v>0</v>
      </c>
      <c r="AL241" s="211">
        <f t="shared" si="159"/>
        <v>0</v>
      </c>
      <c r="AM241" s="211">
        <f t="shared" si="159"/>
        <v>0</v>
      </c>
      <c r="AN241" s="211">
        <f t="shared" si="159"/>
        <v>0</v>
      </c>
    </row>
    <row r="242" spans="2:41" s="7" customFormat="1" ht="12" hidden="1" customHeight="1" outlineLevel="2">
      <c r="B242" s="245"/>
      <c r="C242" s="250" t="s">
        <v>768</v>
      </c>
      <c r="D242" s="250"/>
      <c r="E242" s="213"/>
      <c r="F242" s="213"/>
      <c r="G242" s="213"/>
      <c r="H242" s="213"/>
      <c r="I242" s="213"/>
      <c r="J242" s="213"/>
      <c r="K242" s="213"/>
      <c r="L242" s="213"/>
      <c r="M242" s="213"/>
      <c r="N242" s="213"/>
      <c r="O242" s="213"/>
      <c r="P242" s="213"/>
      <c r="Q242" s="213"/>
      <c r="R242" s="213"/>
      <c r="S242" s="213"/>
      <c r="T242" s="211">
        <f>INDEX($C$199:$AN$221,MATCH("New Customers One-Time",$C$199:$C$221,0),MATCH($C242,$C$199:$AN$199,0))</f>
        <v>9.447837201200235</v>
      </c>
      <c r="U242" s="211">
        <f t="shared" ref="U242:AN242" si="160">$T$242*(E225)</f>
        <v>0</v>
      </c>
      <c r="V242" s="211">
        <f t="shared" si="160"/>
        <v>0</v>
      </c>
      <c r="W242" s="211">
        <f t="shared" si="160"/>
        <v>0</v>
      </c>
      <c r="X242" s="211">
        <f t="shared" si="160"/>
        <v>0</v>
      </c>
      <c r="Y242" s="211">
        <f t="shared" si="160"/>
        <v>0</v>
      </c>
      <c r="Z242" s="211">
        <f t="shared" si="160"/>
        <v>0</v>
      </c>
      <c r="AA242" s="211">
        <f t="shared" si="160"/>
        <v>0</v>
      </c>
      <c r="AB242" s="211">
        <f t="shared" si="160"/>
        <v>0</v>
      </c>
      <c r="AC242" s="211">
        <f t="shared" si="160"/>
        <v>0</v>
      </c>
      <c r="AD242" s="211">
        <f t="shared" si="160"/>
        <v>0</v>
      </c>
      <c r="AE242" s="211">
        <f t="shared" si="160"/>
        <v>0</v>
      </c>
      <c r="AF242" s="211">
        <f t="shared" si="160"/>
        <v>0</v>
      </c>
      <c r="AG242" s="211">
        <f t="shared" si="160"/>
        <v>0</v>
      </c>
      <c r="AH242" s="211">
        <f t="shared" si="160"/>
        <v>0</v>
      </c>
      <c r="AI242" s="211">
        <f t="shared" si="160"/>
        <v>0</v>
      </c>
      <c r="AJ242" s="211">
        <f t="shared" si="160"/>
        <v>0</v>
      </c>
      <c r="AK242" s="211">
        <f t="shared" si="160"/>
        <v>0</v>
      </c>
      <c r="AL242" s="211">
        <f t="shared" si="160"/>
        <v>0</v>
      </c>
      <c r="AM242" s="211">
        <f t="shared" si="160"/>
        <v>0</v>
      </c>
      <c r="AN242" s="211">
        <f t="shared" si="160"/>
        <v>0</v>
      </c>
    </row>
    <row r="243" spans="2:41" s="7" customFormat="1" ht="12" hidden="1" customHeight="1" outlineLevel="2">
      <c r="B243" s="245"/>
      <c r="C243" s="250" t="s">
        <v>769</v>
      </c>
      <c r="D243" s="250"/>
      <c r="E243" s="213"/>
      <c r="F243" s="213"/>
      <c r="G243" s="213"/>
      <c r="H243" s="213"/>
      <c r="I243" s="213"/>
      <c r="J243" s="213"/>
      <c r="K243" s="213"/>
      <c r="L243" s="213"/>
      <c r="M243" s="213"/>
      <c r="N243" s="213"/>
      <c r="O243" s="213"/>
      <c r="P243" s="213"/>
      <c r="Q243" s="213"/>
      <c r="R243" s="213"/>
      <c r="S243" s="213"/>
      <c r="T243" s="213"/>
      <c r="U243" s="211">
        <f>INDEX($C$199:$AN$221,MATCH("New Customers One-Time",$C$199:$C$221,0),MATCH($C243,$C$199:$AN$199,0))</f>
        <v>9.597507258547548</v>
      </c>
      <c r="V243" s="211">
        <f t="shared" ref="V243:AN243" si="161">$U$243*(E225)</f>
        <v>0</v>
      </c>
      <c r="W243" s="211">
        <f t="shared" si="161"/>
        <v>0</v>
      </c>
      <c r="X243" s="211">
        <f t="shared" si="161"/>
        <v>0</v>
      </c>
      <c r="Y243" s="211">
        <f t="shared" si="161"/>
        <v>0</v>
      </c>
      <c r="Z243" s="211">
        <f t="shared" si="161"/>
        <v>0</v>
      </c>
      <c r="AA243" s="211">
        <f t="shared" si="161"/>
        <v>0</v>
      </c>
      <c r="AB243" s="211">
        <f t="shared" si="161"/>
        <v>0</v>
      </c>
      <c r="AC243" s="211">
        <f t="shared" si="161"/>
        <v>0</v>
      </c>
      <c r="AD243" s="211">
        <f t="shared" si="161"/>
        <v>0</v>
      </c>
      <c r="AE243" s="211">
        <f t="shared" si="161"/>
        <v>0</v>
      </c>
      <c r="AF243" s="211">
        <f t="shared" si="161"/>
        <v>0</v>
      </c>
      <c r="AG243" s="211">
        <f t="shared" si="161"/>
        <v>0</v>
      </c>
      <c r="AH243" s="211">
        <f t="shared" si="161"/>
        <v>0</v>
      </c>
      <c r="AI243" s="211">
        <f t="shared" si="161"/>
        <v>0</v>
      </c>
      <c r="AJ243" s="211">
        <f t="shared" si="161"/>
        <v>0</v>
      </c>
      <c r="AK243" s="211">
        <f t="shared" si="161"/>
        <v>0</v>
      </c>
      <c r="AL243" s="211">
        <f t="shared" si="161"/>
        <v>0</v>
      </c>
      <c r="AM243" s="211">
        <f t="shared" si="161"/>
        <v>0</v>
      </c>
      <c r="AN243" s="211">
        <f t="shared" si="161"/>
        <v>0</v>
      </c>
    </row>
    <row r="244" spans="2:41" s="7" customFormat="1" ht="12" hidden="1" customHeight="1" outlineLevel="2">
      <c r="B244" s="245"/>
      <c r="C244" s="250" t="s">
        <v>770</v>
      </c>
      <c r="D244" s="250"/>
      <c r="E244" s="213"/>
      <c r="F244" s="213"/>
      <c r="G244" s="213"/>
      <c r="H244" s="213"/>
      <c r="I244" s="213"/>
      <c r="J244" s="213"/>
      <c r="K244" s="213"/>
      <c r="L244" s="213"/>
      <c r="M244" s="213"/>
      <c r="N244" s="213"/>
      <c r="O244" s="213"/>
      <c r="P244" s="213"/>
      <c r="Q244" s="213"/>
      <c r="R244" s="213"/>
      <c r="S244" s="213"/>
      <c r="T244" s="213"/>
      <c r="U244" s="213"/>
      <c r="V244" s="211">
        <f>INDEX($C$199:$AN$221,MATCH("New Customers One-Time",$C$199:$C$221,0),MATCH($C244,$C$199:$AN$199,0))</f>
        <v>12.363337240908098</v>
      </c>
      <c r="W244" s="211">
        <f t="shared" ref="W244:AN244" si="162">$V$244*(E225)</f>
        <v>0</v>
      </c>
      <c r="X244" s="211">
        <f t="shared" si="162"/>
        <v>0</v>
      </c>
      <c r="Y244" s="211">
        <f t="shared" si="162"/>
        <v>0</v>
      </c>
      <c r="Z244" s="211">
        <f t="shared" si="162"/>
        <v>0</v>
      </c>
      <c r="AA244" s="211">
        <f t="shared" si="162"/>
        <v>0</v>
      </c>
      <c r="AB244" s="211">
        <f t="shared" si="162"/>
        <v>0</v>
      </c>
      <c r="AC244" s="211">
        <f t="shared" si="162"/>
        <v>0</v>
      </c>
      <c r="AD244" s="211">
        <f t="shared" si="162"/>
        <v>0</v>
      </c>
      <c r="AE244" s="211">
        <f t="shared" si="162"/>
        <v>0</v>
      </c>
      <c r="AF244" s="211">
        <f t="shared" si="162"/>
        <v>0</v>
      </c>
      <c r="AG244" s="211">
        <f t="shared" si="162"/>
        <v>0</v>
      </c>
      <c r="AH244" s="211">
        <f t="shared" si="162"/>
        <v>0</v>
      </c>
      <c r="AI244" s="211">
        <f t="shared" si="162"/>
        <v>0</v>
      </c>
      <c r="AJ244" s="211">
        <f t="shared" si="162"/>
        <v>0</v>
      </c>
      <c r="AK244" s="211">
        <f t="shared" si="162"/>
        <v>0</v>
      </c>
      <c r="AL244" s="211">
        <f t="shared" si="162"/>
        <v>0</v>
      </c>
      <c r="AM244" s="211">
        <f t="shared" si="162"/>
        <v>0</v>
      </c>
      <c r="AN244" s="211">
        <f t="shared" si="162"/>
        <v>0</v>
      </c>
    </row>
    <row r="245" spans="2:41" s="7" customFormat="1" ht="12" hidden="1" customHeight="1" outlineLevel="2">
      <c r="B245" s="245"/>
      <c r="C245" s="250" t="s">
        <v>771</v>
      </c>
      <c r="D245" s="250"/>
      <c r="E245" s="213"/>
      <c r="F245" s="213"/>
      <c r="G245" s="213"/>
      <c r="H245" s="213"/>
      <c r="I245" s="213"/>
      <c r="J245" s="213"/>
      <c r="K245" s="213"/>
      <c r="L245" s="213"/>
      <c r="M245" s="213"/>
      <c r="N245" s="213"/>
      <c r="O245" s="213"/>
      <c r="P245" s="213"/>
      <c r="Q245" s="213"/>
      <c r="R245" s="213"/>
      <c r="S245" s="213"/>
      <c r="T245" s="213"/>
      <c r="U245" s="213"/>
      <c r="V245" s="213"/>
      <c r="W245" s="211">
        <f>INDEX($C$199:$AN$221,MATCH("New Customers One-Time",$C$199:$C$221,0),MATCH($C245,$C$199:$AN$199,0))</f>
        <v>10.064368821344424</v>
      </c>
      <c r="X245" s="211">
        <f t="shared" ref="X245:AN245" si="163">$W$245*(E225)</f>
        <v>0</v>
      </c>
      <c r="Y245" s="211">
        <f t="shared" si="163"/>
        <v>0</v>
      </c>
      <c r="Z245" s="211">
        <f t="shared" si="163"/>
        <v>0</v>
      </c>
      <c r="AA245" s="211">
        <f t="shared" si="163"/>
        <v>0</v>
      </c>
      <c r="AB245" s="211">
        <f t="shared" si="163"/>
        <v>0</v>
      </c>
      <c r="AC245" s="211">
        <f t="shared" si="163"/>
        <v>0</v>
      </c>
      <c r="AD245" s="211">
        <f t="shared" si="163"/>
        <v>0</v>
      </c>
      <c r="AE245" s="211">
        <f t="shared" si="163"/>
        <v>0</v>
      </c>
      <c r="AF245" s="211">
        <f t="shared" si="163"/>
        <v>0</v>
      </c>
      <c r="AG245" s="211">
        <f t="shared" si="163"/>
        <v>0</v>
      </c>
      <c r="AH245" s="211">
        <f t="shared" si="163"/>
        <v>0</v>
      </c>
      <c r="AI245" s="211">
        <f t="shared" si="163"/>
        <v>0</v>
      </c>
      <c r="AJ245" s="211">
        <f t="shared" si="163"/>
        <v>0</v>
      </c>
      <c r="AK245" s="211">
        <f t="shared" si="163"/>
        <v>0</v>
      </c>
      <c r="AL245" s="211">
        <f t="shared" si="163"/>
        <v>0</v>
      </c>
      <c r="AM245" s="211">
        <f t="shared" si="163"/>
        <v>0</v>
      </c>
      <c r="AN245" s="211">
        <f t="shared" si="163"/>
        <v>0</v>
      </c>
    </row>
    <row r="246" spans="2:41" s="7" customFormat="1" ht="12" hidden="1" customHeight="1" outlineLevel="2">
      <c r="B246" s="245"/>
      <c r="C246" s="250" t="s">
        <v>772</v>
      </c>
      <c r="D246" s="250"/>
      <c r="E246" s="213"/>
      <c r="F246" s="213"/>
      <c r="G246" s="213"/>
      <c r="H246" s="213"/>
      <c r="I246" s="213"/>
      <c r="J246" s="213"/>
      <c r="K246" s="213"/>
      <c r="L246" s="213"/>
      <c r="M246" s="213"/>
      <c r="N246" s="213"/>
      <c r="O246" s="213"/>
      <c r="P246" s="213"/>
      <c r="Q246" s="213"/>
      <c r="R246" s="213"/>
      <c r="S246" s="213"/>
      <c r="T246" s="213"/>
      <c r="U246" s="213"/>
      <c r="V246" s="213"/>
      <c r="W246" s="213"/>
      <c r="X246" s="211">
        <f>INDEX($C$199:$AN$221,MATCH("New Customers One-Time",$C$199:$C$221,0),MATCH($C246,$C$199:$AN$199,0))</f>
        <v>8.6543360686356667</v>
      </c>
      <c r="Y246" s="211">
        <f t="shared" ref="Y246:AN246" si="164">$X$246*(E225)</f>
        <v>0</v>
      </c>
      <c r="Z246" s="211">
        <f t="shared" si="164"/>
        <v>0</v>
      </c>
      <c r="AA246" s="211">
        <f t="shared" si="164"/>
        <v>0</v>
      </c>
      <c r="AB246" s="211">
        <f t="shared" si="164"/>
        <v>0</v>
      </c>
      <c r="AC246" s="211">
        <f t="shared" si="164"/>
        <v>0</v>
      </c>
      <c r="AD246" s="211">
        <f t="shared" si="164"/>
        <v>0</v>
      </c>
      <c r="AE246" s="211">
        <f t="shared" si="164"/>
        <v>0</v>
      </c>
      <c r="AF246" s="211">
        <f t="shared" si="164"/>
        <v>0</v>
      </c>
      <c r="AG246" s="211">
        <f t="shared" si="164"/>
        <v>0</v>
      </c>
      <c r="AH246" s="211">
        <f t="shared" si="164"/>
        <v>0</v>
      </c>
      <c r="AI246" s="211">
        <f t="shared" si="164"/>
        <v>0</v>
      </c>
      <c r="AJ246" s="211">
        <f t="shared" si="164"/>
        <v>0</v>
      </c>
      <c r="AK246" s="211">
        <f t="shared" si="164"/>
        <v>0</v>
      </c>
      <c r="AL246" s="211">
        <f t="shared" si="164"/>
        <v>0</v>
      </c>
      <c r="AM246" s="211">
        <f t="shared" si="164"/>
        <v>0</v>
      </c>
      <c r="AN246" s="211">
        <f t="shared" si="164"/>
        <v>0</v>
      </c>
    </row>
    <row r="247" spans="2:41" s="7" customFormat="1" ht="12" hidden="1" customHeight="1" outlineLevel="2">
      <c r="B247" s="245"/>
      <c r="C247" s="250" t="s">
        <v>773</v>
      </c>
      <c r="D247" s="250"/>
      <c r="E247" s="213"/>
      <c r="F247" s="213"/>
      <c r="G247" s="213"/>
      <c r="H247" s="213"/>
      <c r="I247" s="213"/>
      <c r="J247" s="213"/>
      <c r="K247" s="213"/>
      <c r="L247" s="213"/>
      <c r="M247" s="213"/>
      <c r="N247" s="213"/>
      <c r="O247" s="213"/>
      <c r="P247" s="213"/>
      <c r="Q247" s="213"/>
      <c r="R247" s="213"/>
      <c r="S247" s="213"/>
      <c r="T247" s="213"/>
      <c r="U247" s="213"/>
      <c r="V247" s="213"/>
      <c r="W247" s="213"/>
      <c r="X247" s="213"/>
      <c r="Y247" s="211">
        <f>INDEX($C$199:$AN$221,MATCH("New Customers One-Time",$C$199:$C$221,0),MATCH($C247,$C$199:$AN$199,0))</f>
        <v>19.077822180841356</v>
      </c>
      <c r="Z247" s="211">
        <f t="shared" ref="Z247:AN247" si="165">$Y$247*(E225)</f>
        <v>0</v>
      </c>
      <c r="AA247" s="211">
        <f t="shared" si="165"/>
        <v>0</v>
      </c>
      <c r="AB247" s="211">
        <f t="shared" si="165"/>
        <v>0</v>
      </c>
      <c r="AC247" s="211">
        <f t="shared" si="165"/>
        <v>0</v>
      </c>
      <c r="AD247" s="211">
        <f t="shared" si="165"/>
        <v>0</v>
      </c>
      <c r="AE247" s="211">
        <f t="shared" si="165"/>
        <v>0</v>
      </c>
      <c r="AF247" s="211">
        <f t="shared" si="165"/>
        <v>0</v>
      </c>
      <c r="AG247" s="211">
        <f t="shared" si="165"/>
        <v>0</v>
      </c>
      <c r="AH247" s="211">
        <f t="shared" si="165"/>
        <v>0</v>
      </c>
      <c r="AI247" s="211">
        <f t="shared" si="165"/>
        <v>0</v>
      </c>
      <c r="AJ247" s="211">
        <f t="shared" si="165"/>
        <v>0</v>
      </c>
      <c r="AK247" s="211">
        <f t="shared" si="165"/>
        <v>0</v>
      </c>
      <c r="AL247" s="211">
        <f t="shared" si="165"/>
        <v>0</v>
      </c>
      <c r="AM247" s="211">
        <f t="shared" si="165"/>
        <v>0</v>
      </c>
      <c r="AN247" s="211">
        <f t="shared" si="165"/>
        <v>0</v>
      </c>
    </row>
    <row r="248" spans="2:41" s="7" customFormat="1" ht="12" hidden="1" customHeight="1" outlineLevel="2">
      <c r="B248" s="245"/>
      <c r="C248" s="250" t="s">
        <v>774</v>
      </c>
      <c r="D248" s="250"/>
      <c r="E248" s="213"/>
      <c r="F248" s="213"/>
      <c r="G248" s="213"/>
      <c r="H248" s="213"/>
      <c r="I248" s="213"/>
      <c r="J248" s="213"/>
      <c r="K248" s="213"/>
      <c r="L248" s="213"/>
      <c r="M248" s="213"/>
      <c r="N248" s="213"/>
      <c r="O248" s="213"/>
      <c r="P248" s="213"/>
      <c r="Q248" s="213"/>
      <c r="R248" s="213"/>
      <c r="S248" s="213"/>
      <c r="T248" s="213"/>
      <c r="U248" s="213"/>
      <c r="V248" s="213"/>
      <c r="W248" s="213"/>
      <c r="X248" s="213"/>
      <c r="Y248" s="213"/>
      <c r="Z248" s="211">
        <f>INDEX($C$199:$AN$221,MATCH("New Customers One-Time",$C$199:$C$221,0),MATCH($C248,$C$199:$AN$199,0))</f>
        <v>15.89818515070113</v>
      </c>
      <c r="AA248" s="211">
        <f t="shared" ref="AA248:AK248" si="166">$Z$248*(E225)</f>
        <v>0</v>
      </c>
      <c r="AB248" s="211">
        <f t="shared" si="166"/>
        <v>0</v>
      </c>
      <c r="AC248" s="211">
        <f t="shared" si="166"/>
        <v>0</v>
      </c>
      <c r="AD248" s="211">
        <f t="shared" si="166"/>
        <v>0</v>
      </c>
      <c r="AE248" s="211">
        <f t="shared" si="166"/>
        <v>0</v>
      </c>
      <c r="AF248" s="211">
        <f t="shared" si="166"/>
        <v>0</v>
      </c>
      <c r="AG248" s="211">
        <f t="shared" si="166"/>
        <v>0</v>
      </c>
      <c r="AH248" s="211">
        <f t="shared" si="166"/>
        <v>0</v>
      </c>
      <c r="AI248" s="211">
        <f t="shared" si="166"/>
        <v>0</v>
      </c>
      <c r="AJ248" s="211">
        <f t="shared" si="166"/>
        <v>0</v>
      </c>
      <c r="AK248" s="211">
        <f t="shared" si="166"/>
        <v>0</v>
      </c>
      <c r="AL248" s="211">
        <f>AK248*(P225)</f>
        <v>0</v>
      </c>
      <c r="AM248" s="211">
        <f>AL248*(Q225)</f>
        <v>0</v>
      </c>
      <c r="AN248" s="211">
        <f>AM248*(R225)</f>
        <v>0</v>
      </c>
    </row>
    <row r="249" spans="2:41" s="7" customFormat="1" ht="12" hidden="1" customHeight="1" outlineLevel="2">
      <c r="B249" s="245"/>
      <c r="C249" s="250" t="s">
        <v>775</v>
      </c>
      <c r="D249" s="250"/>
      <c r="E249" s="213"/>
      <c r="F249" s="213"/>
      <c r="G249" s="213"/>
      <c r="H249" s="213"/>
      <c r="I249" s="213"/>
      <c r="J249" s="213"/>
      <c r="K249" s="213"/>
      <c r="L249" s="213"/>
      <c r="M249" s="213"/>
      <c r="N249" s="213"/>
      <c r="O249" s="213"/>
      <c r="P249" s="213"/>
      <c r="Q249" s="213"/>
      <c r="R249" s="213"/>
      <c r="S249" s="213"/>
      <c r="T249" s="213"/>
      <c r="U249" s="213"/>
      <c r="V249" s="213"/>
      <c r="W249" s="213"/>
      <c r="X249" s="213"/>
      <c r="Y249" s="213"/>
      <c r="Z249" s="213"/>
      <c r="AA249" s="211">
        <f>INDEX($C$199:$AN$221,MATCH("New Customers One-Time",$C$199:$C$221,0),MATCH($C249,$C$199:$AN$199,0))</f>
        <v>7.4948587139019613</v>
      </c>
      <c r="AB249" s="211">
        <f t="shared" ref="AB249:AK249" si="167">$AA$249*(E225)</f>
        <v>0</v>
      </c>
      <c r="AC249" s="211">
        <f t="shared" si="167"/>
        <v>0</v>
      </c>
      <c r="AD249" s="211">
        <f t="shared" si="167"/>
        <v>0</v>
      </c>
      <c r="AE249" s="211">
        <f t="shared" si="167"/>
        <v>0</v>
      </c>
      <c r="AF249" s="211">
        <f t="shared" si="167"/>
        <v>0</v>
      </c>
      <c r="AG249" s="211">
        <f t="shared" si="167"/>
        <v>0</v>
      </c>
      <c r="AH249" s="211">
        <f t="shared" si="167"/>
        <v>0</v>
      </c>
      <c r="AI249" s="211">
        <f t="shared" si="167"/>
        <v>0</v>
      </c>
      <c r="AJ249" s="211">
        <f t="shared" si="167"/>
        <v>0</v>
      </c>
      <c r="AK249" s="211">
        <f t="shared" si="167"/>
        <v>0</v>
      </c>
      <c r="AL249" s="211">
        <f>AK249*(O225)</f>
        <v>0</v>
      </c>
      <c r="AM249" s="211">
        <f>AL249*(P225)</f>
        <v>0</v>
      </c>
      <c r="AN249" s="211">
        <f>AM249*(Q225)</f>
        <v>0</v>
      </c>
    </row>
    <row r="250" spans="2:41" s="7" customFormat="1" ht="12" hidden="1" customHeight="1" outlineLevel="2">
      <c r="B250" s="245"/>
      <c r="C250" s="250" t="s">
        <v>776</v>
      </c>
      <c r="D250" s="250"/>
      <c r="E250" s="213"/>
      <c r="F250" s="213"/>
      <c r="G250" s="213"/>
      <c r="H250" s="213"/>
      <c r="I250" s="213"/>
      <c r="J250" s="213"/>
      <c r="K250" s="213"/>
      <c r="L250" s="213"/>
      <c r="M250" s="213"/>
      <c r="N250" s="213"/>
      <c r="O250" s="213"/>
      <c r="P250" s="213"/>
      <c r="Q250" s="213"/>
      <c r="R250" s="213"/>
      <c r="S250" s="213"/>
      <c r="T250" s="213"/>
      <c r="U250" s="213"/>
      <c r="V250" s="213"/>
      <c r="W250" s="213"/>
      <c r="X250" s="213"/>
      <c r="Y250" s="213"/>
      <c r="Z250" s="213"/>
      <c r="AA250" s="213"/>
      <c r="AB250" s="211">
        <f>INDEX($C$199:$AN$221,MATCH("New Customers One-Time",$C$199:$C$221,0),MATCH($C250,$C$199:$AN$199,0))</f>
        <v>8.8575602982477744</v>
      </c>
      <c r="AC250" s="211">
        <f t="shared" ref="AC250:AN250" si="168">$AB$250*(E225)</f>
        <v>0</v>
      </c>
      <c r="AD250" s="211">
        <f t="shared" si="168"/>
        <v>0</v>
      </c>
      <c r="AE250" s="211">
        <f t="shared" si="168"/>
        <v>0</v>
      </c>
      <c r="AF250" s="211">
        <f t="shared" si="168"/>
        <v>0</v>
      </c>
      <c r="AG250" s="211">
        <f t="shared" si="168"/>
        <v>0</v>
      </c>
      <c r="AH250" s="211">
        <f t="shared" si="168"/>
        <v>0</v>
      </c>
      <c r="AI250" s="211">
        <f t="shared" si="168"/>
        <v>0</v>
      </c>
      <c r="AJ250" s="211">
        <f t="shared" si="168"/>
        <v>0</v>
      </c>
      <c r="AK250" s="211">
        <f t="shared" si="168"/>
        <v>0</v>
      </c>
      <c r="AL250" s="211">
        <f t="shared" si="168"/>
        <v>0</v>
      </c>
      <c r="AM250" s="211">
        <f t="shared" si="168"/>
        <v>0</v>
      </c>
      <c r="AN250" s="211">
        <f t="shared" si="168"/>
        <v>0</v>
      </c>
      <c r="AO250" s="211"/>
    </row>
    <row r="251" spans="2:41" s="7" customFormat="1" ht="12" hidden="1" customHeight="1" outlineLevel="2">
      <c r="B251" s="245"/>
      <c r="C251" s="250" t="s">
        <v>777</v>
      </c>
      <c r="D251" s="250"/>
      <c r="E251" s="213"/>
      <c r="F251" s="213"/>
      <c r="G251" s="213"/>
      <c r="H251" s="213"/>
      <c r="I251" s="213"/>
      <c r="J251" s="213"/>
      <c r="K251" s="213"/>
      <c r="L251" s="213"/>
      <c r="M251" s="213"/>
      <c r="N251" s="213"/>
      <c r="O251" s="213"/>
      <c r="P251" s="213"/>
      <c r="Q251" s="213"/>
      <c r="R251" s="213"/>
      <c r="S251" s="213"/>
      <c r="T251" s="213"/>
      <c r="U251" s="213"/>
      <c r="V251" s="213"/>
      <c r="W251" s="213"/>
      <c r="X251" s="213"/>
      <c r="Y251" s="213"/>
      <c r="Z251" s="213"/>
      <c r="AA251" s="213"/>
      <c r="AB251" s="211"/>
      <c r="AC251" s="211">
        <f>INDEX($C$199:$AN$221,MATCH("New Customers One-Time",$C$199:$C$221,0),MATCH($C251,$C$199:$AN$199,0))</f>
        <v>8.4044892754844795</v>
      </c>
      <c r="AD251" s="211">
        <f t="shared" ref="AD251:AK251" si="169">$AC$251*(E225)</f>
        <v>0</v>
      </c>
      <c r="AE251" s="211">
        <f t="shared" si="169"/>
        <v>0</v>
      </c>
      <c r="AF251" s="211">
        <f t="shared" si="169"/>
        <v>0</v>
      </c>
      <c r="AG251" s="211">
        <f t="shared" si="169"/>
        <v>0</v>
      </c>
      <c r="AH251" s="211">
        <f t="shared" si="169"/>
        <v>0</v>
      </c>
      <c r="AI251" s="211">
        <f t="shared" si="169"/>
        <v>0</v>
      </c>
      <c r="AJ251" s="211">
        <f t="shared" si="169"/>
        <v>0</v>
      </c>
      <c r="AK251" s="211">
        <f t="shared" si="169"/>
        <v>0</v>
      </c>
      <c r="AL251" s="211">
        <f>AK251*(M225)</f>
        <v>0</v>
      </c>
      <c r="AM251" s="211">
        <f>AL251*(N225)</f>
        <v>0</v>
      </c>
      <c r="AN251" s="211">
        <f>AM251*(O225)</f>
        <v>0</v>
      </c>
    </row>
    <row r="252" spans="2:41" s="7" customFormat="1" ht="12" hidden="1" customHeight="1" outlineLevel="2">
      <c r="B252" s="245"/>
      <c r="C252" s="250" t="s">
        <v>778</v>
      </c>
      <c r="D252" s="250"/>
      <c r="E252" s="213"/>
      <c r="F252" s="213"/>
      <c r="G252" s="213"/>
      <c r="H252" s="213"/>
      <c r="I252" s="213"/>
      <c r="J252" s="213"/>
      <c r="K252" s="213"/>
      <c r="L252" s="213"/>
      <c r="M252" s="213"/>
      <c r="N252" s="213"/>
      <c r="O252" s="213"/>
      <c r="P252" s="213"/>
      <c r="Q252" s="213"/>
      <c r="R252" s="213"/>
      <c r="S252" s="213"/>
      <c r="T252" s="213"/>
      <c r="U252" s="213"/>
      <c r="V252" s="213"/>
      <c r="W252" s="213"/>
      <c r="X252" s="213"/>
      <c r="Y252" s="213"/>
      <c r="Z252" s="213"/>
      <c r="AA252" s="213"/>
      <c r="AB252" s="211"/>
      <c r="AC252" s="211"/>
      <c r="AD252" s="211">
        <f>INDEX($C$199:$AN$221,MATCH("New Customers One-Time",$C$199:$C$221,0),MATCH($C252,$C$199:$AN$199,0))</f>
        <v>19.628408128980436</v>
      </c>
      <c r="AE252" s="211">
        <f t="shared" ref="AE252:AN252" si="170">$AD$252*(E225)</f>
        <v>0</v>
      </c>
      <c r="AF252" s="211">
        <f t="shared" si="170"/>
        <v>0</v>
      </c>
      <c r="AG252" s="211">
        <f t="shared" si="170"/>
        <v>0</v>
      </c>
      <c r="AH252" s="211">
        <f t="shared" si="170"/>
        <v>0</v>
      </c>
      <c r="AI252" s="211">
        <f t="shared" si="170"/>
        <v>0</v>
      </c>
      <c r="AJ252" s="211">
        <f t="shared" si="170"/>
        <v>0</v>
      </c>
      <c r="AK252" s="211">
        <f t="shared" si="170"/>
        <v>0</v>
      </c>
      <c r="AL252" s="211">
        <f t="shared" si="170"/>
        <v>0</v>
      </c>
      <c r="AM252" s="211">
        <f t="shared" si="170"/>
        <v>0</v>
      </c>
      <c r="AN252" s="211">
        <f t="shared" si="170"/>
        <v>0</v>
      </c>
    </row>
    <row r="253" spans="2:41" s="7" customFormat="1" ht="12" hidden="1" customHeight="1" outlineLevel="2">
      <c r="B253" s="245"/>
      <c r="C253" s="250" t="s">
        <v>779</v>
      </c>
      <c r="D253" s="250"/>
      <c r="E253" s="213"/>
      <c r="F253" s="213"/>
      <c r="G253" s="213"/>
      <c r="H253" s="213"/>
      <c r="I253" s="213"/>
      <c r="J253" s="213"/>
      <c r="K253" s="213"/>
      <c r="L253" s="213"/>
      <c r="M253" s="213"/>
      <c r="N253" s="213"/>
      <c r="O253" s="213"/>
      <c r="P253" s="213"/>
      <c r="Q253" s="213"/>
      <c r="R253" s="213"/>
      <c r="S253" s="213"/>
      <c r="T253" s="213"/>
      <c r="U253" s="213"/>
      <c r="V253" s="213"/>
      <c r="W253" s="213"/>
      <c r="X253" s="213"/>
      <c r="Y253" s="213"/>
      <c r="Z253" s="213"/>
      <c r="AA253" s="213"/>
      <c r="AB253" s="211"/>
      <c r="AC253" s="211"/>
      <c r="AD253" s="211"/>
      <c r="AE253" s="211">
        <f>INDEX($C$199:$AN$221,MATCH("New Customers One-Time",$C$199:$C$221,0),MATCH($C253,$C$199:$AN$199,0))</f>
        <v>12.844825134043617</v>
      </c>
      <c r="AF253" s="211">
        <f t="shared" ref="AF253:AN253" si="171">$AE$253*(E225)</f>
        <v>0</v>
      </c>
      <c r="AG253" s="211">
        <f t="shared" si="171"/>
        <v>0</v>
      </c>
      <c r="AH253" s="211">
        <f t="shared" si="171"/>
        <v>0</v>
      </c>
      <c r="AI253" s="211">
        <f t="shared" si="171"/>
        <v>0</v>
      </c>
      <c r="AJ253" s="211">
        <f t="shared" si="171"/>
        <v>0</v>
      </c>
      <c r="AK253" s="211">
        <f t="shared" si="171"/>
        <v>0</v>
      </c>
      <c r="AL253" s="211">
        <f t="shared" si="171"/>
        <v>0</v>
      </c>
      <c r="AM253" s="211">
        <f t="shared" si="171"/>
        <v>0</v>
      </c>
      <c r="AN253" s="211">
        <f t="shared" si="171"/>
        <v>0</v>
      </c>
    </row>
    <row r="254" spans="2:41" s="7" customFormat="1" ht="12" hidden="1" customHeight="1" outlineLevel="2">
      <c r="B254" s="245"/>
      <c r="C254" s="250" t="s">
        <v>780</v>
      </c>
      <c r="D254" s="250"/>
      <c r="E254" s="213"/>
      <c r="F254" s="213"/>
      <c r="G254" s="213"/>
      <c r="H254" s="213"/>
      <c r="I254" s="213"/>
      <c r="J254" s="213"/>
      <c r="K254" s="213"/>
      <c r="L254" s="213"/>
      <c r="M254" s="213"/>
      <c r="N254" s="213"/>
      <c r="O254" s="213"/>
      <c r="P254" s="213"/>
      <c r="Q254" s="213"/>
      <c r="R254" s="213"/>
      <c r="S254" s="213"/>
      <c r="T254" s="213"/>
      <c r="U254" s="213"/>
      <c r="V254" s="213"/>
      <c r="W254" s="213"/>
      <c r="X254" s="213"/>
      <c r="Y254" s="213"/>
      <c r="Z254" s="213"/>
      <c r="AA254" s="213"/>
      <c r="AB254" s="211"/>
      <c r="AC254" s="211"/>
      <c r="AD254" s="211"/>
      <c r="AE254" s="211"/>
      <c r="AF254" s="211">
        <f>INDEX($C$199:$AN$221,MATCH("New Customers One-Time",$C$199:$C$221,0),MATCH($C254,$C$199:$AN$199,0))</f>
        <v>12.282188361560305</v>
      </c>
      <c r="AG254" s="211">
        <f t="shared" ref="AG254:AN254" si="172">$AF$254*(E225)</f>
        <v>0</v>
      </c>
      <c r="AH254" s="211">
        <f t="shared" si="172"/>
        <v>0</v>
      </c>
      <c r="AI254" s="211">
        <f t="shared" si="172"/>
        <v>0</v>
      </c>
      <c r="AJ254" s="211">
        <f t="shared" si="172"/>
        <v>0</v>
      </c>
      <c r="AK254" s="211">
        <f t="shared" si="172"/>
        <v>0</v>
      </c>
      <c r="AL254" s="211">
        <f t="shared" si="172"/>
        <v>0</v>
      </c>
      <c r="AM254" s="211">
        <f t="shared" si="172"/>
        <v>0</v>
      </c>
      <c r="AN254" s="211">
        <f t="shared" si="172"/>
        <v>0</v>
      </c>
    </row>
    <row r="255" spans="2:41" s="7" customFormat="1" ht="12" hidden="1" customHeight="1" outlineLevel="2">
      <c r="B255" s="245"/>
      <c r="C255" s="250" t="s">
        <v>781</v>
      </c>
      <c r="D255" s="250"/>
      <c r="E255" s="213"/>
      <c r="F255" s="213"/>
      <c r="G255" s="213"/>
      <c r="H255" s="213"/>
      <c r="I255" s="213"/>
      <c r="J255" s="213"/>
      <c r="K255" s="213"/>
      <c r="L255" s="213"/>
      <c r="M255" s="213"/>
      <c r="N255" s="213"/>
      <c r="O255" s="213"/>
      <c r="P255" s="213"/>
      <c r="Q255" s="213"/>
      <c r="R255" s="213"/>
      <c r="S255" s="213"/>
      <c r="T255" s="213"/>
      <c r="U255" s="213"/>
      <c r="V255" s="213"/>
      <c r="W255" s="213"/>
      <c r="X255" s="213"/>
      <c r="Y255" s="213"/>
      <c r="Z255" s="213"/>
      <c r="AA255" s="213"/>
      <c r="AB255" s="211"/>
      <c r="AC255" s="211"/>
      <c r="AD255" s="211"/>
      <c r="AE255" s="211"/>
      <c r="AF255" s="211"/>
      <c r="AG255" s="211">
        <f>INDEX($C$199:$AN$221,MATCH("New Customers One-Time",$C$199:$C$221,0),MATCH($C255,$C$199:$AN$199,0))</f>
        <v>10.557257984402304</v>
      </c>
      <c r="AH255" s="211">
        <f t="shared" ref="AH255:AN255" si="173">$AG$255*(E225)</f>
        <v>0</v>
      </c>
      <c r="AI255" s="211">
        <f t="shared" si="173"/>
        <v>0</v>
      </c>
      <c r="AJ255" s="211">
        <f t="shared" si="173"/>
        <v>0</v>
      </c>
      <c r="AK255" s="211">
        <f t="shared" si="173"/>
        <v>0</v>
      </c>
      <c r="AL255" s="211">
        <f t="shared" si="173"/>
        <v>0</v>
      </c>
      <c r="AM255" s="211">
        <f t="shared" si="173"/>
        <v>0</v>
      </c>
      <c r="AN255" s="211">
        <f t="shared" si="173"/>
        <v>0</v>
      </c>
    </row>
    <row r="256" spans="2:41" s="7" customFormat="1" ht="12" hidden="1" customHeight="1" outlineLevel="2">
      <c r="B256" s="245"/>
      <c r="C256" s="250" t="s">
        <v>782</v>
      </c>
      <c r="D256" s="250"/>
      <c r="E256" s="213"/>
      <c r="F256" s="213"/>
      <c r="G256" s="213"/>
      <c r="H256" s="213"/>
      <c r="I256" s="213"/>
      <c r="J256" s="213"/>
      <c r="K256" s="213"/>
      <c r="L256" s="213"/>
      <c r="M256" s="213"/>
      <c r="N256" s="213"/>
      <c r="O256" s="213"/>
      <c r="P256" s="213"/>
      <c r="Q256" s="213"/>
      <c r="R256" s="213"/>
      <c r="S256" s="213"/>
      <c r="T256" s="213"/>
      <c r="U256" s="213"/>
      <c r="V256" s="213"/>
      <c r="W256" s="213"/>
      <c r="X256" s="213"/>
      <c r="Y256" s="213"/>
      <c r="Z256" s="213"/>
      <c r="AA256" s="213"/>
      <c r="AB256" s="211"/>
      <c r="AC256" s="211"/>
      <c r="AD256" s="211"/>
      <c r="AE256" s="211"/>
      <c r="AF256" s="211"/>
      <c r="AG256" s="211"/>
      <c r="AH256" s="211">
        <f>INDEX($C$199:$AN$221,MATCH("New Customers One-Time",$C$199:$C$221,0),MATCH($C256,$C$199:$AN$199,0))</f>
        <v>19.781339585452955</v>
      </c>
      <c r="AI256" s="211">
        <f t="shared" ref="AI256:AN256" si="174">$AH$256*(E225)</f>
        <v>0</v>
      </c>
      <c r="AJ256" s="211">
        <f t="shared" si="174"/>
        <v>0</v>
      </c>
      <c r="AK256" s="211">
        <f t="shared" si="174"/>
        <v>0</v>
      </c>
      <c r="AL256" s="211">
        <f t="shared" si="174"/>
        <v>0</v>
      </c>
      <c r="AM256" s="211">
        <f t="shared" si="174"/>
        <v>0</v>
      </c>
      <c r="AN256" s="211">
        <f t="shared" si="174"/>
        <v>0</v>
      </c>
    </row>
    <row r="257" spans="2:40" s="7" customFormat="1" ht="12" hidden="1" customHeight="1" outlineLevel="2">
      <c r="B257" s="245"/>
      <c r="C257" s="250" t="s">
        <v>783</v>
      </c>
      <c r="D257" s="250"/>
      <c r="E257" s="213"/>
      <c r="F257" s="213"/>
      <c r="G257" s="213"/>
      <c r="H257" s="213"/>
      <c r="I257" s="213"/>
      <c r="J257" s="213"/>
      <c r="K257" s="213"/>
      <c r="L257" s="213"/>
      <c r="M257" s="213"/>
      <c r="N257" s="213"/>
      <c r="O257" s="213"/>
      <c r="P257" s="213"/>
      <c r="Q257" s="213"/>
      <c r="R257" s="213"/>
      <c r="S257" s="213"/>
      <c r="T257" s="213"/>
      <c r="U257" s="213"/>
      <c r="V257" s="213"/>
      <c r="W257" s="213"/>
      <c r="X257" s="213"/>
      <c r="Y257" s="213"/>
      <c r="Z257" s="213"/>
      <c r="AA257" s="213"/>
      <c r="AB257" s="211"/>
      <c r="AC257" s="211"/>
      <c r="AD257" s="211"/>
      <c r="AE257" s="211"/>
      <c r="AF257" s="211"/>
      <c r="AG257" s="211"/>
      <c r="AH257" s="211"/>
      <c r="AI257" s="211">
        <f>INDEX($C$199:$AN$221,MATCH("New Customers One-Time",$C$199:$C$221,0),MATCH($C257,$C$199:$AN$199,0))</f>
        <v>9.0579319392099809</v>
      </c>
      <c r="AJ257" s="211">
        <f>$AI$257*(E225)</f>
        <v>0</v>
      </c>
      <c r="AK257" s="211">
        <f>$AI$257*(F225)</f>
        <v>0</v>
      </c>
      <c r="AL257" s="211">
        <f>$AI$257*(G225)</f>
        <v>0</v>
      </c>
      <c r="AM257" s="211">
        <f>$AI$257*(H225)</f>
        <v>0</v>
      </c>
      <c r="AN257" s="211">
        <f>$AI$257*(I225)</f>
        <v>0</v>
      </c>
    </row>
    <row r="258" spans="2:40" s="7" customFormat="1" ht="12" hidden="1" customHeight="1" outlineLevel="2">
      <c r="B258" s="245"/>
      <c r="C258" s="250" t="s">
        <v>784</v>
      </c>
      <c r="D258" s="250"/>
      <c r="E258" s="213"/>
      <c r="F258" s="213"/>
      <c r="G258" s="213"/>
      <c r="H258" s="213"/>
      <c r="I258" s="213"/>
      <c r="J258" s="213"/>
      <c r="K258" s="213"/>
      <c r="L258" s="213"/>
      <c r="M258" s="213"/>
      <c r="N258" s="213"/>
      <c r="O258" s="213"/>
      <c r="P258" s="213"/>
      <c r="Q258" s="213"/>
      <c r="R258" s="213"/>
      <c r="S258" s="213"/>
      <c r="T258" s="213"/>
      <c r="U258" s="213"/>
      <c r="V258" s="213"/>
      <c r="W258" s="213"/>
      <c r="X258" s="213"/>
      <c r="Y258" s="213"/>
      <c r="Z258" s="213"/>
      <c r="AA258" s="213"/>
      <c r="AB258" s="211"/>
      <c r="AC258" s="211"/>
      <c r="AD258" s="211"/>
      <c r="AE258" s="211"/>
      <c r="AF258" s="211"/>
      <c r="AG258" s="211"/>
      <c r="AH258" s="211"/>
      <c r="AI258" s="211"/>
      <c r="AJ258" s="211">
        <f>INDEX($C$199:$AN$221,MATCH("New Customers One-Time",$C$199:$C$221,0),MATCH($C258,$C$199:$AN$199,0))</f>
        <v>9.5197696754992336</v>
      </c>
      <c r="AK258" s="211">
        <f>$AJ$258*(E225)</f>
        <v>0</v>
      </c>
      <c r="AL258" s="211">
        <f>$AJ$258*(F225)</f>
        <v>0</v>
      </c>
      <c r="AM258" s="211">
        <f>$AJ$258*(G225)</f>
        <v>0</v>
      </c>
      <c r="AN258" s="211">
        <f>$AJ$258*(H225)</f>
        <v>0</v>
      </c>
    </row>
    <row r="259" spans="2:40" s="7" customFormat="1" ht="12" hidden="1" customHeight="1" outlineLevel="2">
      <c r="B259" s="245"/>
      <c r="C259" s="250" t="s">
        <v>785</v>
      </c>
      <c r="D259" s="250"/>
      <c r="E259" s="213"/>
      <c r="F259" s="213"/>
      <c r="G259" s="213"/>
      <c r="H259" s="213"/>
      <c r="I259" s="213"/>
      <c r="J259" s="213"/>
      <c r="K259" s="213"/>
      <c r="L259" s="213"/>
      <c r="M259" s="213"/>
      <c r="N259" s="213"/>
      <c r="O259" s="213"/>
      <c r="P259" s="213"/>
      <c r="Q259" s="213"/>
      <c r="R259" s="213"/>
      <c r="S259" s="213"/>
      <c r="T259" s="213"/>
      <c r="U259" s="213"/>
      <c r="V259" s="213"/>
      <c r="W259" s="213"/>
      <c r="X259" s="213"/>
      <c r="Y259" s="213"/>
      <c r="Z259" s="213"/>
      <c r="AA259" s="213"/>
      <c r="AB259" s="211"/>
      <c r="AC259" s="211"/>
      <c r="AD259" s="211"/>
      <c r="AE259" s="211"/>
      <c r="AF259" s="211"/>
      <c r="AG259" s="211"/>
      <c r="AH259" s="211"/>
      <c r="AI259" s="211"/>
      <c r="AJ259" s="211"/>
      <c r="AK259" s="211">
        <f>INDEX($C$199:$AN$221,MATCH("New Customers One-Time",$C$199:$C$221,0),MATCH($C259,$C$199:$AN$199,0))</f>
        <v>22.893386617009629</v>
      </c>
      <c r="AL259" s="211">
        <f>$AK$259*(E225)</f>
        <v>0</v>
      </c>
      <c r="AM259" s="211">
        <f>$AK$259*(F225)</f>
        <v>0</v>
      </c>
      <c r="AN259" s="211">
        <f>$AK$259*(G225)</f>
        <v>0</v>
      </c>
    </row>
    <row r="260" spans="2:40" s="7" customFormat="1" ht="12" hidden="1" customHeight="1" outlineLevel="2">
      <c r="B260" s="245"/>
      <c r="C260" s="250" t="s">
        <v>786</v>
      </c>
      <c r="D260" s="250"/>
      <c r="E260" s="213"/>
      <c r="F260" s="213"/>
      <c r="G260" s="213"/>
      <c r="H260" s="213"/>
      <c r="I260" s="213"/>
      <c r="J260" s="213"/>
      <c r="K260" s="213"/>
      <c r="L260" s="213"/>
      <c r="M260" s="213"/>
      <c r="N260" s="213"/>
      <c r="O260" s="213"/>
      <c r="P260" s="213"/>
      <c r="Q260" s="213"/>
      <c r="R260" s="213"/>
      <c r="S260" s="213"/>
      <c r="T260" s="213"/>
      <c r="U260" s="213"/>
      <c r="V260" s="213"/>
      <c r="W260" s="213"/>
      <c r="X260" s="213"/>
      <c r="Y260" s="213"/>
      <c r="Z260" s="213"/>
      <c r="AA260" s="213"/>
      <c r="AB260" s="211"/>
      <c r="AC260" s="211"/>
      <c r="AD260" s="211"/>
      <c r="AE260" s="211"/>
      <c r="AF260" s="211"/>
      <c r="AG260" s="211"/>
      <c r="AH260" s="211"/>
      <c r="AI260" s="211"/>
      <c r="AJ260" s="211"/>
      <c r="AK260" s="211"/>
      <c r="AL260" s="211">
        <f>INDEX($C$199:$AN$221,MATCH("New Customers One-Time",$C$199:$C$221,0),MATCH($C260,$C$199:$AN$199,0))</f>
        <v>15.89818515070113</v>
      </c>
      <c r="AM260" s="211">
        <f>$AL$260*(E225)</f>
        <v>0</v>
      </c>
      <c r="AN260" s="211">
        <f>$AL$260*(F225)</f>
        <v>0</v>
      </c>
    </row>
    <row r="261" spans="2:40" s="7" customFormat="1" ht="12" hidden="1" customHeight="1" outlineLevel="2">
      <c r="B261" s="245"/>
      <c r="C261" s="250" t="s">
        <v>787</v>
      </c>
      <c r="D261" s="250"/>
      <c r="E261" s="213"/>
      <c r="F261" s="213"/>
      <c r="G261" s="213"/>
      <c r="H261" s="213"/>
      <c r="I261" s="213"/>
      <c r="J261" s="213"/>
      <c r="K261" s="213"/>
      <c r="L261" s="213"/>
      <c r="M261" s="213"/>
      <c r="N261" s="213"/>
      <c r="O261" s="213"/>
      <c r="P261" s="213"/>
      <c r="Q261" s="213"/>
      <c r="R261" s="213"/>
      <c r="S261" s="213"/>
      <c r="T261" s="213"/>
      <c r="U261" s="213"/>
      <c r="V261" s="213"/>
      <c r="W261" s="213"/>
      <c r="X261" s="213"/>
      <c r="Y261" s="213"/>
      <c r="Z261" s="213"/>
      <c r="AA261" s="213"/>
      <c r="AB261" s="211"/>
      <c r="AC261" s="211"/>
      <c r="AD261" s="211"/>
      <c r="AE261" s="211"/>
      <c r="AF261" s="211"/>
      <c r="AG261" s="211"/>
      <c r="AH261" s="211"/>
      <c r="AI261" s="211"/>
      <c r="AJ261" s="211"/>
      <c r="AK261" s="211"/>
      <c r="AL261" s="211"/>
      <c r="AM261" s="211">
        <f>INDEX($C$199:$AN$221,MATCH("New Customers One-Time",$C$199:$C$221,0),MATCH($C261,$C$199:$AN$199,0))</f>
        <v>8.2443445852921577</v>
      </c>
      <c r="AN261" s="211">
        <f>$AM$261*(E225)</f>
        <v>0</v>
      </c>
    </row>
    <row r="262" spans="2:40" s="7" customFormat="1" ht="12" hidden="1" customHeight="1" outlineLevel="2">
      <c r="B262" s="245"/>
      <c r="C262" s="250" t="s">
        <v>788</v>
      </c>
      <c r="D262" s="250"/>
      <c r="E262" s="213"/>
      <c r="F262" s="213"/>
      <c r="G262" s="213"/>
      <c r="H262" s="213"/>
      <c r="I262" s="213"/>
      <c r="J262" s="213"/>
      <c r="K262" s="213"/>
      <c r="L262" s="213"/>
      <c r="M262" s="213"/>
      <c r="N262" s="213"/>
      <c r="O262" s="213"/>
      <c r="P262" s="213"/>
      <c r="Q262" s="213"/>
      <c r="R262" s="213"/>
      <c r="S262" s="213"/>
      <c r="T262" s="213"/>
      <c r="U262" s="213"/>
      <c r="V262" s="213"/>
      <c r="W262" s="213"/>
      <c r="X262" s="213"/>
      <c r="Y262" s="213"/>
      <c r="Z262" s="213"/>
      <c r="AA262" s="213"/>
      <c r="AB262" s="211"/>
      <c r="AC262" s="211"/>
      <c r="AD262" s="211"/>
      <c r="AE262" s="211"/>
      <c r="AF262" s="211"/>
      <c r="AG262" s="211"/>
      <c r="AH262" s="211"/>
      <c r="AI262" s="211"/>
      <c r="AJ262" s="211"/>
      <c r="AK262" s="211"/>
      <c r="AL262" s="211"/>
      <c r="AM262" s="211"/>
      <c r="AN262" s="211">
        <f>INDEX($C$199:$AN$221,MATCH("New Customers One-Time",$C$199:$C$221,0),MATCH($C262,$C$199:$AN$199,0))</f>
        <v>10.629072357897329</v>
      </c>
    </row>
    <row r="263" spans="2:40" s="7" customFormat="1" ht="12" hidden="1" customHeight="1" outlineLevel="2">
      <c r="B263" s="245"/>
      <c r="C263" s="250"/>
      <c r="D263" s="250"/>
      <c r="E263" s="213"/>
      <c r="F263" s="213"/>
      <c r="G263" s="213"/>
      <c r="H263" s="213"/>
      <c r="I263" s="213"/>
      <c r="J263" s="213"/>
      <c r="K263" s="213"/>
      <c r="L263" s="213"/>
      <c r="M263" s="213"/>
      <c r="N263" s="213"/>
      <c r="O263" s="213"/>
      <c r="P263" s="213"/>
      <c r="Q263" s="213"/>
      <c r="R263" s="213"/>
      <c r="S263" s="213"/>
      <c r="T263" s="213"/>
      <c r="U263" s="213"/>
      <c r="V263" s="213"/>
      <c r="W263" s="213"/>
      <c r="X263" s="213"/>
      <c r="Y263" s="213"/>
      <c r="Z263" s="213"/>
      <c r="AA263" s="213"/>
      <c r="AB263" s="211"/>
      <c r="AC263" s="211"/>
      <c r="AD263" s="211"/>
      <c r="AE263" s="211"/>
      <c r="AF263" s="211"/>
      <c r="AG263" s="211"/>
      <c r="AH263" s="211"/>
      <c r="AI263" s="211"/>
      <c r="AJ263" s="211"/>
      <c r="AK263" s="211"/>
      <c r="AL263" s="211"/>
      <c r="AM263" s="211"/>
      <c r="AN263" s="211"/>
    </row>
    <row r="264" spans="2:40" s="7" customFormat="1" ht="12" hidden="1" customHeight="1" outlineLevel="2">
      <c r="B264" s="245"/>
      <c r="C264" s="249" t="s">
        <v>853</v>
      </c>
      <c r="D264" s="250"/>
      <c r="E264" s="213"/>
      <c r="F264" s="213"/>
      <c r="G264" s="213"/>
      <c r="H264" s="213"/>
      <c r="I264" s="213"/>
      <c r="J264" s="213"/>
      <c r="K264" s="213"/>
      <c r="L264" s="213"/>
      <c r="M264" s="213"/>
      <c r="N264" s="213"/>
      <c r="O264" s="213"/>
      <c r="P264" s="213"/>
      <c r="Q264" s="213"/>
      <c r="R264" s="213"/>
      <c r="S264" s="213"/>
      <c r="T264" s="213"/>
      <c r="U264" s="213"/>
      <c r="V264" s="213"/>
      <c r="W264" s="213"/>
      <c r="X264" s="213"/>
      <c r="Y264" s="213"/>
      <c r="Z264" s="213"/>
      <c r="AA264" s="213"/>
      <c r="AB264" s="213"/>
      <c r="AC264" s="211"/>
    </row>
    <row r="265" spans="2:40" s="7" customFormat="1" ht="12" hidden="1" customHeight="1" outlineLevel="2">
      <c r="B265" s="239"/>
      <c r="C265" s="212" t="s">
        <v>850</v>
      </c>
      <c r="D265" s="212"/>
      <c r="E265" s="196" t="s">
        <v>753</v>
      </c>
      <c r="F265" s="196" t="s">
        <v>754</v>
      </c>
      <c r="G265" s="196" t="s">
        <v>755</v>
      </c>
      <c r="H265" s="196" t="s">
        <v>756</v>
      </c>
      <c r="I265" s="196" t="s">
        <v>757</v>
      </c>
      <c r="J265" s="196" t="s">
        <v>758</v>
      </c>
      <c r="K265" s="196" t="s">
        <v>759</v>
      </c>
      <c r="L265" s="196" t="s">
        <v>760</v>
      </c>
      <c r="M265" s="196" t="s">
        <v>761</v>
      </c>
      <c r="N265" s="196" t="s">
        <v>762</v>
      </c>
      <c r="O265" s="196" t="s">
        <v>763</v>
      </c>
      <c r="P265" s="196" t="s">
        <v>764</v>
      </c>
      <c r="Q265" s="196" t="s">
        <v>765</v>
      </c>
      <c r="R265" s="196" t="s">
        <v>766</v>
      </c>
      <c r="S265" s="196" t="s">
        <v>767</v>
      </c>
      <c r="T265" s="196" t="s">
        <v>768</v>
      </c>
      <c r="U265" s="196" t="s">
        <v>769</v>
      </c>
      <c r="V265" s="196" t="s">
        <v>770</v>
      </c>
      <c r="W265" s="196" t="s">
        <v>771</v>
      </c>
      <c r="X265" s="196" t="s">
        <v>772</v>
      </c>
      <c r="Y265" s="196" t="s">
        <v>773</v>
      </c>
      <c r="Z265" s="196" t="s">
        <v>774</v>
      </c>
      <c r="AA265" s="196" t="s">
        <v>775</v>
      </c>
      <c r="AB265" s="196" t="s">
        <v>776</v>
      </c>
      <c r="AC265" s="196" t="s">
        <v>777</v>
      </c>
      <c r="AD265" s="196" t="s">
        <v>778</v>
      </c>
      <c r="AE265" s="196" t="s">
        <v>779</v>
      </c>
      <c r="AF265" s="196" t="s">
        <v>780</v>
      </c>
      <c r="AG265" s="196" t="s">
        <v>781</v>
      </c>
      <c r="AH265" s="196" t="s">
        <v>782</v>
      </c>
      <c r="AI265" s="196" t="s">
        <v>783</v>
      </c>
      <c r="AJ265" s="196" t="s">
        <v>784</v>
      </c>
      <c r="AK265" s="196" t="s">
        <v>785</v>
      </c>
      <c r="AL265" s="196" t="s">
        <v>786</v>
      </c>
      <c r="AM265" s="196" t="s">
        <v>787</v>
      </c>
      <c r="AN265" s="196" t="s">
        <v>788</v>
      </c>
    </row>
    <row r="266" spans="2:40" s="7" customFormat="1" ht="12" hidden="1" customHeight="1" outlineLevel="2">
      <c r="B266" s="239"/>
      <c r="C266" s="247" t="s">
        <v>851</v>
      </c>
      <c r="D266" s="212"/>
      <c r="E266" s="345">
        <v>7.0000000000000007E-2</v>
      </c>
      <c r="F266" s="345">
        <v>7.0000000000000007E-2</v>
      </c>
      <c r="G266" s="345">
        <v>7.0000000000000007E-2</v>
      </c>
      <c r="H266" s="345">
        <v>0.06</v>
      </c>
      <c r="I266" s="345">
        <v>0.06</v>
      </c>
      <c r="J266" s="345">
        <v>0.06</v>
      </c>
      <c r="K266" s="345">
        <v>0.05</v>
      </c>
      <c r="L266" s="345">
        <v>0.05</v>
      </c>
      <c r="M266" s="345">
        <v>0.05</v>
      </c>
      <c r="N266" s="345">
        <v>0.04</v>
      </c>
      <c r="O266" s="345">
        <v>0.04</v>
      </c>
      <c r="P266" s="345">
        <v>0.04</v>
      </c>
      <c r="Q266" s="345">
        <v>0.03</v>
      </c>
      <c r="R266" s="345">
        <v>0.03</v>
      </c>
      <c r="S266" s="345">
        <v>0.03</v>
      </c>
      <c r="T266" s="345">
        <v>0.02</v>
      </c>
      <c r="U266" s="345">
        <v>0.02</v>
      </c>
      <c r="V266" s="345">
        <v>0.02</v>
      </c>
      <c r="W266" s="345">
        <v>0.01</v>
      </c>
      <c r="X266" s="345">
        <v>0.01</v>
      </c>
      <c r="Y266" s="345">
        <v>0.01</v>
      </c>
      <c r="Z266" s="345">
        <v>0.01</v>
      </c>
      <c r="AA266" s="345">
        <v>0.01</v>
      </c>
      <c r="AB266" s="345">
        <v>0.01</v>
      </c>
      <c r="AC266" s="345">
        <v>0.01</v>
      </c>
      <c r="AD266" s="345">
        <f t="shared" ref="AD266:AN266" si="175">AC266</f>
        <v>0.01</v>
      </c>
      <c r="AE266" s="345">
        <f t="shared" si="175"/>
        <v>0.01</v>
      </c>
      <c r="AF266" s="345">
        <f t="shared" si="175"/>
        <v>0.01</v>
      </c>
      <c r="AG266" s="345">
        <f t="shared" si="175"/>
        <v>0.01</v>
      </c>
      <c r="AH266" s="345">
        <f t="shared" si="175"/>
        <v>0.01</v>
      </c>
      <c r="AI266" s="345">
        <f t="shared" si="175"/>
        <v>0.01</v>
      </c>
      <c r="AJ266" s="345">
        <f t="shared" si="175"/>
        <v>0.01</v>
      </c>
      <c r="AK266" s="345">
        <f t="shared" si="175"/>
        <v>0.01</v>
      </c>
      <c r="AL266" s="345">
        <f t="shared" si="175"/>
        <v>0.01</v>
      </c>
      <c r="AM266" s="345">
        <f t="shared" si="175"/>
        <v>0.01</v>
      </c>
      <c r="AN266" s="345">
        <f t="shared" si="175"/>
        <v>0.01</v>
      </c>
    </row>
    <row r="267" spans="2:40" s="7" customFormat="1" ht="12" hidden="1" customHeight="1" outlineLevel="2">
      <c r="B267" s="239"/>
      <c r="C267" s="212" t="s">
        <v>861</v>
      </c>
      <c r="D267" s="212"/>
      <c r="E267" s="211"/>
      <c r="F267" s="211"/>
      <c r="G267" s="211"/>
      <c r="H267" s="211"/>
      <c r="I267" s="211"/>
      <c r="J267" s="211"/>
      <c r="K267" s="211"/>
      <c r="L267" s="211"/>
      <c r="M267" s="211"/>
      <c r="N267" s="211"/>
      <c r="O267" s="211"/>
      <c r="P267" s="211"/>
      <c r="Q267" s="211"/>
      <c r="R267" s="211"/>
      <c r="S267" s="211"/>
      <c r="T267" s="211"/>
      <c r="U267" s="211"/>
      <c r="V267" s="211"/>
      <c r="W267" s="211"/>
      <c r="X267" s="211"/>
      <c r="Y267" s="211"/>
      <c r="Z267" s="211"/>
      <c r="AA267" s="211"/>
      <c r="AB267" s="211"/>
      <c r="AC267" s="211"/>
      <c r="AD267" s="211"/>
      <c r="AE267" s="211"/>
      <c r="AF267" s="211"/>
      <c r="AG267" s="211"/>
      <c r="AH267" s="211"/>
      <c r="AI267" s="211"/>
      <c r="AJ267" s="211"/>
      <c r="AK267" s="211"/>
      <c r="AL267" s="211"/>
      <c r="AM267" s="211"/>
      <c r="AN267" s="211"/>
    </row>
    <row r="268" spans="2:40" s="7" customFormat="1" ht="12" hidden="1" customHeight="1" outlineLevel="2">
      <c r="B268" s="245"/>
      <c r="C268" s="250" t="s">
        <v>753</v>
      </c>
      <c r="D268" s="250"/>
      <c r="E268" s="211">
        <f>INDEX($C$199:$AN$221,MATCH("New Customers 1MS",$C$199:$C$221,0),MATCH($C268,$C$199:$AN$199,0))</f>
        <v>0.99999999999999845</v>
      </c>
      <c r="F268" s="211">
        <f t="shared" ref="F268:AN268" si="176">$E$268*(E266)</f>
        <v>6.9999999999999896E-2</v>
      </c>
      <c r="G268" s="211">
        <f t="shared" si="176"/>
        <v>6.9999999999999896E-2</v>
      </c>
      <c r="H268" s="211">
        <f t="shared" si="176"/>
        <v>6.9999999999999896E-2</v>
      </c>
      <c r="I268" s="211">
        <f t="shared" si="176"/>
        <v>5.9999999999999908E-2</v>
      </c>
      <c r="J268" s="211">
        <f t="shared" si="176"/>
        <v>5.9999999999999908E-2</v>
      </c>
      <c r="K268" s="211">
        <f t="shared" si="176"/>
        <v>5.9999999999999908E-2</v>
      </c>
      <c r="L268" s="211">
        <f t="shared" si="176"/>
        <v>4.9999999999999926E-2</v>
      </c>
      <c r="M268" s="211">
        <f t="shared" si="176"/>
        <v>4.9999999999999926E-2</v>
      </c>
      <c r="N268" s="211">
        <f t="shared" si="176"/>
        <v>4.9999999999999926E-2</v>
      </c>
      <c r="O268" s="211">
        <f t="shared" si="176"/>
        <v>3.9999999999999938E-2</v>
      </c>
      <c r="P268" s="211">
        <f t="shared" si="176"/>
        <v>3.9999999999999938E-2</v>
      </c>
      <c r="Q268" s="211">
        <f t="shared" si="176"/>
        <v>3.9999999999999938E-2</v>
      </c>
      <c r="R268" s="211">
        <f t="shared" si="176"/>
        <v>2.9999999999999954E-2</v>
      </c>
      <c r="S268" s="211">
        <f t="shared" si="176"/>
        <v>2.9999999999999954E-2</v>
      </c>
      <c r="T268" s="211">
        <f t="shared" si="176"/>
        <v>2.9999999999999954E-2</v>
      </c>
      <c r="U268" s="211">
        <f t="shared" si="176"/>
        <v>1.9999999999999969E-2</v>
      </c>
      <c r="V268" s="211">
        <f t="shared" si="176"/>
        <v>1.9999999999999969E-2</v>
      </c>
      <c r="W268" s="211">
        <f t="shared" si="176"/>
        <v>1.9999999999999969E-2</v>
      </c>
      <c r="X268" s="211">
        <f t="shared" si="176"/>
        <v>9.9999999999999846E-3</v>
      </c>
      <c r="Y268" s="211">
        <f t="shared" si="176"/>
        <v>9.9999999999999846E-3</v>
      </c>
      <c r="Z268" s="211">
        <f t="shared" si="176"/>
        <v>9.9999999999999846E-3</v>
      </c>
      <c r="AA268" s="211">
        <f t="shared" si="176"/>
        <v>9.9999999999999846E-3</v>
      </c>
      <c r="AB268" s="211">
        <f t="shared" si="176"/>
        <v>9.9999999999999846E-3</v>
      </c>
      <c r="AC268" s="211">
        <f t="shared" si="176"/>
        <v>9.9999999999999846E-3</v>
      </c>
      <c r="AD268" s="211">
        <f t="shared" si="176"/>
        <v>9.9999999999999846E-3</v>
      </c>
      <c r="AE268" s="211">
        <f t="shared" si="176"/>
        <v>9.9999999999999846E-3</v>
      </c>
      <c r="AF268" s="211">
        <f t="shared" si="176"/>
        <v>9.9999999999999846E-3</v>
      </c>
      <c r="AG268" s="211">
        <f t="shared" si="176"/>
        <v>9.9999999999999846E-3</v>
      </c>
      <c r="AH268" s="211">
        <f t="shared" si="176"/>
        <v>9.9999999999999846E-3</v>
      </c>
      <c r="AI268" s="211">
        <f t="shared" si="176"/>
        <v>9.9999999999999846E-3</v>
      </c>
      <c r="AJ268" s="211">
        <f t="shared" si="176"/>
        <v>9.9999999999999846E-3</v>
      </c>
      <c r="AK268" s="211">
        <f t="shared" si="176"/>
        <v>9.9999999999999846E-3</v>
      </c>
      <c r="AL268" s="211">
        <f t="shared" si="176"/>
        <v>9.9999999999999846E-3</v>
      </c>
      <c r="AM268" s="211">
        <f t="shared" si="176"/>
        <v>9.9999999999999846E-3</v>
      </c>
      <c r="AN268" s="211">
        <f t="shared" si="176"/>
        <v>9.9999999999999846E-3</v>
      </c>
    </row>
    <row r="269" spans="2:40" s="7" customFormat="1" ht="12" hidden="1" customHeight="1" outlineLevel="2">
      <c r="B269" s="245"/>
      <c r="C269" s="250" t="s">
        <v>754</v>
      </c>
      <c r="D269" s="250"/>
      <c r="E269" s="213"/>
      <c r="F269" s="211">
        <f>INDEX($C$199:$AN$221,MATCH("New Customers 1MS",$C$199:$C$221,0),MATCH($C269,$C$199:$AN$199,0))</f>
        <v>1</v>
      </c>
      <c r="G269" s="211">
        <f t="shared" ref="G269:AN269" si="177">$F$269*(E266)</f>
        <v>7.0000000000000007E-2</v>
      </c>
      <c r="H269" s="211">
        <f t="shared" si="177"/>
        <v>7.0000000000000007E-2</v>
      </c>
      <c r="I269" s="211">
        <f t="shared" si="177"/>
        <v>7.0000000000000007E-2</v>
      </c>
      <c r="J269" s="211">
        <f t="shared" si="177"/>
        <v>0.06</v>
      </c>
      <c r="K269" s="211">
        <f t="shared" si="177"/>
        <v>0.06</v>
      </c>
      <c r="L269" s="211">
        <f t="shared" si="177"/>
        <v>0.06</v>
      </c>
      <c r="M269" s="211">
        <f t="shared" si="177"/>
        <v>0.05</v>
      </c>
      <c r="N269" s="211">
        <f t="shared" si="177"/>
        <v>0.05</v>
      </c>
      <c r="O269" s="211">
        <f t="shared" si="177"/>
        <v>0.05</v>
      </c>
      <c r="P269" s="211">
        <f t="shared" si="177"/>
        <v>0.04</v>
      </c>
      <c r="Q269" s="211">
        <f t="shared" si="177"/>
        <v>0.04</v>
      </c>
      <c r="R269" s="211">
        <f t="shared" si="177"/>
        <v>0.04</v>
      </c>
      <c r="S269" s="211">
        <f t="shared" si="177"/>
        <v>0.03</v>
      </c>
      <c r="T269" s="211">
        <f t="shared" si="177"/>
        <v>0.03</v>
      </c>
      <c r="U269" s="211">
        <f t="shared" si="177"/>
        <v>0.03</v>
      </c>
      <c r="V269" s="211">
        <f t="shared" si="177"/>
        <v>0.02</v>
      </c>
      <c r="W269" s="211">
        <f t="shared" si="177"/>
        <v>0.02</v>
      </c>
      <c r="X269" s="211">
        <f t="shared" si="177"/>
        <v>0.02</v>
      </c>
      <c r="Y269" s="211">
        <f t="shared" si="177"/>
        <v>0.01</v>
      </c>
      <c r="Z269" s="211">
        <f t="shared" si="177"/>
        <v>0.01</v>
      </c>
      <c r="AA269" s="211">
        <f t="shared" si="177"/>
        <v>0.01</v>
      </c>
      <c r="AB269" s="211">
        <f t="shared" si="177"/>
        <v>0.01</v>
      </c>
      <c r="AC269" s="211">
        <f t="shared" si="177"/>
        <v>0.01</v>
      </c>
      <c r="AD269" s="211">
        <f t="shared" si="177"/>
        <v>0.01</v>
      </c>
      <c r="AE269" s="211">
        <f t="shared" si="177"/>
        <v>0.01</v>
      </c>
      <c r="AF269" s="211">
        <f t="shared" si="177"/>
        <v>0.01</v>
      </c>
      <c r="AG269" s="211">
        <f t="shared" si="177"/>
        <v>0.01</v>
      </c>
      <c r="AH269" s="211">
        <f t="shared" si="177"/>
        <v>0.01</v>
      </c>
      <c r="AI269" s="211">
        <f t="shared" si="177"/>
        <v>0.01</v>
      </c>
      <c r="AJ269" s="211">
        <f t="shared" si="177"/>
        <v>0.01</v>
      </c>
      <c r="AK269" s="211">
        <f t="shared" si="177"/>
        <v>0.01</v>
      </c>
      <c r="AL269" s="211">
        <f t="shared" si="177"/>
        <v>0.01</v>
      </c>
      <c r="AM269" s="211">
        <f t="shared" si="177"/>
        <v>0.01</v>
      </c>
      <c r="AN269" s="211">
        <f t="shared" si="177"/>
        <v>0.01</v>
      </c>
    </row>
    <row r="270" spans="2:40" s="7" customFormat="1" ht="12" hidden="1" customHeight="1" outlineLevel="2">
      <c r="B270" s="245"/>
      <c r="C270" s="250" t="s">
        <v>755</v>
      </c>
      <c r="D270" s="250"/>
      <c r="E270" s="213"/>
      <c r="F270" s="213"/>
      <c r="G270" s="211">
        <f>INDEX($C$199:$AN$221,MATCH("New Customers 1MS",$C$199:$C$221,0),MATCH($C270,$C$199:$AN$199,0))</f>
        <v>0</v>
      </c>
      <c r="H270" s="211">
        <f t="shared" ref="H270:AN270" si="178">$G$270*(E266)</f>
        <v>0</v>
      </c>
      <c r="I270" s="211">
        <f t="shared" si="178"/>
        <v>0</v>
      </c>
      <c r="J270" s="211">
        <f t="shared" si="178"/>
        <v>0</v>
      </c>
      <c r="K270" s="211">
        <f t="shared" si="178"/>
        <v>0</v>
      </c>
      <c r="L270" s="211">
        <f t="shared" si="178"/>
        <v>0</v>
      </c>
      <c r="M270" s="211">
        <f t="shared" si="178"/>
        <v>0</v>
      </c>
      <c r="N270" s="211">
        <f t="shared" si="178"/>
        <v>0</v>
      </c>
      <c r="O270" s="211">
        <f t="shared" si="178"/>
        <v>0</v>
      </c>
      <c r="P270" s="211">
        <f t="shared" si="178"/>
        <v>0</v>
      </c>
      <c r="Q270" s="211">
        <f t="shared" si="178"/>
        <v>0</v>
      </c>
      <c r="R270" s="211">
        <f t="shared" si="178"/>
        <v>0</v>
      </c>
      <c r="S270" s="211">
        <f t="shared" si="178"/>
        <v>0</v>
      </c>
      <c r="T270" s="211">
        <f t="shared" si="178"/>
        <v>0</v>
      </c>
      <c r="U270" s="211">
        <f t="shared" si="178"/>
        <v>0</v>
      </c>
      <c r="V270" s="211">
        <f t="shared" si="178"/>
        <v>0</v>
      </c>
      <c r="W270" s="211">
        <f t="shared" si="178"/>
        <v>0</v>
      </c>
      <c r="X270" s="211">
        <f t="shared" si="178"/>
        <v>0</v>
      </c>
      <c r="Y270" s="211">
        <f t="shared" si="178"/>
        <v>0</v>
      </c>
      <c r="Z270" s="211">
        <f t="shared" si="178"/>
        <v>0</v>
      </c>
      <c r="AA270" s="211">
        <f t="shared" si="178"/>
        <v>0</v>
      </c>
      <c r="AB270" s="211">
        <f t="shared" si="178"/>
        <v>0</v>
      </c>
      <c r="AC270" s="211">
        <f t="shared" si="178"/>
        <v>0</v>
      </c>
      <c r="AD270" s="211">
        <f t="shared" si="178"/>
        <v>0</v>
      </c>
      <c r="AE270" s="211">
        <f t="shared" si="178"/>
        <v>0</v>
      </c>
      <c r="AF270" s="211">
        <f t="shared" si="178"/>
        <v>0</v>
      </c>
      <c r="AG270" s="211">
        <f t="shared" si="178"/>
        <v>0</v>
      </c>
      <c r="AH270" s="211">
        <f t="shared" si="178"/>
        <v>0</v>
      </c>
      <c r="AI270" s="211">
        <f t="shared" si="178"/>
        <v>0</v>
      </c>
      <c r="AJ270" s="211">
        <f t="shared" si="178"/>
        <v>0</v>
      </c>
      <c r="AK270" s="211">
        <f t="shared" si="178"/>
        <v>0</v>
      </c>
      <c r="AL270" s="211">
        <f t="shared" si="178"/>
        <v>0</v>
      </c>
      <c r="AM270" s="211">
        <f t="shared" si="178"/>
        <v>0</v>
      </c>
      <c r="AN270" s="211">
        <f t="shared" si="178"/>
        <v>0</v>
      </c>
    </row>
    <row r="271" spans="2:40" s="7" customFormat="1" ht="12" hidden="1" customHeight="1" outlineLevel="2">
      <c r="B271" s="245"/>
      <c r="C271" s="250" t="s">
        <v>756</v>
      </c>
      <c r="D271" s="250"/>
      <c r="E271" s="213"/>
      <c r="F271" s="213"/>
      <c r="G271" s="213"/>
      <c r="H271" s="211">
        <f>INDEX($C$199:$AN$221,MATCH("New Customers 1MS",$C$199:$C$221,0),MATCH($C271,$C$199:$AN$199,0))</f>
        <v>0</v>
      </c>
      <c r="I271" s="211">
        <f t="shared" ref="I271:AN271" si="179">$H$271*(E266)</f>
        <v>0</v>
      </c>
      <c r="J271" s="211">
        <f t="shared" si="179"/>
        <v>0</v>
      </c>
      <c r="K271" s="211">
        <f t="shared" si="179"/>
        <v>0</v>
      </c>
      <c r="L271" s="211">
        <f t="shared" si="179"/>
        <v>0</v>
      </c>
      <c r="M271" s="211">
        <f t="shared" si="179"/>
        <v>0</v>
      </c>
      <c r="N271" s="211">
        <f t="shared" si="179"/>
        <v>0</v>
      </c>
      <c r="O271" s="211">
        <f t="shared" si="179"/>
        <v>0</v>
      </c>
      <c r="P271" s="211">
        <f t="shared" si="179"/>
        <v>0</v>
      </c>
      <c r="Q271" s="211">
        <f t="shared" si="179"/>
        <v>0</v>
      </c>
      <c r="R271" s="211">
        <f t="shared" si="179"/>
        <v>0</v>
      </c>
      <c r="S271" s="211">
        <f t="shared" si="179"/>
        <v>0</v>
      </c>
      <c r="T271" s="211">
        <f t="shared" si="179"/>
        <v>0</v>
      </c>
      <c r="U271" s="211">
        <f t="shared" si="179"/>
        <v>0</v>
      </c>
      <c r="V271" s="211">
        <f t="shared" si="179"/>
        <v>0</v>
      </c>
      <c r="W271" s="211">
        <f t="shared" si="179"/>
        <v>0</v>
      </c>
      <c r="X271" s="211">
        <f t="shared" si="179"/>
        <v>0</v>
      </c>
      <c r="Y271" s="211">
        <f t="shared" si="179"/>
        <v>0</v>
      </c>
      <c r="Z271" s="211">
        <f t="shared" si="179"/>
        <v>0</v>
      </c>
      <c r="AA271" s="211">
        <f t="shared" si="179"/>
        <v>0</v>
      </c>
      <c r="AB271" s="211">
        <f t="shared" si="179"/>
        <v>0</v>
      </c>
      <c r="AC271" s="211">
        <f t="shared" si="179"/>
        <v>0</v>
      </c>
      <c r="AD271" s="211">
        <f t="shared" si="179"/>
        <v>0</v>
      </c>
      <c r="AE271" s="211">
        <f t="shared" si="179"/>
        <v>0</v>
      </c>
      <c r="AF271" s="211">
        <f t="shared" si="179"/>
        <v>0</v>
      </c>
      <c r="AG271" s="211">
        <f t="shared" si="179"/>
        <v>0</v>
      </c>
      <c r="AH271" s="211">
        <f t="shared" si="179"/>
        <v>0</v>
      </c>
      <c r="AI271" s="211">
        <f t="shared" si="179"/>
        <v>0</v>
      </c>
      <c r="AJ271" s="211">
        <f t="shared" si="179"/>
        <v>0</v>
      </c>
      <c r="AK271" s="211">
        <f t="shared" si="179"/>
        <v>0</v>
      </c>
      <c r="AL271" s="211">
        <f t="shared" si="179"/>
        <v>0</v>
      </c>
      <c r="AM271" s="211">
        <f t="shared" si="179"/>
        <v>0</v>
      </c>
      <c r="AN271" s="211">
        <f t="shared" si="179"/>
        <v>0</v>
      </c>
    </row>
    <row r="272" spans="2:40" s="7" customFormat="1" ht="12" hidden="1" customHeight="1" outlineLevel="2">
      <c r="B272" s="245"/>
      <c r="C272" s="250" t="s">
        <v>757</v>
      </c>
      <c r="D272" s="250"/>
      <c r="E272" s="213"/>
      <c r="F272" s="213"/>
      <c r="G272" s="213"/>
      <c r="H272" s="213"/>
      <c r="I272" s="211">
        <f>INDEX($C$199:$AN$221,MATCH("New Customers 1MS",$C$199:$C$221,0),MATCH($C272,$C$199:$AN$199,0))</f>
        <v>0</v>
      </c>
      <c r="J272" s="211">
        <f t="shared" ref="J272:AN272" si="180">$I$272*(E266)</f>
        <v>0</v>
      </c>
      <c r="K272" s="211">
        <f t="shared" si="180"/>
        <v>0</v>
      </c>
      <c r="L272" s="211">
        <f t="shared" si="180"/>
        <v>0</v>
      </c>
      <c r="M272" s="211">
        <f t="shared" si="180"/>
        <v>0</v>
      </c>
      <c r="N272" s="211">
        <f t="shared" si="180"/>
        <v>0</v>
      </c>
      <c r="O272" s="211">
        <f t="shared" si="180"/>
        <v>0</v>
      </c>
      <c r="P272" s="211">
        <f t="shared" si="180"/>
        <v>0</v>
      </c>
      <c r="Q272" s="211">
        <f t="shared" si="180"/>
        <v>0</v>
      </c>
      <c r="R272" s="211">
        <f t="shared" si="180"/>
        <v>0</v>
      </c>
      <c r="S272" s="211">
        <f t="shared" si="180"/>
        <v>0</v>
      </c>
      <c r="T272" s="211">
        <f t="shared" si="180"/>
        <v>0</v>
      </c>
      <c r="U272" s="211">
        <f t="shared" si="180"/>
        <v>0</v>
      </c>
      <c r="V272" s="211">
        <f t="shared" si="180"/>
        <v>0</v>
      </c>
      <c r="W272" s="211">
        <f t="shared" si="180"/>
        <v>0</v>
      </c>
      <c r="X272" s="211">
        <f t="shared" si="180"/>
        <v>0</v>
      </c>
      <c r="Y272" s="211">
        <f t="shared" si="180"/>
        <v>0</v>
      </c>
      <c r="Z272" s="211">
        <f t="shared" si="180"/>
        <v>0</v>
      </c>
      <c r="AA272" s="211">
        <f t="shared" si="180"/>
        <v>0</v>
      </c>
      <c r="AB272" s="211">
        <f t="shared" si="180"/>
        <v>0</v>
      </c>
      <c r="AC272" s="211">
        <f t="shared" si="180"/>
        <v>0</v>
      </c>
      <c r="AD272" s="211">
        <f t="shared" si="180"/>
        <v>0</v>
      </c>
      <c r="AE272" s="211">
        <f t="shared" si="180"/>
        <v>0</v>
      </c>
      <c r="AF272" s="211">
        <f t="shared" si="180"/>
        <v>0</v>
      </c>
      <c r="AG272" s="211">
        <f t="shared" si="180"/>
        <v>0</v>
      </c>
      <c r="AH272" s="211">
        <f t="shared" si="180"/>
        <v>0</v>
      </c>
      <c r="AI272" s="211">
        <f t="shared" si="180"/>
        <v>0</v>
      </c>
      <c r="AJ272" s="211">
        <f t="shared" si="180"/>
        <v>0</v>
      </c>
      <c r="AK272" s="211">
        <f t="shared" si="180"/>
        <v>0</v>
      </c>
      <c r="AL272" s="211">
        <f t="shared" si="180"/>
        <v>0</v>
      </c>
      <c r="AM272" s="211">
        <f t="shared" si="180"/>
        <v>0</v>
      </c>
      <c r="AN272" s="211">
        <f t="shared" si="180"/>
        <v>0</v>
      </c>
    </row>
    <row r="273" spans="2:40" s="7" customFormat="1" ht="12" hidden="1" customHeight="1" outlineLevel="2">
      <c r="B273" s="245"/>
      <c r="C273" s="250" t="s">
        <v>758</v>
      </c>
      <c r="D273" s="250"/>
      <c r="E273" s="213"/>
      <c r="F273" s="213"/>
      <c r="G273" s="213"/>
      <c r="H273" s="213"/>
      <c r="I273" s="213"/>
      <c r="J273" s="211">
        <f>INDEX($C$199:$AN$221,MATCH("New Customers 1MS",$C$199:$C$221,0),MATCH($C273,$C$199:$AN$199,0))</f>
        <v>1.0000000000000013</v>
      </c>
      <c r="K273" s="211">
        <f t="shared" ref="K273:AN273" si="181">$J$273*(E266)</f>
        <v>7.0000000000000104E-2</v>
      </c>
      <c r="L273" s="211">
        <f t="shared" si="181"/>
        <v>7.0000000000000104E-2</v>
      </c>
      <c r="M273" s="211">
        <f t="shared" si="181"/>
        <v>7.0000000000000104E-2</v>
      </c>
      <c r="N273" s="211">
        <f t="shared" si="181"/>
        <v>6.0000000000000081E-2</v>
      </c>
      <c r="O273" s="211">
        <f t="shared" si="181"/>
        <v>6.0000000000000081E-2</v>
      </c>
      <c r="P273" s="211">
        <f t="shared" si="181"/>
        <v>6.0000000000000081E-2</v>
      </c>
      <c r="Q273" s="211">
        <f t="shared" si="181"/>
        <v>5.0000000000000072E-2</v>
      </c>
      <c r="R273" s="211">
        <f t="shared" si="181"/>
        <v>5.0000000000000072E-2</v>
      </c>
      <c r="S273" s="211">
        <f t="shared" si="181"/>
        <v>5.0000000000000072E-2</v>
      </c>
      <c r="T273" s="211">
        <f t="shared" si="181"/>
        <v>4.0000000000000056E-2</v>
      </c>
      <c r="U273" s="211">
        <f t="shared" si="181"/>
        <v>4.0000000000000056E-2</v>
      </c>
      <c r="V273" s="211">
        <f t="shared" si="181"/>
        <v>4.0000000000000056E-2</v>
      </c>
      <c r="W273" s="211">
        <f t="shared" si="181"/>
        <v>3.0000000000000041E-2</v>
      </c>
      <c r="X273" s="211">
        <f t="shared" si="181"/>
        <v>3.0000000000000041E-2</v>
      </c>
      <c r="Y273" s="211">
        <f t="shared" si="181"/>
        <v>3.0000000000000041E-2</v>
      </c>
      <c r="Z273" s="211">
        <f t="shared" si="181"/>
        <v>2.0000000000000028E-2</v>
      </c>
      <c r="AA273" s="211">
        <f t="shared" si="181"/>
        <v>2.0000000000000028E-2</v>
      </c>
      <c r="AB273" s="211">
        <f t="shared" si="181"/>
        <v>2.0000000000000028E-2</v>
      </c>
      <c r="AC273" s="211">
        <f t="shared" si="181"/>
        <v>1.0000000000000014E-2</v>
      </c>
      <c r="AD273" s="211">
        <f t="shared" si="181"/>
        <v>1.0000000000000014E-2</v>
      </c>
      <c r="AE273" s="211">
        <f t="shared" si="181"/>
        <v>1.0000000000000014E-2</v>
      </c>
      <c r="AF273" s="211">
        <f t="shared" si="181"/>
        <v>1.0000000000000014E-2</v>
      </c>
      <c r="AG273" s="211">
        <f t="shared" si="181"/>
        <v>1.0000000000000014E-2</v>
      </c>
      <c r="AH273" s="211">
        <f t="shared" si="181"/>
        <v>1.0000000000000014E-2</v>
      </c>
      <c r="AI273" s="211">
        <f t="shared" si="181"/>
        <v>1.0000000000000014E-2</v>
      </c>
      <c r="AJ273" s="211">
        <f t="shared" si="181"/>
        <v>1.0000000000000014E-2</v>
      </c>
      <c r="AK273" s="211">
        <f t="shared" si="181"/>
        <v>1.0000000000000014E-2</v>
      </c>
      <c r="AL273" s="211">
        <f t="shared" si="181"/>
        <v>1.0000000000000014E-2</v>
      </c>
      <c r="AM273" s="211">
        <f t="shared" si="181"/>
        <v>1.0000000000000014E-2</v>
      </c>
      <c r="AN273" s="211">
        <f t="shared" si="181"/>
        <v>1.0000000000000014E-2</v>
      </c>
    </row>
    <row r="274" spans="2:40" s="7" customFormat="1" ht="12" hidden="1" customHeight="1" outlineLevel="2">
      <c r="B274" s="245"/>
      <c r="C274" s="250" t="s">
        <v>759</v>
      </c>
      <c r="D274" s="250"/>
      <c r="E274" s="213"/>
      <c r="F274" s="213"/>
      <c r="G274" s="213"/>
      <c r="H274" s="213"/>
      <c r="I274" s="213"/>
      <c r="J274" s="213"/>
      <c r="K274" s="211">
        <f>INDEX($C$199:$AN$221,MATCH("New Customers 1MS",$C$199:$C$221,0),MATCH($C274,$C$199:$AN$199,0))</f>
        <v>1.9245283018867925</v>
      </c>
      <c r="L274" s="211">
        <f t="shared" ref="L274:AN274" si="182">$K$274*(E266)</f>
        <v>0.13471698113207548</v>
      </c>
      <c r="M274" s="211">
        <f t="shared" si="182"/>
        <v>0.13471698113207548</v>
      </c>
      <c r="N274" s="211">
        <f t="shared" si="182"/>
        <v>0.13471698113207548</v>
      </c>
      <c r="O274" s="211">
        <f t="shared" si="182"/>
        <v>0.11547169811320754</v>
      </c>
      <c r="P274" s="211">
        <f t="shared" si="182"/>
        <v>0.11547169811320754</v>
      </c>
      <c r="Q274" s="211">
        <f t="shared" si="182"/>
        <v>0.11547169811320754</v>
      </c>
      <c r="R274" s="211">
        <f t="shared" si="182"/>
        <v>9.6226415094339629E-2</v>
      </c>
      <c r="S274" s="211">
        <f t="shared" si="182"/>
        <v>9.6226415094339629E-2</v>
      </c>
      <c r="T274" s="211">
        <f t="shared" si="182"/>
        <v>9.6226415094339629E-2</v>
      </c>
      <c r="U274" s="211">
        <f t="shared" si="182"/>
        <v>7.6981132075471706E-2</v>
      </c>
      <c r="V274" s="211">
        <f t="shared" si="182"/>
        <v>7.6981132075471706E-2</v>
      </c>
      <c r="W274" s="211">
        <f t="shared" si="182"/>
        <v>7.6981132075471706E-2</v>
      </c>
      <c r="X274" s="211">
        <f t="shared" si="182"/>
        <v>5.7735849056603769E-2</v>
      </c>
      <c r="Y274" s="211">
        <f t="shared" si="182"/>
        <v>5.7735849056603769E-2</v>
      </c>
      <c r="Z274" s="211">
        <f t="shared" si="182"/>
        <v>5.7735849056603769E-2</v>
      </c>
      <c r="AA274" s="211">
        <f t="shared" si="182"/>
        <v>3.8490566037735853E-2</v>
      </c>
      <c r="AB274" s="211">
        <f t="shared" si="182"/>
        <v>3.8490566037735853E-2</v>
      </c>
      <c r="AC274" s="211">
        <f t="shared" si="182"/>
        <v>3.8490566037735853E-2</v>
      </c>
      <c r="AD274" s="211">
        <f t="shared" si="182"/>
        <v>1.9245283018867926E-2</v>
      </c>
      <c r="AE274" s="211">
        <f t="shared" si="182"/>
        <v>1.9245283018867926E-2</v>
      </c>
      <c r="AF274" s="211">
        <f t="shared" si="182"/>
        <v>1.9245283018867926E-2</v>
      </c>
      <c r="AG274" s="211">
        <f t="shared" si="182"/>
        <v>1.9245283018867926E-2</v>
      </c>
      <c r="AH274" s="211">
        <f t="shared" si="182"/>
        <v>1.9245283018867926E-2</v>
      </c>
      <c r="AI274" s="211">
        <f t="shared" si="182"/>
        <v>1.9245283018867926E-2</v>
      </c>
      <c r="AJ274" s="211">
        <f t="shared" si="182"/>
        <v>1.9245283018867926E-2</v>
      </c>
      <c r="AK274" s="211">
        <f t="shared" si="182"/>
        <v>1.9245283018867926E-2</v>
      </c>
      <c r="AL274" s="211">
        <f t="shared" si="182"/>
        <v>1.9245283018867926E-2</v>
      </c>
      <c r="AM274" s="211">
        <f t="shared" si="182"/>
        <v>1.9245283018867926E-2</v>
      </c>
      <c r="AN274" s="211">
        <f t="shared" si="182"/>
        <v>1.9245283018867926E-2</v>
      </c>
    </row>
    <row r="275" spans="2:40" s="7" customFormat="1" ht="12" hidden="1" customHeight="1" outlineLevel="2">
      <c r="B275" s="245"/>
      <c r="C275" s="250" t="s">
        <v>760</v>
      </c>
      <c r="D275" s="250"/>
      <c r="E275" s="213"/>
      <c r="F275" s="213"/>
      <c r="G275" s="346"/>
      <c r="H275" s="213"/>
      <c r="I275" s="213"/>
      <c r="J275" s="213"/>
      <c r="K275" s="213"/>
      <c r="L275" s="211">
        <f>INDEX($C$199:$AN$221,MATCH("New Customers 1MS",$C$199:$C$221,0),MATCH($C275,$C$199:$AN$199,0))</f>
        <v>0</v>
      </c>
      <c r="M275" s="211">
        <f t="shared" ref="M275:AN275" si="183">$L$275*(E266)</f>
        <v>0</v>
      </c>
      <c r="N275" s="211">
        <f t="shared" si="183"/>
        <v>0</v>
      </c>
      <c r="O275" s="211">
        <f t="shared" si="183"/>
        <v>0</v>
      </c>
      <c r="P275" s="211">
        <f t="shared" si="183"/>
        <v>0</v>
      </c>
      <c r="Q275" s="211">
        <f t="shared" si="183"/>
        <v>0</v>
      </c>
      <c r="R275" s="211">
        <f t="shared" si="183"/>
        <v>0</v>
      </c>
      <c r="S275" s="211">
        <f t="shared" si="183"/>
        <v>0</v>
      </c>
      <c r="T275" s="211">
        <f t="shared" si="183"/>
        <v>0</v>
      </c>
      <c r="U275" s="211">
        <f t="shared" si="183"/>
        <v>0</v>
      </c>
      <c r="V275" s="211">
        <f t="shared" si="183"/>
        <v>0</v>
      </c>
      <c r="W275" s="211">
        <f t="shared" si="183"/>
        <v>0</v>
      </c>
      <c r="X275" s="211">
        <f t="shared" si="183"/>
        <v>0</v>
      </c>
      <c r="Y275" s="211">
        <f t="shared" si="183"/>
        <v>0</v>
      </c>
      <c r="Z275" s="211">
        <f t="shared" si="183"/>
        <v>0</v>
      </c>
      <c r="AA275" s="211">
        <f t="shared" si="183"/>
        <v>0</v>
      </c>
      <c r="AB275" s="211">
        <f t="shared" si="183"/>
        <v>0</v>
      </c>
      <c r="AC275" s="211">
        <f t="shared" si="183"/>
        <v>0</v>
      </c>
      <c r="AD275" s="211">
        <f t="shared" si="183"/>
        <v>0</v>
      </c>
      <c r="AE275" s="211">
        <f t="shared" si="183"/>
        <v>0</v>
      </c>
      <c r="AF275" s="211">
        <f t="shared" si="183"/>
        <v>0</v>
      </c>
      <c r="AG275" s="211">
        <f t="shared" si="183"/>
        <v>0</v>
      </c>
      <c r="AH275" s="211">
        <f t="shared" si="183"/>
        <v>0</v>
      </c>
      <c r="AI275" s="211">
        <f t="shared" si="183"/>
        <v>0</v>
      </c>
      <c r="AJ275" s="211">
        <f t="shared" si="183"/>
        <v>0</v>
      </c>
      <c r="AK275" s="211">
        <f t="shared" si="183"/>
        <v>0</v>
      </c>
      <c r="AL275" s="211">
        <f t="shared" si="183"/>
        <v>0</v>
      </c>
      <c r="AM275" s="211">
        <f t="shared" si="183"/>
        <v>0</v>
      </c>
      <c r="AN275" s="211">
        <f t="shared" si="183"/>
        <v>0</v>
      </c>
    </row>
    <row r="276" spans="2:40" s="7" customFormat="1" ht="12" hidden="1" customHeight="1" outlineLevel="2">
      <c r="B276" s="245"/>
      <c r="C276" s="250" t="s">
        <v>761</v>
      </c>
      <c r="D276" s="250"/>
      <c r="E276" s="213"/>
      <c r="F276" s="213"/>
      <c r="G276" s="213"/>
      <c r="H276" s="213"/>
      <c r="I276" s="213"/>
      <c r="J276" s="213"/>
      <c r="K276" s="213"/>
      <c r="L276" s="213"/>
      <c r="M276" s="211">
        <f>INDEX($C$199:$AN$221,MATCH("New Customers 1MS",$C$199:$C$221,0),MATCH($C276,$C$199:$AN$199,0))</f>
        <v>3.5462592937433133</v>
      </c>
      <c r="N276" s="211">
        <f t="shared" ref="N276:AN276" si="184">$M$276*(E266)</f>
        <v>0.24823815056203194</v>
      </c>
      <c r="O276" s="211">
        <f t="shared" si="184"/>
        <v>0.24823815056203194</v>
      </c>
      <c r="P276" s="211">
        <f t="shared" si="184"/>
        <v>0.24823815056203194</v>
      </c>
      <c r="Q276" s="211">
        <f t="shared" si="184"/>
        <v>0.21277555762459879</v>
      </c>
      <c r="R276" s="211">
        <f t="shared" si="184"/>
        <v>0.21277555762459879</v>
      </c>
      <c r="S276" s="211">
        <f t="shared" si="184"/>
        <v>0.21277555762459879</v>
      </c>
      <c r="T276" s="211">
        <f t="shared" si="184"/>
        <v>0.17731296468716568</v>
      </c>
      <c r="U276" s="211">
        <f t="shared" si="184"/>
        <v>0.17731296468716568</v>
      </c>
      <c r="V276" s="211">
        <f t="shared" si="184"/>
        <v>0.17731296468716568</v>
      </c>
      <c r="W276" s="211">
        <f t="shared" si="184"/>
        <v>0.14185037174973253</v>
      </c>
      <c r="X276" s="211">
        <f t="shared" si="184"/>
        <v>0.14185037174973253</v>
      </c>
      <c r="Y276" s="211">
        <f t="shared" si="184"/>
        <v>0.14185037174973253</v>
      </c>
      <c r="Z276" s="211">
        <f t="shared" si="184"/>
        <v>0.1063877788122994</v>
      </c>
      <c r="AA276" s="211">
        <f t="shared" si="184"/>
        <v>0.1063877788122994</v>
      </c>
      <c r="AB276" s="211">
        <f t="shared" si="184"/>
        <v>0.1063877788122994</v>
      </c>
      <c r="AC276" s="211">
        <f t="shared" si="184"/>
        <v>7.0925185874866264E-2</v>
      </c>
      <c r="AD276" s="211">
        <f t="shared" si="184"/>
        <v>7.0925185874866264E-2</v>
      </c>
      <c r="AE276" s="211">
        <f t="shared" si="184"/>
        <v>7.0925185874866264E-2</v>
      </c>
      <c r="AF276" s="211">
        <f t="shared" si="184"/>
        <v>3.5462592937433132E-2</v>
      </c>
      <c r="AG276" s="211">
        <f t="shared" si="184"/>
        <v>3.5462592937433132E-2</v>
      </c>
      <c r="AH276" s="211">
        <f t="shared" si="184"/>
        <v>3.5462592937433132E-2</v>
      </c>
      <c r="AI276" s="211">
        <f t="shared" si="184"/>
        <v>3.5462592937433132E-2</v>
      </c>
      <c r="AJ276" s="211">
        <f t="shared" si="184"/>
        <v>3.5462592937433132E-2</v>
      </c>
      <c r="AK276" s="211">
        <f t="shared" si="184"/>
        <v>3.5462592937433132E-2</v>
      </c>
      <c r="AL276" s="211">
        <f t="shared" si="184"/>
        <v>3.5462592937433132E-2</v>
      </c>
      <c r="AM276" s="211">
        <f t="shared" si="184"/>
        <v>3.5462592937433132E-2</v>
      </c>
      <c r="AN276" s="211">
        <f t="shared" si="184"/>
        <v>3.5462592937433132E-2</v>
      </c>
    </row>
    <row r="277" spans="2:40" s="7" customFormat="1" ht="12" hidden="1" customHeight="1" outlineLevel="2">
      <c r="B277" s="245"/>
      <c r="C277" s="250" t="s">
        <v>762</v>
      </c>
      <c r="D277" s="250"/>
      <c r="E277" s="213"/>
      <c r="F277" s="213"/>
      <c r="G277" s="213"/>
      <c r="H277" s="213"/>
      <c r="I277" s="213"/>
      <c r="J277" s="213"/>
      <c r="K277" s="213"/>
      <c r="L277" s="213"/>
      <c r="M277" s="213"/>
      <c r="N277" s="211">
        <f>INDEX($C$199:$AN$221,MATCH("New Customers 1MS",$C$199:$C$221,0),MATCH($C277,$C$199:$AN$199,0))</f>
        <v>3.5462592937433133</v>
      </c>
      <c r="O277" s="211">
        <f t="shared" ref="O277:AN277" si="185">$N$277*(E266)</f>
        <v>0.24823815056203194</v>
      </c>
      <c r="P277" s="211">
        <f t="shared" si="185"/>
        <v>0.24823815056203194</v>
      </c>
      <c r="Q277" s="211">
        <f t="shared" si="185"/>
        <v>0.24823815056203194</v>
      </c>
      <c r="R277" s="211">
        <f t="shared" si="185"/>
        <v>0.21277555762459879</v>
      </c>
      <c r="S277" s="211">
        <f t="shared" si="185"/>
        <v>0.21277555762459879</v>
      </c>
      <c r="T277" s="211">
        <f t="shared" si="185"/>
        <v>0.21277555762459879</v>
      </c>
      <c r="U277" s="211">
        <f t="shared" si="185"/>
        <v>0.17731296468716568</v>
      </c>
      <c r="V277" s="211">
        <f t="shared" si="185"/>
        <v>0.17731296468716568</v>
      </c>
      <c r="W277" s="211">
        <f t="shared" si="185"/>
        <v>0.17731296468716568</v>
      </c>
      <c r="X277" s="211">
        <f t="shared" si="185"/>
        <v>0.14185037174973253</v>
      </c>
      <c r="Y277" s="211">
        <f t="shared" si="185"/>
        <v>0.14185037174973253</v>
      </c>
      <c r="Z277" s="211">
        <f t="shared" si="185"/>
        <v>0.14185037174973253</v>
      </c>
      <c r="AA277" s="211">
        <f t="shared" si="185"/>
        <v>0.1063877788122994</v>
      </c>
      <c r="AB277" s="211">
        <f t="shared" si="185"/>
        <v>0.1063877788122994</v>
      </c>
      <c r="AC277" s="211">
        <f t="shared" si="185"/>
        <v>0.1063877788122994</v>
      </c>
      <c r="AD277" s="211">
        <f t="shared" si="185"/>
        <v>7.0925185874866264E-2</v>
      </c>
      <c r="AE277" s="211">
        <f t="shared" si="185"/>
        <v>7.0925185874866264E-2</v>
      </c>
      <c r="AF277" s="211">
        <f t="shared" si="185"/>
        <v>7.0925185874866264E-2</v>
      </c>
      <c r="AG277" s="211">
        <f t="shared" si="185"/>
        <v>3.5462592937433132E-2</v>
      </c>
      <c r="AH277" s="211">
        <f t="shared" si="185"/>
        <v>3.5462592937433132E-2</v>
      </c>
      <c r="AI277" s="211">
        <f t="shared" si="185"/>
        <v>3.5462592937433132E-2</v>
      </c>
      <c r="AJ277" s="211">
        <f t="shared" si="185"/>
        <v>3.5462592937433132E-2</v>
      </c>
      <c r="AK277" s="211">
        <f t="shared" si="185"/>
        <v>3.5462592937433132E-2</v>
      </c>
      <c r="AL277" s="211">
        <f t="shared" si="185"/>
        <v>3.5462592937433132E-2</v>
      </c>
      <c r="AM277" s="211">
        <f t="shared" si="185"/>
        <v>3.5462592937433132E-2</v>
      </c>
      <c r="AN277" s="211">
        <f t="shared" si="185"/>
        <v>3.5462592937433132E-2</v>
      </c>
    </row>
    <row r="278" spans="2:40" s="7" customFormat="1" ht="12" hidden="1" customHeight="1" outlineLevel="2">
      <c r="B278" s="245"/>
      <c r="C278" s="250" t="s">
        <v>763</v>
      </c>
      <c r="D278" s="250"/>
      <c r="E278" s="213"/>
      <c r="F278" s="213"/>
      <c r="G278" s="213"/>
      <c r="H278" s="213"/>
      <c r="I278" s="213"/>
      <c r="J278" s="213"/>
      <c r="K278" s="213"/>
      <c r="L278" s="213"/>
      <c r="M278" s="213"/>
      <c r="N278" s="213"/>
      <c r="O278" s="211">
        <f>INDEX($C$199:$AN$221,MATCH("New Customers 1MS",$C$199:$C$221,0),MATCH($C278,$C$199:$AN$199,0))</f>
        <v>1.5198254116042773</v>
      </c>
      <c r="P278" s="211">
        <f t="shared" ref="P278:AN278" si="186">$O$278*(E266)</f>
        <v>0.10638777881229942</v>
      </c>
      <c r="Q278" s="211">
        <f t="shared" si="186"/>
        <v>0.10638777881229942</v>
      </c>
      <c r="R278" s="211">
        <f t="shared" si="186"/>
        <v>0.10638777881229942</v>
      </c>
      <c r="S278" s="211">
        <f t="shared" si="186"/>
        <v>9.118952469625663E-2</v>
      </c>
      <c r="T278" s="211">
        <f t="shared" si="186"/>
        <v>9.118952469625663E-2</v>
      </c>
      <c r="U278" s="211">
        <f t="shared" si="186"/>
        <v>9.118952469625663E-2</v>
      </c>
      <c r="V278" s="211">
        <f t="shared" si="186"/>
        <v>7.5991270580213877E-2</v>
      </c>
      <c r="W278" s="211">
        <f t="shared" si="186"/>
        <v>7.5991270580213877E-2</v>
      </c>
      <c r="X278" s="211">
        <f t="shared" si="186"/>
        <v>7.5991270580213877E-2</v>
      </c>
      <c r="Y278" s="211">
        <f t="shared" si="186"/>
        <v>6.0793016464171096E-2</v>
      </c>
      <c r="Z278" s="211">
        <f t="shared" si="186"/>
        <v>6.0793016464171096E-2</v>
      </c>
      <c r="AA278" s="211">
        <f t="shared" si="186"/>
        <v>6.0793016464171096E-2</v>
      </c>
      <c r="AB278" s="211">
        <f t="shared" si="186"/>
        <v>4.5594762348128315E-2</v>
      </c>
      <c r="AC278" s="211">
        <f t="shared" si="186"/>
        <v>4.5594762348128315E-2</v>
      </c>
      <c r="AD278" s="211">
        <f t="shared" si="186"/>
        <v>4.5594762348128315E-2</v>
      </c>
      <c r="AE278" s="211">
        <f t="shared" si="186"/>
        <v>3.0396508232085548E-2</v>
      </c>
      <c r="AF278" s="211">
        <f t="shared" si="186"/>
        <v>3.0396508232085548E-2</v>
      </c>
      <c r="AG278" s="211">
        <f t="shared" si="186"/>
        <v>3.0396508232085548E-2</v>
      </c>
      <c r="AH278" s="211">
        <f t="shared" si="186"/>
        <v>1.5198254116042774E-2</v>
      </c>
      <c r="AI278" s="211">
        <f t="shared" si="186"/>
        <v>1.5198254116042774E-2</v>
      </c>
      <c r="AJ278" s="211">
        <f t="shared" si="186"/>
        <v>1.5198254116042774E-2</v>
      </c>
      <c r="AK278" s="211">
        <f t="shared" si="186"/>
        <v>1.5198254116042774E-2</v>
      </c>
      <c r="AL278" s="211">
        <f t="shared" si="186"/>
        <v>1.5198254116042774E-2</v>
      </c>
      <c r="AM278" s="211">
        <f t="shared" si="186"/>
        <v>1.5198254116042774E-2</v>
      </c>
      <c r="AN278" s="211">
        <f t="shared" si="186"/>
        <v>1.5198254116042774E-2</v>
      </c>
    </row>
    <row r="279" spans="2:40" s="7" customFormat="1" ht="12" hidden="1" customHeight="1" outlineLevel="2">
      <c r="B279" s="245"/>
      <c r="C279" s="250" t="s">
        <v>764</v>
      </c>
      <c r="D279" s="250"/>
      <c r="E279" s="213"/>
      <c r="F279" s="213"/>
      <c r="G279" s="213"/>
      <c r="H279" s="213"/>
      <c r="I279" s="213"/>
      <c r="J279" s="213"/>
      <c r="K279" s="213"/>
      <c r="L279" s="213"/>
      <c r="M279" s="213"/>
      <c r="N279" s="213"/>
      <c r="O279" s="213"/>
      <c r="P279" s="211">
        <f>INDEX($C$199:$AN$221,MATCH("New Customers 1MS",$C$199:$C$221,0),MATCH($C279,$C$199:$AN$199,0))</f>
        <v>1.5198254116042773</v>
      </c>
      <c r="Q279" s="211">
        <f t="shared" ref="Q279:AN279" si="187">$P$279*(E266)</f>
        <v>0.10638777881229942</v>
      </c>
      <c r="R279" s="211">
        <f t="shared" si="187"/>
        <v>0.10638777881229942</v>
      </c>
      <c r="S279" s="211">
        <f t="shared" si="187"/>
        <v>0.10638777881229942</v>
      </c>
      <c r="T279" s="211">
        <f t="shared" si="187"/>
        <v>9.118952469625663E-2</v>
      </c>
      <c r="U279" s="211">
        <f t="shared" si="187"/>
        <v>9.118952469625663E-2</v>
      </c>
      <c r="V279" s="211">
        <f t="shared" si="187"/>
        <v>9.118952469625663E-2</v>
      </c>
      <c r="W279" s="211">
        <f t="shared" si="187"/>
        <v>7.5991270580213877E-2</v>
      </c>
      <c r="X279" s="211">
        <f t="shared" si="187"/>
        <v>7.5991270580213877E-2</v>
      </c>
      <c r="Y279" s="211">
        <f t="shared" si="187"/>
        <v>7.5991270580213877E-2</v>
      </c>
      <c r="Z279" s="211">
        <f t="shared" si="187"/>
        <v>6.0793016464171096E-2</v>
      </c>
      <c r="AA279" s="211">
        <f t="shared" si="187"/>
        <v>6.0793016464171096E-2</v>
      </c>
      <c r="AB279" s="211">
        <f t="shared" si="187"/>
        <v>6.0793016464171096E-2</v>
      </c>
      <c r="AC279" s="211">
        <f t="shared" si="187"/>
        <v>4.5594762348128315E-2</v>
      </c>
      <c r="AD279" s="211">
        <f t="shared" si="187"/>
        <v>4.5594762348128315E-2</v>
      </c>
      <c r="AE279" s="211">
        <f t="shared" si="187"/>
        <v>4.5594762348128315E-2</v>
      </c>
      <c r="AF279" s="211">
        <f t="shared" si="187"/>
        <v>3.0396508232085548E-2</v>
      </c>
      <c r="AG279" s="211">
        <f t="shared" si="187"/>
        <v>3.0396508232085548E-2</v>
      </c>
      <c r="AH279" s="211">
        <f t="shared" si="187"/>
        <v>3.0396508232085548E-2</v>
      </c>
      <c r="AI279" s="211">
        <f t="shared" si="187"/>
        <v>1.5198254116042774E-2</v>
      </c>
      <c r="AJ279" s="211">
        <f t="shared" si="187"/>
        <v>1.5198254116042774E-2</v>
      </c>
      <c r="AK279" s="211">
        <f t="shared" si="187"/>
        <v>1.5198254116042774E-2</v>
      </c>
      <c r="AL279" s="211">
        <f t="shared" si="187"/>
        <v>1.5198254116042774E-2</v>
      </c>
      <c r="AM279" s="211">
        <f t="shared" si="187"/>
        <v>1.5198254116042774E-2</v>
      </c>
      <c r="AN279" s="211">
        <f t="shared" si="187"/>
        <v>1.5198254116042774E-2</v>
      </c>
    </row>
    <row r="280" spans="2:40" s="7" customFormat="1" ht="12" hidden="1" customHeight="1" outlineLevel="2">
      <c r="B280" s="245"/>
      <c r="C280" s="250" t="s">
        <v>765</v>
      </c>
      <c r="D280" s="250"/>
      <c r="E280" s="213"/>
      <c r="F280" s="213"/>
      <c r="G280" s="213"/>
      <c r="H280" s="213"/>
      <c r="I280" s="213"/>
      <c r="J280" s="213"/>
      <c r="K280" s="213"/>
      <c r="L280" s="213"/>
      <c r="M280" s="213"/>
      <c r="N280" s="213"/>
      <c r="O280" s="213"/>
      <c r="P280" s="213"/>
      <c r="Q280" s="211">
        <f>INDEX($C$199:$AN$221,MATCH("New Customers 1MS",$C$199:$C$221,0),MATCH($C280,$C$199:$AN$199,0))</f>
        <v>3.1245178741925375</v>
      </c>
      <c r="R280" s="211">
        <f t="shared" ref="R280:AN280" si="188">$Q$280*(E266)</f>
        <v>0.21871625119347765</v>
      </c>
      <c r="S280" s="211">
        <f t="shared" si="188"/>
        <v>0.21871625119347765</v>
      </c>
      <c r="T280" s="211">
        <f t="shared" si="188"/>
        <v>0.21871625119347765</v>
      </c>
      <c r="U280" s="211">
        <f t="shared" si="188"/>
        <v>0.18747107245155223</v>
      </c>
      <c r="V280" s="211">
        <f t="shared" si="188"/>
        <v>0.18747107245155223</v>
      </c>
      <c r="W280" s="211">
        <f t="shared" si="188"/>
        <v>0.18747107245155223</v>
      </c>
      <c r="X280" s="211">
        <f t="shared" si="188"/>
        <v>0.15622589370962689</v>
      </c>
      <c r="Y280" s="211">
        <f t="shared" si="188"/>
        <v>0.15622589370962689</v>
      </c>
      <c r="Z280" s="211">
        <f t="shared" si="188"/>
        <v>0.15622589370962689</v>
      </c>
      <c r="AA280" s="211">
        <f t="shared" si="188"/>
        <v>0.1249807149677015</v>
      </c>
      <c r="AB280" s="211">
        <f t="shared" si="188"/>
        <v>0.1249807149677015</v>
      </c>
      <c r="AC280" s="211">
        <f t="shared" si="188"/>
        <v>0.1249807149677015</v>
      </c>
      <c r="AD280" s="211">
        <f t="shared" si="188"/>
        <v>9.3735536225776114E-2</v>
      </c>
      <c r="AE280" s="211">
        <f t="shared" si="188"/>
        <v>9.3735536225776114E-2</v>
      </c>
      <c r="AF280" s="211">
        <f t="shared" si="188"/>
        <v>9.3735536225776114E-2</v>
      </c>
      <c r="AG280" s="211">
        <f t="shared" si="188"/>
        <v>6.2490357483850748E-2</v>
      </c>
      <c r="AH280" s="211">
        <f t="shared" si="188"/>
        <v>6.2490357483850748E-2</v>
      </c>
      <c r="AI280" s="211">
        <f t="shared" si="188"/>
        <v>6.2490357483850748E-2</v>
      </c>
      <c r="AJ280" s="211">
        <f t="shared" si="188"/>
        <v>3.1245178741925374E-2</v>
      </c>
      <c r="AK280" s="211">
        <f t="shared" si="188"/>
        <v>3.1245178741925374E-2</v>
      </c>
      <c r="AL280" s="211">
        <f t="shared" si="188"/>
        <v>3.1245178741925374E-2</v>
      </c>
      <c r="AM280" s="211">
        <f t="shared" si="188"/>
        <v>3.1245178741925374E-2</v>
      </c>
      <c r="AN280" s="211">
        <f t="shared" si="188"/>
        <v>3.1245178741925374E-2</v>
      </c>
    </row>
    <row r="281" spans="2:40" s="7" customFormat="1" ht="12" hidden="1" customHeight="1" outlineLevel="2">
      <c r="B281" s="245"/>
      <c r="C281" s="250" t="s">
        <v>766</v>
      </c>
      <c r="D281" s="250"/>
      <c r="E281" s="213"/>
      <c r="F281" s="213"/>
      <c r="G281" s="213"/>
      <c r="H281" s="213"/>
      <c r="I281" s="213"/>
      <c r="J281" s="213"/>
      <c r="K281" s="213"/>
      <c r="L281" s="213"/>
      <c r="M281" s="213"/>
      <c r="N281" s="213"/>
      <c r="O281" s="213"/>
      <c r="P281" s="213"/>
      <c r="Q281" s="213"/>
      <c r="R281" s="211">
        <f>INDEX($C$199:$AN$221,MATCH("New Customers 1MS",$C$199:$C$221,0),MATCH($C281,$C$199:$AN$199,0))</f>
        <v>6.254750291932706</v>
      </c>
      <c r="S281" s="211">
        <f t="shared" ref="S281:AN281" si="189">$R$281*(E266)</f>
        <v>0.43783252043528947</v>
      </c>
      <c r="T281" s="211">
        <f t="shared" si="189"/>
        <v>0.43783252043528947</v>
      </c>
      <c r="U281" s="211">
        <f t="shared" si="189"/>
        <v>0.43783252043528947</v>
      </c>
      <c r="V281" s="211">
        <f t="shared" si="189"/>
        <v>0.37528501751596233</v>
      </c>
      <c r="W281" s="211">
        <f t="shared" si="189"/>
        <v>0.37528501751596233</v>
      </c>
      <c r="X281" s="211">
        <f t="shared" si="189"/>
        <v>0.37528501751596233</v>
      </c>
      <c r="Y281" s="211">
        <f t="shared" si="189"/>
        <v>0.31273751459663535</v>
      </c>
      <c r="Z281" s="211">
        <f t="shared" si="189"/>
        <v>0.31273751459663535</v>
      </c>
      <c r="AA281" s="211">
        <f t="shared" si="189"/>
        <v>0.31273751459663535</v>
      </c>
      <c r="AB281" s="211">
        <f t="shared" si="189"/>
        <v>0.25019001167730825</v>
      </c>
      <c r="AC281" s="211">
        <f t="shared" si="189"/>
        <v>0.25019001167730825</v>
      </c>
      <c r="AD281" s="211">
        <f t="shared" si="189"/>
        <v>0.25019001167730825</v>
      </c>
      <c r="AE281" s="211">
        <f t="shared" si="189"/>
        <v>0.18764250875798116</v>
      </c>
      <c r="AF281" s="211">
        <f t="shared" si="189"/>
        <v>0.18764250875798116</v>
      </c>
      <c r="AG281" s="211">
        <f t="shared" si="189"/>
        <v>0.18764250875798116</v>
      </c>
      <c r="AH281" s="211">
        <f t="shared" si="189"/>
        <v>0.12509500583865413</v>
      </c>
      <c r="AI281" s="211">
        <f t="shared" si="189"/>
        <v>0.12509500583865413</v>
      </c>
      <c r="AJ281" s="211">
        <f t="shared" si="189"/>
        <v>0.12509500583865413</v>
      </c>
      <c r="AK281" s="211">
        <f t="shared" si="189"/>
        <v>6.2547502919327064E-2</v>
      </c>
      <c r="AL281" s="211">
        <f t="shared" si="189"/>
        <v>6.2547502919327064E-2</v>
      </c>
      <c r="AM281" s="211">
        <f t="shared" si="189"/>
        <v>6.2547502919327064E-2</v>
      </c>
      <c r="AN281" s="211">
        <f t="shared" si="189"/>
        <v>6.2547502919327064E-2</v>
      </c>
    </row>
    <row r="282" spans="2:40" s="7" customFormat="1" ht="12" hidden="1" customHeight="1" outlineLevel="2">
      <c r="B282" s="245"/>
      <c r="C282" s="250" t="s">
        <v>767</v>
      </c>
      <c r="D282" s="250"/>
      <c r="E282" s="213"/>
      <c r="F282" s="213"/>
      <c r="G282" s="213"/>
      <c r="H282" s="213"/>
      <c r="I282" s="213"/>
      <c r="J282" s="213"/>
      <c r="K282" s="213"/>
      <c r="L282" s="213"/>
      <c r="M282" s="213"/>
      <c r="N282" s="213"/>
      <c r="O282" s="213"/>
      <c r="P282" s="213"/>
      <c r="Q282" s="213"/>
      <c r="R282" s="213"/>
      <c r="S282" s="211">
        <f>INDEX($C$199:$AN$221,MATCH("New Customers 1MS",$C$199:$C$221,0),MATCH($C282,$C$199:$AN$199,0))</f>
        <v>2.8651748659563836</v>
      </c>
      <c r="T282" s="211">
        <f t="shared" ref="T282:AN282" si="190">$S$282*(E266)</f>
        <v>0.20056224061694686</v>
      </c>
      <c r="U282" s="211">
        <f t="shared" si="190"/>
        <v>0.20056224061694686</v>
      </c>
      <c r="V282" s="211">
        <f t="shared" si="190"/>
        <v>0.20056224061694686</v>
      </c>
      <c r="W282" s="211">
        <f t="shared" si="190"/>
        <v>0.171910491957383</v>
      </c>
      <c r="X282" s="211">
        <f t="shared" si="190"/>
        <v>0.171910491957383</v>
      </c>
      <c r="Y282" s="211">
        <f t="shared" si="190"/>
        <v>0.171910491957383</v>
      </c>
      <c r="Z282" s="211">
        <f t="shared" si="190"/>
        <v>0.14325874329781918</v>
      </c>
      <c r="AA282" s="211">
        <f t="shared" si="190"/>
        <v>0.14325874329781918</v>
      </c>
      <c r="AB282" s="211">
        <f t="shared" si="190"/>
        <v>0.14325874329781918</v>
      </c>
      <c r="AC282" s="211">
        <f t="shared" si="190"/>
        <v>0.11460699463825534</v>
      </c>
      <c r="AD282" s="211">
        <f t="shared" si="190"/>
        <v>0.11460699463825534</v>
      </c>
      <c r="AE282" s="211">
        <f t="shared" si="190"/>
        <v>0.11460699463825534</v>
      </c>
      <c r="AF282" s="211">
        <f t="shared" si="190"/>
        <v>8.5955245978691502E-2</v>
      </c>
      <c r="AG282" s="211">
        <f t="shared" si="190"/>
        <v>8.5955245978691502E-2</v>
      </c>
      <c r="AH282" s="211">
        <f t="shared" si="190"/>
        <v>8.5955245978691502E-2</v>
      </c>
      <c r="AI282" s="211">
        <f t="shared" si="190"/>
        <v>5.7303497319127671E-2</v>
      </c>
      <c r="AJ282" s="211">
        <f t="shared" si="190"/>
        <v>5.7303497319127671E-2</v>
      </c>
      <c r="AK282" s="211">
        <f t="shared" si="190"/>
        <v>5.7303497319127671E-2</v>
      </c>
      <c r="AL282" s="211">
        <f t="shared" si="190"/>
        <v>2.8651748659563835E-2</v>
      </c>
      <c r="AM282" s="211">
        <f t="shared" si="190"/>
        <v>2.8651748659563835E-2</v>
      </c>
      <c r="AN282" s="211">
        <f t="shared" si="190"/>
        <v>2.8651748659563835E-2</v>
      </c>
    </row>
    <row r="283" spans="2:40" s="7" customFormat="1" ht="12" hidden="1" customHeight="1" outlineLevel="2">
      <c r="B283" s="245"/>
      <c r="C283" s="250" t="s">
        <v>768</v>
      </c>
      <c r="D283" s="250"/>
      <c r="E283" s="213"/>
      <c r="F283" s="213"/>
      <c r="G283" s="213"/>
      <c r="H283" s="213"/>
      <c r="I283" s="213"/>
      <c r="J283" s="213"/>
      <c r="K283" s="213"/>
      <c r="L283" s="213"/>
      <c r="M283" s="213"/>
      <c r="N283" s="213"/>
      <c r="O283" s="213"/>
      <c r="P283" s="213"/>
      <c r="Q283" s="213"/>
      <c r="R283" s="213"/>
      <c r="S283" s="213"/>
      <c r="T283" s="211">
        <f>INDEX($C$199:$AN$221,MATCH("New Customers 1MS",$C$199:$C$221,0),MATCH($C283,$C$199:$AN$199,0))</f>
        <v>2.1074405765775444</v>
      </c>
      <c r="U283" s="211">
        <f t="shared" ref="U283:AN283" si="191">$T$283*(E266)</f>
        <v>0.14752084036042812</v>
      </c>
      <c r="V283" s="211">
        <f t="shared" si="191"/>
        <v>0.14752084036042812</v>
      </c>
      <c r="W283" s="211">
        <f t="shared" si="191"/>
        <v>0.14752084036042812</v>
      </c>
      <c r="X283" s="211">
        <f t="shared" si="191"/>
        <v>0.12644643459465266</v>
      </c>
      <c r="Y283" s="211">
        <f t="shared" si="191"/>
        <v>0.12644643459465266</v>
      </c>
      <c r="Z283" s="211">
        <f t="shared" si="191"/>
        <v>0.12644643459465266</v>
      </c>
      <c r="AA283" s="211">
        <f t="shared" si="191"/>
        <v>0.10537202882887722</v>
      </c>
      <c r="AB283" s="211">
        <f t="shared" si="191"/>
        <v>0.10537202882887722</v>
      </c>
      <c r="AC283" s="211">
        <f t="shared" si="191"/>
        <v>0.10537202882887722</v>
      </c>
      <c r="AD283" s="211">
        <f t="shared" si="191"/>
        <v>8.4297623063101776E-2</v>
      </c>
      <c r="AE283" s="211">
        <f t="shared" si="191"/>
        <v>8.4297623063101776E-2</v>
      </c>
      <c r="AF283" s="211">
        <f t="shared" si="191"/>
        <v>8.4297623063101776E-2</v>
      </c>
      <c r="AG283" s="211">
        <f t="shared" si="191"/>
        <v>6.3223217297326328E-2</v>
      </c>
      <c r="AH283" s="211">
        <f t="shared" si="191"/>
        <v>6.3223217297326328E-2</v>
      </c>
      <c r="AI283" s="211">
        <f t="shared" si="191"/>
        <v>6.3223217297326328E-2</v>
      </c>
      <c r="AJ283" s="211">
        <f t="shared" si="191"/>
        <v>4.2148811531550888E-2</v>
      </c>
      <c r="AK283" s="211">
        <f t="shared" si="191"/>
        <v>4.2148811531550888E-2</v>
      </c>
      <c r="AL283" s="211">
        <f t="shared" si="191"/>
        <v>4.2148811531550888E-2</v>
      </c>
      <c r="AM283" s="211">
        <f t="shared" si="191"/>
        <v>2.1074405765775444E-2</v>
      </c>
      <c r="AN283" s="211">
        <f t="shared" si="191"/>
        <v>2.1074405765775444E-2</v>
      </c>
    </row>
    <row r="284" spans="2:40" s="7" customFormat="1" ht="12" hidden="1" customHeight="1" outlineLevel="2">
      <c r="B284" s="245"/>
      <c r="C284" s="250" t="s">
        <v>769</v>
      </c>
      <c r="D284" s="250"/>
      <c r="E284" s="213"/>
      <c r="F284" s="213"/>
      <c r="G284" s="213"/>
      <c r="H284" s="213"/>
      <c r="I284" s="213"/>
      <c r="J284" s="213"/>
      <c r="K284" s="213"/>
      <c r="L284" s="213"/>
      <c r="M284" s="213"/>
      <c r="N284" s="213"/>
      <c r="O284" s="213"/>
      <c r="P284" s="213"/>
      <c r="Q284" s="213"/>
      <c r="R284" s="213"/>
      <c r="S284" s="213"/>
      <c r="T284" s="213"/>
      <c r="U284" s="211">
        <f>INDEX($C$199:$AN$221,MATCH("New Customers 1MS",$C$199:$C$221,0),MATCH($C284,$C$199:$AN$199,0))</f>
        <v>2.1408260747857848</v>
      </c>
      <c r="V284" s="211">
        <f t="shared" ref="V284:AN284" si="192">$U$284*(E266)</f>
        <v>0.14985782523500496</v>
      </c>
      <c r="W284" s="211">
        <f t="shared" si="192"/>
        <v>0.14985782523500496</v>
      </c>
      <c r="X284" s="211">
        <f t="shared" si="192"/>
        <v>0.14985782523500496</v>
      </c>
      <c r="Y284" s="211">
        <f t="shared" si="192"/>
        <v>0.12844956448714709</v>
      </c>
      <c r="Z284" s="211">
        <f t="shared" si="192"/>
        <v>0.12844956448714709</v>
      </c>
      <c r="AA284" s="211">
        <f t="shared" si="192"/>
        <v>0.12844956448714709</v>
      </c>
      <c r="AB284" s="211">
        <f t="shared" si="192"/>
        <v>0.10704130373928925</v>
      </c>
      <c r="AC284" s="211">
        <f t="shared" si="192"/>
        <v>0.10704130373928925</v>
      </c>
      <c r="AD284" s="211">
        <f t="shared" si="192"/>
        <v>0.10704130373928925</v>
      </c>
      <c r="AE284" s="211">
        <f t="shared" si="192"/>
        <v>8.5633042991431388E-2</v>
      </c>
      <c r="AF284" s="211">
        <f t="shared" si="192"/>
        <v>8.5633042991431388E-2</v>
      </c>
      <c r="AG284" s="211">
        <f t="shared" si="192"/>
        <v>8.5633042991431388E-2</v>
      </c>
      <c r="AH284" s="211">
        <f t="shared" si="192"/>
        <v>6.4224782243573544E-2</v>
      </c>
      <c r="AI284" s="211">
        <f t="shared" si="192"/>
        <v>6.4224782243573544E-2</v>
      </c>
      <c r="AJ284" s="211">
        <f t="shared" si="192"/>
        <v>6.4224782243573544E-2</v>
      </c>
      <c r="AK284" s="211">
        <f t="shared" si="192"/>
        <v>4.2816521495715694E-2</v>
      </c>
      <c r="AL284" s="211">
        <f t="shared" si="192"/>
        <v>4.2816521495715694E-2</v>
      </c>
      <c r="AM284" s="211">
        <f t="shared" si="192"/>
        <v>4.2816521495715694E-2</v>
      </c>
      <c r="AN284" s="211">
        <f t="shared" si="192"/>
        <v>2.1408260747857847E-2</v>
      </c>
    </row>
    <row r="285" spans="2:40" s="7" customFormat="1" ht="12" hidden="1" customHeight="1" outlineLevel="2">
      <c r="B285" s="245"/>
      <c r="C285" s="250" t="s">
        <v>770</v>
      </c>
      <c r="D285" s="250"/>
      <c r="E285" s="213"/>
      <c r="F285" s="213"/>
      <c r="G285" s="213"/>
      <c r="H285" s="213"/>
      <c r="I285" s="213"/>
      <c r="J285" s="213"/>
      <c r="K285" s="213"/>
      <c r="L285" s="213"/>
      <c r="M285" s="213"/>
      <c r="N285" s="213"/>
      <c r="O285" s="213"/>
      <c r="P285" s="213"/>
      <c r="Q285" s="213"/>
      <c r="R285" s="213"/>
      <c r="S285" s="213"/>
      <c r="T285" s="213"/>
      <c r="U285" s="213"/>
      <c r="V285" s="211">
        <f>INDEX($C$199:$AN$221,MATCH("New Customers 1MS",$C$199:$C$221,0),MATCH($C285,$C$199:$AN$199,0))</f>
        <v>2.7577738702030148</v>
      </c>
      <c r="W285" s="211">
        <f t="shared" ref="W285:AN285" si="193">$V$285*(E266)</f>
        <v>0.19304417091421106</v>
      </c>
      <c r="X285" s="211">
        <f t="shared" si="193"/>
        <v>0.19304417091421106</v>
      </c>
      <c r="Y285" s="211">
        <f t="shared" si="193"/>
        <v>0.19304417091421106</v>
      </c>
      <c r="Z285" s="211">
        <f t="shared" si="193"/>
        <v>0.16546643221218088</v>
      </c>
      <c r="AA285" s="211">
        <f t="shared" si="193"/>
        <v>0.16546643221218088</v>
      </c>
      <c r="AB285" s="211">
        <f t="shared" si="193"/>
        <v>0.16546643221218088</v>
      </c>
      <c r="AC285" s="211">
        <f t="shared" si="193"/>
        <v>0.13788869351015073</v>
      </c>
      <c r="AD285" s="211">
        <f t="shared" si="193"/>
        <v>0.13788869351015073</v>
      </c>
      <c r="AE285" s="211">
        <f t="shared" si="193"/>
        <v>0.13788869351015073</v>
      </c>
      <c r="AF285" s="211">
        <f t="shared" si="193"/>
        <v>0.11031095480812059</v>
      </c>
      <c r="AG285" s="211">
        <f t="shared" si="193"/>
        <v>0.11031095480812059</v>
      </c>
      <c r="AH285" s="211">
        <f t="shared" si="193"/>
        <v>0.11031095480812059</v>
      </c>
      <c r="AI285" s="211">
        <f t="shared" si="193"/>
        <v>8.273321610609044E-2</v>
      </c>
      <c r="AJ285" s="211">
        <f t="shared" si="193"/>
        <v>8.273321610609044E-2</v>
      </c>
      <c r="AK285" s="211">
        <f t="shared" si="193"/>
        <v>8.273321610609044E-2</v>
      </c>
      <c r="AL285" s="211">
        <f t="shared" si="193"/>
        <v>5.5155477404060294E-2</v>
      </c>
      <c r="AM285" s="211">
        <f t="shared" si="193"/>
        <v>5.5155477404060294E-2</v>
      </c>
      <c r="AN285" s="211">
        <f t="shared" si="193"/>
        <v>5.5155477404060294E-2</v>
      </c>
    </row>
    <row r="286" spans="2:40" s="7" customFormat="1" ht="12" hidden="1" customHeight="1" outlineLevel="2">
      <c r="B286" s="245"/>
      <c r="C286" s="250" t="s">
        <v>771</v>
      </c>
      <c r="D286" s="250"/>
      <c r="E286" s="213"/>
      <c r="F286" s="213"/>
      <c r="G286" s="213"/>
      <c r="H286" s="213"/>
      <c r="I286" s="213"/>
      <c r="J286" s="213"/>
      <c r="K286" s="213"/>
      <c r="L286" s="213"/>
      <c r="M286" s="213"/>
      <c r="N286" s="213"/>
      <c r="O286" s="213"/>
      <c r="P286" s="213"/>
      <c r="Q286" s="213"/>
      <c r="R286" s="213"/>
      <c r="S286" s="213"/>
      <c r="T286" s="213"/>
      <c r="U286" s="213"/>
      <c r="V286" s="213"/>
      <c r="W286" s="211">
        <f>INDEX($C$199:$AN$221,MATCH("New Customers 1MS",$C$199:$C$221,0),MATCH($C286,$C$199:$AN$199,0))</f>
        <v>2.2449645119889099</v>
      </c>
      <c r="X286" s="211">
        <f t="shared" ref="X286:AN286" si="194">$W$286*(E266)</f>
        <v>0.15714751583922371</v>
      </c>
      <c r="Y286" s="211">
        <f t="shared" si="194"/>
        <v>0.15714751583922371</v>
      </c>
      <c r="Z286" s="211">
        <f t="shared" si="194"/>
        <v>0.15714751583922371</v>
      </c>
      <c r="AA286" s="211">
        <f t="shared" si="194"/>
        <v>0.13469787071933459</v>
      </c>
      <c r="AB286" s="211">
        <f t="shared" si="194"/>
        <v>0.13469787071933459</v>
      </c>
      <c r="AC286" s="211">
        <f t="shared" si="194"/>
        <v>0.13469787071933459</v>
      </c>
      <c r="AD286" s="211">
        <f t="shared" si="194"/>
        <v>0.1122482255994455</v>
      </c>
      <c r="AE286" s="211">
        <f t="shared" si="194"/>
        <v>0.1122482255994455</v>
      </c>
      <c r="AF286" s="211">
        <f t="shared" si="194"/>
        <v>0.1122482255994455</v>
      </c>
      <c r="AG286" s="211">
        <f t="shared" si="194"/>
        <v>8.9798580479556397E-2</v>
      </c>
      <c r="AH286" s="211">
        <f t="shared" si="194"/>
        <v>8.9798580479556397E-2</v>
      </c>
      <c r="AI286" s="211">
        <f t="shared" si="194"/>
        <v>8.9798580479556397E-2</v>
      </c>
      <c r="AJ286" s="211">
        <f t="shared" si="194"/>
        <v>6.7348935359667295E-2</v>
      </c>
      <c r="AK286" s="211">
        <f t="shared" si="194"/>
        <v>6.7348935359667295E-2</v>
      </c>
      <c r="AL286" s="211">
        <f t="shared" si="194"/>
        <v>6.7348935359667295E-2</v>
      </c>
      <c r="AM286" s="211">
        <f t="shared" si="194"/>
        <v>4.4899290239778199E-2</v>
      </c>
      <c r="AN286" s="211">
        <f t="shared" si="194"/>
        <v>4.4899290239778199E-2</v>
      </c>
    </row>
    <row r="287" spans="2:40" s="7" customFormat="1" ht="12" hidden="1" customHeight="1" outlineLevel="2">
      <c r="B287" s="245"/>
      <c r="C287" s="250" t="s">
        <v>772</v>
      </c>
      <c r="D287" s="250"/>
      <c r="E287" s="213"/>
      <c r="F287" s="213"/>
      <c r="G287" s="213"/>
      <c r="H287" s="213"/>
      <c r="I287" s="213"/>
      <c r="J287" s="213"/>
      <c r="K287" s="213"/>
      <c r="L287" s="213"/>
      <c r="M287" s="213"/>
      <c r="N287" s="213"/>
      <c r="O287" s="213"/>
      <c r="P287" s="213"/>
      <c r="Q287" s="213"/>
      <c r="R287" s="213"/>
      <c r="S287" s="213"/>
      <c r="T287" s="213"/>
      <c r="U287" s="213"/>
      <c r="V287" s="213"/>
      <c r="W287" s="213"/>
      <c r="X287" s="211">
        <f>INDEX($C$199:$AN$221,MATCH("New Customers 1MS",$C$199:$C$221,0),MATCH($C287,$C$199:$AN$199,0))</f>
        <v>1.93044170914211</v>
      </c>
      <c r="Y287" s="211">
        <f t="shared" ref="Y287:AN287" si="195">$X$287*(E266)</f>
        <v>0.13513091963994772</v>
      </c>
      <c r="Z287" s="211">
        <f t="shared" si="195"/>
        <v>0.13513091963994772</v>
      </c>
      <c r="AA287" s="211">
        <f t="shared" si="195"/>
        <v>0.13513091963994772</v>
      </c>
      <c r="AB287" s="211">
        <f t="shared" si="195"/>
        <v>0.1158265025485266</v>
      </c>
      <c r="AC287" s="211">
        <f t="shared" si="195"/>
        <v>0.1158265025485266</v>
      </c>
      <c r="AD287" s="211">
        <f t="shared" si="195"/>
        <v>0.1158265025485266</v>
      </c>
      <c r="AE287" s="211">
        <f t="shared" si="195"/>
        <v>9.65220854571055E-2</v>
      </c>
      <c r="AF287" s="211">
        <f t="shared" si="195"/>
        <v>9.65220854571055E-2</v>
      </c>
      <c r="AG287" s="211">
        <f t="shared" si="195"/>
        <v>9.65220854571055E-2</v>
      </c>
      <c r="AH287" s="211">
        <f t="shared" si="195"/>
        <v>7.7217668365684403E-2</v>
      </c>
      <c r="AI287" s="211">
        <f t="shared" si="195"/>
        <v>7.7217668365684403E-2</v>
      </c>
      <c r="AJ287" s="211">
        <f t="shared" si="195"/>
        <v>7.7217668365684403E-2</v>
      </c>
      <c r="AK287" s="211">
        <f t="shared" si="195"/>
        <v>5.7913251274263298E-2</v>
      </c>
      <c r="AL287" s="211">
        <f t="shared" si="195"/>
        <v>5.7913251274263298E-2</v>
      </c>
      <c r="AM287" s="211">
        <f t="shared" si="195"/>
        <v>5.7913251274263298E-2</v>
      </c>
      <c r="AN287" s="211">
        <f t="shared" si="195"/>
        <v>3.8608834182842201E-2</v>
      </c>
    </row>
    <row r="288" spans="2:40" s="7" customFormat="1" ht="12" hidden="1" customHeight="1" outlineLevel="2">
      <c r="B288" s="245"/>
      <c r="C288" s="250" t="s">
        <v>773</v>
      </c>
      <c r="D288" s="250"/>
      <c r="E288" s="213"/>
      <c r="F288" s="213"/>
      <c r="G288" s="213"/>
      <c r="H288" s="213"/>
      <c r="I288" s="213"/>
      <c r="J288" s="213"/>
      <c r="K288" s="213"/>
      <c r="L288" s="213"/>
      <c r="M288" s="213"/>
      <c r="N288" s="213"/>
      <c r="O288" s="213"/>
      <c r="P288" s="213"/>
      <c r="Q288" s="213"/>
      <c r="R288" s="213"/>
      <c r="S288" s="213"/>
      <c r="T288" s="213"/>
      <c r="U288" s="213"/>
      <c r="V288" s="213"/>
      <c r="W288" s="213"/>
      <c r="X288" s="213"/>
      <c r="Y288" s="211">
        <f>INDEX($C$199:$AN$221,MATCH("New Customers 1MS",$C$199:$C$221,0),MATCH($C288,$C$199:$AN$199,0))</f>
        <v>4.2555111524919758</v>
      </c>
      <c r="Z288" s="211">
        <f t="shared" ref="Z288:AN288" si="196">$Y$288*(E266)</f>
        <v>0.29788578067443833</v>
      </c>
      <c r="AA288" s="211">
        <f t="shared" si="196"/>
        <v>0.29788578067443833</v>
      </c>
      <c r="AB288" s="211">
        <f t="shared" si="196"/>
        <v>0.29788578067443833</v>
      </c>
      <c r="AC288" s="211">
        <f t="shared" si="196"/>
        <v>0.25533066914951852</v>
      </c>
      <c r="AD288" s="211">
        <f t="shared" si="196"/>
        <v>0.25533066914951852</v>
      </c>
      <c r="AE288" s="211">
        <f t="shared" si="196"/>
        <v>0.25533066914951852</v>
      </c>
      <c r="AF288" s="211">
        <f t="shared" si="196"/>
        <v>0.21277555762459879</v>
      </c>
      <c r="AG288" s="211">
        <f t="shared" si="196"/>
        <v>0.21277555762459879</v>
      </c>
      <c r="AH288" s="211">
        <f t="shared" si="196"/>
        <v>0.21277555762459879</v>
      </c>
      <c r="AI288" s="211">
        <f t="shared" si="196"/>
        <v>0.17022044609967904</v>
      </c>
      <c r="AJ288" s="211">
        <f t="shared" si="196"/>
        <v>0.17022044609967904</v>
      </c>
      <c r="AK288" s="211">
        <f t="shared" si="196"/>
        <v>0.17022044609967904</v>
      </c>
      <c r="AL288" s="211">
        <f t="shared" si="196"/>
        <v>0.12766533457475926</v>
      </c>
      <c r="AM288" s="211">
        <f t="shared" si="196"/>
        <v>0.12766533457475926</v>
      </c>
      <c r="AN288" s="211">
        <f t="shared" si="196"/>
        <v>0.12766533457475926</v>
      </c>
    </row>
    <row r="289" spans="2:40" s="7" customFormat="1" ht="12" hidden="1" customHeight="1" outlineLevel="2">
      <c r="B289" s="245"/>
      <c r="C289" s="250" t="s">
        <v>774</v>
      </c>
      <c r="D289" s="250"/>
      <c r="E289" s="213"/>
      <c r="F289" s="213"/>
      <c r="G289" s="213"/>
      <c r="H289" s="213"/>
      <c r="I289" s="213"/>
      <c r="J289" s="213"/>
      <c r="K289" s="213"/>
      <c r="L289" s="213"/>
      <c r="M289" s="213"/>
      <c r="N289" s="213"/>
      <c r="O289" s="213"/>
      <c r="P289" s="213"/>
      <c r="Q289" s="213"/>
      <c r="R289" s="213"/>
      <c r="S289" s="213"/>
      <c r="T289" s="213"/>
      <c r="U289" s="213"/>
      <c r="V289" s="213"/>
      <c r="W289" s="213"/>
      <c r="X289" s="213"/>
      <c r="Y289" s="213"/>
      <c r="Z289" s="211">
        <f>INDEX($C$199:$AN$221,MATCH("New Customers 1MS",$C$199:$C$221,0),MATCH($C289,$C$199:$AN$199,0))</f>
        <v>3.5462592937433133</v>
      </c>
      <c r="AA289" s="211">
        <f t="shared" ref="AA289:AN289" si="197">$Z$289*(E266)</f>
        <v>0.24823815056203194</v>
      </c>
      <c r="AB289" s="211">
        <f t="shared" si="197"/>
        <v>0.24823815056203194</v>
      </c>
      <c r="AC289" s="211">
        <f t="shared" si="197"/>
        <v>0.24823815056203194</v>
      </c>
      <c r="AD289" s="211">
        <f t="shared" si="197"/>
        <v>0.21277555762459879</v>
      </c>
      <c r="AE289" s="211">
        <f t="shared" si="197"/>
        <v>0.21277555762459879</v>
      </c>
      <c r="AF289" s="211">
        <f t="shared" si="197"/>
        <v>0.21277555762459879</v>
      </c>
      <c r="AG289" s="211">
        <f t="shared" si="197"/>
        <v>0.17731296468716568</v>
      </c>
      <c r="AH289" s="211">
        <f t="shared" si="197"/>
        <v>0.17731296468716568</v>
      </c>
      <c r="AI289" s="211">
        <f t="shared" si="197"/>
        <v>0.17731296468716568</v>
      </c>
      <c r="AJ289" s="211">
        <f t="shared" si="197"/>
        <v>0.14185037174973253</v>
      </c>
      <c r="AK289" s="211">
        <f t="shared" si="197"/>
        <v>0.14185037174973253</v>
      </c>
      <c r="AL289" s="211">
        <f t="shared" si="197"/>
        <v>0.14185037174973253</v>
      </c>
      <c r="AM289" s="211">
        <f t="shared" si="197"/>
        <v>0.1063877788122994</v>
      </c>
      <c r="AN289" s="211">
        <f t="shared" si="197"/>
        <v>0.1063877788122994</v>
      </c>
    </row>
    <row r="290" spans="2:40" s="7" customFormat="1" ht="12" hidden="1" customHeight="1" outlineLevel="2">
      <c r="B290" s="245"/>
      <c r="C290" s="250" t="s">
        <v>775</v>
      </c>
      <c r="D290" s="250"/>
      <c r="E290" s="213"/>
      <c r="F290" s="213"/>
      <c r="G290" s="213"/>
      <c r="H290" s="213"/>
      <c r="I290" s="213"/>
      <c r="J290" s="213"/>
      <c r="K290" s="213"/>
      <c r="L290" s="213"/>
      <c r="M290" s="213"/>
      <c r="N290" s="213"/>
      <c r="O290" s="213"/>
      <c r="P290" s="213"/>
      <c r="Q290" s="213"/>
      <c r="R290" s="213"/>
      <c r="S290" s="213"/>
      <c r="T290" s="213"/>
      <c r="U290" s="213"/>
      <c r="V290" s="213"/>
      <c r="W290" s="213"/>
      <c r="X290" s="213"/>
      <c r="Y290" s="213"/>
      <c r="Z290" s="213"/>
      <c r="AA290" s="211">
        <f>INDEX($C$199:$AN$221,MATCH("New Customers 1MS",$C$199:$C$221,0),MATCH($C290,$C$199:$AN$199,0))</f>
        <v>1.6718079527647047</v>
      </c>
      <c r="AB290" s="211">
        <f t="shared" ref="AB290:AN290" si="198">$AA$290*(E266)</f>
        <v>0.11702655669352935</v>
      </c>
      <c r="AC290" s="211">
        <f t="shared" si="198"/>
        <v>0.11702655669352935</v>
      </c>
      <c r="AD290" s="211">
        <f t="shared" si="198"/>
        <v>0.11702655669352935</v>
      </c>
      <c r="AE290" s="211">
        <f t="shared" si="198"/>
        <v>0.10030847716588227</v>
      </c>
      <c r="AF290" s="211">
        <f t="shared" si="198"/>
        <v>0.10030847716588227</v>
      </c>
      <c r="AG290" s="211">
        <f t="shared" si="198"/>
        <v>0.10030847716588227</v>
      </c>
      <c r="AH290" s="211">
        <f t="shared" si="198"/>
        <v>8.3590397638235239E-2</v>
      </c>
      <c r="AI290" s="211">
        <f t="shared" si="198"/>
        <v>8.3590397638235239E-2</v>
      </c>
      <c r="AJ290" s="211">
        <f t="shared" si="198"/>
        <v>8.3590397638235239E-2</v>
      </c>
      <c r="AK290" s="211">
        <f t="shared" si="198"/>
        <v>6.6872318110588191E-2</v>
      </c>
      <c r="AL290" s="211">
        <f t="shared" si="198"/>
        <v>6.6872318110588191E-2</v>
      </c>
      <c r="AM290" s="211">
        <f t="shared" si="198"/>
        <v>6.6872318110588191E-2</v>
      </c>
      <c r="AN290" s="211">
        <f t="shared" si="198"/>
        <v>5.0154238582941137E-2</v>
      </c>
    </row>
    <row r="291" spans="2:40" s="7" customFormat="1" ht="12" hidden="1" customHeight="1" outlineLevel="2">
      <c r="B291" s="245"/>
      <c r="C291" s="250" t="s">
        <v>776</v>
      </c>
      <c r="D291" s="250"/>
      <c r="E291" s="213"/>
      <c r="F291" s="213"/>
      <c r="G291" s="213"/>
      <c r="H291" s="213"/>
      <c r="I291" s="213"/>
      <c r="J291" s="213"/>
      <c r="K291" s="213"/>
      <c r="L291" s="213"/>
      <c r="M291" s="213"/>
      <c r="N291" s="213"/>
      <c r="O291" s="213"/>
      <c r="P291" s="213"/>
      <c r="Q291" s="213"/>
      <c r="R291" s="213"/>
      <c r="S291" s="213"/>
      <c r="T291" s="213"/>
      <c r="U291" s="213"/>
      <c r="V291" s="213"/>
      <c r="W291" s="213"/>
      <c r="X291" s="213"/>
      <c r="Y291" s="213"/>
      <c r="Z291" s="213"/>
      <c r="AA291" s="213"/>
      <c r="AB291" s="211">
        <f>INDEX($C$199:$AN$221,MATCH("New Customers 1MS",$C$199:$C$221,0),MATCH($C291,$C$199:$AN$199,0))</f>
        <v>1.9757730350855605</v>
      </c>
      <c r="AC291" s="211">
        <f t="shared" ref="AC291:AN291" si="199">$AB$291*(E266)</f>
        <v>0.13830411245598925</v>
      </c>
      <c r="AD291" s="211">
        <f t="shared" si="199"/>
        <v>0.13830411245598925</v>
      </c>
      <c r="AE291" s="211">
        <f t="shared" si="199"/>
        <v>0.13830411245598925</v>
      </c>
      <c r="AF291" s="211">
        <f t="shared" si="199"/>
        <v>0.11854638210513363</v>
      </c>
      <c r="AG291" s="211">
        <f t="shared" si="199"/>
        <v>0.11854638210513363</v>
      </c>
      <c r="AH291" s="211">
        <f t="shared" si="199"/>
        <v>0.11854638210513363</v>
      </c>
      <c r="AI291" s="211">
        <f t="shared" si="199"/>
        <v>9.8788651754278034E-2</v>
      </c>
      <c r="AJ291" s="211">
        <f t="shared" si="199"/>
        <v>9.8788651754278034E-2</v>
      </c>
      <c r="AK291" s="211">
        <f t="shared" si="199"/>
        <v>9.8788651754278034E-2</v>
      </c>
      <c r="AL291" s="211">
        <f t="shared" si="199"/>
        <v>7.9030921403422424E-2</v>
      </c>
      <c r="AM291" s="211">
        <f t="shared" si="199"/>
        <v>7.9030921403422424E-2</v>
      </c>
      <c r="AN291" s="211">
        <f t="shared" si="199"/>
        <v>7.9030921403422424E-2</v>
      </c>
    </row>
    <row r="292" spans="2:40" s="7" customFormat="1" ht="12" hidden="1" customHeight="1" outlineLevel="2">
      <c r="B292" s="245"/>
      <c r="C292" s="250" t="s">
        <v>777</v>
      </c>
      <c r="D292" s="250"/>
      <c r="E292" s="213"/>
      <c r="F292" s="213"/>
      <c r="G292" s="213"/>
      <c r="H292" s="213"/>
      <c r="I292" s="213"/>
      <c r="J292" s="213"/>
      <c r="K292" s="213"/>
      <c r="L292" s="213"/>
      <c r="M292" s="213"/>
      <c r="N292" s="213"/>
      <c r="O292" s="213"/>
      <c r="P292" s="213"/>
      <c r="Q292" s="213"/>
      <c r="R292" s="213"/>
      <c r="S292" s="213"/>
      <c r="T292" s="213"/>
      <c r="U292" s="213"/>
      <c r="V292" s="213"/>
      <c r="W292" s="213"/>
      <c r="X292" s="213"/>
      <c r="Y292" s="213"/>
      <c r="Z292" s="213"/>
      <c r="AA292" s="213"/>
      <c r="AB292" s="211"/>
      <c r="AC292" s="211">
        <f>INDEX($C$199:$AN$221,MATCH("New Customers 1MS",$C$199:$C$221,0),MATCH($C292,$C$199:$AN$199,0))</f>
        <v>1.8747107245155226</v>
      </c>
      <c r="AD292" s="211">
        <f t="shared" ref="AD292:AN292" si="200">$AC$292*(E266)</f>
        <v>0.13122975071608659</v>
      </c>
      <c r="AE292" s="211">
        <f t="shared" si="200"/>
        <v>0.13122975071608659</v>
      </c>
      <c r="AF292" s="211">
        <f t="shared" si="200"/>
        <v>0.13122975071608659</v>
      </c>
      <c r="AG292" s="211">
        <f t="shared" si="200"/>
        <v>0.11248264347093136</v>
      </c>
      <c r="AH292" s="211">
        <f t="shared" si="200"/>
        <v>0.11248264347093136</v>
      </c>
      <c r="AI292" s="211">
        <f t="shared" si="200"/>
        <v>0.11248264347093136</v>
      </c>
      <c r="AJ292" s="211">
        <f t="shared" si="200"/>
        <v>9.3735536225776128E-2</v>
      </c>
      <c r="AK292" s="211">
        <f t="shared" si="200"/>
        <v>9.3735536225776128E-2</v>
      </c>
      <c r="AL292" s="211">
        <f t="shared" si="200"/>
        <v>9.3735536225776128E-2</v>
      </c>
      <c r="AM292" s="211">
        <f t="shared" si="200"/>
        <v>7.49884289806209E-2</v>
      </c>
      <c r="AN292" s="211">
        <f t="shared" si="200"/>
        <v>7.49884289806209E-2</v>
      </c>
    </row>
    <row r="293" spans="2:40" s="7" customFormat="1" ht="12" hidden="1" customHeight="1" outlineLevel="2">
      <c r="B293" s="245"/>
      <c r="C293" s="250" t="s">
        <v>778</v>
      </c>
      <c r="D293" s="250"/>
      <c r="E293" s="213"/>
      <c r="F293" s="213"/>
      <c r="G293" s="213"/>
      <c r="H293" s="213"/>
      <c r="I293" s="213"/>
      <c r="J293" s="213"/>
      <c r="K293" s="213"/>
      <c r="L293" s="213"/>
      <c r="M293" s="213"/>
      <c r="N293" s="213"/>
      <c r="O293" s="213"/>
      <c r="P293" s="213"/>
      <c r="Q293" s="213"/>
      <c r="R293" s="213"/>
      <c r="S293" s="213"/>
      <c r="T293" s="213"/>
      <c r="U293" s="213"/>
      <c r="V293" s="213"/>
      <c r="W293" s="213"/>
      <c r="X293" s="213"/>
      <c r="Y293" s="213"/>
      <c r="Z293" s="213"/>
      <c r="AA293" s="213"/>
      <c r="AB293" s="211"/>
      <c r="AC293" s="211"/>
      <c r="AD293" s="211">
        <f>INDEX($C$199:$AN$221,MATCH("New Customers 1MS",$C$199:$C$221,0),MATCH($C293,$C$199:$AN$199,0))</f>
        <v>4.378325204352894</v>
      </c>
      <c r="AE293" s="211">
        <f t="shared" ref="AE293:AN293" si="201">$AD$293*(E266)</f>
        <v>0.30648276430470262</v>
      </c>
      <c r="AF293" s="211">
        <f t="shared" si="201"/>
        <v>0.30648276430470262</v>
      </c>
      <c r="AG293" s="211">
        <f t="shared" si="201"/>
        <v>0.30648276430470262</v>
      </c>
      <c r="AH293" s="211">
        <f t="shared" si="201"/>
        <v>0.26269951226117361</v>
      </c>
      <c r="AI293" s="211">
        <f t="shared" si="201"/>
        <v>0.26269951226117361</v>
      </c>
      <c r="AJ293" s="211">
        <f t="shared" si="201"/>
        <v>0.26269951226117361</v>
      </c>
      <c r="AK293" s="211">
        <f t="shared" si="201"/>
        <v>0.21891626021764471</v>
      </c>
      <c r="AL293" s="211">
        <f t="shared" si="201"/>
        <v>0.21891626021764471</v>
      </c>
      <c r="AM293" s="211">
        <f t="shared" si="201"/>
        <v>0.21891626021764471</v>
      </c>
      <c r="AN293" s="211">
        <f t="shared" si="201"/>
        <v>0.17513300817411576</v>
      </c>
    </row>
    <row r="294" spans="2:40" s="7" customFormat="1" ht="12" hidden="1" customHeight="1" outlineLevel="2">
      <c r="B294" s="245"/>
      <c r="C294" s="250" t="s">
        <v>779</v>
      </c>
      <c r="D294" s="250"/>
      <c r="E294" s="213"/>
      <c r="F294" s="213"/>
      <c r="G294" s="213"/>
      <c r="H294" s="213"/>
      <c r="I294" s="213"/>
      <c r="J294" s="213"/>
      <c r="K294" s="213"/>
      <c r="L294" s="213"/>
      <c r="M294" s="213"/>
      <c r="N294" s="213"/>
      <c r="O294" s="213"/>
      <c r="P294" s="213"/>
      <c r="Q294" s="213"/>
      <c r="R294" s="213"/>
      <c r="S294" s="213"/>
      <c r="T294" s="213"/>
      <c r="U294" s="213"/>
      <c r="V294" s="213"/>
      <c r="W294" s="213"/>
      <c r="X294" s="213"/>
      <c r="Y294" s="213"/>
      <c r="Z294" s="213"/>
      <c r="AA294" s="213"/>
      <c r="AB294" s="211"/>
      <c r="AC294" s="211"/>
      <c r="AD294" s="211"/>
      <c r="AE294" s="211">
        <f>INDEX($C$199:$AN$221,MATCH("New Customers 1MS",$C$199:$C$221,0),MATCH($C294,$C$199:$AN$199,0))</f>
        <v>2.8651748659563836</v>
      </c>
      <c r="AF294" s="211">
        <f t="shared" ref="AF294:AN294" si="202">$AE$294*(E266)</f>
        <v>0.20056224061694686</v>
      </c>
      <c r="AG294" s="211">
        <f t="shared" si="202"/>
        <v>0.20056224061694686</v>
      </c>
      <c r="AH294" s="211">
        <f t="shared" si="202"/>
        <v>0.20056224061694686</v>
      </c>
      <c r="AI294" s="211">
        <f t="shared" si="202"/>
        <v>0.171910491957383</v>
      </c>
      <c r="AJ294" s="211">
        <f t="shared" si="202"/>
        <v>0.171910491957383</v>
      </c>
      <c r="AK294" s="211">
        <f t="shared" si="202"/>
        <v>0.171910491957383</v>
      </c>
      <c r="AL294" s="211">
        <f t="shared" si="202"/>
        <v>0.14325874329781918</v>
      </c>
      <c r="AM294" s="211">
        <f t="shared" si="202"/>
        <v>0.14325874329781918</v>
      </c>
      <c r="AN294" s="211">
        <f t="shared" si="202"/>
        <v>0.14325874329781918</v>
      </c>
    </row>
    <row r="295" spans="2:40" s="7" customFormat="1" ht="12" hidden="1" customHeight="1" outlineLevel="2">
      <c r="B295" s="245"/>
      <c r="C295" s="250" t="s">
        <v>780</v>
      </c>
      <c r="D295" s="250"/>
      <c r="E295" s="213"/>
      <c r="F295" s="213"/>
      <c r="G295" s="213"/>
      <c r="H295" s="213"/>
      <c r="I295" s="213"/>
      <c r="J295" s="213"/>
      <c r="K295" s="213"/>
      <c r="L295" s="213"/>
      <c r="M295" s="213"/>
      <c r="N295" s="213"/>
      <c r="O295" s="213"/>
      <c r="P295" s="213"/>
      <c r="Q295" s="213"/>
      <c r="R295" s="213"/>
      <c r="S295" s="213"/>
      <c r="T295" s="213"/>
      <c r="U295" s="213"/>
      <c r="V295" s="213"/>
      <c r="W295" s="213"/>
      <c r="X295" s="213"/>
      <c r="Y295" s="213"/>
      <c r="Z295" s="213"/>
      <c r="AA295" s="213"/>
      <c r="AB295" s="211"/>
      <c r="AC295" s="211"/>
      <c r="AD295" s="211"/>
      <c r="AE295" s="211"/>
      <c r="AF295" s="211">
        <f>INDEX($C$199:$AN$221,MATCH("New Customers 1MS",$C$199:$C$221,0),MATCH($C295,$C$199:$AN$199,0))</f>
        <v>2.7396727495508078</v>
      </c>
      <c r="AG295" s="211">
        <f t="shared" ref="AG295:AN295" si="203">$AF$295*(E266)</f>
        <v>0.19177709246855656</v>
      </c>
      <c r="AH295" s="211">
        <f t="shared" si="203"/>
        <v>0.19177709246855656</v>
      </c>
      <c r="AI295" s="211">
        <f t="shared" si="203"/>
        <v>0.19177709246855656</v>
      </c>
      <c r="AJ295" s="211">
        <f t="shared" si="203"/>
        <v>0.16438036497304845</v>
      </c>
      <c r="AK295" s="211">
        <f t="shared" si="203"/>
        <v>0.16438036497304845</v>
      </c>
      <c r="AL295" s="211">
        <f t="shared" si="203"/>
        <v>0.16438036497304845</v>
      </c>
      <c r="AM295" s="211">
        <f t="shared" si="203"/>
        <v>0.13698363747754039</v>
      </c>
      <c r="AN295" s="211">
        <f t="shared" si="203"/>
        <v>0.13698363747754039</v>
      </c>
    </row>
    <row r="296" spans="2:40" s="7" customFormat="1" ht="12" hidden="1" customHeight="1" outlineLevel="2">
      <c r="B296" s="245"/>
      <c r="C296" s="250" t="s">
        <v>781</v>
      </c>
      <c r="D296" s="250"/>
      <c r="E296" s="213"/>
      <c r="F296" s="213"/>
      <c r="G296" s="213"/>
      <c r="H296" s="213"/>
      <c r="I296" s="213"/>
      <c r="J296" s="213"/>
      <c r="K296" s="213"/>
      <c r="L296" s="213"/>
      <c r="M296" s="213"/>
      <c r="N296" s="213"/>
      <c r="O296" s="213"/>
      <c r="P296" s="213"/>
      <c r="Q296" s="213"/>
      <c r="R296" s="213"/>
      <c r="S296" s="213"/>
      <c r="T296" s="213"/>
      <c r="U296" s="213"/>
      <c r="V296" s="213"/>
      <c r="W296" s="213"/>
      <c r="X296" s="213"/>
      <c r="Y296" s="213"/>
      <c r="Z296" s="213"/>
      <c r="AA296" s="213"/>
      <c r="AB296" s="211"/>
      <c r="AC296" s="211"/>
      <c r="AD296" s="211"/>
      <c r="AE296" s="211"/>
      <c r="AF296" s="211"/>
      <c r="AG296" s="211">
        <f>INDEX($C$199:$AN$221,MATCH("New Customers 1MS",$C$199:$C$221,0),MATCH($C296,$C$199:$AN$199,0))</f>
        <v>2.3549086822643637</v>
      </c>
      <c r="AH296" s="211">
        <f t="shared" ref="AH296:AN296" si="204">$AG$296*(E266)</f>
        <v>0.16484360775850548</v>
      </c>
      <c r="AI296" s="211">
        <f t="shared" si="204"/>
        <v>0.16484360775850548</v>
      </c>
      <c r="AJ296" s="211">
        <f t="shared" si="204"/>
        <v>0.16484360775850548</v>
      </c>
      <c r="AK296" s="211">
        <f t="shared" si="204"/>
        <v>0.14129452093586181</v>
      </c>
      <c r="AL296" s="211">
        <f t="shared" si="204"/>
        <v>0.14129452093586181</v>
      </c>
      <c r="AM296" s="211">
        <f t="shared" si="204"/>
        <v>0.14129452093586181</v>
      </c>
      <c r="AN296" s="211">
        <f t="shared" si="204"/>
        <v>0.11774543411321819</v>
      </c>
    </row>
    <row r="297" spans="2:40" s="7" customFormat="1" ht="12" hidden="1" customHeight="1" outlineLevel="2">
      <c r="B297" s="245"/>
      <c r="C297" s="250" t="s">
        <v>782</v>
      </c>
      <c r="D297" s="250"/>
      <c r="E297" s="213"/>
      <c r="F297" s="213"/>
      <c r="G297" s="213"/>
      <c r="H297" s="213"/>
      <c r="I297" s="213"/>
      <c r="J297" s="213"/>
      <c r="K297" s="213"/>
      <c r="L297" s="213"/>
      <c r="M297" s="213"/>
      <c r="N297" s="213"/>
      <c r="O297" s="213"/>
      <c r="P297" s="213"/>
      <c r="Q297" s="213"/>
      <c r="R297" s="213"/>
      <c r="S297" s="213"/>
      <c r="T297" s="213"/>
      <c r="U297" s="213"/>
      <c r="V297" s="213"/>
      <c r="W297" s="213"/>
      <c r="X297" s="213"/>
      <c r="Y297" s="213"/>
      <c r="Z297" s="213"/>
      <c r="AA297" s="213"/>
      <c r="AB297" s="211"/>
      <c r="AC297" s="211"/>
      <c r="AD297" s="211"/>
      <c r="AE297" s="211"/>
      <c r="AF297" s="211"/>
      <c r="AG297" s="211"/>
      <c r="AH297" s="211">
        <f>INDEX($C$199:$AN$221,MATCH("New Customers 1MS",$C$199:$C$221,0),MATCH($C297,$C$199:$AN$199,0))</f>
        <v>4.4124381923248235</v>
      </c>
      <c r="AI297" s="211">
        <f t="shared" ref="AI297:AN297" si="205">$AH$297*(E266)</f>
        <v>0.30887067346273767</v>
      </c>
      <c r="AJ297" s="211">
        <f t="shared" si="205"/>
        <v>0.30887067346273767</v>
      </c>
      <c r="AK297" s="211">
        <f t="shared" si="205"/>
        <v>0.30887067346273767</v>
      </c>
      <c r="AL297" s="211">
        <f t="shared" si="205"/>
        <v>0.26474629153948942</v>
      </c>
      <c r="AM297" s="211">
        <f t="shared" si="205"/>
        <v>0.26474629153948942</v>
      </c>
      <c r="AN297" s="211">
        <f t="shared" si="205"/>
        <v>0.26474629153948942</v>
      </c>
    </row>
    <row r="298" spans="2:40" s="7" customFormat="1" ht="12" hidden="1" customHeight="1" outlineLevel="2">
      <c r="B298" s="245"/>
      <c r="C298" s="250" t="s">
        <v>783</v>
      </c>
      <c r="D298" s="250"/>
      <c r="E298" s="213"/>
      <c r="F298" s="213"/>
      <c r="G298" s="213"/>
      <c r="H298" s="213"/>
      <c r="I298" s="213"/>
      <c r="J298" s="213"/>
      <c r="K298" s="213"/>
      <c r="L298" s="213"/>
      <c r="M298" s="213"/>
      <c r="N298" s="213"/>
      <c r="O298" s="213"/>
      <c r="P298" s="213"/>
      <c r="Q298" s="213"/>
      <c r="R298" s="213"/>
      <c r="S298" s="213"/>
      <c r="T298" s="213"/>
      <c r="U298" s="213"/>
      <c r="V298" s="213"/>
      <c r="W298" s="213"/>
      <c r="X298" s="213"/>
      <c r="Y298" s="213"/>
      <c r="Z298" s="213"/>
      <c r="AA298" s="213"/>
      <c r="AB298" s="211"/>
      <c r="AC298" s="211"/>
      <c r="AD298" s="211"/>
      <c r="AE298" s="211"/>
      <c r="AF298" s="211"/>
      <c r="AG298" s="211"/>
      <c r="AH298" s="211"/>
      <c r="AI298" s="211">
        <f>INDEX($C$199:$AN$221,MATCH("New Customers 1MS",$C$199:$C$221,0),MATCH($C298,$C$199:$AN$199,0))</f>
        <v>2.0204680607900189</v>
      </c>
      <c r="AJ298" s="211">
        <f>$AI$298*(E266)</f>
        <v>0.14143276425530135</v>
      </c>
      <c r="AK298" s="211">
        <f>$AI$298*(F266)</f>
        <v>0.14143276425530135</v>
      </c>
      <c r="AL298" s="211">
        <f>$AI$298*(G266)</f>
        <v>0.14143276425530135</v>
      </c>
      <c r="AM298" s="211">
        <f>$AI$298*(H266)</f>
        <v>0.12122808364740113</v>
      </c>
      <c r="AN298" s="211">
        <f>$AI$298*(I266)</f>
        <v>0.12122808364740113</v>
      </c>
    </row>
    <row r="299" spans="2:40" s="7" customFormat="1" ht="12" hidden="1" customHeight="1" outlineLevel="2">
      <c r="B299" s="245"/>
      <c r="C299" s="250" t="s">
        <v>784</v>
      </c>
      <c r="D299" s="250"/>
      <c r="E299" s="213"/>
      <c r="F299" s="213"/>
      <c r="G299" s="213"/>
      <c r="H299" s="213"/>
      <c r="I299" s="213"/>
      <c r="J299" s="213"/>
      <c r="K299" s="213"/>
      <c r="L299" s="213"/>
      <c r="M299" s="213"/>
      <c r="N299" s="213"/>
      <c r="O299" s="213"/>
      <c r="P299" s="213"/>
      <c r="Q299" s="213"/>
      <c r="R299" s="213"/>
      <c r="S299" s="213"/>
      <c r="T299" s="213"/>
      <c r="U299" s="213"/>
      <c r="V299" s="213"/>
      <c r="W299" s="213"/>
      <c r="X299" s="213"/>
      <c r="Y299" s="213"/>
      <c r="Z299" s="213"/>
      <c r="AA299" s="213"/>
      <c r="AB299" s="211"/>
      <c r="AC299" s="211"/>
      <c r="AD299" s="211"/>
      <c r="AE299" s="211"/>
      <c r="AF299" s="211"/>
      <c r="AG299" s="211"/>
      <c r="AH299" s="211"/>
      <c r="AI299" s="211"/>
      <c r="AJ299" s="211">
        <f>INDEX($C$199:$AN$221,MATCH("New Customers 1MS",$C$199:$C$221,0),MATCH($C299,$C$199:$AN$199,0))</f>
        <v>2.1234858800563212</v>
      </c>
      <c r="AK299" s="211">
        <f>$AJ$299*(E266)</f>
        <v>0.1486440116039425</v>
      </c>
      <c r="AL299" s="211">
        <f>$AJ$299*(F266)</f>
        <v>0.1486440116039425</v>
      </c>
      <c r="AM299" s="211">
        <f>$AJ$299*(G266)</f>
        <v>0.1486440116039425</v>
      </c>
      <c r="AN299" s="211">
        <f>$AJ$299*(H266)</f>
        <v>0.12740915280337928</v>
      </c>
    </row>
    <row r="300" spans="2:40" s="7" customFormat="1" ht="12" hidden="1" customHeight="1" outlineLevel="2">
      <c r="B300" s="245"/>
      <c r="C300" s="250" t="s">
        <v>785</v>
      </c>
      <c r="D300" s="250"/>
      <c r="E300" s="213"/>
      <c r="F300" s="213"/>
      <c r="G300" s="213"/>
      <c r="H300" s="213"/>
      <c r="I300" s="213"/>
      <c r="J300" s="213"/>
      <c r="K300" s="213"/>
      <c r="L300" s="213"/>
      <c r="M300" s="213"/>
      <c r="N300" s="213"/>
      <c r="O300" s="213"/>
      <c r="P300" s="213"/>
      <c r="Q300" s="213"/>
      <c r="R300" s="213"/>
      <c r="S300" s="213"/>
      <c r="T300" s="213"/>
      <c r="U300" s="213"/>
      <c r="V300" s="213"/>
      <c r="W300" s="213"/>
      <c r="X300" s="213"/>
      <c r="Y300" s="213"/>
      <c r="Z300" s="213"/>
      <c r="AA300" s="213"/>
      <c r="AB300" s="211"/>
      <c r="AC300" s="211"/>
      <c r="AD300" s="211"/>
      <c r="AE300" s="211"/>
      <c r="AF300" s="211"/>
      <c r="AG300" s="211"/>
      <c r="AH300" s="211"/>
      <c r="AI300" s="211"/>
      <c r="AJ300" s="211"/>
      <c r="AK300" s="211">
        <f>INDEX($C$199:$AN$221,MATCH("New Customers 1MS",$C$199:$C$221,0),MATCH($C300,$C$199:$AN$199,0))</f>
        <v>5.1066133829903713</v>
      </c>
      <c r="AL300" s="211">
        <f>$AK$300*(E266)</f>
        <v>0.357462936809326</v>
      </c>
      <c r="AM300" s="211">
        <f>$AK$300*(F266)</f>
        <v>0.357462936809326</v>
      </c>
      <c r="AN300" s="211">
        <f>$AK$300*(G266)</f>
        <v>0.357462936809326</v>
      </c>
    </row>
    <row r="301" spans="2:40" s="7" customFormat="1" ht="12" hidden="1" customHeight="1" outlineLevel="2">
      <c r="B301" s="245"/>
      <c r="C301" s="250" t="s">
        <v>786</v>
      </c>
      <c r="D301" s="250"/>
      <c r="E301" s="213"/>
      <c r="F301" s="213"/>
      <c r="G301" s="213"/>
      <c r="H301" s="213"/>
      <c r="I301" s="213"/>
      <c r="J301" s="213"/>
      <c r="K301" s="213"/>
      <c r="L301" s="213"/>
      <c r="M301" s="213"/>
      <c r="N301" s="213"/>
      <c r="O301" s="213"/>
      <c r="P301" s="213"/>
      <c r="Q301" s="213"/>
      <c r="R301" s="213"/>
      <c r="S301" s="213"/>
      <c r="T301" s="213"/>
      <c r="U301" s="213"/>
      <c r="V301" s="213"/>
      <c r="W301" s="213"/>
      <c r="X301" s="213"/>
      <c r="Y301" s="213"/>
      <c r="Z301" s="213"/>
      <c r="AA301" s="213"/>
      <c r="AB301" s="211"/>
      <c r="AC301" s="211"/>
      <c r="AD301" s="211"/>
      <c r="AE301" s="211"/>
      <c r="AF301" s="211"/>
      <c r="AG301" s="211"/>
      <c r="AH301" s="211"/>
      <c r="AI301" s="211"/>
      <c r="AJ301" s="211"/>
      <c r="AK301" s="211"/>
      <c r="AL301" s="211">
        <f>INDEX($C$199:$AN$221,MATCH("New Customers 1MS",$C$199:$C$221,0),MATCH($C301,$C$199:$AN$199,0))</f>
        <v>3.5462592937433133</v>
      </c>
      <c r="AM301" s="211">
        <f>$AL$301*(E266)</f>
        <v>0.24823815056203194</v>
      </c>
      <c r="AN301" s="211">
        <f>$AL$301*(F266)</f>
        <v>0.24823815056203194</v>
      </c>
    </row>
    <row r="302" spans="2:40" s="7" customFormat="1" ht="12" hidden="1" customHeight="1" outlineLevel="2">
      <c r="B302" s="245"/>
      <c r="C302" s="250" t="s">
        <v>787</v>
      </c>
      <c r="D302" s="250"/>
      <c r="E302" s="213"/>
      <c r="F302" s="213"/>
      <c r="G302" s="213"/>
      <c r="H302" s="213"/>
      <c r="I302" s="213"/>
      <c r="J302" s="213"/>
      <c r="K302" s="213"/>
      <c r="L302" s="213"/>
      <c r="M302" s="213"/>
      <c r="N302" s="213"/>
      <c r="O302" s="213"/>
      <c r="P302" s="213"/>
      <c r="Q302" s="213"/>
      <c r="R302" s="213"/>
      <c r="S302" s="213"/>
      <c r="T302" s="213"/>
      <c r="U302" s="213"/>
      <c r="V302" s="213"/>
      <c r="W302" s="213"/>
      <c r="X302" s="213"/>
      <c r="Y302" s="213"/>
      <c r="Z302" s="213"/>
      <c r="AA302" s="213"/>
      <c r="AB302" s="211"/>
      <c r="AC302" s="211"/>
      <c r="AD302" s="211"/>
      <c r="AE302" s="211"/>
      <c r="AF302" s="211"/>
      <c r="AG302" s="211"/>
      <c r="AH302" s="211"/>
      <c r="AI302" s="211"/>
      <c r="AJ302" s="211"/>
      <c r="AK302" s="211"/>
      <c r="AL302" s="211"/>
      <c r="AM302" s="211">
        <f>INDEX($C$199:$AN$221,MATCH("New Customers 1MS",$C$199:$C$221,0),MATCH($C302,$C$199:$AN$199,0))</f>
        <v>1.8389887480411755</v>
      </c>
      <c r="AN302" s="211">
        <f>$AM$302*(E266)</f>
        <v>0.12872921236288229</v>
      </c>
    </row>
    <row r="303" spans="2:40" s="7" customFormat="1" ht="12" hidden="1" customHeight="1" outlineLevel="2">
      <c r="B303" s="245"/>
      <c r="C303" s="250" t="s">
        <v>788</v>
      </c>
      <c r="D303" s="250"/>
      <c r="E303" s="213"/>
      <c r="F303" s="213"/>
      <c r="G303" s="213"/>
      <c r="H303" s="213"/>
      <c r="I303" s="213"/>
      <c r="J303" s="213"/>
      <c r="K303" s="213"/>
      <c r="L303" s="213"/>
      <c r="M303" s="213"/>
      <c r="N303" s="213"/>
      <c r="O303" s="213"/>
      <c r="P303" s="213"/>
      <c r="Q303" s="213"/>
      <c r="R303" s="213"/>
      <c r="S303" s="213"/>
      <c r="T303" s="213"/>
      <c r="U303" s="213"/>
      <c r="V303" s="213"/>
      <c r="W303" s="213"/>
      <c r="X303" s="213"/>
      <c r="Y303" s="213"/>
      <c r="Z303" s="213"/>
      <c r="AA303" s="213"/>
      <c r="AB303" s="211"/>
      <c r="AC303" s="211"/>
      <c r="AD303" s="211"/>
      <c r="AE303" s="211"/>
      <c r="AF303" s="211"/>
      <c r="AG303" s="211"/>
      <c r="AH303" s="211"/>
      <c r="AI303" s="211"/>
      <c r="AJ303" s="211"/>
      <c r="AK303" s="211"/>
      <c r="AL303" s="211"/>
      <c r="AM303" s="211"/>
      <c r="AN303" s="211">
        <f>INDEX($C$199:$AN$221,MATCH("New Customers 1MS",$C$199:$C$221,0),MATCH($C303,$C$199:$AN$199,0))</f>
        <v>2.3709276421026724</v>
      </c>
    </row>
    <row r="304" spans="2:40" s="7" customFormat="1" ht="12" hidden="1" customHeight="1" outlineLevel="2">
      <c r="B304" s="245"/>
      <c r="C304" s="250"/>
      <c r="D304" s="250"/>
      <c r="E304" s="213"/>
      <c r="F304" s="213"/>
      <c r="G304" s="213"/>
      <c r="H304" s="213"/>
      <c r="I304" s="213"/>
      <c r="J304" s="213"/>
      <c r="K304" s="213"/>
      <c r="L304" s="213"/>
      <c r="M304" s="213"/>
      <c r="N304" s="213"/>
      <c r="O304" s="213"/>
      <c r="P304" s="213"/>
      <c r="Q304" s="213"/>
      <c r="R304" s="213"/>
      <c r="S304" s="213"/>
      <c r="T304" s="213"/>
      <c r="U304" s="213"/>
      <c r="V304" s="213"/>
      <c r="W304" s="213"/>
      <c r="X304" s="213"/>
      <c r="Y304" s="213"/>
      <c r="Z304" s="213"/>
      <c r="AA304" s="213"/>
      <c r="AB304" s="211"/>
      <c r="AC304" s="211"/>
      <c r="AD304" s="211"/>
      <c r="AE304" s="211"/>
      <c r="AF304" s="211"/>
      <c r="AG304" s="211"/>
      <c r="AH304" s="211"/>
      <c r="AI304" s="211"/>
      <c r="AJ304" s="211"/>
      <c r="AK304" s="211"/>
      <c r="AL304" s="211"/>
      <c r="AM304" s="211"/>
      <c r="AN304" s="211"/>
    </row>
    <row r="305" spans="2:40 16380:16380" s="7" customFormat="1" ht="12" hidden="1" customHeight="1" outlineLevel="2">
      <c r="B305" s="245"/>
      <c r="C305" s="249" t="s">
        <v>854</v>
      </c>
      <c r="D305" s="250"/>
      <c r="E305" s="213"/>
      <c r="F305" s="213"/>
      <c r="G305" s="213"/>
      <c r="H305" s="213"/>
      <c r="I305" s="213"/>
      <c r="J305" s="213"/>
      <c r="K305" s="213"/>
      <c r="L305" s="213"/>
      <c r="M305" s="213"/>
      <c r="N305" s="213"/>
      <c r="O305" s="213"/>
      <c r="P305" s="213"/>
      <c r="Q305" s="213"/>
      <c r="R305" s="213"/>
      <c r="S305" s="213"/>
      <c r="T305" s="213"/>
      <c r="U305" s="213"/>
      <c r="V305" s="213"/>
      <c r="W305" s="213"/>
      <c r="X305" s="213"/>
      <c r="Y305" s="213"/>
      <c r="Z305" s="213"/>
      <c r="AA305" s="213"/>
      <c r="AB305" s="213"/>
      <c r="AC305" s="211"/>
    </row>
    <row r="306" spans="2:40 16380:16380" s="7" customFormat="1" ht="12" hidden="1" customHeight="1" outlineLevel="3">
      <c r="B306" s="239"/>
      <c r="C306" s="212" t="s">
        <v>850</v>
      </c>
      <c r="D306" s="212"/>
      <c r="E306" s="196" t="s">
        <v>753</v>
      </c>
      <c r="F306" s="196" t="s">
        <v>754</v>
      </c>
      <c r="G306" s="196" t="s">
        <v>755</v>
      </c>
      <c r="H306" s="196" t="s">
        <v>756</v>
      </c>
      <c r="I306" s="196" t="s">
        <v>757</v>
      </c>
      <c r="J306" s="196" t="s">
        <v>758</v>
      </c>
      <c r="K306" s="196" t="s">
        <v>759</v>
      </c>
      <c r="L306" s="196" t="s">
        <v>760</v>
      </c>
      <c r="M306" s="196" t="s">
        <v>761</v>
      </c>
      <c r="N306" s="196" t="s">
        <v>762</v>
      </c>
      <c r="O306" s="196" t="s">
        <v>763</v>
      </c>
      <c r="P306" s="196" t="s">
        <v>764</v>
      </c>
      <c r="Q306" s="196" t="s">
        <v>765</v>
      </c>
      <c r="R306" s="196" t="s">
        <v>766</v>
      </c>
      <c r="S306" s="196" t="s">
        <v>767</v>
      </c>
      <c r="T306" s="196" t="s">
        <v>768</v>
      </c>
      <c r="U306" s="196" t="s">
        <v>769</v>
      </c>
      <c r="V306" s="196" t="s">
        <v>770</v>
      </c>
      <c r="W306" s="196" t="s">
        <v>771</v>
      </c>
      <c r="X306" s="196" t="s">
        <v>772</v>
      </c>
      <c r="Y306" s="196" t="s">
        <v>773</v>
      </c>
      <c r="Z306" s="196" t="s">
        <v>774</v>
      </c>
      <c r="AA306" s="196" t="s">
        <v>775</v>
      </c>
      <c r="AB306" s="196" t="s">
        <v>776</v>
      </c>
      <c r="AC306" s="196" t="s">
        <v>777</v>
      </c>
      <c r="AD306" s="196" t="s">
        <v>778</v>
      </c>
      <c r="AE306" s="196" t="s">
        <v>779</v>
      </c>
      <c r="AF306" s="196" t="s">
        <v>780</v>
      </c>
      <c r="AG306" s="196" t="s">
        <v>781</v>
      </c>
      <c r="AH306" s="196" t="s">
        <v>782</v>
      </c>
      <c r="AI306" s="196" t="s">
        <v>783</v>
      </c>
      <c r="AJ306" s="196" t="s">
        <v>784</v>
      </c>
      <c r="AK306" s="196" t="s">
        <v>785</v>
      </c>
      <c r="AL306" s="196" t="s">
        <v>786</v>
      </c>
      <c r="AM306" s="196" t="s">
        <v>787</v>
      </c>
      <c r="AN306" s="196" t="s">
        <v>788</v>
      </c>
    </row>
    <row r="307" spans="2:40 16380:16380" s="7" customFormat="1" ht="12" hidden="1" customHeight="1" outlineLevel="3">
      <c r="B307" s="239"/>
      <c r="C307" s="247" t="s">
        <v>851</v>
      </c>
      <c r="D307" s="212"/>
      <c r="E307" s="345">
        <v>0.86</v>
      </c>
      <c r="F307" s="342"/>
      <c r="G307" s="342"/>
      <c r="H307" s="345">
        <v>0.42</v>
      </c>
      <c r="I307" s="342"/>
      <c r="J307" s="342"/>
      <c r="K307" s="345">
        <v>0.26</v>
      </c>
      <c r="L307" s="342"/>
      <c r="M307" s="342"/>
      <c r="N307" s="345">
        <v>0.16</v>
      </c>
      <c r="O307" s="342"/>
      <c r="P307" s="342"/>
      <c r="Q307" s="345">
        <v>0.1</v>
      </c>
      <c r="R307" s="342"/>
      <c r="S307" s="342"/>
      <c r="T307" s="345">
        <v>0.06</v>
      </c>
      <c r="U307" s="342"/>
      <c r="V307" s="342"/>
      <c r="W307" s="345">
        <v>0.03</v>
      </c>
      <c r="X307" s="342"/>
      <c r="Y307" s="342"/>
      <c r="Z307" s="345">
        <v>0.01</v>
      </c>
      <c r="AA307" s="342"/>
      <c r="AB307" s="342"/>
      <c r="AC307" s="345">
        <v>0.01</v>
      </c>
      <c r="AD307" s="342"/>
      <c r="AE307" s="342"/>
      <c r="AF307" s="345">
        <v>0.01</v>
      </c>
      <c r="AG307" s="342"/>
      <c r="AH307" s="342"/>
      <c r="AI307" s="345">
        <v>0.01</v>
      </c>
      <c r="AJ307" s="342"/>
      <c r="AK307" s="342"/>
      <c r="AL307" s="345">
        <v>0.01</v>
      </c>
      <c r="AM307" s="342"/>
      <c r="AN307" s="342"/>
    </row>
    <row r="308" spans="2:40 16380:16380" s="7" customFormat="1" ht="12" hidden="1" customHeight="1" outlineLevel="3">
      <c r="B308" s="245"/>
      <c r="C308" s="250" t="s">
        <v>753</v>
      </c>
      <c r="D308" s="250"/>
      <c r="E308" s="211">
        <f>INDEX($C$199:$AN$221, MATCH("New Customers 3MS", $C$199:$C$221, 0), MATCH($C308, $C$199:$AN$199, 0))</f>
        <v>0</v>
      </c>
      <c r="F308" s="211"/>
      <c r="G308" s="211"/>
      <c r="H308" s="211">
        <f>E308*(E307)</f>
        <v>0</v>
      </c>
      <c r="I308" s="211"/>
      <c r="J308" s="211"/>
      <c r="K308" s="211">
        <f>E308*(H307)</f>
        <v>0</v>
      </c>
      <c r="L308" s="211"/>
      <c r="M308" s="211"/>
      <c r="N308" s="211">
        <f>E308*(K307)</f>
        <v>0</v>
      </c>
      <c r="O308" s="211"/>
      <c r="P308" s="211"/>
      <c r="Q308" s="211">
        <f>E308*(N307)</f>
        <v>0</v>
      </c>
      <c r="R308" s="211"/>
      <c r="S308" s="211"/>
      <c r="T308" s="211">
        <f>E308*(Q307)</f>
        <v>0</v>
      </c>
      <c r="U308" s="211"/>
      <c r="V308" s="211"/>
      <c r="W308" s="211">
        <f>E308*(T307)</f>
        <v>0</v>
      </c>
      <c r="X308" s="211"/>
      <c r="Y308" s="211"/>
      <c r="Z308" s="211">
        <f>E308*(W307)</f>
        <v>0</v>
      </c>
      <c r="AA308" s="211"/>
      <c r="AB308" s="211"/>
      <c r="AC308" s="211">
        <f>E308*(Z307)</f>
        <v>0</v>
      </c>
      <c r="AD308" s="211"/>
      <c r="AE308" s="211"/>
      <c r="AF308" s="211">
        <f>E308*(AC307)</f>
        <v>0</v>
      </c>
      <c r="AG308" s="211"/>
      <c r="AH308" s="211"/>
      <c r="AI308" s="211">
        <f>E308*(AF307)</f>
        <v>0</v>
      </c>
      <c r="AJ308" s="211"/>
      <c r="AK308" s="211"/>
      <c r="AL308" s="211">
        <f>E308*(AI307)</f>
        <v>0</v>
      </c>
      <c r="AM308" s="211"/>
      <c r="AN308" s="211"/>
    </row>
    <row r="309" spans="2:40 16380:16380" s="7" customFormat="1" ht="12" hidden="1" customHeight="1" outlineLevel="3">
      <c r="B309" s="245"/>
      <c r="C309" s="250" t="s">
        <v>754</v>
      </c>
      <c r="D309" s="250"/>
      <c r="E309" s="213"/>
      <c r="F309" s="211">
        <f>INDEX($C$199:$AN$221, MATCH("New Customers 3MS", $C$199:$C$221, 0), MATCH($C309, $C$199:$AN$199, 0))</f>
        <v>0</v>
      </c>
      <c r="G309" s="211"/>
      <c r="H309" s="211"/>
      <c r="I309" s="211">
        <f>F309*(E307)</f>
        <v>0</v>
      </c>
      <c r="J309" s="211"/>
      <c r="K309" s="211"/>
      <c r="L309" s="211">
        <f>F309*(H307)</f>
        <v>0</v>
      </c>
      <c r="M309" s="211"/>
      <c r="N309" s="211"/>
      <c r="O309" s="211">
        <f>F309*(K307)</f>
        <v>0</v>
      </c>
      <c r="P309" s="211"/>
      <c r="Q309" s="211"/>
      <c r="R309" s="211">
        <f>F309*(N307)</f>
        <v>0</v>
      </c>
      <c r="S309" s="211"/>
      <c r="T309" s="211"/>
      <c r="U309" s="211">
        <f>F309*(Q307)</f>
        <v>0</v>
      </c>
      <c r="V309" s="211"/>
      <c r="W309" s="211"/>
      <c r="X309" s="211">
        <f>F309*(T307)</f>
        <v>0</v>
      </c>
      <c r="Y309" s="211"/>
      <c r="Z309" s="211"/>
      <c r="AA309" s="211">
        <f>F309*(W307)</f>
        <v>0</v>
      </c>
      <c r="AB309" s="211"/>
      <c r="AC309" s="211"/>
      <c r="AD309" s="211">
        <f>F309*(Z307)</f>
        <v>0</v>
      </c>
      <c r="AE309" s="211"/>
      <c r="AF309" s="211"/>
      <c r="AG309" s="211">
        <f>F309*(AC307)</f>
        <v>0</v>
      </c>
      <c r="AH309" s="211"/>
      <c r="AI309" s="211"/>
      <c r="AJ309" s="211">
        <f>F309*(AF307)</f>
        <v>0</v>
      </c>
      <c r="AK309" s="211"/>
      <c r="AL309" s="211"/>
      <c r="AM309" s="211">
        <f>F309*(AI307)</f>
        <v>0</v>
      </c>
      <c r="AN309" s="211"/>
      <c r="XEZ309" s="211"/>
    </row>
    <row r="310" spans="2:40 16380:16380" s="7" customFormat="1" ht="12" hidden="1" customHeight="1" outlineLevel="3">
      <c r="B310" s="245"/>
      <c r="C310" s="250" t="s">
        <v>755</v>
      </c>
      <c r="D310" s="250"/>
      <c r="E310" s="213"/>
      <c r="F310" s="213"/>
      <c r="G310" s="211">
        <f>INDEX($C$199:$AN$221, MATCH("New Customers 3MS", $C$199:$C$221, 0), MATCH($C310, $C$199:$AN$199, 0))</f>
        <v>0</v>
      </c>
      <c r="H310" s="211"/>
      <c r="I310" s="211"/>
      <c r="J310" s="211">
        <f>G310*(E307)</f>
        <v>0</v>
      </c>
      <c r="K310" s="211"/>
      <c r="L310" s="211"/>
      <c r="M310" s="211">
        <f>G310*(H307)</f>
        <v>0</v>
      </c>
      <c r="N310" s="211"/>
      <c r="O310" s="211"/>
      <c r="P310" s="211">
        <f>G310*(K307)</f>
        <v>0</v>
      </c>
      <c r="Q310" s="211"/>
      <c r="R310" s="211"/>
      <c r="S310" s="211">
        <f>G310*(N307)</f>
        <v>0</v>
      </c>
      <c r="T310" s="211"/>
      <c r="U310" s="211"/>
      <c r="V310" s="211">
        <f>G310*(Q307)</f>
        <v>0</v>
      </c>
      <c r="W310" s="211"/>
      <c r="X310" s="211"/>
      <c r="Y310" s="211">
        <f>G310*(T307)</f>
        <v>0</v>
      </c>
      <c r="Z310" s="211"/>
      <c r="AA310" s="211"/>
      <c r="AB310" s="211">
        <f>G310*(W307)</f>
        <v>0</v>
      </c>
      <c r="AC310" s="211"/>
      <c r="AD310" s="211"/>
      <c r="AE310" s="211">
        <f>G310*(Z307)</f>
        <v>0</v>
      </c>
      <c r="AF310" s="211"/>
      <c r="AG310" s="211"/>
      <c r="AH310" s="211">
        <f>G310*(AC307)</f>
        <v>0</v>
      </c>
      <c r="AI310" s="211"/>
      <c r="AJ310" s="211"/>
      <c r="AK310" s="211">
        <f>G310*(AF307)</f>
        <v>0</v>
      </c>
      <c r="AL310" s="211"/>
      <c r="AM310" s="211"/>
      <c r="AN310" s="211">
        <f>G310*(AI307)</f>
        <v>0</v>
      </c>
    </row>
    <row r="311" spans="2:40 16380:16380" s="7" customFormat="1" ht="12" hidden="1" customHeight="1" outlineLevel="3">
      <c r="B311" s="245"/>
      <c r="C311" s="250" t="s">
        <v>756</v>
      </c>
      <c r="D311" s="250"/>
      <c r="E311" s="213"/>
      <c r="F311" s="213"/>
      <c r="G311" s="213"/>
      <c r="H311" s="211">
        <f>INDEX($C$199:$AN$221, MATCH("New Customers 3MS", $C$199:$C$221, 0), MATCH($C311, $C$199:$AN$199, 0))</f>
        <v>0</v>
      </c>
      <c r="I311" s="211"/>
      <c r="J311" s="211"/>
      <c r="K311" s="211">
        <f>H311*(E307)</f>
        <v>0</v>
      </c>
      <c r="L311" s="211"/>
      <c r="M311" s="211"/>
      <c r="N311" s="211">
        <f>H311*(H307)</f>
        <v>0</v>
      </c>
      <c r="O311" s="211"/>
      <c r="P311" s="211"/>
      <c r="Q311" s="211">
        <f>H311*(K307)</f>
        <v>0</v>
      </c>
      <c r="R311" s="211"/>
      <c r="S311" s="211"/>
      <c r="T311" s="211">
        <f>H311*(N307)</f>
        <v>0</v>
      </c>
      <c r="U311" s="211"/>
      <c r="V311" s="211"/>
      <c r="W311" s="211">
        <f>H311*(Q307)</f>
        <v>0</v>
      </c>
      <c r="X311" s="211"/>
      <c r="Y311" s="211"/>
      <c r="Z311" s="211">
        <f>H311*(T307)</f>
        <v>0</v>
      </c>
      <c r="AA311" s="211"/>
      <c r="AB311" s="211"/>
      <c r="AC311" s="211">
        <f>H311*(W307)</f>
        <v>0</v>
      </c>
      <c r="AD311" s="211"/>
      <c r="AE311" s="211"/>
      <c r="AF311" s="211">
        <f>H311*(Z307)</f>
        <v>0</v>
      </c>
      <c r="AG311" s="211"/>
      <c r="AH311" s="211"/>
      <c r="AI311" s="211">
        <f>H311*(AC307)</f>
        <v>0</v>
      </c>
      <c r="AJ311" s="211"/>
      <c r="AK311" s="211"/>
      <c r="AL311" s="211">
        <f>H311*(AF307)</f>
        <v>0</v>
      </c>
      <c r="AM311" s="211"/>
      <c r="AN311" s="211"/>
    </row>
    <row r="312" spans="2:40 16380:16380" s="7" customFormat="1" ht="12" hidden="1" customHeight="1" outlineLevel="3">
      <c r="B312" s="245"/>
      <c r="C312" s="250" t="s">
        <v>757</v>
      </c>
      <c r="D312" s="250"/>
      <c r="E312" s="213"/>
      <c r="F312" s="213"/>
      <c r="G312" s="213"/>
      <c r="H312" s="213"/>
      <c r="I312" s="211">
        <f>INDEX($C$199:$AN$221, MATCH("New Customers 3MS", $C$199:$C$221, 0), MATCH($C312, $C$199:$AN$199, 0))</f>
        <v>0</v>
      </c>
      <c r="J312" s="211"/>
      <c r="K312" s="211"/>
      <c r="L312" s="211">
        <f>I312*(E307)</f>
        <v>0</v>
      </c>
      <c r="M312" s="211"/>
      <c r="N312" s="211"/>
      <c r="O312" s="211">
        <f>I312*(H307)</f>
        <v>0</v>
      </c>
      <c r="P312" s="211"/>
      <c r="Q312" s="211"/>
      <c r="R312" s="211">
        <f>I312*(K307)</f>
        <v>0</v>
      </c>
      <c r="S312" s="211"/>
      <c r="T312" s="211"/>
      <c r="U312" s="211">
        <f>I312*(N307)</f>
        <v>0</v>
      </c>
      <c r="V312" s="211"/>
      <c r="W312" s="211"/>
      <c r="X312" s="211">
        <f>I312*(Q307)</f>
        <v>0</v>
      </c>
      <c r="Y312" s="211"/>
      <c r="Z312" s="211"/>
      <c r="AA312" s="211">
        <f>I312*(T307)</f>
        <v>0</v>
      </c>
      <c r="AB312" s="211"/>
      <c r="AC312" s="211"/>
      <c r="AD312" s="211">
        <f>I312*(W307)</f>
        <v>0</v>
      </c>
      <c r="AE312" s="211"/>
      <c r="AF312" s="211"/>
      <c r="AG312" s="211">
        <f>I312*(Z307)</f>
        <v>0</v>
      </c>
      <c r="AH312" s="211"/>
      <c r="AI312" s="211"/>
      <c r="AJ312" s="211">
        <f>I312*(AC307)</f>
        <v>0</v>
      </c>
      <c r="AK312" s="211"/>
      <c r="AL312" s="211"/>
      <c r="AM312" s="211">
        <f>I312*(AF307)</f>
        <v>0</v>
      </c>
      <c r="AN312" s="211"/>
    </row>
    <row r="313" spans="2:40 16380:16380" s="7" customFormat="1" ht="12" hidden="1" customHeight="1" outlineLevel="3">
      <c r="B313" s="245"/>
      <c r="C313" s="250" t="s">
        <v>758</v>
      </c>
      <c r="D313" s="250"/>
      <c r="E313" s="213"/>
      <c r="F313" s="213"/>
      <c r="G313" s="213"/>
      <c r="H313" s="213"/>
      <c r="I313" s="213"/>
      <c r="J313" s="211">
        <f>INDEX($C$199:$AN$221, MATCH("New Customers 3MS", $C$199:$C$221, 0), MATCH($C313, $C$199:$AN$199, 0))</f>
        <v>0</v>
      </c>
      <c r="K313" s="211"/>
      <c r="L313" s="211"/>
      <c r="M313" s="211">
        <f>J313*(E307)</f>
        <v>0</v>
      </c>
      <c r="N313" s="211"/>
      <c r="O313" s="211"/>
      <c r="P313" s="211">
        <f>J313*(H307)</f>
        <v>0</v>
      </c>
      <c r="Q313" s="211"/>
      <c r="R313" s="211"/>
      <c r="S313" s="211">
        <f>J313*(K307)</f>
        <v>0</v>
      </c>
      <c r="T313" s="211"/>
      <c r="U313" s="211"/>
      <c r="V313" s="211">
        <f>J313*(N307)</f>
        <v>0</v>
      </c>
      <c r="W313" s="211"/>
      <c r="X313" s="211"/>
      <c r="Y313" s="211">
        <f>J313*(Q307)</f>
        <v>0</v>
      </c>
      <c r="Z313" s="211"/>
      <c r="AA313" s="211"/>
      <c r="AB313" s="211">
        <f>J313*(T307)</f>
        <v>0</v>
      </c>
      <c r="AC313" s="211"/>
      <c r="AD313" s="211"/>
      <c r="AE313" s="211">
        <f>J313*(W307)</f>
        <v>0</v>
      </c>
      <c r="AF313" s="211"/>
      <c r="AG313" s="211"/>
      <c r="AH313" s="211">
        <f>J313*(Z307)</f>
        <v>0</v>
      </c>
      <c r="AI313" s="211"/>
      <c r="AJ313" s="211"/>
      <c r="AK313" s="211">
        <f>J313*(AC307)</f>
        <v>0</v>
      </c>
      <c r="AL313" s="211"/>
      <c r="AM313" s="211"/>
      <c r="AN313" s="211">
        <f>J313*(AF307)</f>
        <v>0</v>
      </c>
    </row>
    <row r="314" spans="2:40 16380:16380" s="7" customFormat="1" ht="12" hidden="1" customHeight="1" outlineLevel="3">
      <c r="B314" s="245"/>
      <c r="C314" s="250" t="s">
        <v>759</v>
      </c>
      <c r="D314" s="250"/>
      <c r="E314" s="213"/>
      <c r="F314" s="213"/>
      <c r="G314" s="213"/>
      <c r="H314" s="213"/>
      <c r="I314" s="213"/>
      <c r="J314" s="213"/>
      <c r="K314" s="211">
        <f>INDEX($C$199:$AN$221, MATCH("New Customers 3MS", $C$199:$C$221, 0), MATCH($C314, $C$199:$AN$199, 0))</f>
        <v>0</v>
      </c>
      <c r="L314" s="211"/>
      <c r="M314" s="211"/>
      <c r="N314" s="211">
        <f>K314*(E307)</f>
        <v>0</v>
      </c>
      <c r="O314" s="211"/>
      <c r="P314" s="211"/>
      <c r="Q314" s="211">
        <f>K314*(H307)</f>
        <v>0</v>
      </c>
      <c r="R314" s="211"/>
      <c r="S314" s="211"/>
      <c r="T314" s="211">
        <f>K314*(K307)</f>
        <v>0</v>
      </c>
      <c r="U314" s="211"/>
      <c r="V314" s="211"/>
      <c r="W314" s="211">
        <f>K314*(N307)</f>
        <v>0</v>
      </c>
      <c r="X314" s="211"/>
      <c r="Y314" s="211"/>
      <c r="Z314" s="211">
        <f>K314*(Q307)</f>
        <v>0</v>
      </c>
      <c r="AA314" s="211"/>
      <c r="AB314" s="211"/>
      <c r="AC314" s="211">
        <f>K314*(T307)</f>
        <v>0</v>
      </c>
      <c r="AD314" s="211"/>
      <c r="AE314" s="211"/>
      <c r="AF314" s="211">
        <f>K314*(W307)</f>
        <v>0</v>
      </c>
      <c r="AG314" s="211"/>
      <c r="AH314" s="211"/>
      <c r="AI314" s="211">
        <f>K314*(Z307)</f>
        <v>0</v>
      </c>
      <c r="AJ314" s="211"/>
      <c r="AK314" s="211"/>
      <c r="AL314" s="211">
        <f>K314*(AC307)</f>
        <v>0</v>
      </c>
      <c r="AM314" s="211"/>
      <c r="AN314" s="211"/>
      <c r="XEZ314" s="211"/>
    </row>
    <row r="315" spans="2:40 16380:16380" s="7" customFormat="1" ht="12" hidden="1" customHeight="1" outlineLevel="3">
      <c r="B315" s="245"/>
      <c r="C315" s="250" t="s">
        <v>760</v>
      </c>
      <c r="D315" s="250"/>
      <c r="E315" s="213"/>
      <c r="F315" s="213"/>
      <c r="G315" s="213"/>
      <c r="H315" s="213"/>
      <c r="I315" s="213"/>
      <c r="J315" s="213"/>
      <c r="K315" s="213"/>
      <c r="L315" s="211">
        <f>INDEX($C$199:$AN$221, MATCH("New Customers 3MS", $C$199:$C$221, 0), MATCH($C315, $C$199:$AN$199, 0))</f>
        <v>0</v>
      </c>
      <c r="M315" s="211"/>
      <c r="N315" s="211"/>
      <c r="O315" s="211">
        <f>L315*(E307)</f>
        <v>0</v>
      </c>
      <c r="P315" s="211"/>
      <c r="Q315" s="211"/>
      <c r="R315" s="211">
        <f>L315*(H307)</f>
        <v>0</v>
      </c>
      <c r="S315" s="211"/>
      <c r="T315" s="211"/>
      <c r="U315" s="211">
        <f>L315*(K307)</f>
        <v>0</v>
      </c>
      <c r="V315" s="211"/>
      <c r="W315" s="211"/>
      <c r="X315" s="211">
        <f>L315*(N307)</f>
        <v>0</v>
      </c>
      <c r="Y315" s="211"/>
      <c r="Z315" s="211"/>
      <c r="AA315" s="211">
        <f>L315*(Q307)</f>
        <v>0</v>
      </c>
      <c r="AB315" s="211"/>
      <c r="AC315" s="211"/>
      <c r="AD315" s="211">
        <f>L315*(T307)</f>
        <v>0</v>
      </c>
      <c r="AE315" s="211"/>
      <c r="AF315" s="211"/>
      <c r="AG315" s="211">
        <f>L315*(W307)</f>
        <v>0</v>
      </c>
      <c r="AH315" s="211"/>
      <c r="AI315" s="211"/>
      <c r="AJ315" s="211">
        <f>L315*(Z307)</f>
        <v>0</v>
      </c>
      <c r="AK315" s="211"/>
      <c r="AL315" s="211"/>
      <c r="AM315" s="211">
        <f>L315*(AC307)</f>
        <v>0</v>
      </c>
      <c r="AN315" s="211"/>
      <c r="XEZ315" s="211"/>
    </row>
    <row r="316" spans="2:40 16380:16380" s="7" customFormat="1" ht="12" hidden="1" customHeight="1" outlineLevel="3">
      <c r="B316" s="245"/>
      <c r="C316" s="250" t="s">
        <v>761</v>
      </c>
      <c r="D316" s="250"/>
      <c r="E316" s="213"/>
      <c r="F316" s="213"/>
      <c r="G316" s="213"/>
      <c r="H316" s="213"/>
      <c r="I316" s="213"/>
      <c r="J316" s="213"/>
      <c r="K316" s="213"/>
      <c r="L316" s="213"/>
      <c r="M316" s="211">
        <f>INDEX($C$199:$AN$221, MATCH("New Customers 3MS", $C$199:$C$221, 0), MATCH($C316, $C$199:$AN$199, 0))</f>
        <v>0</v>
      </c>
      <c r="N316" s="211"/>
      <c r="O316" s="211"/>
      <c r="P316" s="211">
        <f>M316*(E307)</f>
        <v>0</v>
      </c>
      <c r="Q316" s="211"/>
      <c r="R316" s="211"/>
      <c r="S316" s="211">
        <f>M316*(H307)</f>
        <v>0</v>
      </c>
      <c r="T316" s="211"/>
      <c r="U316" s="211"/>
      <c r="V316" s="211">
        <f>M316*(K307)</f>
        <v>0</v>
      </c>
      <c r="W316" s="211"/>
      <c r="X316" s="211"/>
      <c r="Y316" s="211">
        <f>M316*(N307)</f>
        <v>0</v>
      </c>
      <c r="Z316" s="211"/>
      <c r="AA316" s="211"/>
      <c r="AB316" s="211">
        <f>M316*(Q307)</f>
        <v>0</v>
      </c>
      <c r="AC316" s="211"/>
      <c r="AD316" s="211"/>
      <c r="AE316" s="211">
        <f>M316*(T307)</f>
        <v>0</v>
      </c>
      <c r="AF316" s="211"/>
      <c r="AG316" s="211"/>
      <c r="AH316" s="211">
        <f>M316*(W307)</f>
        <v>0</v>
      </c>
      <c r="AI316" s="211"/>
      <c r="AJ316" s="211"/>
      <c r="AK316" s="211">
        <f>M316*(Z307)</f>
        <v>0</v>
      </c>
      <c r="AL316" s="211"/>
      <c r="AM316" s="211"/>
      <c r="AN316" s="211">
        <f>M316*(AC307)</f>
        <v>0</v>
      </c>
    </row>
    <row r="317" spans="2:40 16380:16380" s="7" customFormat="1" ht="12" hidden="1" customHeight="1" outlineLevel="3">
      <c r="B317" s="245"/>
      <c r="C317" s="250" t="s">
        <v>762</v>
      </c>
      <c r="D317" s="250"/>
      <c r="E317" s="213"/>
      <c r="F317" s="213"/>
      <c r="G317" s="213"/>
      <c r="H317" s="213"/>
      <c r="I317" s="213"/>
      <c r="J317" s="213"/>
      <c r="K317" s="213"/>
      <c r="L317" s="213"/>
      <c r="M317" s="213"/>
      <c r="N317" s="211">
        <f>INDEX($C$199:$AN$221, MATCH("New Customers 3MS", $C$199:$C$221, 0), MATCH($C317, $C$199:$AN$199, 0))</f>
        <v>0</v>
      </c>
      <c r="O317" s="211"/>
      <c r="P317" s="211"/>
      <c r="Q317" s="211">
        <f>N317*(E307)</f>
        <v>0</v>
      </c>
      <c r="R317" s="211"/>
      <c r="S317" s="211"/>
      <c r="T317" s="211">
        <f>N317*(H307)</f>
        <v>0</v>
      </c>
      <c r="U317" s="211"/>
      <c r="V317" s="211"/>
      <c r="W317" s="211">
        <f>N317*(K307)</f>
        <v>0</v>
      </c>
      <c r="X317" s="211"/>
      <c r="Y317" s="211"/>
      <c r="Z317" s="211">
        <f>N317*(N307)</f>
        <v>0</v>
      </c>
      <c r="AA317" s="211"/>
      <c r="AB317" s="211"/>
      <c r="AC317" s="211">
        <f>N317*(Q307)</f>
        <v>0</v>
      </c>
      <c r="AD317" s="211"/>
      <c r="AE317" s="211"/>
      <c r="AF317" s="211">
        <f>N317*(T307)</f>
        <v>0</v>
      </c>
      <c r="AG317" s="211"/>
      <c r="AH317" s="211"/>
      <c r="AI317" s="211">
        <f>N317*(W307)</f>
        <v>0</v>
      </c>
      <c r="AJ317" s="211"/>
      <c r="AK317" s="211"/>
      <c r="AL317" s="211">
        <f>N317*(Z307)</f>
        <v>0</v>
      </c>
      <c r="AM317" s="211"/>
      <c r="AN317" s="211"/>
      <c r="XEZ317" s="211"/>
    </row>
    <row r="318" spans="2:40 16380:16380" s="7" customFormat="1" ht="12" hidden="1" customHeight="1" outlineLevel="3">
      <c r="B318" s="245"/>
      <c r="C318" s="250" t="s">
        <v>763</v>
      </c>
      <c r="D318" s="250"/>
      <c r="E318" s="213"/>
      <c r="F318" s="213"/>
      <c r="G318" s="213"/>
      <c r="H318" s="213"/>
      <c r="I318" s="213"/>
      <c r="J318" s="213"/>
      <c r="K318" s="213"/>
      <c r="L318" s="213"/>
      <c r="M318" s="213"/>
      <c r="N318" s="213"/>
      <c r="O318" s="211">
        <f>INDEX($C$199:$AN$221, MATCH("New Customers 3MS", $C$199:$C$221, 0), MATCH($C318, $C$199:$AN$199, 0))</f>
        <v>0</v>
      </c>
      <c r="P318" s="211"/>
      <c r="Q318" s="211"/>
      <c r="R318" s="211">
        <f>O318*(E307)</f>
        <v>0</v>
      </c>
      <c r="S318" s="211"/>
      <c r="T318" s="211"/>
      <c r="U318" s="211">
        <f>O318*(H307)</f>
        <v>0</v>
      </c>
      <c r="V318" s="211"/>
      <c r="W318" s="211"/>
      <c r="X318" s="211">
        <f>O318*(K307)</f>
        <v>0</v>
      </c>
      <c r="Y318" s="211"/>
      <c r="Z318" s="211"/>
      <c r="AA318" s="211">
        <f>O318*(N307)</f>
        <v>0</v>
      </c>
      <c r="AB318" s="211"/>
      <c r="AC318" s="211"/>
      <c r="AD318" s="211">
        <f>O318*(Q307)</f>
        <v>0</v>
      </c>
      <c r="AE318" s="211"/>
      <c r="AF318" s="211"/>
      <c r="AG318" s="211">
        <f>O318*(T307)</f>
        <v>0</v>
      </c>
      <c r="AH318" s="211"/>
      <c r="AI318" s="211"/>
      <c r="AJ318" s="211">
        <f>O318*(W307)</f>
        <v>0</v>
      </c>
      <c r="AK318" s="211"/>
      <c r="AL318" s="211"/>
      <c r="AM318" s="211">
        <f>O318*(Z307)</f>
        <v>0</v>
      </c>
      <c r="AN318" s="211"/>
    </row>
    <row r="319" spans="2:40 16380:16380" s="7" customFormat="1" ht="12" hidden="1" customHeight="1" outlineLevel="3">
      <c r="B319" s="245"/>
      <c r="C319" s="250" t="s">
        <v>764</v>
      </c>
      <c r="D319" s="250"/>
      <c r="E319" s="213"/>
      <c r="F319" s="213"/>
      <c r="G319" s="213"/>
      <c r="H319" s="213"/>
      <c r="I319" s="213"/>
      <c r="J319" s="213"/>
      <c r="K319" s="213"/>
      <c r="L319" s="213"/>
      <c r="M319" s="213"/>
      <c r="N319" s="213"/>
      <c r="O319" s="213"/>
      <c r="P319" s="211">
        <f>INDEX($C$199:$AN$221, MATCH("New Customers 3MS", $C$199:$C$221, 0), MATCH($C319, $C$199:$AN$199, 0))</f>
        <v>0</v>
      </c>
      <c r="Q319" s="211"/>
      <c r="R319" s="211"/>
      <c r="S319" s="211">
        <f>P319*(E307)</f>
        <v>0</v>
      </c>
      <c r="T319" s="211"/>
      <c r="U319" s="211"/>
      <c r="V319" s="211">
        <f>P319*(H307)</f>
        <v>0</v>
      </c>
      <c r="W319" s="211"/>
      <c r="X319" s="211"/>
      <c r="Y319" s="211">
        <f>P319*(K307)</f>
        <v>0</v>
      </c>
      <c r="Z319" s="211"/>
      <c r="AA319" s="211"/>
      <c r="AB319" s="211">
        <f>P319*(N307)</f>
        <v>0</v>
      </c>
      <c r="AC319" s="211"/>
      <c r="AD319" s="211"/>
      <c r="AE319" s="211">
        <f>P319*(Q307)</f>
        <v>0</v>
      </c>
      <c r="AF319" s="211"/>
      <c r="AG319" s="211"/>
      <c r="AH319" s="211">
        <f>P319*(T307)</f>
        <v>0</v>
      </c>
      <c r="AI319" s="211"/>
      <c r="AJ319" s="211"/>
      <c r="AK319" s="211">
        <f>P319*(W307)</f>
        <v>0</v>
      </c>
      <c r="AL319" s="211"/>
      <c r="AM319" s="211"/>
      <c r="AN319" s="211">
        <f>P319*(Z307)</f>
        <v>0</v>
      </c>
    </row>
    <row r="320" spans="2:40 16380:16380" s="7" customFormat="1" ht="12" hidden="1" customHeight="1" outlineLevel="3">
      <c r="B320" s="245"/>
      <c r="C320" s="250" t="s">
        <v>765</v>
      </c>
      <c r="D320" s="250"/>
      <c r="E320" s="213"/>
      <c r="F320" s="213"/>
      <c r="G320" s="213"/>
      <c r="H320" s="213"/>
      <c r="I320" s="213"/>
      <c r="J320" s="213"/>
      <c r="K320" s="213"/>
      <c r="L320" s="213"/>
      <c r="M320" s="213"/>
      <c r="N320" s="213"/>
      <c r="O320" s="213"/>
      <c r="P320" s="213"/>
      <c r="Q320" s="211">
        <f>INDEX($C$199:$AN$221, MATCH("New Customers 3MS", $C$199:$C$221, 0), MATCH($C320, $C$199:$AN$199, 0))</f>
        <v>0</v>
      </c>
      <c r="R320" s="211"/>
      <c r="S320" s="211"/>
      <c r="T320" s="211">
        <f>Q320*(E307)</f>
        <v>0</v>
      </c>
      <c r="U320" s="211"/>
      <c r="V320" s="211"/>
      <c r="W320" s="211">
        <f>Q320*(H307)</f>
        <v>0</v>
      </c>
      <c r="X320" s="211"/>
      <c r="Y320" s="211"/>
      <c r="Z320" s="211">
        <f>Q320*(K307)</f>
        <v>0</v>
      </c>
      <c r="AA320" s="211"/>
      <c r="AB320" s="211"/>
      <c r="AC320" s="211">
        <f>Q320*(N307)</f>
        <v>0</v>
      </c>
      <c r="AD320" s="211"/>
      <c r="AE320" s="211"/>
      <c r="AF320" s="211">
        <f>Q320*(Q307)</f>
        <v>0</v>
      </c>
      <c r="AG320" s="211"/>
      <c r="AH320" s="211"/>
      <c r="AI320" s="211">
        <f>Q320*(T307)</f>
        <v>0</v>
      </c>
      <c r="AJ320" s="211"/>
      <c r="AK320" s="211"/>
      <c r="AL320" s="211">
        <f>Q320*(W307)</f>
        <v>0</v>
      </c>
      <c r="AM320" s="211"/>
      <c r="AN320" s="211"/>
    </row>
    <row r="321" spans="2:40 16380:16380" s="7" customFormat="1" ht="12" hidden="1" customHeight="1" outlineLevel="3">
      <c r="B321" s="245"/>
      <c r="C321" s="250" t="s">
        <v>766</v>
      </c>
      <c r="D321" s="250"/>
      <c r="E321" s="213"/>
      <c r="F321" s="213"/>
      <c r="G321" s="213"/>
      <c r="H321" s="213"/>
      <c r="I321" s="213"/>
      <c r="J321" s="213"/>
      <c r="K321" s="213"/>
      <c r="L321" s="213"/>
      <c r="M321" s="213"/>
      <c r="N321" s="213"/>
      <c r="O321" s="213"/>
      <c r="P321" s="213"/>
      <c r="Q321" s="213"/>
      <c r="R321" s="211">
        <f>INDEX($C$199:$AN$221, MATCH("New Customers 3MS", $C$199:$C$221, 0), MATCH($C321, $C$199:$AN$199, 0))</f>
        <v>0</v>
      </c>
      <c r="S321" s="211"/>
      <c r="T321" s="211"/>
      <c r="U321" s="211">
        <f>R321*(E307)</f>
        <v>0</v>
      </c>
      <c r="V321" s="211"/>
      <c r="W321" s="211"/>
      <c r="X321" s="211">
        <f>R321*(H307)</f>
        <v>0</v>
      </c>
      <c r="Y321" s="211"/>
      <c r="Z321" s="211"/>
      <c r="AA321" s="211">
        <f>R321*(K307)</f>
        <v>0</v>
      </c>
      <c r="AB321" s="211"/>
      <c r="AC321" s="211"/>
      <c r="AD321" s="211">
        <f>R321*(N307)</f>
        <v>0</v>
      </c>
      <c r="AE321" s="211"/>
      <c r="AF321" s="211"/>
      <c r="AG321" s="211">
        <f>R321*(Q307)</f>
        <v>0</v>
      </c>
      <c r="AH321" s="211"/>
      <c r="AI321" s="211"/>
      <c r="AJ321" s="211">
        <f>R321*(T307)</f>
        <v>0</v>
      </c>
      <c r="AK321" s="211"/>
      <c r="AL321" s="211"/>
      <c r="AM321" s="211">
        <f>R321*(W307)</f>
        <v>0</v>
      </c>
      <c r="AN321" s="211"/>
      <c r="XEZ321" s="211"/>
    </row>
    <row r="322" spans="2:40 16380:16380" s="7" customFormat="1" ht="12" hidden="1" customHeight="1" outlineLevel="3">
      <c r="B322" s="245"/>
      <c r="C322" s="250" t="s">
        <v>767</v>
      </c>
      <c r="D322" s="250"/>
      <c r="E322" s="213"/>
      <c r="F322" s="213"/>
      <c r="G322" s="213"/>
      <c r="H322" s="213"/>
      <c r="I322" s="213"/>
      <c r="J322" s="213"/>
      <c r="K322" s="213"/>
      <c r="L322" s="213"/>
      <c r="M322" s="213"/>
      <c r="N322" s="213"/>
      <c r="O322" s="213"/>
      <c r="P322" s="213"/>
      <c r="Q322" s="213"/>
      <c r="R322" s="213"/>
      <c r="S322" s="211">
        <f>INDEX($C$199:$AN$221, MATCH("New Customers 3MS", $C$199:$C$221, 0), MATCH($C322, $C$199:$AN$199, 0))</f>
        <v>0</v>
      </c>
      <c r="T322" s="211"/>
      <c r="U322" s="211"/>
      <c r="V322" s="211">
        <f>S322*(E307)</f>
        <v>0</v>
      </c>
      <c r="W322" s="211"/>
      <c r="X322" s="211"/>
      <c r="Y322" s="211">
        <f>S322*(H307)</f>
        <v>0</v>
      </c>
      <c r="Z322" s="211"/>
      <c r="AA322" s="211"/>
      <c r="AB322" s="211">
        <f>S322*(K307)</f>
        <v>0</v>
      </c>
      <c r="AC322" s="211"/>
      <c r="AD322" s="211"/>
      <c r="AE322" s="211">
        <f>S322*(N307)</f>
        <v>0</v>
      </c>
      <c r="AF322" s="211"/>
      <c r="AG322" s="211"/>
      <c r="AH322" s="211">
        <f>S322*(Q307)</f>
        <v>0</v>
      </c>
      <c r="AI322" s="211"/>
      <c r="AJ322" s="211"/>
      <c r="AK322" s="211">
        <f>S322*(T307)</f>
        <v>0</v>
      </c>
      <c r="AL322" s="211"/>
      <c r="AM322" s="211"/>
      <c r="AN322" s="211">
        <f>S322*(W307)</f>
        <v>0</v>
      </c>
    </row>
    <row r="323" spans="2:40 16380:16380" s="7" customFormat="1" ht="12" hidden="1" customHeight="1" outlineLevel="3">
      <c r="B323" s="245"/>
      <c r="C323" s="250" t="s">
        <v>768</v>
      </c>
      <c r="D323" s="250"/>
      <c r="E323" s="213"/>
      <c r="F323" s="213"/>
      <c r="G323" s="213"/>
      <c r="H323" s="213"/>
      <c r="I323" s="213"/>
      <c r="J323" s="213"/>
      <c r="K323" s="213"/>
      <c r="L323" s="213"/>
      <c r="M323" s="213"/>
      <c r="N323" s="213"/>
      <c r="O323" s="213"/>
      <c r="P323" s="213"/>
      <c r="Q323" s="213"/>
      <c r="R323" s="213"/>
      <c r="S323" s="213"/>
      <c r="T323" s="211">
        <f>INDEX($C$199:$AN$221, MATCH("New Customers 3MS", $C$199:$C$221, 0), MATCH($C323, $C$199:$AN$199, 0))</f>
        <v>0</v>
      </c>
      <c r="U323" s="211"/>
      <c r="V323" s="211"/>
      <c r="W323" s="211">
        <f>T323*(E307)</f>
        <v>0</v>
      </c>
      <c r="X323" s="211"/>
      <c r="Y323" s="211"/>
      <c r="Z323" s="211">
        <f>T323*(H307)</f>
        <v>0</v>
      </c>
      <c r="AA323" s="211"/>
      <c r="AB323" s="211"/>
      <c r="AC323" s="211">
        <f>T323*(K307)</f>
        <v>0</v>
      </c>
      <c r="AD323" s="211"/>
      <c r="AE323" s="211"/>
      <c r="AF323" s="211">
        <f>T323*(N307)</f>
        <v>0</v>
      </c>
      <c r="AG323" s="211"/>
      <c r="AH323" s="211"/>
      <c r="AI323" s="211">
        <f>T323*(Q307)</f>
        <v>0</v>
      </c>
      <c r="AJ323" s="211"/>
      <c r="AK323" s="211"/>
      <c r="AL323" s="211">
        <f>T323*(T307)</f>
        <v>0</v>
      </c>
      <c r="AM323" s="211"/>
      <c r="AN323" s="211"/>
    </row>
    <row r="324" spans="2:40 16380:16380" s="7" customFormat="1" ht="12" hidden="1" customHeight="1" outlineLevel="3">
      <c r="B324" s="245"/>
      <c r="C324" s="250" t="s">
        <v>769</v>
      </c>
      <c r="D324" s="250"/>
      <c r="E324" s="213"/>
      <c r="F324" s="213"/>
      <c r="G324" s="213"/>
      <c r="H324" s="213"/>
      <c r="I324" s="213"/>
      <c r="J324" s="213"/>
      <c r="K324" s="213"/>
      <c r="L324" s="213"/>
      <c r="M324" s="213"/>
      <c r="N324" s="213"/>
      <c r="O324" s="213"/>
      <c r="P324" s="213"/>
      <c r="Q324" s="213"/>
      <c r="R324" s="213"/>
      <c r="S324" s="213"/>
      <c r="T324" s="213"/>
      <c r="U324" s="211">
        <f>INDEX($C$199:$AN$221, MATCH("New Customers 3MS", $C$199:$C$221, 0), MATCH($C324, $C$199:$AN$199, 0))</f>
        <v>0</v>
      </c>
      <c r="V324" s="211"/>
      <c r="W324" s="211"/>
      <c r="X324" s="211">
        <f>U324*(E307)</f>
        <v>0</v>
      </c>
      <c r="Y324" s="211"/>
      <c r="Z324" s="211"/>
      <c r="AA324" s="211">
        <f>U324*(H307)</f>
        <v>0</v>
      </c>
      <c r="AB324" s="211"/>
      <c r="AC324" s="211"/>
      <c r="AD324" s="211">
        <f>U324*(K307)</f>
        <v>0</v>
      </c>
      <c r="AE324" s="211"/>
      <c r="AF324" s="211"/>
      <c r="AG324" s="211">
        <f>U324*(N307)</f>
        <v>0</v>
      </c>
      <c r="AH324" s="211"/>
      <c r="AI324" s="211"/>
      <c r="AJ324" s="211">
        <f>U324*(Q307)</f>
        <v>0</v>
      </c>
      <c r="AK324" s="211"/>
      <c r="AL324" s="211"/>
      <c r="AM324" s="211">
        <f>U324*(T307)</f>
        <v>0</v>
      </c>
      <c r="AN324" s="211"/>
    </row>
    <row r="325" spans="2:40 16380:16380" s="7" customFormat="1" ht="12" hidden="1" customHeight="1" outlineLevel="3">
      <c r="B325" s="245"/>
      <c r="C325" s="250" t="s">
        <v>770</v>
      </c>
      <c r="D325" s="250"/>
      <c r="E325" s="213"/>
      <c r="F325" s="213"/>
      <c r="G325" s="213"/>
      <c r="H325" s="213"/>
      <c r="I325" s="213"/>
      <c r="J325" s="213"/>
      <c r="K325" s="213"/>
      <c r="L325" s="213"/>
      <c r="M325" s="213"/>
      <c r="N325" s="213"/>
      <c r="O325" s="213"/>
      <c r="P325" s="213"/>
      <c r="Q325" s="213"/>
      <c r="R325" s="213"/>
      <c r="S325" s="213"/>
      <c r="T325" s="213"/>
      <c r="U325" s="213"/>
      <c r="V325" s="211">
        <f>INDEX($C$199:$AN$221, MATCH("New Customers 3MS", $C$199:$C$221, 0), MATCH($C325, $C$199:$AN$199, 0))</f>
        <v>0</v>
      </c>
      <c r="W325" s="211"/>
      <c r="X325" s="211"/>
      <c r="Y325" s="211">
        <f>V325*(E307)</f>
        <v>0</v>
      </c>
      <c r="Z325" s="211"/>
      <c r="AA325" s="211"/>
      <c r="AB325" s="211">
        <f>V325*(H307)</f>
        <v>0</v>
      </c>
      <c r="AC325" s="211"/>
      <c r="AD325" s="211"/>
      <c r="AE325" s="211">
        <f>V325*(K307)</f>
        <v>0</v>
      </c>
      <c r="AF325" s="211"/>
      <c r="AG325" s="211"/>
      <c r="AH325" s="211">
        <f>V325*(N307)</f>
        <v>0</v>
      </c>
      <c r="AI325" s="211"/>
      <c r="AJ325" s="211"/>
      <c r="AK325" s="211">
        <f>V325*(Q307)</f>
        <v>0</v>
      </c>
      <c r="AL325" s="211"/>
      <c r="AM325" s="211"/>
      <c r="AN325" s="211">
        <f>V325*(T307)</f>
        <v>0</v>
      </c>
    </row>
    <row r="326" spans="2:40 16380:16380" s="7" customFormat="1" ht="12" hidden="1" customHeight="1" outlineLevel="3">
      <c r="B326" s="245"/>
      <c r="C326" s="250" t="s">
        <v>771</v>
      </c>
      <c r="D326" s="250"/>
      <c r="E326" s="213"/>
      <c r="F326" s="213"/>
      <c r="G326" s="213"/>
      <c r="H326" s="213"/>
      <c r="I326" s="213"/>
      <c r="J326" s="213"/>
      <c r="K326" s="213"/>
      <c r="L326" s="213"/>
      <c r="M326" s="213"/>
      <c r="N326" s="213"/>
      <c r="O326" s="213"/>
      <c r="P326" s="213"/>
      <c r="Q326" s="213"/>
      <c r="R326" s="213"/>
      <c r="S326" s="213"/>
      <c r="T326" s="213"/>
      <c r="U326" s="213"/>
      <c r="V326" s="213"/>
      <c r="W326" s="211">
        <f>INDEX($C$199:$AN$221, MATCH("New Customers 3MS", $C$199:$C$221, 0), MATCH($C326, $C$199:$AN$199, 0))</f>
        <v>0</v>
      </c>
      <c r="X326" s="211"/>
      <c r="Y326" s="211"/>
      <c r="Z326" s="211">
        <f>W326*(E307)</f>
        <v>0</v>
      </c>
      <c r="AA326" s="211"/>
      <c r="AB326" s="211"/>
      <c r="AC326" s="211">
        <f>W326*(H307)</f>
        <v>0</v>
      </c>
      <c r="AD326" s="211"/>
      <c r="AE326" s="211"/>
      <c r="AF326" s="211">
        <f>W326*(K307)</f>
        <v>0</v>
      </c>
      <c r="AG326" s="211"/>
      <c r="AH326" s="211"/>
      <c r="AI326" s="211">
        <f>W326*(N307)</f>
        <v>0</v>
      </c>
      <c r="AJ326" s="211"/>
      <c r="AK326" s="211"/>
      <c r="AL326" s="211">
        <f>W326*(Q307)</f>
        <v>0</v>
      </c>
      <c r="AM326" s="211"/>
      <c r="AN326" s="211"/>
    </row>
    <row r="327" spans="2:40 16380:16380" s="7" customFormat="1" ht="12" hidden="1" customHeight="1" outlineLevel="3">
      <c r="B327" s="245"/>
      <c r="C327" s="250" t="s">
        <v>772</v>
      </c>
      <c r="D327" s="250"/>
      <c r="E327" s="213"/>
      <c r="F327" s="213"/>
      <c r="G327" s="213"/>
      <c r="H327" s="213"/>
      <c r="I327" s="213"/>
      <c r="J327" s="213"/>
      <c r="K327" s="213"/>
      <c r="L327" s="213"/>
      <c r="M327" s="213"/>
      <c r="N327" s="213"/>
      <c r="O327" s="213"/>
      <c r="P327" s="213"/>
      <c r="Q327" s="213"/>
      <c r="R327" s="213"/>
      <c r="S327" s="213"/>
      <c r="T327" s="213"/>
      <c r="U327" s="213"/>
      <c r="V327" s="213"/>
      <c r="W327" s="213"/>
      <c r="X327" s="211">
        <f>INDEX($C$199:$AN$221, MATCH("New Customers 3MS", $C$199:$C$221, 0), MATCH($C327, $C$199:$AN$199, 0))</f>
        <v>0</v>
      </c>
      <c r="Y327" s="211"/>
      <c r="Z327" s="211"/>
      <c r="AA327" s="211">
        <f>X327*(E307)</f>
        <v>0</v>
      </c>
      <c r="AB327" s="211"/>
      <c r="AC327" s="211"/>
      <c r="AD327" s="211">
        <f>X327*(H307)</f>
        <v>0</v>
      </c>
      <c r="AE327" s="211"/>
      <c r="AF327" s="211"/>
      <c r="AG327" s="211">
        <f>X327*(K307)</f>
        <v>0</v>
      </c>
      <c r="AH327" s="211"/>
      <c r="AI327" s="211"/>
      <c r="AJ327" s="211">
        <f>X327*(N307)</f>
        <v>0</v>
      </c>
      <c r="AK327" s="211"/>
      <c r="AL327" s="211"/>
      <c r="AM327" s="211">
        <f>X327*(Q307)</f>
        <v>0</v>
      </c>
      <c r="AN327" s="211"/>
    </row>
    <row r="328" spans="2:40 16380:16380" s="7" customFormat="1" ht="12" hidden="1" customHeight="1" outlineLevel="3">
      <c r="B328" s="245"/>
      <c r="C328" s="250" t="s">
        <v>773</v>
      </c>
      <c r="D328" s="250"/>
      <c r="E328" s="213"/>
      <c r="F328" s="213"/>
      <c r="G328" s="213"/>
      <c r="H328" s="213"/>
      <c r="I328" s="213"/>
      <c r="J328" s="213"/>
      <c r="K328" s="213"/>
      <c r="L328" s="213"/>
      <c r="M328" s="213"/>
      <c r="N328" s="213"/>
      <c r="O328" s="213"/>
      <c r="P328" s="213"/>
      <c r="Q328" s="213"/>
      <c r="R328" s="213"/>
      <c r="S328" s="213"/>
      <c r="T328" s="213"/>
      <c r="U328" s="213"/>
      <c r="V328" s="213"/>
      <c r="W328" s="213"/>
      <c r="X328" s="213"/>
      <c r="Y328" s="211">
        <f>INDEX($C$199:$AN$221, MATCH("New Customers 3MS", $C$199:$C$221, 0), MATCH($C328, $C$199:$AN$199, 0))</f>
        <v>0</v>
      </c>
      <c r="Z328" s="211"/>
      <c r="AA328" s="211"/>
      <c r="AB328" s="211">
        <f>Y328*(E307)</f>
        <v>0</v>
      </c>
      <c r="AC328" s="211"/>
      <c r="AD328" s="211"/>
      <c r="AE328" s="211">
        <f>Y328*(H307)</f>
        <v>0</v>
      </c>
      <c r="AF328" s="211"/>
      <c r="AG328" s="211"/>
      <c r="AH328" s="211">
        <f>Y328*(K307)</f>
        <v>0</v>
      </c>
      <c r="AI328" s="211"/>
      <c r="AJ328" s="211"/>
      <c r="AK328" s="211">
        <f>Y328*(N307)</f>
        <v>0</v>
      </c>
      <c r="AL328" s="211"/>
      <c r="AM328" s="211"/>
      <c r="AN328" s="211">
        <f>Y328*(Q307)</f>
        <v>0</v>
      </c>
    </row>
    <row r="329" spans="2:40 16380:16380" s="7" customFormat="1" ht="12" hidden="1" customHeight="1" outlineLevel="3">
      <c r="B329" s="245"/>
      <c r="C329" s="250" t="s">
        <v>774</v>
      </c>
      <c r="D329" s="250"/>
      <c r="E329" s="213"/>
      <c r="F329" s="213"/>
      <c r="G329" s="213"/>
      <c r="H329" s="213"/>
      <c r="I329" s="213"/>
      <c r="J329" s="213"/>
      <c r="K329" s="213"/>
      <c r="L329" s="213"/>
      <c r="M329" s="213"/>
      <c r="N329" s="213"/>
      <c r="O329" s="213"/>
      <c r="P329" s="213"/>
      <c r="Q329" s="213"/>
      <c r="R329" s="213"/>
      <c r="S329" s="213"/>
      <c r="T329" s="213"/>
      <c r="U329" s="213"/>
      <c r="V329" s="213"/>
      <c r="W329" s="213"/>
      <c r="X329" s="213"/>
      <c r="Y329" s="213"/>
      <c r="Z329" s="211">
        <f>INDEX($C$199:$AN$221, MATCH("New Customers 3MS", $C$199:$C$221, 0), MATCH($C329, $C$199:$AN$199, 0))</f>
        <v>0</v>
      </c>
      <c r="AA329" s="211"/>
      <c r="AB329" s="211"/>
      <c r="AC329" s="211">
        <f>Z329*(E307)</f>
        <v>0</v>
      </c>
      <c r="AD329" s="211"/>
      <c r="AE329" s="211"/>
      <c r="AF329" s="211">
        <f>Z329*(H307)</f>
        <v>0</v>
      </c>
      <c r="AG329" s="211"/>
      <c r="AH329" s="211"/>
      <c r="AI329" s="211">
        <f>Z329*(K307)</f>
        <v>0</v>
      </c>
      <c r="AJ329" s="211"/>
      <c r="AK329" s="211"/>
      <c r="AL329" s="211">
        <f>Z329*(N307)</f>
        <v>0</v>
      </c>
      <c r="AM329" s="211"/>
      <c r="AN329" s="211"/>
    </row>
    <row r="330" spans="2:40 16380:16380" s="7" customFormat="1" ht="12" hidden="1" customHeight="1" outlineLevel="3">
      <c r="B330" s="245"/>
      <c r="C330" s="250" t="s">
        <v>775</v>
      </c>
      <c r="D330" s="250"/>
      <c r="E330" s="213"/>
      <c r="F330" s="213"/>
      <c r="G330" s="213"/>
      <c r="H330" s="213"/>
      <c r="I330" s="213"/>
      <c r="J330" s="213"/>
      <c r="K330" s="213"/>
      <c r="L330" s="213"/>
      <c r="M330" s="213"/>
      <c r="N330" s="213"/>
      <c r="O330" s="213"/>
      <c r="P330" s="213"/>
      <c r="Q330" s="213"/>
      <c r="R330" s="213"/>
      <c r="S330" s="213"/>
      <c r="T330" s="213"/>
      <c r="U330" s="213"/>
      <c r="V330" s="213"/>
      <c r="W330" s="213"/>
      <c r="X330" s="213"/>
      <c r="Y330" s="213"/>
      <c r="Z330" s="213"/>
      <c r="AA330" s="211">
        <f>INDEX($C$199:$AN$221, MATCH("New Customers 3MS", $C$199:$C$221, 0), MATCH($C330, $C$199:$AN$199, 0))</f>
        <v>0</v>
      </c>
      <c r="AB330" s="211"/>
      <c r="AC330" s="211"/>
      <c r="AD330" s="211">
        <f>AA330*(E307)</f>
        <v>0</v>
      </c>
      <c r="AE330" s="211"/>
      <c r="AF330" s="211"/>
      <c r="AG330" s="211">
        <f>AA330*(H307)</f>
        <v>0</v>
      </c>
      <c r="AH330" s="211"/>
      <c r="AI330" s="211"/>
      <c r="AJ330" s="211">
        <f>AA330*(K307)</f>
        <v>0</v>
      </c>
      <c r="AK330" s="211"/>
      <c r="AL330" s="211"/>
      <c r="AM330" s="211">
        <f>AA330*(N307)</f>
        <v>0</v>
      </c>
      <c r="AN330" s="211"/>
    </row>
    <row r="331" spans="2:40 16380:16380" s="7" customFormat="1" ht="12" hidden="1" customHeight="1" outlineLevel="3">
      <c r="B331" s="245"/>
      <c r="C331" s="250" t="s">
        <v>776</v>
      </c>
      <c r="D331" s="250"/>
      <c r="E331" s="213"/>
      <c r="F331" s="213"/>
      <c r="G331" s="213"/>
      <c r="H331" s="213"/>
      <c r="I331" s="213"/>
      <c r="J331" s="213"/>
      <c r="K331" s="213"/>
      <c r="L331" s="213"/>
      <c r="M331" s="213"/>
      <c r="N331" s="213"/>
      <c r="O331" s="213"/>
      <c r="P331" s="213"/>
      <c r="Q331" s="213"/>
      <c r="R331" s="213"/>
      <c r="S331" s="213"/>
      <c r="T331" s="213"/>
      <c r="U331" s="213"/>
      <c r="V331" s="213"/>
      <c r="W331" s="213"/>
      <c r="X331" s="213"/>
      <c r="Y331" s="213"/>
      <c r="Z331" s="213"/>
      <c r="AA331" s="213"/>
      <c r="AB331" s="211">
        <f>INDEX($C$199:$AN$221, MATCH("New Customers 3MS", $C$199:$C$221, 0), MATCH($C331, $C$199:$AN$199, 0))</f>
        <v>0</v>
      </c>
      <c r="AC331" s="211"/>
      <c r="AD331" s="211"/>
      <c r="AE331" s="211">
        <f>AB331*(E307)</f>
        <v>0</v>
      </c>
      <c r="AF331" s="211"/>
      <c r="AG331" s="211"/>
      <c r="AH331" s="211">
        <f>AB331*(H307)</f>
        <v>0</v>
      </c>
      <c r="AI331" s="211"/>
      <c r="AJ331" s="211"/>
      <c r="AK331" s="211">
        <f>AB331*($K$153)</f>
        <v>0</v>
      </c>
      <c r="AL331" s="211"/>
      <c r="AM331" s="211"/>
      <c r="AN331" s="211">
        <f>AB331*(N307)</f>
        <v>0</v>
      </c>
    </row>
    <row r="332" spans="2:40 16380:16380" s="7" customFormat="1" ht="12" hidden="1" customHeight="1" outlineLevel="3">
      <c r="B332" s="245"/>
      <c r="C332" s="250" t="s">
        <v>777</v>
      </c>
      <c r="D332" s="250"/>
      <c r="E332" s="213"/>
      <c r="F332" s="213"/>
      <c r="G332" s="213"/>
      <c r="H332" s="213"/>
      <c r="I332" s="213"/>
      <c r="J332" s="213"/>
      <c r="K332" s="213"/>
      <c r="L332" s="213"/>
      <c r="M332" s="213"/>
      <c r="N332" s="213"/>
      <c r="O332" s="213"/>
      <c r="P332" s="213"/>
      <c r="Q332" s="213"/>
      <c r="R332" s="213"/>
      <c r="S332" s="213"/>
      <c r="T332" s="213"/>
      <c r="U332" s="213"/>
      <c r="V332" s="213"/>
      <c r="W332" s="213"/>
      <c r="X332" s="213"/>
      <c r="Y332" s="213"/>
      <c r="Z332" s="213"/>
      <c r="AA332" s="213"/>
      <c r="AB332" s="211"/>
      <c r="AC332" s="211">
        <f>INDEX($C$199:$AN$221, MATCH("New Customers 3MS", $C$199:$C$221, 0), MATCH($C332, $C$199:$AN$199, 0))</f>
        <v>0</v>
      </c>
      <c r="AD332" s="211"/>
      <c r="AE332" s="211"/>
      <c r="AF332" s="211">
        <f>AC332*($E$153)</f>
        <v>0</v>
      </c>
      <c r="AG332" s="211"/>
      <c r="AH332" s="211"/>
      <c r="AI332" s="211">
        <f>AB331*($H$153)</f>
        <v>0</v>
      </c>
      <c r="AJ332" s="211"/>
      <c r="AK332" s="211"/>
      <c r="AL332" s="211">
        <f>AC332*($K$153)</f>
        <v>0</v>
      </c>
      <c r="AM332" s="211"/>
      <c r="AN332" s="211"/>
    </row>
    <row r="333" spans="2:40 16380:16380" s="7" customFormat="1" ht="12" hidden="1" customHeight="1" outlineLevel="3">
      <c r="B333" s="245"/>
      <c r="C333" s="250" t="s">
        <v>778</v>
      </c>
      <c r="D333" s="250"/>
      <c r="E333" s="213"/>
      <c r="F333" s="213"/>
      <c r="G333" s="213"/>
      <c r="H333" s="213"/>
      <c r="I333" s="213"/>
      <c r="J333" s="213"/>
      <c r="K333" s="213"/>
      <c r="L333" s="213"/>
      <c r="M333" s="213"/>
      <c r="N333" s="213"/>
      <c r="O333" s="213"/>
      <c r="P333" s="213"/>
      <c r="Q333" s="213"/>
      <c r="R333" s="213"/>
      <c r="S333" s="213"/>
      <c r="T333" s="213"/>
      <c r="U333" s="213"/>
      <c r="V333" s="213"/>
      <c r="W333" s="213"/>
      <c r="X333" s="213"/>
      <c r="Y333" s="213"/>
      <c r="Z333" s="213"/>
      <c r="AA333" s="213"/>
      <c r="AB333" s="211"/>
      <c r="AC333" s="211"/>
      <c r="AD333" s="211">
        <f>INDEX($C$199:$AN$221, MATCH("New Customers 3MS", $C$199:$C$221, 0), MATCH($C333, $C$199:$AN$199, 0))</f>
        <v>0</v>
      </c>
      <c r="AE333" s="211"/>
      <c r="AF333" s="211"/>
      <c r="AG333" s="211">
        <f>AD333*($E$153)</f>
        <v>0</v>
      </c>
      <c r="AH333" s="211"/>
      <c r="AI333" s="211"/>
      <c r="AJ333" s="211">
        <f>AB331*($H$153)</f>
        <v>0</v>
      </c>
      <c r="AK333" s="211"/>
      <c r="AL333" s="211"/>
      <c r="AM333" s="211">
        <f>AD333*($K$153)</f>
        <v>0</v>
      </c>
      <c r="AN333" s="211"/>
    </row>
    <row r="334" spans="2:40 16380:16380" s="7" customFormat="1" ht="12" hidden="1" customHeight="1" outlineLevel="3">
      <c r="B334" s="245"/>
      <c r="C334" s="250" t="s">
        <v>779</v>
      </c>
      <c r="D334" s="250"/>
      <c r="E334" s="213"/>
      <c r="F334" s="213"/>
      <c r="G334" s="213"/>
      <c r="H334" s="213"/>
      <c r="I334" s="213"/>
      <c r="J334" s="213"/>
      <c r="K334" s="213"/>
      <c r="L334" s="213"/>
      <c r="M334" s="213"/>
      <c r="N334" s="213"/>
      <c r="O334" s="213"/>
      <c r="P334" s="213"/>
      <c r="Q334" s="213"/>
      <c r="R334" s="213"/>
      <c r="S334" s="213"/>
      <c r="T334" s="213"/>
      <c r="U334" s="213"/>
      <c r="V334" s="213"/>
      <c r="W334" s="213"/>
      <c r="X334" s="213"/>
      <c r="Y334" s="213"/>
      <c r="Z334" s="213"/>
      <c r="AA334" s="213"/>
      <c r="AB334" s="211"/>
      <c r="AC334" s="211"/>
      <c r="AD334" s="211"/>
      <c r="AE334" s="211">
        <f>INDEX($C$199:$AN$221, MATCH("New Customers 3MS", $C$199:$C$221, 0), MATCH($C334, $C$199:$AN$199, 0))</f>
        <v>0</v>
      </c>
      <c r="AF334" s="211"/>
      <c r="AG334" s="211"/>
      <c r="AH334" s="211">
        <f>AE334*($E$153)</f>
        <v>0</v>
      </c>
      <c r="AI334" s="211"/>
      <c r="AJ334" s="211"/>
      <c r="AK334" s="211">
        <f>AB331*($H$153)</f>
        <v>0</v>
      </c>
      <c r="AL334" s="211"/>
      <c r="AM334" s="211"/>
      <c r="AN334" s="211">
        <f>AE334*($K$153)</f>
        <v>0</v>
      </c>
    </row>
    <row r="335" spans="2:40 16380:16380" s="7" customFormat="1" ht="12" hidden="1" customHeight="1" outlineLevel="3">
      <c r="B335" s="245"/>
      <c r="C335" s="250" t="s">
        <v>780</v>
      </c>
      <c r="D335" s="250"/>
      <c r="E335" s="213"/>
      <c r="F335" s="213"/>
      <c r="G335" s="213"/>
      <c r="H335" s="213"/>
      <c r="I335" s="213"/>
      <c r="J335" s="213"/>
      <c r="K335" s="213"/>
      <c r="L335" s="213"/>
      <c r="M335" s="213"/>
      <c r="N335" s="213"/>
      <c r="O335" s="213"/>
      <c r="P335" s="213"/>
      <c r="Q335" s="213"/>
      <c r="R335" s="213"/>
      <c r="S335" s="213"/>
      <c r="T335" s="213"/>
      <c r="U335" s="213"/>
      <c r="V335" s="213"/>
      <c r="W335" s="213"/>
      <c r="X335" s="213"/>
      <c r="Y335" s="213"/>
      <c r="Z335" s="213"/>
      <c r="AA335" s="213"/>
      <c r="AB335" s="211"/>
      <c r="AC335" s="211"/>
      <c r="AD335" s="211"/>
      <c r="AE335" s="211"/>
      <c r="AF335" s="211">
        <f>INDEX($C$199:$AN$221, MATCH("New Customers 3MS", $C$199:$C$221, 0), MATCH($C335, $C$199:$AN$199, 0))</f>
        <v>0</v>
      </c>
      <c r="AG335" s="211"/>
      <c r="AH335" s="211"/>
      <c r="AI335" s="211">
        <f>AF335*($E$153)</f>
        <v>0</v>
      </c>
      <c r="AJ335" s="211"/>
      <c r="AK335" s="211"/>
      <c r="AL335" s="211">
        <f>AB331*($H$153)</f>
        <v>0</v>
      </c>
      <c r="AM335" s="211"/>
      <c r="AN335" s="211"/>
    </row>
    <row r="336" spans="2:40 16380:16380" s="7" customFormat="1" ht="12" hidden="1" customHeight="1" outlineLevel="3">
      <c r="B336" s="245"/>
      <c r="C336" s="250" t="s">
        <v>781</v>
      </c>
      <c r="D336" s="250"/>
      <c r="E336" s="213"/>
      <c r="F336" s="213"/>
      <c r="G336" s="213"/>
      <c r="H336" s="213"/>
      <c r="I336" s="213"/>
      <c r="J336" s="213"/>
      <c r="K336" s="213"/>
      <c r="L336" s="213"/>
      <c r="M336" s="213"/>
      <c r="N336" s="213"/>
      <c r="O336" s="213"/>
      <c r="P336" s="213"/>
      <c r="Q336" s="213"/>
      <c r="R336" s="213"/>
      <c r="S336" s="213"/>
      <c r="T336" s="213"/>
      <c r="U336" s="213"/>
      <c r="V336" s="213"/>
      <c r="W336" s="213"/>
      <c r="X336" s="213"/>
      <c r="Y336" s="213"/>
      <c r="Z336" s="213"/>
      <c r="AA336" s="213"/>
      <c r="AB336" s="211"/>
      <c r="AC336" s="211"/>
      <c r="AD336" s="211"/>
      <c r="AE336" s="211"/>
      <c r="AF336" s="211"/>
      <c r="AG336" s="211">
        <f>INDEX($C$199:$AN$221, MATCH("New Customers 3MS", $C$199:$C$221, 0), MATCH($C336, $C$199:$AN$199, 0))</f>
        <v>0</v>
      </c>
      <c r="AH336" s="211"/>
      <c r="AI336" s="211"/>
      <c r="AJ336" s="211">
        <f>AG336*($E$153)</f>
        <v>0</v>
      </c>
      <c r="AK336" s="211"/>
      <c r="AL336" s="211"/>
      <c r="AM336" s="211">
        <f>AB331*($H$153)</f>
        <v>0</v>
      </c>
      <c r="AN336" s="211"/>
    </row>
    <row r="337" spans="2:40" s="7" customFormat="1" ht="12" hidden="1" customHeight="1" outlineLevel="3">
      <c r="B337" s="245"/>
      <c r="C337" s="250" t="s">
        <v>782</v>
      </c>
      <c r="D337" s="250"/>
      <c r="E337" s="213"/>
      <c r="F337" s="213"/>
      <c r="G337" s="213"/>
      <c r="H337" s="213"/>
      <c r="I337" s="213"/>
      <c r="J337" s="213"/>
      <c r="K337" s="213"/>
      <c r="L337" s="213"/>
      <c r="M337" s="213"/>
      <c r="N337" s="213"/>
      <c r="O337" s="213"/>
      <c r="P337" s="213"/>
      <c r="Q337" s="213"/>
      <c r="R337" s="213"/>
      <c r="S337" s="213"/>
      <c r="T337" s="213"/>
      <c r="U337" s="213"/>
      <c r="V337" s="213"/>
      <c r="W337" s="213"/>
      <c r="X337" s="213"/>
      <c r="Y337" s="213"/>
      <c r="Z337" s="213"/>
      <c r="AA337" s="213"/>
      <c r="AB337" s="211"/>
      <c r="AC337" s="211"/>
      <c r="AD337" s="211"/>
      <c r="AE337" s="211"/>
      <c r="AF337" s="211"/>
      <c r="AG337" s="211"/>
      <c r="AH337" s="211">
        <f>INDEX($C$199:$AN$221, MATCH("New Customers 3MS", $C$199:$C$221, 0), MATCH($C337, $C$199:$AN$199, 0))</f>
        <v>0</v>
      </c>
      <c r="AI337" s="211"/>
      <c r="AJ337" s="211"/>
      <c r="AK337" s="211">
        <f>AH337*($E$153)</f>
        <v>0</v>
      </c>
      <c r="AL337" s="211"/>
      <c r="AM337" s="211"/>
      <c r="AN337" s="211">
        <f>AB331*($H$153)</f>
        <v>0</v>
      </c>
    </row>
    <row r="338" spans="2:40" s="7" customFormat="1" ht="12" hidden="1" customHeight="1" outlineLevel="3">
      <c r="B338" s="245"/>
      <c r="C338" s="250" t="s">
        <v>783</v>
      </c>
      <c r="D338" s="250"/>
      <c r="E338" s="213"/>
      <c r="F338" s="213"/>
      <c r="G338" s="213"/>
      <c r="H338" s="213"/>
      <c r="I338" s="213"/>
      <c r="J338" s="213"/>
      <c r="K338" s="213"/>
      <c r="L338" s="213"/>
      <c r="M338" s="213"/>
      <c r="N338" s="213"/>
      <c r="O338" s="213"/>
      <c r="P338" s="213"/>
      <c r="Q338" s="213"/>
      <c r="R338" s="213"/>
      <c r="S338" s="213"/>
      <c r="T338" s="213"/>
      <c r="U338" s="213"/>
      <c r="V338" s="213"/>
      <c r="W338" s="213"/>
      <c r="X338" s="213"/>
      <c r="Y338" s="213"/>
      <c r="Z338" s="213"/>
      <c r="AA338" s="213"/>
      <c r="AB338" s="211"/>
      <c r="AC338" s="211"/>
      <c r="AD338" s="211"/>
      <c r="AE338" s="211"/>
      <c r="AF338" s="211"/>
      <c r="AG338" s="211"/>
      <c r="AH338" s="211"/>
      <c r="AI338" s="211">
        <f>INDEX($C$199:$AN$221, MATCH("New Customers 3MS", $C$199:$C$221, 0), MATCH($C338, $C$199:$AN$199, 0))</f>
        <v>0</v>
      </c>
      <c r="AJ338" s="211"/>
      <c r="AK338" s="211"/>
      <c r="AL338" s="211">
        <f>AI338*($E$153)</f>
        <v>0</v>
      </c>
      <c r="AM338" s="211"/>
      <c r="AN338" s="211"/>
    </row>
    <row r="339" spans="2:40" s="7" customFormat="1" ht="12" hidden="1" customHeight="1" outlineLevel="3">
      <c r="B339" s="245"/>
      <c r="C339" s="250" t="s">
        <v>784</v>
      </c>
      <c r="D339" s="250"/>
      <c r="E339" s="213"/>
      <c r="F339" s="213"/>
      <c r="G339" s="213"/>
      <c r="H339" s="213"/>
      <c r="I339" s="213"/>
      <c r="J339" s="213"/>
      <c r="K339" s="213"/>
      <c r="L339" s="213"/>
      <c r="M339" s="213"/>
      <c r="N339" s="213"/>
      <c r="O339" s="213"/>
      <c r="P339" s="213"/>
      <c r="Q339" s="213"/>
      <c r="R339" s="213"/>
      <c r="S339" s="213"/>
      <c r="T339" s="213"/>
      <c r="U339" s="213"/>
      <c r="V339" s="213"/>
      <c r="W339" s="213"/>
      <c r="X339" s="213"/>
      <c r="Y339" s="213"/>
      <c r="Z339" s="213"/>
      <c r="AA339" s="213"/>
      <c r="AB339" s="211"/>
      <c r="AC339" s="211"/>
      <c r="AD339" s="211"/>
      <c r="AE339" s="211"/>
      <c r="AF339" s="211"/>
      <c r="AG339" s="211"/>
      <c r="AH339" s="211"/>
      <c r="AI339" s="211"/>
      <c r="AJ339" s="211">
        <f>INDEX($C$199:$AN$221, MATCH("New Customers 3MS", $C$199:$C$221, 0), MATCH($C339, $C$199:$AN$199, 0))</f>
        <v>0</v>
      </c>
      <c r="AK339" s="211"/>
      <c r="AL339" s="211"/>
      <c r="AM339" s="211">
        <f>AJ339*($E$153)</f>
        <v>0</v>
      </c>
      <c r="AN339" s="211"/>
    </row>
    <row r="340" spans="2:40" s="7" customFormat="1" ht="12" hidden="1" customHeight="1" outlineLevel="3">
      <c r="B340" s="245"/>
      <c r="C340" s="250" t="s">
        <v>785</v>
      </c>
      <c r="D340" s="250"/>
      <c r="E340" s="213"/>
      <c r="F340" s="213"/>
      <c r="G340" s="213"/>
      <c r="H340" s="213"/>
      <c r="I340" s="213"/>
      <c r="J340" s="213"/>
      <c r="K340" s="213"/>
      <c r="L340" s="213"/>
      <c r="M340" s="213"/>
      <c r="N340" s="213"/>
      <c r="O340" s="213"/>
      <c r="P340" s="213"/>
      <c r="Q340" s="213"/>
      <c r="R340" s="213"/>
      <c r="S340" s="213"/>
      <c r="T340" s="213"/>
      <c r="U340" s="213"/>
      <c r="V340" s="213"/>
      <c r="W340" s="213"/>
      <c r="X340" s="213"/>
      <c r="Y340" s="213"/>
      <c r="Z340" s="213"/>
      <c r="AA340" s="213"/>
      <c r="AB340" s="211"/>
      <c r="AC340" s="211"/>
      <c r="AD340" s="211"/>
      <c r="AE340" s="211"/>
      <c r="AF340" s="211"/>
      <c r="AG340" s="211"/>
      <c r="AH340" s="211"/>
      <c r="AI340" s="211"/>
      <c r="AJ340" s="211"/>
      <c r="AK340" s="211">
        <f>INDEX($C$199:$AN$221, MATCH("New Customers 3MS", $C$199:$C$221, 0), MATCH($C340, $C$199:$AN$199, 0))</f>
        <v>0</v>
      </c>
      <c r="AL340" s="211"/>
      <c r="AM340" s="211"/>
      <c r="AN340" s="211">
        <f>AK340*($E$153)</f>
        <v>0</v>
      </c>
    </row>
    <row r="341" spans="2:40" s="7" customFormat="1" ht="12" hidden="1" customHeight="1" outlineLevel="3">
      <c r="B341" s="245"/>
      <c r="C341" s="250" t="s">
        <v>786</v>
      </c>
      <c r="D341" s="250"/>
      <c r="E341" s="213"/>
      <c r="F341" s="213"/>
      <c r="G341" s="213"/>
      <c r="H341" s="213"/>
      <c r="I341" s="213"/>
      <c r="J341" s="213"/>
      <c r="K341" s="213"/>
      <c r="L341" s="213"/>
      <c r="M341" s="213"/>
      <c r="N341" s="213"/>
      <c r="O341" s="213"/>
      <c r="P341" s="213"/>
      <c r="Q341" s="213"/>
      <c r="R341" s="213"/>
      <c r="S341" s="213"/>
      <c r="T341" s="213"/>
      <c r="U341" s="213"/>
      <c r="V341" s="213"/>
      <c r="W341" s="213"/>
      <c r="X341" s="213"/>
      <c r="Y341" s="213"/>
      <c r="Z341" s="213"/>
      <c r="AA341" s="213"/>
      <c r="AB341" s="211"/>
      <c r="AC341" s="211"/>
      <c r="AD341" s="211"/>
      <c r="AE341" s="211"/>
      <c r="AF341" s="211"/>
      <c r="AG341" s="211"/>
      <c r="AH341" s="211"/>
      <c r="AI341" s="211"/>
      <c r="AJ341" s="211"/>
      <c r="AK341" s="211"/>
      <c r="AL341" s="211">
        <f>INDEX($C$199:$AN$221, MATCH("New Customers 3MS", $C$199:$C$221, 0), MATCH($C341, $C$199:$AN$199, 0))</f>
        <v>0</v>
      </c>
      <c r="AM341" s="211"/>
      <c r="AN341" s="211"/>
    </row>
    <row r="342" spans="2:40" s="7" customFormat="1" ht="12" hidden="1" customHeight="1" outlineLevel="3">
      <c r="B342" s="245"/>
      <c r="C342" s="250" t="s">
        <v>787</v>
      </c>
      <c r="D342" s="250"/>
      <c r="E342" s="213"/>
      <c r="F342" s="213"/>
      <c r="G342" s="213"/>
      <c r="H342" s="213"/>
      <c r="I342" s="213"/>
      <c r="J342" s="213"/>
      <c r="K342" s="213"/>
      <c r="L342" s="213"/>
      <c r="M342" s="213"/>
      <c r="N342" s="213"/>
      <c r="O342" s="213"/>
      <c r="P342" s="213"/>
      <c r="Q342" s="213"/>
      <c r="R342" s="213"/>
      <c r="S342" s="213"/>
      <c r="T342" s="213"/>
      <c r="U342" s="213"/>
      <c r="V342" s="213"/>
      <c r="W342" s="213"/>
      <c r="X342" s="213"/>
      <c r="Y342" s="213"/>
      <c r="Z342" s="213"/>
      <c r="AA342" s="213"/>
      <c r="AB342" s="211"/>
      <c r="AC342" s="211"/>
      <c r="AD342" s="211"/>
      <c r="AE342" s="211"/>
      <c r="AF342" s="211"/>
      <c r="AG342" s="211"/>
      <c r="AH342" s="211"/>
      <c r="AI342" s="211"/>
      <c r="AJ342" s="211"/>
      <c r="AK342" s="211"/>
      <c r="AL342" s="211"/>
      <c r="AM342" s="211">
        <f>INDEX($C$199:$AN$221, MATCH("New Customers 3MS", $C$199:$C$221, 0), MATCH($C342, $C$199:$AN$199, 0))</f>
        <v>0</v>
      </c>
      <c r="AN342" s="211"/>
    </row>
    <row r="343" spans="2:40" s="7" customFormat="1" ht="12" hidden="1" customHeight="1" outlineLevel="3">
      <c r="B343" s="245"/>
      <c r="C343" s="250" t="s">
        <v>788</v>
      </c>
      <c r="D343" s="250"/>
      <c r="E343" s="213"/>
      <c r="F343" s="213"/>
      <c r="G343" s="213"/>
      <c r="H343" s="213"/>
      <c r="I343" s="213"/>
      <c r="J343" s="213"/>
      <c r="K343" s="213"/>
      <c r="L343" s="213"/>
      <c r="M343" s="213"/>
      <c r="N343" s="213"/>
      <c r="O343" s="213"/>
      <c r="P343" s="213"/>
      <c r="Q343" s="213"/>
      <c r="R343" s="213"/>
      <c r="S343" s="213"/>
      <c r="T343" s="213"/>
      <c r="U343" s="213"/>
      <c r="V343" s="213"/>
      <c r="W343" s="213"/>
      <c r="X343" s="213"/>
      <c r="Y343" s="213"/>
      <c r="Z343" s="213"/>
      <c r="AA343" s="213"/>
      <c r="AB343" s="211"/>
      <c r="AC343" s="211"/>
      <c r="AD343" s="211"/>
      <c r="AE343" s="211"/>
      <c r="AF343" s="211"/>
      <c r="AG343" s="211"/>
      <c r="AH343" s="211"/>
      <c r="AI343" s="211"/>
      <c r="AJ343" s="211"/>
      <c r="AK343" s="211"/>
      <c r="AL343" s="211"/>
      <c r="AM343" s="211"/>
      <c r="AN343" s="211">
        <f>INDEX($C$199:$AN$221, MATCH("New Customers 3MS", $C$199:$C$221, 0), MATCH($C343, $C$199:$AN$199, 0))</f>
        <v>0</v>
      </c>
    </row>
    <row r="344" spans="2:40" s="7" customFormat="1" ht="12" hidden="1" customHeight="1" outlineLevel="2" collapsed="1">
      <c r="B344" s="245"/>
      <c r="C344" s="250"/>
      <c r="D344" s="250"/>
      <c r="E344" s="213"/>
      <c r="F344" s="213"/>
      <c r="G344" s="213"/>
      <c r="H344" s="213"/>
      <c r="I344" s="213"/>
      <c r="J344" s="213"/>
      <c r="K344" s="213"/>
      <c r="L344" s="213"/>
      <c r="M344" s="213"/>
      <c r="N344" s="213"/>
      <c r="O344" s="213"/>
      <c r="P344" s="213"/>
      <c r="Q344" s="213"/>
      <c r="R344" s="213"/>
      <c r="S344" s="213"/>
      <c r="T344" s="213"/>
      <c r="U344" s="213"/>
      <c r="V344" s="213"/>
      <c r="W344" s="213"/>
      <c r="X344" s="213"/>
      <c r="Y344" s="213"/>
      <c r="Z344" s="213"/>
      <c r="AA344" s="213"/>
      <c r="AB344" s="211"/>
      <c r="AC344" s="211"/>
      <c r="AD344" s="211"/>
      <c r="AE344" s="211"/>
      <c r="AF344" s="211"/>
      <c r="AG344" s="211"/>
      <c r="AH344" s="211"/>
      <c r="AI344" s="211"/>
      <c r="AJ344" s="211"/>
      <c r="AK344" s="211"/>
      <c r="AL344" s="211"/>
      <c r="AM344" s="211"/>
      <c r="AN344" s="211"/>
    </row>
    <row r="345" spans="2:40" s="7" customFormat="1" ht="12" customHeight="1" outlineLevel="1" collapsed="1">
      <c r="B345" s="239"/>
      <c r="C345" s="243" t="s">
        <v>855</v>
      </c>
      <c r="D345" s="212"/>
      <c r="E345" s="214"/>
      <c r="F345" s="214"/>
      <c r="G345" s="214"/>
      <c r="H345" s="214"/>
      <c r="I345" s="214"/>
      <c r="J345" s="214"/>
      <c r="K345" s="214"/>
      <c r="L345" s="214"/>
      <c r="M345" s="214"/>
      <c r="N345" s="214"/>
      <c r="O345" s="214"/>
      <c r="P345" s="214"/>
      <c r="Q345" s="214"/>
      <c r="R345" s="214"/>
      <c r="S345" s="214"/>
      <c r="T345" s="214"/>
      <c r="U345" s="214"/>
      <c r="V345" s="214"/>
      <c r="W345" s="214"/>
      <c r="X345" s="214"/>
      <c r="Y345" s="214"/>
      <c r="Z345" s="214"/>
      <c r="AA345" s="214"/>
      <c r="AB345" s="214"/>
      <c r="AC345" s="215"/>
    </row>
    <row r="346" spans="2:40" s="7" customFormat="1" ht="12" customHeight="1" outlineLevel="1">
      <c r="B346" s="239"/>
      <c r="C346" s="214"/>
      <c r="D346" s="212"/>
      <c r="E346" s="214"/>
      <c r="F346" s="214"/>
      <c r="G346" s="214"/>
      <c r="H346" s="214"/>
      <c r="I346" s="214"/>
      <c r="J346" s="214"/>
      <c r="K346" s="214"/>
      <c r="L346" s="214"/>
      <c r="M346" s="214"/>
      <c r="N346" s="214"/>
      <c r="O346" s="214"/>
      <c r="P346" s="214"/>
      <c r="Q346" s="214"/>
      <c r="R346" s="214"/>
      <c r="S346" s="214"/>
      <c r="T346" s="214"/>
      <c r="U346" s="214"/>
      <c r="V346" s="214"/>
      <c r="W346" s="214"/>
      <c r="X346" s="214"/>
      <c r="Y346" s="214"/>
      <c r="Z346" s="214"/>
      <c r="AA346" s="214"/>
      <c r="AB346" s="214"/>
      <c r="AC346" s="214"/>
    </row>
    <row r="347" spans="2:40" s="7" customFormat="1" outlineLevel="1">
      <c r="B347" s="235"/>
      <c r="C347" s="10"/>
      <c r="D347" s="10"/>
    </row>
    <row r="348" spans="2:40" s="207" customFormat="1">
      <c r="C348" s="248" t="s">
        <v>862</v>
      </c>
    </row>
    <row r="349" spans="2:40" s="7" customFormat="1" ht="12" customHeight="1" outlineLevel="1">
      <c r="B349" s="237"/>
      <c r="C349" s="208"/>
      <c r="D349" s="208"/>
      <c r="E349" s="196" t="s">
        <v>753</v>
      </c>
      <c r="F349" s="196" t="s">
        <v>754</v>
      </c>
      <c r="G349" s="196" t="s">
        <v>755</v>
      </c>
      <c r="H349" s="196" t="s">
        <v>756</v>
      </c>
      <c r="I349" s="196" t="s">
        <v>757</v>
      </c>
      <c r="J349" s="196" t="s">
        <v>758</v>
      </c>
      <c r="K349" s="196" t="s">
        <v>759</v>
      </c>
      <c r="L349" s="196" t="s">
        <v>760</v>
      </c>
      <c r="M349" s="196" t="s">
        <v>761</v>
      </c>
      <c r="N349" s="196" t="s">
        <v>762</v>
      </c>
      <c r="O349" s="196" t="s">
        <v>763</v>
      </c>
      <c r="P349" s="196" t="s">
        <v>764</v>
      </c>
      <c r="Q349" s="196" t="s">
        <v>765</v>
      </c>
      <c r="R349" s="196" t="s">
        <v>766</v>
      </c>
      <c r="S349" s="196" t="s">
        <v>767</v>
      </c>
      <c r="T349" s="196" t="s">
        <v>768</v>
      </c>
      <c r="U349" s="196" t="s">
        <v>769</v>
      </c>
      <c r="V349" s="196" t="s">
        <v>770</v>
      </c>
      <c r="W349" s="196" t="s">
        <v>771</v>
      </c>
      <c r="X349" s="196" t="s">
        <v>772</v>
      </c>
      <c r="Y349" s="196" t="s">
        <v>773</v>
      </c>
      <c r="Z349" s="196" t="s">
        <v>774</v>
      </c>
      <c r="AA349" s="196" t="s">
        <v>775</v>
      </c>
      <c r="AB349" s="196" t="s">
        <v>776</v>
      </c>
      <c r="AC349" s="196" t="s">
        <v>777</v>
      </c>
      <c r="AD349" s="196" t="s">
        <v>778</v>
      </c>
      <c r="AE349" s="196" t="s">
        <v>779</v>
      </c>
      <c r="AF349" s="196" t="s">
        <v>780</v>
      </c>
      <c r="AG349" s="196" t="s">
        <v>781</v>
      </c>
      <c r="AH349" s="196" t="s">
        <v>782</v>
      </c>
      <c r="AI349" s="196" t="s">
        <v>783</v>
      </c>
      <c r="AJ349" s="196" t="s">
        <v>784</v>
      </c>
      <c r="AK349" s="196" t="s">
        <v>785</v>
      </c>
      <c r="AL349" s="196" t="s">
        <v>786</v>
      </c>
      <c r="AM349" s="196" t="s">
        <v>787</v>
      </c>
      <c r="AN349" s="196" t="s">
        <v>788</v>
      </c>
    </row>
    <row r="350" spans="2:40" s="7" customFormat="1" ht="12" customHeight="1" outlineLevel="1">
      <c r="B350" s="239"/>
      <c r="C350" s="214" t="s">
        <v>821</v>
      </c>
      <c r="D350" s="214"/>
      <c r="E350" s="351"/>
      <c r="F350" s="351"/>
      <c r="G350" s="351"/>
      <c r="H350" s="351"/>
      <c r="I350" s="351"/>
      <c r="J350" s="351"/>
      <c r="K350" s="351"/>
      <c r="L350" s="351"/>
      <c r="M350" s="337">
        <f t="shared" ref="M350:AN350" si="206">M36*M41</f>
        <v>31500</v>
      </c>
      <c r="N350" s="337">
        <f t="shared" si="206"/>
        <v>31500</v>
      </c>
      <c r="O350" s="337">
        <f t="shared" si="206"/>
        <v>13500</v>
      </c>
      <c r="P350" s="337">
        <f t="shared" si="206"/>
        <v>13500</v>
      </c>
      <c r="Q350" s="337">
        <f t="shared" si="206"/>
        <v>13876.920000000002</v>
      </c>
      <c r="R350" s="337">
        <f t="shared" si="206"/>
        <v>27779.22</v>
      </c>
      <c r="S350" s="337">
        <f t="shared" si="206"/>
        <v>25450.2</v>
      </c>
      <c r="T350" s="337">
        <f t="shared" si="206"/>
        <v>18719.55</v>
      </c>
      <c r="U350" s="337">
        <f t="shared" si="206"/>
        <v>19016.100000000002</v>
      </c>
      <c r="V350" s="337">
        <f t="shared" si="206"/>
        <v>24496.2</v>
      </c>
      <c r="W350" s="337">
        <f t="shared" si="206"/>
        <v>19941.12</v>
      </c>
      <c r="X350" s="337">
        <f t="shared" si="206"/>
        <v>17147.34</v>
      </c>
      <c r="Y350" s="337">
        <f t="shared" si="206"/>
        <v>37800</v>
      </c>
      <c r="Z350" s="337">
        <f t="shared" si="206"/>
        <v>31500</v>
      </c>
      <c r="AA350" s="337">
        <f t="shared" si="206"/>
        <v>14850</v>
      </c>
      <c r="AB350" s="337">
        <f t="shared" si="206"/>
        <v>17550</v>
      </c>
      <c r="AC350" s="337">
        <f t="shared" si="206"/>
        <v>16652.304</v>
      </c>
      <c r="AD350" s="337">
        <f t="shared" si="206"/>
        <v>38890.907999999996</v>
      </c>
      <c r="AE350" s="337">
        <f t="shared" si="206"/>
        <v>25450.2</v>
      </c>
      <c r="AF350" s="337">
        <f t="shared" si="206"/>
        <v>24335.415000000001</v>
      </c>
      <c r="AG350" s="337">
        <f t="shared" si="206"/>
        <v>20917.710000000003</v>
      </c>
      <c r="AH350" s="337">
        <f t="shared" si="206"/>
        <v>39193.920000000006</v>
      </c>
      <c r="AI350" s="337">
        <f t="shared" si="206"/>
        <v>17947.007999999998</v>
      </c>
      <c r="AJ350" s="337">
        <f t="shared" si="206"/>
        <v>18862.074000000001</v>
      </c>
      <c r="AK350" s="337">
        <f t="shared" si="206"/>
        <v>45360</v>
      </c>
      <c r="AL350" s="337">
        <f t="shared" si="206"/>
        <v>31500</v>
      </c>
      <c r="AM350" s="337">
        <f t="shared" si="206"/>
        <v>16335</v>
      </c>
      <c r="AN350" s="337">
        <f t="shared" si="206"/>
        <v>21060</v>
      </c>
    </row>
    <row r="351" spans="2:40" ht="12" customHeight="1" outlineLevel="1">
      <c r="B351" s="301"/>
      <c r="C351" s="303" t="s">
        <v>827</v>
      </c>
      <c r="D351" s="303"/>
      <c r="E351" s="312"/>
      <c r="F351" s="312"/>
      <c r="G351" s="312"/>
      <c r="H351" s="312"/>
      <c r="I351" s="312"/>
      <c r="J351" s="312"/>
      <c r="K351" s="312"/>
      <c r="L351" s="312"/>
      <c r="M351" s="313">
        <v>17</v>
      </c>
      <c r="N351" s="313">
        <v>17</v>
      </c>
      <c r="O351" s="313">
        <v>25</v>
      </c>
      <c r="P351" s="313">
        <v>25</v>
      </c>
      <c r="Q351" s="313">
        <v>25</v>
      </c>
      <c r="R351" s="313">
        <v>25</v>
      </c>
      <c r="S351" s="313">
        <v>25</v>
      </c>
      <c r="T351" s="313">
        <v>25</v>
      </c>
      <c r="U351" s="313">
        <v>25</v>
      </c>
      <c r="V351" s="313">
        <v>25</v>
      </c>
      <c r="W351" s="313">
        <v>25</v>
      </c>
      <c r="X351" s="313">
        <v>25</v>
      </c>
      <c r="Y351" s="313">
        <v>25</v>
      </c>
      <c r="Z351" s="313">
        <v>25</v>
      </c>
      <c r="AA351" s="313">
        <v>25</v>
      </c>
      <c r="AB351" s="313">
        <v>25</v>
      </c>
      <c r="AC351" s="313">
        <v>25</v>
      </c>
      <c r="AD351" s="313">
        <v>25</v>
      </c>
      <c r="AE351" s="313">
        <v>25</v>
      </c>
      <c r="AF351" s="313">
        <v>25</v>
      </c>
      <c r="AG351" s="313">
        <v>25</v>
      </c>
      <c r="AH351" s="313">
        <v>25</v>
      </c>
      <c r="AI351" s="313">
        <v>25</v>
      </c>
      <c r="AJ351" s="313">
        <v>25</v>
      </c>
      <c r="AK351" s="313">
        <v>25</v>
      </c>
      <c r="AL351" s="313">
        <v>25</v>
      </c>
      <c r="AM351" s="313">
        <v>25</v>
      </c>
      <c r="AN351" s="313">
        <v>25</v>
      </c>
    </row>
    <row r="352" spans="2:40" s="7" customFormat="1" ht="12" customHeight="1" outlineLevel="1">
      <c r="B352" s="239"/>
      <c r="C352" s="214" t="s">
        <v>829</v>
      </c>
      <c r="D352" s="214"/>
      <c r="E352" s="232"/>
      <c r="F352" s="232"/>
      <c r="G352" s="232"/>
      <c r="H352" s="232"/>
      <c r="I352" s="232"/>
      <c r="J352" s="232"/>
      <c r="K352" s="232"/>
      <c r="L352" s="232"/>
      <c r="M352" s="205">
        <f t="shared" ref="M352:AN352" si="207">M350/M351</f>
        <v>1852.9411764705883</v>
      </c>
      <c r="N352" s="205">
        <f t="shared" si="207"/>
        <v>1852.9411764705883</v>
      </c>
      <c r="O352" s="205">
        <f t="shared" si="207"/>
        <v>540</v>
      </c>
      <c r="P352" s="205">
        <f t="shared" si="207"/>
        <v>540</v>
      </c>
      <c r="Q352" s="205">
        <f t="shared" si="207"/>
        <v>555.07680000000005</v>
      </c>
      <c r="R352" s="205">
        <f t="shared" si="207"/>
        <v>1111.1688000000001</v>
      </c>
      <c r="S352" s="205">
        <f t="shared" si="207"/>
        <v>1018.008</v>
      </c>
      <c r="T352" s="205">
        <f t="shared" si="207"/>
        <v>748.78199999999993</v>
      </c>
      <c r="U352" s="205">
        <f t="shared" si="207"/>
        <v>760.64400000000012</v>
      </c>
      <c r="V352" s="205">
        <f t="shared" si="207"/>
        <v>979.84800000000007</v>
      </c>
      <c r="W352" s="205">
        <f t="shared" si="207"/>
        <v>797.64479999999992</v>
      </c>
      <c r="X352" s="205">
        <f t="shared" si="207"/>
        <v>685.89359999999999</v>
      </c>
      <c r="Y352" s="205">
        <f t="shared" si="207"/>
        <v>1512</v>
      </c>
      <c r="Z352" s="205">
        <f t="shared" si="207"/>
        <v>1260</v>
      </c>
      <c r="AA352" s="205">
        <f t="shared" si="207"/>
        <v>594</v>
      </c>
      <c r="AB352" s="205">
        <f t="shared" si="207"/>
        <v>702</v>
      </c>
      <c r="AC352" s="205">
        <f t="shared" si="207"/>
        <v>666.09216000000004</v>
      </c>
      <c r="AD352" s="205">
        <f t="shared" si="207"/>
        <v>1555.6363199999998</v>
      </c>
      <c r="AE352" s="205">
        <f t="shared" si="207"/>
        <v>1018.008</v>
      </c>
      <c r="AF352" s="205">
        <f t="shared" si="207"/>
        <v>973.41660000000002</v>
      </c>
      <c r="AG352" s="205">
        <f t="shared" si="207"/>
        <v>836.7084000000001</v>
      </c>
      <c r="AH352" s="205">
        <f t="shared" si="207"/>
        <v>1567.7568000000001</v>
      </c>
      <c r="AI352" s="205">
        <f t="shared" si="207"/>
        <v>717.88031999999987</v>
      </c>
      <c r="AJ352" s="205">
        <f t="shared" si="207"/>
        <v>754.48296000000005</v>
      </c>
      <c r="AK352" s="205">
        <f t="shared" si="207"/>
        <v>1814.4</v>
      </c>
      <c r="AL352" s="205">
        <f t="shared" si="207"/>
        <v>1260</v>
      </c>
      <c r="AM352" s="205">
        <f t="shared" si="207"/>
        <v>653.4</v>
      </c>
      <c r="AN352" s="205">
        <f t="shared" si="207"/>
        <v>842.4</v>
      </c>
    </row>
    <row r="353" spans="2:40" ht="12" customHeight="1" outlineLevel="1">
      <c r="B353" s="301"/>
      <c r="C353" s="303" t="s">
        <v>830</v>
      </c>
      <c r="D353" s="303"/>
      <c r="E353" s="314">
        <v>0</v>
      </c>
      <c r="F353" s="314">
        <v>0</v>
      </c>
      <c r="G353" s="314">
        <v>0</v>
      </c>
      <c r="H353" s="314">
        <v>0</v>
      </c>
      <c r="I353" s="314">
        <v>0</v>
      </c>
      <c r="J353" s="314">
        <v>0</v>
      </c>
      <c r="K353" s="314">
        <v>0</v>
      </c>
      <c r="L353" s="314">
        <v>0</v>
      </c>
      <c r="M353" s="315">
        <v>0</v>
      </c>
      <c r="N353" s="315">
        <v>0</v>
      </c>
      <c r="O353" s="315">
        <v>0</v>
      </c>
      <c r="P353" s="315">
        <v>0</v>
      </c>
      <c r="Q353" s="315">
        <v>0</v>
      </c>
      <c r="R353" s="315">
        <v>0</v>
      </c>
      <c r="S353" s="315">
        <v>0</v>
      </c>
      <c r="T353" s="315">
        <v>0</v>
      </c>
      <c r="U353" s="315">
        <v>0</v>
      </c>
      <c r="V353" s="315">
        <v>0</v>
      </c>
      <c r="W353" s="315">
        <v>0</v>
      </c>
      <c r="X353" s="315">
        <v>0</v>
      </c>
      <c r="Y353" s="315">
        <v>0</v>
      </c>
      <c r="Z353" s="315">
        <v>0</v>
      </c>
      <c r="AA353" s="315">
        <v>0</v>
      </c>
      <c r="AB353" s="315">
        <v>0</v>
      </c>
      <c r="AC353" s="315">
        <v>0</v>
      </c>
      <c r="AD353" s="315">
        <v>0</v>
      </c>
      <c r="AE353" s="315">
        <v>0</v>
      </c>
      <c r="AF353" s="315">
        <v>0</v>
      </c>
      <c r="AG353" s="315">
        <v>0</v>
      </c>
      <c r="AH353" s="315">
        <v>0</v>
      </c>
      <c r="AI353" s="315">
        <v>0</v>
      </c>
      <c r="AJ353" s="315">
        <v>0</v>
      </c>
      <c r="AK353" s="315">
        <v>0</v>
      </c>
      <c r="AL353" s="315">
        <v>0</v>
      </c>
      <c r="AM353" s="315">
        <v>0</v>
      </c>
      <c r="AN353" s="315">
        <v>0</v>
      </c>
    </row>
    <row r="354" spans="2:40" s="7" customFormat="1" ht="12" customHeight="1" outlineLevel="1">
      <c r="B354" s="239"/>
      <c r="C354" s="214" t="s">
        <v>831</v>
      </c>
      <c r="D354" s="214"/>
      <c r="E354" s="232">
        <f t="shared" ref="E354:L354" si="208">E352*E353</f>
        <v>0</v>
      </c>
      <c r="F354" s="232">
        <f t="shared" si="208"/>
        <v>0</v>
      </c>
      <c r="G354" s="232">
        <f t="shared" si="208"/>
        <v>0</v>
      </c>
      <c r="H354" s="232">
        <f t="shared" si="208"/>
        <v>0</v>
      </c>
      <c r="I354" s="232">
        <f t="shared" si="208"/>
        <v>0</v>
      </c>
      <c r="J354" s="232">
        <f t="shared" si="208"/>
        <v>0</v>
      </c>
      <c r="K354" s="232">
        <f t="shared" si="208"/>
        <v>0</v>
      </c>
      <c r="L354" s="232">
        <f t="shared" si="208"/>
        <v>0</v>
      </c>
      <c r="M354" s="205">
        <f t="shared" ref="M354:AN354" si="209">M352*M353</f>
        <v>0</v>
      </c>
      <c r="N354" s="205">
        <f t="shared" si="209"/>
        <v>0</v>
      </c>
      <c r="O354" s="205">
        <f t="shared" si="209"/>
        <v>0</v>
      </c>
      <c r="P354" s="205">
        <f t="shared" si="209"/>
        <v>0</v>
      </c>
      <c r="Q354" s="205">
        <f t="shared" si="209"/>
        <v>0</v>
      </c>
      <c r="R354" s="205">
        <f t="shared" si="209"/>
        <v>0</v>
      </c>
      <c r="S354" s="205">
        <f t="shared" si="209"/>
        <v>0</v>
      </c>
      <c r="T354" s="205">
        <f t="shared" si="209"/>
        <v>0</v>
      </c>
      <c r="U354" s="205">
        <f t="shared" si="209"/>
        <v>0</v>
      </c>
      <c r="V354" s="205">
        <f t="shared" si="209"/>
        <v>0</v>
      </c>
      <c r="W354" s="205">
        <f t="shared" si="209"/>
        <v>0</v>
      </c>
      <c r="X354" s="205">
        <f t="shared" si="209"/>
        <v>0</v>
      </c>
      <c r="Y354" s="205">
        <f t="shared" si="209"/>
        <v>0</v>
      </c>
      <c r="Z354" s="205">
        <f t="shared" si="209"/>
        <v>0</v>
      </c>
      <c r="AA354" s="205">
        <f t="shared" si="209"/>
        <v>0</v>
      </c>
      <c r="AB354" s="205">
        <f t="shared" si="209"/>
        <v>0</v>
      </c>
      <c r="AC354" s="205">
        <f t="shared" si="209"/>
        <v>0</v>
      </c>
      <c r="AD354" s="205">
        <f t="shared" si="209"/>
        <v>0</v>
      </c>
      <c r="AE354" s="205">
        <f t="shared" si="209"/>
        <v>0</v>
      </c>
      <c r="AF354" s="205">
        <f t="shared" si="209"/>
        <v>0</v>
      </c>
      <c r="AG354" s="205">
        <f t="shared" si="209"/>
        <v>0</v>
      </c>
      <c r="AH354" s="205">
        <f t="shared" si="209"/>
        <v>0</v>
      </c>
      <c r="AI354" s="205">
        <f t="shared" si="209"/>
        <v>0</v>
      </c>
      <c r="AJ354" s="205">
        <f t="shared" si="209"/>
        <v>0</v>
      </c>
      <c r="AK354" s="205">
        <f t="shared" si="209"/>
        <v>0</v>
      </c>
      <c r="AL354" s="205">
        <f t="shared" si="209"/>
        <v>0</v>
      </c>
      <c r="AM354" s="205">
        <f t="shared" si="209"/>
        <v>0</v>
      </c>
      <c r="AN354" s="205">
        <f t="shared" si="209"/>
        <v>0</v>
      </c>
    </row>
    <row r="355" spans="2:40" s="7" customFormat="1" ht="12" customHeight="1" outlineLevel="1">
      <c r="B355" s="239"/>
      <c r="C355" s="214" t="s">
        <v>833</v>
      </c>
      <c r="D355" s="214"/>
      <c r="E355" s="232">
        <f>412+31</f>
        <v>443</v>
      </c>
      <c r="F355" s="232">
        <f>1497+14</f>
        <v>1511</v>
      </c>
      <c r="G355" s="232">
        <f>1152+5</f>
        <v>1157</v>
      </c>
      <c r="H355" s="232">
        <f>429+2</f>
        <v>431</v>
      </c>
      <c r="I355" s="232">
        <f>540+1</f>
        <v>541</v>
      </c>
      <c r="J355" s="232">
        <f>1239+8</f>
        <v>1247</v>
      </c>
      <c r="K355" s="232">
        <f>1611+13</f>
        <v>1624</v>
      </c>
      <c r="L355" s="232">
        <f>345+15</f>
        <v>360</v>
      </c>
      <c r="M355" s="205">
        <f t="shared" ref="M355:AN355" si="210">M352+M354</f>
        <v>1852.9411764705883</v>
      </c>
      <c r="N355" s="205">
        <f t="shared" si="210"/>
        <v>1852.9411764705883</v>
      </c>
      <c r="O355" s="205">
        <f t="shared" si="210"/>
        <v>540</v>
      </c>
      <c r="P355" s="205">
        <f t="shared" si="210"/>
        <v>540</v>
      </c>
      <c r="Q355" s="205">
        <f t="shared" si="210"/>
        <v>555.07680000000005</v>
      </c>
      <c r="R355" s="205">
        <f t="shared" si="210"/>
        <v>1111.1688000000001</v>
      </c>
      <c r="S355" s="205">
        <f t="shared" si="210"/>
        <v>1018.008</v>
      </c>
      <c r="T355" s="205">
        <f t="shared" si="210"/>
        <v>748.78199999999993</v>
      </c>
      <c r="U355" s="205">
        <f t="shared" si="210"/>
        <v>760.64400000000012</v>
      </c>
      <c r="V355" s="205">
        <f t="shared" si="210"/>
        <v>979.84800000000007</v>
      </c>
      <c r="W355" s="205">
        <f t="shared" si="210"/>
        <v>797.64479999999992</v>
      </c>
      <c r="X355" s="205">
        <f t="shared" si="210"/>
        <v>685.89359999999999</v>
      </c>
      <c r="Y355" s="205">
        <f t="shared" si="210"/>
        <v>1512</v>
      </c>
      <c r="Z355" s="205">
        <f t="shared" si="210"/>
        <v>1260</v>
      </c>
      <c r="AA355" s="205">
        <f t="shared" si="210"/>
        <v>594</v>
      </c>
      <c r="AB355" s="205">
        <f t="shared" si="210"/>
        <v>702</v>
      </c>
      <c r="AC355" s="205">
        <f t="shared" si="210"/>
        <v>666.09216000000004</v>
      </c>
      <c r="AD355" s="205">
        <f t="shared" si="210"/>
        <v>1555.6363199999998</v>
      </c>
      <c r="AE355" s="205">
        <f t="shared" si="210"/>
        <v>1018.008</v>
      </c>
      <c r="AF355" s="205">
        <f t="shared" si="210"/>
        <v>973.41660000000002</v>
      </c>
      <c r="AG355" s="205">
        <f t="shared" si="210"/>
        <v>836.7084000000001</v>
      </c>
      <c r="AH355" s="205">
        <f t="shared" si="210"/>
        <v>1567.7568000000001</v>
      </c>
      <c r="AI355" s="205">
        <f t="shared" si="210"/>
        <v>717.88031999999987</v>
      </c>
      <c r="AJ355" s="205">
        <f t="shared" si="210"/>
        <v>754.48296000000005</v>
      </c>
      <c r="AK355" s="205">
        <f t="shared" si="210"/>
        <v>1814.4</v>
      </c>
      <c r="AL355" s="205">
        <f t="shared" si="210"/>
        <v>1260</v>
      </c>
      <c r="AM355" s="205">
        <f t="shared" si="210"/>
        <v>653.4</v>
      </c>
      <c r="AN355" s="205">
        <f t="shared" si="210"/>
        <v>842.4</v>
      </c>
    </row>
    <row r="356" spans="2:40" s="7" customFormat="1" ht="12" customHeight="1" outlineLevel="1">
      <c r="B356" s="239"/>
      <c r="C356" s="214" t="s">
        <v>834</v>
      </c>
      <c r="D356" s="214"/>
      <c r="E356" s="232">
        <v>31</v>
      </c>
      <c r="F356" s="232">
        <v>14</v>
      </c>
      <c r="G356" s="232">
        <v>5</v>
      </c>
      <c r="H356" s="232">
        <v>2</v>
      </c>
      <c r="I356" s="232">
        <v>1</v>
      </c>
      <c r="J356" s="232">
        <v>8</v>
      </c>
      <c r="K356" s="232">
        <v>13</v>
      </c>
      <c r="L356" s="232">
        <v>15</v>
      </c>
      <c r="M356" s="205">
        <f t="shared" ref="M356:AN356" si="211">M364+M365</f>
        <v>555.88235294117658</v>
      </c>
      <c r="N356" s="205">
        <f t="shared" si="211"/>
        <v>555.88235294117658</v>
      </c>
      <c r="O356" s="205">
        <f t="shared" si="211"/>
        <v>162.00000000000003</v>
      </c>
      <c r="P356" s="205">
        <f t="shared" si="211"/>
        <v>162.00000000000003</v>
      </c>
      <c r="Q356" s="205">
        <f t="shared" si="211"/>
        <v>166.52304000000004</v>
      </c>
      <c r="R356" s="205">
        <f t="shared" si="211"/>
        <v>333.35064000000011</v>
      </c>
      <c r="S356" s="205">
        <f t="shared" si="211"/>
        <v>305.40240000000006</v>
      </c>
      <c r="T356" s="205">
        <f t="shared" si="211"/>
        <v>224.63460000000001</v>
      </c>
      <c r="U356" s="205">
        <f t="shared" si="211"/>
        <v>228.19320000000008</v>
      </c>
      <c r="V356" s="205">
        <f t="shared" si="211"/>
        <v>293.95440000000008</v>
      </c>
      <c r="W356" s="205">
        <f t="shared" si="211"/>
        <v>239.29344</v>
      </c>
      <c r="X356" s="205">
        <f t="shared" si="211"/>
        <v>205.76808000000003</v>
      </c>
      <c r="Y356" s="205">
        <f t="shared" si="211"/>
        <v>453.60000000000008</v>
      </c>
      <c r="Z356" s="205">
        <f t="shared" si="211"/>
        <v>378.00000000000006</v>
      </c>
      <c r="AA356" s="205">
        <f t="shared" si="211"/>
        <v>178.20000000000002</v>
      </c>
      <c r="AB356" s="205">
        <f t="shared" si="211"/>
        <v>210.60000000000002</v>
      </c>
      <c r="AC356" s="205">
        <f t="shared" si="211"/>
        <v>199.82764800000004</v>
      </c>
      <c r="AD356" s="205">
        <f t="shared" si="211"/>
        <v>466.69089600000001</v>
      </c>
      <c r="AE356" s="205">
        <f t="shared" si="211"/>
        <v>305.40240000000006</v>
      </c>
      <c r="AF356" s="205">
        <f t="shared" si="211"/>
        <v>292.02498000000003</v>
      </c>
      <c r="AG356" s="205">
        <f t="shared" si="211"/>
        <v>251.01252000000008</v>
      </c>
      <c r="AH356" s="205">
        <f t="shared" si="211"/>
        <v>470.32704000000012</v>
      </c>
      <c r="AI356" s="205">
        <f t="shared" si="211"/>
        <v>215.36409599999999</v>
      </c>
      <c r="AJ356" s="205">
        <f t="shared" si="211"/>
        <v>226.34488800000005</v>
      </c>
      <c r="AK356" s="205">
        <f t="shared" si="211"/>
        <v>544.32000000000016</v>
      </c>
      <c r="AL356" s="205">
        <f t="shared" si="211"/>
        <v>378.00000000000006</v>
      </c>
      <c r="AM356" s="205">
        <f t="shared" si="211"/>
        <v>196.02</v>
      </c>
      <c r="AN356" s="205">
        <f t="shared" si="211"/>
        <v>252.72000000000003</v>
      </c>
    </row>
    <row r="357" spans="2:40" s="7" customFormat="1" ht="12" customHeight="1" outlineLevel="1">
      <c r="B357" s="239"/>
      <c r="C357" s="214" t="s">
        <v>835</v>
      </c>
      <c r="D357" s="214"/>
      <c r="E357" s="205"/>
      <c r="F357" s="205"/>
      <c r="G357" s="205"/>
      <c r="H357" s="205"/>
      <c r="I357" s="205"/>
      <c r="J357" s="205"/>
      <c r="K357" s="205"/>
      <c r="L357" s="205"/>
      <c r="M357" s="205"/>
      <c r="N357" s="205"/>
      <c r="O357" s="205"/>
      <c r="P357" s="205"/>
      <c r="Q357" s="205"/>
      <c r="R357" s="205"/>
      <c r="S357" s="205"/>
      <c r="T357" s="205"/>
      <c r="U357" s="205"/>
      <c r="V357" s="205"/>
      <c r="W357" s="205"/>
      <c r="X357" s="205"/>
      <c r="Y357" s="205"/>
      <c r="Z357" s="205"/>
      <c r="AA357" s="205"/>
      <c r="AB357" s="205"/>
      <c r="AC357" s="205"/>
      <c r="AD357" s="205"/>
      <c r="AE357" s="205"/>
      <c r="AF357" s="205"/>
      <c r="AG357" s="205"/>
      <c r="AH357" s="205"/>
      <c r="AI357" s="205"/>
      <c r="AJ357" s="205"/>
      <c r="AK357" s="205"/>
      <c r="AL357" s="205"/>
      <c r="AM357" s="205"/>
      <c r="AN357" s="205"/>
    </row>
    <row r="358" spans="2:40" s="7" customFormat="1" ht="12" customHeight="1" outlineLevel="1">
      <c r="B358" s="239"/>
      <c r="C358" s="214" t="s">
        <v>836</v>
      </c>
      <c r="D358" s="214"/>
      <c r="E358" s="205"/>
      <c r="F358" s="205"/>
      <c r="G358" s="205"/>
      <c r="H358" s="205"/>
      <c r="I358" s="205"/>
      <c r="J358" s="205"/>
      <c r="K358" s="205"/>
      <c r="L358" s="205"/>
      <c r="M358" s="205"/>
      <c r="N358" s="205"/>
      <c r="O358" s="205"/>
      <c r="P358" s="205"/>
      <c r="Q358" s="205"/>
      <c r="R358" s="205"/>
      <c r="S358" s="205"/>
      <c r="T358" s="205"/>
      <c r="U358" s="205"/>
      <c r="V358" s="205"/>
      <c r="W358" s="205"/>
      <c r="X358" s="205"/>
      <c r="Y358" s="205"/>
      <c r="Z358" s="205"/>
      <c r="AA358" s="205"/>
      <c r="AB358" s="205"/>
      <c r="AC358" s="205"/>
      <c r="AD358" s="205"/>
      <c r="AE358" s="205"/>
      <c r="AF358" s="205"/>
      <c r="AG358" s="205"/>
      <c r="AH358" s="205"/>
      <c r="AI358" s="205"/>
      <c r="AJ358" s="205"/>
      <c r="AK358" s="205"/>
      <c r="AL358" s="205"/>
      <c r="AM358" s="205"/>
      <c r="AN358" s="205"/>
    </row>
    <row r="359" spans="2:40" ht="12" customHeight="1" outlineLevel="1">
      <c r="B359" s="301" t="s">
        <v>880</v>
      </c>
      <c r="C359" s="303" t="s">
        <v>837</v>
      </c>
      <c r="D359" s="303"/>
      <c r="E359" s="317">
        <f>1-(E356/E355)</f>
        <v>0.93002257336343119</v>
      </c>
      <c r="F359" s="317">
        <f t="shared" ref="F359:I359" si="212">1-(F356/F355)</f>
        <v>0.99073461283917941</v>
      </c>
      <c r="G359" s="317">
        <f t="shared" si="212"/>
        <v>0.99567847882454619</v>
      </c>
      <c r="H359" s="317">
        <f t="shared" si="212"/>
        <v>0.9953596287703016</v>
      </c>
      <c r="I359" s="317">
        <f t="shared" si="212"/>
        <v>0.99815157116451014</v>
      </c>
      <c r="J359" s="317">
        <f>1239/1247</f>
        <v>0.99358460304731355</v>
      </c>
      <c r="K359" s="317">
        <f>1611/K355</f>
        <v>0.99199507389162567</v>
      </c>
      <c r="L359" s="317">
        <f>345/L355</f>
        <v>0.95833333333333337</v>
      </c>
      <c r="M359" s="318">
        <v>0.7</v>
      </c>
      <c r="N359" s="318">
        <v>0.7</v>
      </c>
      <c r="O359" s="318">
        <v>0.7</v>
      </c>
      <c r="P359" s="318">
        <v>0.7</v>
      </c>
      <c r="Q359" s="318">
        <v>0.7</v>
      </c>
      <c r="R359" s="318">
        <v>0.7</v>
      </c>
      <c r="S359" s="318">
        <v>0.7</v>
      </c>
      <c r="T359" s="318">
        <v>0.7</v>
      </c>
      <c r="U359" s="318">
        <v>0.7</v>
      </c>
      <c r="V359" s="318">
        <v>0.7</v>
      </c>
      <c r="W359" s="318">
        <v>0.7</v>
      </c>
      <c r="X359" s="318">
        <v>0.7</v>
      </c>
      <c r="Y359" s="318">
        <v>0.7</v>
      </c>
      <c r="Z359" s="318">
        <v>0.7</v>
      </c>
      <c r="AA359" s="318">
        <v>0.7</v>
      </c>
      <c r="AB359" s="318">
        <v>0.7</v>
      </c>
      <c r="AC359" s="318">
        <v>0.7</v>
      </c>
      <c r="AD359" s="318">
        <v>0.7</v>
      </c>
      <c r="AE359" s="318">
        <v>0.7</v>
      </c>
      <c r="AF359" s="318">
        <v>0.7</v>
      </c>
      <c r="AG359" s="318">
        <v>0.7</v>
      </c>
      <c r="AH359" s="318">
        <v>0.7</v>
      </c>
      <c r="AI359" s="318">
        <v>0.7</v>
      </c>
      <c r="AJ359" s="318">
        <v>0.7</v>
      </c>
      <c r="AK359" s="318">
        <v>0.7</v>
      </c>
      <c r="AL359" s="318">
        <v>0.7</v>
      </c>
      <c r="AM359" s="318">
        <v>0.7</v>
      </c>
      <c r="AN359" s="318">
        <v>0.7</v>
      </c>
    </row>
    <row r="360" spans="2:40" ht="12" customHeight="1" outlineLevel="1">
      <c r="B360" s="301"/>
      <c r="C360" s="303" t="s">
        <v>839</v>
      </c>
      <c r="D360" s="303"/>
      <c r="E360" s="317">
        <f>1-E359</f>
        <v>6.9977426636568807E-2</v>
      </c>
      <c r="F360" s="317">
        <f t="shared" ref="F360:I360" si="213">1-F359</f>
        <v>9.2653871608205929E-3</v>
      </c>
      <c r="G360" s="317">
        <f t="shared" si="213"/>
        <v>4.321521175453813E-3</v>
      </c>
      <c r="H360" s="317">
        <f t="shared" si="213"/>
        <v>4.6403712296984034E-3</v>
      </c>
      <c r="I360" s="317">
        <f t="shared" si="213"/>
        <v>1.848428835489857E-3</v>
      </c>
      <c r="J360" s="317">
        <f>1-J359</f>
        <v>6.4153969526864474E-3</v>
      </c>
      <c r="K360" s="317">
        <f>1-K359</f>
        <v>8.0049261083743328E-3</v>
      </c>
      <c r="L360" s="317">
        <f>1-L359</f>
        <v>4.166666666666663E-2</v>
      </c>
      <c r="M360" s="318">
        <f t="shared" ref="M360:AN360" si="214">1-M359</f>
        <v>0.30000000000000004</v>
      </c>
      <c r="N360" s="318">
        <f t="shared" si="214"/>
        <v>0.30000000000000004</v>
      </c>
      <c r="O360" s="318">
        <f t="shared" si="214"/>
        <v>0.30000000000000004</v>
      </c>
      <c r="P360" s="318">
        <f t="shared" si="214"/>
        <v>0.30000000000000004</v>
      </c>
      <c r="Q360" s="318">
        <f t="shared" si="214"/>
        <v>0.30000000000000004</v>
      </c>
      <c r="R360" s="318">
        <f t="shared" si="214"/>
        <v>0.30000000000000004</v>
      </c>
      <c r="S360" s="318">
        <f t="shared" si="214"/>
        <v>0.30000000000000004</v>
      </c>
      <c r="T360" s="318">
        <f t="shared" si="214"/>
        <v>0.30000000000000004</v>
      </c>
      <c r="U360" s="318">
        <f t="shared" si="214"/>
        <v>0.30000000000000004</v>
      </c>
      <c r="V360" s="318">
        <f t="shared" si="214"/>
        <v>0.30000000000000004</v>
      </c>
      <c r="W360" s="318">
        <f t="shared" si="214"/>
        <v>0.30000000000000004</v>
      </c>
      <c r="X360" s="318">
        <f t="shared" si="214"/>
        <v>0.30000000000000004</v>
      </c>
      <c r="Y360" s="318">
        <f t="shared" si="214"/>
        <v>0.30000000000000004</v>
      </c>
      <c r="Z360" s="318">
        <f t="shared" si="214"/>
        <v>0.30000000000000004</v>
      </c>
      <c r="AA360" s="318">
        <f t="shared" si="214"/>
        <v>0.30000000000000004</v>
      </c>
      <c r="AB360" s="318">
        <f t="shared" si="214"/>
        <v>0.30000000000000004</v>
      </c>
      <c r="AC360" s="318">
        <f t="shared" si="214"/>
        <v>0.30000000000000004</v>
      </c>
      <c r="AD360" s="318">
        <f t="shared" si="214"/>
        <v>0.30000000000000004</v>
      </c>
      <c r="AE360" s="318">
        <f t="shared" si="214"/>
        <v>0.30000000000000004</v>
      </c>
      <c r="AF360" s="318">
        <f t="shared" si="214"/>
        <v>0.30000000000000004</v>
      </c>
      <c r="AG360" s="318">
        <f t="shared" si="214"/>
        <v>0.30000000000000004</v>
      </c>
      <c r="AH360" s="318">
        <f t="shared" si="214"/>
        <v>0.30000000000000004</v>
      </c>
      <c r="AI360" s="318">
        <f t="shared" si="214"/>
        <v>0.30000000000000004</v>
      </c>
      <c r="AJ360" s="318">
        <f t="shared" si="214"/>
        <v>0.30000000000000004</v>
      </c>
      <c r="AK360" s="318">
        <f t="shared" si="214"/>
        <v>0.30000000000000004</v>
      </c>
      <c r="AL360" s="318">
        <f t="shared" si="214"/>
        <v>0.30000000000000004</v>
      </c>
      <c r="AM360" s="318">
        <f t="shared" si="214"/>
        <v>0.30000000000000004</v>
      </c>
      <c r="AN360" s="318">
        <f t="shared" si="214"/>
        <v>0.30000000000000004</v>
      </c>
    </row>
    <row r="361" spans="2:40" ht="12" customHeight="1" outlineLevel="1">
      <c r="B361" s="301"/>
      <c r="C361" s="303" t="s">
        <v>840</v>
      </c>
      <c r="D361" s="303"/>
      <c r="E361" s="317">
        <v>0</v>
      </c>
      <c r="F361" s="317">
        <v>0</v>
      </c>
      <c r="G361" s="317">
        <v>0</v>
      </c>
      <c r="H361" s="317">
        <v>0</v>
      </c>
      <c r="I361" s="317">
        <v>0</v>
      </c>
      <c r="J361" s="317">
        <v>0</v>
      </c>
      <c r="K361" s="317">
        <v>0</v>
      </c>
      <c r="L361" s="317">
        <v>0</v>
      </c>
      <c r="M361" s="318">
        <v>0</v>
      </c>
      <c r="N361" s="318">
        <v>0</v>
      </c>
      <c r="O361" s="318">
        <v>0</v>
      </c>
      <c r="P361" s="318">
        <v>0</v>
      </c>
      <c r="Q361" s="318">
        <v>0</v>
      </c>
      <c r="R361" s="318">
        <v>0</v>
      </c>
      <c r="S361" s="318">
        <v>0</v>
      </c>
      <c r="T361" s="318">
        <v>0</v>
      </c>
      <c r="U361" s="318">
        <v>0</v>
      </c>
      <c r="V361" s="318">
        <v>0</v>
      </c>
      <c r="W361" s="318">
        <v>0</v>
      </c>
      <c r="X361" s="318">
        <v>0</v>
      </c>
      <c r="Y361" s="318">
        <v>0</v>
      </c>
      <c r="Z361" s="318">
        <v>0</v>
      </c>
      <c r="AA361" s="318">
        <v>0</v>
      </c>
      <c r="AB361" s="318">
        <v>0</v>
      </c>
      <c r="AC361" s="318">
        <v>0</v>
      </c>
      <c r="AD361" s="318">
        <v>0</v>
      </c>
      <c r="AE361" s="318">
        <v>0</v>
      </c>
      <c r="AF361" s="318">
        <v>0</v>
      </c>
      <c r="AG361" s="318">
        <v>0</v>
      </c>
      <c r="AH361" s="318">
        <v>0</v>
      </c>
      <c r="AI361" s="318">
        <v>0</v>
      </c>
      <c r="AJ361" s="318">
        <v>0</v>
      </c>
      <c r="AK361" s="318">
        <v>0</v>
      </c>
      <c r="AL361" s="318">
        <v>0</v>
      </c>
      <c r="AM361" s="318">
        <v>0</v>
      </c>
      <c r="AN361" s="318">
        <v>0</v>
      </c>
    </row>
    <row r="362" spans="2:40" s="7" customFormat="1" ht="12" customHeight="1" outlineLevel="1">
      <c r="B362" s="237"/>
      <c r="C362" s="208"/>
      <c r="D362" s="208"/>
      <c r="E362" s="216"/>
      <c r="F362" s="216"/>
      <c r="G362" s="216"/>
      <c r="H362" s="216"/>
      <c r="I362" s="216"/>
      <c r="J362" s="216"/>
      <c r="K362" s="216"/>
      <c r="L362" s="216"/>
      <c r="M362" s="216"/>
      <c r="N362" s="216"/>
      <c r="O362" s="216"/>
      <c r="P362" s="216"/>
      <c r="Q362" s="216"/>
      <c r="R362" s="216"/>
      <c r="S362" s="216"/>
      <c r="T362" s="216"/>
      <c r="U362" s="216"/>
      <c r="V362" s="216"/>
      <c r="W362" s="216"/>
      <c r="X362" s="216"/>
      <c r="Y362" s="216"/>
      <c r="Z362" s="216"/>
      <c r="AA362" s="216"/>
      <c r="AB362" s="216"/>
      <c r="AC362" s="216"/>
      <c r="AD362" s="216"/>
      <c r="AE362" s="216"/>
      <c r="AF362" s="216"/>
      <c r="AG362" s="216"/>
      <c r="AH362" s="216"/>
      <c r="AI362" s="216"/>
      <c r="AJ362" s="216"/>
      <c r="AK362" s="216"/>
      <c r="AL362" s="216"/>
      <c r="AM362" s="216"/>
      <c r="AN362" s="216"/>
    </row>
    <row r="363" spans="2:40" s="7" customFormat="1" ht="12" customHeight="1" outlineLevel="1">
      <c r="B363" s="239"/>
      <c r="C363" s="214" t="s">
        <v>841</v>
      </c>
      <c r="D363" s="214"/>
      <c r="E363" s="209">
        <f>E355*E359</f>
        <v>412</v>
      </c>
      <c r="F363" s="209">
        <f>F355*F359</f>
        <v>1497</v>
      </c>
      <c r="G363" s="209">
        <f t="shared" ref="G363:I363" si="215">G355*G359</f>
        <v>1152</v>
      </c>
      <c r="H363" s="209">
        <f>H355*H359</f>
        <v>429</v>
      </c>
      <c r="I363" s="209">
        <f t="shared" si="215"/>
        <v>540</v>
      </c>
      <c r="J363" s="209">
        <f t="shared" ref="J363:AN363" si="216">J355*J359</f>
        <v>1239</v>
      </c>
      <c r="K363" s="209">
        <f t="shared" si="216"/>
        <v>1611</v>
      </c>
      <c r="L363" s="209">
        <f t="shared" si="216"/>
        <v>345</v>
      </c>
      <c r="M363" s="209">
        <f t="shared" si="216"/>
        <v>1297.0588235294117</v>
      </c>
      <c r="N363" s="209">
        <f t="shared" si="216"/>
        <v>1297.0588235294117</v>
      </c>
      <c r="O363" s="209">
        <f t="shared" si="216"/>
        <v>378</v>
      </c>
      <c r="P363" s="209">
        <f t="shared" si="216"/>
        <v>378</v>
      </c>
      <c r="Q363" s="209">
        <f t="shared" si="216"/>
        <v>388.55376000000001</v>
      </c>
      <c r="R363" s="209">
        <f t="shared" si="216"/>
        <v>777.81816000000003</v>
      </c>
      <c r="S363" s="209">
        <f t="shared" si="216"/>
        <v>712.60559999999998</v>
      </c>
      <c r="T363" s="209">
        <f t="shared" si="216"/>
        <v>524.14739999999995</v>
      </c>
      <c r="U363" s="209">
        <f t="shared" si="216"/>
        <v>532.45080000000007</v>
      </c>
      <c r="V363" s="209">
        <f t="shared" si="216"/>
        <v>685.89359999999999</v>
      </c>
      <c r="W363" s="209">
        <f t="shared" si="216"/>
        <v>558.35135999999989</v>
      </c>
      <c r="X363" s="209">
        <f t="shared" si="216"/>
        <v>480.12551999999994</v>
      </c>
      <c r="Y363" s="209">
        <f t="shared" si="216"/>
        <v>1058.3999999999999</v>
      </c>
      <c r="Z363" s="209">
        <f t="shared" si="216"/>
        <v>882</v>
      </c>
      <c r="AA363" s="209">
        <f t="shared" si="216"/>
        <v>415.79999999999995</v>
      </c>
      <c r="AB363" s="209">
        <f t="shared" si="216"/>
        <v>491.4</v>
      </c>
      <c r="AC363" s="209">
        <f t="shared" si="216"/>
        <v>466.26451199999997</v>
      </c>
      <c r="AD363" s="209">
        <f t="shared" si="216"/>
        <v>1088.9454239999998</v>
      </c>
      <c r="AE363" s="209">
        <f t="shared" si="216"/>
        <v>712.60559999999998</v>
      </c>
      <c r="AF363" s="209">
        <f t="shared" si="216"/>
        <v>681.39161999999999</v>
      </c>
      <c r="AG363" s="209">
        <f t="shared" si="216"/>
        <v>585.69587999999999</v>
      </c>
      <c r="AH363" s="209">
        <f t="shared" si="216"/>
        <v>1097.42976</v>
      </c>
      <c r="AI363" s="209">
        <f t="shared" si="216"/>
        <v>502.51622399999985</v>
      </c>
      <c r="AJ363" s="209">
        <f t="shared" si="216"/>
        <v>528.13807199999997</v>
      </c>
      <c r="AK363" s="209">
        <f t="shared" si="216"/>
        <v>1270.08</v>
      </c>
      <c r="AL363" s="209">
        <f t="shared" si="216"/>
        <v>882</v>
      </c>
      <c r="AM363" s="209">
        <f t="shared" si="216"/>
        <v>457.37999999999994</v>
      </c>
      <c r="AN363" s="209">
        <f t="shared" si="216"/>
        <v>589.67999999999995</v>
      </c>
    </row>
    <row r="364" spans="2:40" s="7" customFormat="1" ht="12" customHeight="1" outlineLevel="1">
      <c r="B364" s="239"/>
      <c r="C364" s="214" t="s">
        <v>842</v>
      </c>
      <c r="D364" s="214"/>
      <c r="E364" s="209">
        <f>E355*E360</f>
        <v>30.999999999999982</v>
      </c>
      <c r="F364" s="209">
        <f t="shared" ref="F364:I364" si="217">F355*F360</f>
        <v>13.999999999999917</v>
      </c>
      <c r="G364" s="209">
        <f t="shared" si="217"/>
        <v>5.0000000000000613</v>
      </c>
      <c r="H364" s="209">
        <f t="shared" si="217"/>
        <v>2.000000000000012</v>
      </c>
      <c r="I364" s="209">
        <f t="shared" si="217"/>
        <v>1.0000000000000127</v>
      </c>
      <c r="J364" s="209">
        <f t="shared" ref="J364:AN364" si="218">J355*J360</f>
        <v>8</v>
      </c>
      <c r="K364" s="209">
        <f t="shared" si="218"/>
        <v>12.999999999999917</v>
      </c>
      <c r="L364" s="209">
        <f t="shared" si="218"/>
        <v>14.999999999999986</v>
      </c>
      <c r="M364" s="209">
        <f t="shared" si="218"/>
        <v>555.88235294117658</v>
      </c>
      <c r="N364" s="209">
        <f t="shared" si="218"/>
        <v>555.88235294117658</v>
      </c>
      <c r="O364" s="209">
        <f t="shared" si="218"/>
        <v>162.00000000000003</v>
      </c>
      <c r="P364" s="209">
        <f t="shared" si="218"/>
        <v>162.00000000000003</v>
      </c>
      <c r="Q364" s="209">
        <f t="shared" si="218"/>
        <v>166.52304000000004</v>
      </c>
      <c r="R364" s="209">
        <f t="shared" si="218"/>
        <v>333.35064000000011</v>
      </c>
      <c r="S364" s="209">
        <f t="shared" si="218"/>
        <v>305.40240000000006</v>
      </c>
      <c r="T364" s="209">
        <f t="shared" si="218"/>
        <v>224.63460000000001</v>
      </c>
      <c r="U364" s="209">
        <f t="shared" si="218"/>
        <v>228.19320000000008</v>
      </c>
      <c r="V364" s="209">
        <f t="shared" si="218"/>
        <v>293.95440000000008</v>
      </c>
      <c r="W364" s="209">
        <f t="shared" si="218"/>
        <v>239.29344</v>
      </c>
      <c r="X364" s="209">
        <f t="shared" si="218"/>
        <v>205.76808000000003</v>
      </c>
      <c r="Y364" s="209">
        <f t="shared" si="218"/>
        <v>453.60000000000008</v>
      </c>
      <c r="Z364" s="209">
        <f t="shared" si="218"/>
        <v>378.00000000000006</v>
      </c>
      <c r="AA364" s="209">
        <f t="shared" si="218"/>
        <v>178.20000000000002</v>
      </c>
      <c r="AB364" s="209">
        <f t="shared" si="218"/>
        <v>210.60000000000002</v>
      </c>
      <c r="AC364" s="209">
        <f t="shared" si="218"/>
        <v>199.82764800000004</v>
      </c>
      <c r="AD364" s="209">
        <f t="shared" si="218"/>
        <v>466.69089600000001</v>
      </c>
      <c r="AE364" s="209">
        <f t="shared" si="218"/>
        <v>305.40240000000006</v>
      </c>
      <c r="AF364" s="209">
        <f t="shared" si="218"/>
        <v>292.02498000000003</v>
      </c>
      <c r="AG364" s="209">
        <f t="shared" si="218"/>
        <v>251.01252000000008</v>
      </c>
      <c r="AH364" s="209">
        <f t="shared" si="218"/>
        <v>470.32704000000012</v>
      </c>
      <c r="AI364" s="209">
        <f t="shared" si="218"/>
        <v>215.36409599999999</v>
      </c>
      <c r="AJ364" s="209">
        <f t="shared" si="218"/>
        <v>226.34488800000005</v>
      </c>
      <c r="AK364" s="209">
        <f t="shared" si="218"/>
        <v>544.32000000000016</v>
      </c>
      <c r="AL364" s="209">
        <f t="shared" si="218"/>
        <v>378.00000000000006</v>
      </c>
      <c r="AM364" s="209">
        <f t="shared" si="218"/>
        <v>196.02</v>
      </c>
      <c r="AN364" s="209">
        <f t="shared" si="218"/>
        <v>252.72000000000003</v>
      </c>
    </row>
    <row r="365" spans="2:40" s="7" customFormat="1" ht="12" customHeight="1" outlineLevel="1">
      <c r="B365" s="239"/>
      <c r="C365" s="214" t="s">
        <v>843</v>
      </c>
      <c r="D365" s="214"/>
      <c r="E365" s="209">
        <f>E355*E361</f>
        <v>0</v>
      </c>
      <c r="F365" s="209">
        <f t="shared" ref="F365:I365" si="219">F355*F361</f>
        <v>0</v>
      </c>
      <c r="G365" s="209">
        <f t="shared" si="219"/>
        <v>0</v>
      </c>
      <c r="H365" s="209">
        <f t="shared" si="219"/>
        <v>0</v>
      </c>
      <c r="I365" s="209">
        <f t="shared" si="219"/>
        <v>0</v>
      </c>
      <c r="J365" s="209">
        <f t="shared" ref="J365:AN365" si="220">J355*J361</f>
        <v>0</v>
      </c>
      <c r="K365" s="209">
        <f t="shared" si="220"/>
        <v>0</v>
      </c>
      <c r="L365" s="209">
        <f t="shared" si="220"/>
        <v>0</v>
      </c>
      <c r="M365" s="209">
        <f t="shared" si="220"/>
        <v>0</v>
      </c>
      <c r="N365" s="209">
        <f t="shared" si="220"/>
        <v>0</v>
      </c>
      <c r="O365" s="209">
        <f t="shared" si="220"/>
        <v>0</v>
      </c>
      <c r="P365" s="209">
        <f t="shared" si="220"/>
        <v>0</v>
      </c>
      <c r="Q365" s="209">
        <f t="shared" si="220"/>
        <v>0</v>
      </c>
      <c r="R365" s="209">
        <f t="shared" si="220"/>
        <v>0</v>
      </c>
      <c r="S365" s="209">
        <f t="shared" si="220"/>
        <v>0</v>
      </c>
      <c r="T365" s="209">
        <f t="shared" si="220"/>
        <v>0</v>
      </c>
      <c r="U365" s="209">
        <f t="shared" si="220"/>
        <v>0</v>
      </c>
      <c r="V365" s="209">
        <f t="shared" si="220"/>
        <v>0</v>
      </c>
      <c r="W365" s="209">
        <f t="shared" si="220"/>
        <v>0</v>
      </c>
      <c r="X365" s="209">
        <f t="shared" si="220"/>
        <v>0</v>
      </c>
      <c r="Y365" s="209">
        <f t="shared" si="220"/>
        <v>0</v>
      </c>
      <c r="Z365" s="209">
        <f t="shared" si="220"/>
        <v>0</v>
      </c>
      <c r="AA365" s="209">
        <f t="shared" si="220"/>
        <v>0</v>
      </c>
      <c r="AB365" s="209">
        <f t="shared" si="220"/>
        <v>0</v>
      </c>
      <c r="AC365" s="209">
        <f t="shared" si="220"/>
        <v>0</v>
      </c>
      <c r="AD365" s="209">
        <f t="shared" si="220"/>
        <v>0</v>
      </c>
      <c r="AE365" s="209">
        <f t="shared" si="220"/>
        <v>0</v>
      </c>
      <c r="AF365" s="209">
        <f t="shared" si="220"/>
        <v>0</v>
      </c>
      <c r="AG365" s="209">
        <f t="shared" si="220"/>
        <v>0</v>
      </c>
      <c r="AH365" s="209">
        <f t="shared" si="220"/>
        <v>0</v>
      </c>
      <c r="AI365" s="209">
        <f t="shared" si="220"/>
        <v>0</v>
      </c>
      <c r="AJ365" s="209">
        <f t="shared" si="220"/>
        <v>0</v>
      </c>
      <c r="AK365" s="209">
        <f t="shared" si="220"/>
        <v>0</v>
      </c>
      <c r="AL365" s="209">
        <f t="shared" si="220"/>
        <v>0</v>
      </c>
      <c r="AM365" s="209">
        <f t="shared" si="220"/>
        <v>0</v>
      </c>
      <c r="AN365" s="209">
        <f t="shared" si="220"/>
        <v>0</v>
      </c>
    </row>
    <row r="366" spans="2:40" s="7" customFormat="1" ht="12" customHeight="1" outlineLevel="1">
      <c r="B366" s="239"/>
      <c r="C366" s="214" t="s">
        <v>844</v>
      </c>
      <c r="D366" s="214"/>
      <c r="E366" s="209">
        <f>IF((SUM(E376:E412)-E363)&lt;2,ROUNDUP(SUM(E376:E412),0)-E363,ROUNDDOWN(SUM(E376:E412),0)-E363)</f>
        <v>418</v>
      </c>
      <c r="F366" s="209">
        <f t="shared" ref="F366:I366" si="221">IF((SUM(F376:F412)-F363)&lt;2,ROUNDUP(SUM(F376:F412),0)-F363,ROUNDDOWN(SUM(F376:F412),0)-F363)</f>
        <v>520</v>
      </c>
      <c r="G366" s="209">
        <f t="shared" si="221"/>
        <v>1498</v>
      </c>
      <c r="H366" s="209">
        <f>IF((SUM(H376:H412)-H363)&lt;2,ROUNDUP(SUM(H376:H412),0)-H363,ROUNDDOWN(SUM(H376:H412),0)-H363)</f>
        <v>3097</v>
      </c>
      <c r="I366" s="209">
        <f t="shared" si="221"/>
        <v>303</v>
      </c>
      <c r="J366" s="209">
        <f t="shared" ref="J366:AN366" si="222">IF((SUM(J376:J412)-J363)&lt;2,ROUNDUP(SUM(J376:J412),0)-J363,ROUNDDOWN(SUM(J376:J412),0)-J363)</f>
        <v>272</v>
      </c>
      <c r="K366" s="209">
        <f t="shared" si="222"/>
        <v>245</v>
      </c>
      <c r="L366" s="209">
        <f t="shared" si="222"/>
        <v>220</v>
      </c>
      <c r="M366" s="209">
        <f t="shared" si="222"/>
        <v>197.94117647058829</v>
      </c>
      <c r="N366" s="209">
        <f t="shared" si="222"/>
        <v>177.94117647058829</v>
      </c>
      <c r="O366" s="209">
        <f t="shared" si="222"/>
        <v>161</v>
      </c>
      <c r="P366" s="209">
        <f t="shared" si="222"/>
        <v>144</v>
      </c>
      <c r="Q366" s="209">
        <f t="shared" si="222"/>
        <v>129.44623999999999</v>
      </c>
      <c r="R366" s="209">
        <f t="shared" si="222"/>
        <v>117.18183999999997</v>
      </c>
      <c r="S366" s="209">
        <f t="shared" si="222"/>
        <v>105.39440000000002</v>
      </c>
      <c r="T366" s="209">
        <f t="shared" si="222"/>
        <v>94.852600000000052</v>
      </c>
      <c r="U366" s="209">
        <f t="shared" si="222"/>
        <v>85.549199999999928</v>
      </c>
      <c r="V366" s="209">
        <f t="shared" si="222"/>
        <v>76.106400000000008</v>
      </c>
      <c r="W366" s="209">
        <f t="shared" si="222"/>
        <v>68.648640000000114</v>
      </c>
      <c r="X366" s="209">
        <f t="shared" si="222"/>
        <v>61.874480000000062</v>
      </c>
      <c r="Y366" s="209">
        <f t="shared" si="222"/>
        <v>55.600000000000136</v>
      </c>
      <c r="Z366" s="209">
        <f t="shared" si="222"/>
        <v>50</v>
      </c>
      <c r="AA366" s="209">
        <f t="shared" si="222"/>
        <v>45.200000000000045</v>
      </c>
      <c r="AB366" s="209">
        <f t="shared" si="222"/>
        <v>40.600000000000023</v>
      </c>
      <c r="AC366" s="209">
        <f t="shared" si="222"/>
        <v>36.735488000000032</v>
      </c>
      <c r="AD366" s="209">
        <f t="shared" si="222"/>
        <v>33.054576000000225</v>
      </c>
      <c r="AE366" s="209">
        <f t="shared" si="222"/>
        <v>29.394400000000019</v>
      </c>
      <c r="AF366" s="209">
        <f t="shared" si="222"/>
        <v>26.608380000000011</v>
      </c>
      <c r="AG366" s="209">
        <f t="shared" si="222"/>
        <v>23.304120000000012</v>
      </c>
      <c r="AH366" s="209">
        <f t="shared" si="222"/>
        <v>21.570240000000013</v>
      </c>
      <c r="AI366" s="209">
        <f t="shared" si="222"/>
        <v>19.483776000000148</v>
      </c>
      <c r="AJ366" s="209">
        <f t="shared" si="222"/>
        <v>16.861928000000034</v>
      </c>
      <c r="AK366" s="209">
        <f t="shared" si="222"/>
        <v>14.920000000000073</v>
      </c>
      <c r="AL366" s="209">
        <f t="shared" si="222"/>
        <v>14</v>
      </c>
      <c r="AM366" s="209">
        <f t="shared" si="222"/>
        <v>12.620000000000061</v>
      </c>
      <c r="AN366" s="209">
        <f t="shared" si="222"/>
        <v>11.32000000000005</v>
      </c>
    </row>
    <row r="367" spans="2:40" s="7" customFormat="1" ht="12" customHeight="1" outlineLevel="1">
      <c r="B367" s="239"/>
      <c r="C367" s="214" t="s">
        <v>845</v>
      </c>
      <c r="D367" s="214"/>
      <c r="E367" s="209">
        <f>IF((SUM(E417:E453)-E364)&lt;2,ROUNDUP(SUM(E417:E453),0)-E364,ROUNDDOWN(SUM(E417:E453),0)-E364)</f>
        <v>322</v>
      </c>
      <c r="F367" s="209">
        <f t="shared" ref="F367:I367" si="223">IF((SUM(F417:F453)-F364)&lt;2,ROUNDUP(SUM(F417:F453),0)-F364,ROUNDDOWN(SUM(F417:F453),0)-F364)</f>
        <v>380.00000000000006</v>
      </c>
      <c r="G367" s="209">
        <f t="shared" si="223"/>
        <v>480.99999999999994</v>
      </c>
      <c r="H367" s="209">
        <f t="shared" si="223"/>
        <v>365</v>
      </c>
      <c r="I367" s="209">
        <f t="shared" si="223"/>
        <v>307</v>
      </c>
      <c r="J367" s="209">
        <f t="shared" ref="J367:AN367" si="224">IF((SUM(J417:J453)-J364)&lt;2,ROUNDUP(SUM(J417:J453),0)-J364,ROUNDDOWN(SUM(J417:J453),0)-J364)</f>
        <v>276</v>
      </c>
      <c r="K367" s="209">
        <f t="shared" si="224"/>
        <v>249.00000000000009</v>
      </c>
      <c r="L367" s="209">
        <f t="shared" si="224"/>
        <v>224</v>
      </c>
      <c r="M367" s="209">
        <f t="shared" si="224"/>
        <v>203.11764705882342</v>
      </c>
      <c r="N367" s="209">
        <f t="shared" si="224"/>
        <v>204.11764705882342</v>
      </c>
      <c r="O367" s="209">
        <f t="shared" si="224"/>
        <v>208.99999999999997</v>
      </c>
      <c r="P367" s="209">
        <f t="shared" si="224"/>
        <v>198.99999999999997</v>
      </c>
      <c r="Q367" s="209">
        <f t="shared" si="224"/>
        <v>190.47695999999996</v>
      </c>
      <c r="R367" s="209">
        <f t="shared" si="224"/>
        <v>178.64935999999989</v>
      </c>
      <c r="S367" s="209">
        <f t="shared" si="224"/>
        <v>173.59759999999994</v>
      </c>
      <c r="T367" s="209">
        <f t="shared" si="224"/>
        <v>173.36539999999999</v>
      </c>
      <c r="U367" s="209">
        <f t="shared" si="224"/>
        <v>170.80679999999992</v>
      </c>
      <c r="V367" s="209">
        <f t="shared" si="224"/>
        <v>165.04559999999992</v>
      </c>
      <c r="W367" s="209">
        <f t="shared" si="224"/>
        <v>159.70656</v>
      </c>
      <c r="X367" s="209">
        <f t="shared" si="224"/>
        <v>157.23191999999997</v>
      </c>
      <c r="Y367" s="209">
        <f t="shared" si="224"/>
        <v>161.39999999999992</v>
      </c>
      <c r="Z367" s="209">
        <f t="shared" si="224"/>
        <v>174.99999999999994</v>
      </c>
      <c r="AA367" s="209">
        <f t="shared" si="224"/>
        <v>168.79999999999998</v>
      </c>
      <c r="AB367" s="209">
        <f t="shared" si="224"/>
        <v>156.39999999999998</v>
      </c>
      <c r="AC367" s="209">
        <f t="shared" si="224"/>
        <v>155.17235199999996</v>
      </c>
      <c r="AD367" s="209">
        <f t="shared" si="224"/>
        <v>152.30910399999999</v>
      </c>
      <c r="AE367" s="209">
        <f t="shared" si="224"/>
        <v>152.59759999999994</v>
      </c>
      <c r="AF367" s="209">
        <f t="shared" si="224"/>
        <v>134.97501999999997</v>
      </c>
      <c r="AG367" s="209">
        <f t="shared" si="224"/>
        <v>123.98747999999992</v>
      </c>
      <c r="AH367" s="209">
        <f t="shared" si="224"/>
        <v>113.67295999999988</v>
      </c>
      <c r="AI367" s="209">
        <f t="shared" si="224"/>
        <v>114.63590400000001</v>
      </c>
      <c r="AJ367" s="209">
        <f t="shared" si="224"/>
        <v>96.655111999999946</v>
      </c>
      <c r="AK367" s="209">
        <f t="shared" si="224"/>
        <v>92.679999999999836</v>
      </c>
      <c r="AL367" s="209">
        <f t="shared" si="224"/>
        <v>103.99999999999994</v>
      </c>
      <c r="AM367" s="209">
        <f t="shared" si="224"/>
        <v>87.97999999999999</v>
      </c>
      <c r="AN367" s="209">
        <f t="shared" si="224"/>
        <v>78.279999999999973</v>
      </c>
    </row>
    <row r="368" spans="2:40" s="7" customFormat="1" ht="12" customHeight="1" outlineLevel="1">
      <c r="B368" s="239"/>
      <c r="C368" s="214" t="s">
        <v>846</v>
      </c>
      <c r="D368" s="214"/>
      <c r="E368" s="209">
        <f t="shared" ref="E368:I368" si="225">IF((SUM(E458:E481)-E365)&lt;1,ROUNDUP(SUM(E458:E481),0)-E365,ROUNDDOWN(SUM(E458:E481),0)-E365)</f>
        <v>0</v>
      </c>
      <c r="F368" s="209">
        <f t="shared" si="225"/>
        <v>0</v>
      </c>
      <c r="G368" s="209">
        <f t="shared" si="225"/>
        <v>0</v>
      </c>
      <c r="H368" s="209">
        <f t="shared" si="225"/>
        <v>0</v>
      </c>
      <c r="I368" s="209">
        <f t="shared" si="225"/>
        <v>0</v>
      </c>
      <c r="J368" s="209">
        <f t="shared" ref="J368:AN368" si="226">IF((SUM(J458:J481)-J365)&lt;1,ROUNDUP(SUM(J458:J481),0)-J365,ROUNDDOWN(SUM(J458:J481),0)-J365)</f>
        <v>0</v>
      </c>
      <c r="K368" s="209">
        <f t="shared" si="226"/>
        <v>0</v>
      </c>
      <c r="L368" s="209">
        <f t="shared" si="226"/>
        <v>0</v>
      </c>
      <c r="M368" s="209">
        <f t="shared" si="226"/>
        <v>0</v>
      </c>
      <c r="N368" s="209">
        <f t="shared" si="226"/>
        <v>0</v>
      </c>
      <c r="O368" s="209">
        <f t="shared" si="226"/>
        <v>0</v>
      </c>
      <c r="P368" s="209">
        <f t="shared" si="226"/>
        <v>0</v>
      </c>
      <c r="Q368" s="209">
        <f t="shared" si="226"/>
        <v>0</v>
      </c>
      <c r="R368" s="209">
        <f t="shared" si="226"/>
        <v>0</v>
      </c>
      <c r="S368" s="209">
        <f t="shared" si="226"/>
        <v>0</v>
      </c>
      <c r="T368" s="209">
        <f t="shared" si="226"/>
        <v>0</v>
      </c>
      <c r="U368" s="209">
        <f t="shared" si="226"/>
        <v>0</v>
      </c>
      <c r="V368" s="209">
        <f t="shared" si="226"/>
        <v>0</v>
      </c>
      <c r="W368" s="209">
        <f t="shared" si="226"/>
        <v>0</v>
      </c>
      <c r="X368" s="209">
        <f t="shared" si="226"/>
        <v>0</v>
      </c>
      <c r="Y368" s="209">
        <f t="shared" si="226"/>
        <v>0</v>
      </c>
      <c r="Z368" s="209">
        <f t="shared" si="226"/>
        <v>0</v>
      </c>
      <c r="AA368" s="209">
        <f t="shared" si="226"/>
        <v>0</v>
      </c>
      <c r="AB368" s="209">
        <f t="shared" si="226"/>
        <v>0</v>
      </c>
      <c r="AC368" s="209">
        <f t="shared" si="226"/>
        <v>0</v>
      </c>
      <c r="AD368" s="209">
        <f t="shared" si="226"/>
        <v>0</v>
      </c>
      <c r="AE368" s="209">
        <f t="shared" si="226"/>
        <v>0</v>
      </c>
      <c r="AF368" s="209">
        <f t="shared" si="226"/>
        <v>0</v>
      </c>
      <c r="AG368" s="209">
        <f t="shared" si="226"/>
        <v>0</v>
      </c>
      <c r="AH368" s="209">
        <f t="shared" si="226"/>
        <v>0</v>
      </c>
      <c r="AI368" s="209">
        <f t="shared" si="226"/>
        <v>0</v>
      </c>
      <c r="AJ368" s="209">
        <f t="shared" si="226"/>
        <v>0</v>
      </c>
      <c r="AK368" s="209">
        <f t="shared" si="226"/>
        <v>0</v>
      </c>
      <c r="AL368" s="209">
        <f t="shared" si="226"/>
        <v>0</v>
      </c>
      <c r="AM368" s="209">
        <f t="shared" si="226"/>
        <v>0</v>
      </c>
      <c r="AN368" s="209">
        <f t="shared" si="226"/>
        <v>0</v>
      </c>
    </row>
    <row r="369" spans="2:40" s="7" customFormat="1" ht="12" customHeight="1" outlineLevel="1">
      <c r="B369" s="237"/>
      <c r="C369" s="214" t="s">
        <v>833</v>
      </c>
      <c r="D369" s="214"/>
      <c r="E369" s="210">
        <f>SUM(E363:E365)</f>
        <v>443</v>
      </c>
      <c r="F369" s="210">
        <f>SUM(F363:F365)</f>
        <v>1511</v>
      </c>
      <c r="G369" s="210">
        <f t="shared" ref="G369:I369" si="227">SUM(G363:G365)</f>
        <v>1157</v>
      </c>
      <c r="H369" s="210">
        <f t="shared" si="227"/>
        <v>431</v>
      </c>
      <c r="I369" s="210">
        <f t="shared" si="227"/>
        <v>541</v>
      </c>
      <c r="J369" s="210">
        <f t="shared" ref="J369:AN369" si="228">SUM(J363:J365)</f>
        <v>1247</v>
      </c>
      <c r="K369" s="210">
        <f t="shared" si="228"/>
        <v>1624</v>
      </c>
      <c r="L369" s="210">
        <f t="shared" si="228"/>
        <v>360</v>
      </c>
      <c r="M369" s="210">
        <f t="shared" si="228"/>
        <v>1852.9411764705883</v>
      </c>
      <c r="N369" s="210">
        <f t="shared" si="228"/>
        <v>1852.9411764705883</v>
      </c>
      <c r="O369" s="210">
        <f t="shared" si="228"/>
        <v>540</v>
      </c>
      <c r="P369" s="210">
        <f t="shared" si="228"/>
        <v>540</v>
      </c>
      <c r="Q369" s="210">
        <f t="shared" si="228"/>
        <v>555.07680000000005</v>
      </c>
      <c r="R369" s="210">
        <f t="shared" si="228"/>
        <v>1111.1688000000001</v>
      </c>
      <c r="S369" s="210">
        <f t="shared" si="228"/>
        <v>1018.008</v>
      </c>
      <c r="T369" s="210">
        <f t="shared" si="228"/>
        <v>748.78199999999993</v>
      </c>
      <c r="U369" s="210">
        <f t="shared" si="228"/>
        <v>760.64400000000012</v>
      </c>
      <c r="V369" s="210">
        <f t="shared" si="228"/>
        <v>979.84800000000007</v>
      </c>
      <c r="W369" s="210">
        <f t="shared" si="228"/>
        <v>797.64479999999992</v>
      </c>
      <c r="X369" s="210">
        <f t="shared" si="228"/>
        <v>685.89359999999999</v>
      </c>
      <c r="Y369" s="210">
        <f t="shared" si="228"/>
        <v>1512</v>
      </c>
      <c r="Z369" s="210">
        <f t="shared" si="228"/>
        <v>1260</v>
      </c>
      <c r="AA369" s="210">
        <f t="shared" si="228"/>
        <v>594</v>
      </c>
      <c r="AB369" s="210">
        <f t="shared" si="228"/>
        <v>702</v>
      </c>
      <c r="AC369" s="210">
        <f t="shared" si="228"/>
        <v>666.09216000000004</v>
      </c>
      <c r="AD369" s="210">
        <f t="shared" si="228"/>
        <v>1555.6363199999998</v>
      </c>
      <c r="AE369" s="210">
        <f t="shared" si="228"/>
        <v>1018.008</v>
      </c>
      <c r="AF369" s="210">
        <f t="shared" si="228"/>
        <v>973.41660000000002</v>
      </c>
      <c r="AG369" s="210">
        <f t="shared" si="228"/>
        <v>836.7084000000001</v>
      </c>
      <c r="AH369" s="210">
        <f t="shared" si="228"/>
        <v>1567.7568000000001</v>
      </c>
      <c r="AI369" s="210">
        <f t="shared" si="228"/>
        <v>717.88031999999987</v>
      </c>
      <c r="AJ369" s="210">
        <f t="shared" si="228"/>
        <v>754.48296000000005</v>
      </c>
      <c r="AK369" s="210">
        <f t="shared" si="228"/>
        <v>1814.4</v>
      </c>
      <c r="AL369" s="210">
        <f t="shared" si="228"/>
        <v>1260</v>
      </c>
      <c r="AM369" s="210">
        <f t="shared" si="228"/>
        <v>653.4</v>
      </c>
      <c r="AN369" s="210">
        <f t="shared" si="228"/>
        <v>842.4</v>
      </c>
    </row>
    <row r="370" spans="2:40" s="7" customFormat="1" ht="12" customHeight="1" outlineLevel="1">
      <c r="B370" s="237"/>
      <c r="C370" s="214" t="s">
        <v>847</v>
      </c>
      <c r="D370" s="214"/>
      <c r="E370" s="210">
        <f t="shared" ref="E370:I370" si="229">SUM(E366:E368)</f>
        <v>740</v>
      </c>
      <c r="F370" s="210">
        <f t="shared" si="229"/>
        <v>900</v>
      </c>
      <c r="G370" s="210">
        <f t="shared" si="229"/>
        <v>1979</v>
      </c>
      <c r="H370" s="210">
        <f t="shared" si="229"/>
        <v>3462</v>
      </c>
      <c r="I370" s="210">
        <f t="shared" si="229"/>
        <v>610</v>
      </c>
      <c r="J370" s="210">
        <f t="shared" ref="J370:AN370" si="230">SUM(J366:J368)</f>
        <v>548</v>
      </c>
      <c r="K370" s="210">
        <f t="shared" si="230"/>
        <v>494.00000000000011</v>
      </c>
      <c r="L370" s="210">
        <f t="shared" si="230"/>
        <v>444</v>
      </c>
      <c r="M370" s="210">
        <f t="shared" si="230"/>
        <v>401.05882352941171</v>
      </c>
      <c r="N370" s="210">
        <f t="shared" si="230"/>
        <v>382.05882352941171</v>
      </c>
      <c r="O370" s="210">
        <f t="shared" si="230"/>
        <v>370</v>
      </c>
      <c r="P370" s="210">
        <f t="shared" si="230"/>
        <v>343</v>
      </c>
      <c r="Q370" s="210">
        <f t="shared" si="230"/>
        <v>319.92319999999995</v>
      </c>
      <c r="R370" s="210">
        <f t="shared" si="230"/>
        <v>295.83119999999985</v>
      </c>
      <c r="S370" s="210">
        <f t="shared" si="230"/>
        <v>278.99199999999996</v>
      </c>
      <c r="T370" s="210">
        <f t="shared" si="230"/>
        <v>268.21800000000007</v>
      </c>
      <c r="U370" s="210">
        <f t="shared" si="230"/>
        <v>256.35599999999988</v>
      </c>
      <c r="V370" s="210">
        <f t="shared" si="230"/>
        <v>241.15199999999993</v>
      </c>
      <c r="W370" s="210">
        <f t="shared" si="230"/>
        <v>228.35520000000011</v>
      </c>
      <c r="X370" s="210">
        <f t="shared" si="230"/>
        <v>219.10640000000004</v>
      </c>
      <c r="Y370" s="210">
        <f t="shared" si="230"/>
        <v>217.00000000000006</v>
      </c>
      <c r="Z370" s="210">
        <f t="shared" si="230"/>
        <v>224.99999999999994</v>
      </c>
      <c r="AA370" s="210">
        <f t="shared" si="230"/>
        <v>214.00000000000003</v>
      </c>
      <c r="AB370" s="210">
        <f t="shared" si="230"/>
        <v>197</v>
      </c>
      <c r="AC370" s="210">
        <f t="shared" si="230"/>
        <v>191.90783999999999</v>
      </c>
      <c r="AD370" s="210">
        <f t="shared" si="230"/>
        <v>185.36368000000022</v>
      </c>
      <c r="AE370" s="210">
        <f t="shared" si="230"/>
        <v>181.99199999999996</v>
      </c>
      <c r="AF370" s="210">
        <f t="shared" si="230"/>
        <v>161.58339999999998</v>
      </c>
      <c r="AG370" s="210">
        <f t="shared" si="230"/>
        <v>147.29159999999993</v>
      </c>
      <c r="AH370" s="210">
        <f t="shared" si="230"/>
        <v>135.24319999999989</v>
      </c>
      <c r="AI370" s="210">
        <f t="shared" si="230"/>
        <v>134.11968000000016</v>
      </c>
      <c r="AJ370" s="210">
        <f t="shared" si="230"/>
        <v>113.51703999999998</v>
      </c>
      <c r="AK370" s="210">
        <f t="shared" si="230"/>
        <v>107.59999999999991</v>
      </c>
      <c r="AL370" s="210">
        <f t="shared" si="230"/>
        <v>117.99999999999994</v>
      </c>
      <c r="AM370" s="210">
        <f t="shared" si="230"/>
        <v>100.60000000000005</v>
      </c>
      <c r="AN370" s="210">
        <f t="shared" si="230"/>
        <v>89.600000000000023</v>
      </c>
    </row>
    <row r="371" spans="2:40" s="7" customFormat="1" ht="12" customHeight="1" outlineLevel="1">
      <c r="B371" s="237"/>
      <c r="C371" s="214" t="s">
        <v>848</v>
      </c>
      <c r="D371" s="214"/>
      <c r="E371" s="205">
        <f>SUM(E369:E370)</f>
        <v>1183</v>
      </c>
      <c r="F371" s="205">
        <f t="shared" ref="F371:I371" si="231">SUM(F369:F370)</f>
        <v>2411</v>
      </c>
      <c r="G371" s="205">
        <f t="shared" si="231"/>
        <v>3136</v>
      </c>
      <c r="H371" s="205">
        <f t="shared" si="231"/>
        <v>3893</v>
      </c>
      <c r="I371" s="205">
        <f t="shared" si="231"/>
        <v>1151</v>
      </c>
      <c r="J371" s="205">
        <f t="shared" ref="J371:AN371" si="232">SUM(J369:J370)</f>
        <v>1795</v>
      </c>
      <c r="K371" s="205">
        <f t="shared" si="232"/>
        <v>2118</v>
      </c>
      <c r="L371" s="205">
        <f t="shared" si="232"/>
        <v>804</v>
      </c>
      <c r="M371" s="205">
        <f t="shared" si="232"/>
        <v>2254</v>
      </c>
      <c r="N371" s="205">
        <f t="shared" si="232"/>
        <v>2235</v>
      </c>
      <c r="O371" s="205">
        <f t="shared" si="232"/>
        <v>910</v>
      </c>
      <c r="P371" s="205">
        <f t="shared" si="232"/>
        <v>883</v>
      </c>
      <c r="Q371" s="205">
        <f t="shared" si="232"/>
        <v>875</v>
      </c>
      <c r="R371" s="205">
        <f t="shared" si="232"/>
        <v>1407</v>
      </c>
      <c r="S371" s="205">
        <f t="shared" si="232"/>
        <v>1297</v>
      </c>
      <c r="T371" s="205">
        <f t="shared" si="232"/>
        <v>1017</v>
      </c>
      <c r="U371" s="205">
        <f t="shared" si="232"/>
        <v>1017</v>
      </c>
      <c r="V371" s="205">
        <f t="shared" si="232"/>
        <v>1221</v>
      </c>
      <c r="W371" s="205">
        <f t="shared" si="232"/>
        <v>1026</v>
      </c>
      <c r="X371" s="205">
        <f t="shared" si="232"/>
        <v>905</v>
      </c>
      <c r="Y371" s="205">
        <f t="shared" si="232"/>
        <v>1729</v>
      </c>
      <c r="Z371" s="205">
        <f t="shared" si="232"/>
        <v>1485</v>
      </c>
      <c r="AA371" s="205">
        <f t="shared" si="232"/>
        <v>808</v>
      </c>
      <c r="AB371" s="205">
        <f t="shared" si="232"/>
        <v>899</v>
      </c>
      <c r="AC371" s="205">
        <f t="shared" si="232"/>
        <v>858</v>
      </c>
      <c r="AD371" s="205">
        <f t="shared" si="232"/>
        <v>1741</v>
      </c>
      <c r="AE371" s="205">
        <f t="shared" si="232"/>
        <v>1200</v>
      </c>
      <c r="AF371" s="205">
        <f t="shared" si="232"/>
        <v>1135</v>
      </c>
      <c r="AG371" s="205">
        <f t="shared" si="232"/>
        <v>984</v>
      </c>
      <c r="AH371" s="205">
        <f t="shared" si="232"/>
        <v>1703</v>
      </c>
      <c r="AI371" s="205">
        <f t="shared" si="232"/>
        <v>852</v>
      </c>
      <c r="AJ371" s="205">
        <f t="shared" si="232"/>
        <v>868</v>
      </c>
      <c r="AK371" s="205">
        <f t="shared" si="232"/>
        <v>1922</v>
      </c>
      <c r="AL371" s="205">
        <f t="shared" si="232"/>
        <v>1378</v>
      </c>
      <c r="AM371" s="205">
        <f t="shared" si="232"/>
        <v>754</v>
      </c>
      <c r="AN371" s="205">
        <f t="shared" si="232"/>
        <v>932</v>
      </c>
    </row>
    <row r="372" spans="2:40" s="7" customFormat="1" ht="12" customHeight="1" outlineLevel="1">
      <c r="B372" s="239"/>
      <c r="C372" s="214"/>
      <c r="D372" s="214"/>
      <c r="E372" s="211"/>
      <c r="F372" s="211"/>
      <c r="G372" s="211"/>
      <c r="H372" s="211"/>
      <c r="I372" s="211"/>
      <c r="J372" s="211"/>
      <c r="K372" s="211"/>
      <c r="L372" s="211"/>
      <c r="M372" s="211"/>
      <c r="N372" s="211"/>
      <c r="O372" s="211"/>
      <c r="P372" s="211"/>
      <c r="Q372" s="211"/>
      <c r="R372" s="211"/>
      <c r="S372" s="211"/>
      <c r="T372" s="211"/>
      <c r="U372" s="211"/>
      <c r="V372" s="211"/>
      <c r="W372" s="211"/>
      <c r="X372" s="211"/>
      <c r="Y372" s="211"/>
      <c r="Z372" s="211"/>
      <c r="AA372" s="211"/>
      <c r="AB372" s="211"/>
      <c r="AC372" s="211"/>
      <c r="AD372" s="211"/>
      <c r="AE372" s="211"/>
      <c r="AF372" s="211"/>
      <c r="AG372" s="211"/>
      <c r="AH372" s="211"/>
      <c r="AI372" s="211"/>
      <c r="AJ372" s="211"/>
      <c r="AK372" s="211"/>
      <c r="AL372" s="211"/>
      <c r="AM372" s="211"/>
      <c r="AN372" s="211"/>
    </row>
    <row r="373" spans="2:40" s="7" customFormat="1" ht="12" hidden="1" customHeight="1" outlineLevel="2">
      <c r="B373" s="239"/>
      <c r="C373" s="243" t="s">
        <v>849</v>
      </c>
      <c r="D373" s="214"/>
      <c r="O373" s="212"/>
      <c r="P373" s="212"/>
      <c r="Q373" s="212"/>
      <c r="R373" s="212"/>
      <c r="S373" s="212"/>
      <c r="T373" s="212"/>
      <c r="U373" s="212"/>
      <c r="V373" s="212"/>
      <c r="W373" s="212"/>
      <c r="X373" s="212"/>
      <c r="Y373" s="212"/>
      <c r="Z373" s="212"/>
      <c r="AA373" s="212"/>
      <c r="AB373" s="212"/>
      <c r="AC373" s="212"/>
      <c r="AD373" s="212"/>
      <c r="AE373" s="212"/>
      <c r="AF373" s="212"/>
      <c r="AG373" s="212"/>
      <c r="AH373" s="212"/>
      <c r="AI373" s="212"/>
      <c r="AJ373" s="212"/>
      <c r="AK373" s="212"/>
      <c r="AL373" s="212"/>
      <c r="AM373" s="212"/>
      <c r="AN373" s="212"/>
    </row>
    <row r="374" spans="2:40" s="7" customFormat="1" ht="12" hidden="1" customHeight="1" outlineLevel="2">
      <c r="B374" s="239"/>
      <c r="C374" s="214" t="s">
        <v>850</v>
      </c>
      <c r="D374" s="214"/>
      <c r="E374" s="196" t="s">
        <v>753</v>
      </c>
      <c r="F374" s="196" t="s">
        <v>754</v>
      </c>
      <c r="G374" s="196" t="s">
        <v>755</v>
      </c>
      <c r="H374" s="196" t="s">
        <v>756</v>
      </c>
      <c r="I374" s="196" t="s">
        <v>757</v>
      </c>
      <c r="J374" s="196" t="s">
        <v>758</v>
      </c>
      <c r="K374" s="196" t="s">
        <v>759</v>
      </c>
      <c r="L374" s="196" t="s">
        <v>760</v>
      </c>
      <c r="M374" s="196" t="s">
        <v>761</v>
      </c>
      <c r="N374" s="196" t="s">
        <v>762</v>
      </c>
      <c r="O374" s="196" t="s">
        <v>763</v>
      </c>
      <c r="P374" s="196" t="s">
        <v>764</v>
      </c>
      <c r="Q374" s="196" t="s">
        <v>765</v>
      </c>
      <c r="R374" s="196" t="s">
        <v>766</v>
      </c>
      <c r="S374" s="196" t="s">
        <v>767</v>
      </c>
      <c r="T374" s="196" t="s">
        <v>768</v>
      </c>
      <c r="U374" s="196" t="s">
        <v>769</v>
      </c>
      <c r="V374" s="196" t="s">
        <v>770</v>
      </c>
      <c r="W374" s="196" t="s">
        <v>771</v>
      </c>
      <c r="X374" s="196" t="s">
        <v>772</v>
      </c>
      <c r="Y374" s="196" t="s">
        <v>773</v>
      </c>
      <c r="Z374" s="196" t="s">
        <v>774</v>
      </c>
      <c r="AA374" s="196" t="s">
        <v>775</v>
      </c>
      <c r="AB374" s="196" t="s">
        <v>776</v>
      </c>
      <c r="AC374" s="196" t="s">
        <v>777</v>
      </c>
      <c r="AD374" s="196" t="s">
        <v>778</v>
      </c>
      <c r="AE374" s="196" t="s">
        <v>779</v>
      </c>
      <c r="AF374" s="196" t="s">
        <v>780</v>
      </c>
      <c r="AG374" s="196" t="s">
        <v>781</v>
      </c>
      <c r="AH374" s="196" t="s">
        <v>782</v>
      </c>
      <c r="AI374" s="196" t="s">
        <v>783</v>
      </c>
      <c r="AJ374" s="196" t="s">
        <v>784</v>
      </c>
      <c r="AK374" s="196" t="s">
        <v>785</v>
      </c>
      <c r="AL374" s="196" t="s">
        <v>786</v>
      </c>
      <c r="AM374" s="196" t="s">
        <v>787</v>
      </c>
      <c r="AN374" s="196" t="s">
        <v>788</v>
      </c>
    </row>
    <row r="375" spans="2:40" s="7" customFormat="1" ht="12" hidden="1" customHeight="1" outlineLevel="2">
      <c r="B375" s="239"/>
      <c r="C375" s="212" t="s">
        <v>851</v>
      </c>
      <c r="D375" s="212"/>
      <c r="E375" s="344">
        <v>0</v>
      </c>
      <c r="F375" s="344">
        <v>0</v>
      </c>
      <c r="G375" s="344">
        <v>0</v>
      </c>
      <c r="H375" s="344">
        <v>0</v>
      </c>
      <c r="I375" s="344">
        <v>0</v>
      </c>
      <c r="J375" s="344">
        <v>0</v>
      </c>
      <c r="K375" s="344">
        <v>0</v>
      </c>
      <c r="L375" s="344">
        <v>0</v>
      </c>
      <c r="M375" s="344">
        <v>0</v>
      </c>
      <c r="N375" s="344">
        <v>0</v>
      </c>
      <c r="O375" s="344">
        <v>0</v>
      </c>
      <c r="P375" s="344">
        <v>0</v>
      </c>
      <c r="Q375" s="344">
        <v>0</v>
      </c>
      <c r="R375" s="344">
        <v>0</v>
      </c>
      <c r="S375" s="344">
        <v>0</v>
      </c>
      <c r="T375" s="344">
        <v>0</v>
      </c>
      <c r="U375" s="344">
        <v>0</v>
      </c>
      <c r="V375" s="344">
        <v>0</v>
      </c>
      <c r="W375" s="344">
        <v>0</v>
      </c>
      <c r="X375" s="344">
        <v>0</v>
      </c>
      <c r="Y375" s="344">
        <v>0</v>
      </c>
      <c r="Z375" s="344">
        <v>0</v>
      </c>
      <c r="AA375" s="344">
        <v>0</v>
      </c>
      <c r="AB375" s="344">
        <v>0</v>
      </c>
      <c r="AC375" s="344">
        <v>0</v>
      </c>
      <c r="AD375" s="344">
        <v>0</v>
      </c>
      <c r="AE375" s="344">
        <v>0</v>
      </c>
      <c r="AF375" s="344">
        <v>0</v>
      </c>
      <c r="AG375" s="344">
        <v>0</v>
      </c>
      <c r="AH375" s="344">
        <v>0</v>
      </c>
      <c r="AI375" s="344">
        <v>0</v>
      </c>
      <c r="AJ375" s="344">
        <v>0</v>
      </c>
      <c r="AK375" s="344">
        <v>0</v>
      </c>
      <c r="AL375" s="344">
        <v>0</v>
      </c>
      <c r="AM375" s="344">
        <v>0</v>
      </c>
      <c r="AN375" s="344">
        <v>0</v>
      </c>
    </row>
    <row r="376" spans="2:40" s="7" customFormat="1" ht="12" hidden="1" customHeight="1" outlineLevel="2">
      <c r="B376" s="239"/>
      <c r="C376" s="213" t="s">
        <v>861</v>
      </c>
      <c r="D376" s="214"/>
      <c r="E376" s="211">
        <v>418</v>
      </c>
      <c r="F376" s="211">
        <v>520</v>
      </c>
      <c r="G376" s="211">
        <v>1498</v>
      </c>
      <c r="H376" s="211">
        <v>3097</v>
      </c>
      <c r="I376" s="211">
        <v>303</v>
      </c>
      <c r="J376" s="211">
        <f t="shared" ref="J376:AN376" si="233">I376*90%</f>
        <v>272.7</v>
      </c>
      <c r="K376" s="211">
        <f t="shared" si="233"/>
        <v>245.43</v>
      </c>
      <c r="L376" s="211">
        <f t="shared" si="233"/>
        <v>220.887</v>
      </c>
      <c r="M376" s="211">
        <f t="shared" si="233"/>
        <v>198.79830000000001</v>
      </c>
      <c r="N376" s="211">
        <f t="shared" si="233"/>
        <v>178.91847000000001</v>
      </c>
      <c r="O376" s="211">
        <f t="shared" si="233"/>
        <v>161.02662300000003</v>
      </c>
      <c r="P376" s="211">
        <f t="shared" si="233"/>
        <v>144.92396070000004</v>
      </c>
      <c r="Q376" s="211">
        <f t="shared" si="233"/>
        <v>130.43156463000003</v>
      </c>
      <c r="R376" s="211">
        <f t="shared" si="233"/>
        <v>117.38840816700002</v>
      </c>
      <c r="S376" s="211">
        <f t="shared" si="233"/>
        <v>105.64956735030002</v>
      </c>
      <c r="T376" s="211">
        <f t="shared" si="233"/>
        <v>95.084610615270023</v>
      </c>
      <c r="U376" s="211">
        <f t="shared" si="233"/>
        <v>85.576149553743022</v>
      </c>
      <c r="V376" s="211">
        <f t="shared" si="233"/>
        <v>77.018534598368717</v>
      </c>
      <c r="W376" s="211">
        <f t="shared" si="233"/>
        <v>69.316681138531848</v>
      </c>
      <c r="X376" s="211">
        <f t="shared" si="233"/>
        <v>62.385013024678663</v>
      </c>
      <c r="Y376" s="211">
        <f t="shared" si="233"/>
        <v>56.146511722210796</v>
      </c>
      <c r="Z376" s="211">
        <f t="shared" si="233"/>
        <v>50.531860549989716</v>
      </c>
      <c r="AA376" s="211">
        <f t="shared" si="233"/>
        <v>45.478674494990749</v>
      </c>
      <c r="AB376" s="211">
        <f t="shared" si="233"/>
        <v>40.930807045491676</v>
      </c>
      <c r="AC376" s="211">
        <f t="shared" si="233"/>
        <v>36.83772634094251</v>
      </c>
      <c r="AD376" s="211">
        <f t="shared" si="233"/>
        <v>33.153953706848263</v>
      </c>
      <c r="AE376" s="211">
        <f t="shared" si="233"/>
        <v>29.838558336163437</v>
      </c>
      <c r="AF376" s="211">
        <f t="shared" si="233"/>
        <v>26.854702502547095</v>
      </c>
      <c r="AG376" s="211">
        <f t="shared" si="233"/>
        <v>24.169232252292385</v>
      </c>
      <c r="AH376" s="211">
        <f t="shared" si="233"/>
        <v>21.752309027063149</v>
      </c>
      <c r="AI376" s="211">
        <f t="shared" si="233"/>
        <v>19.577078124356834</v>
      </c>
      <c r="AJ376" s="211">
        <f t="shared" si="233"/>
        <v>17.619370311921152</v>
      </c>
      <c r="AK376" s="211">
        <f t="shared" si="233"/>
        <v>15.857433280729037</v>
      </c>
      <c r="AL376" s="211">
        <f t="shared" si="233"/>
        <v>14.271689952656134</v>
      </c>
      <c r="AM376" s="211">
        <f t="shared" si="233"/>
        <v>12.84452095739052</v>
      </c>
      <c r="AN376" s="211">
        <f t="shared" si="233"/>
        <v>11.560068861651468</v>
      </c>
    </row>
    <row r="377" spans="2:40" s="7" customFormat="1" ht="12" hidden="1" customHeight="1" outlineLevel="2">
      <c r="B377" s="245"/>
      <c r="C377" s="213" t="s">
        <v>753</v>
      </c>
      <c r="D377" s="213"/>
      <c r="E377" s="211">
        <f>INDEX($C$349:$AN$371,MATCH("New Customers One-Time",$C$349:$C$371,0),MATCH($C377,$C$349:$AN$349,0))</f>
        <v>412</v>
      </c>
      <c r="F377" s="211">
        <f t="shared" ref="F377:AN377" si="234">$E377*(E375)</f>
        <v>0</v>
      </c>
      <c r="G377" s="211">
        <f t="shared" si="234"/>
        <v>0</v>
      </c>
      <c r="H377" s="211">
        <f t="shared" si="234"/>
        <v>0</v>
      </c>
      <c r="I377" s="211">
        <f t="shared" si="234"/>
        <v>0</v>
      </c>
      <c r="J377" s="211">
        <f t="shared" si="234"/>
        <v>0</v>
      </c>
      <c r="K377" s="211">
        <f t="shared" si="234"/>
        <v>0</v>
      </c>
      <c r="L377" s="211">
        <f t="shared" si="234"/>
        <v>0</v>
      </c>
      <c r="M377" s="211">
        <f t="shared" si="234"/>
        <v>0</v>
      </c>
      <c r="N377" s="211">
        <f t="shared" si="234"/>
        <v>0</v>
      </c>
      <c r="O377" s="211">
        <f t="shared" si="234"/>
        <v>0</v>
      </c>
      <c r="P377" s="211">
        <f t="shared" si="234"/>
        <v>0</v>
      </c>
      <c r="Q377" s="211">
        <f t="shared" si="234"/>
        <v>0</v>
      </c>
      <c r="R377" s="211">
        <f t="shared" si="234"/>
        <v>0</v>
      </c>
      <c r="S377" s="211">
        <f t="shared" si="234"/>
        <v>0</v>
      </c>
      <c r="T377" s="211">
        <f t="shared" si="234"/>
        <v>0</v>
      </c>
      <c r="U377" s="211">
        <f t="shared" si="234"/>
        <v>0</v>
      </c>
      <c r="V377" s="211">
        <f t="shared" si="234"/>
        <v>0</v>
      </c>
      <c r="W377" s="211">
        <f t="shared" si="234"/>
        <v>0</v>
      </c>
      <c r="X377" s="211">
        <f t="shared" si="234"/>
        <v>0</v>
      </c>
      <c r="Y377" s="211">
        <f t="shared" si="234"/>
        <v>0</v>
      </c>
      <c r="Z377" s="211">
        <f t="shared" si="234"/>
        <v>0</v>
      </c>
      <c r="AA377" s="211">
        <f t="shared" si="234"/>
        <v>0</v>
      </c>
      <c r="AB377" s="211">
        <f t="shared" si="234"/>
        <v>0</v>
      </c>
      <c r="AC377" s="211">
        <f t="shared" si="234"/>
        <v>0</v>
      </c>
      <c r="AD377" s="211">
        <f t="shared" si="234"/>
        <v>0</v>
      </c>
      <c r="AE377" s="211">
        <f t="shared" si="234"/>
        <v>0</v>
      </c>
      <c r="AF377" s="211">
        <f t="shared" si="234"/>
        <v>0</v>
      </c>
      <c r="AG377" s="211">
        <f t="shared" si="234"/>
        <v>0</v>
      </c>
      <c r="AH377" s="211">
        <f t="shared" si="234"/>
        <v>0</v>
      </c>
      <c r="AI377" s="211">
        <f t="shared" si="234"/>
        <v>0</v>
      </c>
      <c r="AJ377" s="211">
        <f t="shared" si="234"/>
        <v>0</v>
      </c>
      <c r="AK377" s="211">
        <f t="shared" si="234"/>
        <v>0</v>
      </c>
      <c r="AL377" s="211">
        <f t="shared" si="234"/>
        <v>0</v>
      </c>
      <c r="AM377" s="211">
        <f t="shared" si="234"/>
        <v>0</v>
      </c>
      <c r="AN377" s="211">
        <f t="shared" si="234"/>
        <v>0</v>
      </c>
    </row>
    <row r="378" spans="2:40" s="7" customFormat="1" ht="12" hidden="1" customHeight="1" outlineLevel="2">
      <c r="B378" s="245"/>
      <c r="C378" s="213" t="s">
        <v>754</v>
      </c>
      <c r="D378" s="213"/>
      <c r="E378" s="213"/>
      <c r="F378" s="211">
        <f>INDEX($C$349:$AN$371,MATCH("New Customers One-Time",$C$349:$C$371,0),MATCH($C378,$C$349:$AN$349,0))</f>
        <v>1497</v>
      </c>
      <c r="G378" s="211">
        <f t="shared" ref="G378:AN378" si="235">$F378*(E375)</f>
        <v>0</v>
      </c>
      <c r="H378" s="211">
        <f t="shared" si="235"/>
        <v>0</v>
      </c>
      <c r="I378" s="211">
        <f t="shared" si="235"/>
        <v>0</v>
      </c>
      <c r="J378" s="211">
        <f t="shared" si="235"/>
        <v>0</v>
      </c>
      <c r="K378" s="211">
        <f t="shared" si="235"/>
        <v>0</v>
      </c>
      <c r="L378" s="211">
        <f t="shared" si="235"/>
        <v>0</v>
      </c>
      <c r="M378" s="211">
        <f t="shared" si="235"/>
        <v>0</v>
      </c>
      <c r="N378" s="211">
        <f t="shared" si="235"/>
        <v>0</v>
      </c>
      <c r="O378" s="211">
        <f t="shared" si="235"/>
        <v>0</v>
      </c>
      <c r="P378" s="211">
        <f t="shared" si="235"/>
        <v>0</v>
      </c>
      <c r="Q378" s="211">
        <f t="shared" si="235"/>
        <v>0</v>
      </c>
      <c r="R378" s="211">
        <f t="shared" si="235"/>
        <v>0</v>
      </c>
      <c r="S378" s="211">
        <f t="shared" si="235"/>
        <v>0</v>
      </c>
      <c r="T378" s="211">
        <f t="shared" si="235"/>
        <v>0</v>
      </c>
      <c r="U378" s="211">
        <f t="shared" si="235"/>
        <v>0</v>
      </c>
      <c r="V378" s="211">
        <f t="shared" si="235"/>
        <v>0</v>
      </c>
      <c r="W378" s="211">
        <f t="shared" si="235"/>
        <v>0</v>
      </c>
      <c r="X378" s="211">
        <f t="shared" si="235"/>
        <v>0</v>
      </c>
      <c r="Y378" s="211">
        <f t="shared" si="235"/>
        <v>0</v>
      </c>
      <c r="Z378" s="211">
        <f t="shared" si="235"/>
        <v>0</v>
      </c>
      <c r="AA378" s="211">
        <f t="shared" si="235"/>
        <v>0</v>
      </c>
      <c r="AB378" s="211">
        <f t="shared" si="235"/>
        <v>0</v>
      </c>
      <c r="AC378" s="211">
        <f t="shared" si="235"/>
        <v>0</v>
      </c>
      <c r="AD378" s="211">
        <f t="shared" si="235"/>
        <v>0</v>
      </c>
      <c r="AE378" s="211">
        <f t="shared" si="235"/>
        <v>0</v>
      </c>
      <c r="AF378" s="211">
        <f t="shared" si="235"/>
        <v>0</v>
      </c>
      <c r="AG378" s="211">
        <f t="shared" si="235"/>
        <v>0</v>
      </c>
      <c r="AH378" s="211">
        <f t="shared" si="235"/>
        <v>0</v>
      </c>
      <c r="AI378" s="211">
        <f t="shared" si="235"/>
        <v>0</v>
      </c>
      <c r="AJ378" s="211">
        <f t="shared" si="235"/>
        <v>0</v>
      </c>
      <c r="AK378" s="211">
        <f t="shared" si="235"/>
        <v>0</v>
      </c>
      <c r="AL378" s="211">
        <f t="shared" si="235"/>
        <v>0</v>
      </c>
      <c r="AM378" s="211">
        <f t="shared" si="235"/>
        <v>0</v>
      </c>
      <c r="AN378" s="211">
        <f t="shared" si="235"/>
        <v>0</v>
      </c>
    </row>
    <row r="379" spans="2:40" s="7" customFormat="1" ht="12" hidden="1" customHeight="1" outlineLevel="2">
      <c r="B379" s="245"/>
      <c r="C379" s="213" t="s">
        <v>755</v>
      </c>
      <c r="D379" s="213"/>
      <c r="E379" s="213"/>
      <c r="G379" s="211">
        <f>INDEX($C$349:$AN$371,MATCH("New Customers One-Time",$C$349:$C$371,0),MATCH($C379,$C$349:$AN$349,0))</f>
        <v>1152</v>
      </c>
      <c r="H379" s="211">
        <f t="shared" ref="H379:AN379" si="236">$G379*(E375)</f>
        <v>0</v>
      </c>
      <c r="I379" s="211">
        <f t="shared" si="236"/>
        <v>0</v>
      </c>
      <c r="J379" s="211">
        <f t="shared" si="236"/>
        <v>0</v>
      </c>
      <c r="K379" s="211">
        <f t="shared" si="236"/>
        <v>0</v>
      </c>
      <c r="L379" s="211">
        <f t="shared" si="236"/>
        <v>0</v>
      </c>
      <c r="M379" s="211">
        <f t="shared" si="236"/>
        <v>0</v>
      </c>
      <c r="N379" s="211">
        <f t="shared" si="236"/>
        <v>0</v>
      </c>
      <c r="O379" s="211">
        <f t="shared" si="236"/>
        <v>0</v>
      </c>
      <c r="P379" s="211">
        <f t="shared" si="236"/>
        <v>0</v>
      </c>
      <c r="Q379" s="211">
        <f t="shared" si="236"/>
        <v>0</v>
      </c>
      <c r="R379" s="211">
        <f t="shared" si="236"/>
        <v>0</v>
      </c>
      <c r="S379" s="211">
        <f t="shared" si="236"/>
        <v>0</v>
      </c>
      <c r="T379" s="211">
        <f t="shared" si="236"/>
        <v>0</v>
      </c>
      <c r="U379" s="211">
        <f t="shared" si="236"/>
        <v>0</v>
      </c>
      <c r="V379" s="211">
        <f t="shared" si="236"/>
        <v>0</v>
      </c>
      <c r="W379" s="211">
        <f t="shared" si="236"/>
        <v>0</v>
      </c>
      <c r="X379" s="211">
        <f t="shared" si="236"/>
        <v>0</v>
      </c>
      <c r="Y379" s="211">
        <f t="shared" si="236"/>
        <v>0</v>
      </c>
      <c r="Z379" s="211">
        <f t="shared" si="236"/>
        <v>0</v>
      </c>
      <c r="AA379" s="211">
        <f t="shared" si="236"/>
        <v>0</v>
      </c>
      <c r="AB379" s="211">
        <f t="shared" si="236"/>
        <v>0</v>
      </c>
      <c r="AC379" s="211">
        <f t="shared" si="236"/>
        <v>0</v>
      </c>
      <c r="AD379" s="211">
        <f t="shared" si="236"/>
        <v>0</v>
      </c>
      <c r="AE379" s="211">
        <f t="shared" si="236"/>
        <v>0</v>
      </c>
      <c r="AF379" s="211">
        <f t="shared" si="236"/>
        <v>0</v>
      </c>
      <c r="AG379" s="211">
        <f t="shared" si="236"/>
        <v>0</v>
      </c>
      <c r="AH379" s="211">
        <f t="shared" si="236"/>
        <v>0</v>
      </c>
      <c r="AI379" s="211">
        <f t="shared" si="236"/>
        <v>0</v>
      </c>
      <c r="AJ379" s="211">
        <f t="shared" si="236"/>
        <v>0</v>
      </c>
      <c r="AK379" s="211">
        <f t="shared" si="236"/>
        <v>0</v>
      </c>
      <c r="AL379" s="211">
        <f t="shared" si="236"/>
        <v>0</v>
      </c>
      <c r="AM379" s="211">
        <f t="shared" si="236"/>
        <v>0</v>
      </c>
      <c r="AN379" s="211">
        <f t="shared" si="236"/>
        <v>0</v>
      </c>
    </row>
    <row r="380" spans="2:40" s="7" customFormat="1" ht="12" hidden="1" customHeight="1" outlineLevel="2">
      <c r="B380" s="245"/>
      <c r="C380" s="213" t="s">
        <v>756</v>
      </c>
      <c r="D380" s="213"/>
      <c r="E380" s="213"/>
      <c r="F380" s="213"/>
      <c r="G380" s="213"/>
      <c r="H380" s="211">
        <f>INDEX($C$349:$AN$371,MATCH("New Customers One-Time",$C$349:$C$371,0),MATCH($C380,$C$349:$AN$349,0))</f>
        <v>429</v>
      </c>
      <c r="I380" s="211">
        <f t="shared" ref="I380:AN380" si="237">$H380*(E375)</f>
        <v>0</v>
      </c>
      <c r="J380" s="211">
        <f t="shared" si="237"/>
        <v>0</v>
      </c>
      <c r="K380" s="211">
        <f t="shared" si="237"/>
        <v>0</v>
      </c>
      <c r="L380" s="211">
        <f t="shared" si="237"/>
        <v>0</v>
      </c>
      <c r="M380" s="211">
        <f t="shared" si="237"/>
        <v>0</v>
      </c>
      <c r="N380" s="211">
        <f t="shared" si="237"/>
        <v>0</v>
      </c>
      <c r="O380" s="211">
        <f t="shared" si="237"/>
        <v>0</v>
      </c>
      <c r="P380" s="211">
        <f t="shared" si="237"/>
        <v>0</v>
      </c>
      <c r="Q380" s="211">
        <f t="shared" si="237"/>
        <v>0</v>
      </c>
      <c r="R380" s="211">
        <f t="shared" si="237"/>
        <v>0</v>
      </c>
      <c r="S380" s="211">
        <f t="shared" si="237"/>
        <v>0</v>
      </c>
      <c r="T380" s="211">
        <f t="shared" si="237"/>
        <v>0</v>
      </c>
      <c r="U380" s="211">
        <f t="shared" si="237"/>
        <v>0</v>
      </c>
      <c r="V380" s="211">
        <f t="shared" si="237"/>
        <v>0</v>
      </c>
      <c r="W380" s="211">
        <f t="shared" si="237"/>
        <v>0</v>
      </c>
      <c r="X380" s="211">
        <f t="shared" si="237"/>
        <v>0</v>
      </c>
      <c r="Y380" s="211">
        <f t="shared" si="237"/>
        <v>0</v>
      </c>
      <c r="Z380" s="211">
        <f t="shared" si="237"/>
        <v>0</v>
      </c>
      <c r="AA380" s="211">
        <f t="shared" si="237"/>
        <v>0</v>
      </c>
      <c r="AB380" s="211">
        <f t="shared" si="237"/>
        <v>0</v>
      </c>
      <c r="AC380" s="211">
        <f t="shared" si="237"/>
        <v>0</v>
      </c>
      <c r="AD380" s="211">
        <f t="shared" si="237"/>
        <v>0</v>
      </c>
      <c r="AE380" s="211">
        <f t="shared" si="237"/>
        <v>0</v>
      </c>
      <c r="AF380" s="211">
        <f t="shared" si="237"/>
        <v>0</v>
      </c>
      <c r="AG380" s="211">
        <f t="shared" si="237"/>
        <v>0</v>
      </c>
      <c r="AH380" s="211">
        <f t="shared" si="237"/>
        <v>0</v>
      </c>
      <c r="AI380" s="211">
        <f t="shared" si="237"/>
        <v>0</v>
      </c>
      <c r="AJ380" s="211">
        <f t="shared" si="237"/>
        <v>0</v>
      </c>
      <c r="AK380" s="211">
        <f t="shared" si="237"/>
        <v>0</v>
      </c>
      <c r="AL380" s="211">
        <f t="shared" si="237"/>
        <v>0</v>
      </c>
      <c r="AM380" s="211">
        <f t="shared" si="237"/>
        <v>0</v>
      </c>
      <c r="AN380" s="211">
        <f t="shared" si="237"/>
        <v>0</v>
      </c>
    </row>
    <row r="381" spans="2:40" s="7" customFormat="1" ht="12" hidden="1" customHeight="1" outlineLevel="2">
      <c r="B381" s="245"/>
      <c r="C381" s="213" t="s">
        <v>757</v>
      </c>
      <c r="D381" s="213"/>
      <c r="E381" s="213"/>
      <c r="F381" s="213"/>
      <c r="G381" s="213"/>
      <c r="H381" s="213"/>
      <c r="I381" s="211">
        <f>INDEX($C$349:$AN$371,MATCH("New Customers One-Time",$C$349:$C$371,0),MATCH($C381,$C$349:$AN$349,0))</f>
        <v>540</v>
      </c>
      <c r="J381" s="211">
        <f t="shared" ref="J381:AN381" si="238">$I381*(E375)</f>
        <v>0</v>
      </c>
      <c r="K381" s="211">
        <f t="shared" si="238"/>
        <v>0</v>
      </c>
      <c r="L381" s="211">
        <f t="shared" si="238"/>
        <v>0</v>
      </c>
      <c r="M381" s="211">
        <f t="shared" si="238"/>
        <v>0</v>
      </c>
      <c r="N381" s="211">
        <f t="shared" si="238"/>
        <v>0</v>
      </c>
      <c r="O381" s="211">
        <f t="shared" si="238"/>
        <v>0</v>
      </c>
      <c r="P381" s="211">
        <f t="shared" si="238"/>
        <v>0</v>
      </c>
      <c r="Q381" s="211">
        <f t="shared" si="238"/>
        <v>0</v>
      </c>
      <c r="R381" s="211">
        <f t="shared" si="238"/>
        <v>0</v>
      </c>
      <c r="S381" s="211">
        <f t="shared" si="238"/>
        <v>0</v>
      </c>
      <c r="T381" s="211">
        <f t="shared" si="238"/>
        <v>0</v>
      </c>
      <c r="U381" s="211">
        <f t="shared" si="238"/>
        <v>0</v>
      </c>
      <c r="V381" s="211">
        <f t="shared" si="238"/>
        <v>0</v>
      </c>
      <c r="W381" s="211">
        <f t="shared" si="238"/>
        <v>0</v>
      </c>
      <c r="X381" s="211">
        <f t="shared" si="238"/>
        <v>0</v>
      </c>
      <c r="Y381" s="211">
        <f t="shared" si="238"/>
        <v>0</v>
      </c>
      <c r="Z381" s="211">
        <f t="shared" si="238"/>
        <v>0</v>
      </c>
      <c r="AA381" s="211">
        <f t="shared" si="238"/>
        <v>0</v>
      </c>
      <c r="AB381" s="211">
        <f t="shared" si="238"/>
        <v>0</v>
      </c>
      <c r="AC381" s="211">
        <f t="shared" si="238"/>
        <v>0</v>
      </c>
      <c r="AD381" s="211">
        <f t="shared" si="238"/>
        <v>0</v>
      </c>
      <c r="AE381" s="211">
        <f t="shared" si="238"/>
        <v>0</v>
      </c>
      <c r="AF381" s="211">
        <f t="shared" si="238"/>
        <v>0</v>
      </c>
      <c r="AG381" s="211">
        <f t="shared" si="238"/>
        <v>0</v>
      </c>
      <c r="AH381" s="211">
        <f t="shared" si="238"/>
        <v>0</v>
      </c>
      <c r="AI381" s="211">
        <f t="shared" si="238"/>
        <v>0</v>
      </c>
      <c r="AJ381" s="211">
        <f t="shared" si="238"/>
        <v>0</v>
      </c>
      <c r="AK381" s="211">
        <f t="shared" si="238"/>
        <v>0</v>
      </c>
      <c r="AL381" s="211">
        <f t="shared" si="238"/>
        <v>0</v>
      </c>
      <c r="AM381" s="211">
        <f t="shared" si="238"/>
        <v>0</v>
      </c>
      <c r="AN381" s="211">
        <f t="shared" si="238"/>
        <v>0</v>
      </c>
    </row>
    <row r="382" spans="2:40" s="7" customFormat="1" ht="12" hidden="1" customHeight="1" outlineLevel="2">
      <c r="B382" s="245"/>
      <c r="C382" s="213" t="s">
        <v>758</v>
      </c>
      <c r="D382" s="213"/>
      <c r="E382" s="213"/>
      <c r="F382" s="213"/>
      <c r="G382" s="213"/>
      <c r="H382" s="213"/>
      <c r="I382" s="213"/>
      <c r="J382" s="211">
        <f>INDEX($C$349:$AN$371,MATCH("New Customers One-Time",$C$349:$C$371,0),MATCH($C382,$C$349:$AN$349,0))</f>
        <v>1239</v>
      </c>
      <c r="K382" s="211">
        <f t="shared" ref="K382:AN382" si="239">$J382*(E375)</f>
        <v>0</v>
      </c>
      <c r="L382" s="211">
        <f t="shared" si="239"/>
        <v>0</v>
      </c>
      <c r="M382" s="211">
        <f t="shared" si="239"/>
        <v>0</v>
      </c>
      <c r="N382" s="211">
        <f t="shared" si="239"/>
        <v>0</v>
      </c>
      <c r="O382" s="211">
        <f t="shared" si="239"/>
        <v>0</v>
      </c>
      <c r="P382" s="211">
        <f t="shared" si="239"/>
        <v>0</v>
      </c>
      <c r="Q382" s="211">
        <f t="shared" si="239"/>
        <v>0</v>
      </c>
      <c r="R382" s="211">
        <f t="shared" si="239"/>
        <v>0</v>
      </c>
      <c r="S382" s="211">
        <f t="shared" si="239"/>
        <v>0</v>
      </c>
      <c r="T382" s="211">
        <f t="shared" si="239"/>
        <v>0</v>
      </c>
      <c r="U382" s="211">
        <f t="shared" si="239"/>
        <v>0</v>
      </c>
      <c r="V382" s="211">
        <f t="shared" si="239"/>
        <v>0</v>
      </c>
      <c r="W382" s="211">
        <f t="shared" si="239"/>
        <v>0</v>
      </c>
      <c r="X382" s="211">
        <f t="shared" si="239"/>
        <v>0</v>
      </c>
      <c r="Y382" s="211">
        <f t="shared" si="239"/>
        <v>0</v>
      </c>
      <c r="Z382" s="211">
        <f t="shared" si="239"/>
        <v>0</v>
      </c>
      <c r="AA382" s="211">
        <f t="shared" si="239"/>
        <v>0</v>
      </c>
      <c r="AB382" s="211">
        <f t="shared" si="239"/>
        <v>0</v>
      </c>
      <c r="AC382" s="211">
        <f t="shared" si="239"/>
        <v>0</v>
      </c>
      <c r="AD382" s="211">
        <f t="shared" si="239"/>
        <v>0</v>
      </c>
      <c r="AE382" s="211">
        <f t="shared" si="239"/>
        <v>0</v>
      </c>
      <c r="AF382" s="211">
        <f t="shared" si="239"/>
        <v>0</v>
      </c>
      <c r="AG382" s="211">
        <f t="shared" si="239"/>
        <v>0</v>
      </c>
      <c r="AH382" s="211">
        <f t="shared" si="239"/>
        <v>0</v>
      </c>
      <c r="AI382" s="211">
        <f t="shared" si="239"/>
        <v>0</v>
      </c>
      <c r="AJ382" s="211">
        <f t="shared" si="239"/>
        <v>0</v>
      </c>
      <c r="AK382" s="211">
        <f t="shared" si="239"/>
        <v>0</v>
      </c>
      <c r="AL382" s="211">
        <f t="shared" si="239"/>
        <v>0</v>
      </c>
      <c r="AM382" s="211">
        <f t="shared" si="239"/>
        <v>0</v>
      </c>
      <c r="AN382" s="211">
        <f t="shared" si="239"/>
        <v>0</v>
      </c>
    </row>
    <row r="383" spans="2:40" s="7" customFormat="1" ht="12" hidden="1" customHeight="1" outlineLevel="2">
      <c r="B383" s="245"/>
      <c r="C383" s="213" t="s">
        <v>759</v>
      </c>
      <c r="D383" s="213"/>
      <c r="E383" s="213"/>
      <c r="F383" s="213"/>
      <c r="G383" s="213"/>
      <c r="H383" s="213"/>
      <c r="I383" s="213"/>
      <c r="J383" s="213"/>
      <c r="K383" s="211">
        <f>INDEX($C$349:$AN$371,MATCH("New Customers One-Time",$C$349:$C$371,0),MATCH($C383,$C$349:$AN$349,0))</f>
        <v>1611</v>
      </c>
      <c r="L383" s="211">
        <f t="shared" ref="L383:AN383" si="240">$K383*(E375)</f>
        <v>0</v>
      </c>
      <c r="M383" s="211">
        <f t="shared" si="240"/>
        <v>0</v>
      </c>
      <c r="N383" s="211">
        <f t="shared" si="240"/>
        <v>0</v>
      </c>
      <c r="O383" s="211">
        <f t="shared" si="240"/>
        <v>0</v>
      </c>
      <c r="P383" s="211">
        <f t="shared" si="240"/>
        <v>0</v>
      </c>
      <c r="Q383" s="211">
        <f t="shared" si="240"/>
        <v>0</v>
      </c>
      <c r="R383" s="211">
        <f t="shared" si="240"/>
        <v>0</v>
      </c>
      <c r="S383" s="211">
        <f t="shared" si="240"/>
        <v>0</v>
      </c>
      <c r="T383" s="211">
        <f t="shared" si="240"/>
        <v>0</v>
      </c>
      <c r="U383" s="211">
        <f t="shared" si="240"/>
        <v>0</v>
      </c>
      <c r="V383" s="211">
        <f t="shared" si="240"/>
        <v>0</v>
      </c>
      <c r="W383" s="211">
        <f t="shared" si="240"/>
        <v>0</v>
      </c>
      <c r="X383" s="211">
        <f t="shared" si="240"/>
        <v>0</v>
      </c>
      <c r="Y383" s="211">
        <f t="shared" si="240"/>
        <v>0</v>
      </c>
      <c r="Z383" s="211">
        <f t="shared" si="240"/>
        <v>0</v>
      </c>
      <c r="AA383" s="211">
        <f t="shared" si="240"/>
        <v>0</v>
      </c>
      <c r="AB383" s="211">
        <f t="shared" si="240"/>
        <v>0</v>
      </c>
      <c r="AC383" s="211">
        <f t="shared" si="240"/>
        <v>0</v>
      </c>
      <c r="AD383" s="211">
        <f t="shared" si="240"/>
        <v>0</v>
      </c>
      <c r="AE383" s="211">
        <f t="shared" si="240"/>
        <v>0</v>
      </c>
      <c r="AF383" s="211">
        <f t="shared" si="240"/>
        <v>0</v>
      </c>
      <c r="AG383" s="211">
        <f t="shared" si="240"/>
        <v>0</v>
      </c>
      <c r="AH383" s="211">
        <f t="shared" si="240"/>
        <v>0</v>
      </c>
      <c r="AI383" s="211">
        <f t="shared" si="240"/>
        <v>0</v>
      </c>
      <c r="AJ383" s="211">
        <f t="shared" si="240"/>
        <v>0</v>
      </c>
      <c r="AK383" s="211">
        <f t="shared" si="240"/>
        <v>0</v>
      </c>
      <c r="AL383" s="211">
        <f t="shared" si="240"/>
        <v>0</v>
      </c>
      <c r="AM383" s="211">
        <f t="shared" si="240"/>
        <v>0</v>
      </c>
      <c r="AN383" s="211">
        <f t="shared" si="240"/>
        <v>0</v>
      </c>
    </row>
    <row r="384" spans="2:40" s="7" customFormat="1" ht="12" hidden="1" customHeight="1" outlineLevel="2">
      <c r="B384" s="245"/>
      <c r="C384" s="213" t="s">
        <v>760</v>
      </c>
      <c r="D384" s="213"/>
      <c r="E384" s="213"/>
      <c r="F384" s="213"/>
      <c r="G384" s="213"/>
      <c r="H384" s="213"/>
      <c r="I384" s="213"/>
      <c r="J384" s="213"/>
      <c r="K384" s="213"/>
      <c r="L384" s="211">
        <f>INDEX($C$349:$AN$371,MATCH("New Customers One-Time",$C$349:$C$371,0),MATCH($C384,$C$349:$AN$349,0))</f>
        <v>345</v>
      </c>
      <c r="M384" s="211">
        <f t="shared" ref="M384:AN384" si="241">$L384*(E375)</f>
        <v>0</v>
      </c>
      <c r="N384" s="211">
        <f t="shared" si="241"/>
        <v>0</v>
      </c>
      <c r="O384" s="211">
        <f t="shared" si="241"/>
        <v>0</v>
      </c>
      <c r="P384" s="211">
        <f t="shared" si="241"/>
        <v>0</v>
      </c>
      <c r="Q384" s="211">
        <f t="shared" si="241"/>
        <v>0</v>
      </c>
      <c r="R384" s="211">
        <f t="shared" si="241"/>
        <v>0</v>
      </c>
      <c r="S384" s="211">
        <f t="shared" si="241"/>
        <v>0</v>
      </c>
      <c r="T384" s="211">
        <f t="shared" si="241"/>
        <v>0</v>
      </c>
      <c r="U384" s="211">
        <f t="shared" si="241"/>
        <v>0</v>
      </c>
      <c r="V384" s="211">
        <f t="shared" si="241"/>
        <v>0</v>
      </c>
      <c r="W384" s="211">
        <f t="shared" si="241"/>
        <v>0</v>
      </c>
      <c r="X384" s="211">
        <f t="shared" si="241"/>
        <v>0</v>
      </c>
      <c r="Y384" s="211">
        <f t="shared" si="241"/>
        <v>0</v>
      </c>
      <c r="Z384" s="211">
        <f t="shared" si="241"/>
        <v>0</v>
      </c>
      <c r="AA384" s="211">
        <f t="shared" si="241"/>
        <v>0</v>
      </c>
      <c r="AB384" s="211">
        <f t="shared" si="241"/>
        <v>0</v>
      </c>
      <c r="AC384" s="211">
        <f t="shared" si="241"/>
        <v>0</v>
      </c>
      <c r="AD384" s="211">
        <f t="shared" si="241"/>
        <v>0</v>
      </c>
      <c r="AE384" s="211">
        <f t="shared" si="241"/>
        <v>0</v>
      </c>
      <c r="AF384" s="211">
        <f t="shared" si="241"/>
        <v>0</v>
      </c>
      <c r="AG384" s="211">
        <f t="shared" si="241"/>
        <v>0</v>
      </c>
      <c r="AH384" s="211">
        <f t="shared" si="241"/>
        <v>0</v>
      </c>
      <c r="AI384" s="211">
        <f t="shared" si="241"/>
        <v>0</v>
      </c>
      <c r="AJ384" s="211">
        <f t="shared" si="241"/>
        <v>0</v>
      </c>
      <c r="AK384" s="211">
        <f t="shared" si="241"/>
        <v>0</v>
      </c>
      <c r="AL384" s="211">
        <f t="shared" si="241"/>
        <v>0</v>
      </c>
      <c r="AM384" s="211">
        <f t="shared" si="241"/>
        <v>0</v>
      </c>
      <c r="AN384" s="211">
        <f t="shared" si="241"/>
        <v>0</v>
      </c>
    </row>
    <row r="385" spans="2:40" s="7" customFormat="1" ht="12" hidden="1" customHeight="1" outlineLevel="2">
      <c r="B385" s="245"/>
      <c r="C385" s="213" t="s">
        <v>761</v>
      </c>
      <c r="D385" s="213"/>
      <c r="E385" s="213"/>
      <c r="F385" s="213"/>
      <c r="G385" s="213"/>
      <c r="H385" s="213"/>
      <c r="I385" s="213"/>
      <c r="J385" s="213"/>
      <c r="K385" s="213"/>
      <c r="L385" s="213"/>
      <c r="M385" s="211">
        <f>INDEX($C$349:$AN$371,MATCH("New Customers One-Time",$C$349:$C$371,0),MATCH($C385,$C$349:$AN$349,0))</f>
        <v>1297.0588235294117</v>
      </c>
      <c r="N385" s="211">
        <f t="shared" ref="N385:AN385" si="242">$M385*(E375)</f>
        <v>0</v>
      </c>
      <c r="O385" s="211">
        <f t="shared" si="242"/>
        <v>0</v>
      </c>
      <c r="P385" s="211">
        <f t="shared" si="242"/>
        <v>0</v>
      </c>
      <c r="Q385" s="211">
        <f t="shared" si="242"/>
        <v>0</v>
      </c>
      <c r="R385" s="211">
        <f t="shared" si="242"/>
        <v>0</v>
      </c>
      <c r="S385" s="211">
        <f t="shared" si="242"/>
        <v>0</v>
      </c>
      <c r="T385" s="211">
        <f t="shared" si="242"/>
        <v>0</v>
      </c>
      <c r="U385" s="211">
        <f t="shared" si="242"/>
        <v>0</v>
      </c>
      <c r="V385" s="211">
        <f t="shared" si="242"/>
        <v>0</v>
      </c>
      <c r="W385" s="211">
        <f t="shared" si="242"/>
        <v>0</v>
      </c>
      <c r="X385" s="211">
        <f t="shared" si="242"/>
        <v>0</v>
      </c>
      <c r="Y385" s="211">
        <f t="shared" si="242"/>
        <v>0</v>
      </c>
      <c r="Z385" s="211">
        <f t="shared" si="242"/>
        <v>0</v>
      </c>
      <c r="AA385" s="211">
        <f t="shared" si="242"/>
        <v>0</v>
      </c>
      <c r="AB385" s="211">
        <f t="shared" si="242"/>
        <v>0</v>
      </c>
      <c r="AC385" s="211">
        <f t="shared" si="242"/>
        <v>0</v>
      </c>
      <c r="AD385" s="211">
        <f t="shared" si="242"/>
        <v>0</v>
      </c>
      <c r="AE385" s="211">
        <f t="shared" si="242"/>
        <v>0</v>
      </c>
      <c r="AF385" s="211">
        <f t="shared" si="242"/>
        <v>0</v>
      </c>
      <c r="AG385" s="211">
        <f t="shared" si="242"/>
        <v>0</v>
      </c>
      <c r="AH385" s="211">
        <f t="shared" si="242"/>
        <v>0</v>
      </c>
      <c r="AI385" s="211">
        <f t="shared" si="242"/>
        <v>0</v>
      </c>
      <c r="AJ385" s="211">
        <f t="shared" si="242"/>
        <v>0</v>
      </c>
      <c r="AK385" s="211">
        <f t="shared" si="242"/>
        <v>0</v>
      </c>
      <c r="AL385" s="211">
        <f t="shared" si="242"/>
        <v>0</v>
      </c>
      <c r="AM385" s="211">
        <f t="shared" si="242"/>
        <v>0</v>
      </c>
      <c r="AN385" s="211">
        <f t="shared" si="242"/>
        <v>0</v>
      </c>
    </row>
    <row r="386" spans="2:40" s="7" customFormat="1" ht="12" hidden="1" customHeight="1" outlineLevel="2">
      <c r="B386" s="245"/>
      <c r="C386" s="213" t="s">
        <v>762</v>
      </c>
      <c r="D386" s="213"/>
      <c r="E386" s="213"/>
      <c r="F386" s="213"/>
      <c r="G386" s="213"/>
      <c r="H386" s="213"/>
      <c r="I386" s="213"/>
      <c r="J386" s="213"/>
      <c r="K386" s="213"/>
      <c r="L386" s="213"/>
      <c r="M386" s="213"/>
      <c r="N386" s="211">
        <f>INDEX($C$349:$AN$371,MATCH("New Customers One-Time",$C$349:$C$371,0),MATCH($C386,$C$349:$AN$349,0))</f>
        <v>1297.0588235294117</v>
      </c>
      <c r="O386" s="211">
        <f t="shared" ref="O386:AN386" si="243">$N386*(E375)</f>
        <v>0</v>
      </c>
      <c r="P386" s="211">
        <f t="shared" si="243"/>
        <v>0</v>
      </c>
      <c r="Q386" s="211">
        <f t="shared" si="243"/>
        <v>0</v>
      </c>
      <c r="R386" s="211">
        <f t="shared" si="243"/>
        <v>0</v>
      </c>
      <c r="S386" s="211">
        <f t="shared" si="243"/>
        <v>0</v>
      </c>
      <c r="T386" s="211">
        <f t="shared" si="243"/>
        <v>0</v>
      </c>
      <c r="U386" s="211">
        <f t="shared" si="243"/>
        <v>0</v>
      </c>
      <c r="V386" s="211">
        <f t="shared" si="243"/>
        <v>0</v>
      </c>
      <c r="W386" s="211">
        <f t="shared" si="243"/>
        <v>0</v>
      </c>
      <c r="X386" s="211">
        <f t="shared" si="243"/>
        <v>0</v>
      </c>
      <c r="Y386" s="211">
        <f t="shared" si="243"/>
        <v>0</v>
      </c>
      <c r="Z386" s="211">
        <f t="shared" si="243"/>
        <v>0</v>
      </c>
      <c r="AA386" s="211">
        <f t="shared" si="243"/>
        <v>0</v>
      </c>
      <c r="AB386" s="211">
        <f t="shared" si="243"/>
        <v>0</v>
      </c>
      <c r="AC386" s="211">
        <f t="shared" si="243"/>
        <v>0</v>
      </c>
      <c r="AD386" s="211">
        <f t="shared" si="243"/>
        <v>0</v>
      </c>
      <c r="AE386" s="211">
        <f t="shared" si="243"/>
        <v>0</v>
      </c>
      <c r="AF386" s="211">
        <f t="shared" si="243"/>
        <v>0</v>
      </c>
      <c r="AG386" s="211">
        <f t="shared" si="243"/>
        <v>0</v>
      </c>
      <c r="AH386" s="211">
        <f t="shared" si="243"/>
        <v>0</v>
      </c>
      <c r="AI386" s="211">
        <f t="shared" si="243"/>
        <v>0</v>
      </c>
      <c r="AJ386" s="211">
        <f t="shared" si="243"/>
        <v>0</v>
      </c>
      <c r="AK386" s="211">
        <f t="shared" si="243"/>
        <v>0</v>
      </c>
      <c r="AL386" s="211">
        <f t="shared" si="243"/>
        <v>0</v>
      </c>
      <c r="AM386" s="211">
        <f t="shared" si="243"/>
        <v>0</v>
      </c>
      <c r="AN386" s="211">
        <f t="shared" si="243"/>
        <v>0</v>
      </c>
    </row>
    <row r="387" spans="2:40" s="7" customFormat="1" ht="12" hidden="1" customHeight="1" outlineLevel="2">
      <c r="B387" s="245"/>
      <c r="C387" s="213" t="s">
        <v>763</v>
      </c>
      <c r="D387" s="213"/>
      <c r="E387" s="213"/>
      <c r="F387" s="213"/>
      <c r="G387" s="213"/>
      <c r="H387" s="213"/>
      <c r="I387" s="213"/>
      <c r="J387" s="213"/>
      <c r="K387" s="213"/>
      <c r="L387" s="213"/>
      <c r="M387" s="213"/>
      <c r="N387" s="213"/>
      <c r="O387" s="211">
        <f>INDEX($C$349:$AN$371,MATCH("New Customers One-Time",$C$349:$C$371,0),MATCH($C387,$C$349:$AN$349,0))</f>
        <v>378</v>
      </c>
      <c r="P387" s="211">
        <f t="shared" ref="P387:AN387" si="244">$O387*(E375)</f>
        <v>0</v>
      </c>
      <c r="Q387" s="211">
        <f t="shared" si="244"/>
        <v>0</v>
      </c>
      <c r="R387" s="211">
        <f t="shared" si="244"/>
        <v>0</v>
      </c>
      <c r="S387" s="211">
        <f t="shared" si="244"/>
        <v>0</v>
      </c>
      <c r="T387" s="211">
        <f t="shared" si="244"/>
        <v>0</v>
      </c>
      <c r="U387" s="211">
        <f t="shared" si="244"/>
        <v>0</v>
      </c>
      <c r="V387" s="211">
        <f t="shared" si="244"/>
        <v>0</v>
      </c>
      <c r="W387" s="211">
        <f t="shared" si="244"/>
        <v>0</v>
      </c>
      <c r="X387" s="211">
        <f t="shared" si="244"/>
        <v>0</v>
      </c>
      <c r="Y387" s="211">
        <f t="shared" si="244"/>
        <v>0</v>
      </c>
      <c r="Z387" s="211">
        <f t="shared" si="244"/>
        <v>0</v>
      </c>
      <c r="AA387" s="211">
        <f t="shared" si="244"/>
        <v>0</v>
      </c>
      <c r="AB387" s="211">
        <f t="shared" si="244"/>
        <v>0</v>
      </c>
      <c r="AC387" s="211">
        <f t="shared" si="244"/>
        <v>0</v>
      </c>
      <c r="AD387" s="211">
        <f t="shared" si="244"/>
        <v>0</v>
      </c>
      <c r="AE387" s="211">
        <f t="shared" si="244"/>
        <v>0</v>
      </c>
      <c r="AF387" s="211">
        <f t="shared" si="244"/>
        <v>0</v>
      </c>
      <c r="AG387" s="211">
        <f t="shared" si="244"/>
        <v>0</v>
      </c>
      <c r="AH387" s="211">
        <f t="shared" si="244"/>
        <v>0</v>
      </c>
      <c r="AI387" s="211">
        <f t="shared" si="244"/>
        <v>0</v>
      </c>
      <c r="AJ387" s="211">
        <f t="shared" si="244"/>
        <v>0</v>
      </c>
      <c r="AK387" s="211">
        <f t="shared" si="244"/>
        <v>0</v>
      </c>
      <c r="AL387" s="211">
        <f t="shared" si="244"/>
        <v>0</v>
      </c>
      <c r="AM387" s="211">
        <f t="shared" si="244"/>
        <v>0</v>
      </c>
      <c r="AN387" s="211">
        <f t="shared" si="244"/>
        <v>0</v>
      </c>
    </row>
    <row r="388" spans="2:40" s="7" customFormat="1" ht="12" hidden="1" customHeight="1" outlineLevel="2">
      <c r="B388" s="245"/>
      <c r="C388" s="213" t="s">
        <v>764</v>
      </c>
      <c r="D388" s="213"/>
      <c r="E388" s="213"/>
      <c r="F388" s="213"/>
      <c r="G388" s="213"/>
      <c r="H388" s="213"/>
      <c r="I388" s="213"/>
      <c r="J388" s="213"/>
      <c r="K388" s="213"/>
      <c r="L388" s="213"/>
      <c r="M388" s="213"/>
      <c r="N388" s="213"/>
      <c r="O388" s="213"/>
      <c r="P388" s="211">
        <f>INDEX($C$349:$AN$371,MATCH("New Customers One-Time",$C$349:$C$371,0),MATCH($C388,$C$349:$AN$349,0))</f>
        <v>378</v>
      </c>
      <c r="Q388" s="211">
        <f t="shared" ref="Q388:AN388" si="245">$P388*(E375)</f>
        <v>0</v>
      </c>
      <c r="R388" s="211">
        <f t="shared" si="245"/>
        <v>0</v>
      </c>
      <c r="S388" s="211">
        <f t="shared" si="245"/>
        <v>0</v>
      </c>
      <c r="T388" s="211">
        <f t="shared" si="245"/>
        <v>0</v>
      </c>
      <c r="U388" s="211">
        <f t="shared" si="245"/>
        <v>0</v>
      </c>
      <c r="V388" s="211">
        <f t="shared" si="245"/>
        <v>0</v>
      </c>
      <c r="W388" s="211">
        <f t="shared" si="245"/>
        <v>0</v>
      </c>
      <c r="X388" s="211">
        <f t="shared" si="245"/>
        <v>0</v>
      </c>
      <c r="Y388" s="211">
        <f t="shared" si="245"/>
        <v>0</v>
      </c>
      <c r="Z388" s="211">
        <f t="shared" si="245"/>
        <v>0</v>
      </c>
      <c r="AA388" s="211">
        <f t="shared" si="245"/>
        <v>0</v>
      </c>
      <c r="AB388" s="211">
        <f t="shared" si="245"/>
        <v>0</v>
      </c>
      <c r="AC388" s="211">
        <f t="shared" si="245"/>
        <v>0</v>
      </c>
      <c r="AD388" s="211">
        <f t="shared" si="245"/>
        <v>0</v>
      </c>
      <c r="AE388" s="211">
        <f t="shared" si="245"/>
        <v>0</v>
      </c>
      <c r="AF388" s="211">
        <f t="shared" si="245"/>
        <v>0</v>
      </c>
      <c r="AG388" s="211">
        <f t="shared" si="245"/>
        <v>0</v>
      </c>
      <c r="AH388" s="211">
        <f t="shared" si="245"/>
        <v>0</v>
      </c>
      <c r="AI388" s="211">
        <f t="shared" si="245"/>
        <v>0</v>
      </c>
      <c r="AJ388" s="211">
        <f t="shared" si="245"/>
        <v>0</v>
      </c>
      <c r="AK388" s="211">
        <f t="shared" si="245"/>
        <v>0</v>
      </c>
      <c r="AL388" s="211">
        <f t="shared" si="245"/>
        <v>0</v>
      </c>
      <c r="AM388" s="211">
        <f t="shared" si="245"/>
        <v>0</v>
      </c>
      <c r="AN388" s="211">
        <f t="shared" si="245"/>
        <v>0</v>
      </c>
    </row>
    <row r="389" spans="2:40" s="7" customFormat="1" ht="12" hidden="1" customHeight="1" outlineLevel="2">
      <c r="B389" s="245"/>
      <c r="C389" s="213" t="s">
        <v>765</v>
      </c>
      <c r="D389" s="213"/>
      <c r="E389" s="213"/>
      <c r="F389" s="213"/>
      <c r="G389" s="213"/>
      <c r="H389" s="213"/>
      <c r="I389" s="213"/>
      <c r="J389" s="213"/>
      <c r="K389" s="213"/>
      <c r="L389" s="213"/>
      <c r="M389" s="213"/>
      <c r="N389" s="213"/>
      <c r="O389" s="213"/>
      <c r="P389" s="213"/>
      <c r="Q389" s="211">
        <f>INDEX($C$349:$AN$371,MATCH("New Customers One-Time",$C$349:$C$371,0),MATCH($C389,$C$349:$AN$349,0))</f>
        <v>388.55376000000001</v>
      </c>
      <c r="R389" s="211">
        <f t="shared" ref="R389:AN389" si="246">$Q389*(E375)</f>
        <v>0</v>
      </c>
      <c r="S389" s="211">
        <f t="shared" si="246"/>
        <v>0</v>
      </c>
      <c r="T389" s="211">
        <f t="shared" si="246"/>
        <v>0</v>
      </c>
      <c r="U389" s="211">
        <f t="shared" si="246"/>
        <v>0</v>
      </c>
      <c r="V389" s="211">
        <f t="shared" si="246"/>
        <v>0</v>
      </c>
      <c r="W389" s="211">
        <f t="shared" si="246"/>
        <v>0</v>
      </c>
      <c r="X389" s="211">
        <f t="shared" si="246"/>
        <v>0</v>
      </c>
      <c r="Y389" s="211">
        <f t="shared" si="246"/>
        <v>0</v>
      </c>
      <c r="Z389" s="211">
        <f t="shared" si="246"/>
        <v>0</v>
      </c>
      <c r="AA389" s="211">
        <f t="shared" si="246"/>
        <v>0</v>
      </c>
      <c r="AB389" s="211">
        <f t="shared" si="246"/>
        <v>0</v>
      </c>
      <c r="AC389" s="211">
        <f t="shared" si="246"/>
        <v>0</v>
      </c>
      <c r="AD389" s="211">
        <f t="shared" si="246"/>
        <v>0</v>
      </c>
      <c r="AE389" s="211">
        <f t="shared" si="246"/>
        <v>0</v>
      </c>
      <c r="AF389" s="211">
        <f t="shared" si="246"/>
        <v>0</v>
      </c>
      <c r="AG389" s="211">
        <f t="shared" si="246"/>
        <v>0</v>
      </c>
      <c r="AH389" s="211">
        <f t="shared" si="246"/>
        <v>0</v>
      </c>
      <c r="AI389" s="211">
        <f t="shared" si="246"/>
        <v>0</v>
      </c>
      <c r="AJ389" s="211">
        <f t="shared" si="246"/>
        <v>0</v>
      </c>
      <c r="AK389" s="211">
        <f t="shared" si="246"/>
        <v>0</v>
      </c>
      <c r="AL389" s="211">
        <f t="shared" si="246"/>
        <v>0</v>
      </c>
      <c r="AM389" s="211">
        <f t="shared" si="246"/>
        <v>0</v>
      </c>
      <c r="AN389" s="211">
        <f t="shared" si="246"/>
        <v>0</v>
      </c>
    </row>
    <row r="390" spans="2:40" s="7" customFormat="1" ht="12" hidden="1" customHeight="1" outlineLevel="2">
      <c r="B390" s="245"/>
      <c r="C390" s="213" t="s">
        <v>766</v>
      </c>
      <c r="D390" s="213"/>
      <c r="E390" s="213"/>
      <c r="F390" s="213"/>
      <c r="G390" s="213"/>
      <c r="H390" s="213"/>
      <c r="I390" s="213"/>
      <c r="J390" s="213"/>
      <c r="K390" s="213"/>
      <c r="L390" s="213"/>
      <c r="M390" s="213"/>
      <c r="N390" s="213"/>
      <c r="O390" s="213"/>
      <c r="P390" s="213"/>
      <c r="Q390" s="213"/>
      <c r="R390" s="211">
        <f>INDEX($C$349:$AN$371,MATCH("New Customers One-Time",$C$349:$C$371,0),MATCH($C390,$C$349:$AN$349,0))</f>
        <v>777.81816000000003</v>
      </c>
      <c r="S390" s="211">
        <f t="shared" ref="S390:AN390" si="247">$R390*(E375)</f>
        <v>0</v>
      </c>
      <c r="T390" s="211">
        <f t="shared" si="247"/>
        <v>0</v>
      </c>
      <c r="U390" s="211">
        <f t="shared" si="247"/>
        <v>0</v>
      </c>
      <c r="V390" s="211">
        <f t="shared" si="247"/>
        <v>0</v>
      </c>
      <c r="W390" s="211">
        <f t="shared" si="247"/>
        <v>0</v>
      </c>
      <c r="X390" s="211">
        <f t="shared" si="247"/>
        <v>0</v>
      </c>
      <c r="Y390" s="211">
        <f t="shared" si="247"/>
        <v>0</v>
      </c>
      <c r="Z390" s="211">
        <f t="shared" si="247"/>
        <v>0</v>
      </c>
      <c r="AA390" s="211">
        <f t="shared" si="247"/>
        <v>0</v>
      </c>
      <c r="AB390" s="211">
        <f t="shared" si="247"/>
        <v>0</v>
      </c>
      <c r="AC390" s="211">
        <f t="shared" si="247"/>
        <v>0</v>
      </c>
      <c r="AD390" s="211">
        <f t="shared" si="247"/>
        <v>0</v>
      </c>
      <c r="AE390" s="211">
        <f t="shared" si="247"/>
        <v>0</v>
      </c>
      <c r="AF390" s="211">
        <f t="shared" si="247"/>
        <v>0</v>
      </c>
      <c r="AG390" s="211">
        <f t="shared" si="247"/>
        <v>0</v>
      </c>
      <c r="AH390" s="211">
        <f t="shared" si="247"/>
        <v>0</v>
      </c>
      <c r="AI390" s="211">
        <f t="shared" si="247"/>
        <v>0</v>
      </c>
      <c r="AJ390" s="211">
        <f t="shared" si="247"/>
        <v>0</v>
      </c>
      <c r="AK390" s="211">
        <f t="shared" si="247"/>
        <v>0</v>
      </c>
      <c r="AL390" s="211">
        <f t="shared" si="247"/>
        <v>0</v>
      </c>
      <c r="AM390" s="211">
        <f t="shared" si="247"/>
        <v>0</v>
      </c>
      <c r="AN390" s="211">
        <f t="shared" si="247"/>
        <v>0</v>
      </c>
    </row>
    <row r="391" spans="2:40" s="7" customFormat="1" ht="12" hidden="1" customHeight="1" outlineLevel="2">
      <c r="B391" s="245"/>
      <c r="C391" s="213" t="s">
        <v>767</v>
      </c>
      <c r="D391" s="213"/>
      <c r="E391" s="213"/>
      <c r="F391" s="213"/>
      <c r="G391" s="213"/>
      <c r="H391" s="213"/>
      <c r="I391" s="213"/>
      <c r="J391" s="213"/>
      <c r="K391" s="213"/>
      <c r="L391" s="213"/>
      <c r="M391" s="213"/>
      <c r="N391" s="213"/>
      <c r="O391" s="213"/>
      <c r="P391" s="213"/>
      <c r="Q391" s="213"/>
      <c r="R391" s="213"/>
      <c r="S391" s="211">
        <f>INDEX($C$349:$AN$371,MATCH("New Customers One-Time",$C$349:$C$371,0),MATCH($C391,$C$349:$AN$349,0))</f>
        <v>712.60559999999998</v>
      </c>
      <c r="T391" s="211">
        <f t="shared" ref="T391:AN391" si="248">$S391*(E375)</f>
        <v>0</v>
      </c>
      <c r="U391" s="211">
        <f t="shared" si="248"/>
        <v>0</v>
      </c>
      <c r="V391" s="211">
        <f t="shared" si="248"/>
        <v>0</v>
      </c>
      <c r="W391" s="211">
        <f t="shared" si="248"/>
        <v>0</v>
      </c>
      <c r="X391" s="211">
        <f t="shared" si="248"/>
        <v>0</v>
      </c>
      <c r="Y391" s="211">
        <f t="shared" si="248"/>
        <v>0</v>
      </c>
      <c r="Z391" s="211">
        <f t="shared" si="248"/>
        <v>0</v>
      </c>
      <c r="AA391" s="211">
        <f t="shared" si="248"/>
        <v>0</v>
      </c>
      <c r="AB391" s="211">
        <f t="shared" si="248"/>
        <v>0</v>
      </c>
      <c r="AC391" s="211">
        <f t="shared" si="248"/>
        <v>0</v>
      </c>
      <c r="AD391" s="211">
        <f t="shared" si="248"/>
        <v>0</v>
      </c>
      <c r="AE391" s="211">
        <f t="shared" si="248"/>
        <v>0</v>
      </c>
      <c r="AF391" s="211">
        <f t="shared" si="248"/>
        <v>0</v>
      </c>
      <c r="AG391" s="211">
        <f t="shared" si="248"/>
        <v>0</v>
      </c>
      <c r="AH391" s="211">
        <f t="shared" si="248"/>
        <v>0</v>
      </c>
      <c r="AI391" s="211">
        <f t="shared" si="248"/>
        <v>0</v>
      </c>
      <c r="AJ391" s="211">
        <f t="shared" si="248"/>
        <v>0</v>
      </c>
      <c r="AK391" s="211">
        <f t="shared" si="248"/>
        <v>0</v>
      </c>
      <c r="AL391" s="211">
        <f t="shared" si="248"/>
        <v>0</v>
      </c>
      <c r="AM391" s="211">
        <f t="shared" si="248"/>
        <v>0</v>
      </c>
      <c r="AN391" s="211">
        <f t="shared" si="248"/>
        <v>0</v>
      </c>
    </row>
    <row r="392" spans="2:40" s="7" customFormat="1" ht="12" hidden="1" customHeight="1" outlineLevel="2">
      <c r="B392" s="245"/>
      <c r="C392" s="213" t="s">
        <v>768</v>
      </c>
      <c r="D392" s="213"/>
      <c r="E392" s="213"/>
      <c r="F392" s="213"/>
      <c r="G392" s="213"/>
      <c r="H392" s="213"/>
      <c r="I392" s="213"/>
      <c r="J392" s="213"/>
      <c r="K392" s="213"/>
      <c r="L392" s="213"/>
      <c r="M392" s="213"/>
      <c r="N392" s="213"/>
      <c r="O392" s="213"/>
      <c r="P392" s="213"/>
      <c r="Q392" s="213"/>
      <c r="R392" s="213"/>
      <c r="S392" s="213"/>
      <c r="T392" s="211">
        <f>INDEX($C$349:$AN$371,MATCH("New Customers One-Time",$C$349:$C$371,0),MATCH($C392,$C$349:$AN$349,0))</f>
        <v>524.14739999999995</v>
      </c>
      <c r="U392" s="211">
        <f t="shared" ref="U392:AN392" si="249">$T392*(E375)</f>
        <v>0</v>
      </c>
      <c r="V392" s="211">
        <f t="shared" si="249"/>
        <v>0</v>
      </c>
      <c r="W392" s="211">
        <f t="shared" si="249"/>
        <v>0</v>
      </c>
      <c r="X392" s="211">
        <f t="shared" si="249"/>
        <v>0</v>
      </c>
      <c r="Y392" s="211">
        <f t="shared" si="249"/>
        <v>0</v>
      </c>
      <c r="Z392" s="211">
        <f t="shared" si="249"/>
        <v>0</v>
      </c>
      <c r="AA392" s="211">
        <f t="shared" si="249"/>
        <v>0</v>
      </c>
      <c r="AB392" s="211">
        <f t="shared" si="249"/>
        <v>0</v>
      </c>
      <c r="AC392" s="211">
        <f t="shared" si="249"/>
        <v>0</v>
      </c>
      <c r="AD392" s="211">
        <f t="shared" si="249"/>
        <v>0</v>
      </c>
      <c r="AE392" s="211">
        <f t="shared" si="249"/>
        <v>0</v>
      </c>
      <c r="AF392" s="211">
        <f t="shared" si="249"/>
        <v>0</v>
      </c>
      <c r="AG392" s="211">
        <f t="shared" si="249"/>
        <v>0</v>
      </c>
      <c r="AH392" s="211">
        <f t="shared" si="249"/>
        <v>0</v>
      </c>
      <c r="AI392" s="211">
        <f t="shared" si="249"/>
        <v>0</v>
      </c>
      <c r="AJ392" s="211">
        <f t="shared" si="249"/>
        <v>0</v>
      </c>
      <c r="AK392" s="211">
        <f t="shared" si="249"/>
        <v>0</v>
      </c>
      <c r="AL392" s="211">
        <f t="shared" si="249"/>
        <v>0</v>
      </c>
      <c r="AM392" s="211">
        <f t="shared" si="249"/>
        <v>0</v>
      </c>
      <c r="AN392" s="211">
        <f t="shared" si="249"/>
        <v>0</v>
      </c>
    </row>
    <row r="393" spans="2:40" s="7" customFormat="1" ht="12" hidden="1" customHeight="1" outlineLevel="2">
      <c r="B393" s="245"/>
      <c r="C393" s="213" t="s">
        <v>769</v>
      </c>
      <c r="D393" s="213"/>
      <c r="E393" s="213"/>
      <c r="F393" s="213"/>
      <c r="G393" s="213"/>
      <c r="H393" s="213"/>
      <c r="I393" s="213"/>
      <c r="J393" s="213"/>
      <c r="K393" s="213"/>
      <c r="L393" s="213"/>
      <c r="M393" s="213"/>
      <c r="N393" s="213"/>
      <c r="O393" s="213"/>
      <c r="P393" s="213"/>
      <c r="Q393" s="213"/>
      <c r="R393" s="213"/>
      <c r="S393" s="213"/>
      <c r="T393" s="213"/>
      <c r="U393" s="211">
        <f>INDEX($C$349:$AN$371,MATCH("New Customers One-Time",$C$349:$C$371,0),MATCH($C393,$C$349:$AN$349,0))</f>
        <v>532.45080000000007</v>
      </c>
      <c r="V393" s="211">
        <f t="shared" ref="V393:AN393" si="250">$U393*(E375)</f>
        <v>0</v>
      </c>
      <c r="W393" s="211">
        <f t="shared" si="250"/>
        <v>0</v>
      </c>
      <c r="X393" s="211">
        <f t="shared" si="250"/>
        <v>0</v>
      </c>
      <c r="Y393" s="211">
        <f t="shared" si="250"/>
        <v>0</v>
      </c>
      <c r="Z393" s="211">
        <f t="shared" si="250"/>
        <v>0</v>
      </c>
      <c r="AA393" s="211">
        <f t="shared" si="250"/>
        <v>0</v>
      </c>
      <c r="AB393" s="211">
        <f t="shared" si="250"/>
        <v>0</v>
      </c>
      <c r="AC393" s="211">
        <f t="shared" si="250"/>
        <v>0</v>
      </c>
      <c r="AD393" s="211">
        <f t="shared" si="250"/>
        <v>0</v>
      </c>
      <c r="AE393" s="211">
        <f t="shared" si="250"/>
        <v>0</v>
      </c>
      <c r="AF393" s="211">
        <f t="shared" si="250"/>
        <v>0</v>
      </c>
      <c r="AG393" s="211">
        <f t="shared" si="250"/>
        <v>0</v>
      </c>
      <c r="AH393" s="211">
        <f t="shared" si="250"/>
        <v>0</v>
      </c>
      <c r="AI393" s="211">
        <f t="shared" si="250"/>
        <v>0</v>
      </c>
      <c r="AJ393" s="211">
        <f t="shared" si="250"/>
        <v>0</v>
      </c>
      <c r="AK393" s="211">
        <f t="shared" si="250"/>
        <v>0</v>
      </c>
      <c r="AL393" s="211">
        <f t="shared" si="250"/>
        <v>0</v>
      </c>
      <c r="AM393" s="211">
        <f t="shared" si="250"/>
        <v>0</v>
      </c>
      <c r="AN393" s="211">
        <f t="shared" si="250"/>
        <v>0</v>
      </c>
    </row>
    <row r="394" spans="2:40" s="7" customFormat="1" ht="12" hidden="1" customHeight="1" outlineLevel="2">
      <c r="B394" s="245"/>
      <c r="C394" s="213" t="s">
        <v>770</v>
      </c>
      <c r="D394" s="213"/>
      <c r="E394" s="213"/>
      <c r="F394" s="213"/>
      <c r="G394" s="213"/>
      <c r="H394" s="213"/>
      <c r="I394" s="213"/>
      <c r="J394" s="213"/>
      <c r="K394" s="213"/>
      <c r="L394" s="213"/>
      <c r="M394" s="213"/>
      <c r="N394" s="213"/>
      <c r="O394" s="213"/>
      <c r="P394" s="213"/>
      <c r="Q394" s="213"/>
      <c r="R394" s="213"/>
      <c r="S394" s="213"/>
      <c r="T394" s="213"/>
      <c r="U394" s="213"/>
      <c r="V394" s="211">
        <f>INDEX($C$349:$AN$371,MATCH("New Customers One-Time",$C$349:$C$371,0),MATCH($C394,$C$349:$AN$349,0))</f>
        <v>685.89359999999999</v>
      </c>
      <c r="W394" s="211">
        <f t="shared" ref="W394:AN394" si="251">$V394*(E375)</f>
        <v>0</v>
      </c>
      <c r="X394" s="211">
        <f t="shared" si="251"/>
        <v>0</v>
      </c>
      <c r="Y394" s="211">
        <f t="shared" si="251"/>
        <v>0</v>
      </c>
      <c r="Z394" s="211">
        <f t="shared" si="251"/>
        <v>0</v>
      </c>
      <c r="AA394" s="211">
        <f t="shared" si="251"/>
        <v>0</v>
      </c>
      <c r="AB394" s="211">
        <f t="shared" si="251"/>
        <v>0</v>
      </c>
      <c r="AC394" s="211">
        <f t="shared" si="251"/>
        <v>0</v>
      </c>
      <c r="AD394" s="211">
        <f t="shared" si="251"/>
        <v>0</v>
      </c>
      <c r="AE394" s="211">
        <f t="shared" si="251"/>
        <v>0</v>
      </c>
      <c r="AF394" s="211">
        <f t="shared" si="251"/>
        <v>0</v>
      </c>
      <c r="AG394" s="211">
        <f t="shared" si="251"/>
        <v>0</v>
      </c>
      <c r="AH394" s="211">
        <f t="shared" si="251"/>
        <v>0</v>
      </c>
      <c r="AI394" s="211">
        <f t="shared" si="251"/>
        <v>0</v>
      </c>
      <c r="AJ394" s="211">
        <f t="shared" si="251"/>
        <v>0</v>
      </c>
      <c r="AK394" s="211">
        <f t="shared" si="251"/>
        <v>0</v>
      </c>
      <c r="AL394" s="211">
        <f t="shared" si="251"/>
        <v>0</v>
      </c>
      <c r="AM394" s="211">
        <f t="shared" si="251"/>
        <v>0</v>
      </c>
      <c r="AN394" s="211">
        <f t="shared" si="251"/>
        <v>0</v>
      </c>
    </row>
    <row r="395" spans="2:40" s="7" customFormat="1" ht="12" hidden="1" customHeight="1" outlineLevel="2">
      <c r="B395" s="245"/>
      <c r="C395" s="213" t="s">
        <v>771</v>
      </c>
      <c r="D395" s="213"/>
      <c r="E395" s="213"/>
      <c r="F395" s="213"/>
      <c r="G395" s="213"/>
      <c r="H395" s="213"/>
      <c r="I395" s="213"/>
      <c r="J395" s="213"/>
      <c r="K395" s="213"/>
      <c r="L395" s="213"/>
      <c r="M395" s="213"/>
      <c r="N395" s="213"/>
      <c r="O395" s="213"/>
      <c r="P395" s="213"/>
      <c r="Q395" s="213"/>
      <c r="R395" s="213"/>
      <c r="S395" s="213"/>
      <c r="T395" s="213"/>
      <c r="U395" s="213"/>
      <c r="V395" s="213"/>
      <c r="W395" s="211">
        <f>INDEX($C$349:$AN$371,MATCH("New Customers One-Time",$C$349:$C$371,0),MATCH($C395,$C$349:$AN$349,0))</f>
        <v>558.35135999999989</v>
      </c>
      <c r="X395" s="211">
        <f t="shared" ref="X395:AN395" si="252">$W395*(E375)</f>
        <v>0</v>
      </c>
      <c r="Y395" s="211">
        <f t="shared" si="252"/>
        <v>0</v>
      </c>
      <c r="Z395" s="211">
        <f t="shared" si="252"/>
        <v>0</v>
      </c>
      <c r="AA395" s="211">
        <f t="shared" si="252"/>
        <v>0</v>
      </c>
      <c r="AB395" s="211">
        <f t="shared" si="252"/>
        <v>0</v>
      </c>
      <c r="AC395" s="211">
        <f t="shared" si="252"/>
        <v>0</v>
      </c>
      <c r="AD395" s="211">
        <f t="shared" si="252"/>
        <v>0</v>
      </c>
      <c r="AE395" s="211">
        <f t="shared" si="252"/>
        <v>0</v>
      </c>
      <c r="AF395" s="211">
        <f t="shared" si="252"/>
        <v>0</v>
      </c>
      <c r="AG395" s="211">
        <f t="shared" si="252"/>
        <v>0</v>
      </c>
      <c r="AH395" s="211">
        <f t="shared" si="252"/>
        <v>0</v>
      </c>
      <c r="AI395" s="211">
        <f t="shared" si="252"/>
        <v>0</v>
      </c>
      <c r="AJ395" s="211">
        <f t="shared" si="252"/>
        <v>0</v>
      </c>
      <c r="AK395" s="211">
        <f t="shared" si="252"/>
        <v>0</v>
      </c>
      <c r="AL395" s="211">
        <f t="shared" si="252"/>
        <v>0</v>
      </c>
      <c r="AM395" s="211">
        <f t="shared" si="252"/>
        <v>0</v>
      </c>
      <c r="AN395" s="211">
        <f t="shared" si="252"/>
        <v>0</v>
      </c>
    </row>
    <row r="396" spans="2:40" s="7" customFormat="1" ht="12" hidden="1" customHeight="1" outlineLevel="2">
      <c r="B396" s="245"/>
      <c r="C396" s="213" t="s">
        <v>772</v>
      </c>
      <c r="D396" s="213"/>
      <c r="E396" s="213"/>
      <c r="F396" s="213"/>
      <c r="G396" s="213"/>
      <c r="H396" s="213"/>
      <c r="I396" s="213"/>
      <c r="J396" s="213"/>
      <c r="K396" s="213"/>
      <c r="L396" s="213"/>
      <c r="M396" s="213"/>
      <c r="N396" s="213"/>
      <c r="O396" s="213"/>
      <c r="P396" s="213"/>
      <c r="Q396" s="213"/>
      <c r="R396" s="213"/>
      <c r="S396" s="213"/>
      <c r="T396" s="213"/>
      <c r="U396" s="213"/>
      <c r="V396" s="213"/>
      <c r="W396" s="213"/>
      <c r="X396" s="211">
        <f>INDEX($C$349:$AN$371,MATCH("New Customers One-Time",$C$349:$C$371,0),MATCH($C396,$C$349:$AN$349,0))</f>
        <v>480.12551999999994</v>
      </c>
      <c r="Y396" s="211">
        <f t="shared" ref="Y396:AN396" si="253">$X396*(E375)</f>
        <v>0</v>
      </c>
      <c r="Z396" s="211">
        <f t="shared" si="253"/>
        <v>0</v>
      </c>
      <c r="AA396" s="211">
        <f t="shared" si="253"/>
        <v>0</v>
      </c>
      <c r="AB396" s="211">
        <f t="shared" si="253"/>
        <v>0</v>
      </c>
      <c r="AC396" s="211">
        <f t="shared" si="253"/>
        <v>0</v>
      </c>
      <c r="AD396" s="211">
        <f t="shared" si="253"/>
        <v>0</v>
      </c>
      <c r="AE396" s="211">
        <f t="shared" si="253"/>
        <v>0</v>
      </c>
      <c r="AF396" s="211">
        <f t="shared" si="253"/>
        <v>0</v>
      </c>
      <c r="AG396" s="211">
        <f t="shared" si="253"/>
        <v>0</v>
      </c>
      <c r="AH396" s="211">
        <f t="shared" si="253"/>
        <v>0</v>
      </c>
      <c r="AI396" s="211">
        <f t="shared" si="253"/>
        <v>0</v>
      </c>
      <c r="AJ396" s="211">
        <f t="shared" si="253"/>
        <v>0</v>
      </c>
      <c r="AK396" s="211">
        <f t="shared" si="253"/>
        <v>0</v>
      </c>
      <c r="AL396" s="211">
        <f t="shared" si="253"/>
        <v>0</v>
      </c>
      <c r="AM396" s="211">
        <f t="shared" si="253"/>
        <v>0</v>
      </c>
      <c r="AN396" s="211">
        <f t="shared" si="253"/>
        <v>0</v>
      </c>
    </row>
    <row r="397" spans="2:40" s="7" customFormat="1" ht="12" hidden="1" customHeight="1" outlineLevel="2">
      <c r="B397" s="245"/>
      <c r="C397" s="213" t="s">
        <v>773</v>
      </c>
      <c r="D397" s="213"/>
      <c r="E397" s="213"/>
      <c r="F397" s="213"/>
      <c r="G397" s="213"/>
      <c r="H397" s="213"/>
      <c r="I397" s="213"/>
      <c r="J397" s="213"/>
      <c r="K397" s="213"/>
      <c r="L397" s="213"/>
      <c r="M397" s="213"/>
      <c r="N397" s="213"/>
      <c r="O397" s="213"/>
      <c r="P397" s="213"/>
      <c r="Q397" s="213"/>
      <c r="R397" s="213"/>
      <c r="S397" s="213"/>
      <c r="T397" s="213"/>
      <c r="U397" s="213"/>
      <c r="V397" s="213"/>
      <c r="W397" s="213"/>
      <c r="X397" s="213"/>
      <c r="Y397" s="211">
        <f>INDEX($C$349:$AN$371,MATCH("New Customers One-Time",$C$349:$C$371,0),MATCH($C397,$C$349:$AN$349,0))</f>
        <v>1058.3999999999999</v>
      </c>
      <c r="Z397" s="211">
        <f t="shared" ref="Z397:AN397" si="254">$Y397*(E375)</f>
        <v>0</v>
      </c>
      <c r="AA397" s="211">
        <f t="shared" si="254"/>
        <v>0</v>
      </c>
      <c r="AB397" s="211">
        <f t="shared" si="254"/>
        <v>0</v>
      </c>
      <c r="AC397" s="211">
        <f t="shared" si="254"/>
        <v>0</v>
      </c>
      <c r="AD397" s="211">
        <f t="shared" si="254"/>
        <v>0</v>
      </c>
      <c r="AE397" s="211">
        <f t="shared" si="254"/>
        <v>0</v>
      </c>
      <c r="AF397" s="211">
        <f t="shared" si="254"/>
        <v>0</v>
      </c>
      <c r="AG397" s="211">
        <f t="shared" si="254"/>
        <v>0</v>
      </c>
      <c r="AH397" s="211">
        <f t="shared" si="254"/>
        <v>0</v>
      </c>
      <c r="AI397" s="211">
        <f t="shared" si="254"/>
        <v>0</v>
      </c>
      <c r="AJ397" s="211">
        <f t="shared" si="254"/>
        <v>0</v>
      </c>
      <c r="AK397" s="211">
        <f t="shared" si="254"/>
        <v>0</v>
      </c>
      <c r="AL397" s="211">
        <f t="shared" si="254"/>
        <v>0</v>
      </c>
      <c r="AM397" s="211">
        <f t="shared" si="254"/>
        <v>0</v>
      </c>
      <c r="AN397" s="211">
        <f t="shared" si="254"/>
        <v>0</v>
      </c>
    </row>
    <row r="398" spans="2:40" s="7" customFormat="1" ht="12" hidden="1" customHeight="1" outlineLevel="2">
      <c r="B398" s="245"/>
      <c r="C398" s="213" t="s">
        <v>774</v>
      </c>
      <c r="D398" s="213"/>
      <c r="E398" s="213"/>
      <c r="F398" s="213"/>
      <c r="G398" s="213"/>
      <c r="H398" s="213"/>
      <c r="I398" s="213"/>
      <c r="J398" s="213"/>
      <c r="K398" s="213"/>
      <c r="L398" s="213"/>
      <c r="M398" s="213"/>
      <c r="N398" s="213"/>
      <c r="O398" s="213"/>
      <c r="P398" s="213"/>
      <c r="Q398" s="213"/>
      <c r="R398" s="213"/>
      <c r="S398" s="213"/>
      <c r="T398" s="213"/>
      <c r="U398" s="213"/>
      <c r="V398" s="213"/>
      <c r="W398" s="213"/>
      <c r="X398" s="213"/>
      <c r="Y398" s="213"/>
      <c r="Z398" s="211">
        <f>INDEX($C$349:$AN$371,MATCH("New Customers One-Time",$C$349:$C$371,0),MATCH($C398,$C$349:$AN$349,0))</f>
        <v>882</v>
      </c>
      <c r="AA398" s="211">
        <f t="shared" ref="AA398:AN398" si="255">$Z398*(E375)</f>
        <v>0</v>
      </c>
      <c r="AB398" s="211">
        <f t="shared" si="255"/>
        <v>0</v>
      </c>
      <c r="AC398" s="211">
        <f t="shared" si="255"/>
        <v>0</v>
      </c>
      <c r="AD398" s="211">
        <f t="shared" si="255"/>
        <v>0</v>
      </c>
      <c r="AE398" s="211">
        <f t="shared" si="255"/>
        <v>0</v>
      </c>
      <c r="AF398" s="211">
        <f t="shared" si="255"/>
        <v>0</v>
      </c>
      <c r="AG398" s="211">
        <f t="shared" si="255"/>
        <v>0</v>
      </c>
      <c r="AH398" s="211">
        <f t="shared" si="255"/>
        <v>0</v>
      </c>
      <c r="AI398" s="211">
        <f t="shared" si="255"/>
        <v>0</v>
      </c>
      <c r="AJ398" s="211">
        <f t="shared" si="255"/>
        <v>0</v>
      </c>
      <c r="AK398" s="211">
        <f t="shared" si="255"/>
        <v>0</v>
      </c>
      <c r="AL398" s="211">
        <f t="shared" si="255"/>
        <v>0</v>
      </c>
      <c r="AM398" s="211">
        <f t="shared" si="255"/>
        <v>0</v>
      </c>
      <c r="AN398" s="211">
        <f t="shared" si="255"/>
        <v>0</v>
      </c>
    </row>
    <row r="399" spans="2:40" s="7" customFormat="1" ht="12" hidden="1" customHeight="1" outlineLevel="2">
      <c r="B399" s="245"/>
      <c r="C399" s="213" t="s">
        <v>775</v>
      </c>
      <c r="D399" s="213"/>
      <c r="E399" s="213"/>
      <c r="F399" s="213"/>
      <c r="G399" s="213"/>
      <c r="H399" s="213"/>
      <c r="I399" s="213"/>
      <c r="J399" s="213"/>
      <c r="K399" s="213"/>
      <c r="L399" s="213"/>
      <c r="M399" s="213"/>
      <c r="N399" s="213"/>
      <c r="O399" s="213"/>
      <c r="P399" s="213"/>
      <c r="Q399" s="213"/>
      <c r="R399" s="213"/>
      <c r="S399" s="213"/>
      <c r="T399" s="213"/>
      <c r="U399" s="213"/>
      <c r="V399" s="213"/>
      <c r="W399" s="213"/>
      <c r="X399" s="213"/>
      <c r="Y399" s="213"/>
      <c r="Z399" s="213"/>
      <c r="AA399" s="211">
        <f>INDEX($C$349:$AN$371,MATCH("New Customers One-Time",$C$349:$C$371,0),MATCH($C399,$C$349:$AN$349,0))</f>
        <v>415.79999999999995</v>
      </c>
      <c r="AB399" s="211">
        <f t="shared" ref="AB399:AN399" si="256">$AA399*(E375)</f>
        <v>0</v>
      </c>
      <c r="AC399" s="211">
        <f t="shared" si="256"/>
        <v>0</v>
      </c>
      <c r="AD399" s="211">
        <f t="shared" si="256"/>
        <v>0</v>
      </c>
      <c r="AE399" s="211">
        <f t="shared" si="256"/>
        <v>0</v>
      </c>
      <c r="AF399" s="211">
        <f t="shared" si="256"/>
        <v>0</v>
      </c>
      <c r="AG399" s="211">
        <f t="shared" si="256"/>
        <v>0</v>
      </c>
      <c r="AH399" s="211">
        <f t="shared" si="256"/>
        <v>0</v>
      </c>
      <c r="AI399" s="211">
        <f t="shared" si="256"/>
        <v>0</v>
      </c>
      <c r="AJ399" s="211">
        <f t="shared" si="256"/>
        <v>0</v>
      </c>
      <c r="AK399" s="211">
        <f t="shared" si="256"/>
        <v>0</v>
      </c>
      <c r="AL399" s="211">
        <f t="shared" si="256"/>
        <v>0</v>
      </c>
      <c r="AM399" s="211">
        <f t="shared" si="256"/>
        <v>0</v>
      </c>
      <c r="AN399" s="211">
        <f t="shared" si="256"/>
        <v>0</v>
      </c>
    </row>
    <row r="400" spans="2:40" s="7" customFormat="1" ht="12" hidden="1" customHeight="1" outlineLevel="2">
      <c r="B400" s="245"/>
      <c r="C400" s="213" t="s">
        <v>776</v>
      </c>
      <c r="D400" s="213"/>
      <c r="E400" s="213"/>
      <c r="F400" s="213"/>
      <c r="G400" s="213"/>
      <c r="H400" s="213"/>
      <c r="I400" s="213"/>
      <c r="J400" s="213"/>
      <c r="K400" s="213"/>
      <c r="L400" s="213"/>
      <c r="M400" s="213"/>
      <c r="N400" s="213"/>
      <c r="O400" s="213"/>
      <c r="P400" s="213"/>
      <c r="Q400" s="213"/>
      <c r="R400" s="213"/>
      <c r="S400" s="213"/>
      <c r="T400" s="213"/>
      <c r="U400" s="213"/>
      <c r="V400" s="213"/>
      <c r="W400" s="213"/>
      <c r="X400" s="213"/>
      <c r="Y400" s="213"/>
      <c r="Z400" s="213"/>
      <c r="AA400" s="213"/>
      <c r="AB400" s="211">
        <f>INDEX($C$349:$AN$371,MATCH("New Customers One-Time",$C$349:$C$371,0),MATCH($C400,$C$349:$AN$349,0))</f>
        <v>491.4</v>
      </c>
      <c r="AC400" s="211">
        <f t="shared" ref="AC400:AN400" si="257">$AB400*(E375)</f>
        <v>0</v>
      </c>
      <c r="AD400" s="211">
        <f t="shared" si="257"/>
        <v>0</v>
      </c>
      <c r="AE400" s="211">
        <f t="shared" si="257"/>
        <v>0</v>
      </c>
      <c r="AF400" s="211">
        <f t="shared" si="257"/>
        <v>0</v>
      </c>
      <c r="AG400" s="211">
        <f t="shared" si="257"/>
        <v>0</v>
      </c>
      <c r="AH400" s="211">
        <f t="shared" si="257"/>
        <v>0</v>
      </c>
      <c r="AI400" s="211">
        <f t="shared" si="257"/>
        <v>0</v>
      </c>
      <c r="AJ400" s="211">
        <f t="shared" si="257"/>
        <v>0</v>
      </c>
      <c r="AK400" s="211">
        <f t="shared" si="257"/>
        <v>0</v>
      </c>
      <c r="AL400" s="211">
        <f t="shared" si="257"/>
        <v>0</v>
      </c>
      <c r="AM400" s="211">
        <f t="shared" si="257"/>
        <v>0</v>
      </c>
      <c r="AN400" s="211">
        <f t="shared" si="257"/>
        <v>0</v>
      </c>
    </row>
    <row r="401" spans="2:40" s="7" customFormat="1" ht="12" hidden="1" customHeight="1" outlineLevel="2">
      <c r="B401" s="245"/>
      <c r="C401" s="213" t="s">
        <v>777</v>
      </c>
      <c r="D401" s="213"/>
      <c r="E401" s="213"/>
      <c r="F401" s="213"/>
      <c r="G401" s="213"/>
      <c r="H401" s="213"/>
      <c r="I401" s="213"/>
      <c r="J401" s="213"/>
      <c r="K401" s="213"/>
      <c r="L401" s="213"/>
      <c r="M401" s="213"/>
      <c r="N401" s="213"/>
      <c r="O401" s="213"/>
      <c r="P401" s="213"/>
      <c r="Q401" s="213"/>
      <c r="R401" s="213"/>
      <c r="S401" s="213"/>
      <c r="T401" s="213"/>
      <c r="U401" s="213"/>
      <c r="V401" s="213"/>
      <c r="W401" s="213"/>
      <c r="X401" s="213"/>
      <c r="Y401" s="213"/>
      <c r="Z401" s="213"/>
      <c r="AA401" s="213"/>
      <c r="AB401" s="211"/>
      <c r="AC401" s="211">
        <f>INDEX($C$349:$AN$371,MATCH("New Customers One-Time",$C$349:$C$371,0),MATCH($C401,$C$349:$AN$349,0))</f>
        <v>466.26451199999997</v>
      </c>
      <c r="AD401" s="211">
        <f t="shared" ref="AD401:AN401" si="258">$AC401*(E375)</f>
        <v>0</v>
      </c>
      <c r="AE401" s="211">
        <f t="shared" si="258"/>
        <v>0</v>
      </c>
      <c r="AF401" s="211">
        <f t="shared" si="258"/>
        <v>0</v>
      </c>
      <c r="AG401" s="211">
        <f t="shared" si="258"/>
        <v>0</v>
      </c>
      <c r="AH401" s="211">
        <f t="shared" si="258"/>
        <v>0</v>
      </c>
      <c r="AI401" s="211">
        <f t="shared" si="258"/>
        <v>0</v>
      </c>
      <c r="AJ401" s="211">
        <f t="shared" si="258"/>
        <v>0</v>
      </c>
      <c r="AK401" s="211">
        <f t="shared" si="258"/>
        <v>0</v>
      </c>
      <c r="AL401" s="211">
        <f t="shared" si="258"/>
        <v>0</v>
      </c>
      <c r="AM401" s="211">
        <f t="shared" si="258"/>
        <v>0</v>
      </c>
      <c r="AN401" s="211">
        <f t="shared" si="258"/>
        <v>0</v>
      </c>
    </row>
    <row r="402" spans="2:40" s="7" customFormat="1" ht="12" hidden="1" customHeight="1" outlineLevel="2">
      <c r="B402" s="245"/>
      <c r="C402" s="213" t="s">
        <v>778</v>
      </c>
      <c r="D402" s="213"/>
      <c r="E402" s="213"/>
      <c r="F402" s="213"/>
      <c r="G402" s="213"/>
      <c r="H402" s="213"/>
      <c r="I402" s="213"/>
      <c r="J402" s="213"/>
      <c r="K402" s="213"/>
      <c r="L402" s="213"/>
      <c r="M402" s="213"/>
      <c r="N402" s="213"/>
      <c r="O402" s="213"/>
      <c r="P402" s="213"/>
      <c r="Q402" s="213"/>
      <c r="R402" s="213"/>
      <c r="S402" s="213"/>
      <c r="T402" s="213"/>
      <c r="U402" s="213"/>
      <c r="V402" s="213"/>
      <c r="W402" s="213"/>
      <c r="X402" s="213"/>
      <c r="Y402" s="213"/>
      <c r="Z402" s="213"/>
      <c r="AA402" s="213"/>
      <c r="AB402" s="211"/>
      <c r="AC402" s="211"/>
      <c r="AD402" s="211">
        <f>INDEX($C$349:$AN$371,MATCH("New Customers One-Time",$C$349:$C$371,0),MATCH($C402,$C$349:$AN$349,0))</f>
        <v>1088.9454239999998</v>
      </c>
      <c r="AE402" s="211">
        <f t="shared" ref="AE402:AN402" si="259">$AD402*(E375)</f>
        <v>0</v>
      </c>
      <c r="AF402" s="211">
        <f t="shared" si="259"/>
        <v>0</v>
      </c>
      <c r="AG402" s="211">
        <f t="shared" si="259"/>
        <v>0</v>
      </c>
      <c r="AH402" s="211">
        <f t="shared" si="259"/>
        <v>0</v>
      </c>
      <c r="AI402" s="211">
        <f t="shared" si="259"/>
        <v>0</v>
      </c>
      <c r="AJ402" s="211">
        <f t="shared" si="259"/>
        <v>0</v>
      </c>
      <c r="AK402" s="211">
        <f t="shared" si="259"/>
        <v>0</v>
      </c>
      <c r="AL402" s="211">
        <f t="shared" si="259"/>
        <v>0</v>
      </c>
      <c r="AM402" s="211">
        <f t="shared" si="259"/>
        <v>0</v>
      </c>
      <c r="AN402" s="211">
        <f t="shared" si="259"/>
        <v>0</v>
      </c>
    </row>
    <row r="403" spans="2:40" s="7" customFormat="1" ht="12" hidden="1" customHeight="1" outlineLevel="2">
      <c r="B403" s="245"/>
      <c r="C403" s="213" t="s">
        <v>779</v>
      </c>
      <c r="D403" s="213"/>
      <c r="E403" s="213"/>
      <c r="F403" s="213"/>
      <c r="G403" s="213"/>
      <c r="H403" s="213"/>
      <c r="I403" s="213"/>
      <c r="J403" s="213"/>
      <c r="K403" s="213"/>
      <c r="L403" s="213"/>
      <c r="M403" s="213"/>
      <c r="N403" s="213"/>
      <c r="O403" s="213"/>
      <c r="P403" s="213"/>
      <c r="Q403" s="213"/>
      <c r="R403" s="213"/>
      <c r="S403" s="213"/>
      <c r="T403" s="213"/>
      <c r="U403" s="213"/>
      <c r="V403" s="213"/>
      <c r="W403" s="213"/>
      <c r="X403" s="213"/>
      <c r="Y403" s="213"/>
      <c r="Z403" s="213"/>
      <c r="AA403" s="213"/>
      <c r="AB403" s="211"/>
      <c r="AC403" s="211"/>
      <c r="AD403" s="211"/>
      <c r="AE403" s="211">
        <f>INDEX($C$349:$AN$371,MATCH("New Customers One-Time",$C$349:$C$371,0),MATCH($C403,$C$349:$AN$349,0))</f>
        <v>712.60559999999998</v>
      </c>
      <c r="AF403" s="211">
        <f t="shared" ref="AF403:AN403" si="260">$AE403*(E375)</f>
        <v>0</v>
      </c>
      <c r="AG403" s="211">
        <f t="shared" si="260"/>
        <v>0</v>
      </c>
      <c r="AH403" s="211">
        <f t="shared" si="260"/>
        <v>0</v>
      </c>
      <c r="AI403" s="211">
        <f t="shared" si="260"/>
        <v>0</v>
      </c>
      <c r="AJ403" s="211">
        <f t="shared" si="260"/>
        <v>0</v>
      </c>
      <c r="AK403" s="211">
        <f t="shared" si="260"/>
        <v>0</v>
      </c>
      <c r="AL403" s="211">
        <f t="shared" si="260"/>
        <v>0</v>
      </c>
      <c r="AM403" s="211">
        <f t="shared" si="260"/>
        <v>0</v>
      </c>
      <c r="AN403" s="211">
        <f t="shared" si="260"/>
        <v>0</v>
      </c>
    </row>
    <row r="404" spans="2:40" s="7" customFormat="1" ht="12" hidden="1" customHeight="1" outlineLevel="2">
      <c r="B404" s="245"/>
      <c r="C404" s="213" t="s">
        <v>780</v>
      </c>
      <c r="D404" s="213"/>
      <c r="E404" s="213"/>
      <c r="F404" s="213"/>
      <c r="G404" s="213"/>
      <c r="H404" s="213"/>
      <c r="I404" s="213"/>
      <c r="J404" s="213"/>
      <c r="K404" s="213"/>
      <c r="L404" s="213"/>
      <c r="M404" s="213"/>
      <c r="N404" s="213"/>
      <c r="O404" s="213"/>
      <c r="P404" s="213"/>
      <c r="Q404" s="213"/>
      <c r="R404" s="213"/>
      <c r="S404" s="213"/>
      <c r="T404" s="213"/>
      <c r="U404" s="213"/>
      <c r="V404" s="213"/>
      <c r="W404" s="213"/>
      <c r="X404" s="213"/>
      <c r="Y404" s="213"/>
      <c r="Z404" s="213"/>
      <c r="AA404" s="213"/>
      <c r="AB404" s="211"/>
      <c r="AC404" s="211"/>
      <c r="AD404" s="211"/>
      <c r="AE404" s="211"/>
      <c r="AF404" s="211">
        <f>INDEX($C$349:$AN$371,MATCH("New Customers One-Time",$C$349:$C$371,0),MATCH($C404,$C$349:$AN$349,0))</f>
        <v>681.39161999999999</v>
      </c>
      <c r="AG404" s="211">
        <f t="shared" ref="AG404:AN404" si="261">$AF404*(E375)</f>
        <v>0</v>
      </c>
      <c r="AH404" s="211">
        <f t="shared" si="261"/>
        <v>0</v>
      </c>
      <c r="AI404" s="211">
        <f t="shared" si="261"/>
        <v>0</v>
      </c>
      <c r="AJ404" s="211">
        <f t="shared" si="261"/>
        <v>0</v>
      </c>
      <c r="AK404" s="211">
        <f t="shared" si="261"/>
        <v>0</v>
      </c>
      <c r="AL404" s="211">
        <f t="shared" si="261"/>
        <v>0</v>
      </c>
      <c r="AM404" s="211">
        <f t="shared" si="261"/>
        <v>0</v>
      </c>
      <c r="AN404" s="211">
        <f t="shared" si="261"/>
        <v>0</v>
      </c>
    </row>
    <row r="405" spans="2:40" s="7" customFormat="1" ht="12" hidden="1" customHeight="1" outlineLevel="2">
      <c r="B405" s="245"/>
      <c r="C405" s="213" t="s">
        <v>781</v>
      </c>
      <c r="D405" s="213"/>
      <c r="E405" s="213"/>
      <c r="F405" s="213"/>
      <c r="G405" s="213"/>
      <c r="H405" s="213"/>
      <c r="I405" s="213"/>
      <c r="J405" s="213"/>
      <c r="K405" s="213"/>
      <c r="L405" s="213"/>
      <c r="M405" s="213"/>
      <c r="N405" s="213"/>
      <c r="O405" s="213"/>
      <c r="P405" s="213"/>
      <c r="Q405" s="213"/>
      <c r="R405" s="213"/>
      <c r="S405" s="213"/>
      <c r="T405" s="213"/>
      <c r="U405" s="213"/>
      <c r="V405" s="213"/>
      <c r="W405" s="213"/>
      <c r="X405" s="213"/>
      <c r="Y405" s="213"/>
      <c r="Z405" s="213"/>
      <c r="AA405" s="213"/>
      <c r="AB405" s="211"/>
      <c r="AC405" s="211"/>
      <c r="AD405" s="211"/>
      <c r="AE405" s="211"/>
      <c r="AF405" s="211"/>
      <c r="AG405" s="211">
        <f>INDEX($C$349:$AN$371,MATCH("New Customers One-Time",$C$349:$C$371,0),MATCH($C405,$C$349:$AN$349,0))</f>
        <v>585.69587999999999</v>
      </c>
      <c r="AH405" s="211">
        <f t="shared" ref="AH405:AN405" si="262">$AG405*(E375)</f>
        <v>0</v>
      </c>
      <c r="AI405" s="211">
        <f t="shared" si="262"/>
        <v>0</v>
      </c>
      <c r="AJ405" s="211">
        <f t="shared" si="262"/>
        <v>0</v>
      </c>
      <c r="AK405" s="211">
        <f t="shared" si="262"/>
        <v>0</v>
      </c>
      <c r="AL405" s="211">
        <f t="shared" si="262"/>
        <v>0</v>
      </c>
      <c r="AM405" s="211">
        <f t="shared" si="262"/>
        <v>0</v>
      </c>
      <c r="AN405" s="211">
        <f t="shared" si="262"/>
        <v>0</v>
      </c>
    </row>
    <row r="406" spans="2:40" s="7" customFormat="1" ht="12" hidden="1" customHeight="1" outlineLevel="2">
      <c r="B406" s="245"/>
      <c r="C406" s="213" t="s">
        <v>782</v>
      </c>
      <c r="D406" s="213"/>
      <c r="E406" s="213"/>
      <c r="F406" s="213"/>
      <c r="G406" s="213"/>
      <c r="H406" s="213"/>
      <c r="I406" s="213"/>
      <c r="J406" s="213"/>
      <c r="K406" s="213"/>
      <c r="L406" s="213"/>
      <c r="M406" s="213"/>
      <c r="N406" s="213"/>
      <c r="O406" s="213"/>
      <c r="P406" s="213"/>
      <c r="Q406" s="213"/>
      <c r="R406" s="213"/>
      <c r="S406" s="213"/>
      <c r="T406" s="213"/>
      <c r="U406" s="213"/>
      <c r="V406" s="213"/>
      <c r="W406" s="213"/>
      <c r="X406" s="213"/>
      <c r="Y406" s="213"/>
      <c r="Z406" s="213"/>
      <c r="AA406" s="213"/>
      <c r="AB406" s="211"/>
      <c r="AC406" s="211"/>
      <c r="AD406" s="211"/>
      <c r="AE406" s="211"/>
      <c r="AF406" s="211"/>
      <c r="AG406" s="211"/>
      <c r="AH406" s="211">
        <f>INDEX($C$349:$AN$371,MATCH("New Customers One-Time",$C$349:$C$371,0),MATCH($C406,$C$349:$AN$349,0))</f>
        <v>1097.42976</v>
      </c>
      <c r="AI406" s="211">
        <f t="shared" ref="AI406:AN406" si="263">$AH406*(E375)</f>
        <v>0</v>
      </c>
      <c r="AJ406" s="211">
        <f t="shared" si="263"/>
        <v>0</v>
      </c>
      <c r="AK406" s="211">
        <f t="shared" si="263"/>
        <v>0</v>
      </c>
      <c r="AL406" s="211">
        <f t="shared" si="263"/>
        <v>0</v>
      </c>
      <c r="AM406" s="211">
        <f t="shared" si="263"/>
        <v>0</v>
      </c>
      <c r="AN406" s="211">
        <f t="shared" si="263"/>
        <v>0</v>
      </c>
    </row>
    <row r="407" spans="2:40" s="7" customFormat="1" ht="12" hidden="1" customHeight="1" outlineLevel="2">
      <c r="B407" s="245"/>
      <c r="C407" s="213" t="s">
        <v>783</v>
      </c>
      <c r="D407" s="213"/>
      <c r="E407" s="213"/>
      <c r="F407" s="213"/>
      <c r="G407" s="213"/>
      <c r="H407" s="213"/>
      <c r="I407" s="213"/>
      <c r="J407" s="213"/>
      <c r="K407" s="213"/>
      <c r="L407" s="213"/>
      <c r="M407" s="213"/>
      <c r="N407" s="213"/>
      <c r="O407" s="213"/>
      <c r="P407" s="213"/>
      <c r="Q407" s="213"/>
      <c r="R407" s="213"/>
      <c r="S407" s="213"/>
      <c r="T407" s="213"/>
      <c r="U407" s="213"/>
      <c r="V407" s="213"/>
      <c r="W407" s="213"/>
      <c r="X407" s="213"/>
      <c r="Y407" s="213"/>
      <c r="Z407" s="213"/>
      <c r="AA407" s="213"/>
      <c r="AB407" s="211"/>
      <c r="AC407" s="211"/>
      <c r="AD407" s="211"/>
      <c r="AE407" s="211"/>
      <c r="AF407" s="211"/>
      <c r="AG407" s="211"/>
      <c r="AH407" s="211"/>
      <c r="AI407" s="211">
        <f>INDEX($C$349:$AN$371,MATCH("New Customers One-Time",$C$349:$C$371,0),MATCH($C407,$C$349:$AN$349,0))</f>
        <v>502.51622399999985</v>
      </c>
      <c r="AJ407" s="211">
        <f>$AI407*(E375)</f>
        <v>0</v>
      </c>
      <c r="AK407" s="211">
        <f>$AI407*(F375)</f>
        <v>0</v>
      </c>
      <c r="AL407" s="211">
        <f>$AI407*(G375)</f>
        <v>0</v>
      </c>
      <c r="AM407" s="211">
        <f>$AI407*(H375)</f>
        <v>0</v>
      </c>
      <c r="AN407" s="211">
        <f>$AI407*(I375)</f>
        <v>0</v>
      </c>
    </row>
    <row r="408" spans="2:40" s="7" customFormat="1" ht="12" hidden="1" customHeight="1" outlineLevel="2">
      <c r="B408" s="245"/>
      <c r="C408" s="213" t="s">
        <v>784</v>
      </c>
      <c r="D408" s="213"/>
      <c r="E408" s="213"/>
      <c r="F408" s="213"/>
      <c r="G408" s="213"/>
      <c r="H408" s="213"/>
      <c r="I408" s="213"/>
      <c r="J408" s="213"/>
      <c r="K408" s="213"/>
      <c r="L408" s="213"/>
      <c r="M408" s="213"/>
      <c r="N408" s="213"/>
      <c r="O408" s="213"/>
      <c r="P408" s="213"/>
      <c r="Q408" s="213"/>
      <c r="R408" s="213"/>
      <c r="S408" s="213"/>
      <c r="T408" s="213"/>
      <c r="U408" s="213"/>
      <c r="V408" s="213"/>
      <c r="W408" s="213"/>
      <c r="X408" s="213"/>
      <c r="Y408" s="213"/>
      <c r="Z408" s="213"/>
      <c r="AA408" s="213"/>
      <c r="AB408" s="211"/>
      <c r="AC408" s="211"/>
      <c r="AD408" s="211"/>
      <c r="AE408" s="211"/>
      <c r="AF408" s="211"/>
      <c r="AG408" s="211"/>
      <c r="AH408" s="211"/>
      <c r="AI408" s="211"/>
      <c r="AJ408" s="211">
        <f>INDEX($C$349:$AN$371,MATCH("New Customers One-Time",$C$349:$C$371,0),MATCH($C408,$C$349:$AN$349,0))</f>
        <v>528.13807199999997</v>
      </c>
      <c r="AK408" s="211">
        <f>$AJ408*(E375)</f>
        <v>0</v>
      </c>
      <c r="AL408" s="211">
        <f>$AJ408*(F375)</f>
        <v>0</v>
      </c>
      <c r="AM408" s="211">
        <f>$AJ408*(G375)</f>
        <v>0</v>
      </c>
      <c r="AN408" s="211">
        <f>$AJ408*(H375)</f>
        <v>0</v>
      </c>
    </row>
    <row r="409" spans="2:40" s="7" customFormat="1" ht="12" hidden="1" customHeight="1" outlineLevel="2">
      <c r="B409" s="245"/>
      <c r="C409" s="213" t="s">
        <v>785</v>
      </c>
      <c r="D409" s="213"/>
      <c r="E409" s="213"/>
      <c r="F409" s="213"/>
      <c r="G409" s="213"/>
      <c r="H409" s="213"/>
      <c r="I409" s="213"/>
      <c r="J409" s="213"/>
      <c r="K409" s="213"/>
      <c r="L409" s="213"/>
      <c r="M409" s="213"/>
      <c r="N409" s="213"/>
      <c r="O409" s="213"/>
      <c r="P409" s="213"/>
      <c r="Q409" s="213"/>
      <c r="R409" s="213"/>
      <c r="S409" s="213"/>
      <c r="T409" s="213"/>
      <c r="U409" s="213"/>
      <c r="V409" s="213"/>
      <c r="W409" s="213"/>
      <c r="X409" s="213"/>
      <c r="Y409" s="213"/>
      <c r="Z409" s="213"/>
      <c r="AA409" s="213"/>
      <c r="AB409" s="211"/>
      <c r="AC409" s="211"/>
      <c r="AD409" s="211"/>
      <c r="AE409" s="211"/>
      <c r="AF409" s="211"/>
      <c r="AG409" s="211"/>
      <c r="AH409" s="211"/>
      <c r="AI409" s="211"/>
      <c r="AJ409" s="211"/>
      <c r="AK409" s="211">
        <f>INDEX($C$349:$AN$371,MATCH("New Customers One-Time",$C$349:$C$371,0),MATCH($C409,$C$349:$AN$349,0))</f>
        <v>1270.08</v>
      </c>
      <c r="AL409" s="211">
        <f>$AK409*(E375)</f>
        <v>0</v>
      </c>
      <c r="AM409" s="211">
        <f>$AK409*(F375)</f>
        <v>0</v>
      </c>
      <c r="AN409" s="211">
        <f>$AK409*(G375)</f>
        <v>0</v>
      </c>
    </row>
    <row r="410" spans="2:40" s="7" customFormat="1" ht="12" hidden="1" customHeight="1" outlineLevel="2">
      <c r="B410" s="245"/>
      <c r="C410" s="213" t="s">
        <v>786</v>
      </c>
      <c r="D410" s="213"/>
      <c r="E410" s="213"/>
      <c r="F410" s="213"/>
      <c r="G410" s="213"/>
      <c r="H410" s="213"/>
      <c r="I410" s="213"/>
      <c r="J410" s="213"/>
      <c r="K410" s="213"/>
      <c r="L410" s="213"/>
      <c r="M410" s="213"/>
      <c r="N410" s="213"/>
      <c r="O410" s="213"/>
      <c r="P410" s="213"/>
      <c r="Q410" s="213"/>
      <c r="R410" s="213"/>
      <c r="S410" s="213"/>
      <c r="T410" s="213"/>
      <c r="U410" s="213"/>
      <c r="V410" s="213"/>
      <c r="W410" s="213"/>
      <c r="X410" s="213"/>
      <c r="Y410" s="213"/>
      <c r="Z410" s="213"/>
      <c r="AA410" s="213"/>
      <c r="AB410" s="211"/>
      <c r="AC410" s="211"/>
      <c r="AD410" s="211"/>
      <c r="AE410" s="211"/>
      <c r="AF410" s="211"/>
      <c r="AG410" s="211"/>
      <c r="AH410" s="211"/>
      <c r="AI410" s="211"/>
      <c r="AJ410" s="211"/>
      <c r="AK410" s="211"/>
      <c r="AL410" s="211">
        <f>INDEX($C$349:$AN$371,MATCH("New Customers One-Time",$C$349:$C$371,0),MATCH($C410,$C$349:$AN$349,0))</f>
        <v>882</v>
      </c>
      <c r="AM410" s="211">
        <f>$AL410*(E375)</f>
        <v>0</v>
      </c>
      <c r="AN410" s="211">
        <f>$AL410*(F375)</f>
        <v>0</v>
      </c>
    </row>
    <row r="411" spans="2:40" s="7" customFormat="1" ht="12" hidden="1" customHeight="1" outlineLevel="2">
      <c r="B411" s="245"/>
      <c r="C411" s="213" t="s">
        <v>787</v>
      </c>
      <c r="D411" s="213"/>
      <c r="E411" s="213"/>
      <c r="F411" s="213"/>
      <c r="G411" s="213"/>
      <c r="H411" s="213"/>
      <c r="I411" s="213"/>
      <c r="J411" s="213"/>
      <c r="K411" s="213"/>
      <c r="L411" s="213"/>
      <c r="M411" s="213"/>
      <c r="N411" s="213"/>
      <c r="O411" s="213"/>
      <c r="P411" s="213"/>
      <c r="Q411" s="213"/>
      <c r="R411" s="213"/>
      <c r="S411" s="213"/>
      <c r="T411" s="213"/>
      <c r="U411" s="213"/>
      <c r="V411" s="213"/>
      <c r="W411" s="213"/>
      <c r="X411" s="213"/>
      <c r="Y411" s="213"/>
      <c r="Z411" s="213"/>
      <c r="AA411" s="213"/>
      <c r="AB411" s="211"/>
      <c r="AC411" s="211"/>
      <c r="AD411" s="211"/>
      <c r="AE411" s="211"/>
      <c r="AF411" s="211"/>
      <c r="AG411" s="211"/>
      <c r="AH411" s="211"/>
      <c r="AI411" s="211"/>
      <c r="AJ411" s="211"/>
      <c r="AK411" s="211"/>
      <c r="AL411" s="211"/>
      <c r="AM411" s="211">
        <f>INDEX($C$349:$AN$371,MATCH("New Customers One-Time",$C$349:$C$371,0),MATCH($C411,$C$349:$AN$349,0))</f>
        <v>457.37999999999994</v>
      </c>
      <c r="AN411" s="211">
        <f>$AM411*(E375)</f>
        <v>0</v>
      </c>
    </row>
    <row r="412" spans="2:40" s="7" customFormat="1" ht="12" hidden="1" customHeight="1" outlineLevel="2">
      <c r="B412" s="245"/>
      <c r="C412" s="213" t="s">
        <v>788</v>
      </c>
      <c r="D412" s="213"/>
      <c r="E412" s="213"/>
      <c r="F412" s="213"/>
      <c r="G412" s="213"/>
      <c r="H412" s="213"/>
      <c r="I412" s="213"/>
      <c r="J412" s="213"/>
      <c r="K412" s="213"/>
      <c r="L412" s="213"/>
      <c r="M412" s="213"/>
      <c r="N412" s="213"/>
      <c r="O412" s="213"/>
      <c r="P412" s="213"/>
      <c r="Q412" s="213"/>
      <c r="R412" s="213"/>
      <c r="S412" s="213"/>
      <c r="T412" s="213"/>
      <c r="U412" s="213"/>
      <c r="V412" s="213"/>
      <c r="W412" s="213"/>
      <c r="X412" s="213"/>
      <c r="Y412" s="213"/>
      <c r="Z412" s="213"/>
      <c r="AA412" s="213"/>
      <c r="AB412" s="211"/>
      <c r="AC412" s="211"/>
      <c r="AD412" s="211"/>
      <c r="AE412" s="211"/>
      <c r="AF412" s="211"/>
      <c r="AG412" s="211"/>
      <c r="AH412" s="211"/>
      <c r="AI412" s="211"/>
      <c r="AJ412" s="211"/>
      <c r="AK412" s="211"/>
      <c r="AL412" s="211"/>
      <c r="AM412" s="211"/>
      <c r="AN412" s="211">
        <f>INDEX($C$349:$AN$371,MATCH("New Customers One-Time",$C$349:$C$371,0),MATCH($C412,$C$349:$AN$349,0))</f>
        <v>589.67999999999995</v>
      </c>
    </row>
    <row r="413" spans="2:40" s="7" customFormat="1" ht="12" hidden="1" customHeight="1" outlineLevel="2">
      <c r="B413" s="245"/>
      <c r="C413" s="213"/>
      <c r="D413" s="213"/>
      <c r="E413" s="213"/>
      <c r="F413" s="213"/>
      <c r="G413" s="213"/>
      <c r="H413" s="213"/>
      <c r="I413" s="213"/>
      <c r="J413" s="213"/>
      <c r="K413" s="213"/>
      <c r="L413" s="213"/>
      <c r="M413" s="213"/>
      <c r="N413" s="213"/>
      <c r="O413" s="213"/>
      <c r="P413" s="213"/>
      <c r="Q413" s="213"/>
      <c r="R413" s="213"/>
      <c r="S413" s="213"/>
      <c r="T413" s="213"/>
      <c r="U413" s="213"/>
      <c r="V413" s="213"/>
      <c r="W413" s="213"/>
      <c r="X413" s="213"/>
      <c r="Y413" s="213"/>
      <c r="Z413" s="213"/>
      <c r="AA413" s="213"/>
      <c r="AB413" s="211"/>
      <c r="AC413" s="211"/>
      <c r="AD413" s="211"/>
      <c r="AE413" s="211"/>
      <c r="AF413" s="211"/>
      <c r="AG413" s="211"/>
      <c r="AH413" s="211"/>
      <c r="AI413" s="211"/>
      <c r="AJ413" s="211"/>
      <c r="AK413" s="211"/>
      <c r="AL413" s="211"/>
      <c r="AM413" s="211"/>
      <c r="AN413" s="211"/>
    </row>
    <row r="414" spans="2:40" s="7" customFormat="1" ht="12" hidden="1" customHeight="1" outlineLevel="2">
      <c r="B414" s="245"/>
      <c r="C414" s="243" t="s">
        <v>853</v>
      </c>
      <c r="D414" s="213"/>
      <c r="E414" s="213"/>
      <c r="F414" s="213"/>
      <c r="G414" s="213"/>
      <c r="H414" s="213"/>
      <c r="I414" s="213"/>
      <c r="J414" s="213"/>
      <c r="K414" s="213"/>
      <c r="L414" s="213"/>
      <c r="M414" s="213"/>
      <c r="N414" s="213"/>
      <c r="O414" s="213"/>
      <c r="P414" s="213"/>
      <c r="Q414" s="213"/>
      <c r="R414" s="213"/>
      <c r="S414" s="213"/>
      <c r="T414" s="213"/>
      <c r="U414" s="213"/>
      <c r="V414" s="213"/>
      <c r="W414" s="213"/>
      <c r="X414" s="213"/>
      <c r="Y414" s="213"/>
      <c r="Z414" s="213"/>
      <c r="AA414" s="213"/>
      <c r="AB414" s="213"/>
      <c r="AC414" s="211"/>
    </row>
    <row r="415" spans="2:40" s="7" customFormat="1" ht="12" hidden="1" customHeight="1" outlineLevel="2">
      <c r="B415" s="239"/>
      <c r="C415" s="214" t="s">
        <v>850</v>
      </c>
      <c r="D415" s="214"/>
      <c r="E415" s="196" t="s">
        <v>753</v>
      </c>
      <c r="F415" s="196" t="s">
        <v>754</v>
      </c>
      <c r="G415" s="196" t="s">
        <v>755</v>
      </c>
      <c r="H415" s="196" t="s">
        <v>756</v>
      </c>
      <c r="I415" s="196" t="s">
        <v>757</v>
      </c>
      <c r="J415" s="196" t="s">
        <v>758</v>
      </c>
      <c r="K415" s="196" t="s">
        <v>759</v>
      </c>
      <c r="L415" s="196" t="s">
        <v>760</v>
      </c>
      <c r="M415" s="196" t="s">
        <v>761</v>
      </c>
      <c r="N415" s="196" t="s">
        <v>762</v>
      </c>
      <c r="O415" s="196" t="s">
        <v>763</v>
      </c>
      <c r="P415" s="196" t="s">
        <v>764</v>
      </c>
      <c r="Q415" s="196" t="s">
        <v>765</v>
      </c>
      <c r="R415" s="196" t="s">
        <v>766</v>
      </c>
      <c r="S415" s="196" t="s">
        <v>767</v>
      </c>
      <c r="T415" s="196" t="s">
        <v>768</v>
      </c>
      <c r="U415" s="196" t="s">
        <v>769</v>
      </c>
      <c r="V415" s="196" t="s">
        <v>770</v>
      </c>
      <c r="W415" s="196" t="s">
        <v>771</v>
      </c>
      <c r="X415" s="196" t="s">
        <v>772</v>
      </c>
      <c r="Y415" s="196" t="s">
        <v>773</v>
      </c>
      <c r="Z415" s="196" t="s">
        <v>774</v>
      </c>
      <c r="AA415" s="196" t="s">
        <v>775</v>
      </c>
      <c r="AB415" s="196" t="s">
        <v>776</v>
      </c>
      <c r="AC415" s="196" t="s">
        <v>777</v>
      </c>
      <c r="AD415" s="196" t="s">
        <v>778</v>
      </c>
      <c r="AE415" s="196" t="s">
        <v>779</v>
      </c>
      <c r="AF415" s="196" t="s">
        <v>780</v>
      </c>
      <c r="AG415" s="196" t="s">
        <v>781</v>
      </c>
      <c r="AH415" s="196" t="s">
        <v>782</v>
      </c>
      <c r="AI415" s="196" t="s">
        <v>783</v>
      </c>
      <c r="AJ415" s="196" t="s">
        <v>784</v>
      </c>
      <c r="AK415" s="196" t="s">
        <v>785</v>
      </c>
      <c r="AL415" s="196" t="s">
        <v>786</v>
      </c>
      <c r="AM415" s="196" t="s">
        <v>787</v>
      </c>
      <c r="AN415" s="196" t="s">
        <v>788</v>
      </c>
    </row>
    <row r="416" spans="2:40" s="7" customFormat="1" ht="12" hidden="1" customHeight="1" outlineLevel="2">
      <c r="B416" s="239"/>
      <c r="C416" s="247" t="s">
        <v>851</v>
      </c>
      <c r="D416" s="214"/>
      <c r="E416" s="345">
        <v>0.04</v>
      </c>
      <c r="F416" s="345">
        <v>0.04</v>
      </c>
      <c r="G416" s="345">
        <v>0.04</v>
      </c>
      <c r="H416" s="345">
        <v>0.04</v>
      </c>
      <c r="I416" s="345">
        <v>0.03</v>
      </c>
      <c r="J416" s="345">
        <v>0.03</v>
      </c>
      <c r="K416" s="345">
        <v>0.03</v>
      </c>
      <c r="L416" s="345">
        <v>0.03</v>
      </c>
      <c r="M416" s="345">
        <v>0.02</v>
      </c>
      <c r="N416" s="345">
        <v>0.02</v>
      </c>
      <c r="O416" s="345">
        <v>0.02</v>
      </c>
      <c r="P416" s="345">
        <v>0.03</v>
      </c>
      <c r="Q416" s="345">
        <v>0.03</v>
      </c>
      <c r="R416" s="345">
        <v>0.01</v>
      </c>
      <c r="S416" s="345">
        <v>0.01</v>
      </c>
      <c r="T416" s="345">
        <v>0.01</v>
      </c>
      <c r="U416" s="345">
        <v>0.01</v>
      </c>
      <c r="V416" s="345">
        <v>0.01</v>
      </c>
      <c r="W416" s="345">
        <v>0.01</v>
      </c>
      <c r="X416" s="345">
        <v>0.01</v>
      </c>
      <c r="Y416" s="345">
        <v>0.01</v>
      </c>
      <c r="Z416" s="345">
        <v>0.01</v>
      </c>
      <c r="AA416" s="345">
        <v>0.01</v>
      </c>
      <c r="AB416" s="345">
        <v>0.01</v>
      </c>
      <c r="AC416" s="345">
        <v>0.01</v>
      </c>
      <c r="AD416" s="345">
        <v>0.01</v>
      </c>
      <c r="AE416" s="345">
        <v>0.01</v>
      </c>
      <c r="AF416" s="345">
        <v>0.01</v>
      </c>
      <c r="AG416" s="345">
        <v>0.01</v>
      </c>
      <c r="AH416" s="345">
        <v>0.01</v>
      </c>
      <c r="AI416" s="345">
        <v>0.01</v>
      </c>
      <c r="AJ416" s="345">
        <v>0.01</v>
      </c>
      <c r="AK416" s="345">
        <v>0.01</v>
      </c>
      <c r="AL416" s="345">
        <v>0.01</v>
      </c>
      <c r="AM416" s="345">
        <v>0.01</v>
      </c>
      <c r="AN416" s="345">
        <v>0.01</v>
      </c>
    </row>
    <row r="417" spans="2:40" s="214" customFormat="1" ht="12" hidden="1" customHeight="1" outlineLevel="2">
      <c r="C417" s="213" t="s">
        <v>861</v>
      </c>
      <c r="E417" s="211">
        <v>322</v>
      </c>
      <c r="F417" s="211">
        <v>379</v>
      </c>
      <c r="G417" s="211">
        <v>480</v>
      </c>
      <c r="H417" s="211">
        <v>363</v>
      </c>
      <c r="I417" s="211">
        <v>305</v>
      </c>
      <c r="J417" s="211">
        <f t="shared" ref="J417:AN417" si="264">I417*0.9</f>
        <v>274.5</v>
      </c>
      <c r="K417" s="211">
        <f t="shared" si="264"/>
        <v>247.05</v>
      </c>
      <c r="L417" s="211">
        <f t="shared" si="264"/>
        <v>222.34500000000003</v>
      </c>
      <c r="M417" s="211">
        <f t="shared" si="264"/>
        <v>200.11050000000003</v>
      </c>
      <c r="N417" s="211">
        <f t="shared" si="264"/>
        <v>180.09945000000002</v>
      </c>
      <c r="O417" s="211">
        <f t="shared" si="264"/>
        <v>162.08950500000003</v>
      </c>
      <c r="P417" s="211">
        <f t="shared" si="264"/>
        <v>145.88055450000004</v>
      </c>
      <c r="Q417" s="211">
        <f t="shared" si="264"/>
        <v>131.29249905000003</v>
      </c>
      <c r="R417" s="211">
        <f t="shared" si="264"/>
        <v>118.16324914500004</v>
      </c>
      <c r="S417" s="211">
        <f t="shared" si="264"/>
        <v>106.34692423050004</v>
      </c>
      <c r="T417" s="211">
        <f t="shared" si="264"/>
        <v>95.712231807450038</v>
      </c>
      <c r="U417" s="211">
        <f t="shared" si="264"/>
        <v>86.14100862670503</v>
      </c>
      <c r="V417" s="211">
        <f t="shared" si="264"/>
        <v>77.526907764034533</v>
      </c>
      <c r="W417" s="211">
        <f t="shared" si="264"/>
        <v>69.774216987631078</v>
      </c>
      <c r="X417" s="211">
        <f t="shared" si="264"/>
        <v>62.796795288867969</v>
      </c>
      <c r="Y417" s="211">
        <f t="shared" si="264"/>
        <v>56.517115759981174</v>
      </c>
      <c r="Z417" s="211">
        <f t="shared" si="264"/>
        <v>50.86540418398306</v>
      </c>
      <c r="AA417" s="211">
        <f t="shared" si="264"/>
        <v>45.778863765584752</v>
      </c>
      <c r="AB417" s="211">
        <f t="shared" si="264"/>
        <v>41.200977389026278</v>
      </c>
      <c r="AC417" s="211">
        <f t="shared" si="264"/>
        <v>37.080879650123649</v>
      </c>
      <c r="AD417" s="211">
        <f t="shared" si="264"/>
        <v>33.372791685111288</v>
      </c>
      <c r="AE417" s="211">
        <f t="shared" si="264"/>
        <v>30.035512516600161</v>
      </c>
      <c r="AF417" s="211">
        <f t="shared" si="264"/>
        <v>27.031961264940144</v>
      </c>
      <c r="AG417" s="211">
        <f t="shared" si="264"/>
        <v>24.32876513844613</v>
      </c>
      <c r="AH417" s="211">
        <f t="shared" si="264"/>
        <v>21.895888624601518</v>
      </c>
      <c r="AI417" s="211">
        <f t="shared" si="264"/>
        <v>19.706299762141366</v>
      </c>
      <c r="AJ417" s="211">
        <f t="shared" si="264"/>
        <v>17.735669785927229</v>
      </c>
      <c r="AK417" s="211">
        <f t="shared" si="264"/>
        <v>15.962102807334507</v>
      </c>
      <c r="AL417" s="211">
        <f t="shared" si="264"/>
        <v>14.365892526601057</v>
      </c>
      <c r="AM417" s="211">
        <f t="shared" si="264"/>
        <v>12.929303273940951</v>
      </c>
      <c r="AN417" s="211">
        <f t="shared" si="264"/>
        <v>11.636372946546857</v>
      </c>
    </row>
    <row r="418" spans="2:40" s="7" customFormat="1" ht="12" hidden="1" customHeight="1" outlineLevel="2">
      <c r="B418" s="245"/>
      <c r="C418" s="213" t="s">
        <v>753</v>
      </c>
      <c r="D418" s="213"/>
      <c r="E418" s="211">
        <f>INDEX($C$349:$AN$371,MATCH("New Customers 1MS",$C$349:$C$371,0),MATCH($C418,$C$349:$AN$349,0))</f>
        <v>30.999999999999982</v>
      </c>
      <c r="F418" s="211">
        <f t="shared" ref="F418:AN418" si="265">$E418*(E416)</f>
        <v>1.2399999999999993</v>
      </c>
      <c r="G418" s="211">
        <f t="shared" si="265"/>
        <v>1.2399999999999993</v>
      </c>
      <c r="H418" s="211">
        <f t="shared" si="265"/>
        <v>1.2399999999999993</v>
      </c>
      <c r="I418" s="211">
        <f t="shared" si="265"/>
        <v>1.2399999999999993</v>
      </c>
      <c r="J418" s="211">
        <f t="shared" si="265"/>
        <v>0.92999999999999938</v>
      </c>
      <c r="K418" s="211">
        <f t="shared" si="265"/>
        <v>0.92999999999999938</v>
      </c>
      <c r="L418" s="211">
        <f t="shared" si="265"/>
        <v>0.92999999999999938</v>
      </c>
      <c r="M418" s="211">
        <f t="shared" si="265"/>
        <v>0.92999999999999938</v>
      </c>
      <c r="N418" s="211">
        <f t="shared" si="265"/>
        <v>0.61999999999999966</v>
      </c>
      <c r="O418" s="211">
        <f t="shared" si="265"/>
        <v>0.61999999999999966</v>
      </c>
      <c r="P418" s="211">
        <f t="shared" si="265"/>
        <v>0.61999999999999966</v>
      </c>
      <c r="Q418" s="211">
        <f t="shared" si="265"/>
        <v>0.92999999999999938</v>
      </c>
      <c r="R418" s="211">
        <f t="shared" si="265"/>
        <v>0.92999999999999938</v>
      </c>
      <c r="S418" s="211">
        <f t="shared" si="265"/>
        <v>0.30999999999999983</v>
      </c>
      <c r="T418" s="211">
        <f t="shared" si="265"/>
        <v>0.30999999999999983</v>
      </c>
      <c r="U418" s="211">
        <f t="shared" si="265"/>
        <v>0.30999999999999983</v>
      </c>
      <c r="V418" s="211">
        <f t="shared" si="265"/>
        <v>0.30999999999999983</v>
      </c>
      <c r="W418" s="211">
        <f t="shared" si="265"/>
        <v>0.30999999999999983</v>
      </c>
      <c r="X418" s="211">
        <f t="shared" si="265"/>
        <v>0.30999999999999983</v>
      </c>
      <c r="Y418" s="211">
        <f t="shared" si="265"/>
        <v>0.30999999999999983</v>
      </c>
      <c r="Z418" s="211">
        <f t="shared" si="265"/>
        <v>0.30999999999999983</v>
      </c>
      <c r="AA418" s="211">
        <f t="shared" si="265"/>
        <v>0.30999999999999983</v>
      </c>
      <c r="AB418" s="211">
        <f t="shared" si="265"/>
        <v>0.30999999999999983</v>
      </c>
      <c r="AC418" s="211">
        <f t="shared" si="265"/>
        <v>0.30999999999999983</v>
      </c>
      <c r="AD418" s="211">
        <f t="shared" si="265"/>
        <v>0.30999999999999983</v>
      </c>
      <c r="AE418" s="211">
        <f t="shared" si="265"/>
        <v>0.30999999999999983</v>
      </c>
      <c r="AF418" s="211">
        <f t="shared" si="265"/>
        <v>0.30999999999999983</v>
      </c>
      <c r="AG418" s="211">
        <f t="shared" si="265"/>
        <v>0.30999999999999983</v>
      </c>
      <c r="AH418" s="211">
        <f t="shared" si="265"/>
        <v>0.30999999999999983</v>
      </c>
      <c r="AI418" s="211">
        <f t="shared" si="265"/>
        <v>0.30999999999999983</v>
      </c>
      <c r="AJ418" s="211">
        <f t="shared" si="265"/>
        <v>0.30999999999999983</v>
      </c>
      <c r="AK418" s="211">
        <f t="shared" si="265"/>
        <v>0.30999999999999983</v>
      </c>
      <c r="AL418" s="211">
        <f t="shared" si="265"/>
        <v>0.30999999999999983</v>
      </c>
      <c r="AM418" s="211">
        <f t="shared" si="265"/>
        <v>0.30999999999999983</v>
      </c>
      <c r="AN418" s="211">
        <f t="shared" si="265"/>
        <v>0.30999999999999983</v>
      </c>
    </row>
    <row r="419" spans="2:40" s="7" customFormat="1" ht="12" hidden="1" customHeight="1" outlineLevel="2">
      <c r="B419" s="245"/>
      <c r="C419" s="213" t="s">
        <v>754</v>
      </c>
      <c r="D419" s="213"/>
      <c r="E419" s="213"/>
      <c r="F419" s="211">
        <f>INDEX($C$349:$AN$371,MATCH("New Customers 1MS",$C$349:$C$371,0),MATCH($C419,$C$349:$AN$349,0))</f>
        <v>13.999999999999917</v>
      </c>
      <c r="G419" s="211">
        <f t="shared" ref="G419:AN419" si="266">$F419*(E416)</f>
        <v>0.55999999999999672</v>
      </c>
      <c r="H419" s="211">
        <f t="shared" si="266"/>
        <v>0.55999999999999672</v>
      </c>
      <c r="I419" s="211">
        <f t="shared" si="266"/>
        <v>0.55999999999999672</v>
      </c>
      <c r="J419" s="211">
        <f t="shared" si="266"/>
        <v>0.55999999999999672</v>
      </c>
      <c r="K419" s="211">
        <f t="shared" si="266"/>
        <v>0.41999999999999749</v>
      </c>
      <c r="L419" s="211">
        <f t="shared" si="266"/>
        <v>0.41999999999999749</v>
      </c>
      <c r="M419" s="211">
        <f t="shared" si="266"/>
        <v>0.41999999999999749</v>
      </c>
      <c r="N419" s="211">
        <f t="shared" si="266"/>
        <v>0.41999999999999749</v>
      </c>
      <c r="O419" s="211">
        <f t="shared" si="266"/>
        <v>0.27999999999999836</v>
      </c>
      <c r="P419" s="211">
        <f t="shared" si="266"/>
        <v>0.27999999999999836</v>
      </c>
      <c r="Q419" s="211">
        <f t="shared" si="266"/>
        <v>0.27999999999999836</v>
      </c>
      <c r="R419" s="211">
        <f t="shared" si="266"/>
        <v>0.41999999999999749</v>
      </c>
      <c r="S419" s="211">
        <f t="shared" si="266"/>
        <v>0.41999999999999749</v>
      </c>
      <c r="T419" s="211">
        <f t="shared" si="266"/>
        <v>0.13999999999999918</v>
      </c>
      <c r="U419" s="211">
        <f t="shared" si="266"/>
        <v>0.13999999999999918</v>
      </c>
      <c r="V419" s="211">
        <f t="shared" si="266"/>
        <v>0.13999999999999918</v>
      </c>
      <c r="W419" s="211">
        <f t="shared" si="266"/>
        <v>0.13999999999999918</v>
      </c>
      <c r="X419" s="211">
        <f t="shared" si="266"/>
        <v>0.13999999999999918</v>
      </c>
      <c r="Y419" s="211">
        <f t="shared" si="266"/>
        <v>0.13999999999999918</v>
      </c>
      <c r="Z419" s="211">
        <f t="shared" si="266"/>
        <v>0.13999999999999918</v>
      </c>
      <c r="AA419" s="211">
        <f t="shared" si="266"/>
        <v>0.13999999999999918</v>
      </c>
      <c r="AB419" s="211">
        <f t="shared" si="266"/>
        <v>0.13999999999999918</v>
      </c>
      <c r="AC419" s="211">
        <f t="shared" si="266"/>
        <v>0.13999999999999918</v>
      </c>
      <c r="AD419" s="211">
        <f t="shared" si="266"/>
        <v>0.13999999999999918</v>
      </c>
      <c r="AE419" s="211">
        <f t="shared" si="266"/>
        <v>0.13999999999999918</v>
      </c>
      <c r="AF419" s="211">
        <f t="shared" si="266"/>
        <v>0.13999999999999918</v>
      </c>
      <c r="AG419" s="211">
        <f t="shared" si="266"/>
        <v>0.13999999999999918</v>
      </c>
      <c r="AH419" s="211">
        <f t="shared" si="266"/>
        <v>0.13999999999999918</v>
      </c>
      <c r="AI419" s="211">
        <f t="shared" si="266"/>
        <v>0.13999999999999918</v>
      </c>
      <c r="AJ419" s="211">
        <f t="shared" si="266"/>
        <v>0.13999999999999918</v>
      </c>
      <c r="AK419" s="211">
        <f t="shared" si="266"/>
        <v>0.13999999999999918</v>
      </c>
      <c r="AL419" s="211">
        <f t="shared" si="266"/>
        <v>0.13999999999999918</v>
      </c>
      <c r="AM419" s="211">
        <f t="shared" si="266"/>
        <v>0.13999999999999918</v>
      </c>
      <c r="AN419" s="211">
        <f t="shared" si="266"/>
        <v>0.13999999999999918</v>
      </c>
    </row>
    <row r="420" spans="2:40" s="7" customFormat="1" ht="12" hidden="1" customHeight="1" outlineLevel="2">
      <c r="B420" s="245"/>
      <c r="C420" s="213" t="s">
        <v>755</v>
      </c>
      <c r="D420" s="213"/>
      <c r="E420" s="213"/>
      <c r="G420" s="211">
        <f>INDEX($C$349:$AN$371,MATCH("New Customers 1MS",$C$349:$C$371,0),MATCH($C420,$C$349:$AN$349,0))</f>
        <v>5.0000000000000613</v>
      </c>
      <c r="H420" s="211">
        <f>G420*(E416)</f>
        <v>0.20000000000000245</v>
      </c>
      <c r="I420" s="211">
        <f>G420*(F416)</f>
        <v>0.20000000000000245</v>
      </c>
      <c r="J420" s="211">
        <f>G420*(G416)</f>
        <v>0.20000000000000245</v>
      </c>
      <c r="K420" s="211">
        <f>G420*(H416)</f>
        <v>0.20000000000000245</v>
      </c>
      <c r="L420" s="211">
        <f>G420*(I416)</f>
        <v>0.15000000000000183</v>
      </c>
      <c r="M420" s="211">
        <f>G420*(J416)</f>
        <v>0.15000000000000183</v>
      </c>
      <c r="N420" s="211">
        <f>G420*(K416)</f>
        <v>0.15000000000000183</v>
      </c>
      <c r="O420" s="211">
        <f>G420*(L416)</f>
        <v>0.15000000000000183</v>
      </c>
      <c r="P420" s="211">
        <f>G420*(M416)</f>
        <v>0.10000000000000123</v>
      </c>
      <c r="Q420" s="211">
        <f>G420*(N416)</f>
        <v>0.10000000000000123</v>
      </c>
      <c r="R420" s="211">
        <f>G420*(O416)</f>
        <v>0.10000000000000123</v>
      </c>
      <c r="S420" s="211">
        <f>G420*(P416)</f>
        <v>0.15000000000000183</v>
      </c>
      <c r="T420" s="211">
        <f>G420*(Q416)</f>
        <v>0.15000000000000183</v>
      </c>
      <c r="U420" s="211">
        <f>G420*(R416)</f>
        <v>5.0000000000000613E-2</v>
      </c>
      <c r="V420" s="211">
        <f>G420*(S416)</f>
        <v>5.0000000000000613E-2</v>
      </c>
      <c r="W420" s="211">
        <f>G420*(T416)</f>
        <v>5.0000000000000613E-2</v>
      </c>
      <c r="X420" s="211">
        <f>G420*(U416)</f>
        <v>5.0000000000000613E-2</v>
      </c>
      <c r="Y420" s="211">
        <f>G420*(V416)</f>
        <v>5.0000000000000613E-2</v>
      </c>
      <c r="Z420" s="211">
        <f>G420*(W416)</f>
        <v>5.0000000000000613E-2</v>
      </c>
      <c r="AA420" s="211">
        <f>G420*(X416)</f>
        <v>5.0000000000000613E-2</v>
      </c>
      <c r="AB420" s="211">
        <f>G420*(Y416)</f>
        <v>5.0000000000000613E-2</v>
      </c>
      <c r="AC420" s="211">
        <f>G420*(Z416)</f>
        <v>5.0000000000000613E-2</v>
      </c>
      <c r="AD420" s="211">
        <f>G420*(AA416)</f>
        <v>5.0000000000000613E-2</v>
      </c>
      <c r="AE420" s="211">
        <f>G420*(AB416)</f>
        <v>5.0000000000000613E-2</v>
      </c>
      <c r="AF420" s="211">
        <f>G420*(AC416)</f>
        <v>5.0000000000000613E-2</v>
      </c>
      <c r="AG420" s="211">
        <f>G420*(AD416)</f>
        <v>5.0000000000000613E-2</v>
      </c>
      <c r="AH420" s="211">
        <f>G420*(AE416)</f>
        <v>5.0000000000000613E-2</v>
      </c>
      <c r="AI420" s="211">
        <f>G420*(AF416)</f>
        <v>5.0000000000000613E-2</v>
      </c>
      <c r="AJ420" s="211">
        <f>G420*(AG416)</f>
        <v>5.0000000000000613E-2</v>
      </c>
      <c r="AK420" s="211">
        <f>G420*(AH416)</f>
        <v>5.0000000000000613E-2</v>
      </c>
      <c r="AL420" s="211">
        <f>G420*(AI416)</f>
        <v>5.0000000000000613E-2</v>
      </c>
      <c r="AM420" s="211">
        <f>G420*(AJ416)</f>
        <v>5.0000000000000613E-2</v>
      </c>
      <c r="AN420" s="211">
        <f>G420*(AK416)</f>
        <v>5.0000000000000613E-2</v>
      </c>
    </row>
    <row r="421" spans="2:40" s="7" customFormat="1" ht="12" hidden="1" customHeight="1" outlineLevel="2">
      <c r="B421" s="245"/>
      <c r="C421" s="213" t="s">
        <v>756</v>
      </c>
      <c r="D421" s="213"/>
      <c r="E421" s="213"/>
      <c r="F421" s="213"/>
      <c r="G421" s="213"/>
      <c r="H421" s="211">
        <f>INDEX($C$349:$AN$371,MATCH("New Customers 1MS",$C$349:$C$371,0),MATCH($C421,$C$349:$AN$349,0))</f>
        <v>2.000000000000012</v>
      </c>
      <c r="I421" s="211">
        <f>H421*(E416)</f>
        <v>8.0000000000000487E-2</v>
      </c>
      <c r="J421" s="211">
        <f>H421*(F416)</f>
        <v>8.0000000000000487E-2</v>
      </c>
      <c r="K421" s="211">
        <f>H421*(G416)</f>
        <v>8.0000000000000487E-2</v>
      </c>
      <c r="L421" s="211">
        <f>H421*(H416)</f>
        <v>8.0000000000000487E-2</v>
      </c>
      <c r="M421" s="211">
        <f>H421*(I416)</f>
        <v>6.0000000000000359E-2</v>
      </c>
      <c r="N421" s="211">
        <f>H421*(J416)</f>
        <v>6.0000000000000359E-2</v>
      </c>
      <c r="O421" s="211">
        <f>H421*(K416)</f>
        <v>6.0000000000000359E-2</v>
      </c>
      <c r="P421" s="211">
        <f>H421*(L416)</f>
        <v>6.0000000000000359E-2</v>
      </c>
      <c r="Q421" s="211">
        <f>H421*(M416)</f>
        <v>4.0000000000000244E-2</v>
      </c>
      <c r="R421" s="211">
        <f>H421*(N416)</f>
        <v>4.0000000000000244E-2</v>
      </c>
      <c r="S421" s="211">
        <f>H421*(O416)</f>
        <v>4.0000000000000244E-2</v>
      </c>
      <c r="T421" s="211">
        <f>H421*(P416)</f>
        <v>6.0000000000000359E-2</v>
      </c>
      <c r="U421" s="211">
        <f>H421*(Q416)</f>
        <v>6.0000000000000359E-2</v>
      </c>
      <c r="V421" s="211">
        <f>H421*(R416)</f>
        <v>2.0000000000000122E-2</v>
      </c>
      <c r="W421" s="211">
        <f>H421*(S416)</f>
        <v>2.0000000000000122E-2</v>
      </c>
      <c r="X421" s="211">
        <f>H421*(T416)</f>
        <v>2.0000000000000122E-2</v>
      </c>
      <c r="Y421" s="211">
        <f>H421*(U416)</f>
        <v>2.0000000000000122E-2</v>
      </c>
      <c r="Z421" s="211">
        <f>H421*(V416)</f>
        <v>2.0000000000000122E-2</v>
      </c>
      <c r="AA421" s="211">
        <f>H421*(W416)</f>
        <v>2.0000000000000122E-2</v>
      </c>
      <c r="AB421" s="211">
        <f>H421*(X416)</f>
        <v>2.0000000000000122E-2</v>
      </c>
      <c r="AC421" s="211">
        <f>H421*(Y416)</f>
        <v>2.0000000000000122E-2</v>
      </c>
      <c r="AD421" s="211">
        <f>H421*(Z416)</f>
        <v>2.0000000000000122E-2</v>
      </c>
      <c r="AE421" s="211">
        <f>H421*(AA416)</f>
        <v>2.0000000000000122E-2</v>
      </c>
      <c r="AF421" s="211">
        <f>H421*(AB416)</f>
        <v>2.0000000000000122E-2</v>
      </c>
      <c r="AG421" s="211">
        <f>H421*(AC416)</f>
        <v>2.0000000000000122E-2</v>
      </c>
      <c r="AH421" s="211">
        <f>H421*(AD416)</f>
        <v>2.0000000000000122E-2</v>
      </c>
      <c r="AI421" s="211">
        <f>H421*(AE416)</f>
        <v>2.0000000000000122E-2</v>
      </c>
      <c r="AJ421" s="211">
        <f>H421*(AF416)</f>
        <v>2.0000000000000122E-2</v>
      </c>
      <c r="AK421" s="211">
        <f>H421*(AG416)</f>
        <v>2.0000000000000122E-2</v>
      </c>
      <c r="AL421" s="211">
        <f>H421*(AH416)</f>
        <v>2.0000000000000122E-2</v>
      </c>
      <c r="AM421" s="211">
        <f>H421*(AI416)</f>
        <v>2.0000000000000122E-2</v>
      </c>
      <c r="AN421" s="211">
        <f>H421*(AJ416)</f>
        <v>2.0000000000000122E-2</v>
      </c>
    </row>
    <row r="422" spans="2:40" s="7" customFormat="1" ht="12" hidden="1" customHeight="1" outlineLevel="2">
      <c r="B422" s="245"/>
      <c r="C422" s="213" t="s">
        <v>757</v>
      </c>
      <c r="D422" s="213"/>
      <c r="E422" s="213"/>
      <c r="F422" s="213"/>
      <c r="G422" s="213"/>
      <c r="H422" s="213"/>
      <c r="I422" s="211">
        <f>INDEX($C$349:$AN$371,MATCH("New Customers 1MS",$C$349:$C$371,0),MATCH($C422,$C$349:$AN$349,0))</f>
        <v>1.0000000000000127</v>
      </c>
      <c r="J422" s="211">
        <f>I422*(E416)</f>
        <v>4.0000000000000507E-2</v>
      </c>
      <c r="K422" s="211">
        <f>I422*(F416)</f>
        <v>4.0000000000000507E-2</v>
      </c>
      <c r="L422" s="211">
        <f>I422*(G416)</f>
        <v>4.0000000000000507E-2</v>
      </c>
      <c r="M422" s="211">
        <f>I422*(H416)</f>
        <v>4.0000000000000507E-2</v>
      </c>
      <c r="N422" s="211">
        <f>I422*(I416)</f>
        <v>3.0000000000000377E-2</v>
      </c>
      <c r="O422" s="211">
        <f>I422*(J416)</f>
        <v>3.0000000000000377E-2</v>
      </c>
      <c r="P422" s="211">
        <f>I422*(K416)</f>
        <v>3.0000000000000377E-2</v>
      </c>
      <c r="Q422" s="211">
        <f>I422*(L416)</f>
        <v>3.0000000000000377E-2</v>
      </c>
      <c r="R422" s="211">
        <f>I422*(M416)</f>
        <v>2.0000000000000254E-2</v>
      </c>
      <c r="S422" s="211">
        <f>I422*(N416)</f>
        <v>2.0000000000000254E-2</v>
      </c>
      <c r="T422" s="211">
        <f>I422*(O416)</f>
        <v>2.0000000000000254E-2</v>
      </c>
      <c r="U422" s="211">
        <f>I422*(P416)</f>
        <v>3.0000000000000377E-2</v>
      </c>
      <c r="V422" s="211">
        <f>I422*(Q416)</f>
        <v>3.0000000000000377E-2</v>
      </c>
      <c r="W422" s="211">
        <f>I422*(R416)</f>
        <v>1.0000000000000127E-2</v>
      </c>
      <c r="X422" s="211">
        <f>I422*(S416)</f>
        <v>1.0000000000000127E-2</v>
      </c>
      <c r="Y422" s="211">
        <f>I422*(T416)</f>
        <v>1.0000000000000127E-2</v>
      </c>
      <c r="Z422" s="211">
        <f>I422*(U416)</f>
        <v>1.0000000000000127E-2</v>
      </c>
      <c r="AA422" s="211">
        <f>I422*(V416)</f>
        <v>1.0000000000000127E-2</v>
      </c>
      <c r="AB422" s="211">
        <f>I422*(W416)</f>
        <v>1.0000000000000127E-2</v>
      </c>
      <c r="AC422" s="211">
        <f>I422*(X416)</f>
        <v>1.0000000000000127E-2</v>
      </c>
      <c r="AD422" s="211">
        <f>I422*(Y416)</f>
        <v>1.0000000000000127E-2</v>
      </c>
      <c r="AE422" s="211">
        <f>I422*(Z416)</f>
        <v>1.0000000000000127E-2</v>
      </c>
      <c r="AF422" s="211">
        <f>I422*(AA416)</f>
        <v>1.0000000000000127E-2</v>
      </c>
      <c r="AG422" s="211">
        <f>I422*(AB416)</f>
        <v>1.0000000000000127E-2</v>
      </c>
      <c r="AH422" s="211">
        <f>I422*(AC416)</f>
        <v>1.0000000000000127E-2</v>
      </c>
      <c r="AI422" s="211">
        <f>I422*(AD416)</f>
        <v>1.0000000000000127E-2</v>
      </c>
      <c r="AJ422" s="211">
        <f>I422*(AE416)</f>
        <v>1.0000000000000127E-2</v>
      </c>
      <c r="AK422" s="211">
        <f>I422*(AF416)</f>
        <v>1.0000000000000127E-2</v>
      </c>
      <c r="AL422" s="211">
        <f>I422*(AG416)</f>
        <v>1.0000000000000127E-2</v>
      </c>
      <c r="AM422" s="211">
        <f>I422*(AH416)</f>
        <v>1.0000000000000127E-2</v>
      </c>
      <c r="AN422" s="211">
        <f>I422*(AI416)</f>
        <v>1.0000000000000127E-2</v>
      </c>
    </row>
    <row r="423" spans="2:40" s="7" customFormat="1" ht="12" hidden="1" customHeight="1" outlineLevel="2">
      <c r="B423" s="245"/>
      <c r="C423" s="213" t="s">
        <v>758</v>
      </c>
      <c r="D423" s="213"/>
      <c r="E423" s="213"/>
      <c r="F423" s="213"/>
      <c r="G423" s="213"/>
      <c r="H423" s="213"/>
      <c r="I423" s="213"/>
      <c r="J423" s="211">
        <f>INDEX($C$349:$AN$371,MATCH("New Customers 1MS",$C$349:$C$371,0),MATCH($C423,$C$349:$AN$349,0))</f>
        <v>8</v>
      </c>
      <c r="K423" s="211">
        <f>J423*(E416)</f>
        <v>0.32</v>
      </c>
      <c r="L423" s="211">
        <f>J423*(F416)</f>
        <v>0.32</v>
      </c>
      <c r="M423" s="211">
        <f>J423*(G416)</f>
        <v>0.32</v>
      </c>
      <c r="N423" s="211">
        <f>J423*(H416)</f>
        <v>0.32</v>
      </c>
      <c r="O423" s="211">
        <f>J423*(I416)</f>
        <v>0.24</v>
      </c>
      <c r="P423" s="211">
        <f>J423*(J416)</f>
        <v>0.24</v>
      </c>
      <c r="Q423" s="211">
        <f>J423*(K416)</f>
        <v>0.24</v>
      </c>
      <c r="R423" s="211">
        <f>J423*(L416)</f>
        <v>0.24</v>
      </c>
      <c r="S423" s="211">
        <f>J423*(M416)</f>
        <v>0.16</v>
      </c>
      <c r="T423" s="211">
        <f>J423*(N416)</f>
        <v>0.16</v>
      </c>
      <c r="U423" s="211">
        <f>J423*(O416)</f>
        <v>0.16</v>
      </c>
      <c r="V423" s="211">
        <f>J423*(P416)</f>
        <v>0.24</v>
      </c>
      <c r="W423" s="211">
        <f>J423*(Q416)</f>
        <v>0.24</v>
      </c>
      <c r="X423" s="211">
        <f>J423*(R416)</f>
        <v>0.08</v>
      </c>
      <c r="Y423" s="211">
        <f>J423*(S416)</f>
        <v>0.08</v>
      </c>
      <c r="Z423" s="211">
        <f>J423*(T416)</f>
        <v>0.08</v>
      </c>
      <c r="AA423" s="211">
        <f>J423*(U416)</f>
        <v>0.08</v>
      </c>
      <c r="AB423" s="211">
        <f>J423*(V416)</f>
        <v>0.08</v>
      </c>
      <c r="AC423" s="211">
        <f>J423*(W416)</f>
        <v>0.08</v>
      </c>
      <c r="AD423" s="211">
        <f>J423*(X416)</f>
        <v>0.08</v>
      </c>
      <c r="AE423" s="211">
        <f>J423*(Y416)</f>
        <v>0.08</v>
      </c>
      <c r="AF423" s="211">
        <f>J423*(Z416)</f>
        <v>0.08</v>
      </c>
      <c r="AG423" s="211">
        <f>J423*(AA416)</f>
        <v>0.08</v>
      </c>
      <c r="AH423" s="211">
        <f>J423*(AB416)</f>
        <v>0.08</v>
      </c>
      <c r="AI423" s="211">
        <f>J423*(AC416)</f>
        <v>0.08</v>
      </c>
      <c r="AJ423" s="211">
        <f>J423*(AD416)</f>
        <v>0.08</v>
      </c>
      <c r="AK423" s="211">
        <f>J423*(AE416)</f>
        <v>0.08</v>
      </c>
      <c r="AL423" s="211">
        <f>J423*(AF416)</f>
        <v>0.08</v>
      </c>
      <c r="AM423" s="211">
        <f>J423*(AG416)</f>
        <v>0.08</v>
      </c>
      <c r="AN423" s="211">
        <f>J423*(AH416)</f>
        <v>0.08</v>
      </c>
    </row>
    <row r="424" spans="2:40" s="7" customFormat="1" ht="12" hidden="1" customHeight="1" outlineLevel="2">
      <c r="B424" s="245"/>
      <c r="C424" s="213" t="s">
        <v>759</v>
      </c>
      <c r="D424" s="213"/>
      <c r="E424" s="213"/>
      <c r="F424" s="213"/>
      <c r="G424" s="213"/>
      <c r="H424" s="213"/>
      <c r="I424" s="213"/>
      <c r="J424" s="213"/>
      <c r="K424" s="211">
        <f>INDEX($C$349:$AN$371,MATCH("New Customers 1MS",$C$349:$C$371,0),MATCH($C424,$C$349:$AN$349,0))</f>
        <v>12.999999999999917</v>
      </c>
      <c r="L424" s="211">
        <f>K424*(E416)</f>
        <v>0.51999999999999669</v>
      </c>
      <c r="M424" s="211">
        <f>K424*(F416)</f>
        <v>0.51999999999999669</v>
      </c>
      <c r="N424" s="211">
        <f>K424*(G416)</f>
        <v>0.51999999999999669</v>
      </c>
      <c r="O424" s="211">
        <f>K424*(H416)</f>
        <v>0.51999999999999669</v>
      </c>
      <c r="P424" s="211">
        <f>K424*(I416)</f>
        <v>0.38999999999999746</v>
      </c>
      <c r="Q424" s="211">
        <f>K424*(J416)</f>
        <v>0.38999999999999746</v>
      </c>
      <c r="R424" s="211">
        <f>K424*(K416)</f>
        <v>0.38999999999999746</v>
      </c>
      <c r="S424" s="211">
        <f>K424*(L416)</f>
        <v>0.38999999999999746</v>
      </c>
      <c r="T424" s="211">
        <f>K424*(M416)</f>
        <v>0.25999999999999834</v>
      </c>
      <c r="U424" s="211">
        <f>K424*(N416)</f>
        <v>0.25999999999999834</v>
      </c>
      <c r="V424" s="211">
        <f>K424*(O416)</f>
        <v>0.25999999999999834</v>
      </c>
      <c r="W424" s="211">
        <f>K424*(P416)</f>
        <v>0.38999999999999746</v>
      </c>
      <c r="X424" s="211">
        <f>K424*(Q416)</f>
        <v>0.38999999999999746</v>
      </c>
      <c r="Y424" s="211">
        <f>K424*(R416)</f>
        <v>0.12999999999999917</v>
      </c>
      <c r="Z424" s="211">
        <f>K424*(S416)</f>
        <v>0.12999999999999917</v>
      </c>
      <c r="AA424" s="211">
        <f>K424*(T416)</f>
        <v>0.12999999999999917</v>
      </c>
      <c r="AB424" s="211">
        <f>K424*(U416)</f>
        <v>0.12999999999999917</v>
      </c>
      <c r="AC424" s="211">
        <f>K424*(V416)</f>
        <v>0.12999999999999917</v>
      </c>
      <c r="AD424" s="211">
        <f>K424*(W416)</f>
        <v>0.12999999999999917</v>
      </c>
      <c r="AE424" s="211">
        <f>K424*(X416)</f>
        <v>0.12999999999999917</v>
      </c>
      <c r="AF424" s="211">
        <f>K424*(Y416)</f>
        <v>0.12999999999999917</v>
      </c>
      <c r="AG424" s="211">
        <f>K424*(Z416)</f>
        <v>0.12999999999999917</v>
      </c>
      <c r="AH424" s="211">
        <f>K424*(AA416)</f>
        <v>0.12999999999999917</v>
      </c>
      <c r="AI424" s="211">
        <f>K424*(AB416)</f>
        <v>0.12999999999999917</v>
      </c>
      <c r="AJ424" s="211">
        <f>K424*(AC416)</f>
        <v>0.12999999999999917</v>
      </c>
      <c r="AK424" s="211">
        <f>K424*(AD416)</f>
        <v>0.12999999999999917</v>
      </c>
      <c r="AL424" s="211">
        <f>K424*(AE416)</f>
        <v>0.12999999999999917</v>
      </c>
      <c r="AM424" s="211">
        <f>K424*(AF416)</f>
        <v>0.12999999999999917</v>
      </c>
      <c r="AN424" s="211">
        <f>K424*(AG416)</f>
        <v>0.12999999999999917</v>
      </c>
    </row>
    <row r="425" spans="2:40" s="7" customFormat="1" ht="12" hidden="1" customHeight="1" outlineLevel="2">
      <c r="B425" s="245"/>
      <c r="C425" s="213" t="s">
        <v>760</v>
      </c>
      <c r="D425" s="213"/>
      <c r="E425" s="213"/>
      <c r="F425" s="213"/>
      <c r="G425" s="213"/>
      <c r="H425" s="213"/>
      <c r="I425" s="213"/>
      <c r="J425" s="213"/>
      <c r="K425" s="213"/>
      <c r="L425" s="211">
        <f>INDEX($C$349:$AN$371,MATCH("New Customers 1MS",$C$349:$C$371,0),MATCH($C425,$C$349:$AN$349,0))</f>
        <v>14.999999999999986</v>
      </c>
      <c r="M425" s="211">
        <f>L425*(E416)</f>
        <v>0.59999999999999942</v>
      </c>
      <c r="N425" s="211">
        <f>L425*(F416)</f>
        <v>0.59999999999999942</v>
      </c>
      <c r="O425" s="211">
        <f>L425*(G416)</f>
        <v>0.59999999999999942</v>
      </c>
      <c r="P425" s="211">
        <f>L425*(H416)</f>
        <v>0.59999999999999942</v>
      </c>
      <c r="Q425" s="211">
        <f>L425*(I416)</f>
        <v>0.44999999999999957</v>
      </c>
      <c r="R425" s="211">
        <f>L425*(J416)</f>
        <v>0.44999999999999957</v>
      </c>
      <c r="S425" s="211">
        <f>L425*(K416)</f>
        <v>0.44999999999999957</v>
      </c>
      <c r="T425" s="211">
        <f>L425*(L416)</f>
        <v>0.44999999999999957</v>
      </c>
      <c r="U425" s="211">
        <f>L425*(M416)</f>
        <v>0.29999999999999971</v>
      </c>
      <c r="V425" s="211">
        <f>L425*(N416)</f>
        <v>0.29999999999999971</v>
      </c>
      <c r="W425" s="211">
        <f>L425*(O416)</f>
        <v>0.29999999999999971</v>
      </c>
      <c r="X425" s="211">
        <f>L425*(P416)</f>
        <v>0.44999999999999957</v>
      </c>
      <c r="Y425" s="211">
        <f>L425*(Q416)</f>
        <v>0.44999999999999957</v>
      </c>
      <c r="Z425" s="211">
        <f>L425*(R416)</f>
        <v>0.14999999999999986</v>
      </c>
      <c r="AA425" s="211">
        <f>L425*(S416)</f>
        <v>0.14999999999999986</v>
      </c>
      <c r="AB425" s="211">
        <f>L425*(T416)</f>
        <v>0.14999999999999986</v>
      </c>
      <c r="AC425" s="211">
        <f>L425*(U416)</f>
        <v>0.14999999999999986</v>
      </c>
      <c r="AD425" s="211">
        <f>L425*(V416)</f>
        <v>0.14999999999999986</v>
      </c>
      <c r="AE425" s="211">
        <f>L425*(W416)</f>
        <v>0.14999999999999986</v>
      </c>
      <c r="AF425" s="211">
        <f>L425*(X416)</f>
        <v>0.14999999999999986</v>
      </c>
      <c r="AG425" s="211">
        <f>L425*(Y416)</f>
        <v>0.14999999999999986</v>
      </c>
      <c r="AH425" s="211">
        <f>L425*(Z416)</f>
        <v>0.14999999999999986</v>
      </c>
      <c r="AI425" s="211">
        <f>L425*(AA416)</f>
        <v>0.14999999999999986</v>
      </c>
      <c r="AJ425" s="211">
        <f>L425*(AB416)</f>
        <v>0.14999999999999986</v>
      </c>
      <c r="AK425" s="211">
        <f>L425*(AC416)</f>
        <v>0.14999999999999986</v>
      </c>
      <c r="AL425" s="211">
        <f>L425*(AD416)</f>
        <v>0.14999999999999986</v>
      </c>
      <c r="AM425" s="211">
        <f>L425*(AE416)</f>
        <v>0.14999999999999986</v>
      </c>
      <c r="AN425" s="211">
        <f>L425*(AF416)</f>
        <v>0.14999999999999986</v>
      </c>
    </row>
    <row r="426" spans="2:40" s="7" customFormat="1" ht="12" hidden="1" customHeight="1" outlineLevel="2">
      <c r="B426" s="245"/>
      <c r="C426" s="213" t="s">
        <v>761</v>
      </c>
      <c r="D426" s="213"/>
      <c r="E426" s="213"/>
      <c r="F426" s="213"/>
      <c r="G426" s="213"/>
      <c r="H426" s="213"/>
      <c r="I426" s="213"/>
      <c r="J426" s="213"/>
      <c r="K426" s="213"/>
      <c r="L426" s="213"/>
      <c r="M426" s="211">
        <f>INDEX($C$349:$AN$371,MATCH("New Customers 1MS",$C$349:$C$371,0),MATCH($C426,$C$349:$AN$349,0))</f>
        <v>555.88235294117658</v>
      </c>
      <c r="N426" s="211">
        <f>M426*(E416)</f>
        <v>22.235294117647065</v>
      </c>
      <c r="O426" s="211">
        <f>M426*(F416)</f>
        <v>22.235294117647065</v>
      </c>
      <c r="P426" s="211">
        <f>M426*(G416)</f>
        <v>22.235294117647065</v>
      </c>
      <c r="Q426" s="211">
        <f>M426*(H416)</f>
        <v>22.235294117647065</v>
      </c>
      <c r="R426" s="211">
        <f>M426*(I416)</f>
        <v>16.676470588235297</v>
      </c>
      <c r="S426" s="211">
        <f>M426*(J416)</f>
        <v>16.676470588235297</v>
      </c>
      <c r="T426" s="211">
        <f>M426*(K416)</f>
        <v>16.676470588235297</v>
      </c>
      <c r="U426" s="211">
        <f>M426*(L416)</f>
        <v>16.676470588235297</v>
      </c>
      <c r="V426" s="211">
        <f>M426*(M416)</f>
        <v>11.117647058823533</v>
      </c>
      <c r="W426" s="211">
        <f>M426*(N416)</f>
        <v>11.117647058823533</v>
      </c>
      <c r="X426" s="211">
        <f>M426*(O416)</f>
        <v>11.117647058823533</v>
      </c>
      <c r="Y426" s="211">
        <f>M426*(P416)</f>
        <v>16.676470588235297</v>
      </c>
      <c r="Z426" s="211">
        <f>M426*(Q416)</f>
        <v>16.676470588235297</v>
      </c>
      <c r="AA426" s="211">
        <f>M426*(R416)</f>
        <v>5.5588235294117663</v>
      </c>
      <c r="AB426" s="211">
        <f>M426*(S416)</f>
        <v>5.5588235294117663</v>
      </c>
      <c r="AC426" s="211">
        <f>M426*(T416)</f>
        <v>5.5588235294117663</v>
      </c>
      <c r="AD426" s="211">
        <f>M426*(U416)</f>
        <v>5.5588235294117663</v>
      </c>
      <c r="AE426" s="211">
        <f>M426*(V416)</f>
        <v>5.5588235294117663</v>
      </c>
      <c r="AF426" s="211">
        <f>M426*(W416)</f>
        <v>5.5588235294117663</v>
      </c>
      <c r="AG426" s="211">
        <f>M426*(X416)</f>
        <v>5.5588235294117663</v>
      </c>
      <c r="AH426" s="211">
        <f>M426*(Y416)</f>
        <v>5.5588235294117663</v>
      </c>
      <c r="AI426" s="211">
        <f>M426*(Z416)</f>
        <v>5.5588235294117663</v>
      </c>
      <c r="AJ426" s="211">
        <f>M426*(AA416)</f>
        <v>5.5588235294117663</v>
      </c>
      <c r="AK426" s="211">
        <f>M426*(AB416)</f>
        <v>5.5588235294117663</v>
      </c>
      <c r="AL426" s="211">
        <f>M426*(AC416)</f>
        <v>5.5588235294117663</v>
      </c>
      <c r="AM426" s="211">
        <f>M426*(AD416)</f>
        <v>5.5588235294117663</v>
      </c>
      <c r="AN426" s="211">
        <f>M426*(AE416)</f>
        <v>5.5588235294117663</v>
      </c>
    </row>
    <row r="427" spans="2:40" s="7" customFormat="1" ht="12" hidden="1" customHeight="1" outlineLevel="2">
      <c r="B427" s="245"/>
      <c r="C427" s="213" t="s">
        <v>762</v>
      </c>
      <c r="D427" s="213"/>
      <c r="E427" s="213"/>
      <c r="F427" s="213"/>
      <c r="G427" s="213"/>
      <c r="H427" s="213"/>
      <c r="I427" s="213"/>
      <c r="J427" s="213"/>
      <c r="K427" s="213"/>
      <c r="L427" s="213"/>
      <c r="M427" s="213"/>
      <c r="N427" s="211">
        <f>INDEX($C$349:$AN$371,MATCH("New Customers 1MS",$C$349:$C$371,0),MATCH($C427,$C$349:$AN$349,0))</f>
        <v>555.88235294117658</v>
      </c>
      <c r="O427" s="211">
        <f>N427*(E416)</f>
        <v>22.235294117647065</v>
      </c>
      <c r="P427" s="211">
        <f>N427*(F416)</f>
        <v>22.235294117647065</v>
      </c>
      <c r="Q427" s="211">
        <f>N427*(G416)</f>
        <v>22.235294117647065</v>
      </c>
      <c r="R427" s="211">
        <f>N427*(H416)</f>
        <v>22.235294117647065</v>
      </c>
      <c r="S427" s="211">
        <f>N427*(I416)</f>
        <v>16.676470588235297</v>
      </c>
      <c r="T427" s="211">
        <f>N427*(J416)</f>
        <v>16.676470588235297</v>
      </c>
      <c r="U427" s="211">
        <f>N427*(K416)</f>
        <v>16.676470588235297</v>
      </c>
      <c r="V427" s="211">
        <f>N427*(L416)</f>
        <v>16.676470588235297</v>
      </c>
      <c r="W427" s="211">
        <f>N427*(M416)</f>
        <v>11.117647058823533</v>
      </c>
      <c r="X427" s="211">
        <f>N427*(N416)</f>
        <v>11.117647058823533</v>
      </c>
      <c r="Y427" s="211">
        <f>N427*(O416)</f>
        <v>11.117647058823533</v>
      </c>
      <c r="Z427" s="211">
        <f>N427*(P416)</f>
        <v>16.676470588235297</v>
      </c>
      <c r="AA427" s="211">
        <f>N427*(Q416)</f>
        <v>16.676470588235297</v>
      </c>
      <c r="AB427" s="211">
        <f>N427*(R416)</f>
        <v>5.5588235294117663</v>
      </c>
      <c r="AC427" s="211">
        <f>N427*(S416)</f>
        <v>5.5588235294117663</v>
      </c>
      <c r="AD427" s="211">
        <f>N427*(T416)</f>
        <v>5.5588235294117663</v>
      </c>
      <c r="AE427" s="211">
        <f>N427*(U416)</f>
        <v>5.5588235294117663</v>
      </c>
      <c r="AF427" s="211">
        <f>N427*(V416)</f>
        <v>5.5588235294117663</v>
      </c>
      <c r="AG427" s="211">
        <f>N427*(W416)</f>
        <v>5.5588235294117663</v>
      </c>
      <c r="AH427" s="211">
        <f>N427*(X416)</f>
        <v>5.5588235294117663</v>
      </c>
      <c r="AI427" s="211">
        <f>N427*(Y416)</f>
        <v>5.5588235294117663</v>
      </c>
      <c r="AJ427" s="211">
        <f>N427*(Z416)</f>
        <v>5.5588235294117663</v>
      </c>
      <c r="AK427" s="211">
        <f>N427*(AA416)</f>
        <v>5.5588235294117663</v>
      </c>
      <c r="AL427" s="211">
        <f>N427*(AB416)</f>
        <v>5.5588235294117663</v>
      </c>
      <c r="AM427" s="211">
        <f>N427*(AC416)</f>
        <v>5.5588235294117663</v>
      </c>
      <c r="AN427" s="211">
        <f>N427*(AD416)</f>
        <v>5.5588235294117663</v>
      </c>
    </row>
    <row r="428" spans="2:40" s="7" customFormat="1" ht="12" hidden="1" customHeight="1" outlineLevel="2">
      <c r="B428" s="245"/>
      <c r="C428" s="213" t="s">
        <v>763</v>
      </c>
      <c r="D428" s="213"/>
      <c r="E428" s="213"/>
      <c r="F428" s="213"/>
      <c r="G428" s="213"/>
      <c r="H428" s="213"/>
      <c r="I428" s="213"/>
      <c r="J428" s="213"/>
      <c r="K428" s="213"/>
      <c r="L428" s="213"/>
      <c r="M428" s="213"/>
      <c r="N428" s="213"/>
      <c r="O428" s="211">
        <f>INDEX($C$349:$AN$371,MATCH("New Customers 1MS",$C$349:$C$371,0),MATCH($C428,$C$349:$AN$349,0))</f>
        <v>162.00000000000003</v>
      </c>
      <c r="P428" s="211">
        <f>O428*(E416)</f>
        <v>6.4800000000000013</v>
      </c>
      <c r="Q428" s="211">
        <f>O428*(F416)</f>
        <v>6.4800000000000013</v>
      </c>
      <c r="R428" s="211">
        <f>O428*(G416)</f>
        <v>6.4800000000000013</v>
      </c>
      <c r="S428" s="211">
        <f>O428*(H416)</f>
        <v>6.4800000000000013</v>
      </c>
      <c r="T428" s="211">
        <f>O428*(I416)</f>
        <v>4.8600000000000003</v>
      </c>
      <c r="U428" s="211">
        <f>O428*(J416)</f>
        <v>4.8600000000000003</v>
      </c>
      <c r="V428" s="211">
        <f>O428*(K416)</f>
        <v>4.8600000000000003</v>
      </c>
      <c r="W428" s="211">
        <f>O428*(L416)</f>
        <v>4.8600000000000003</v>
      </c>
      <c r="X428" s="211">
        <f>O428*(M416)</f>
        <v>3.2400000000000007</v>
      </c>
      <c r="Y428" s="211">
        <f>O428*(N416)</f>
        <v>3.2400000000000007</v>
      </c>
      <c r="Z428" s="211">
        <f>O428*(O416)</f>
        <v>3.2400000000000007</v>
      </c>
      <c r="AA428" s="211">
        <f>O428*(P416)</f>
        <v>4.8600000000000003</v>
      </c>
      <c r="AB428" s="211">
        <f>O428*(Q416)</f>
        <v>4.8600000000000003</v>
      </c>
      <c r="AC428" s="211">
        <f>O428*(R416)</f>
        <v>1.6200000000000003</v>
      </c>
      <c r="AD428" s="211">
        <f>O428*(S416)</f>
        <v>1.6200000000000003</v>
      </c>
      <c r="AE428" s="211">
        <f>O428*(T416)</f>
        <v>1.6200000000000003</v>
      </c>
      <c r="AF428" s="211">
        <f>O428*(U416)</f>
        <v>1.6200000000000003</v>
      </c>
      <c r="AG428" s="211">
        <f>O428*(V416)</f>
        <v>1.6200000000000003</v>
      </c>
      <c r="AH428" s="211">
        <f>O428*(W416)</f>
        <v>1.6200000000000003</v>
      </c>
      <c r="AI428" s="211">
        <f>O428*(X416)</f>
        <v>1.6200000000000003</v>
      </c>
      <c r="AJ428" s="211">
        <f>O428*(Y416)</f>
        <v>1.6200000000000003</v>
      </c>
      <c r="AK428" s="211">
        <f>O428*(Z416)</f>
        <v>1.6200000000000003</v>
      </c>
      <c r="AL428" s="211">
        <f>O428*(AA416)</f>
        <v>1.6200000000000003</v>
      </c>
      <c r="AM428" s="211">
        <f>O428*(AB416)</f>
        <v>1.6200000000000003</v>
      </c>
      <c r="AN428" s="211">
        <f>O428*(AC416)</f>
        <v>1.6200000000000003</v>
      </c>
    </row>
    <row r="429" spans="2:40" s="7" customFormat="1" ht="12" hidden="1" customHeight="1" outlineLevel="2">
      <c r="B429" s="245"/>
      <c r="C429" s="213" t="s">
        <v>764</v>
      </c>
      <c r="D429" s="213"/>
      <c r="E429" s="213"/>
      <c r="F429" s="213"/>
      <c r="G429" s="213"/>
      <c r="H429" s="213"/>
      <c r="I429" s="213"/>
      <c r="J429" s="213"/>
      <c r="K429" s="213"/>
      <c r="L429" s="213"/>
      <c r="M429" s="213"/>
      <c r="N429" s="213"/>
      <c r="O429" s="213"/>
      <c r="P429" s="211">
        <f>INDEX($C$349:$AN$371,MATCH("New Customers 1MS",$C$349:$C$371,0),MATCH($C429,$C$349:$AN$349,0))</f>
        <v>162.00000000000003</v>
      </c>
      <c r="Q429" s="211">
        <f>P429*(E416)</f>
        <v>6.4800000000000013</v>
      </c>
      <c r="R429" s="211">
        <f>P429*(F416)</f>
        <v>6.4800000000000013</v>
      </c>
      <c r="S429" s="211">
        <f>P429*(G416)</f>
        <v>6.4800000000000013</v>
      </c>
      <c r="T429" s="211">
        <f>P429*(H416)</f>
        <v>6.4800000000000013</v>
      </c>
      <c r="U429" s="211">
        <f>P429*(I416)</f>
        <v>4.8600000000000003</v>
      </c>
      <c r="V429" s="211">
        <f>P429*(J416)</f>
        <v>4.8600000000000003</v>
      </c>
      <c r="W429" s="211">
        <f>P429*(K416)</f>
        <v>4.8600000000000003</v>
      </c>
      <c r="X429" s="211">
        <f>P429*(L416)</f>
        <v>4.8600000000000003</v>
      </c>
      <c r="Y429" s="211">
        <f>P429*(M416)</f>
        <v>3.2400000000000007</v>
      </c>
      <c r="Z429" s="211">
        <f>P429*(N416)</f>
        <v>3.2400000000000007</v>
      </c>
      <c r="AA429" s="211">
        <f>P429*(O416)</f>
        <v>3.2400000000000007</v>
      </c>
      <c r="AB429" s="211">
        <f>P429*(P416)</f>
        <v>4.8600000000000003</v>
      </c>
      <c r="AC429" s="211">
        <f>P429*(Q416)</f>
        <v>4.8600000000000003</v>
      </c>
      <c r="AD429" s="211">
        <f>P429*(R416)</f>
        <v>1.6200000000000003</v>
      </c>
      <c r="AE429" s="211">
        <f>P429*(S416)</f>
        <v>1.6200000000000003</v>
      </c>
      <c r="AF429" s="211">
        <f>P429*(T416)</f>
        <v>1.6200000000000003</v>
      </c>
      <c r="AG429" s="211">
        <f>P429*(U416)</f>
        <v>1.6200000000000003</v>
      </c>
      <c r="AH429" s="211">
        <f>P429*(V416)</f>
        <v>1.6200000000000003</v>
      </c>
      <c r="AI429" s="211">
        <f>P429*(W416)</f>
        <v>1.6200000000000003</v>
      </c>
      <c r="AJ429" s="211">
        <f>P429*(X416)</f>
        <v>1.6200000000000003</v>
      </c>
      <c r="AK429" s="211">
        <f>P429*(Y416)</f>
        <v>1.6200000000000003</v>
      </c>
      <c r="AL429" s="211">
        <f>P429*(Z416)</f>
        <v>1.6200000000000003</v>
      </c>
      <c r="AM429" s="211">
        <f>P429*(AA416)</f>
        <v>1.6200000000000003</v>
      </c>
      <c r="AN429" s="211">
        <f>P429*(AB416)</f>
        <v>1.6200000000000003</v>
      </c>
    </row>
    <row r="430" spans="2:40" s="7" customFormat="1" ht="12" hidden="1" customHeight="1" outlineLevel="2">
      <c r="B430" s="245"/>
      <c r="C430" s="213" t="s">
        <v>765</v>
      </c>
      <c r="D430" s="213"/>
      <c r="E430" s="213"/>
      <c r="F430" s="213"/>
      <c r="G430" s="213"/>
      <c r="H430" s="213"/>
      <c r="I430" s="213"/>
      <c r="J430" s="213"/>
      <c r="K430" s="213"/>
      <c r="L430" s="213"/>
      <c r="M430" s="213"/>
      <c r="N430" s="213"/>
      <c r="O430" s="213"/>
      <c r="P430" s="213"/>
      <c r="Q430" s="211">
        <f>INDEX($C$349:$AN$371,MATCH("New Customers 1MS",$C$349:$C$371,0),MATCH($C430,$C$349:$AN$349,0))</f>
        <v>166.52304000000004</v>
      </c>
      <c r="R430" s="211">
        <f>Q430*(E416)</f>
        <v>6.6609216000000018</v>
      </c>
      <c r="S430" s="211">
        <f>Q430*(F416)</f>
        <v>6.6609216000000018</v>
      </c>
      <c r="T430" s="211">
        <f>Q430*(G416)</f>
        <v>6.6609216000000018</v>
      </c>
      <c r="U430" s="211">
        <f>Q430*(H416)</f>
        <v>6.6609216000000018</v>
      </c>
      <c r="V430" s="211">
        <f>Q430*(I416)</f>
        <v>4.9956912000000013</v>
      </c>
      <c r="W430" s="211">
        <f>Q430*(J416)</f>
        <v>4.9956912000000013</v>
      </c>
      <c r="X430" s="211">
        <f>Q430*(K416)</f>
        <v>4.9956912000000013</v>
      </c>
      <c r="Y430" s="211">
        <f>Q430*(L416)</f>
        <v>4.9956912000000013</v>
      </c>
      <c r="Z430" s="211">
        <f>Q430*(M416)</f>
        <v>3.3304608000000009</v>
      </c>
      <c r="AA430" s="211">
        <f>Q430*(N416)</f>
        <v>3.3304608000000009</v>
      </c>
      <c r="AB430" s="211">
        <f>Q430*(O416)</f>
        <v>3.3304608000000009</v>
      </c>
      <c r="AC430" s="211">
        <f>Q430*(P416)</f>
        <v>4.9956912000000013</v>
      </c>
      <c r="AD430" s="211">
        <f>Q430*(Q416)</f>
        <v>4.9956912000000013</v>
      </c>
      <c r="AE430" s="211">
        <f>Q430*(R416)</f>
        <v>1.6652304000000004</v>
      </c>
      <c r="AF430" s="211">
        <f>Q430*(S416)</f>
        <v>1.6652304000000004</v>
      </c>
      <c r="AG430" s="211">
        <f>Q430*(T416)</f>
        <v>1.6652304000000004</v>
      </c>
      <c r="AH430" s="211">
        <f>Q430*(U416)</f>
        <v>1.6652304000000004</v>
      </c>
      <c r="AI430" s="211">
        <f>Q430*(V416)</f>
        <v>1.6652304000000004</v>
      </c>
      <c r="AJ430" s="211">
        <f>Q430*(W416)</f>
        <v>1.6652304000000004</v>
      </c>
      <c r="AK430" s="211">
        <f>Q430*(X416)</f>
        <v>1.6652304000000004</v>
      </c>
      <c r="AL430" s="211">
        <f>Q430*(Y416)</f>
        <v>1.6652304000000004</v>
      </c>
      <c r="AM430" s="211">
        <f>Q430*(Z416)</f>
        <v>1.6652304000000004</v>
      </c>
      <c r="AN430" s="211">
        <f>Q430*(AA416)</f>
        <v>1.6652304000000004</v>
      </c>
    </row>
    <row r="431" spans="2:40" s="7" customFormat="1" ht="12" hidden="1" customHeight="1" outlineLevel="2">
      <c r="B431" s="245"/>
      <c r="C431" s="213" t="s">
        <v>766</v>
      </c>
      <c r="D431" s="213"/>
      <c r="E431" s="213"/>
      <c r="F431" s="213"/>
      <c r="G431" s="213"/>
      <c r="H431" s="213"/>
      <c r="I431" s="213"/>
      <c r="J431" s="213"/>
      <c r="K431" s="213"/>
      <c r="L431" s="213"/>
      <c r="M431" s="213"/>
      <c r="N431" s="213"/>
      <c r="O431" s="213"/>
      <c r="P431" s="213"/>
      <c r="Q431" s="213"/>
      <c r="R431" s="211">
        <f>INDEX($C$349:$AN$371,MATCH("New Customers 1MS",$C$349:$C$371,0),MATCH($C431,$C$349:$AN$349,0))</f>
        <v>333.35064000000011</v>
      </c>
      <c r="S431" s="211">
        <f>R431*(E416)</f>
        <v>13.334025600000004</v>
      </c>
      <c r="T431" s="211">
        <f>R431*(F416)</f>
        <v>13.334025600000004</v>
      </c>
      <c r="U431" s="211">
        <f>R431*(G416)</f>
        <v>13.334025600000004</v>
      </c>
      <c r="V431" s="211">
        <f>R431*(H416)</f>
        <v>13.334025600000004</v>
      </c>
      <c r="W431" s="211">
        <f>R431*(I416)</f>
        <v>10.000519200000003</v>
      </c>
      <c r="X431" s="211">
        <f>R431*(J416)</f>
        <v>10.000519200000003</v>
      </c>
      <c r="Y431" s="211">
        <f>R431*(K416)</f>
        <v>10.000519200000003</v>
      </c>
      <c r="Z431" s="211">
        <f>R431*(L416)</f>
        <v>10.000519200000003</v>
      </c>
      <c r="AA431" s="211">
        <f>R431*(M416)</f>
        <v>6.667012800000002</v>
      </c>
      <c r="AB431" s="211">
        <f>R431*(N416)</f>
        <v>6.667012800000002</v>
      </c>
      <c r="AC431" s="211">
        <f>R431*(O416)</f>
        <v>6.667012800000002</v>
      </c>
      <c r="AD431" s="211">
        <f>R431*(P416)</f>
        <v>10.000519200000003</v>
      </c>
      <c r="AE431" s="211">
        <f>R431*(Q416)</f>
        <v>10.000519200000003</v>
      </c>
      <c r="AF431" s="211">
        <f>R431*(R416)</f>
        <v>3.333506400000001</v>
      </c>
      <c r="AG431" s="211">
        <f>R431*(S416)</f>
        <v>3.333506400000001</v>
      </c>
      <c r="AH431" s="211">
        <f>R431*(T416)</f>
        <v>3.333506400000001</v>
      </c>
      <c r="AI431" s="211">
        <f>R431*(U416)</f>
        <v>3.333506400000001</v>
      </c>
      <c r="AJ431" s="211">
        <f>R431*(V416)</f>
        <v>3.333506400000001</v>
      </c>
      <c r="AK431" s="211">
        <f>R431*(W416)</f>
        <v>3.333506400000001</v>
      </c>
      <c r="AL431" s="211">
        <f>R431*(X416)</f>
        <v>3.333506400000001</v>
      </c>
      <c r="AM431" s="211">
        <f>R431*(Y416)</f>
        <v>3.333506400000001</v>
      </c>
      <c r="AN431" s="211">
        <f>R431*(Z416)</f>
        <v>3.333506400000001</v>
      </c>
    </row>
    <row r="432" spans="2:40" s="7" customFormat="1" ht="12" hidden="1" customHeight="1" outlineLevel="2">
      <c r="B432" s="245"/>
      <c r="C432" s="213" t="s">
        <v>767</v>
      </c>
      <c r="D432" s="213"/>
      <c r="E432" s="213"/>
      <c r="F432" s="213"/>
      <c r="G432" s="213"/>
      <c r="H432" s="213"/>
      <c r="I432" s="213"/>
      <c r="J432" s="213"/>
      <c r="K432" s="213"/>
      <c r="L432" s="213"/>
      <c r="M432" s="213"/>
      <c r="N432" s="213"/>
      <c r="O432" s="213"/>
      <c r="P432" s="213"/>
      <c r="Q432" s="213"/>
      <c r="R432" s="213"/>
      <c r="S432" s="211">
        <f>INDEX($C$349:$AN$371,MATCH("New Customers 1MS",$C$349:$C$371,0),MATCH($C432,$C$349:$AN$349,0))</f>
        <v>305.40240000000006</v>
      </c>
      <c r="T432" s="211">
        <f>S432*(E416)</f>
        <v>12.216096000000002</v>
      </c>
      <c r="U432" s="211">
        <f>S432*(F416)</f>
        <v>12.216096000000002</v>
      </c>
      <c r="V432" s="211">
        <f>S432*(G416)</f>
        <v>12.216096000000002</v>
      </c>
      <c r="W432" s="211">
        <f>S432*(H416)</f>
        <v>12.216096000000002</v>
      </c>
      <c r="X432" s="211">
        <f>S432*(I416)</f>
        <v>9.162072000000002</v>
      </c>
      <c r="Y432" s="211">
        <f>S432*(J416)</f>
        <v>9.162072000000002</v>
      </c>
      <c r="Z432" s="211">
        <f>S432*(K416)</f>
        <v>9.162072000000002</v>
      </c>
      <c r="AA432" s="211">
        <f>S432*(L416)</f>
        <v>9.162072000000002</v>
      </c>
      <c r="AB432" s="211">
        <f>S432*(M416)</f>
        <v>6.108048000000001</v>
      </c>
      <c r="AC432" s="211">
        <f>S432*(N416)</f>
        <v>6.108048000000001</v>
      </c>
      <c r="AD432" s="211">
        <f>S432*(O416)</f>
        <v>6.108048000000001</v>
      </c>
      <c r="AE432" s="211">
        <f>S432*(P416)</f>
        <v>9.162072000000002</v>
      </c>
      <c r="AF432" s="211">
        <f>S432*(Q416)</f>
        <v>9.162072000000002</v>
      </c>
      <c r="AG432" s="211">
        <f>S432*(R416)</f>
        <v>3.0540240000000005</v>
      </c>
      <c r="AH432" s="211">
        <f>S432*(S416)</f>
        <v>3.0540240000000005</v>
      </c>
      <c r="AI432" s="211">
        <f>S432*(T416)</f>
        <v>3.0540240000000005</v>
      </c>
      <c r="AJ432" s="211">
        <f>S432*(U416)</f>
        <v>3.0540240000000005</v>
      </c>
      <c r="AK432" s="211">
        <f>S432*(V416)</f>
        <v>3.0540240000000005</v>
      </c>
      <c r="AL432" s="211">
        <f>S432*(W416)</f>
        <v>3.0540240000000005</v>
      </c>
      <c r="AM432" s="211">
        <f>S432*(X416)</f>
        <v>3.0540240000000005</v>
      </c>
      <c r="AN432" s="211">
        <f>S432*(Y416)</f>
        <v>3.0540240000000005</v>
      </c>
    </row>
    <row r="433" spans="2:40" s="7" customFormat="1" ht="12" hidden="1" customHeight="1" outlineLevel="2">
      <c r="B433" s="245"/>
      <c r="C433" s="213" t="s">
        <v>768</v>
      </c>
      <c r="D433" s="213"/>
      <c r="E433" s="213"/>
      <c r="F433" s="213"/>
      <c r="G433" s="213"/>
      <c r="H433" s="213"/>
      <c r="I433" s="213"/>
      <c r="J433" s="213"/>
      <c r="K433" s="213"/>
      <c r="L433" s="213"/>
      <c r="M433" s="213"/>
      <c r="N433" s="213"/>
      <c r="O433" s="213"/>
      <c r="P433" s="213"/>
      <c r="Q433" s="213"/>
      <c r="R433" s="213"/>
      <c r="S433" s="213"/>
      <c r="T433" s="211">
        <f>INDEX($C$349:$AN$371,MATCH("New Customers 1MS",$C$349:$C$371,0),MATCH($C433,$C$349:$AN$349,0))</f>
        <v>224.63460000000001</v>
      </c>
      <c r="U433" s="211">
        <f>T433*(E416)</f>
        <v>8.9853839999999998</v>
      </c>
      <c r="V433" s="211">
        <f>T433*(F416)</f>
        <v>8.9853839999999998</v>
      </c>
      <c r="W433" s="211">
        <f>T433*(G416)</f>
        <v>8.9853839999999998</v>
      </c>
      <c r="X433" s="211">
        <f>T433*(H416)</f>
        <v>8.9853839999999998</v>
      </c>
      <c r="Y433" s="211">
        <f>T433*(I416)</f>
        <v>6.7390379999999999</v>
      </c>
      <c r="Z433" s="211">
        <f>T433*(J416)</f>
        <v>6.7390379999999999</v>
      </c>
      <c r="AA433" s="211">
        <f>T433*(K416)</f>
        <v>6.7390379999999999</v>
      </c>
      <c r="AB433" s="211">
        <f>T433*(L416)</f>
        <v>6.7390379999999999</v>
      </c>
      <c r="AC433" s="211">
        <f>T433*(M416)</f>
        <v>4.4926919999999999</v>
      </c>
      <c r="AD433" s="211">
        <f>T433*(N416)</f>
        <v>4.4926919999999999</v>
      </c>
      <c r="AE433" s="211">
        <f>T433*(O416)</f>
        <v>4.4926919999999999</v>
      </c>
      <c r="AF433" s="211">
        <f>T433*(P416)</f>
        <v>6.7390379999999999</v>
      </c>
      <c r="AG433" s="211">
        <f>T433*(Q416)</f>
        <v>6.7390379999999999</v>
      </c>
      <c r="AH433" s="211">
        <f>T433*(R416)</f>
        <v>2.246346</v>
      </c>
      <c r="AI433" s="211">
        <f>T433*(S416)</f>
        <v>2.246346</v>
      </c>
      <c r="AJ433" s="211">
        <f>T433*(T416)</f>
        <v>2.246346</v>
      </c>
      <c r="AK433" s="211">
        <f>T433*(U416)</f>
        <v>2.246346</v>
      </c>
      <c r="AL433" s="211">
        <f>T433*(V416)</f>
        <v>2.246346</v>
      </c>
      <c r="AM433" s="211">
        <f>T433*(W416)</f>
        <v>2.246346</v>
      </c>
      <c r="AN433" s="211">
        <f>T433*(X416)</f>
        <v>2.246346</v>
      </c>
    </row>
    <row r="434" spans="2:40" s="7" customFormat="1" ht="12" hidden="1" customHeight="1" outlineLevel="2">
      <c r="B434" s="245"/>
      <c r="C434" s="213" t="s">
        <v>769</v>
      </c>
      <c r="D434" s="213"/>
      <c r="E434" s="213"/>
      <c r="F434" s="213"/>
      <c r="G434" s="213"/>
      <c r="H434" s="213"/>
      <c r="I434" s="213"/>
      <c r="J434" s="213"/>
      <c r="K434" s="213"/>
      <c r="L434" s="213"/>
      <c r="M434" s="213"/>
      <c r="N434" s="213"/>
      <c r="O434" s="213"/>
      <c r="P434" s="213"/>
      <c r="Q434" s="213"/>
      <c r="R434" s="213"/>
      <c r="S434" s="213"/>
      <c r="T434" s="213"/>
      <c r="U434" s="211">
        <f>INDEX($C$349:$AN$371,MATCH("New Customers 1MS",$C$349:$C$371,0),MATCH($C434,$C$349:$AN$349,0))</f>
        <v>228.19320000000008</v>
      </c>
      <c r="V434" s="211">
        <f>U434*(E416)</f>
        <v>9.127728000000003</v>
      </c>
      <c r="W434" s="211">
        <f>U434*(F416)</f>
        <v>9.127728000000003</v>
      </c>
      <c r="X434" s="211">
        <f>U434*(G416)</f>
        <v>9.127728000000003</v>
      </c>
      <c r="Y434" s="211">
        <f>U434*(H416)</f>
        <v>9.127728000000003</v>
      </c>
      <c r="Z434" s="211">
        <f>U434*(I416)</f>
        <v>6.8457960000000018</v>
      </c>
      <c r="AA434" s="211">
        <f>U434*(J416)</f>
        <v>6.8457960000000018</v>
      </c>
      <c r="AB434" s="211">
        <f>U434*(K416)</f>
        <v>6.8457960000000018</v>
      </c>
      <c r="AC434" s="211">
        <f>U434*(L416)</f>
        <v>6.8457960000000018</v>
      </c>
      <c r="AD434" s="211">
        <f>U434*(M416)</f>
        <v>4.5638640000000015</v>
      </c>
      <c r="AE434" s="211">
        <f>U434*(N416)</f>
        <v>4.5638640000000015</v>
      </c>
      <c r="AF434" s="211">
        <f>U434*(O416)</f>
        <v>4.5638640000000015</v>
      </c>
      <c r="AG434" s="211">
        <f>U434*(P416)</f>
        <v>6.8457960000000018</v>
      </c>
      <c r="AH434" s="211">
        <f>U434*(Q416)</f>
        <v>6.8457960000000018</v>
      </c>
      <c r="AI434" s="211">
        <f>U434*(R416)</f>
        <v>2.2819320000000007</v>
      </c>
      <c r="AJ434" s="211">
        <f>U434*(S416)</f>
        <v>2.2819320000000007</v>
      </c>
      <c r="AK434" s="211">
        <f>U434*(T416)</f>
        <v>2.2819320000000007</v>
      </c>
      <c r="AL434" s="211">
        <f>U434*(U416)</f>
        <v>2.2819320000000007</v>
      </c>
      <c r="AM434" s="211">
        <f>U434*(V416)</f>
        <v>2.2819320000000007</v>
      </c>
      <c r="AN434" s="211">
        <f>U434*(W416)</f>
        <v>2.2819320000000007</v>
      </c>
    </row>
    <row r="435" spans="2:40" s="7" customFormat="1" ht="12" hidden="1" customHeight="1" outlineLevel="2">
      <c r="B435" s="245"/>
      <c r="C435" s="213" t="s">
        <v>770</v>
      </c>
      <c r="D435" s="213"/>
      <c r="E435" s="213"/>
      <c r="F435" s="213"/>
      <c r="G435" s="213"/>
      <c r="H435" s="213"/>
      <c r="I435" s="213"/>
      <c r="J435" s="213"/>
      <c r="K435" s="213"/>
      <c r="L435" s="213"/>
      <c r="M435" s="213"/>
      <c r="N435" s="213"/>
      <c r="O435" s="213"/>
      <c r="P435" s="213"/>
      <c r="Q435" s="213"/>
      <c r="R435" s="213"/>
      <c r="S435" s="213"/>
      <c r="T435" s="213"/>
      <c r="U435" s="213"/>
      <c r="V435" s="211">
        <f>INDEX($C$349:$AN$371,MATCH("New Customers 1MS",$C$349:$C$371,0),MATCH($C435,$C$349:$AN$349,0))</f>
        <v>293.95440000000008</v>
      </c>
      <c r="W435" s="211">
        <f>V435*(E416)</f>
        <v>11.758176000000004</v>
      </c>
      <c r="X435" s="211">
        <f>V435*(F416)</f>
        <v>11.758176000000004</v>
      </c>
      <c r="Y435" s="211">
        <f>V435*(G416)</f>
        <v>11.758176000000004</v>
      </c>
      <c r="Z435" s="211">
        <f>V435*(H416)</f>
        <v>11.758176000000004</v>
      </c>
      <c r="AA435" s="211">
        <f>V435*(I416)</f>
        <v>8.8186320000000027</v>
      </c>
      <c r="AB435" s="211">
        <f>V435*(J416)</f>
        <v>8.8186320000000027</v>
      </c>
      <c r="AC435" s="211">
        <f>V435*(K416)</f>
        <v>8.8186320000000027</v>
      </c>
      <c r="AD435" s="211">
        <f>V435*(L416)</f>
        <v>8.8186320000000027</v>
      </c>
      <c r="AE435" s="211">
        <f>V435*(M416)</f>
        <v>5.8790880000000021</v>
      </c>
      <c r="AF435" s="211">
        <f>V435*(N416)</f>
        <v>5.8790880000000021</v>
      </c>
      <c r="AG435" s="211">
        <f>V435*(O416)</f>
        <v>5.8790880000000021</v>
      </c>
      <c r="AH435" s="211">
        <f>V435*(P416)</f>
        <v>8.8186320000000027</v>
      </c>
      <c r="AI435" s="211">
        <f>V435*(Q416)</f>
        <v>8.8186320000000027</v>
      </c>
      <c r="AJ435" s="211">
        <f>V435*(R416)</f>
        <v>2.939544000000001</v>
      </c>
      <c r="AK435" s="211">
        <f>V435*(S416)</f>
        <v>2.939544000000001</v>
      </c>
      <c r="AL435" s="211">
        <f>V435*(T416)</f>
        <v>2.939544000000001</v>
      </c>
      <c r="AM435" s="211">
        <f>V435*(U416)</f>
        <v>2.939544000000001</v>
      </c>
      <c r="AN435" s="211">
        <f>V435*(V416)</f>
        <v>2.939544000000001</v>
      </c>
    </row>
    <row r="436" spans="2:40" s="7" customFormat="1" ht="12" hidden="1" customHeight="1" outlineLevel="2">
      <c r="B436" s="245"/>
      <c r="C436" s="213" t="s">
        <v>771</v>
      </c>
      <c r="D436" s="213"/>
      <c r="E436" s="213"/>
      <c r="F436" s="213"/>
      <c r="G436" s="213"/>
      <c r="H436" s="213"/>
      <c r="I436" s="213"/>
      <c r="J436" s="213"/>
      <c r="K436" s="213"/>
      <c r="L436" s="213"/>
      <c r="M436" s="213"/>
      <c r="N436" s="213"/>
      <c r="O436" s="213"/>
      <c r="P436" s="213"/>
      <c r="Q436" s="213"/>
      <c r="R436" s="213"/>
      <c r="S436" s="213"/>
      <c r="T436" s="213"/>
      <c r="U436" s="213"/>
      <c r="V436" s="213"/>
      <c r="W436" s="211">
        <f>INDEX($C$349:$AN$371,MATCH("New Customers 1MS",$C$349:$C$371,0),MATCH($C436,$C$349:$AN$349,0))</f>
        <v>239.29344</v>
      </c>
      <c r="X436" s="211">
        <f>W436*(E416)</f>
        <v>9.5717376000000005</v>
      </c>
      <c r="Y436" s="211">
        <f>W436*(F416)</f>
        <v>9.5717376000000005</v>
      </c>
      <c r="Z436" s="211">
        <f>W436*(G416)</f>
        <v>9.5717376000000005</v>
      </c>
      <c r="AA436" s="211">
        <f>W436*(H416)</f>
        <v>9.5717376000000005</v>
      </c>
      <c r="AB436" s="211">
        <f>W436*(I416)</f>
        <v>7.1788031999999999</v>
      </c>
      <c r="AC436" s="211">
        <f>W436*(J416)</f>
        <v>7.1788031999999999</v>
      </c>
      <c r="AD436" s="211">
        <f>W436*(K416)</f>
        <v>7.1788031999999999</v>
      </c>
      <c r="AE436" s="211">
        <f>W436*(L416)</f>
        <v>7.1788031999999999</v>
      </c>
      <c r="AF436" s="211">
        <f>W436*(M416)</f>
        <v>4.7858688000000003</v>
      </c>
      <c r="AG436" s="211">
        <f>W436*(N416)</f>
        <v>4.7858688000000003</v>
      </c>
      <c r="AH436" s="211">
        <f>W436*(O416)</f>
        <v>4.7858688000000003</v>
      </c>
      <c r="AI436" s="211">
        <f>W436*(P416)</f>
        <v>7.1788031999999999</v>
      </c>
      <c r="AJ436" s="211">
        <f>W436*(Q416)</f>
        <v>7.1788031999999999</v>
      </c>
      <c r="AK436" s="211">
        <f>W436*(R416)</f>
        <v>2.3929344000000001</v>
      </c>
      <c r="AL436" s="211">
        <f>W436*(S416)</f>
        <v>2.3929344000000001</v>
      </c>
      <c r="AM436" s="211">
        <f>W436*(T416)</f>
        <v>2.3929344000000001</v>
      </c>
      <c r="AN436" s="211">
        <f>W436*(U416)</f>
        <v>2.3929344000000001</v>
      </c>
    </row>
    <row r="437" spans="2:40" s="7" customFormat="1" ht="12" hidden="1" customHeight="1" outlineLevel="2">
      <c r="B437" s="245"/>
      <c r="C437" s="213" t="s">
        <v>772</v>
      </c>
      <c r="D437" s="213"/>
      <c r="E437" s="213"/>
      <c r="F437" s="213"/>
      <c r="G437" s="213"/>
      <c r="H437" s="213"/>
      <c r="I437" s="213"/>
      <c r="J437" s="213"/>
      <c r="K437" s="213"/>
      <c r="L437" s="213"/>
      <c r="M437" s="213"/>
      <c r="N437" s="213"/>
      <c r="O437" s="213"/>
      <c r="P437" s="213"/>
      <c r="Q437" s="213"/>
      <c r="R437" s="213"/>
      <c r="S437" s="213"/>
      <c r="T437" s="213"/>
      <c r="U437" s="213"/>
      <c r="V437" s="213"/>
      <c r="W437" s="213"/>
      <c r="X437" s="211">
        <f>INDEX($C$349:$AN$371,MATCH("New Customers 1MS",$C$349:$C$371,0),MATCH($C437,$C$349:$AN$349,0))</f>
        <v>205.76808000000003</v>
      </c>
      <c r="Y437" s="211">
        <f>X437*(E416)</f>
        <v>8.2307232000000017</v>
      </c>
      <c r="Z437" s="211">
        <f>X437*(F416)</f>
        <v>8.2307232000000017</v>
      </c>
      <c r="AA437" s="211">
        <f>X437*(G416)</f>
        <v>8.2307232000000017</v>
      </c>
      <c r="AB437" s="211">
        <f>X437*(H416)</f>
        <v>8.2307232000000017</v>
      </c>
      <c r="AC437" s="211">
        <f>X437*(I416)</f>
        <v>6.1730424000000008</v>
      </c>
      <c r="AD437" s="211">
        <f>X437*(J416)</f>
        <v>6.1730424000000008</v>
      </c>
      <c r="AE437" s="211">
        <f>X437*(K416)</f>
        <v>6.1730424000000008</v>
      </c>
      <c r="AF437" s="211">
        <f>X437*(L416)</f>
        <v>6.1730424000000008</v>
      </c>
      <c r="AG437" s="211">
        <f>X437*(M416)</f>
        <v>4.1153616000000008</v>
      </c>
      <c r="AH437" s="211">
        <f>X437*(N416)</f>
        <v>4.1153616000000008</v>
      </c>
      <c r="AI437" s="211">
        <f>X437*(O416)</f>
        <v>4.1153616000000008</v>
      </c>
      <c r="AJ437" s="211">
        <f>X437*(P416)</f>
        <v>6.1730424000000008</v>
      </c>
      <c r="AK437" s="211">
        <f>X437*(Q416)</f>
        <v>6.1730424000000008</v>
      </c>
      <c r="AL437" s="211">
        <f>X437*(R416)</f>
        <v>2.0576808000000004</v>
      </c>
      <c r="AM437" s="211">
        <f>X437*(S416)</f>
        <v>2.0576808000000004</v>
      </c>
      <c r="AN437" s="211">
        <f>X437*(T416)</f>
        <v>2.0576808000000004</v>
      </c>
    </row>
    <row r="438" spans="2:40" s="7" customFormat="1" ht="12" hidden="1" customHeight="1" outlineLevel="2">
      <c r="B438" s="245"/>
      <c r="C438" s="213" t="s">
        <v>773</v>
      </c>
      <c r="D438" s="213"/>
      <c r="E438" s="213"/>
      <c r="F438" s="213"/>
      <c r="G438" s="213"/>
      <c r="H438" s="213"/>
      <c r="I438" s="213"/>
      <c r="J438" s="213"/>
      <c r="K438" s="213"/>
      <c r="L438" s="213"/>
      <c r="M438" s="213"/>
      <c r="N438" s="213"/>
      <c r="O438" s="213"/>
      <c r="P438" s="213"/>
      <c r="Q438" s="213"/>
      <c r="R438" s="213"/>
      <c r="S438" s="213"/>
      <c r="T438" s="213"/>
      <c r="U438" s="213"/>
      <c r="V438" s="213"/>
      <c r="W438" s="213"/>
      <c r="X438" s="213"/>
      <c r="Y438" s="211">
        <f>INDEX($C$349:$AN$371,MATCH("New Customers 1MS",$C$349:$C$371,0),MATCH($C438,$C$349:$AN$349,0))</f>
        <v>453.60000000000008</v>
      </c>
      <c r="Z438" s="211">
        <f>Y438*(E416)</f>
        <v>18.144000000000002</v>
      </c>
      <c r="AA438" s="211">
        <f>Y438*(F416)</f>
        <v>18.144000000000002</v>
      </c>
      <c r="AB438" s="211">
        <f>Y438*(G416)</f>
        <v>18.144000000000002</v>
      </c>
      <c r="AC438" s="211">
        <f>Y438*(H416)</f>
        <v>18.144000000000002</v>
      </c>
      <c r="AD438" s="211">
        <f>Y438*(I416)</f>
        <v>13.608000000000002</v>
      </c>
      <c r="AE438" s="211">
        <f>Y438*(J416)</f>
        <v>13.608000000000002</v>
      </c>
      <c r="AF438" s="211">
        <f>Y438*(K416)</f>
        <v>13.608000000000002</v>
      </c>
      <c r="AG438" s="211">
        <f>Y438*(L416)</f>
        <v>13.608000000000002</v>
      </c>
      <c r="AH438" s="211">
        <f>Y438*(M416)</f>
        <v>9.072000000000001</v>
      </c>
      <c r="AI438" s="211">
        <f>Y438*(N416)</f>
        <v>9.072000000000001</v>
      </c>
      <c r="AJ438" s="211">
        <f>Y438*(O416)</f>
        <v>9.072000000000001</v>
      </c>
      <c r="AK438" s="211">
        <f>Y438*(P416)</f>
        <v>13.608000000000002</v>
      </c>
      <c r="AL438" s="211">
        <f>Y438*(Q416)</f>
        <v>13.608000000000002</v>
      </c>
      <c r="AM438" s="211">
        <f>Y438*(R416)</f>
        <v>4.5360000000000005</v>
      </c>
      <c r="AN438" s="211">
        <f>Y438*(S416)</f>
        <v>4.5360000000000005</v>
      </c>
    </row>
    <row r="439" spans="2:40" s="7" customFormat="1" ht="12" hidden="1" customHeight="1" outlineLevel="2">
      <c r="B439" s="245"/>
      <c r="C439" s="213" t="s">
        <v>774</v>
      </c>
      <c r="D439" s="213"/>
      <c r="E439" s="213"/>
      <c r="F439" s="213"/>
      <c r="G439" s="213"/>
      <c r="H439" s="213"/>
      <c r="I439" s="213"/>
      <c r="J439" s="213"/>
      <c r="K439" s="213"/>
      <c r="L439" s="213"/>
      <c r="M439" s="213"/>
      <c r="N439" s="213"/>
      <c r="O439" s="213"/>
      <c r="P439" s="213"/>
      <c r="Q439" s="213"/>
      <c r="R439" s="213"/>
      <c r="S439" s="213"/>
      <c r="T439" s="213"/>
      <c r="U439" s="213"/>
      <c r="V439" s="213"/>
      <c r="W439" s="213"/>
      <c r="X439" s="213"/>
      <c r="Y439" s="213"/>
      <c r="Z439" s="211">
        <f>INDEX($C$349:$AN$371,MATCH("New Customers 1MS",$C$349:$C$371,0),MATCH($C439,$C$349:$AN$349,0))</f>
        <v>378.00000000000006</v>
      </c>
      <c r="AA439" s="211">
        <f>Z439*(E416)</f>
        <v>15.120000000000003</v>
      </c>
      <c r="AB439" s="211">
        <f>Z439*(F416)</f>
        <v>15.120000000000003</v>
      </c>
      <c r="AC439" s="211">
        <f>Z439*(G416)</f>
        <v>15.120000000000003</v>
      </c>
      <c r="AD439" s="211">
        <f>Z439*(H416)</f>
        <v>15.120000000000003</v>
      </c>
      <c r="AE439" s="211">
        <f>Z439*(I416)</f>
        <v>11.340000000000002</v>
      </c>
      <c r="AF439" s="211">
        <f>Z439*(J416)</f>
        <v>11.340000000000002</v>
      </c>
      <c r="AG439" s="211">
        <f>Z439*(K416)</f>
        <v>11.340000000000002</v>
      </c>
      <c r="AH439" s="211">
        <f>Z439*(L416)</f>
        <v>11.340000000000002</v>
      </c>
      <c r="AI439" s="211">
        <f>Z439*(M416)</f>
        <v>7.5600000000000014</v>
      </c>
      <c r="AJ439" s="211">
        <f>Z439*(N416)</f>
        <v>7.5600000000000014</v>
      </c>
      <c r="AK439" s="211">
        <f>Z439*(O416)</f>
        <v>7.5600000000000014</v>
      </c>
      <c r="AL439" s="211">
        <f>Z439*(P416)</f>
        <v>11.340000000000002</v>
      </c>
      <c r="AM439" s="211">
        <f>Z439*(Q416)</f>
        <v>11.340000000000002</v>
      </c>
      <c r="AN439" s="211">
        <f>Z439*(R416)</f>
        <v>3.7800000000000007</v>
      </c>
    </row>
    <row r="440" spans="2:40" s="7" customFormat="1" ht="12" hidden="1" customHeight="1" outlineLevel="2">
      <c r="B440" s="245"/>
      <c r="C440" s="213" t="s">
        <v>775</v>
      </c>
      <c r="D440" s="213"/>
      <c r="E440" s="213"/>
      <c r="F440" s="213"/>
      <c r="G440" s="213"/>
      <c r="H440" s="213"/>
      <c r="I440" s="213"/>
      <c r="J440" s="213"/>
      <c r="K440" s="213"/>
      <c r="L440" s="213"/>
      <c r="M440" s="213"/>
      <c r="N440" s="213"/>
      <c r="O440" s="213"/>
      <c r="P440" s="213"/>
      <c r="Q440" s="213"/>
      <c r="R440" s="213"/>
      <c r="S440" s="213"/>
      <c r="T440" s="213"/>
      <c r="U440" s="213"/>
      <c r="V440" s="213"/>
      <c r="W440" s="213"/>
      <c r="X440" s="213"/>
      <c r="Y440" s="213"/>
      <c r="Z440" s="213"/>
      <c r="AA440" s="211">
        <f>INDEX($C$349:$AN$371,MATCH("New Customers 1MS",$C$349:$C$371,0),MATCH($C440,$C$349:$AN$349,0))</f>
        <v>178.20000000000002</v>
      </c>
      <c r="AB440" s="211">
        <f>AA440*(E416)</f>
        <v>7.128000000000001</v>
      </c>
      <c r="AC440" s="211">
        <f>AA440*(F416)</f>
        <v>7.128000000000001</v>
      </c>
      <c r="AD440" s="211">
        <f>AA440*(G416)</f>
        <v>7.128000000000001</v>
      </c>
      <c r="AE440" s="211">
        <f>AA440*(H416)</f>
        <v>7.128000000000001</v>
      </c>
      <c r="AF440" s="211">
        <f>AA440*(I416)</f>
        <v>5.3460000000000001</v>
      </c>
      <c r="AG440" s="211">
        <f>AA440*(J416)</f>
        <v>5.3460000000000001</v>
      </c>
      <c r="AH440" s="211">
        <f>AA440*(K416)</f>
        <v>5.3460000000000001</v>
      </c>
      <c r="AI440" s="211">
        <f>AA440*(L416)</f>
        <v>5.3460000000000001</v>
      </c>
      <c r="AJ440" s="211">
        <f>AA440*(M416)</f>
        <v>3.5640000000000005</v>
      </c>
      <c r="AK440" s="211">
        <f>AA440*(N416)</f>
        <v>3.5640000000000005</v>
      </c>
      <c r="AL440" s="211">
        <f>AA440*(O416)</f>
        <v>3.5640000000000005</v>
      </c>
      <c r="AM440" s="211">
        <f>AA440*(P416)</f>
        <v>5.3460000000000001</v>
      </c>
      <c r="AN440" s="211">
        <f>AA440*(Q416)</f>
        <v>5.3460000000000001</v>
      </c>
    </row>
    <row r="441" spans="2:40" s="7" customFormat="1" ht="12" hidden="1" customHeight="1" outlineLevel="2">
      <c r="B441" s="245"/>
      <c r="C441" s="213" t="s">
        <v>776</v>
      </c>
      <c r="D441" s="213"/>
      <c r="E441" s="213"/>
      <c r="F441" s="213"/>
      <c r="G441" s="213"/>
      <c r="H441" s="213"/>
      <c r="I441" s="213"/>
      <c r="J441" s="213"/>
      <c r="K441" s="213"/>
      <c r="L441" s="213"/>
      <c r="M441" s="213"/>
      <c r="N441" s="213"/>
      <c r="O441" s="213"/>
      <c r="P441" s="213"/>
      <c r="Q441" s="213"/>
      <c r="R441" s="213"/>
      <c r="S441" s="213"/>
      <c r="T441" s="213"/>
      <c r="U441" s="213"/>
      <c r="V441" s="213"/>
      <c r="W441" s="213"/>
      <c r="X441" s="213"/>
      <c r="Y441" s="213"/>
      <c r="Z441" s="213"/>
      <c r="AA441" s="213"/>
      <c r="AB441" s="211">
        <f>INDEX($C$349:$AN$371,MATCH("New Customers 1MS",$C$349:$C$371,0),MATCH($C441,$C$349:$AN$349,0))</f>
        <v>210.60000000000002</v>
      </c>
      <c r="AC441" s="211">
        <f>AB441*(E416)</f>
        <v>8.4240000000000013</v>
      </c>
      <c r="AD441" s="211">
        <f>AB441*(F416)</f>
        <v>8.4240000000000013</v>
      </c>
      <c r="AE441" s="211">
        <f>AB441*(G416)</f>
        <v>8.4240000000000013</v>
      </c>
      <c r="AF441" s="211">
        <f>AB441*(H416)</f>
        <v>8.4240000000000013</v>
      </c>
      <c r="AG441" s="211">
        <f>AB441*(I416)</f>
        <v>6.3180000000000005</v>
      </c>
      <c r="AH441" s="211">
        <f>AB441*(J416)</f>
        <v>6.3180000000000005</v>
      </c>
      <c r="AI441" s="211">
        <f>AB441*(K416)</f>
        <v>6.3180000000000005</v>
      </c>
      <c r="AJ441" s="211">
        <f>AB441*(L416)</f>
        <v>6.3180000000000005</v>
      </c>
      <c r="AK441" s="211">
        <f>AB441*(M416)</f>
        <v>4.2120000000000006</v>
      </c>
      <c r="AL441" s="211">
        <f>AB441*(N416)</f>
        <v>4.2120000000000006</v>
      </c>
      <c r="AM441" s="211">
        <f>AB441*(O416)</f>
        <v>4.2120000000000006</v>
      </c>
      <c r="AN441" s="211">
        <f>AB441*(P416)</f>
        <v>6.3180000000000005</v>
      </c>
    </row>
    <row r="442" spans="2:40" s="7" customFormat="1" ht="12" hidden="1" customHeight="1" outlineLevel="2">
      <c r="B442" s="245"/>
      <c r="C442" s="213" t="s">
        <v>777</v>
      </c>
      <c r="D442" s="213"/>
      <c r="E442" s="213"/>
      <c r="F442" s="213"/>
      <c r="G442" s="213"/>
      <c r="H442" s="213"/>
      <c r="I442" s="213"/>
      <c r="J442" s="213"/>
      <c r="K442" s="213"/>
      <c r="L442" s="213"/>
      <c r="M442" s="213"/>
      <c r="N442" s="213"/>
      <c r="O442" s="213"/>
      <c r="P442" s="213"/>
      <c r="Q442" s="213"/>
      <c r="R442" s="213"/>
      <c r="S442" s="213"/>
      <c r="T442" s="213"/>
      <c r="U442" s="213"/>
      <c r="V442" s="213"/>
      <c r="W442" s="213"/>
      <c r="X442" s="213"/>
      <c r="Y442" s="213"/>
      <c r="Z442" s="213"/>
      <c r="AA442" s="213"/>
      <c r="AB442" s="211"/>
      <c r="AC442" s="211">
        <f>INDEX($C$349:$AN$371,MATCH("New Customers 1MS",$C$349:$C$371,0),MATCH($C442,$C$349:$AN$349,0))</f>
        <v>199.82764800000004</v>
      </c>
      <c r="AD442" s="211">
        <f>AC442*(E416)</f>
        <v>7.9931059200000014</v>
      </c>
      <c r="AE442" s="211">
        <f>AC442*($F$70)</f>
        <v>0</v>
      </c>
      <c r="AF442" s="211">
        <f>AC442*($G$70)</f>
        <v>0</v>
      </c>
      <c r="AG442" s="211">
        <f>AC442*($H$70)</f>
        <v>0</v>
      </c>
      <c r="AH442" s="211">
        <f>AC442*($I$70)</f>
        <v>0</v>
      </c>
      <c r="AI442" s="211">
        <f>AC442*($J$70)</f>
        <v>0</v>
      </c>
      <c r="AJ442" s="211">
        <f>AC442*($K$70)</f>
        <v>0</v>
      </c>
      <c r="AK442" s="211">
        <f>AC442*($L$70)</f>
        <v>0</v>
      </c>
      <c r="AL442" s="211">
        <f>AC442*($M$70)</f>
        <v>0</v>
      </c>
      <c r="AM442" s="211">
        <f>AC442*($N$70)</f>
        <v>0</v>
      </c>
      <c r="AN442" s="211">
        <f>AC442*(O416)</f>
        <v>3.9965529600000007</v>
      </c>
    </row>
    <row r="443" spans="2:40" s="7" customFormat="1" ht="12" hidden="1" customHeight="1" outlineLevel="2">
      <c r="B443" s="245"/>
      <c r="C443" s="213" t="s">
        <v>778</v>
      </c>
      <c r="D443" s="213"/>
      <c r="E443" s="213"/>
      <c r="F443" s="213"/>
      <c r="G443" s="213"/>
      <c r="H443" s="213"/>
      <c r="I443" s="213"/>
      <c r="J443" s="213"/>
      <c r="K443" s="213"/>
      <c r="L443" s="213"/>
      <c r="M443" s="213"/>
      <c r="N443" s="213"/>
      <c r="O443" s="213"/>
      <c r="P443" s="213"/>
      <c r="Q443" s="213"/>
      <c r="R443" s="213"/>
      <c r="S443" s="213"/>
      <c r="T443" s="213"/>
      <c r="U443" s="213"/>
      <c r="V443" s="213"/>
      <c r="W443" s="213"/>
      <c r="X443" s="213"/>
      <c r="Y443" s="213"/>
      <c r="Z443" s="213"/>
      <c r="AA443" s="213"/>
      <c r="AB443" s="211"/>
      <c r="AC443" s="211"/>
      <c r="AD443" s="211">
        <f>INDEX($C$349:$AN$371,MATCH("New Customers 1MS",$C$349:$C$371,0),MATCH($C443,$C$349:$AN$349,0))</f>
        <v>466.69089600000001</v>
      </c>
      <c r="AE443" s="211">
        <f>AD443*(E416)</f>
        <v>18.667635839999999</v>
      </c>
      <c r="AF443" s="211">
        <f>AD443*($F$70)</f>
        <v>0</v>
      </c>
      <c r="AG443" s="211">
        <f>AD443*($G$70)</f>
        <v>0</v>
      </c>
      <c r="AH443" s="211">
        <f>AD443*($H$70)</f>
        <v>0</v>
      </c>
      <c r="AI443" s="211">
        <f>AD443*($I$70)</f>
        <v>0</v>
      </c>
      <c r="AJ443" s="211">
        <f>AD443*($J$70)</f>
        <v>0</v>
      </c>
      <c r="AK443" s="211">
        <f>AD443*($K$70)</f>
        <v>0</v>
      </c>
      <c r="AL443" s="211">
        <f>AD443*($L$70)</f>
        <v>0</v>
      </c>
      <c r="AM443" s="211">
        <f>AD443*($M$70)</f>
        <v>0</v>
      </c>
      <c r="AN443" s="211">
        <f>AD443*($N$70)</f>
        <v>0</v>
      </c>
    </row>
    <row r="444" spans="2:40" s="7" customFormat="1" ht="12" hidden="1" customHeight="1" outlineLevel="2">
      <c r="B444" s="245"/>
      <c r="C444" s="213" t="s">
        <v>779</v>
      </c>
      <c r="D444" s="213"/>
      <c r="E444" s="213"/>
      <c r="F444" s="213"/>
      <c r="G444" s="213"/>
      <c r="H444" s="213"/>
      <c r="I444" s="213"/>
      <c r="J444" s="213"/>
      <c r="K444" s="213"/>
      <c r="L444" s="213"/>
      <c r="M444" s="213"/>
      <c r="N444" s="213"/>
      <c r="O444" s="213"/>
      <c r="P444" s="213"/>
      <c r="Q444" s="213"/>
      <c r="R444" s="213"/>
      <c r="S444" s="213"/>
      <c r="T444" s="213"/>
      <c r="U444" s="213"/>
      <c r="V444" s="213"/>
      <c r="W444" s="213"/>
      <c r="X444" s="213"/>
      <c r="Y444" s="213"/>
      <c r="Z444" s="213"/>
      <c r="AA444" s="213"/>
      <c r="AB444" s="211"/>
      <c r="AC444" s="211"/>
      <c r="AD444" s="211"/>
      <c r="AE444" s="211">
        <f>INDEX($C$349:$AN$371,MATCH("New Customers 1MS",$C$349:$C$371,0),MATCH($C444,$C$349:$AN$349,0))</f>
        <v>305.40240000000006</v>
      </c>
      <c r="AF444" s="211">
        <f>AE444*(E416)</f>
        <v>12.216096000000002</v>
      </c>
      <c r="AG444" s="211">
        <f>AE444*($F$70)</f>
        <v>0</v>
      </c>
      <c r="AH444" s="211">
        <f>AE444*($G$70)</f>
        <v>0</v>
      </c>
      <c r="AI444" s="211">
        <f>AE444*($H$70)</f>
        <v>0</v>
      </c>
      <c r="AJ444" s="211">
        <f>AE444*($I$70)</f>
        <v>0</v>
      </c>
      <c r="AK444" s="211">
        <f>AE444*($J$70)</f>
        <v>0</v>
      </c>
      <c r="AL444" s="211">
        <f>AE444*($K$70)</f>
        <v>0</v>
      </c>
      <c r="AM444" s="211">
        <f>AE444*($L$70)</f>
        <v>0</v>
      </c>
      <c r="AN444" s="211">
        <f>AE444*($M$70)</f>
        <v>0</v>
      </c>
    </row>
    <row r="445" spans="2:40" s="7" customFormat="1" ht="12" hidden="1" customHeight="1" outlineLevel="2">
      <c r="B445" s="245"/>
      <c r="C445" s="213" t="s">
        <v>780</v>
      </c>
      <c r="D445" s="213"/>
      <c r="E445" s="213"/>
      <c r="F445" s="213"/>
      <c r="G445" s="213"/>
      <c r="H445" s="213"/>
      <c r="I445" s="213"/>
      <c r="J445" s="213"/>
      <c r="K445" s="213"/>
      <c r="L445" s="213"/>
      <c r="M445" s="213"/>
      <c r="N445" s="213"/>
      <c r="O445" s="213"/>
      <c r="P445" s="213"/>
      <c r="Q445" s="213"/>
      <c r="R445" s="213"/>
      <c r="S445" s="213"/>
      <c r="T445" s="213"/>
      <c r="U445" s="213"/>
      <c r="V445" s="213"/>
      <c r="W445" s="213"/>
      <c r="X445" s="213"/>
      <c r="Y445" s="213"/>
      <c r="Z445" s="213"/>
      <c r="AA445" s="213"/>
      <c r="AB445" s="211"/>
      <c r="AC445" s="211"/>
      <c r="AD445" s="211"/>
      <c r="AE445" s="211"/>
      <c r="AF445" s="211">
        <f>INDEX($C$349:$AN$371,MATCH("New Customers 1MS",$C$349:$C$371,0),MATCH($C445,$C$349:$AN$349,0))</f>
        <v>292.02498000000003</v>
      </c>
      <c r="AG445" s="211">
        <f>AF445*(E416)</f>
        <v>11.6809992</v>
      </c>
      <c r="AH445" s="211">
        <f>AF445*($F$70)</f>
        <v>0</v>
      </c>
      <c r="AI445" s="211">
        <f>AF445*($G$70)</f>
        <v>0</v>
      </c>
      <c r="AJ445" s="211">
        <f>AF445*($H$70)</f>
        <v>0</v>
      </c>
      <c r="AK445" s="211">
        <f>AF445*($I$70)</f>
        <v>0</v>
      </c>
      <c r="AL445" s="211">
        <f>AF445*($J$70)</f>
        <v>0</v>
      </c>
      <c r="AM445" s="211">
        <f>AF445*($K$70)</f>
        <v>0</v>
      </c>
      <c r="AN445" s="211">
        <f>AF445*($L$70)</f>
        <v>0</v>
      </c>
    </row>
    <row r="446" spans="2:40" s="7" customFormat="1" ht="12" hidden="1" customHeight="1" outlineLevel="2">
      <c r="B446" s="245"/>
      <c r="C446" s="213" t="s">
        <v>781</v>
      </c>
      <c r="D446" s="213"/>
      <c r="E446" s="213"/>
      <c r="F446" s="213"/>
      <c r="G446" s="213"/>
      <c r="H446" s="213"/>
      <c r="I446" s="213"/>
      <c r="J446" s="213"/>
      <c r="K446" s="213"/>
      <c r="L446" s="213"/>
      <c r="M446" s="213"/>
      <c r="N446" s="213"/>
      <c r="O446" s="213"/>
      <c r="P446" s="213"/>
      <c r="Q446" s="213"/>
      <c r="R446" s="213"/>
      <c r="S446" s="213"/>
      <c r="T446" s="213"/>
      <c r="U446" s="213"/>
      <c r="V446" s="213"/>
      <c r="W446" s="213"/>
      <c r="X446" s="213"/>
      <c r="Y446" s="213"/>
      <c r="Z446" s="213"/>
      <c r="AA446" s="213"/>
      <c r="AB446" s="211"/>
      <c r="AC446" s="211"/>
      <c r="AD446" s="211"/>
      <c r="AE446" s="211"/>
      <c r="AF446" s="211"/>
      <c r="AG446" s="211">
        <f>INDEX($C$349:$AN$371,MATCH("New Customers 1MS",$C$349:$C$371,0),MATCH($C446,$C$349:$AN$349,0))</f>
        <v>251.01252000000008</v>
      </c>
      <c r="AH446" s="211">
        <f>AG446*(E416)</f>
        <v>10.040500800000004</v>
      </c>
      <c r="AI446" s="211">
        <f>AG446*($F$70)</f>
        <v>0</v>
      </c>
      <c r="AJ446" s="211">
        <f>AG446*($G$70)</f>
        <v>0</v>
      </c>
      <c r="AK446" s="211">
        <f>AG446*($H$70)</f>
        <v>0</v>
      </c>
      <c r="AL446" s="211">
        <f>AG446*($I$70)</f>
        <v>0</v>
      </c>
      <c r="AM446" s="211">
        <f>AG446*($J$70)</f>
        <v>0</v>
      </c>
      <c r="AN446" s="211">
        <f>AG446*($K$70)</f>
        <v>0</v>
      </c>
    </row>
    <row r="447" spans="2:40" s="7" customFormat="1" ht="12" hidden="1" customHeight="1" outlineLevel="2">
      <c r="B447" s="245"/>
      <c r="C447" s="213" t="s">
        <v>782</v>
      </c>
      <c r="D447" s="213"/>
      <c r="E447" s="213"/>
      <c r="F447" s="213"/>
      <c r="G447" s="213"/>
      <c r="H447" s="213"/>
      <c r="I447" s="213"/>
      <c r="J447" s="213"/>
      <c r="K447" s="213"/>
      <c r="L447" s="213"/>
      <c r="M447" s="213"/>
      <c r="N447" s="213"/>
      <c r="O447" s="213"/>
      <c r="P447" s="213"/>
      <c r="Q447" s="213"/>
      <c r="R447" s="213"/>
      <c r="S447" s="213"/>
      <c r="T447" s="213"/>
      <c r="U447" s="213"/>
      <c r="V447" s="213"/>
      <c r="W447" s="213"/>
      <c r="X447" s="213"/>
      <c r="Y447" s="213"/>
      <c r="Z447" s="213"/>
      <c r="AA447" s="213"/>
      <c r="AB447" s="211"/>
      <c r="AC447" s="211"/>
      <c r="AD447" s="211"/>
      <c r="AE447" s="211"/>
      <c r="AF447" s="211"/>
      <c r="AG447" s="211"/>
      <c r="AH447" s="211">
        <f>INDEX($C$349:$AN$371,MATCH("New Customers 1MS",$C$349:$C$371,0),MATCH($C447,$C$349:$AN$349,0))</f>
        <v>470.32704000000012</v>
      </c>
      <c r="AI447" s="211">
        <f>AH447*(E416)</f>
        <v>18.813081600000004</v>
      </c>
      <c r="AJ447" s="211">
        <f>AH447*($F$70)</f>
        <v>0</v>
      </c>
      <c r="AK447" s="211">
        <f>AH447*($G$70)</f>
        <v>0</v>
      </c>
      <c r="AL447" s="211">
        <f>AH447*($H$70)</f>
        <v>0</v>
      </c>
      <c r="AM447" s="211">
        <f>AH447*($I$70)</f>
        <v>0</v>
      </c>
      <c r="AN447" s="211">
        <f>AH447*($J$70)</f>
        <v>0</v>
      </c>
    </row>
    <row r="448" spans="2:40" s="7" customFormat="1" ht="12" hidden="1" customHeight="1" outlineLevel="2">
      <c r="B448" s="245"/>
      <c r="C448" s="213" t="s">
        <v>783</v>
      </c>
      <c r="D448" s="213"/>
      <c r="E448" s="213"/>
      <c r="F448" s="213"/>
      <c r="G448" s="213"/>
      <c r="H448" s="213"/>
      <c r="I448" s="213"/>
      <c r="J448" s="213"/>
      <c r="K448" s="213"/>
      <c r="L448" s="213"/>
      <c r="M448" s="213"/>
      <c r="N448" s="213"/>
      <c r="O448" s="213"/>
      <c r="P448" s="213"/>
      <c r="Q448" s="213"/>
      <c r="R448" s="213"/>
      <c r="S448" s="213"/>
      <c r="T448" s="213"/>
      <c r="U448" s="213"/>
      <c r="V448" s="213"/>
      <c r="W448" s="213"/>
      <c r="X448" s="213"/>
      <c r="Y448" s="213"/>
      <c r="Z448" s="213"/>
      <c r="AA448" s="213"/>
      <c r="AB448" s="211"/>
      <c r="AC448" s="211"/>
      <c r="AD448" s="211"/>
      <c r="AE448" s="211"/>
      <c r="AF448" s="211"/>
      <c r="AG448" s="211"/>
      <c r="AH448" s="211"/>
      <c r="AI448" s="211">
        <f>INDEX($C$349:$AN$371,MATCH("New Customers 1MS",$C$349:$C$371,0),MATCH($C448,$C$349:$AN$349,0))</f>
        <v>215.36409599999999</v>
      </c>
      <c r="AJ448" s="211">
        <f>AI448*(E416)</f>
        <v>8.6145638400000006</v>
      </c>
      <c r="AK448" s="211">
        <f>AI448*($F$70)</f>
        <v>0</v>
      </c>
      <c r="AL448" s="211">
        <f>AI448*($G$70)</f>
        <v>0</v>
      </c>
      <c r="AM448" s="211">
        <f>AI448*($H$70)</f>
        <v>0</v>
      </c>
      <c r="AN448" s="211">
        <f>AI448*($I$70)</f>
        <v>0</v>
      </c>
    </row>
    <row r="449" spans="2:40" s="7" customFormat="1" ht="12" hidden="1" customHeight="1" outlineLevel="2">
      <c r="B449" s="245"/>
      <c r="C449" s="213" t="s">
        <v>784</v>
      </c>
      <c r="D449" s="213"/>
      <c r="E449" s="213"/>
      <c r="F449" s="213"/>
      <c r="G449" s="213"/>
      <c r="H449" s="213"/>
      <c r="I449" s="213"/>
      <c r="J449" s="213"/>
      <c r="K449" s="213"/>
      <c r="L449" s="213"/>
      <c r="M449" s="213"/>
      <c r="N449" s="213"/>
      <c r="O449" s="213"/>
      <c r="P449" s="213"/>
      <c r="Q449" s="213"/>
      <c r="R449" s="213"/>
      <c r="S449" s="213"/>
      <c r="T449" s="213"/>
      <c r="U449" s="213"/>
      <c r="V449" s="213"/>
      <c r="W449" s="213"/>
      <c r="X449" s="213"/>
      <c r="Y449" s="213"/>
      <c r="Z449" s="213"/>
      <c r="AA449" s="213"/>
      <c r="AB449" s="211"/>
      <c r="AC449" s="211"/>
      <c r="AD449" s="211"/>
      <c r="AE449" s="211"/>
      <c r="AF449" s="211"/>
      <c r="AG449" s="211"/>
      <c r="AH449" s="211"/>
      <c r="AI449" s="211"/>
      <c r="AJ449" s="211">
        <f>INDEX($C$349:$AN$371,MATCH("New Customers 1MS",$C$349:$C$371,0),MATCH($C449,$C$349:$AN$349,0))</f>
        <v>226.34488800000005</v>
      </c>
      <c r="AK449" s="211">
        <f>AJ449*(E416)</f>
        <v>9.0537955200000031</v>
      </c>
      <c r="AL449" s="211">
        <f>AJ449*($F$70)</f>
        <v>0</v>
      </c>
      <c r="AM449" s="211">
        <f>AJ449*($G$70)</f>
        <v>0</v>
      </c>
      <c r="AN449" s="211">
        <f>AJ449*($H$70)</f>
        <v>0</v>
      </c>
    </row>
    <row r="450" spans="2:40" s="7" customFormat="1" ht="12" hidden="1" customHeight="1" outlineLevel="2">
      <c r="B450" s="245"/>
      <c r="C450" s="213" t="s">
        <v>785</v>
      </c>
      <c r="D450" s="213"/>
      <c r="E450" s="213"/>
      <c r="F450" s="213"/>
      <c r="G450" s="213"/>
      <c r="H450" s="213"/>
      <c r="I450" s="213"/>
      <c r="J450" s="213"/>
      <c r="K450" s="213"/>
      <c r="L450" s="213"/>
      <c r="M450" s="213"/>
      <c r="N450" s="213"/>
      <c r="O450" s="213"/>
      <c r="P450" s="213"/>
      <c r="Q450" s="213"/>
      <c r="R450" s="213"/>
      <c r="S450" s="213"/>
      <c r="T450" s="213"/>
      <c r="U450" s="213"/>
      <c r="V450" s="213"/>
      <c r="W450" s="213"/>
      <c r="X450" s="213"/>
      <c r="Y450" s="213"/>
      <c r="Z450" s="213"/>
      <c r="AA450" s="213"/>
      <c r="AB450" s="211"/>
      <c r="AC450" s="211"/>
      <c r="AD450" s="211"/>
      <c r="AE450" s="211"/>
      <c r="AF450" s="211"/>
      <c r="AG450" s="211"/>
      <c r="AH450" s="211"/>
      <c r="AI450" s="211"/>
      <c r="AJ450" s="211"/>
      <c r="AK450" s="211">
        <f>INDEX($C$349:$AN$371,MATCH("New Customers 1MS",$C$349:$C$371,0),MATCH($C450,$C$349:$AN$349,0))</f>
        <v>544.32000000000016</v>
      </c>
      <c r="AL450" s="211">
        <f>AK450*(E416)</f>
        <v>21.772800000000007</v>
      </c>
      <c r="AM450" s="211">
        <f>AK450*($F$70)</f>
        <v>0</v>
      </c>
      <c r="AN450" s="211">
        <f>AK450*($G$70)</f>
        <v>0</v>
      </c>
    </row>
    <row r="451" spans="2:40" s="7" customFormat="1" ht="12" hidden="1" customHeight="1" outlineLevel="2">
      <c r="B451" s="245"/>
      <c r="C451" s="213" t="s">
        <v>786</v>
      </c>
      <c r="D451" s="213"/>
      <c r="E451" s="213"/>
      <c r="F451" s="213"/>
      <c r="G451" s="213"/>
      <c r="H451" s="213"/>
      <c r="I451" s="213"/>
      <c r="J451" s="213"/>
      <c r="K451" s="213"/>
      <c r="L451" s="213"/>
      <c r="M451" s="213"/>
      <c r="N451" s="213"/>
      <c r="O451" s="213"/>
      <c r="P451" s="213"/>
      <c r="Q451" s="213"/>
      <c r="R451" s="213"/>
      <c r="S451" s="213"/>
      <c r="T451" s="213"/>
      <c r="U451" s="213"/>
      <c r="V451" s="213"/>
      <c r="W451" s="213"/>
      <c r="X451" s="213"/>
      <c r="Y451" s="213"/>
      <c r="Z451" s="213"/>
      <c r="AA451" s="213"/>
      <c r="AB451" s="211"/>
      <c r="AC451" s="211"/>
      <c r="AD451" s="211"/>
      <c r="AE451" s="211"/>
      <c r="AF451" s="211"/>
      <c r="AG451" s="211"/>
      <c r="AH451" s="211"/>
      <c r="AI451" s="211"/>
      <c r="AJ451" s="211"/>
      <c r="AK451" s="211"/>
      <c r="AL451" s="211">
        <f>INDEX($C$349:$AN$371,MATCH("New Customers 1MS",$C$349:$C$371,0),MATCH($C451,$C$349:$AN$349,0))</f>
        <v>378.00000000000006</v>
      </c>
      <c r="AM451" s="211">
        <f>AL451*(E416)</f>
        <v>15.120000000000003</v>
      </c>
      <c r="AN451" s="211">
        <f>AL451*($F$70)</f>
        <v>0</v>
      </c>
    </row>
    <row r="452" spans="2:40" s="7" customFormat="1" ht="12" hidden="1" customHeight="1" outlineLevel="2">
      <c r="B452" s="245"/>
      <c r="C452" s="213" t="s">
        <v>787</v>
      </c>
      <c r="D452" s="213"/>
      <c r="E452" s="213"/>
      <c r="F452" s="213"/>
      <c r="G452" s="213"/>
      <c r="H452" s="213"/>
      <c r="I452" s="213"/>
      <c r="J452" s="213"/>
      <c r="K452" s="213"/>
      <c r="L452" s="213"/>
      <c r="M452" s="213"/>
      <c r="N452" s="213"/>
      <c r="O452" s="213"/>
      <c r="P452" s="213"/>
      <c r="Q452" s="213"/>
      <c r="R452" s="213"/>
      <c r="S452" s="213"/>
      <c r="T452" s="213"/>
      <c r="U452" s="213"/>
      <c r="V452" s="213"/>
      <c r="W452" s="213"/>
      <c r="X452" s="213"/>
      <c r="Y452" s="213"/>
      <c r="Z452" s="213"/>
      <c r="AA452" s="213"/>
      <c r="AB452" s="211"/>
      <c r="AC452" s="211"/>
      <c r="AD452" s="211"/>
      <c r="AE452" s="211"/>
      <c r="AF452" s="211"/>
      <c r="AG452" s="211"/>
      <c r="AH452" s="211"/>
      <c r="AI452" s="211"/>
      <c r="AJ452" s="211"/>
      <c r="AK452" s="211"/>
      <c r="AL452" s="211"/>
      <c r="AM452" s="211">
        <f>INDEX($C$349:$AN$371,MATCH("New Customers 1MS",$C$349:$C$371,0),MATCH($C452,$C$349:$AN$349,0))</f>
        <v>196.02</v>
      </c>
      <c r="AN452" s="211">
        <f>AM452*(E416)</f>
        <v>7.8408000000000007</v>
      </c>
    </row>
    <row r="453" spans="2:40" s="7" customFormat="1" ht="12" hidden="1" customHeight="1" outlineLevel="2">
      <c r="B453" s="245"/>
      <c r="C453" s="213" t="s">
        <v>788</v>
      </c>
      <c r="D453" s="213"/>
      <c r="E453" s="213"/>
      <c r="F453" s="213"/>
      <c r="G453" s="213"/>
      <c r="H453" s="213"/>
      <c r="I453" s="213"/>
      <c r="J453" s="213"/>
      <c r="K453" s="213"/>
      <c r="L453" s="213"/>
      <c r="M453" s="213"/>
      <c r="N453" s="213"/>
      <c r="O453" s="213"/>
      <c r="P453" s="213"/>
      <c r="Q453" s="213"/>
      <c r="R453" s="213"/>
      <c r="S453" s="213"/>
      <c r="T453" s="213"/>
      <c r="U453" s="213"/>
      <c r="V453" s="213"/>
      <c r="W453" s="213"/>
      <c r="X453" s="213"/>
      <c r="Y453" s="213"/>
      <c r="Z453" s="213"/>
      <c r="AA453" s="213"/>
      <c r="AB453" s="211"/>
      <c r="AC453" s="211"/>
      <c r="AD453" s="211"/>
      <c r="AE453" s="211"/>
      <c r="AF453" s="211"/>
      <c r="AG453" s="211"/>
      <c r="AH453" s="211"/>
      <c r="AI453" s="211"/>
      <c r="AJ453" s="211"/>
      <c r="AK453" s="211"/>
      <c r="AL453" s="211"/>
      <c r="AM453" s="211"/>
      <c r="AN453" s="211">
        <f>INDEX($C$349:$AN$371,MATCH("New Customers 1MS",$C$349:$C$371,0),MATCH($C453,$C$349:$AN$349,0))</f>
        <v>252.72000000000003</v>
      </c>
    </row>
    <row r="454" spans="2:40" s="7" customFormat="1" ht="12" hidden="1" customHeight="1" outlineLevel="2">
      <c r="B454" s="245"/>
      <c r="C454" s="213"/>
      <c r="D454" s="213"/>
      <c r="E454" s="213"/>
      <c r="F454" s="213"/>
      <c r="G454" s="213"/>
      <c r="H454" s="213"/>
      <c r="I454" s="213"/>
      <c r="J454" s="213"/>
      <c r="K454" s="213"/>
      <c r="L454" s="213"/>
      <c r="M454" s="213"/>
      <c r="N454" s="213"/>
      <c r="O454" s="213"/>
      <c r="P454" s="213"/>
      <c r="Q454" s="213"/>
      <c r="R454" s="213"/>
      <c r="S454" s="213"/>
      <c r="T454" s="213"/>
      <c r="U454" s="213"/>
      <c r="V454" s="213"/>
      <c r="W454" s="213"/>
      <c r="X454" s="213"/>
      <c r="Y454" s="213"/>
      <c r="Z454" s="213"/>
      <c r="AA454" s="213"/>
      <c r="AB454" s="211"/>
      <c r="AC454" s="211"/>
      <c r="AD454" s="211"/>
      <c r="AE454" s="211"/>
      <c r="AF454" s="211"/>
      <c r="AG454" s="211"/>
      <c r="AH454" s="211"/>
      <c r="AI454" s="211"/>
      <c r="AJ454" s="211"/>
      <c r="AK454" s="211"/>
      <c r="AL454" s="211"/>
      <c r="AM454" s="211"/>
      <c r="AN454" s="211"/>
    </row>
    <row r="455" spans="2:40" s="7" customFormat="1" ht="12" hidden="1" customHeight="1" outlineLevel="3">
      <c r="B455" s="245"/>
      <c r="C455" s="243" t="s">
        <v>854</v>
      </c>
      <c r="D455" s="213"/>
      <c r="E455" s="213"/>
      <c r="F455" s="213"/>
      <c r="G455" s="213"/>
      <c r="H455" s="213"/>
      <c r="I455" s="213"/>
      <c r="J455" s="213"/>
      <c r="K455" s="213"/>
      <c r="L455" s="213"/>
      <c r="M455" s="213"/>
      <c r="N455" s="213"/>
      <c r="O455" s="213"/>
      <c r="P455" s="213"/>
      <c r="Q455" s="213"/>
      <c r="R455" s="213"/>
      <c r="S455" s="213"/>
      <c r="T455" s="213"/>
      <c r="U455" s="213"/>
      <c r="V455" s="213"/>
      <c r="W455" s="213"/>
      <c r="X455" s="213"/>
      <c r="Y455" s="213"/>
      <c r="Z455" s="213"/>
      <c r="AA455" s="213"/>
      <c r="AB455" s="213"/>
      <c r="AC455" s="211"/>
    </row>
    <row r="456" spans="2:40" s="7" customFormat="1" ht="12" hidden="1" customHeight="1" outlineLevel="3">
      <c r="B456" s="239"/>
      <c r="C456" s="214" t="s">
        <v>850</v>
      </c>
      <c r="D456" s="214"/>
      <c r="E456" s="196" t="s">
        <v>753</v>
      </c>
      <c r="F456" s="196" t="s">
        <v>754</v>
      </c>
      <c r="G456" s="196" t="s">
        <v>755</v>
      </c>
      <c r="H456" s="196" t="s">
        <v>756</v>
      </c>
      <c r="I456" s="196" t="s">
        <v>757</v>
      </c>
      <c r="J456" s="196" t="s">
        <v>758</v>
      </c>
      <c r="K456" s="196" t="s">
        <v>759</v>
      </c>
      <c r="L456" s="196" t="s">
        <v>760</v>
      </c>
      <c r="M456" s="196" t="s">
        <v>761</v>
      </c>
      <c r="N456" s="196" t="s">
        <v>762</v>
      </c>
      <c r="O456" s="196" t="s">
        <v>763</v>
      </c>
      <c r="P456" s="196" t="s">
        <v>764</v>
      </c>
      <c r="Q456" s="196" t="s">
        <v>765</v>
      </c>
      <c r="R456" s="196" t="s">
        <v>766</v>
      </c>
      <c r="S456" s="196" t="s">
        <v>767</v>
      </c>
      <c r="T456" s="196" t="s">
        <v>768</v>
      </c>
      <c r="U456" s="196" t="s">
        <v>769</v>
      </c>
      <c r="V456" s="196" t="s">
        <v>770</v>
      </c>
      <c r="W456" s="196" t="s">
        <v>771</v>
      </c>
      <c r="X456" s="196" t="s">
        <v>772</v>
      </c>
      <c r="Y456" s="196" t="s">
        <v>773</v>
      </c>
      <c r="Z456" s="196" t="s">
        <v>774</v>
      </c>
      <c r="AA456" s="196" t="s">
        <v>775</v>
      </c>
      <c r="AB456" s="196" t="s">
        <v>776</v>
      </c>
      <c r="AC456" s="196" t="s">
        <v>777</v>
      </c>
      <c r="AD456" s="196" t="s">
        <v>778</v>
      </c>
      <c r="AE456" s="196" t="s">
        <v>779</v>
      </c>
      <c r="AF456" s="196" t="s">
        <v>780</v>
      </c>
      <c r="AG456" s="196" t="s">
        <v>781</v>
      </c>
      <c r="AH456" s="196" t="s">
        <v>782</v>
      </c>
      <c r="AI456" s="196" t="s">
        <v>783</v>
      </c>
      <c r="AJ456" s="196" t="s">
        <v>784</v>
      </c>
      <c r="AK456" s="196" t="s">
        <v>785</v>
      </c>
      <c r="AL456" s="196" t="s">
        <v>786</v>
      </c>
      <c r="AM456" s="196" t="s">
        <v>787</v>
      </c>
      <c r="AN456" s="196" t="s">
        <v>788</v>
      </c>
    </row>
    <row r="457" spans="2:40" s="7" customFormat="1" ht="12" hidden="1" customHeight="1" outlineLevel="3">
      <c r="B457" s="239"/>
      <c r="C457" s="247" t="s">
        <v>851</v>
      </c>
      <c r="D457" s="214"/>
      <c r="E457" s="345">
        <v>0.86</v>
      </c>
      <c r="F457" s="342"/>
      <c r="G457" s="342"/>
      <c r="H457" s="345">
        <v>0.42</v>
      </c>
      <c r="I457" s="342"/>
      <c r="J457" s="342"/>
      <c r="K457" s="345">
        <v>0.26</v>
      </c>
      <c r="L457" s="342"/>
      <c r="M457" s="342"/>
      <c r="N457" s="345">
        <v>0.16</v>
      </c>
      <c r="O457" s="342"/>
      <c r="P457" s="342"/>
      <c r="Q457" s="345">
        <v>0.1</v>
      </c>
      <c r="R457" s="342"/>
      <c r="S457" s="342"/>
      <c r="T457" s="345">
        <v>0.06</v>
      </c>
      <c r="U457" s="342"/>
      <c r="V457" s="342"/>
      <c r="W457" s="345">
        <v>0.03</v>
      </c>
      <c r="X457" s="342"/>
      <c r="Y457" s="342"/>
      <c r="Z457" s="345">
        <v>0.01</v>
      </c>
      <c r="AA457" s="342"/>
      <c r="AB457" s="342"/>
      <c r="AC457" s="345">
        <v>0.01</v>
      </c>
      <c r="AD457" s="342"/>
      <c r="AE457" s="342"/>
      <c r="AF457" s="345">
        <v>0.01</v>
      </c>
      <c r="AG457" s="342"/>
      <c r="AH457" s="342"/>
      <c r="AI457" s="345">
        <v>0.01</v>
      </c>
      <c r="AJ457" s="342"/>
      <c r="AK457" s="342"/>
      <c r="AL457" s="345">
        <v>0.01</v>
      </c>
      <c r="AM457" s="342"/>
      <c r="AN457" s="342"/>
    </row>
    <row r="458" spans="2:40" s="7" customFormat="1" ht="12" hidden="1" customHeight="1" outlineLevel="3">
      <c r="B458" s="245"/>
      <c r="C458" s="213" t="s">
        <v>753</v>
      </c>
      <c r="D458" s="213"/>
      <c r="E458" s="211">
        <f>INDEX($C$349:$AN$371, MATCH("New Customers 3MS", $C$349:$C$371, 0), MATCH($C458, $C$349:$AN$349, 0))</f>
        <v>0</v>
      </c>
      <c r="F458" s="211"/>
      <c r="G458" s="211"/>
      <c r="H458" s="211">
        <f>E458*(1-E457)</f>
        <v>0</v>
      </c>
      <c r="I458" s="211"/>
      <c r="J458" s="211"/>
      <c r="K458" s="211">
        <f>E458*(1-H457)</f>
        <v>0</v>
      </c>
      <c r="L458" s="211"/>
      <c r="M458" s="211"/>
      <c r="N458" s="211">
        <f>E458*(1-K457)</f>
        <v>0</v>
      </c>
      <c r="O458" s="211"/>
      <c r="P458" s="211"/>
      <c r="Q458" s="211">
        <f>E458*(1-N457)</f>
        <v>0</v>
      </c>
      <c r="R458" s="211"/>
      <c r="S458" s="211"/>
      <c r="T458" s="211">
        <f>E458*(1-Q457)</f>
        <v>0</v>
      </c>
      <c r="U458" s="211"/>
      <c r="V458" s="211"/>
      <c r="W458" s="211">
        <f>E458*(1-T457)</f>
        <v>0</v>
      </c>
      <c r="X458" s="211"/>
      <c r="Y458" s="211"/>
      <c r="Z458" s="211">
        <f>E458*(1-W457)</f>
        <v>0</v>
      </c>
      <c r="AA458" s="211"/>
      <c r="AB458" s="211"/>
      <c r="AC458" s="211">
        <f>E458*(1-Z457)</f>
        <v>0</v>
      </c>
      <c r="AD458" s="211"/>
      <c r="AE458" s="211"/>
      <c r="AF458" s="211">
        <f>E458*(1-AC457)</f>
        <v>0</v>
      </c>
      <c r="AG458" s="211"/>
      <c r="AH458" s="211"/>
      <c r="AI458" s="211">
        <f>E458*(1-AF457)</f>
        <v>0</v>
      </c>
      <c r="AJ458" s="211"/>
      <c r="AK458" s="211"/>
      <c r="AL458" s="211">
        <f>E458*(1-AI457)</f>
        <v>0</v>
      </c>
      <c r="AM458" s="211"/>
      <c r="AN458" s="211"/>
    </row>
    <row r="459" spans="2:40" s="7" customFormat="1" ht="12" hidden="1" customHeight="1" outlineLevel="3">
      <c r="B459" s="245"/>
      <c r="C459" s="213" t="s">
        <v>754</v>
      </c>
      <c r="D459" s="213"/>
      <c r="E459" s="213"/>
      <c r="F459" s="211">
        <f>INDEX($C$349:$AN$371, MATCH("New Customers 3MS", $C$349:$C$371, 0), MATCH($C459, $C$349:$AN$349, 0))</f>
        <v>0</v>
      </c>
      <c r="G459" s="211"/>
      <c r="H459" s="211"/>
      <c r="I459" s="211">
        <f>F459*(E457)</f>
        <v>0</v>
      </c>
      <c r="J459" s="211"/>
      <c r="K459" s="211"/>
      <c r="L459" s="211">
        <f>F459*(H457)</f>
        <v>0</v>
      </c>
      <c r="M459" s="211"/>
      <c r="N459" s="211"/>
      <c r="O459" s="211">
        <f>F459*(K457)</f>
        <v>0</v>
      </c>
      <c r="P459" s="211"/>
      <c r="Q459" s="211"/>
      <c r="R459" s="211">
        <f>F459*(N457)</f>
        <v>0</v>
      </c>
      <c r="S459" s="211"/>
      <c r="T459" s="211"/>
      <c r="U459" s="211">
        <f>F459*(Q457)</f>
        <v>0</v>
      </c>
      <c r="V459" s="211"/>
      <c r="W459" s="211"/>
      <c r="X459" s="211">
        <f>F459*(T457)</f>
        <v>0</v>
      </c>
      <c r="Y459" s="211"/>
      <c r="Z459" s="211"/>
      <c r="AA459" s="211">
        <f>F459*(W457)</f>
        <v>0</v>
      </c>
      <c r="AB459" s="211"/>
      <c r="AC459" s="211"/>
      <c r="AD459" s="211">
        <f>F459*(Z457)</f>
        <v>0</v>
      </c>
      <c r="AE459" s="211"/>
      <c r="AF459" s="211"/>
      <c r="AG459" s="211">
        <f>F459*(AC457)</f>
        <v>0</v>
      </c>
      <c r="AH459" s="211"/>
      <c r="AI459" s="211"/>
      <c r="AJ459" s="211">
        <f>F459*(AF457)</f>
        <v>0</v>
      </c>
      <c r="AK459" s="211"/>
      <c r="AL459" s="211"/>
      <c r="AM459" s="211">
        <f>F459*(AI457)</f>
        <v>0</v>
      </c>
      <c r="AN459" s="211"/>
    </row>
    <row r="460" spans="2:40" s="7" customFormat="1" ht="12" hidden="1" customHeight="1" outlineLevel="3">
      <c r="B460" s="245"/>
      <c r="C460" s="213" t="s">
        <v>755</v>
      </c>
      <c r="D460" s="213"/>
      <c r="E460" s="213"/>
      <c r="F460" s="213"/>
      <c r="G460" s="211">
        <f>INDEX($C$349:$AN$371, MATCH("New Customers 3MS", $C$349:$C$371, 0), MATCH($C460, $C$349:$AN$349, 0))</f>
        <v>0</v>
      </c>
      <c r="H460" s="211"/>
      <c r="I460" s="211"/>
      <c r="J460" s="211">
        <f>G460*(E457)</f>
        <v>0</v>
      </c>
      <c r="K460" s="211"/>
      <c r="L460" s="211"/>
      <c r="M460" s="211">
        <f>G460*(H457)</f>
        <v>0</v>
      </c>
      <c r="N460" s="211"/>
      <c r="O460" s="211"/>
      <c r="P460" s="211">
        <f>G460*(K457)</f>
        <v>0</v>
      </c>
      <c r="Q460" s="211"/>
      <c r="R460" s="211"/>
      <c r="S460" s="211">
        <f>G460*(N457)</f>
        <v>0</v>
      </c>
      <c r="T460" s="211"/>
      <c r="U460" s="211"/>
      <c r="V460" s="211">
        <f>G460*(Q457)</f>
        <v>0</v>
      </c>
      <c r="W460" s="211"/>
      <c r="X460" s="211"/>
      <c r="Y460" s="211">
        <f>G460*(T457)</f>
        <v>0</v>
      </c>
      <c r="Z460" s="211"/>
      <c r="AA460" s="211"/>
      <c r="AB460" s="211">
        <f>G460*(W457)</f>
        <v>0</v>
      </c>
      <c r="AC460" s="211"/>
      <c r="AD460" s="211"/>
      <c r="AE460" s="211">
        <f>G460*(Z457)</f>
        <v>0</v>
      </c>
      <c r="AF460" s="211"/>
      <c r="AG460" s="211"/>
      <c r="AH460" s="211">
        <f>G460*(AC457)</f>
        <v>0</v>
      </c>
      <c r="AI460" s="211"/>
      <c r="AJ460" s="211"/>
      <c r="AK460" s="211">
        <f>G460*(AF457)</f>
        <v>0</v>
      </c>
      <c r="AL460" s="211"/>
      <c r="AM460" s="211"/>
      <c r="AN460" s="211">
        <f>G460*(AI457)</f>
        <v>0</v>
      </c>
    </row>
    <row r="461" spans="2:40" s="7" customFormat="1" ht="12" hidden="1" customHeight="1" outlineLevel="3">
      <c r="B461" s="245"/>
      <c r="C461" s="213" t="s">
        <v>756</v>
      </c>
      <c r="D461" s="213"/>
      <c r="E461" s="213"/>
      <c r="F461" s="213"/>
      <c r="G461" s="213"/>
      <c r="H461" s="211">
        <f>INDEX($C$349:$AN$371, MATCH("New Customers 3MS", $C$349:$C$371, 0), MATCH($C461, $C$349:$AN$349, 0))</f>
        <v>0</v>
      </c>
      <c r="I461" s="211"/>
      <c r="J461" s="211"/>
      <c r="K461" s="211">
        <f>H461*(E457)</f>
        <v>0</v>
      </c>
      <c r="L461" s="211"/>
      <c r="M461" s="211"/>
      <c r="N461" s="211">
        <f>H461*(H457)</f>
        <v>0</v>
      </c>
      <c r="O461" s="211"/>
      <c r="P461" s="211"/>
      <c r="Q461" s="211">
        <f>H461*(K457)</f>
        <v>0</v>
      </c>
      <c r="R461" s="211"/>
      <c r="S461" s="211"/>
      <c r="T461" s="211">
        <f>H461*(N457)</f>
        <v>0</v>
      </c>
      <c r="U461" s="211"/>
      <c r="V461" s="211"/>
      <c r="W461" s="211">
        <f>H461*(Q457)</f>
        <v>0</v>
      </c>
      <c r="X461" s="211"/>
      <c r="Y461" s="211"/>
      <c r="Z461" s="211">
        <f>H461*(T457)</f>
        <v>0</v>
      </c>
      <c r="AA461" s="211"/>
      <c r="AB461" s="211"/>
      <c r="AC461" s="211">
        <f>H461*(W457)</f>
        <v>0</v>
      </c>
      <c r="AD461" s="211"/>
      <c r="AE461" s="211"/>
      <c r="AF461" s="211">
        <f>H461*(Z457)</f>
        <v>0</v>
      </c>
      <c r="AG461" s="211"/>
      <c r="AH461" s="211"/>
      <c r="AI461" s="211">
        <f>H461*(AC457)</f>
        <v>0</v>
      </c>
      <c r="AJ461" s="211"/>
      <c r="AK461" s="211"/>
      <c r="AL461" s="211">
        <f>H461*(AF457)</f>
        <v>0</v>
      </c>
      <c r="AM461" s="211"/>
      <c r="AN461" s="211"/>
    </row>
    <row r="462" spans="2:40" s="7" customFormat="1" ht="12" hidden="1" customHeight="1" outlineLevel="3">
      <c r="B462" s="245"/>
      <c r="C462" s="213" t="s">
        <v>757</v>
      </c>
      <c r="D462" s="213"/>
      <c r="E462" s="213"/>
      <c r="F462" s="213"/>
      <c r="G462" s="213"/>
      <c r="H462" s="213"/>
      <c r="I462" s="211">
        <f>INDEX($C$349:$AN$371, MATCH("New Customers 3MS", $C$349:$C$371, 0), MATCH($C462, $C$349:$AN$349, 0))</f>
        <v>0</v>
      </c>
      <c r="J462" s="211"/>
      <c r="K462" s="211"/>
      <c r="L462" s="211">
        <f>I462*(E457)</f>
        <v>0</v>
      </c>
      <c r="M462" s="211"/>
      <c r="N462" s="211"/>
      <c r="O462" s="211">
        <f>I462*(H457)</f>
        <v>0</v>
      </c>
      <c r="P462" s="211"/>
      <c r="Q462" s="211"/>
      <c r="R462" s="211">
        <f>I462*(K457)</f>
        <v>0</v>
      </c>
      <c r="S462" s="211"/>
      <c r="T462" s="211"/>
      <c r="U462" s="211">
        <f>I462*(N457)</f>
        <v>0</v>
      </c>
      <c r="V462" s="211"/>
      <c r="W462" s="211"/>
      <c r="X462" s="211">
        <f>I462*(Q457)</f>
        <v>0</v>
      </c>
      <c r="Y462" s="211"/>
      <c r="Z462" s="211"/>
      <c r="AA462" s="211">
        <f>I462*(T457)</f>
        <v>0</v>
      </c>
      <c r="AB462" s="211"/>
      <c r="AC462" s="211"/>
      <c r="AD462" s="211">
        <f>I462*(W457)</f>
        <v>0</v>
      </c>
      <c r="AE462" s="211"/>
      <c r="AF462" s="211"/>
      <c r="AG462" s="211">
        <f>I462*(Z457)</f>
        <v>0</v>
      </c>
      <c r="AH462" s="211"/>
      <c r="AI462" s="211"/>
      <c r="AJ462" s="211">
        <f>I462*(AC457)</f>
        <v>0</v>
      </c>
      <c r="AK462" s="211"/>
      <c r="AL462" s="211"/>
      <c r="AM462" s="211">
        <f>I462*(AF457)</f>
        <v>0</v>
      </c>
      <c r="AN462" s="211"/>
    </row>
    <row r="463" spans="2:40" s="7" customFormat="1" ht="12" hidden="1" customHeight="1" outlineLevel="3">
      <c r="B463" s="245"/>
      <c r="C463" s="213" t="s">
        <v>758</v>
      </c>
      <c r="D463" s="213"/>
      <c r="E463" s="213"/>
      <c r="F463" s="213"/>
      <c r="G463" s="213"/>
      <c r="H463" s="213"/>
      <c r="I463" s="213"/>
      <c r="J463" s="211">
        <f>INDEX($C$349:$AN$371, MATCH("New Customers 3MS", $C$349:$C$371, 0), MATCH($C463, $C$349:$AN$349, 0))</f>
        <v>0</v>
      </c>
      <c r="K463" s="211"/>
      <c r="L463" s="211"/>
      <c r="M463" s="211">
        <f>J463*(E457)</f>
        <v>0</v>
      </c>
      <c r="N463" s="211"/>
      <c r="O463" s="211"/>
      <c r="P463" s="211">
        <f>J463*(H457)</f>
        <v>0</v>
      </c>
      <c r="Q463" s="211"/>
      <c r="R463" s="211"/>
      <c r="S463" s="211">
        <f>J463*(K457)</f>
        <v>0</v>
      </c>
      <c r="T463" s="211"/>
      <c r="U463" s="211"/>
      <c r="V463" s="211">
        <f>J463*(N457)</f>
        <v>0</v>
      </c>
      <c r="W463" s="211"/>
      <c r="X463" s="211"/>
      <c r="Y463" s="211">
        <f>J463*(Q457)</f>
        <v>0</v>
      </c>
      <c r="Z463" s="211"/>
      <c r="AA463" s="211"/>
      <c r="AB463" s="211">
        <f>J463*(T457)</f>
        <v>0</v>
      </c>
      <c r="AC463" s="211"/>
      <c r="AD463" s="211"/>
      <c r="AE463" s="211">
        <f>J463*(W457)</f>
        <v>0</v>
      </c>
      <c r="AF463" s="211"/>
      <c r="AG463" s="211"/>
      <c r="AH463" s="211">
        <f>J463*(Z457)</f>
        <v>0</v>
      </c>
      <c r="AI463" s="211"/>
      <c r="AJ463" s="211"/>
      <c r="AK463" s="211">
        <f>J463*(AC457)</f>
        <v>0</v>
      </c>
      <c r="AL463" s="211"/>
      <c r="AM463" s="211"/>
      <c r="AN463" s="211">
        <f>J463*(AF457)</f>
        <v>0</v>
      </c>
    </row>
    <row r="464" spans="2:40" s="7" customFormat="1" ht="12" hidden="1" customHeight="1" outlineLevel="3">
      <c r="B464" s="245"/>
      <c r="C464" s="213" t="s">
        <v>759</v>
      </c>
      <c r="D464" s="213"/>
      <c r="E464" s="213"/>
      <c r="F464" s="213"/>
      <c r="G464" s="213"/>
      <c r="H464" s="213"/>
      <c r="I464" s="213"/>
      <c r="J464" s="213"/>
      <c r="K464" s="211">
        <f>INDEX($C$349:$AN$371, MATCH("New Customers 3MS", $C$349:$C$371, 0), MATCH($C464, $C$349:$AN$349, 0))</f>
        <v>0</v>
      </c>
      <c r="L464" s="211"/>
      <c r="M464" s="211"/>
      <c r="N464" s="211">
        <f>K464*(E457)</f>
        <v>0</v>
      </c>
      <c r="O464" s="211"/>
      <c r="P464" s="211"/>
      <c r="Q464" s="211">
        <f>K464*(H457)</f>
        <v>0</v>
      </c>
      <c r="R464" s="211"/>
      <c r="S464" s="211"/>
      <c r="T464" s="211">
        <f>K464*(K457)</f>
        <v>0</v>
      </c>
      <c r="U464" s="211"/>
      <c r="V464" s="211"/>
      <c r="W464" s="211">
        <f>K464*(N457)</f>
        <v>0</v>
      </c>
      <c r="X464" s="211"/>
      <c r="Y464" s="211"/>
      <c r="Z464" s="211">
        <f>K464*(Q457)</f>
        <v>0</v>
      </c>
      <c r="AA464" s="211"/>
      <c r="AB464" s="211"/>
      <c r="AC464" s="211">
        <f>K464*(T457)</f>
        <v>0</v>
      </c>
      <c r="AD464" s="211"/>
      <c r="AE464" s="211"/>
      <c r="AF464" s="211">
        <f>K464*(W457)</f>
        <v>0</v>
      </c>
      <c r="AG464" s="211"/>
      <c r="AH464" s="211"/>
      <c r="AI464" s="211">
        <f>K464*(Z457)</f>
        <v>0</v>
      </c>
      <c r="AJ464" s="211"/>
      <c r="AK464" s="211"/>
      <c r="AL464" s="211">
        <f>K464*(AC457)</f>
        <v>0</v>
      </c>
      <c r="AM464" s="211"/>
      <c r="AN464" s="211"/>
    </row>
    <row r="465" spans="2:40" s="7" customFormat="1" ht="12" hidden="1" customHeight="1" outlineLevel="3">
      <c r="B465" s="245"/>
      <c r="C465" s="213" t="s">
        <v>760</v>
      </c>
      <c r="D465" s="213"/>
      <c r="E465" s="213"/>
      <c r="F465" s="213"/>
      <c r="G465" s="213"/>
      <c r="H465" s="213"/>
      <c r="I465" s="213"/>
      <c r="J465" s="213"/>
      <c r="K465" s="213"/>
      <c r="L465" s="211">
        <f>INDEX($C$349:$AN$371, MATCH("New Customers 3MS", $C$349:$C$371, 0), MATCH($C465, $C$349:$AN$349, 0))</f>
        <v>0</v>
      </c>
      <c r="M465" s="211"/>
      <c r="N465" s="211"/>
      <c r="O465" s="211">
        <f>L465*(E457)</f>
        <v>0</v>
      </c>
      <c r="P465" s="211"/>
      <c r="Q465" s="211"/>
      <c r="R465" s="211">
        <f>L465*(H457)</f>
        <v>0</v>
      </c>
      <c r="S465" s="211"/>
      <c r="T465" s="211"/>
      <c r="U465" s="211">
        <f>L465*(K457)</f>
        <v>0</v>
      </c>
      <c r="V465" s="211"/>
      <c r="W465" s="211"/>
      <c r="X465" s="211">
        <f>L465*(N457)</f>
        <v>0</v>
      </c>
      <c r="Y465" s="211"/>
      <c r="Z465" s="211"/>
      <c r="AA465" s="211">
        <f>L465*(Q457)</f>
        <v>0</v>
      </c>
      <c r="AB465" s="211"/>
      <c r="AC465" s="211"/>
      <c r="AD465" s="211">
        <f>L465*(T457)</f>
        <v>0</v>
      </c>
      <c r="AE465" s="211"/>
      <c r="AF465" s="211"/>
      <c r="AG465" s="211">
        <f>L465*(W457)</f>
        <v>0</v>
      </c>
      <c r="AH465" s="211"/>
      <c r="AI465" s="211"/>
      <c r="AJ465" s="211">
        <f>L465*(Z457)</f>
        <v>0</v>
      </c>
      <c r="AK465" s="211"/>
      <c r="AL465" s="211"/>
      <c r="AM465" s="211">
        <f>L465*(AC457)</f>
        <v>0</v>
      </c>
      <c r="AN465" s="211"/>
    </row>
    <row r="466" spans="2:40" s="7" customFormat="1" ht="12" hidden="1" customHeight="1" outlineLevel="3">
      <c r="B466" s="245"/>
      <c r="C466" s="213" t="s">
        <v>761</v>
      </c>
      <c r="D466" s="213"/>
      <c r="E466" s="213"/>
      <c r="F466" s="213"/>
      <c r="G466" s="213"/>
      <c r="H466" s="213"/>
      <c r="I466" s="213"/>
      <c r="J466" s="213"/>
      <c r="K466" s="213"/>
      <c r="L466" s="213"/>
      <c r="M466" s="211">
        <f>INDEX($C$349:$AN$371, MATCH("New Customers 3MS", $C$349:$C$371, 0), MATCH($C466, $C$349:$AN$349, 0))</f>
        <v>0</v>
      </c>
      <c r="N466" s="211"/>
      <c r="O466" s="211"/>
      <c r="P466" s="211">
        <f>M466*(E457)</f>
        <v>0</v>
      </c>
      <c r="Q466" s="211"/>
      <c r="R466" s="211"/>
      <c r="S466" s="211">
        <f>M466*(H457)</f>
        <v>0</v>
      </c>
      <c r="T466" s="211"/>
      <c r="U466" s="211"/>
      <c r="V466" s="211">
        <f>M466*(K457)</f>
        <v>0</v>
      </c>
      <c r="W466" s="211"/>
      <c r="X466" s="211"/>
      <c r="Y466" s="211">
        <f>M466*(N457)</f>
        <v>0</v>
      </c>
      <c r="Z466" s="211"/>
      <c r="AA466" s="211"/>
      <c r="AB466" s="211">
        <f>M466*(Q457)</f>
        <v>0</v>
      </c>
      <c r="AC466" s="211"/>
      <c r="AD466" s="211"/>
      <c r="AE466" s="211">
        <f>M466*(T457)</f>
        <v>0</v>
      </c>
      <c r="AF466" s="211"/>
      <c r="AG466" s="211"/>
      <c r="AH466" s="211">
        <f>M466*(W457)</f>
        <v>0</v>
      </c>
      <c r="AI466" s="211"/>
      <c r="AJ466" s="211"/>
      <c r="AK466" s="211">
        <f>M466*(Z457)</f>
        <v>0</v>
      </c>
      <c r="AL466" s="211"/>
      <c r="AM466" s="211"/>
      <c r="AN466" s="211">
        <f>M466*(AC457)</f>
        <v>0</v>
      </c>
    </row>
    <row r="467" spans="2:40" s="7" customFormat="1" ht="12" hidden="1" customHeight="1" outlineLevel="3">
      <c r="B467" s="245"/>
      <c r="C467" s="213" t="s">
        <v>762</v>
      </c>
      <c r="D467" s="213"/>
      <c r="E467" s="213"/>
      <c r="F467" s="213"/>
      <c r="G467" s="213"/>
      <c r="H467" s="213"/>
      <c r="I467" s="213"/>
      <c r="J467" s="213"/>
      <c r="K467" s="213"/>
      <c r="L467" s="213"/>
      <c r="M467" s="213"/>
      <c r="N467" s="211">
        <f>INDEX($C$349:$AN$371, MATCH("New Customers 3MS", $C$349:$C$371, 0), MATCH($C467, $C$349:$AN$349, 0))</f>
        <v>0</v>
      </c>
      <c r="O467" s="211"/>
      <c r="P467" s="211"/>
      <c r="Q467" s="211">
        <f>N467*(E457)</f>
        <v>0</v>
      </c>
      <c r="R467" s="211"/>
      <c r="S467" s="211"/>
      <c r="T467" s="211">
        <f>N467*(H457)</f>
        <v>0</v>
      </c>
      <c r="U467" s="211"/>
      <c r="V467" s="211"/>
      <c r="W467" s="211">
        <f>N467*(K457)</f>
        <v>0</v>
      </c>
      <c r="X467" s="211"/>
      <c r="Y467" s="211"/>
      <c r="Z467" s="211">
        <f>N467*(N457)</f>
        <v>0</v>
      </c>
      <c r="AA467" s="211"/>
      <c r="AB467" s="211"/>
      <c r="AC467" s="211">
        <f>N467*(Q457)</f>
        <v>0</v>
      </c>
      <c r="AD467" s="211"/>
      <c r="AE467" s="211"/>
      <c r="AF467" s="211">
        <f>N467*(T457)</f>
        <v>0</v>
      </c>
      <c r="AG467" s="211"/>
      <c r="AH467" s="211"/>
      <c r="AI467" s="211">
        <f>N467*(W457)</f>
        <v>0</v>
      </c>
      <c r="AJ467" s="211"/>
      <c r="AK467" s="211"/>
      <c r="AL467" s="211">
        <f>N467*(Z457)</f>
        <v>0</v>
      </c>
      <c r="AM467" s="211"/>
      <c r="AN467" s="211"/>
    </row>
    <row r="468" spans="2:40" s="7" customFormat="1" ht="12" hidden="1" customHeight="1" outlineLevel="3">
      <c r="B468" s="245"/>
      <c r="C468" s="213" t="s">
        <v>763</v>
      </c>
      <c r="D468" s="213"/>
      <c r="E468" s="213"/>
      <c r="F468" s="213"/>
      <c r="G468" s="213"/>
      <c r="H468" s="213"/>
      <c r="I468" s="213"/>
      <c r="J468" s="213"/>
      <c r="K468" s="213"/>
      <c r="L468" s="213"/>
      <c r="M468" s="213"/>
      <c r="N468" s="213"/>
      <c r="O468" s="211">
        <f>INDEX($C$349:$AN$371, MATCH("New Customers 3MS", $C$349:$C$371, 0), MATCH($C468, $C$349:$AN$349, 0))</f>
        <v>0</v>
      </c>
      <c r="P468" s="211"/>
      <c r="Q468" s="211"/>
      <c r="R468" s="211">
        <f>O468*(E457)</f>
        <v>0</v>
      </c>
      <c r="S468" s="211"/>
      <c r="T468" s="211"/>
      <c r="U468" s="211">
        <f>O468*(H457)</f>
        <v>0</v>
      </c>
      <c r="V468" s="211"/>
      <c r="W468" s="211"/>
      <c r="X468" s="211">
        <f>O468*(K457)</f>
        <v>0</v>
      </c>
      <c r="Y468" s="211"/>
      <c r="Z468" s="211"/>
      <c r="AA468" s="211">
        <f>O468*(N457)</f>
        <v>0</v>
      </c>
      <c r="AB468" s="211"/>
      <c r="AC468" s="211"/>
      <c r="AD468" s="211">
        <f>O468*(Q457)</f>
        <v>0</v>
      </c>
      <c r="AE468" s="211"/>
      <c r="AF468" s="211"/>
      <c r="AG468" s="211">
        <f>O468*(T457)</f>
        <v>0</v>
      </c>
      <c r="AH468" s="211"/>
      <c r="AI468" s="211"/>
      <c r="AJ468" s="211">
        <f>O468*(W457)</f>
        <v>0</v>
      </c>
      <c r="AK468" s="211"/>
      <c r="AL468" s="211"/>
      <c r="AM468" s="211">
        <f>O468*(Z457)</f>
        <v>0</v>
      </c>
      <c r="AN468" s="211"/>
    </row>
    <row r="469" spans="2:40" s="7" customFormat="1" ht="12" hidden="1" customHeight="1" outlineLevel="3">
      <c r="B469" s="245"/>
      <c r="C469" s="213" t="s">
        <v>764</v>
      </c>
      <c r="D469" s="213"/>
      <c r="E469" s="213"/>
      <c r="F469" s="213"/>
      <c r="G469" s="213"/>
      <c r="H469" s="213"/>
      <c r="I469" s="213"/>
      <c r="J469" s="213"/>
      <c r="K469" s="213"/>
      <c r="L469" s="213"/>
      <c r="M469" s="213"/>
      <c r="N469" s="213"/>
      <c r="O469" s="213"/>
      <c r="P469" s="211">
        <f>INDEX($C$349:$AN$371, MATCH("New Customers 3MS", $C$349:$C$371, 0), MATCH($C469, $C$349:$AN$349, 0))</f>
        <v>0</v>
      </c>
      <c r="Q469" s="211"/>
      <c r="R469" s="211"/>
      <c r="S469" s="211">
        <f>P469*(E457)</f>
        <v>0</v>
      </c>
      <c r="T469" s="211"/>
      <c r="U469" s="211"/>
      <c r="V469" s="211">
        <f>P469*(H457)</f>
        <v>0</v>
      </c>
      <c r="W469" s="211"/>
      <c r="X469" s="211"/>
      <c r="Y469" s="211">
        <f>P469*(K457)</f>
        <v>0</v>
      </c>
      <c r="Z469" s="211"/>
      <c r="AA469" s="211"/>
      <c r="AB469" s="211">
        <f>P469*(N457)</f>
        <v>0</v>
      </c>
      <c r="AC469" s="211"/>
      <c r="AD469" s="211"/>
      <c r="AE469" s="211">
        <f>P469*(Q457)</f>
        <v>0</v>
      </c>
      <c r="AF469" s="211"/>
      <c r="AG469" s="211"/>
      <c r="AH469" s="211">
        <f>P469*(T457)</f>
        <v>0</v>
      </c>
      <c r="AI469" s="211"/>
      <c r="AJ469" s="211"/>
      <c r="AK469" s="211">
        <f>P469*(W457)</f>
        <v>0</v>
      </c>
      <c r="AL469" s="211"/>
      <c r="AM469" s="211"/>
      <c r="AN469" s="211">
        <f>P469*(Z457)</f>
        <v>0</v>
      </c>
    </row>
    <row r="470" spans="2:40" s="7" customFormat="1" ht="12" hidden="1" customHeight="1" outlineLevel="3">
      <c r="B470" s="245"/>
      <c r="C470" s="213" t="s">
        <v>765</v>
      </c>
      <c r="D470" s="213"/>
      <c r="E470" s="213"/>
      <c r="F470" s="213"/>
      <c r="G470" s="213"/>
      <c r="H470" s="213"/>
      <c r="I470" s="213"/>
      <c r="J470" s="213"/>
      <c r="K470" s="213"/>
      <c r="L470" s="213"/>
      <c r="M470" s="213"/>
      <c r="N470" s="213"/>
      <c r="O470" s="213"/>
      <c r="P470" s="213"/>
      <c r="Q470" s="211">
        <f>INDEX($C$349:$AN$371, MATCH("New Customers 3MS", $C$349:$C$371, 0), MATCH($C470, $C$349:$AN$349, 0))</f>
        <v>0</v>
      </c>
      <c r="R470" s="211"/>
      <c r="S470" s="211"/>
      <c r="T470" s="211">
        <f>Q470*(E457)</f>
        <v>0</v>
      </c>
      <c r="U470" s="211"/>
      <c r="V470" s="211"/>
      <c r="W470" s="211">
        <f>Q470*(H457)</f>
        <v>0</v>
      </c>
      <c r="X470" s="211"/>
      <c r="Y470" s="211"/>
      <c r="Z470" s="211">
        <f>Q470*(K457)</f>
        <v>0</v>
      </c>
      <c r="AA470" s="211"/>
      <c r="AB470" s="211"/>
      <c r="AC470" s="211">
        <f>Q470*(N457)</f>
        <v>0</v>
      </c>
      <c r="AD470" s="211"/>
      <c r="AE470" s="211"/>
      <c r="AF470" s="211">
        <f>Q470*(Q457)</f>
        <v>0</v>
      </c>
      <c r="AG470" s="211"/>
      <c r="AH470" s="211"/>
      <c r="AI470" s="211">
        <f>Q470*(T457)</f>
        <v>0</v>
      </c>
      <c r="AJ470" s="211"/>
      <c r="AK470" s="211"/>
      <c r="AL470" s="211">
        <f>Q470*(W457)</f>
        <v>0</v>
      </c>
      <c r="AM470" s="211"/>
      <c r="AN470" s="211"/>
    </row>
    <row r="471" spans="2:40" s="7" customFormat="1" ht="12" hidden="1" customHeight="1" outlineLevel="3">
      <c r="B471" s="245"/>
      <c r="C471" s="213" t="s">
        <v>766</v>
      </c>
      <c r="D471" s="213"/>
      <c r="E471" s="213"/>
      <c r="F471" s="213"/>
      <c r="G471" s="213"/>
      <c r="H471" s="213"/>
      <c r="I471" s="213"/>
      <c r="J471" s="213"/>
      <c r="K471" s="213"/>
      <c r="L471" s="213"/>
      <c r="M471" s="213"/>
      <c r="N471" s="213"/>
      <c r="O471" s="213"/>
      <c r="P471" s="213"/>
      <c r="Q471" s="213"/>
      <c r="R471" s="211">
        <f>INDEX($C$349:$AN$371, MATCH("New Customers 3MS", $C$349:$C$371, 0), MATCH($C471, $C$349:$AN$349, 0))</f>
        <v>0</v>
      </c>
      <c r="S471" s="211"/>
      <c r="T471" s="211"/>
      <c r="U471" s="211">
        <f>R471*(E457)</f>
        <v>0</v>
      </c>
      <c r="V471" s="211"/>
      <c r="W471" s="211"/>
      <c r="X471" s="211">
        <f>R471*(H457)</f>
        <v>0</v>
      </c>
      <c r="Y471" s="211"/>
      <c r="Z471" s="211"/>
      <c r="AA471" s="211">
        <f>R471*(K457)</f>
        <v>0</v>
      </c>
      <c r="AB471" s="211"/>
      <c r="AC471" s="211"/>
      <c r="AD471" s="211">
        <f>R471*(N457)</f>
        <v>0</v>
      </c>
      <c r="AE471" s="211"/>
      <c r="AF471" s="211"/>
      <c r="AG471" s="211">
        <f>R471*(Q457)</f>
        <v>0</v>
      </c>
      <c r="AH471" s="211"/>
      <c r="AI471" s="211"/>
      <c r="AJ471" s="211">
        <f>R471*(T457)</f>
        <v>0</v>
      </c>
      <c r="AK471" s="211"/>
      <c r="AL471" s="211"/>
      <c r="AM471" s="211">
        <f>R471*(W457)</f>
        <v>0</v>
      </c>
      <c r="AN471" s="211"/>
    </row>
    <row r="472" spans="2:40" s="7" customFormat="1" ht="12" hidden="1" customHeight="1" outlineLevel="3">
      <c r="B472" s="245"/>
      <c r="C472" s="213" t="s">
        <v>767</v>
      </c>
      <c r="D472" s="213"/>
      <c r="E472" s="213"/>
      <c r="F472" s="213"/>
      <c r="G472" s="213"/>
      <c r="H472" s="213"/>
      <c r="I472" s="213"/>
      <c r="J472" s="213"/>
      <c r="K472" s="213"/>
      <c r="L472" s="213"/>
      <c r="M472" s="213"/>
      <c r="N472" s="213"/>
      <c r="O472" s="213"/>
      <c r="P472" s="213"/>
      <c r="Q472" s="213"/>
      <c r="R472" s="213"/>
      <c r="S472" s="211">
        <f>INDEX($C$349:$AN$371, MATCH("New Customers 3MS", $C$349:$C$371, 0), MATCH($C472, $C$349:$AN$349, 0))</f>
        <v>0</v>
      </c>
      <c r="T472" s="211"/>
      <c r="U472" s="211"/>
      <c r="V472" s="211">
        <f>S472*(E457)</f>
        <v>0</v>
      </c>
      <c r="W472" s="211"/>
      <c r="X472" s="211"/>
      <c r="Y472" s="211">
        <f>S472*(H457)</f>
        <v>0</v>
      </c>
      <c r="Z472" s="211"/>
      <c r="AA472" s="211"/>
      <c r="AB472" s="211">
        <f>S472*(K457)</f>
        <v>0</v>
      </c>
      <c r="AC472" s="211"/>
      <c r="AD472" s="211"/>
      <c r="AE472" s="211">
        <f>S472*(N457)</f>
        <v>0</v>
      </c>
      <c r="AF472" s="211"/>
      <c r="AG472" s="211"/>
      <c r="AH472" s="211">
        <f>S472*(Q457)</f>
        <v>0</v>
      </c>
      <c r="AI472" s="211"/>
      <c r="AJ472" s="211"/>
      <c r="AK472" s="211">
        <f>S472*(T457)</f>
        <v>0</v>
      </c>
      <c r="AL472" s="211"/>
      <c r="AM472" s="211"/>
      <c r="AN472" s="211">
        <f>S472*(W457)</f>
        <v>0</v>
      </c>
    </row>
    <row r="473" spans="2:40" s="7" customFormat="1" ht="12" hidden="1" customHeight="1" outlineLevel="3">
      <c r="B473" s="245"/>
      <c r="C473" s="213" t="s">
        <v>768</v>
      </c>
      <c r="D473" s="213"/>
      <c r="E473" s="213"/>
      <c r="F473" s="213"/>
      <c r="G473" s="213"/>
      <c r="H473" s="213"/>
      <c r="I473" s="213"/>
      <c r="J473" s="213"/>
      <c r="K473" s="213"/>
      <c r="L473" s="213"/>
      <c r="M473" s="213"/>
      <c r="N473" s="213"/>
      <c r="O473" s="213"/>
      <c r="P473" s="213"/>
      <c r="Q473" s="213"/>
      <c r="R473" s="213"/>
      <c r="S473" s="213"/>
      <c r="T473" s="211">
        <f>INDEX($C$349:$AN$371, MATCH("New Customers 3MS", $C$349:$C$371, 0), MATCH($C473, $C$349:$AN$349, 0))</f>
        <v>0</v>
      </c>
      <c r="U473" s="211"/>
      <c r="V473" s="211"/>
      <c r="W473" s="211">
        <f>T473*(E457)</f>
        <v>0</v>
      </c>
      <c r="X473" s="211"/>
      <c r="Y473" s="211"/>
      <c r="Z473" s="211">
        <f>T473*(H457)</f>
        <v>0</v>
      </c>
      <c r="AA473" s="211"/>
      <c r="AB473" s="211"/>
      <c r="AC473" s="211">
        <f>T473*(K457)</f>
        <v>0</v>
      </c>
      <c r="AD473" s="211"/>
      <c r="AE473" s="211"/>
      <c r="AF473" s="211">
        <f>T473*(N457)</f>
        <v>0</v>
      </c>
      <c r="AG473" s="211"/>
      <c r="AH473" s="211"/>
      <c r="AI473" s="211">
        <f>T473*(Q457)</f>
        <v>0</v>
      </c>
      <c r="AJ473" s="211"/>
      <c r="AK473" s="211"/>
      <c r="AL473" s="211">
        <f>T473*(T457)</f>
        <v>0</v>
      </c>
      <c r="AM473" s="211"/>
      <c r="AN473" s="211"/>
    </row>
    <row r="474" spans="2:40" s="7" customFormat="1" ht="12" hidden="1" customHeight="1" outlineLevel="3">
      <c r="B474" s="245"/>
      <c r="C474" s="213" t="s">
        <v>769</v>
      </c>
      <c r="D474" s="213"/>
      <c r="E474" s="213"/>
      <c r="F474" s="213"/>
      <c r="G474" s="213"/>
      <c r="H474" s="213"/>
      <c r="I474" s="213"/>
      <c r="J474" s="213"/>
      <c r="K474" s="213"/>
      <c r="L474" s="213"/>
      <c r="M474" s="213"/>
      <c r="N474" s="213"/>
      <c r="O474" s="213"/>
      <c r="P474" s="213"/>
      <c r="Q474" s="213"/>
      <c r="R474" s="213"/>
      <c r="S474" s="213"/>
      <c r="T474" s="213"/>
      <c r="U474" s="211">
        <f>INDEX($C$349:$AN$371, MATCH("New Customers 3MS", $C$349:$C$371, 0), MATCH($C474, $C$349:$AN$349, 0))</f>
        <v>0</v>
      </c>
      <c r="V474" s="211"/>
      <c r="W474" s="211"/>
      <c r="X474" s="211">
        <f>U474*(E457)</f>
        <v>0</v>
      </c>
      <c r="Y474" s="211"/>
      <c r="Z474" s="211"/>
      <c r="AA474" s="211">
        <f>U474*(H457)</f>
        <v>0</v>
      </c>
      <c r="AB474" s="211"/>
      <c r="AC474" s="211"/>
      <c r="AD474" s="211">
        <f>U474*(K457)</f>
        <v>0</v>
      </c>
      <c r="AE474" s="211"/>
      <c r="AF474" s="211"/>
      <c r="AG474" s="211">
        <f>U474*(N457)</f>
        <v>0</v>
      </c>
      <c r="AH474" s="211"/>
      <c r="AI474" s="211"/>
      <c r="AJ474" s="211">
        <f>U474*(Q457)</f>
        <v>0</v>
      </c>
      <c r="AK474" s="211"/>
      <c r="AL474" s="211"/>
      <c r="AM474" s="211">
        <f>U474*(T457)</f>
        <v>0</v>
      </c>
      <c r="AN474" s="211"/>
    </row>
    <row r="475" spans="2:40" s="7" customFormat="1" ht="12" hidden="1" customHeight="1" outlineLevel="3">
      <c r="B475" s="245"/>
      <c r="C475" s="213" t="s">
        <v>770</v>
      </c>
      <c r="D475" s="213"/>
      <c r="E475" s="213"/>
      <c r="F475" s="213"/>
      <c r="G475" s="213"/>
      <c r="H475" s="213"/>
      <c r="I475" s="213"/>
      <c r="J475" s="213"/>
      <c r="K475" s="213"/>
      <c r="L475" s="213"/>
      <c r="M475" s="213"/>
      <c r="N475" s="213"/>
      <c r="O475" s="213"/>
      <c r="P475" s="213"/>
      <c r="Q475" s="213"/>
      <c r="R475" s="213"/>
      <c r="S475" s="213"/>
      <c r="T475" s="213"/>
      <c r="U475" s="213"/>
      <c r="V475" s="211">
        <f>INDEX($C$349:$AN$371, MATCH("New Customers 3MS", $C$349:$C$371, 0), MATCH($C475, $C$349:$AN$349, 0))</f>
        <v>0</v>
      </c>
      <c r="W475" s="211"/>
      <c r="X475" s="211"/>
      <c r="Y475" s="211">
        <f>V475*(E457)</f>
        <v>0</v>
      </c>
      <c r="Z475" s="211"/>
      <c r="AA475" s="211"/>
      <c r="AB475" s="211">
        <f>V475*(H457)</f>
        <v>0</v>
      </c>
      <c r="AC475" s="211"/>
      <c r="AD475" s="211"/>
      <c r="AE475" s="211">
        <f>V475*(K457)</f>
        <v>0</v>
      </c>
      <c r="AF475" s="211"/>
      <c r="AG475" s="211"/>
      <c r="AH475" s="211">
        <f>V475*(N457)</f>
        <v>0</v>
      </c>
      <c r="AI475" s="211"/>
      <c r="AJ475" s="211"/>
      <c r="AK475" s="211">
        <f>V475*(Q457)</f>
        <v>0</v>
      </c>
      <c r="AL475" s="211"/>
      <c r="AM475" s="211"/>
      <c r="AN475" s="211">
        <f>V475*(T457)</f>
        <v>0</v>
      </c>
    </row>
    <row r="476" spans="2:40" s="7" customFormat="1" ht="12" hidden="1" customHeight="1" outlineLevel="3">
      <c r="B476" s="245"/>
      <c r="C476" s="213" t="s">
        <v>771</v>
      </c>
      <c r="D476" s="213"/>
      <c r="E476" s="213"/>
      <c r="F476" s="213"/>
      <c r="G476" s="213"/>
      <c r="H476" s="213"/>
      <c r="I476" s="213"/>
      <c r="J476" s="213"/>
      <c r="K476" s="213"/>
      <c r="L476" s="213"/>
      <c r="M476" s="213"/>
      <c r="N476" s="213"/>
      <c r="O476" s="213"/>
      <c r="P476" s="213"/>
      <c r="Q476" s="213"/>
      <c r="R476" s="213"/>
      <c r="S476" s="213"/>
      <c r="T476" s="213"/>
      <c r="U476" s="213"/>
      <c r="V476" s="213"/>
      <c r="W476" s="211">
        <f>INDEX($C$349:$AN$371, MATCH("New Customers 3MS", $C$349:$C$371, 0), MATCH($C476, $C$349:$AN$349, 0))</f>
        <v>0</v>
      </c>
      <c r="X476" s="211"/>
      <c r="Y476" s="211"/>
      <c r="Z476" s="211">
        <f>W476*(E457)</f>
        <v>0</v>
      </c>
      <c r="AA476" s="211"/>
      <c r="AB476" s="211"/>
      <c r="AC476" s="211">
        <f>W476*(H457)</f>
        <v>0</v>
      </c>
      <c r="AD476" s="211"/>
      <c r="AE476" s="211"/>
      <c r="AF476" s="211">
        <f>W476*(K457)</f>
        <v>0</v>
      </c>
      <c r="AG476" s="211"/>
      <c r="AH476" s="211"/>
      <c r="AI476" s="211">
        <f>W476*(N457)</f>
        <v>0</v>
      </c>
      <c r="AJ476" s="211"/>
      <c r="AK476" s="211"/>
      <c r="AL476" s="211">
        <f>W476*(Q457)</f>
        <v>0</v>
      </c>
      <c r="AM476" s="211"/>
      <c r="AN476" s="211"/>
    </row>
    <row r="477" spans="2:40" s="7" customFormat="1" ht="12" hidden="1" customHeight="1" outlineLevel="3">
      <c r="B477" s="245"/>
      <c r="C477" s="213" t="s">
        <v>772</v>
      </c>
      <c r="D477" s="213"/>
      <c r="E477" s="213"/>
      <c r="F477" s="213"/>
      <c r="G477" s="213"/>
      <c r="H477" s="213"/>
      <c r="I477" s="213"/>
      <c r="J477" s="213"/>
      <c r="K477" s="213"/>
      <c r="L477" s="213"/>
      <c r="M477" s="213"/>
      <c r="N477" s="213"/>
      <c r="O477" s="213"/>
      <c r="P477" s="213"/>
      <c r="Q477" s="213"/>
      <c r="R477" s="213"/>
      <c r="S477" s="213"/>
      <c r="T477" s="213"/>
      <c r="U477" s="213"/>
      <c r="V477" s="213"/>
      <c r="W477" s="213"/>
      <c r="X477" s="211">
        <f>INDEX($C$349:$AN$371, MATCH("New Customers 3MS", $C$349:$C$371, 0), MATCH($C477, $C$349:$AN$349, 0))</f>
        <v>0</v>
      </c>
      <c r="Y477" s="211"/>
      <c r="Z477" s="211"/>
      <c r="AA477" s="211">
        <f>X477*(E457)</f>
        <v>0</v>
      </c>
      <c r="AB477" s="211"/>
      <c r="AC477" s="211"/>
      <c r="AD477" s="211">
        <f>X477*(H457)</f>
        <v>0</v>
      </c>
      <c r="AE477" s="211"/>
      <c r="AF477" s="211"/>
      <c r="AG477" s="211">
        <f>X477*(K457)</f>
        <v>0</v>
      </c>
      <c r="AH477" s="211"/>
      <c r="AI477" s="211"/>
      <c r="AJ477" s="211">
        <f>X477*(N457)</f>
        <v>0</v>
      </c>
      <c r="AK477" s="211"/>
      <c r="AL477" s="211"/>
      <c r="AM477" s="211">
        <f>X477*(Q457)</f>
        <v>0</v>
      </c>
      <c r="AN477" s="211"/>
    </row>
    <row r="478" spans="2:40" s="7" customFormat="1" ht="12" hidden="1" customHeight="1" outlineLevel="3">
      <c r="B478" s="245"/>
      <c r="C478" s="213" t="s">
        <v>773</v>
      </c>
      <c r="D478" s="213"/>
      <c r="E478" s="213"/>
      <c r="F478" s="213"/>
      <c r="G478" s="213"/>
      <c r="H478" s="213"/>
      <c r="I478" s="213"/>
      <c r="J478" s="213"/>
      <c r="K478" s="213"/>
      <c r="L478" s="213"/>
      <c r="M478" s="213"/>
      <c r="N478" s="213"/>
      <c r="O478" s="213"/>
      <c r="P478" s="213"/>
      <c r="Q478" s="213"/>
      <c r="R478" s="213"/>
      <c r="S478" s="213"/>
      <c r="T478" s="213"/>
      <c r="U478" s="213"/>
      <c r="V478" s="213"/>
      <c r="W478" s="213"/>
      <c r="X478" s="213"/>
      <c r="Y478" s="211">
        <f>INDEX($C$349:$AN$371, MATCH("New Customers 3MS", $C$349:$C$371, 0), MATCH($C478, $C$349:$AN$349, 0))</f>
        <v>0</v>
      </c>
      <c r="Z478" s="211"/>
      <c r="AA478" s="211"/>
      <c r="AB478" s="211">
        <f>Y478*(E457)</f>
        <v>0</v>
      </c>
      <c r="AC478" s="211"/>
      <c r="AD478" s="211"/>
      <c r="AE478" s="211">
        <f>Y478*(H457)</f>
        <v>0</v>
      </c>
      <c r="AF478" s="211"/>
      <c r="AG478" s="211"/>
      <c r="AH478" s="211">
        <f>Y478*(K457)</f>
        <v>0</v>
      </c>
      <c r="AI478" s="211"/>
      <c r="AJ478" s="211"/>
      <c r="AK478" s="211">
        <f>Y478*(N457)</f>
        <v>0</v>
      </c>
      <c r="AL478" s="211"/>
      <c r="AM478" s="211"/>
      <c r="AN478" s="211">
        <f>Y478*(Q457)</f>
        <v>0</v>
      </c>
    </row>
    <row r="479" spans="2:40" s="7" customFormat="1" ht="12" hidden="1" customHeight="1" outlineLevel="3">
      <c r="B479" s="245"/>
      <c r="C479" s="213" t="s">
        <v>774</v>
      </c>
      <c r="D479" s="213"/>
      <c r="E479" s="213"/>
      <c r="F479" s="213"/>
      <c r="G479" s="213"/>
      <c r="H479" s="213"/>
      <c r="I479" s="213"/>
      <c r="J479" s="213"/>
      <c r="K479" s="213"/>
      <c r="L479" s="213"/>
      <c r="M479" s="213"/>
      <c r="N479" s="213"/>
      <c r="O479" s="213"/>
      <c r="P479" s="213"/>
      <c r="Q479" s="213"/>
      <c r="R479" s="213"/>
      <c r="S479" s="213"/>
      <c r="T479" s="213"/>
      <c r="U479" s="213"/>
      <c r="V479" s="213"/>
      <c r="W479" s="213"/>
      <c r="X479" s="213"/>
      <c r="Y479" s="213"/>
      <c r="Z479" s="211">
        <f>INDEX($C$349:$AN$371, MATCH("New Customers 3MS", $C$349:$C$371, 0), MATCH($C479, $C$349:$AN$349, 0))</f>
        <v>0</v>
      </c>
      <c r="AA479" s="211"/>
      <c r="AB479" s="211"/>
      <c r="AC479" s="211">
        <f>Z479*(E457)</f>
        <v>0</v>
      </c>
      <c r="AD479" s="211"/>
      <c r="AE479" s="211"/>
      <c r="AF479" s="211">
        <f>Z479*(H457)</f>
        <v>0</v>
      </c>
      <c r="AG479" s="211"/>
      <c r="AH479" s="211"/>
      <c r="AI479" s="211">
        <f>Z479*(K457)</f>
        <v>0</v>
      </c>
      <c r="AJ479" s="211"/>
      <c r="AK479" s="211"/>
      <c r="AL479" s="211">
        <f>Z479*(N457)</f>
        <v>0</v>
      </c>
      <c r="AM479" s="211"/>
      <c r="AN479" s="211"/>
    </row>
    <row r="480" spans="2:40" s="7" customFormat="1" ht="12" hidden="1" customHeight="1" outlineLevel="3">
      <c r="B480" s="245"/>
      <c r="C480" s="213" t="s">
        <v>775</v>
      </c>
      <c r="D480" s="213"/>
      <c r="E480" s="213"/>
      <c r="F480" s="213"/>
      <c r="G480" s="213"/>
      <c r="H480" s="213"/>
      <c r="I480" s="213"/>
      <c r="J480" s="213"/>
      <c r="K480" s="213"/>
      <c r="L480" s="213"/>
      <c r="M480" s="213"/>
      <c r="N480" s="213"/>
      <c r="O480" s="213"/>
      <c r="P480" s="213"/>
      <c r="Q480" s="213"/>
      <c r="R480" s="213"/>
      <c r="S480" s="213"/>
      <c r="T480" s="213"/>
      <c r="U480" s="213"/>
      <c r="V480" s="213"/>
      <c r="W480" s="213"/>
      <c r="X480" s="213"/>
      <c r="Y480" s="213"/>
      <c r="Z480" s="213"/>
      <c r="AA480" s="211">
        <f>INDEX($C$349:$AN$371, MATCH("New Customers 3MS", $C$349:$C$371, 0), MATCH($C480, $C$349:$AN$349, 0))</f>
        <v>0</v>
      </c>
      <c r="AB480" s="211"/>
      <c r="AC480" s="211"/>
      <c r="AD480" s="211">
        <f>AA480*(E457)</f>
        <v>0</v>
      </c>
      <c r="AE480" s="211"/>
      <c r="AF480" s="211"/>
      <c r="AG480" s="211">
        <f>AA480*(H457)</f>
        <v>0</v>
      </c>
      <c r="AH480" s="211"/>
      <c r="AI480" s="211"/>
      <c r="AJ480" s="211">
        <f>AA480*(K457)</f>
        <v>0</v>
      </c>
      <c r="AK480" s="211"/>
      <c r="AL480" s="211"/>
      <c r="AM480" s="211">
        <f>AA480*(N457)</f>
        <v>0</v>
      </c>
      <c r="AN480" s="211"/>
    </row>
    <row r="481" spans="2:40" s="7" customFormat="1" ht="12" hidden="1" customHeight="1" outlineLevel="3">
      <c r="B481" s="245"/>
      <c r="C481" s="213" t="s">
        <v>776</v>
      </c>
      <c r="D481" s="213"/>
      <c r="E481" s="213"/>
      <c r="F481" s="213"/>
      <c r="G481" s="213"/>
      <c r="H481" s="213"/>
      <c r="I481" s="213"/>
      <c r="J481" s="213"/>
      <c r="K481" s="213"/>
      <c r="L481" s="213"/>
      <c r="M481" s="213"/>
      <c r="N481" s="213"/>
      <c r="O481" s="213"/>
      <c r="P481" s="213"/>
      <c r="Q481" s="213"/>
      <c r="R481" s="213"/>
      <c r="S481" s="213"/>
      <c r="T481" s="213"/>
      <c r="U481" s="213"/>
      <c r="V481" s="213"/>
      <c r="W481" s="213"/>
      <c r="X481" s="213"/>
      <c r="Y481" s="213"/>
      <c r="Z481" s="213"/>
      <c r="AA481" s="213"/>
      <c r="AB481" s="211">
        <f>INDEX($C$349:$AN$371, MATCH("New Customers 3MS", $C$349:$C$371, 0), MATCH($C481, $C$349:$AN$349, 0))</f>
        <v>0</v>
      </c>
      <c r="AC481" s="211"/>
      <c r="AD481" s="211"/>
      <c r="AE481" s="211">
        <f>AB481*(E457)</f>
        <v>0</v>
      </c>
      <c r="AF481" s="211"/>
      <c r="AG481" s="211"/>
      <c r="AH481" s="211">
        <f>AB481*(H457)</f>
        <v>0</v>
      </c>
      <c r="AI481" s="211"/>
      <c r="AJ481" s="211"/>
      <c r="AK481" s="211">
        <f>AB481*($K$153)</f>
        <v>0</v>
      </c>
      <c r="AL481" s="211"/>
      <c r="AM481" s="211"/>
      <c r="AN481" s="211">
        <f>AB481*(N457)</f>
        <v>0</v>
      </c>
    </row>
    <row r="482" spans="2:40" s="7" customFormat="1" ht="12" hidden="1" customHeight="1" outlineLevel="3">
      <c r="B482" s="245"/>
      <c r="C482" s="213" t="s">
        <v>777</v>
      </c>
      <c r="D482" s="213"/>
      <c r="E482" s="213"/>
      <c r="F482" s="213"/>
      <c r="G482" s="213"/>
      <c r="H482" s="213"/>
      <c r="I482" s="213"/>
      <c r="J482" s="213"/>
      <c r="K482" s="213"/>
      <c r="L482" s="213"/>
      <c r="M482" s="213"/>
      <c r="N482" s="213"/>
      <c r="O482" s="213"/>
      <c r="P482" s="213"/>
      <c r="Q482" s="213"/>
      <c r="R482" s="213"/>
      <c r="S482" s="213"/>
      <c r="T482" s="213"/>
      <c r="U482" s="213"/>
      <c r="V482" s="213"/>
      <c r="W482" s="213"/>
      <c r="X482" s="213"/>
      <c r="Y482" s="213"/>
      <c r="Z482" s="213"/>
      <c r="AA482" s="213"/>
      <c r="AB482" s="211"/>
      <c r="AC482" s="211">
        <f>INDEX($C$349:$AN$371, MATCH("New Customers 3MS", $C$349:$C$371, 0), MATCH($C482, $C$349:$AN$349, 0))</f>
        <v>0</v>
      </c>
      <c r="AD482" s="211"/>
      <c r="AE482" s="211"/>
      <c r="AF482" s="211">
        <f>AC482*($E$153)</f>
        <v>0</v>
      </c>
      <c r="AG482" s="211"/>
      <c r="AH482" s="211"/>
      <c r="AI482" s="211">
        <f>AB481*($H$153)</f>
        <v>0</v>
      </c>
      <c r="AJ482" s="211"/>
      <c r="AK482" s="211"/>
      <c r="AL482" s="211">
        <f>AC482*($K$153)</f>
        <v>0</v>
      </c>
      <c r="AM482" s="211"/>
      <c r="AN482" s="211"/>
    </row>
    <row r="483" spans="2:40" s="7" customFormat="1" ht="12" hidden="1" customHeight="1" outlineLevel="3">
      <c r="B483" s="245"/>
      <c r="C483" s="213" t="s">
        <v>778</v>
      </c>
      <c r="D483" s="213"/>
      <c r="E483" s="213"/>
      <c r="F483" s="213"/>
      <c r="G483" s="213"/>
      <c r="H483" s="213"/>
      <c r="I483" s="213"/>
      <c r="J483" s="213"/>
      <c r="K483" s="213"/>
      <c r="L483" s="213"/>
      <c r="M483" s="213"/>
      <c r="N483" s="213"/>
      <c r="O483" s="213"/>
      <c r="P483" s="213"/>
      <c r="Q483" s="213"/>
      <c r="R483" s="213"/>
      <c r="S483" s="213"/>
      <c r="T483" s="213"/>
      <c r="U483" s="213"/>
      <c r="V483" s="213"/>
      <c r="W483" s="213"/>
      <c r="X483" s="213"/>
      <c r="Y483" s="213"/>
      <c r="Z483" s="213"/>
      <c r="AA483" s="213"/>
      <c r="AB483" s="211"/>
      <c r="AC483" s="211"/>
      <c r="AD483" s="211">
        <f>INDEX($C$349:$AN$371, MATCH("New Customers 3MS", $C$349:$C$371, 0), MATCH($C483, $C$349:$AN$349, 0))</f>
        <v>0</v>
      </c>
      <c r="AE483" s="211"/>
      <c r="AF483" s="211"/>
      <c r="AG483" s="211">
        <f>AD483*($E$153)</f>
        <v>0</v>
      </c>
      <c r="AH483" s="211"/>
      <c r="AI483" s="211"/>
      <c r="AJ483" s="211">
        <f>AB481*($H$153)</f>
        <v>0</v>
      </c>
      <c r="AK483" s="211"/>
      <c r="AL483" s="211"/>
      <c r="AM483" s="211">
        <f>AD483*($K$153)</f>
        <v>0</v>
      </c>
      <c r="AN483" s="211"/>
    </row>
    <row r="484" spans="2:40" s="7" customFormat="1" ht="12" hidden="1" customHeight="1" outlineLevel="3">
      <c r="B484" s="245"/>
      <c r="C484" s="213" t="s">
        <v>779</v>
      </c>
      <c r="D484" s="213"/>
      <c r="E484" s="213"/>
      <c r="F484" s="213"/>
      <c r="G484" s="213"/>
      <c r="H484" s="213"/>
      <c r="I484" s="213"/>
      <c r="J484" s="213"/>
      <c r="K484" s="213"/>
      <c r="L484" s="213"/>
      <c r="M484" s="213"/>
      <c r="N484" s="213"/>
      <c r="O484" s="213"/>
      <c r="P484" s="213"/>
      <c r="Q484" s="213"/>
      <c r="R484" s="213"/>
      <c r="S484" s="213"/>
      <c r="T484" s="213"/>
      <c r="U484" s="213"/>
      <c r="V484" s="213"/>
      <c r="W484" s="213"/>
      <c r="X484" s="213"/>
      <c r="Y484" s="213"/>
      <c r="Z484" s="213"/>
      <c r="AA484" s="213"/>
      <c r="AB484" s="211"/>
      <c r="AC484" s="211"/>
      <c r="AD484" s="211"/>
      <c r="AE484" s="211">
        <f>INDEX($C$349:$AN$371, MATCH("New Customers 3MS", $C$349:$C$371, 0), MATCH($C484, $C$349:$AN$349, 0))</f>
        <v>0</v>
      </c>
      <c r="AF484" s="211"/>
      <c r="AG484" s="211"/>
      <c r="AH484" s="211">
        <f>AE484*($E$153)</f>
        <v>0</v>
      </c>
      <c r="AI484" s="211"/>
      <c r="AJ484" s="211"/>
      <c r="AK484" s="211">
        <f>AB481*($H$153)</f>
        <v>0</v>
      </c>
      <c r="AL484" s="211"/>
      <c r="AM484" s="211"/>
      <c r="AN484" s="211">
        <f>AE484*($K$153)</f>
        <v>0</v>
      </c>
    </row>
    <row r="485" spans="2:40" s="7" customFormat="1" ht="12" hidden="1" customHeight="1" outlineLevel="3">
      <c r="B485" s="245"/>
      <c r="C485" s="213" t="s">
        <v>780</v>
      </c>
      <c r="D485" s="213"/>
      <c r="E485" s="213"/>
      <c r="F485" s="213"/>
      <c r="G485" s="213"/>
      <c r="H485" s="213"/>
      <c r="I485" s="213"/>
      <c r="J485" s="213"/>
      <c r="K485" s="213"/>
      <c r="L485" s="213"/>
      <c r="M485" s="213"/>
      <c r="N485" s="213"/>
      <c r="O485" s="213"/>
      <c r="P485" s="213"/>
      <c r="Q485" s="213"/>
      <c r="R485" s="213"/>
      <c r="S485" s="213"/>
      <c r="T485" s="213"/>
      <c r="U485" s="213"/>
      <c r="V485" s="213"/>
      <c r="W485" s="213"/>
      <c r="X485" s="213"/>
      <c r="Y485" s="213"/>
      <c r="Z485" s="213"/>
      <c r="AA485" s="213"/>
      <c r="AB485" s="211"/>
      <c r="AC485" s="211"/>
      <c r="AD485" s="211"/>
      <c r="AE485" s="211"/>
      <c r="AF485" s="211">
        <f>INDEX($C$349:$AN$371, MATCH("New Customers 3MS", $C$349:$C$371, 0), MATCH($C485, $C$349:$AN$349, 0))</f>
        <v>0</v>
      </c>
      <c r="AG485" s="211"/>
      <c r="AH485" s="211"/>
      <c r="AI485" s="211">
        <f>AF485*($E$153)</f>
        <v>0</v>
      </c>
      <c r="AJ485" s="211"/>
      <c r="AK485" s="211"/>
      <c r="AL485" s="211">
        <f>AB481*($H$153)</f>
        <v>0</v>
      </c>
      <c r="AM485" s="211"/>
      <c r="AN485" s="211"/>
    </row>
    <row r="486" spans="2:40" s="7" customFormat="1" ht="12" hidden="1" customHeight="1" outlineLevel="3">
      <c r="B486" s="245"/>
      <c r="C486" s="213" t="s">
        <v>781</v>
      </c>
      <c r="D486" s="213"/>
      <c r="E486" s="213"/>
      <c r="F486" s="213"/>
      <c r="G486" s="213"/>
      <c r="H486" s="213"/>
      <c r="I486" s="213"/>
      <c r="J486" s="213"/>
      <c r="K486" s="213"/>
      <c r="L486" s="213"/>
      <c r="M486" s="213"/>
      <c r="N486" s="213"/>
      <c r="O486" s="213"/>
      <c r="P486" s="213"/>
      <c r="Q486" s="213"/>
      <c r="R486" s="213"/>
      <c r="S486" s="213"/>
      <c r="T486" s="213"/>
      <c r="U486" s="213"/>
      <c r="V486" s="213"/>
      <c r="W486" s="213"/>
      <c r="X486" s="213"/>
      <c r="Y486" s="213"/>
      <c r="Z486" s="213"/>
      <c r="AA486" s="213"/>
      <c r="AB486" s="211"/>
      <c r="AC486" s="211"/>
      <c r="AD486" s="211"/>
      <c r="AE486" s="211"/>
      <c r="AF486" s="211"/>
      <c r="AG486" s="211">
        <f>INDEX($C$349:$AN$371, MATCH("New Customers 3MS", $C$349:$C$371, 0), MATCH($C486, $C$349:$AN$349, 0))</f>
        <v>0</v>
      </c>
      <c r="AH486" s="211"/>
      <c r="AI486" s="211"/>
      <c r="AJ486" s="211">
        <f>AG486*($E$153)</f>
        <v>0</v>
      </c>
      <c r="AK486" s="211"/>
      <c r="AL486" s="211"/>
      <c r="AM486" s="211">
        <f>AB481*($H$153)</f>
        <v>0</v>
      </c>
      <c r="AN486" s="211"/>
    </row>
    <row r="487" spans="2:40" s="7" customFormat="1" ht="12" hidden="1" customHeight="1" outlineLevel="3">
      <c r="B487" s="245"/>
      <c r="C487" s="213" t="s">
        <v>782</v>
      </c>
      <c r="D487" s="213"/>
      <c r="E487" s="213"/>
      <c r="F487" s="213"/>
      <c r="G487" s="213"/>
      <c r="H487" s="213"/>
      <c r="I487" s="213"/>
      <c r="J487" s="213"/>
      <c r="K487" s="213"/>
      <c r="L487" s="213"/>
      <c r="M487" s="213"/>
      <c r="N487" s="213"/>
      <c r="O487" s="213"/>
      <c r="P487" s="213"/>
      <c r="Q487" s="213"/>
      <c r="R487" s="213"/>
      <c r="S487" s="213"/>
      <c r="T487" s="213"/>
      <c r="U487" s="213"/>
      <c r="V487" s="213"/>
      <c r="W487" s="213"/>
      <c r="X487" s="213"/>
      <c r="Y487" s="213"/>
      <c r="Z487" s="213"/>
      <c r="AA487" s="213"/>
      <c r="AB487" s="211"/>
      <c r="AC487" s="211"/>
      <c r="AD487" s="211"/>
      <c r="AE487" s="211"/>
      <c r="AF487" s="211"/>
      <c r="AG487" s="211"/>
      <c r="AH487" s="211">
        <f>INDEX($C$349:$AN$371, MATCH("New Customers 3MS", $C$349:$C$371, 0), MATCH($C487, $C$349:$AN$349, 0))</f>
        <v>0</v>
      </c>
      <c r="AI487" s="211"/>
      <c r="AJ487" s="211"/>
      <c r="AK487" s="211">
        <f>AH487*($E$153)</f>
        <v>0</v>
      </c>
      <c r="AL487" s="211"/>
      <c r="AM487" s="211"/>
      <c r="AN487" s="211">
        <f>AB481*($H$153)</f>
        <v>0</v>
      </c>
    </row>
    <row r="488" spans="2:40" s="7" customFormat="1" ht="12" hidden="1" customHeight="1" outlineLevel="3">
      <c r="B488" s="245"/>
      <c r="C488" s="213" t="s">
        <v>783</v>
      </c>
      <c r="D488" s="213"/>
      <c r="E488" s="213"/>
      <c r="F488" s="213"/>
      <c r="G488" s="213"/>
      <c r="H488" s="213"/>
      <c r="I488" s="213"/>
      <c r="J488" s="213"/>
      <c r="K488" s="213"/>
      <c r="L488" s="213"/>
      <c r="M488" s="213"/>
      <c r="N488" s="213"/>
      <c r="O488" s="213"/>
      <c r="P488" s="213"/>
      <c r="Q488" s="213"/>
      <c r="R488" s="213"/>
      <c r="S488" s="213"/>
      <c r="T488" s="213"/>
      <c r="U488" s="213"/>
      <c r="V488" s="213"/>
      <c r="W488" s="213"/>
      <c r="X488" s="213"/>
      <c r="Y488" s="213"/>
      <c r="Z488" s="213"/>
      <c r="AA488" s="213"/>
      <c r="AB488" s="211"/>
      <c r="AC488" s="211"/>
      <c r="AD488" s="211"/>
      <c r="AE488" s="211"/>
      <c r="AF488" s="211"/>
      <c r="AG488" s="211"/>
      <c r="AH488" s="211"/>
      <c r="AI488" s="211">
        <f>INDEX($C$349:$AN$371, MATCH("New Customers 3MS", $C$349:$C$371, 0), MATCH($C488, $C$349:$AN$349, 0))</f>
        <v>0</v>
      </c>
      <c r="AJ488" s="211"/>
      <c r="AK488" s="211"/>
      <c r="AL488" s="211">
        <f>AI488*($E$153)</f>
        <v>0</v>
      </c>
      <c r="AM488" s="211"/>
      <c r="AN488" s="211"/>
    </row>
    <row r="489" spans="2:40" s="7" customFormat="1" ht="12" hidden="1" customHeight="1" outlineLevel="3">
      <c r="B489" s="245"/>
      <c r="C489" s="213" t="s">
        <v>784</v>
      </c>
      <c r="D489" s="213"/>
      <c r="E489" s="213"/>
      <c r="F489" s="213"/>
      <c r="G489" s="213"/>
      <c r="H489" s="213"/>
      <c r="I489" s="213"/>
      <c r="J489" s="213"/>
      <c r="K489" s="213"/>
      <c r="L489" s="213"/>
      <c r="M489" s="213"/>
      <c r="N489" s="213"/>
      <c r="O489" s="213"/>
      <c r="P489" s="213"/>
      <c r="Q489" s="213"/>
      <c r="R489" s="213"/>
      <c r="S489" s="213"/>
      <c r="T489" s="213"/>
      <c r="U489" s="213"/>
      <c r="V489" s="213"/>
      <c r="W489" s="213"/>
      <c r="X489" s="213"/>
      <c r="Y489" s="213"/>
      <c r="Z489" s="213"/>
      <c r="AA489" s="213"/>
      <c r="AB489" s="211"/>
      <c r="AC489" s="211"/>
      <c r="AD489" s="211"/>
      <c r="AE489" s="211"/>
      <c r="AF489" s="211"/>
      <c r="AG489" s="211"/>
      <c r="AH489" s="211"/>
      <c r="AI489" s="211"/>
      <c r="AJ489" s="211">
        <f>INDEX($C$349:$AN$371, MATCH("New Customers 3MS", $C$349:$C$371, 0), MATCH($C489, $C$349:$AN$349, 0))</f>
        <v>0</v>
      </c>
      <c r="AK489" s="211"/>
      <c r="AL489" s="211"/>
      <c r="AM489" s="211">
        <f>AJ489*($E$153)</f>
        <v>0</v>
      </c>
      <c r="AN489" s="211"/>
    </row>
    <row r="490" spans="2:40" s="7" customFormat="1" ht="12" hidden="1" customHeight="1" outlineLevel="3">
      <c r="B490" s="245"/>
      <c r="C490" s="213" t="s">
        <v>785</v>
      </c>
      <c r="D490" s="213"/>
      <c r="E490" s="213"/>
      <c r="F490" s="213"/>
      <c r="G490" s="213"/>
      <c r="H490" s="213"/>
      <c r="I490" s="213"/>
      <c r="J490" s="213"/>
      <c r="K490" s="213"/>
      <c r="L490" s="213"/>
      <c r="M490" s="213"/>
      <c r="N490" s="213"/>
      <c r="O490" s="213"/>
      <c r="P490" s="213"/>
      <c r="Q490" s="213"/>
      <c r="R490" s="213"/>
      <c r="S490" s="213"/>
      <c r="T490" s="213"/>
      <c r="U490" s="213"/>
      <c r="V490" s="213"/>
      <c r="W490" s="213"/>
      <c r="X490" s="213"/>
      <c r="Y490" s="213"/>
      <c r="Z490" s="213"/>
      <c r="AA490" s="213"/>
      <c r="AB490" s="211"/>
      <c r="AC490" s="211"/>
      <c r="AD490" s="211"/>
      <c r="AE490" s="211"/>
      <c r="AF490" s="211"/>
      <c r="AG490" s="211"/>
      <c r="AH490" s="211"/>
      <c r="AI490" s="211"/>
      <c r="AJ490" s="211"/>
      <c r="AK490" s="211">
        <f>INDEX($C$349:$AN$371, MATCH("New Customers 3MS", $C$349:$C$371, 0), MATCH($C490, $C$349:$AN$349, 0))</f>
        <v>0</v>
      </c>
      <c r="AL490" s="211"/>
      <c r="AM490" s="211"/>
      <c r="AN490" s="211">
        <f>AK490*($E$153)</f>
        <v>0</v>
      </c>
    </row>
    <row r="491" spans="2:40" s="7" customFormat="1" ht="12" hidden="1" customHeight="1" outlineLevel="3">
      <c r="B491" s="245"/>
      <c r="C491" s="213" t="s">
        <v>786</v>
      </c>
      <c r="D491" s="213"/>
      <c r="E491" s="213"/>
      <c r="F491" s="213"/>
      <c r="G491" s="213"/>
      <c r="H491" s="213"/>
      <c r="I491" s="213"/>
      <c r="J491" s="213"/>
      <c r="K491" s="213"/>
      <c r="L491" s="213"/>
      <c r="M491" s="213"/>
      <c r="N491" s="213"/>
      <c r="O491" s="213"/>
      <c r="P491" s="213"/>
      <c r="Q491" s="213"/>
      <c r="R491" s="213"/>
      <c r="S491" s="213"/>
      <c r="T491" s="213"/>
      <c r="U491" s="213"/>
      <c r="V491" s="213"/>
      <c r="W491" s="213"/>
      <c r="X491" s="213"/>
      <c r="Y491" s="213"/>
      <c r="Z491" s="213"/>
      <c r="AA491" s="213"/>
      <c r="AB491" s="211"/>
      <c r="AC491" s="211"/>
      <c r="AD491" s="211"/>
      <c r="AE491" s="211"/>
      <c r="AF491" s="211"/>
      <c r="AG491" s="211"/>
      <c r="AH491" s="211"/>
      <c r="AI491" s="211"/>
      <c r="AJ491" s="211"/>
      <c r="AK491" s="211"/>
      <c r="AL491" s="211">
        <f>INDEX($C$349:$AN$371, MATCH("New Customers 3MS", $C$349:$C$371, 0), MATCH($C491, $C$349:$AN$349, 0))</f>
        <v>0</v>
      </c>
      <c r="AM491" s="211"/>
      <c r="AN491" s="211"/>
    </row>
    <row r="492" spans="2:40" s="7" customFormat="1" ht="12" hidden="1" customHeight="1" outlineLevel="3">
      <c r="B492" s="245"/>
      <c r="C492" s="213" t="s">
        <v>787</v>
      </c>
      <c r="D492" s="213"/>
      <c r="E492" s="213"/>
      <c r="F492" s="213"/>
      <c r="G492" s="213"/>
      <c r="H492" s="213"/>
      <c r="I492" s="213"/>
      <c r="J492" s="213"/>
      <c r="K492" s="213"/>
      <c r="L492" s="213"/>
      <c r="M492" s="213"/>
      <c r="N492" s="213"/>
      <c r="O492" s="213"/>
      <c r="P492" s="213"/>
      <c r="Q492" s="213"/>
      <c r="R492" s="213"/>
      <c r="S492" s="213"/>
      <c r="T492" s="213"/>
      <c r="U492" s="213"/>
      <c r="V492" s="213"/>
      <c r="W492" s="213"/>
      <c r="X492" s="213"/>
      <c r="Y492" s="213"/>
      <c r="Z492" s="213"/>
      <c r="AA492" s="213"/>
      <c r="AB492" s="211"/>
      <c r="AC492" s="211"/>
      <c r="AD492" s="211"/>
      <c r="AE492" s="211"/>
      <c r="AF492" s="211"/>
      <c r="AG492" s="211"/>
      <c r="AH492" s="211"/>
      <c r="AI492" s="211"/>
      <c r="AJ492" s="211"/>
      <c r="AK492" s="211"/>
      <c r="AL492" s="211"/>
      <c r="AM492" s="211">
        <f>INDEX($C$349:$AN$371, MATCH("New Customers 3MS", $C$349:$C$371, 0), MATCH($C492, $C$349:$AN$349, 0))</f>
        <v>0</v>
      </c>
      <c r="AN492" s="211"/>
    </row>
    <row r="493" spans="2:40" s="7" customFormat="1" ht="12" hidden="1" customHeight="1" outlineLevel="3">
      <c r="B493" s="245"/>
      <c r="C493" s="213" t="s">
        <v>788</v>
      </c>
      <c r="D493" s="213"/>
      <c r="E493" s="213"/>
      <c r="F493" s="213"/>
      <c r="G493" s="213"/>
      <c r="H493" s="213"/>
      <c r="I493" s="213"/>
      <c r="J493" s="213"/>
      <c r="K493" s="213"/>
      <c r="L493" s="213"/>
      <c r="M493" s="213"/>
      <c r="N493" s="213"/>
      <c r="O493" s="213"/>
      <c r="P493" s="213"/>
      <c r="Q493" s="213"/>
      <c r="R493" s="213"/>
      <c r="S493" s="213"/>
      <c r="T493" s="213"/>
      <c r="U493" s="213"/>
      <c r="V493" s="213"/>
      <c r="W493" s="213"/>
      <c r="X493" s="213"/>
      <c r="Y493" s="213"/>
      <c r="Z493" s="213"/>
      <c r="AA493" s="213"/>
      <c r="AB493" s="211"/>
      <c r="AC493" s="211"/>
      <c r="AD493" s="211"/>
      <c r="AE493" s="211"/>
      <c r="AF493" s="211"/>
      <c r="AG493" s="211"/>
      <c r="AH493" s="211"/>
      <c r="AI493" s="211"/>
      <c r="AJ493" s="211"/>
      <c r="AK493" s="211"/>
      <c r="AL493" s="211"/>
      <c r="AM493" s="211"/>
      <c r="AN493" s="211">
        <f>INDEX($C$349:$AN$371, MATCH("New Customers 3MS", $C$349:$C$371, 0), MATCH($C493, $C$349:$AN$349, 0))</f>
        <v>0</v>
      </c>
    </row>
    <row r="494" spans="2:40" s="7" customFormat="1" ht="12" hidden="1" customHeight="1" outlineLevel="2" collapsed="1">
      <c r="B494" s="239"/>
      <c r="C494" s="214"/>
      <c r="D494" s="214"/>
      <c r="E494" s="214"/>
      <c r="F494" s="214"/>
      <c r="G494" s="214"/>
      <c r="H494" s="214"/>
      <c r="I494" s="214"/>
      <c r="J494" s="214"/>
      <c r="K494" s="214"/>
      <c r="L494" s="214"/>
      <c r="M494" s="214"/>
      <c r="N494" s="214"/>
      <c r="O494" s="214"/>
      <c r="P494" s="214"/>
      <c r="Q494" s="214"/>
      <c r="R494" s="214"/>
      <c r="S494" s="214"/>
      <c r="T494" s="214"/>
      <c r="U494" s="214"/>
      <c r="V494" s="214"/>
      <c r="W494" s="214"/>
      <c r="X494" s="214"/>
      <c r="Y494" s="214"/>
      <c r="Z494" s="214"/>
      <c r="AA494" s="214"/>
      <c r="AB494" s="214"/>
      <c r="AC494" s="212"/>
    </row>
    <row r="495" spans="2:40" s="7" customFormat="1" ht="12" customHeight="1" outlineLevel="1" collapsed="1">
      <c r="B495" s="239"/>
      <c r="C495" s="243" t="s">
        <v>855</v>
      </c>
      <c r="D495" s="214"/>
      <c r="E495" s="214"/>
      <c r="F495" s="214"/>
      <c r="G495" s="214"/>
      <c r="H495" s="214"/>
      <c r="I495" s="214"/>
      <c r="J495" s="214"/>
      <c r="K495" s="214"/>
      <c r="L495" s="214"/>
      <c r="M495" s="214"/>
      <c r="N495" s="214"/>
      <c r="O495" s="214"/>
      <c r="P495" s="214"/>
      <c r="Q495" s="214"/>
      <c r="R495" s="214"/>
      <c r="S495" s="214"/>
      <c r="T495" s="214"/>
      <c r="U495" s="214"/>
      <c r="V495" s="214"/>
      <c r="W495" s="214"/>
      <c r="X495" s="214"/>
      <c r="Y495" s="214"/>
      <c r="Z495" s="214"/>
      <c r="AA495" s="214"/>
      <c r="AB495" s="214"/>
      <c r="AC495" s="214"/>
    </row>
    <row r="496" spans="2:40" s="7" customFormat="1" ht="12" customHeight="1" outlineLevel="1">
      <c r="B496" s="239"/>
      <c r="C496" s="243"/>
      <c r="D496" s="214"/>
      <c r="E496" s="214"/>
      <c r="F496" s="214"/>
      <c r="G496" s="214"/>
      <c r="H496" s="214"/>
      <c r="I496" s="214"/>
      <c r="J496" s="214"/>
      <c r="K496" s="214"/>
      <c r="L496" s="214"/>
      <c r="M496" s="214"/>
      <c r="N496" s="214"/>
      <c r="O496" s="214"/>
      <c r="P496" s="214"/>
      <c r="Q496" s="214"/>
      <c r="R496" s="214"/>
      <c r="S496" s="214"/>
      <c r="T496" s="214"/>
      <c r="U496" s="214"/>
      <c r="V496" s="214"/>
      <c r="W496" s="214"/>
      <c r="X496" s="214"/>
      <c r="Y496" s="214"/>
      <c r="Z496" s="214"/>
      <c r="AA496" s="214"/>
      <c r="AB496" s="214"/>
      <c r="AC496" s="214"/>
    </row>
    <row r="497" spans="2:2" s="7" customFormat="1" outlineLevel="1">
      <c r="B497" s="235"/>
    </row>
    <row r="498" spans="2:2" s="7" customFormat="1" outlineLevel="1">
      <c r="B498" s="235"/>
    </row>
    <row r="499" spans="2:2" s="7" customFormat="1">
      <c r="B499" s="235"/>
    </row>
    <row r="500" spans="2:2" s="7" customFormat="1">
      <c r="B500" s="235"/>
    </row>
  </sheetData>
  <sheetProtection algorithmName="SHA-512" hashValue="0LdZ6CT/mshUbL4dBgeWDuLh8znitkc0k+JSJFHCqTUyPoKyoVfeAzevrexs/CPBo/VhTpQboMtuITSwynwd6Q==" saltValue="8liKVLbiJ5WxV12FA6e5Qw==" spinCount="100000" sheet="1" objects="1" scenarios="1"/>
  <hyperlinks>
    <hyperlink ref="B54" r:id="rId1" xr:uid="{EC665F51-0BFD-44F7-A0E0-298AB57934DA}"/>
    <hyperlink ref="B209" r:id="rId2" xr:uid="{9B573558-75F5-4A2E-BBF0-B9007DF1A5F7}"/>
  </hyperlinks>
  <pageMargins left="0.7" right="0.7" top="0.75" bottom="0.75" header="0.3" footer="0.3"/>
  <legacyDrawing r:id="rId3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8DEB9-982E-4357-8632-163E370F4D2C}">
  <sheetPr codeName="Sheet29"/>
  <dimension ref="B1:XEZ495"/>
  <sheetViews>
    <sheetView showGridLines="0" zoomScaleNormal="100" workbookViewId="0">
      <selection activeCell="Y21" sqref="Y21"/>
    </sheetView>
  </sheetViews>
  <sheetFormatPr baseColWidth="10" defaultColWidth="8.5" defaultRowHeight="11" outlineLevelRow="3" outlineLevelCol="1"/>
  <cols>
    <col min="1" max="1" width="6" style="7" customWidth="1"/>
    <col min="2" max="2" width="4.1640625" style="235" customWidth="1"/>
    <col min="3" max="3" width="29.5" style="7" bestFit="1" customWidth="1"/>
    <col min="4" max="4" width="10.5" style="7" customWidth="1"/>
    <col min="5" max="6" width="7.5" style="7" bestFit="1" customWidth="1" outlineLevel="1"/>
    <col min="7" max="8" width="8.5" style="7" bestFit="1" customWidth="1" outlineLevel="1"/>
    <col min="9" max="12" width="7.5" style="7" bestFit="1" customWidth="1" outlineLevel="1"/>
    <col min="13" max="28" width="7.5" style="7" bestFit="1" customWidth="1"/>
    <col min="29" max="29" width="6.83203125" style="7" bestFit="1" customWidth="1" outlineLevel="1"/>
    <col min="30" max="40" width="7.5" style="7" bestFit="1" customWidth="1" outlineLevel="1"/>
    <col min="41" max="16384" width="8.5" style="7"/>
  </cols>
  <sheetData>
    <row r="1" spans="2:40">
      <c r="E1" s="217" t="s">
        <v>180</v>
      </c>
      <c r="F1" s="217" t="s">
        <v>180</v>
      </c>
      <c r="G1" s="217" t="s">
        <v>180</v>
      </c>
      <c r="H1" s="217" t="s">
        <v>180</v>
      </c>
      <c r="I1" s="217" t="s">
        <v>180</v>
      </c>
      <c r="J1" s="217" t="s">
        <v>180</v>
      </c>
      <c r="K1" s="217" t="s">
        <v>180</v>
      </c>
      <c r="L1" s="217" t="s">
        <v>180</v>
      </c>
      <c r="M1" s="7" t="s">
        <v>42</v>
      </c>
      <c r="N1" s="7" t="s">
        <v>42</v>
      </c>
      <c r="O1" s="7" t="s">
        <v>42</v>
      </c>
      <c r="P1" s="7" t="s">
        <v>42</v>
      </c>
      <c r="Q1" s="7" t="s">
        <v>42</v>
      </c>
      <c r="R1" s="7" t="s">
        <v>42</v>
      </c>
      <c r="S1" s="7" t="s">
        <v>42</v>
      </c>
      <c r="T1" s="7" t="s">
        <v>42</v>
      </c>
      <c r="U1" s="7" t="s">
        <v>42</v>
      </c>
      <c r="V1" s="7" t="s">
        <v>42</v>
      </c>
      <c r="W1" s="7" t="s">
        <v>42</v>
      </c>
      <c r="X1" s="7" t="s">
        <v>42</v>
      </c>
      <c r="Y1" s="7" t="s">
        <v>42</v>
      </c>
      <c r="Z1" s="7" t="s">
        <v>42</v>
      </c>
      <c r="AA1" s="7" t="s">
        <v>42</v>
      </c>
      <c r="AB1" s="7" t="s">
        <v>42</v>
      </c>
      <c r="AC1" s="7" t="s">
        <v>42</v>
      </c>
      <c r="AD1" s="7" t="s">
        <v>42</v>
      </c>
      <c r="AE1" s="7" t="s">
        <v>42</v>
      </c>
      <c r="AF1" s="7" t="s">
        <v>42</v>
      </c>
      <c r="AG1" s="7" t="s">
        <v>42</v>
      </c>
      <c r="AH1" s="7" t="s">
        <v>42</v>
      </c>
      <c r="AI1" s="7" t="s">
        <v>42</v>
      </c>
      <c r="AJ1" s="7" t="s">
        <v>42</v>
      </c>
      <c r="AK1" s="7" t="s">
        <v>42</v>
      </c>
      <c r="AL1" s="7" t="s">
        <v>42</v>
      </c>
      <c r="AM1" s="7" t="s">
        <v>42</v>
      </c>
      <c r="AN1" s="7" t="s">
        <v>42</v>
      </c>
    </row>
    <row r="2" spans="2:40">
      <c r="E2" s="218">
        <v>45689</v>
      </c>
      <c r="F2" s="218">
        <v>45717</v>
      </c>
      <c r="G2" s="218">
        <v>45748</v>
      </c>
      <c r="H2" s="218">
        <v>45778</v>
      </c>
      <c r="I2" s="218">
        <v>45809</v>
      </c>
      <c r="J2" s="218">
        <v>45839</v>
      </c>
      <c r="K2" s="218">
        <v>45870</v>
      </c>
      <c r="L2" s="218">
        <v>45901</v>
      </c>
      <c r="M2" s="195">
        <v>45931</v>
      </c>
      <c r="N2" s="195">
        <v>45962</v>
      </c>
      <c r="O2" s="195">
        <v>45992</v>
      </c>
      <c r="P2" s="195">
        <v>46023</v>
      </c>
      <c r="Q2" s="258">
        <v>46054</v>
      </c>
      <c r="R2" s="258">
        <v>46082</v>
      </c>
      <c r="S2" s="258">
        <v>46113</v>
      </c>
      <c r="T2" s="258">
        <v>46143</v>
      </c>
      <c r="U2" s="258">
        <v>46174</v>
      </c>
      <c r="V2" s="258">
        <v>46204</v>
      </c>
      <c r="W2" s="258">
        <v>46235</v>
      </c>
      <c r="X2" s="258">
        <v>46266</v>
      </c>
      <c r="Y2" s="258">
        <v>46296</v>
      </c>
      <c r="Z2" s="258">
        <v>46327</v>
      </c>
      <c r="AA2" s="258">
        <v>46357</v>
      </c>
      <c r="AB2" s="258">
        <v>46388</v>
      </c>
      <c r="AC2" s="195">
        <v>46419</v>
      </c>
      <c r="AD2" s="195">
        <v>46447</v>
      </c>
      <c r="AE2" s="195">
        <v>46478</v>
      </c>
      <c r="AF2" s="195">
        <v>46508</v>
      </c>
      <c r="AG2" s="195">
        <v>46539</v>
      </c>
      <c r="AH2" s="195">
        <v>46569</v>
      </c>
      <c r="AI2" s="195">
        <v>46600</v>
      </c>
      <c r="AJ2" s="195">
        <v>46631</v>
      </c>
      <c r="AK2" s="195">
        <v>46661</v>
      </c>
      <c r="AL2" s="195">
        <v>46692</v>
      </c>
      <c r="AM2" s="195">
        <v>46722</v>
      </c>
      <c r="AN2" s="195">
        <v>46753</v>
      </c>
    </row>
    <row r="3" spans="2:40">
      <c r="B3" s="235" t="s">
        <v>686</v>
      </c>
      <c r="E3" s="219" t="s">
        <v>753</v>
      </c>
      <c r="F3" s="219" t="s">
        <v>754</v>
      </c>
      <c r="G3" s="219" t="s">
        <v>755</v>
      </c>
      <c r="H3" s="219" t="s">
        <v>756</v>
      </c>
      <c r="I3" s="219" t="s">
        <v>757</v>
      </c>
      <c r="J3" s="219" t="s">
        <v>758</v>
      </c>
      <c r="K3" s="219" t="s">
        <v>759</v>
      </c>
      <c r="L3" s="219" t="s">
        <v>760</v>
      </c>
      <c r="M3" s="196" t="s">
        <v>761</v>
      </c>
      <c r="N3" s="196" t="s">
        <v>762</v>
      </c>
      <c r="O3" s="196" t="s">
        <v>763</v>
      </c>
      <c r="P3" s="196" t="s">
        <v>764</v>
      </c>
      <c r="Q3" s="259" t="s">
        <v>765</v>
      </c>
      <c r="R3" s="259" t="s">
        <v>766</v>
      </c>
      <c r="S3" s="259" t="s">
        <v>767</v>
      </c>
      <c r="T3" s="259" t="s">
        <v>768</v>
      </c>
      <c r="U3" s="259" t="s">
        <v>769</v>
      </c>
      <c r="V3" s="259" t="s">
        <v>770</v>
      </c>
      <c r="W3" s="259" t="s">
        <v>771</v>
      </c>
      <c r="X3" s="259" t="s">
        <v>772</v>
      </c>
      <c r="Y3" s="259" t="s">
        <v>773</v>
      </c>
      <c r="Z3" s="259" t="s">
        <v>774</v>
      </c>
      <c r="AA3" s="259" t="s">
        <v>775</v>
      </c>
      <c r="AB3" s="259" t="s">
        <v>776</v>
      </c>
      <c r="AC3" s="196" t="s">
        <v>777</v>
      </c>
      <c r="AD3" s="196" t="s">
        <v>778</v>
      </c>
      <c r="AE3" s="196" t="s">
        <v>779</v>
      </c>
      <c r="AF3" s="196" t="s">
        <v>780</v>
      </c>
      <c r="AG3" s="196" t="s">
        <v>781</v>
      </c>
      <c r="AH3" s="196" t="s">
        <v>782</v>
      </c>
      <c r="AI3" s="196" t="s">
        <v>783</v>
      </c>
      <c r="AJ3" s="196" t="s">
        <v>784</v>
      </c>
      <c r="AK3" s="196" t="s">
        <v>785</v>
      </c>
      <c r="AL3" s="196" t="s">
        <v>786</v>
      </c>
      <c r="AM3" s="196" t="s">
        <v>787</v>
      </c>
      <c r="AN3" s="196" t="s">
        <v>788</v>
      </c>
    </row>
    <row r="4" spans="2:40">
      <c r="B4" s="235" t="s">
        <v>889</v>
      </c>
      <c r="C4" s="7" t="s">
        <v>790</v>
      </c>
      <c r="E4" s="220">
        <v>25859</v>
      </c>
      <c r="F4" s="220">
        <v>63324</v>
      </c>
      <c r="G4" s="220">
        <v>58807</v>
      </c>
      <c r="H4" s="220">
        <v>36103</v>
      </c>
      <c r="I4" s="220">
        <v>34232</v>
      </c>
      <c r="J4" s="220">
        <v>60125</v>
      </c>
      <c r="K4" s="220">
        <v>73777</v>
      </c>
      <c r="L4" s="220">
        <v>44109</v>
      </c>
      <c r="M4" s="197">
        <v>120000</v>
      </c>
      <c r="N4" s="197">
        <v>53866.880000000005</v>
      </c>
      <c r="O4" s="197">
        <v>57820.256000000008</v>
      </c>
      <c r="P4" s="197">
        <v>56928.507200000007</v>
      </c>
      <c r="Q4" s="254">
        <f t="shared" ref="Q4:AB4" si="0">Q5*E4</f>
        <v>38788.5</v>
      </c>
      <c r="R4" s="254">
        <f t="shared" si="0"/>
        <v>75988.800000000003</v>
      </c>
      <c r="S4" s="254">
        <f t="shared" si="0"/>
        <v>76449.100000000006</v>
      </c>
      <c r="T4" s="254">
        <f t="shared" si="0"/>
        <v>39713.300000000003</v>
      </c>
      <c r="U4" s="254">
        <f t="shared" si="0"/>
        <v>44501.599999999999</v>
      </c>
      <c r="V4" s="254">
        <f t="shared" si="0"/>
        <v>108225</v>
      </c>
      <c r="W4" s="254">
        <f t="shared" si="0"/>
        <v>73777</v>
      </c>
      <c r="X4" s="254">
        <f t="shared" si="0"/>
        <v>44109</v>
      </c>
      <c r="Y4" s="254">
        <f t="shared" si="0"/>
        <v>156000</v>
      </c>
      <c r="Z4" s="254">
        <f t="shared" si="0"/>
        <v>102347.072</v>
      </c>
      <c r="AA4" s="254">
        <f t="shared" si="0"/>
        <v>75166.332800000018</v>
      </c>
      <c r="AB4" s="254">
        <f t="shared" si="0"/>
        <v>62621.357920000009</v>
      </c>
      <c r="AC4" s="254">
        <f t="shared" ref="AC4:AN4" si="1">AC5*Q4</f>
        <v>50425.05</v>
      </c>
      <c r="AD4" s="254">
        <f t="shared" si="1"/>
        <v>98785.44</v>
      </c>
      <c r="AE4" s="254">
        <f t="shared" si="1"/>
        <v>99383.830000000016</v>
      </c>
      <c r="AF4" s="254">
        <f t="shared" si="1"/>
        <v>51627.290000000008</v>
      </c>
      <c r="AG4" s="254">
        <f t="shared" si="1"/>
        <v>57852.08</v>
      </c>
      <c r="AH4" s="254">
        <f t="shared" si="1"/>
        <v>140692.5</v>
      </c>
      <c r="AI4" s="254">
        <f t="shared" si="1"/>
        <v>95910.1</v>
      </c>
      <c r="AJ4" s="254">
        <f t="shared" si="1"/>
        <v>57341.700000000004</v>
      </c>
      <c r="AK4" s="254">
        <f t="shared" si="1"/>
        <v>202800</v>
      </c>
      <c r="AL4" s="254">
        <f t="shared" si="1"/>
        <v>133051.1936</v>
      </c>
      <c r="AM4" s="254">
        <f t="shared" si="1"/>
        <v>97716.232640000031</v>
      </c>
      <c r="AN4" s="254">
        <f t="shared" si="1"/>
        <v>81407.765296000012</v>
      </c>
    </row>
    <row r="5" spans="2:40">
      <c r="B5" s="237"/>
      <c r="C5" s="7" t="s">
        <v>791</v>
      </c>
      <c r="E5" s="220"/>
      <c r="F5" s="220"/>
      <c r="G5" s="220"/>
      <c r="H5" s="220"/>
      <c r="I5" s="220"/>
      <c r="J5" s="221"/>
      <c r="K5" s="221"/>
      <c r="L5" s="221"/>
      <c r="M5" s="255"/>
      <c r="N5" s="255"/>
      <c r="O5" s="255"/>
      <c r="P5" s="255"/>
      <c r="Q5" s="198">
        <v>1.5</v>
      </c>
      <c r="R5" s="198">
        <v>1.2</v>
      </c>
      <c r="S5" s="198">
        <v>1.3</v>
      </c>
      <c r="T5" s="198">
        <v>1.1000000000000001</v>
      </c>
      <c r="U5" s="198">
        <v>1.3</v>
      </c>
      <c r="V5" s="198">
        <v>1.8</v>
      </c>
      <c r="W5" s="198">
        <v>1</v>
      </c>
      <c r="X5" s="198">
        <v>1</v>
      </c>
      <c r="Y5" s="198">
        <v>1.3</v>
      </c>
      <c r="Z5" s="198">
        <v>1.9</v>
      </c>
      <c r="AA5" s="198">
        <v>1.3</v>
      </c>
      <c r="AB5" s="198">
        <v>1.1000000000000001</v>
      </c>
      <c r="AC5" s="198">
        <v>1.3</v>
      </c>
      <c r="AD5" s="198">
        <v>1.3</v>
      </c>
      <c r="AE5" s="198">
        <v>1.3</v>
      </c>
      <c r="AF5" s="198">
        <v>1.3</v>
      </c>
      <c r="AG5" s="198">
        <v>1.3</v>
      </c>
      <c r="AH5" s="198">
        <v>1.3</v>
      </c>
      <c r="AI5" s="198">
        <v>1.3</v>
      </c>
      <c r="AJ5" s="198">
        <v>1.3</v>
      </c>
      <c r="AK5" s="198">
        <v>1.3</v>
      </c>
      <c r="AL5" s="198">
        <v>1.3</v>
      </c>
      <c r="AM5" s="198">
        <v>1.3</v>
      </c>
      <c r="AN5" s="198">
        <v>1.3</v>
      </c>
    </row>
    <row r="6" spans="2:40">
      <c r="B6" s="235" t="s">
        <v>890</v>
      </c>
      <c r="C6" s="7" t="s">
        <v>793</v>
      </c>
      <c r="E6" s="222">
        <v>3.49E-2</v>
      </c>
      <c r="F6" s="222">
        <v>4.9299999999999997E-2</v>
      </c>
      <c r="G6" s="222">
        <v>4.8300000000000003E-2</v>
      </c>
      <c r="H6" s="222">
        <v>3.1199999999999999E-2</v>
      </c>
      <c r="I6" s="222">
        <v>3.6600000000000001E-2</v>
      </c>
      <c r="J6" s="222">
        <v>6.4299999999999996E-2</v>
      </c>
      <c r="K6" s="222">
        <v>5.79E-2</v>
      </c>
      <c r="L6" s="222">
        <v>2.3300000000000001E-2</v>
      </c>
      <c r="M6" s="199">
        <v>5.5E-2</v>
      </c>
      <c r="N6" s="199">
        <v>0.04</v>
      </c>
      <c r="O6" s="199">
        <v>0.04</v>
      </c>
      <c r="P6" s="199">
        <v>0.04</v>
      </c>
      <c r="Q6" s="199">
        <v>3.5999999999999997E-2</v>
      </c>
      <c r="R6" s="199">
        <v>4.8000000000000001E-2</v>
      </c>
      <c r="S6" s="199">
        <v>4.5999999999999999E-2</v>
      </c>
      <c r="T6" s="199">
        <v>3.7999999999999999E-2</v>
      </c>
      <c r="U6" s="199">
        <v>3.5000000000000003E-2</v>
      </c>
      <c r="V6" s="199">
        <v>6.2E-2</v>
      </c>
      <c r="W6" s="199">
        <v>2.9899999999999999E-2</v>
      </c>
      <c r="X6" s="199">
        <v>3.2000000000000001E-2</v>
      </c>
      <c r="Y6" s="199">
        <v>5.5E-2</v>
      </c>
      <c r="Z6" s="199">
        <v>5.5E-2</v>
      </c>
      <c r="AA6" s="199">
        <v>3.7999999999999999E-2</v>
      </c>
      <c r="AB6" s="199">
        <v>3.5000000000000003E-2</v>
      </c>
      <c r="AC6" s="199">
        <v>4.3999999999999997E-2</v>
      </c>
      <c r="AD6" s="199">
        <v>4.3999999999999997E-2</v>
      </c>
      <c r="AE6" s="199">
        <v>4.3999999999999997E-2</v>
      </c>
      <c r="AF6" s="199">
        <v>4.3999999999999997E-2</v>
      </c>
      <c r="AG6" s="199">
        <v>4.3999999999999997E-2</v>
      </c>
      <c r="AH6" s="199">
        <v>4.3999999999999997E-2</v>
      </c>
      <c r="AI6" s="199">
        <v>4.3999999999999997E-2</v>
      </c>
      <c r="AJ6" s="199">
        <v>4.3999999999999997E-2</v>
      </c>
      <c r="AK6" s="199">
        <v>4.3999999999999997E-2</v>
      </c>
      <c r="AL6" s="199">
        <v>4.3999999999999997E-2</v>
      </c>
      <c r="AM6" s="199">
        <v>4.3999999999999997E-2</v>
      </c>
      <c r="AN6" s="199">
        <v>4.3999999999999997E-2</v>
      </c>
    </row>
    <row r="7" spans="2:40">
      <c r="B7" s="235" t="s">
        <v>891</v>
      </c>
      <c r="C7" s="7" t="s">
        <v>794</v>
      </c>
      <c r="E7" s="223">
        <f t="shared" ref="E7:K7" si="2">E4*E6</f>
        <v>902.47910000000002</v>
      </c>
      <c r="F7" s="223">
        <f t="shared" si="2"/>
        <v>3121.8732</v>
      </c>
      <c r="G7" s="223">
        <f t="shared" si="2"/>
        <v>2840.3781000000004</v>
      </c>
      <c r="H7" s="223">
        <f t="shared" si="2"/>
        <v>1126.4135999999999</v>
      </c>
      <c r="I7" s="223">
        <f t="shared" si="2"/>
        <v>1252.8912</v>
      </c>
      <c r="J7" s="223">
        <f t="shared" si="2"/>
        <v>3866.0374999999999</v>
      </c>
      <c r="K7" s="223">
        <f t="shared" si="2"/>
        <v>4271.6882999999998</v>
      </c>
      <c r="L7" s="223">
        <f>L4*L6</f>
        <v>1027.7397000000001</v>
      </c>
      <c r="M7" s="184">
        <f t="shared" ref="M7:AN7" si="3">M4*M6</f>
        <v>6600</v>
      </c>
      <c r="N7" s="184">
        <f t="shared" si="3"/>
        <v>2154.6752000000001</v>
      </c>
      <c r="O7" s="184">
        <f t="shared" si="3"/>
        <v>2312.8102400000002</v>
      </c>
      <c r="P7" s="184">
        <f t="shared" si="3"/>
        <v>2277.1402880000005</v>
      </c>
      <c r="Q7" s="184">
        <f t="shared" si="3"/>
        <v>1396.386</v>
      </c>
      <c r="R7" s="184">
        <f t="shared" si="3"/>
        <v>3647.4624000000003</v>
      </c>
      <c r="S7" s="184">
        <f t="shared" si="3"/>
        <v>3516.6586000000002</v>
      </c>
      <c r="T7" s="184">
        <f t="shared" si="3"/>
        <v>1509.1054000000001</v>
      </c>
      <c r="U7" s="184">
        <f t="shared" si="3"/>
        <v>1557.556</v>
      </c>
      <c r="V7" s="184">
        <f t="shared" si="3"/>
        <v>6709.95</v>
      </c>
      <c r="W7" s="184">
        <f t="shared" si="3"/>
        <v>2205.9322999999999</v>
      </c>
      <c r="X7" s="184">
        <f t="shared" si="3"/>
        <v>1411.4880000000001</v>
      </c>
      <c r="Y7" s="184">
        <f t="shared" si="3"/>
        <v>8580</v>
      </c>
      <c r="Z7" s="184">
        <f t="shared" si="3"/>
        <v>5629.08896</v>
      </c>
      <c r="AA7" s="184">
        <f t="shared" si="3"/>
        <v>2856.3206464000004</v>
      </c>
      <c r="AB7" s="184">
        <f t="shared" si="3"/>
        <v>2191.7475272000006</v>
      </c>
      <c r="AC7" s="184">
        <f t="shared" si="3"/>
        <v>2218.7022000000002</v>
      </c>
      <c r="AD7" s="184">
        <f t="shared" si="3"/>
        <v>4346.5593600000002</v>
      </c>
      <c r="AE7" s="184">
        <f t="shared" si="3"/>
        <v>4372.8885200000004</v>
      </c>
      <c r="AF7" s="184">
        <f t="shared" si="3"/>
        <v>2271.6007600000003</v>
      </c>
      <c r="AG7" s="184">
        <f t="shared" si="3"/>
        <v>2545.49152</v>
      </c>
      <c r="AH7" s="184">
        <f t="shared" si="3"/>
        <v>6190.4699999999993</v>
      </c>
      <c r="AI7" s="184">
        <f t="shared" si="3"/>
        <v>4220.0443999999998</v>
      </c>
      <c r="AJ7" s="184">
        <f t="shared" si="3"/>
        <v>2523.0347999999999</v>
      </c>
      <c r="AK7" s="184">
        <f t="shared" si="3"/>
        <v>8923.1999999999989</v>
      </c>
      <c r="AL7" s="184">
        <f t="shared" si="3"/>
        <v>5854.2525183999996</v>
      </c>
      <c r="AM7" s="184">
        <f t="shared" si="3"/>
        <v>4299.514236160001</v>
      </c>
      <c r="AN7" s="184">
        <f t="shared" si="3"/>
        <v>3581.9416730240005</v>
      </c>
    </row>
    <row r="8" spans="2:40">
      <c r="C8" s="7" t="s">
        <v>795</v>
      </c>
      <c r="E8" s="222">
        <f>E12/E13</f>
        <v>0.3169642857142857</v>
      </c>
      <c r="F8" s="222">
        <f t="shared" ref="F8:I8" si="4">F12/F13</f>
        <v>0.4423015107682417</v>
      </c>
      <c r="G8" s="222">
        <f t="shared" si="4"/>
        <v>0.35792446170137665</v>
      </c>
      <c r="H8" s="222">
        <f t="shared" si="4"/>
        <v>0.28851291184327693</v>
      </c>
      <c r="I8" s="222">
        <f t="shared" si="4"/>
        <v>0.31869009584664537</v>
      </c>
      <c r="J8" s="222">
        <f>J12/J13</f>
        <v>0.41960580912863071</v>
      </c>
      <c r="K8" s="222">
        <f>K12/K13</f>
        <v>0.33380381086803107</v>
      </c>
      <c r="L8" s="222">
        <f>L12/L13</f>
        <v>0.29607843137254902</v>
      </c>
      <c r="M8" s="199">
        <v>0.35</v>
      </c>
      <c r="N8" s="199">
        <v>0.5</v>
      </c>
      <c r="O8" s="199">
        <v>0.35</v>
      </c>
      <c r="P8" s="199">
        <v>0.35</v>
      </c>
      <c r="Q8" s="199">
        <v>0.32</v>
      </c>
      <c r="R8" s="199">
        <v>0.43</v>
      </c>
      <c r="S8" s="199">
        <v>0.36</v>
      </c>
      <c r="T8" s="199">
        <v>0.28999999999999998</v>
      </c>
      <c r="U8" s="199">
        <v>0.3</v>
      </c>
      <c r="V8" s="199">
        <v>0.45</v>
      </c>
      <c r="W8" s="199">
        <v>0.3</v>
      </c>
      <c r="X8" s="199">
        <v>0.33</v>
      </c>
      <c r="Y8" s="199">
        <v>0.42</v>
      </c>
      <c r="Z8" s="199">
        <v>0.45</v>
      </c>
      <c r="AA8" s="199">
        <v>0.35</v>
      </c>
      <c r="AB8" s="199">
        <v>0.36</v>
      </c>
      <c r="AC8" s="199">
        <v>0.35</v>
      </c>
      <c r="AD8" s="199">
        <v>0.5</v>
      </c>
      <c r="AE8" s="199">
        <v>0.35</v>
      </c>
      <c r="AF8" s="199">
        <v>0.5</v>
      </c>
      <c r="AG8" s="199">
        <v>0.3</v>
      </c>
      <c r="AH8" s="199">
        <v>0.45</v>
      </c>
      <c r="AI8" s="199">
        <v>0.5</v>
      </c>
      <c r="AJ8" s="199">
        <v>0.3</v>
      </c>
      <c r="AK8" s="199">
        <v>0.5</v>
      </c>
      <c r="AL8" s="199">
        <v>0.5</v>
      </c>
      <c r="AM8" s="199">
        <v>0.35</v>
      </c>
      <c r="AN8" s="199">
        <v>0.3</v>
      </c>
    </row>
    <row r="9" spans="2:40" ht="14.5" customHeight="1">
      <c r="B9" s="237"/>
      <c r="C9" s="7" t="s">
        <v>796</v>
      </c>
      <c r="E9" s="223">
        <v>575</v>
      </c>
      <c r="F9" s="223">
        <v>1696</v>
      </c>
      <c r="G9" s="223">
        <v>1773</v>
      </c>
      <c r="H9" s="223">
        <v>755</v>
      </c>
      <c r="I9" s="223">
        <v>810</v>
      </c>
      <c r="J9" s="223">
        <v>2161</v>
      </c>
      <c r="K9" s="223">
        <v>2759</v>
      </c>
      <c r="L9" s="223">
        <v>662</v>
      </c>
      <c r="M9" s="184">
        <f>M58+M213+M362</f>
        <v>2926.0654812056091</v>
      </c>
      <c r="N9" s="184">
        <f t="shared" ref="N9:AN9" si="5">N58+N213+N362</f>
        <v>2717.0608039766371</v>
      </c>
      <c r="O9" s="184">
        <f t="shared" si="5"/>
        <v>627.01403168691627</v>
      </c>
      <c r="P9" s="184">
        <f t="shared" si="5"/>
        <v>836.01870891588828</v>
      </c>
      <c r="Q9" s="184">
        <f t="shared" si="5"/>
        <v>864.6774302575252</v>
      </c>
      <c r="R9" s="184">
        <f t="shared" si="5"/>
        <v>1810.9419263181514</v>
      </c>
      <c r="S9" s="184">
        <f t="shared" si="5"/>
        <v>1683.8712626564813</v>
      </c>
      <c r="T9" s="184">
        <f t="shared" si="5"/>
        <v>881.41034471647652</v>
      </c>
      <c r="U9" s="184">
        <f t="shared" si="5"/>
        <v>871.24853730960399</v>
      </c>
      <c r="V9" s="184">
        <f t="shared" si="5"/>
        <v>2684.247069651688</v>
      </c>
      <c r="W9" s="184">
        <f t="shared" si="5"/>
        <v>1015.8296128295176</v>
      </c>
      <c r="X9" s="184">
        <f t="shared" si="5"/>
        <v>1088.5465201310215</v>
      </c>
      <c r="Y9" s="184">
        <f t="shared" si="5"/>
        <v>3803.8851255672921</v>
      </c>
      <c r="Z9" s="184">
        <f t="shared" si="5"/>
        <v>4890.7094471579476</v>
      </c>
      <c r="AA9" s="184">
        <f t="shared" si="5"/>
        <v>815.11824119299104</v>
      </c>
      <c r="AB9" s="184">
        <f t="shared" si="5"/>
        <v>1086.8243215906546</v>
      </c>
      <c r="AC9" s="184">
        <f t="shared" si="5"/>
        <v>1124.0806593347827</v>
      </c>
      <c r="AD9" s="184">
        <f t="shared" si="5"/>
        <v>2354.2245042135969</v>
      </c>
      <c r="AE9" s="184">
        <f t="shared" si="5"/>
        <v>2189.0326414534256</v>
      </c>
      <c r="AF9" s="184">
        <f t="shared" si="5"/>
        <v>1145.8334481314193</v>
      </c>
      <c r="AG9" s="184">
        <f t="shared" si="5"/>
        <v>1132.6230985024852</v>
      </c>
      <c r="AH9" s="184">
        <f t="shared" si="5"/>
        <v>3489.5211905471956</v>
      </c>
      <c r="AI9" s="184">
        <f t="shared" si="5"/>
        <v>1320.5784966783731</v>
      </c>
      <c r="AJ9" s="184">
        <f t="shared" si="5"/>
        <v>1415.1104761703282</v>
      </c>
      <c r="AK9" s="184">
        <f t="shared" si="5"/>
        <v>4945.05066323748</v>
      </c>
      <c r="AL9" s="184">
        <f t="shared" si="5"/>
        <v>6357.9222813053311</v>
      </c>
      <c r="AM9" s="184">
        <f t="shared" si="5"/>
        <v>1059.6537135508884</v>
      </c>
      <c r="AN9" s="184">
        <f t="shared" si="5"/>
        <v>1412.8716180678512</v>
      </c>
    </row>
    <row r="10" spans="2:40">
      <c r="B10" s="237"/>
      <c r="C10" s="7" t="s">
        <v>797</v>
      </c>
      <c r="E10" s="223">
        <v>22</v>
      </c>
      <c r="F10" s="223">
        <v>30</v>
      </c>
      <c r="G10" s="223">
        <v>26</v>
      </c>
      <c r="H10" s="223">
        <v>27</v>
      </c>
      <c r="I10" s="223">
        <v>24</v>
      </c>
      <c r="J10" s="223">
        <v>52</v>
      </c>
      <c r="K10" s="223">
        <v>53</v>
      </c>
      <c r="L10" s="223">
        <v>35</v>
      </c>
      <c r="M10" s="184">
        <f t="shared" ref="M10:P10" si="6">M59+M60+M214+M215+M365+M364</f>
        <v>226.49007434994638</v>
      </c>
      <c r="N10" s="184">
        <f t="shared" si="6"/>
        <v>204.38364046780742</v>
      </c>
      <c r="O10" s="184">
        <f t="shared" si="6"/>
        <v>166.31930164641713</v>
      </c>
      <c r="P10" s="184">
        <f t="shared" si="6"/>
        <v>152.4257355285562</v>
      </c>
      <c r="Q10" s="184">
        <f t="shared" ref="Q10:X10" si="7">Q59+Q60+Q214+Q215+Q365+Q364</f>
        <v>138.29056974247484</v>
      </c>
      <c r="R10" s="184">
        <f t="shared" si="7"/>
        <v>134.33140701518184</v>
      </c>
      <c r="S10" s="184">
        <f t="shared" si="7"/>
        <v>121.64673734351865</v>
      </c>
      <c r="T10" s="184">
        <f t="shared" si="7"/>
        <v>103.44721083907899</v>
      </c>
      <c r="U10" s="184">
        <f t="shared" si="7"/>
        <v>93.068796023729348</v>
      </c>
      <c r="V10" s="184">
        <f t="shared" si="7"/>
        <v>102.45293034831202</v>
      </c>
      <c r="W10" s="184">
        <f t="shared" si="7"/>
        <v>78.17394272603795</v>
      </c>
      <c r="X10" s="184">
        <f t="shared" si="7"/>
        <v>72.322813202311821</v>
      </c>
      <c r="Y10" s="184">
        <f t="shared" ref="Y10:AN10" si="8">Y59+Y60+Y214+Y215+Y365+Y364</f>
        <v>92.337096654930136</v>
      </c>
      <c r="Z10" s="184">
        <f t="shared" si="8"/>
        <v>97.290552842052833</v>
      </c>
      <c r="AA10" s="184">
        <f t="shared" si="8"/>
        <v>53.21509214034225</v>
      </c>
      <c r="AB10" s="184">
        <f t="shared" si="8"/>
        <v>50.953456187123152</v>
      </c>
      <c r="AC10" s="184">
        <f t="shared" si="8"/>
        <v>47.677740665217343</v>
      </c>
      <c r="AD10" s="184">
        <f t="shared" si="8"/>
        <v>55.930829119736273</v>
      </c>
      <c r="AE10" s="184">
        <f t="shared" si="8"/>
        <v>50.340758546574243</v>
      </c>
      <c r="AF10" s="184">
        <f t="shared" si="8"/>
        <v>37.081374090802782</v>
      </c>
      <c r="AG10" s="184">
        <f t="shared" si="8"/>
        <v>34.589434830848212</v>
      </c>
      <c r="AH10" s="184">
        <f t="shared" si="8"/>
        <v>54.988809452804553</v>
      </c>
      <c r="AI10" s="184">
        <f t="shared" si="8"/>
        <v>31.626125543849167</v>
      </c>
      <c r="AJ10" s="184">
        <f t="shared" si="8"/>
        <v>31.119657163005137</v>
      </c>
      <c r="AK10" s="184">
        <f t="shared" si="8"/>
        <v>62.838225651409225</v>
      </c>
      <c r="AL10" s="184">
        <f t="shared" si="8"/>
        <v>75.077718694668874</v>
      </c>
      <c r="AM10" s="184">
        <f t="shared" si="8"/>
        <v>22.679619782444963</v>
      </c>
      <c r="AN10" s="184">
        <f t="shared" si="8"/>
        <v>25.239493043259877</v>
      </c>
    </row>
    <row r="11" spans="2:40">
      <c r="B11" s="237"/>
      <c r="C11" s="7" t="s">
        <v>798</v>
      </c>
      <c r="E11" s="223">
        <v>15</v>
      </c>
      <c r="F11" s="223">
        <v>9</v>
      </c>
      <c r="G11" s="223">
        <v>20</v>
      </c>
      <c r="H11" s="223">
        <v>17</v>
      </c>
      <c r="I11" s="223">
        <v>19</v>
      </c>
      <c r="J11" s="223">
        <v>25</v>
      </c>
      <c r="K11" s="223">
        <v>20</v>
      </c>
      <c r="L11" s="223">
        <v>21</v>
      </c>
      <c r="M11" s="184">
        <f t="shared" ref="M11:P11" si="9">M63+M62+M217+M218+M366+M367</f>
        <v>326.50992565005345</v>
      </c>
      <c r="N11" s="184">
        <f t="shared" si="9"/>
        <v>254.61635953219246</v>
      </c>
      <c r="O11" s="184">
        <f t="shared" si="9"/>
        <v>209.6806983535829</v>
      </c>
      <c r="P11" s="184">
        <f t="shared" si="9"/>
        <v>268.57426447144383</v>
      </c>
      <c r="Q11" s="184">
        <f t="shared" ref="Q11:X11" si="10">Q63+Q62+Q217+Q218+Q366+Q367</f>
        <v>199.73695025752494</v>
      </c>
      <c r="R11" s="184">
        <f t="shared" si="10"/>
        <v>160.09019298481806</v>
      </c>
      <c r="S11" s="184">
        <f t="shared" si="10"/>
        <v>224.80278265648096</v>
      </c>
      <c r="T11" s="184">
        <f t="shared" si="10"/>
        <v>164.24806916092089</v>
      </c>
      <c r="U11" s="184">
        <f t="shared" si="10"/>
        <v>128.54496397627048</v>
      </c>
      <c r="V11" s="184">
        <f t="shared" si="10"/>
        <v>194.57506965168832</v>
      </c>
      <c r="W11" s="184">
        <f t="shared" si="10"/>
        <v>137.32077727396197</v>
      </c>
      <c r="X11" s="184">
        <f t="shared" si="10"/>
        <v>106.19622679768817</v>
      </c>
      <c r="Y11" s="184">
        <f t="shared" ref="Y11:AN11" si="11">Y63+Y62+Y217+Y218+Y366+Y367</f>
        <v>172.86290334506947</v>
      </c>
      <c r="Z11" s="184">
        <f t="shared" si="11"/>
        <v>123.10944715794646</v>
      </c>
      <c r="AA11" s="184">
        <f t="shared" si="11"/>
        <v>98.184907859657741</v>
      </c>
      <c r="AB11" s="184">
        <f t="shared" si="11"/>
        <v>164.24654381287701</v>
      </c>
      <c r="AC11" s="184">
        <f t="shared" si="11"/>
        <v>112.1580353347824</v>
      </c>
      <c r="AD11" s="184">
        <f t="shared" si="11"/>
        <v>83.217250880263492</v>
      </c>
      <c r="AE11" s="184">
        <f t="shared" si="11"/>
        <v>150.04361745342524</v>
      </c>
      <c r="AF11" s="184">
        <f t="shared" si="11"/>
        <v>98.522489909197148</v>
      </c>
      <c r="AG11" s="184">
        <f t="shared" si="11"/>
        <v>70.908453169151613</v>
      </c>
      <c r="AH11" s="184">
        <f t="shared" si="11"/>
        <v>137.04759054719477</v>
      </c>
      <c r="AI11" s="184">
        <f t="shared" si="11"/>
        <v>90.417010456150564</v>
      </c>
      <c r="AJ11" s="184">
        <f t="shared" si="11"/>
        <v>61.655094836994607</v>
      </c>
      <c r="AK11" s="184">
        <f t="shared" si="11"/>
        <v>126.5217743485903</v>
      </c>
      <c r="AL11" s="184">
        <f t="shared" si="11"/>
        <v>87.242281305330408</v>
      </c>
      <c r="AM11" s="184">
        <f t="shared" si="11"/>
        <v>65.040380217555068</v>
      </c>
      <c r="AN11" s="184">
        <f t="shared" si="11"/>
        <v>123.7205069567401</v>
      </c>
    </row>
    <row r="12" spans="2:40">
      <c r="B12" s="237"/>
      <c r="C12" s="7" t="s">
        <v>799</v>
      </c>
      <c r="E12" s="223">
        <v>284</v>
      </c>
      <c r="F12" s="223">
        <v>1376</v>
      </c>
      <c r="G12" s="223">
        <v>1014</v>
      </c>
      <c r="H12" s="223">
        <v>324</v>
      </c>
      <c r="I12" s="223">
        <v>399</v>
      </c>
      <c r="J12" s="223">
        <v>1618</v>
      </c>
      <c r="K12" s="223">
        <v>1419</v>
      </c>
      <c r="L12" s="223">
        <v>302</v>
      </c>
      <c r="M12" s="184">
        <f t="shared" ref="M12:P12" si="12">(M61+M216+M366)+(M7*M8)</f>
        <v>2537.6945187943911</v>
      </c>
      <c r="N12" s="184">
        <f t="shared" si="12"/>
        <v>1287.196796023363</v>
      </c>
      <c r="O12" s="184">
        <f t="shared" si="12"/>
        <v>1001.9895523130838</v>
      </c>
      <c r="P12" s="184">
        <f t="shared" si="12"/>
        <v>973.3403918841118</v>
      </c>
      <c r="Q12" s="184">
        <f t="shared" ref="Q12:X12" si="13">(Q61+Q216+Q366)+(Q7*Q8)</f>
        <v>607.37967054247497</v>
      </c>
      <c r="R12" s="184">
        <f t="shared" si="13"/>
        <v>1716.3421696818486</v>
      </c>
      <c r="S12" s="184">
        <f t="shared" si="13"/>
        <v>1401.9342941435191</v>
      </c>
      <c r="T12" s="184">
        <f t="shared" si="13"/>
        <v>563.12275248352353</v>
      </c>
      <c r="U12" s="184">
        <f t="shared" si="13"/>
        <v>582.38905309039615</v>
      </c>
      <c r="V12" s="184">
        <f t="shared" si="13"/>
        <v>3125.4035503483115</v>
      </c>
      <c r="W12" s="184">
        <f t="shared" si="13"/>
        <v>760.79514597048239</v>
      </c>
      <c r="X12" s="184">
        <f t="shared" si="13"/>
        <v>558.22624146897851</v>
      </c>
      <c r="Y12" s="184">
        <f t="shared" ref="Y12:AN12" si="14">(Y61+Y216+Y366)+(Y7*Y8)</f>
        <v>3689.0028744327083</v>
      </c>
      <c r="Z12" s="184">
        <f t="shared" si="14"/>
        <v>2614.0365848420533</v>
      </c>
      <c r="AA12" s="184">
        <f t="shared" si="14"/>
        <v>1077.3699850470089</v>
      </c>
      <c r="AB12" s="184">
        <f t="shared" si="14"/>
        <v>861.57278820134536</v>
      </c>
      <c r="AC12" s="184">
        <f t="shared" si="14"/>
        <v>845.74276570521761</v>
      </c>
      <c r="AD12" s="184">
        <f t="shared" si="14"/>
        <v>2237.9930189864031</v>
      </c>
      <c r="AE12" s="184">
        <f t="shared" si="14"/>
        <v>1590.6293395865746</v>
      </c>
      <c r="AF12" s="184">
        <f t="shared" si="14"/>
        <v>1190.6272224285808</v>
      </c>
      <c r="AG12" s="184">
        <f t="shared" si="14"/>
        <v>815.30638501751503</v>
      </c>
      <c r="AH12" s="184">
        <f t="shared" si="14"/>
        <v>2833.915365452805</v>
      </c>
      <c r="AI12" s="184">
        <f t="shared" si="14"/>
        <v>2156.842292761627</v>
      </c>
      <c r="AJ12" s="184">
        <f t="shared" si="14"/>
        <v>798.77620190967195</v>
      </c>
      <c r="AK12" s="184">
        <f t="shared" si="14"/>
        <v>4500.1237367625199</v>
      </c>
      <c r="AL12" s="184">
        <f t="shared" si="14"/>
        <v>2967.6567778946692</v>
      </c>
      <c r="AM12" s="184">
        <f t="shared" si="14"/>
        <v>1544.0850691051119</v>
      </c>
      <c r="AN12" s="184">
        <f t="shared" si="14"/>
        <v>1106.5892838393488</v>
      </c>
    </row>
    <row r="13" spans="2:40">
      <c r="B13" s="237" t="s">
        <v>892</v>
      </c>
      <c r="C13" s="7" t="s">
        <v>801</v>
      </c>
      <c r="E13" s="224">
        <f>SUM(E9:E12)</f>
        <v>896</v>
      </c>
      <c r="F13" s="224">
        <f t="shared" ref="F13:AN13" si="15">SUM(F9:F12)</f>
        <v>3111</v>
      </c>
      <c r="G13" s="224">
        <f t="shared" si="15"/>
        <v>2833</v>
      </c>
      <c r="H13" s="224">
        <f t="shared" si="15"/>
        <v>1123</v>
      </c>
      <c r="I13" s="224">
        <f t="shared" si="15"/>
        <v>1252</v>
      </c>
      <c r="J13" s="224">
        <f>SUM(J9:J12)</f>
        <v>3856</v>
      </c>
      <c r="K13" s="224">
        <f t="shared" si="15"/>
        <v>4251</v>
      </c>
      <c r="L13" s="224">
        <f t="shared" si="15"/>
        <v>1020</v>
      </c>
      <c r="M13" s="185">
        <f t="shared" si="15"/>
        <v>6016.76</v>
      </c>
      <c r="N13" s="185">
        <f t="shared" si="15"/>
        <v>4463.2575999999999</v>
      </c>
      <c r="O13" s="185">
        <f t="shared" si="15"/>
        <v>2005.003584</v>
      </c>
      <c r="P13" s="185">
        <f t="shared" si="15"/>
        <v>2230.3591008000003</v>
      </c>
      <c r="Q13" s="185">
        <f t="shared" si="15"/>
        <v>1810.0846208</v>
      </c>
      <c r="R13" s="185">
        <f t="shared" si="15"/>
        <v>3821.705696</v>
      </c>
      <c r="S13" s="185">
        <f t="shared" si="15"/>
        <v>3432.2550768000001</v>
      </c>
      <c r="T13" s="185">
        <f t="shared" si="15"/>
        <v>1712.2283772000001</v>
      </c>
      <c r="U13" s="185">
        <f t="shared" si="15"/>
        <v>1675.2513503999999</v>
      </c>
      <c r="V13" s="185">
        <f t="shared" si="15"/>
        <v>6106.6786199999997</v>
      </c>
      <c r="W13" s="185">
        <f t="shared" si="15"/>
        <v>1992.1194787999998</v>
      </c>
      <c r="X13" s="185">
        <f t="shared" si="15"/>
        <v>1825.2918016000001</v>
      </c>
      <c r="Y13" s="185">
        <f t="shared" si="15"/>
        <v>7758.0879999999997</v>
      </c>
      <c r="Z13" s="185">
        <f t="shared" si="15"/>
        <v>7725.1460319999996</v>
      </c>
      <c r="AA13" s="185">
        <f t="shared" si="15"/>
        <v>2043.8882262399998</v>
      </c>
      <c r="AB13" s="185">
        <f t="shared" si="15"/>
        <v>2163.5971097920001</v>
      </c>
      <c r="AC13" s="185">
        <f t="shared" si="15"/>
        <v>2129.65920104</v>
      </c>
      <c r="AD13" s="185">
        <f t="shared" si="15"/>
        <v>4731.3656031999999</v>
      </c>
      <c r="AE13" s="185">
        <f t="shared" si="15"/>
        <v>3980.0463570399997</v>
      </c>
      <c r="AF13" s="185">
        <f t="shared" si="15"/>
        <v>2472.0645345600001</v>
      </c>
      <c r="AG13" s="185">
        <f t="shared" si="15"/>
        <v>2053.4273715200002</v>
      </c>
      <c r="AH13" s="185">
        <f t="shared" si="15"/>
        <v>6515.4729559999996</v>
      </c>
      <c r="AI13" s="185">
        <f t="shared" si="15"/>
        <v>3599.4639254399999</v>
      </c>
      <c r="AJ13" s="185">
        <f t="shared" si="15"/>
        <v>2306.6614300799997</v>
      </c>
      <c r="AK13" s="185">
        <f t="shared" si="15"/>
        <v>9634.5344000000005</v>
      </c>
      <c r="AL13" s="185">
        <f t="shared" si="15"/>
        <v>9487.8990592000009</v>
      </c>
      <c r="AM13" s="185">
        <f t="shared" si="15"/>
        <v>2691.458782656</v>
      </c>
      <c r="AN13" s="185">
        <f t="shared" si="15"/>
        <v>2668.4209019072</v>
      </c>
    </row>
    <row r="14" spans="2:40">
      <c r="E14" s="217"/>
      <c r="F14" s="217"/>
      <c r="G14" s="217"/>
      <c r="H14" s="217"/>
      <c r="I14" s="217"/>
      <c r="J14" s="217"/>
      <c r="K14" s="217"/>
      <c r="L14" s="217"/>
    </row>
    <row r="15" spans="2:40">
      <c r="B15" s="236" t="s">
        <v>893</v>
      </c>
      <c r="C15" s="7" t="s">
        <v>803</v>
      </c>
      <c r="E15" s="226">
        <v>46.55</v>
      </c>
      <c r="F15" s="226">
        <v>48.72</v>
      </c>
      <c r="G15" s="226">
        <v>46.84</v>
      </c>
      <c r="H15" s="226">
        <v>46.66</v>
      </c>
      <c r="I15" s="226">
        <v>45.28</v>
      </c>
      <c r="J15" s="226">
        <v>49.52</v>
      </c>
      <c r="K15" s="226">
        <v>48.69</v>
      </c>
      <c r="L15" s="226">
        <v>50.85</v>
      </c>
      <c r="M15" s="186">
        <f t="shared" ref="M15:P15" si="16">L15</f>
        <v>50.85</v>
      </c>
      <c r="N15" s="186">
        <f t="shared" si="16"/>
        <v>50.85</v>
      </c>
      <c r="O15" s="186">
        <f t="shared" si="16"/>
        <v>50.85</v>
      </c>
      <c r="P15" s="186">
        <f t="shared" si="16"/>
        <v>50.85</v>
      </c>
      <c r="Q15" s="186">
        <v>45</v>
      </c>
      <c r="R15" s="186">
        <v>48</v>
      </c>
      <c r="S15" s="186">
        <v>47</v>
      </c>
      <c r="T15" s="186">
        <v>46</v>
      </c>
      <c r="U15" s="186">
        <v>45</v>
      </c>
      <c r="V15" s="186">
        <v>50</v>
      </c>
      <c r="W15" s="186">
        <v>47</v>
      </c>
      <c r="X15" s="186">
        <v>51</v>
      </c>
      <c r="Y15" s="186">
        <v>49</v>
      </c>
      <c r="Z15" s="186">
        <v>49</v>
      </c>
      <c r="AA15" s="186">
        <v>51</v>
      </c>
      <c r="AB15" s="186">
        <v>46</v>
      </c>
      <c r="AC15" s="186">
        <v>47.8</v>
      </c>
      <c r="AD15" s="186">
        <v>47.8</v>
      </c>
      <c r="AE15" s="186">
        <v>47.8</v>
      </c>
      <c r="AF15" s="186">
        <v>47.8</v>
      </c>
      <c r="AG15" s="186">
        <v>47.8</v>
      </c>
      <c r="AH15" s="186">
        <v>47.8</v>
      </c>
      <c r="AI15" s="186">
        <v>47.8</v>
      </c>
      <c r="AJ15" s="186">
        <v>47.8</v>
      </c>
      <c r="AK15" s="186">
        <v>47.8</v>
      </c>
      <c r="AL15" s="186">
        <v>47.8</v>
      </c>
      <c r="AM15" s="186">
        <v>47.8</v>
      </c>
      <c r="AN15" s="186">
        <v>47.8</v>
      </c>
    </row>
    <row r="16" spans="2:40">
      <c r="C16" s="7" t="s">
        <v>804</v>
      </c>
      <c r="E16" s="223">
        <f t="shared" ref="E16:AN16" si="17">E15*E12</f>
        <v>13220.199999999999</v>
      </c>
      <c r="F16" s="223">
        <f t="shared" si="17"/>
        <v>67038.720000000001</v>
      </c>
      <c r="G16" s="223">
        <f t="shared" si="17"/>
        <v>47495.76</v>
      </c>
      <c r="H16" s="223">
        <f t="shared" si="17"/>
        <v>15117.839999999998</v>
      </c>
      <c r="I16" s="223">
        <f t="shared" si="17"/>
        <v>18066.72</v>
      </c>
      <c r="J16" s="223">
        <f t="shared" si="17"/>
        <v>80123.360000000001</v>
      </c>
      <c r="K16" s="223">
        <f t="shared" si="17"/>
        <v>69091.11</v>
      </c>
      <c r="L16" s="223">
        <f t="shared" si="17"/>
        <v>15356.7</v>
      </c>
      <c r="M16" s="184">
        <f t="shared" si="17"/>
        <v>129041.76628069479</v>
      </c>
      <c r="N16" s="184">
        <f t="shared" si="17"/>
        <v>65453.957077788014</v>
      </c>
      <c r="O16" s="184">
        <f t="shared" si="17"/>
        <v>50951.168735120315</v>
      </c>
      <c r="P16" s="184">
        <f t="shared" si="17"/>
        <v>49494.358927307083</v>
      </c>
      <c r="Q16" s="184">
        <f t="shared" si="17"/>
        <v>27332.085174411375</v>
      </c>
      <c r="R16" s="184">
        <f t="shared" si="17"/>
        <v>82384.424144728735</v>
      </c>
      <c r="S16" s="184">
        <f t="shared" si="17"/>
        <v>65890.911824745403</v>
      </c>
      <c r="T16" s="184">
        <f t="shared" si="17"/>
        <v>25903.646614242083</v>
      </c>
      <c r="U16" s="184">
        <f t="shared" si="17"/>
        <v>26207.507389067825</v>
      </c>
      <c r="V16" s="184">
        <f t="shared" si="17"/>
        <v>156270.17751741558</v>
      </c>
      <c r="W16" s="184">
        <f t="shared" si="17"/>
        <v>35757.371860612671</v>
      </c>
      <c r="X16" s="184">
        <f t="shared" si="17"/>
        <v>28469.538314917903</v>
      </c>
      <c r="Y16" s="184">
        <f t="shared" si="17"/>
        <v>180761.14084720271</v>
      </c>
      <c r="Z16" s="184">
        <f t="shared" si="17"/>
        <v>128087.79265726061</v>
      </c>
      <c r="AA16" s="184">
        <f t="shared" si="17"/>
        <v>54945.869237397455</v>
      </c>
      <c r="AB16" s="184">
        <f t="shared" si="17"/>
        <v>39632.348257261889</v>
      </c>
      <c r="AC16" s="184">
        <f t="shared" si="17"/>
        <v>40426.504200709402</v>
      </c>
      <c r="AD16" s="184">
        <f t="shared" si="17"/>
        <v>106976.06630755006</v>
      </c>
      <c r="AE16" s="184">
        <f t="shared" si="17"/>
        <v>76032.082432238254</v>
      </c>
      <c r="AF16" s="184">
        <f t="shared" si="17"/>
        <v>56911.98123208616</v>
      </c>
      <c r="AG16" s="184">
        <f t="shared" si="17"/>
        <v>38971.645203837215</v>
      </c>
      <c r="AH16" s="184">
        <f t="shared" si="17"/>
        <v>135461.15446864406</v>
      </c>
      <c r="AI16" s="184">
        <f t="shared" si="17"/>
        <v>103097.06159400576</v>
      </c>
      <c r="AJ16" s="184">
        <f t="shared" si="17"/>
        <v>38181.502451282315</v>
      </c>
      <c r="AK16" s="184">
        <f t="shared" si="17"/>
        <v>215105.91461724843</v>
      </c>
      <c r="AL16" s="184">
        <f t="shared" si="17"/>
        <v>141853.99398336519</v>
      </c>
      <c r="AM16" s="184">
        <f t="shared" si="17"/>
        <v>73807.266303224344</v>
      </c>
      <c r="AN16" s="184">
        <f t="shared" si="17"/>
        <v>52894.967767520873</v>
      </c>
    </row>
    <row r="17" spans="2:40">
      <c r="B17" s="236"/>
      <c r="C17" s="7" t="s">
        <v>805</v>
      </c>
      <c r="E17" s="226">
        <v>59.98</v>
      </c>
      <c r="F17" s="226">
        <v>55.75</v>
      </c>
      <c r="G17" s="226">
        <v>60.93</v>
      </c>
      <c r="H17" s="226">
        <v>65.3</v>
      </c>
      <c r="I17" s="226">
        <v>46.45</v>
      </c>
      <c r="J17" s="226">
        <v>52.88</v>
      </c>
      <c r="K17" s="226">
        <v>57.26</v>
      </c>
      <c r="L17" s="226">
        <v>58.81</v>
      </c>
      <c r="M17" s="186">
        <f t="shared" ref="M17:AN17" si="18">L17</f>
        <v>58.81</v>
      </c>
      <c r="N17" s="186">
        <f t="shared" si="18"/>
        <v>58.81</v>
      </c>
      <c r="O17" s="186">
        <f t="shared" si="18"/>
        <v>58.81</v>
      </c>
      <c r="P17" s="186">
        <f t="shared" si="18"/>
        <v>58.81</v>
      </c>
      <c r="Q17" s="186">
        <f t="shared" si="18"/>
        <v>58.81</v>
      </c>
      <c r="R17" s="186">
        <f t="shared" si="18"/>
        <v>58.81</v>
      </c>
      <c r="S17" s="186">
        <f t="shared" si="18"/>
        <v>58.81</v>
      </c>
      <c r="T17" s="186">
        <f t="shared" si="18"/>
        <v>58.81</v>
      </c>
      <c r="U17" s="186">
        <f t="shared" si="18"/>
        <v>58.81</v>
      </c>
      <c r="V17" s="186">
        <f t="shared" si="18"/>
        <v>58.81</v>
      </c>
      <c r="W17" s="186">
        <f t="shared" si="18"/>
        <v>58.81</v>
      </c>
      <c r="X17" s="186">
        <f t="shared" si="18"/>
        <v>58.81</v>
      </c>
      <c r="Y17" s="186">
        <f t="shared" si="18"/>
        <v>58.81</v>
      </c>
      <c r="Z17" s="186">
        <f t="shared" si="18"/>
        <v>58.81</v>
      </c>
      <c r="AA17" s="186">
        <f t="shared" si="18"/>
        <v>58.81</v>
      </c>
      <c r="AB17" s="186">
        <f t="shared" si="18"/>
        <v>58.81</v>
      </c>
      <c r="AC17" s="186">
        <f t="shared" si="18"/>
        <v>58.81</v>
      </c>
      <c r="AD17" s="186">
        <f t="shared" si="18"/>
        <v>58.81</v>
      </c>
      <c r="AE17" s="186">
        <f t="shared" si="18"/>
        <v>58.81</v>
      </c>
      <c r="AF17" s="186">
        <f t="shared" si="18"/>
        <v>58.81</v>
      </c>
      <c r="AG17" s="186">
        <f t="shared" si="18"/>
        <v>58.81</v>
      </c>
      <c r="AH17" s="186">
        <f t="shared" si="18"/>
        <v>58.81</v>
      </c>
      <c r="AI17" s="186">
        <f t="shared" si="18"/>
        <v>58.81</v>
      </c>
      <c r="AJ17" s="186">
        <f t="shared" si="18"/>
        <v>58.81</v>
      </c>
      <c r="AK17" s="186">
        <f t="shared" si="18"/>
        <v>58.81</v>
      </c>
      <c r="AL17" s="186">
        <f t="shared" si="18"/>
        <v>58.81</v>
      </c>
      <c r="AM17" s="186">
        <f t="shared" si="18"/>
        <v>58.81</v>
      </c>
      <c r="AN17" s="186">
        <f t="shared" si="18"/>
        <v>58.81</v>
      </c>
    </row>
    <row r="18" spans="2:40">
      <c r="C18" s="7" t="s">
        <v>806</v>
      </c>
      <c r="E18" s="223">
        <f>E11*E17</f>
        <v>899.69999999999993</v>
      </c>
      <c r="F18" s="223">
        <f>F11*F17</f>
        <v>501.75</v>
      </c>
      <c r="G18" s="223">
        <f>G11*G17</f>
        <v>1218.5999999999999</v>
      </c>
      <c r="H18" s="223">
        <f>H11*H17</f>
        <v>1110.0999999999999</v>
      </c>
      <c r="I18" s="223">
        <f>I11*I17</f>
        <v>882.55000000000007</v>
      </c>
      <c r="J18" s="223">
        <f t="shared" ref="J18:AN18" si="19">J11*J15</f>
        <v>1238</v>
      </c>
      <c r="K18" s="223">
        <f t="shared" si="19"/>
        <v>973.8</v>
      </c>
      <c r="L18" s="223">
        <f t="shared" si="19"/>
        <v>1067.8500000000001</v>
      </c>
      <c r="M18" s="184">
        <f t="shared" si="19"/>
        <v>16603.029719305217</v>
      </c>
      <c r="N18" s="184">
        <f t="shared" si="19"/>
        <v>12947.241882211987</v>
      </c>
      <c r="O18" s="184">
        <f t="shared" si="19"/>
        <v>10662.263511279691</v>
      </c>
      <c r="P18" s="184">
        <f t="shared" si="19"/>
        <v>13657.001348372918</v>
      </c>
      <c r="Q18" s="184">
        <f t="shared" si="19"/>
        <v>8988.1627615886227</v>
      </c>
      <c r="R18" s="184">
        <f t="shared" si="19"/>
        <v>7684.3292632712673</v>
      </c>
      <c r="S18" s="184">
        <f t="shared" si="19"/>
        <v>10565.730784854604</v>
      </c>
      <c r="T18" s="184">
        <f t="shared" si="19"/>
        <v>7555.4111814023609</v>
      </c>
      <c r="U18" s="184">
        <f t="shared" si="19"/>
        <v>5784.5233789321719</v>
      </c>
      <c r="V18" s="184">
        <f t="shared" si="19"/>
        <v>9728.7534825844159</v>
      </c>
      <c r="W18" s="184">
        <f t="shared" si="19"/>
        <v>6454.0765318762124</v>
      </c>
      <c r="X18" s="184">
        <f t="shared" si="19"/>
        <v>5416.0075666820967</v>
      </c>
      <c r="Y18" s="184">
        <f t="shared" si="19"/>
        <v>8470.2822639084043</v>
      </c>
      <c r="Z18" s="184">
        <f t="shared" si="19"/>
        <v>6032.3629107393763</v>
      </c>
      <c r="AA18" s="184">
        <f t="shared" si="19"/>
        <v>5007.430300842545</v>
      </c>
      <c r="AB18" s="184">
        <f t="shared" si="19"/>
        <v>7555.3410153923423</v>
      </c>
      <c r="AC18" s="184">
        <f t="shared" si="19"/>
        <v>5361.1540890025981</v>
      </c>
      <c r="AD18" s="184">
        <f t="shared" si="19"/>
        <v>3977.7845920765949</v>
      </c>
      <c r="AE18" s="184">
        <f t="shared" si="19"/>
        <v>7172.0849142737261</v>
      </c>
      <c r="AF18" s="184">
        <f t="shared" si="19"/>
        <v>4709.3750176596232</v>
      </c>
      <c r="AG18" s="184">
        <f t="shared" si="19"/>
        <v>3389.4240614854471</v>
      </c>
      <c r="AH18" s="184">
        <f t="shared" si="19"/>
        <v>6550.8748281559101</v>
      </c>
      <c r="AI18" s="184">
        <f t="shared" si="19"/>
        <v>4321.9330998039968</v>
      </c>
      <c r="AJ18" s="184">
        <f t="shared" si="19"/>
        <v>2947.1135332083422</v>
      </c>
      <c r="AK18" s="184">
        <f t="shared" si="19"/>
        <v>6047.7408138626161</v>
      </c>
      <c r="AL18" s="184">
        <f t="shared" si="19"/>
        <v>4170.1810463947932</v>
      </c>
      <c r="AM18" s="184">
        <f t="shared" si="19"/>
        <v>3108.9301743991323</v>
      </c>
      <c r="AN18" s="184">
        <f t="shared" si="19"/>
        <v>5913.8402325321758</v>
      </c>
    </row>
    <row r="19" spans="2:40">
      <c r="E19" s="217"/>
      <c r="F19" s="217"/>
      <c r="G19" s="217"/>
      <c r="H19" s="217"/>
      <c r="I19" s="217"/>
      <c r="J19" s="217"/>
      <c r="K19" s="217"/>
      <c r="L19" s="217"/>
    </row>
    <row r="20" spans="2:40">
      <c r="C20" s="7" t="s">
        <v>807</v>
      </c>
      <c r="E20" s="226">
        <v>50.05</v>
      </c>
      <c r="F20" s="226">
        <v>50.12</v>
      </c>
      <c r="G20" s="226">
        <v>48.7</v>
      </c>
      <c r="H20" s="226">
        <v>44.32</v>
      </c>
      <c r="I20" s="226">
        <v>42.72</v>
      </c>
      <c r="J20" s="226">
        <v>48.09</v>
      </c>
      <c r="K20" s="226">
        <v>48.81</v>
      </c>
      <c r="L20" s="226">
        <v>53.17</v>
      </c>
      <c r="M20" s="186">
        <v>45</v>
      </c>
      <c r="N20" s="186">
        <f t="shared" ref="N20:P20" si="20">M20</f>
        <v>45</v>
      </c>
      <c r="O20" s="186">
        <f t="shared" si="20"/>
        <v>45</v>
      </c>
      <c r="P20" s="186">
        <f t="shared" si="20"/>
        <v>45</v>
      </c>
      <c r="Q20" s="186">
        <v>47</v>
      </c>
      <c r="R20" s="186">
        <v>50</v>
      </c>
      <c r="S20" s="186">
        <v>49</v>
      </c>
      <c r="T20" s="186">
        <v>44</v>
      </c>
      <c r="U20" s="186">
        <v>42.5</v>
      </c>
      <c r="V20" s="186">
        <v>49</v>
      </c>
      <c r="W20" s="186">
        <v>48</v>
      </c>
      <c r="X20" s="186">
        <v>53.5</v>
      </c>
      <c r="Y20" s="186">
        <v>52</v>
      </c>
      <c r="Z20" s="186">
        <v>52</v>
      </c>
      <c r="AA20" s="186">
        <v>52</v>
      </c>
      <c r="AB20" s="186">
        <v>50</v>
      </c>
      <c r="AC20" s="186">
        <v>48.2</v>
      </c>
      <c r="AD20" s="186">
        <v>48.2</v>
      </c>
      <c r="AE20" s="186">
        <v>48.2</v>
      </c>
      <c r="AF20" s="186">
        <v>48.2</v>
      </c>
      <c r="AG20" s="186">
        <v>48.2</v>
      </c>
      <c r="AH20" s="186">
        <v>48.2</v>
      </c>
      <c r="AI20" s="186">
        <v>48.2</v>
      </c>
      <c r="AJ20" s="186">
        <v>48.2</v>
      </c>
      <c r="AK20" s="186">
        <v>48.2</v>
      </c>
      <c r="AL20" s="186">
        <v>48.2</v>
      </c>
      <c r="AM20" s="186">
        <v>48.2</v>
      </c>
      <c r="AN20" s="186">
        <v>48.2</v>
      </c>
    </row>
    <row r="21" spans="2:40">
      <c r="C21" s="7" t="s">
        <v>808</v>
      </c>
      <c r="E21" s="223">
        <f t="shared" ref="E21:AN21" si="21">E9*E20</f>
        <v>28778.75</v>
      </c>
      <c r="F21" s="223">
        <f t="shared" si="21"/>
        <v>85003.51999999999</v>
      </c>
      <c r="G21" s="223">
        <f t="shared" si="21"/>
        <v>86345.1</v>
      </c>
      <c r="H21" s="223">
        <f t="shared" si="21"/>
        <v>33461.599999999999</v>
      </c>
      <c r="I21" s="223">
        <f t="shared" si="21"/>
        <v>34603.199999999997</v>
      </c>
      <c r="J21" s="223">
        <f t="shared" si="21"/>
        <v>103922.49</v>
      </c>
      <c r="K21" s="223">
        <f t="shared" si="21"/>
        <v>134666.79</v>
      </c>
      <c r="L21" s="223">
        <f t="shared" si="21"/>
        <v>35198.54</v>
      </c>
      <c r="M21" s="184">
        <f t="shared" si="21"/>
        <v>131672.94665425242</v>
      </c>
      <c r="N21" s="184">
        <f t="shared" si="21"/>
        <v>122267.73617894867</v>
      </c>
      <c r="O21" s="184">
        <f t="shared" si="21"/>
        <v>28215.631425911233</v>
      </c>
      <c r="P21" s="184">
        <f t="shared" si="21"/>
        <v>37620.841901214975</v>
      </c>
      <c r="Q21" s="184">
        <f t="shared" si="21"/>
        <v>40639.839222103685</v>
      </c>
      <c r="R21" s="184">
        <f t="shared" si="21"/>
        <v>90547.096315907576</v>
      </c>
      <c r="S21" s="184">
        <f t="shared" si="21"/>
        <v>82509.69187016759</v>
      </c>
      <c r="T21" s="184">
        <f t="shared" si="21"/>
        <v>38782.055167524966</v>
      </c>
      <c r="U21" s="184">
        <f t="shared" si="21"/>
        <v>37028.062835658173</v>
      </c>
      <c r="V21" s="184">
        <f t="shared" si="21"/>
        <v>131528.10641293271</v>
      </c>
      <c r="W21" s="184">
        <f t="shared" si="21"/>
        <v>48759.821415816841</v>
      </c>
      <c r="X21" s="184">
        <f t="shared" si="21"/>
        <v>58237.238827009649</v>
      </c>
      <c r="Y21" s="184">
        <f t="shared" si="21"/>
        <v>197802.02652949918</v>
      </c>
      <c r="Z21" s="184">
        <f t="shared" si="21"/>
        <v>254316.89125221327</v>
      </c>
      <c r="AA21" s="184">
        <f t="shared" si="21"/>
        <v>42386.148542035531</v>
      </c>
      <c r="AB21" s="184">
        <f t="shared" si="21"/>
        <v>54341.216079532729</v>
      </c>
      <c r="AC21" s="184">
        <f t="shared" si="21"/>
        <v>54180.687779936532</v>
      </c>
      <c r="AD21" s="184">
        <f t="shared" si="21"/>
        <v>113473.62110309537</v>
      </c>
      <c r="AE21" s="184">
        <f t="shared" si="21"/>
        <v>105511.37331805512</v>
      </c>
      <c r="AF21" s="184">
        <f t="shared" si="21"/>
        <v>55229.172199934415</v>
      </c>
      <c r="AG21" s="184">
        <f t="shared" si="21"/>
        <v>54592.433347819788</v>
      </c>
      <c r="AH21" s="184">
        <f t="shared" si="21"/>
        <v>168194.92138437484</v>
      </c>
      <c r="AI21" s="184">
        <f t="shared" si="21"/>
        <v>63651.883539897586</v>
      </c>
      <c r="AJ21" s="184">
        <f t="shared" si="21"/>
        <v>68208.324951409828</v>
      </c>
      <c r="AK21" s="184">
        <f t="shared" si="21"/>
        <v>238351.44196804654</v>
      </c>
      <c r="AL21" s="184">
        <f t="shared" si="21"/>
        <v>306451.85395891697</v>
      </c>
      <c r="AM21" s="184">
        <f t="shared" si="21"/>
        <v>51075.308993152823</v>
      </c>
      <c r="AN21" s="184">
        <f t="shared" si="21"/>
        <v>68100.411990870431</v>
      </c>
    </row>
    <row r="22" spans="2:40">
      <c r="C22" s="7" t="s">
        <v>809</v>
      </c>
      <c r="E22" s="226">
        <v>67.27</v>
      </c>
      <c r="F22" s="226">
        <v>80.959999999999994</v>
      </c>
      <c r="G22" s="226">
        <v>69.16</v>
      </c>
      <c r="H22" s="226">
        <v>58.07</v>
      </c>
      <c r="I22" s="226">
        <v>74.709999999999994</v>
      </c>
      <c r="J22" s="226">
        <v>72.75</v>
      </c>
      <c r="K22" s="226">
        <v>81.319999999999993</v>
      </c>
      <c r="L22" s="226">
        <v>66.59</v>
      </c>
      <c r="M22" s="186">
        <f t="shared" ref="M22:AN22" si="22">L22</f>
        <v>66.59</v>
      </c>
      <c r="N22" s="186">
        <f t="shared" si="22"/>
        <v>66.59</v>
      </c>
      <c r="O22" s="186">
        <f t="shared" si="22"/>
        <v>66.59</v>
      </c>
      <c r="P22" s="186">
        <f t="shared" si="22"/>
        <v>66.59</v>
      </c>
      <c r="Q22" s="186">
        <f t="shared" si="22"/>
        <v>66.59</v>
      </c>
      <c r="R22" s="186">
        <f t="shared" si="22"/>
        <v>66.59</v>
      </c>
      <c r="S22" s="186">
        <f t="shared" si="22"/>
        <v>66.59</v>
      </c>
      <c r="T22" s="186">
        <f t="shared" si="22"/>
        <v>66.59</v>
      </c>
      <c r="U22" s="186">
        <f t="shared" si="22"/>
        <v>66.59</v>
      </c>
      <c r="V22" s="186">
        <f t="shared" si="22"/>
        <v>66.59</v>
      </c>
      <c r="W22" s="186">
        <f t="shared" si="22"/>
        <v>66.59</v>
      </c>
      <c r="X22" s="186">
        <f t="shared" si="22"/>
        <v>66.59</v>
      </c>
      <c r="Y22" s="186">
        <f>X22</f>
        <v>66.59</v>
      </c>
      <c r="Z22" s="186">
        <f t="shared" si="22"/>
        <v>66.59</v>
      </c>
      <c r="AA22" s="186">
        <f t="shared" si="22"/>
        <v>66.59</v>
      </c>
      <c r="AB22" s="186">
        <f t="shared" si="22"/>
        <v>66.59</v>
      </c>
      <c r="AC22" s="186">
        <f t="shared" si="22"/>
        <v>66.59</v>
      </c>
      <c r="AD22" s="186">
        <f t="shared" si="22"/>
        <v>66.59</v>
      </c>
      <c r="AE22" s="186">
        <f t="shared" si="22"/>
        <v>66.59</v>
      </c>
      <c r="AF22" s="186">
        <f t="shared" si="22"/>
        <v>66.59</v>
      </c>
      <c r="AG22" s="186">
        <f t="shared" si="22"/>
        <v>66.59</v>
      </c>
      <c r="AH22" s="186">
        <f t="shared" si="22"/>
        <v>66.59</v>
      </c>
      <c r="AI22" s="186">
        <f t="shared" si="22"/>
        <v>66.59</v>
      </c>
      <c r="AJ22" s="186">
        <f t="shared" si="22"/>
        <v>66.59</v>
      </c>
      <c r="AK22" s="186">
        <f t="shared" si="22"/>
        <v>66.59</v>
      </c>
      <c r="AL22" s="186">
        <f t="shared" si="22"/>
        <v>66.59</v>
      </c>
      <c r="AM22" s="186">
        <f t="shared" si="22"/>
        <v>66.59</v>
      </c>
      <c r="AN22" s="186">
        <f t="shared" si="22"/>
        <v>66.59</v>
      </c>
    </row>
    <row r="23" spans="2:40">
      <c r="C23" s="7" t="s">
        <v>810</v>
      </c>
      <c r="E23" s="223">
        <f>E22*E10</f>
        <v>1479.9399999999998</v>
      </c>
      <c r="F23" s="223">
        <f>F22*F10</f>
        <v>2428.7999999999997</v>
      </c>
      <c r="G23" s="223">
        <f>G22*G10</f>
        <v>1798.1599999999999</v>
      </c>
      <c r="H23" s="223">
        <f>H22*H10</f>
        <v>1567.89</v>
      </c>
      <c r="I23" s="223">
        <f>I22*I10</f>
        <v>1793.04</v>
      </c>
      <c r="J23" s="223">
        <f t="shared" ref="J23:AN23" si="23">J20*J10</f>
        <v>2500.6800000000003</v>
      </c>
      <c r="K23" s="223">
        <f t="shared" si="23"/>
        <v>2586.9300000000003</v>
      </c>
      <c r="L23" s="223">
        <f t="shared" si="23"/>
        <v>1860.95</v>
      </c>
      <c r="M23" s="184">
        <f t="shared" si="23"/>
        <v>10192.053345747587</v>
      </c>
      <c r="N23" s="184">
        <f t="shared" si="23"/>
        <v>9197.2638210513342</v>
      </c>
      <c r="O23" s="184">
        <f t="shared" si="23"/>
        <v>7484.3685740887713</v>
      </c>
      <c r="P23" s="184">
        <f t="shared" si="23"/>
        <v>6859.1580987850293</v>
      </c>
      <c r="Q23" s="184">
        <f t="shared" si="23"/>
        <v>6499.6567778963181</v>
      </c>
      <c r="R23" s="184">
        <f t="shared" si="23"/>
        <v>6716.5703507590915</v>
      </c>
      <c r="S23" s="184">
        <f t="shared" si="23"/>
        <v>5960.6901298324137</v>
      </c>
      <c r="T23" s="184">
        <f t="shared" si="23"/>
        <v>4551.6772769194758</v>
      </c>
      <c r="U23" s="184">
        <f t="shared" si="23"/>
        <v>3955.4238310084975</v>
      </c>
      <c r="V23" s="184">
        <f t="shared" si="23"/>
        <v>5020.1935870672887</v>
      </c>
      <c r="W23" s="184">
        <f t="shared" si="23"/>
        <v>3752.3492508498216</v>
      </c>
      <c r="X23" s="184">
        <f t="shared" si="23"/>
        <v>3869.2705063236822</v>
      </c>
      <c r="Y23" s="184">
        <f t="shared" si="23"/>
        <v>4801.529026056367</v>
      </c>
      <c r="Z23" s="184">
        <f t="shared" si="23"/>
        <v>5059.1087477867477</v>
      </c>
      <c r="AA23" s="184">
        <f t="shared" si="23"/>
        <v>2767.1847912977969</v>
      </c>
      <c r="AB23" s="184">
        <f t="shared" si="23"/>
        <v>2547.6728093561578</v>
      </c>
      <c r="AC23" s="184">
        <f t="shared" si="23"/>
        <v>2298.0671000634761</v>
      </c>
      <c r="AD23" s="184">
        <f t="shared" si="23"/>
        <v>2695.8659635712884</v>
      </c>
      <c r="AE23" s="184">
        <f t="shared" si="23"/>
        <v>2426.4245619448789</v>
      </c>
      <c r="AF23" s="184">
        <f t="shared" si="23"/>
        <v>1787.3222311766942</v>
      </c>
      <c r="AG23" s="184">
        <f t="shared" si="23"/>
        <v>1667.2107588468839</v>
      </c>
      <c r="AH23" s="184">
        <f t="shared" si="23"/>
        <v>2650.4606156251798</v>
      </c>
      <c r="AI23" s="184">
        <f t="shared" si="23"/>
        <v>1524.3792512135299</v>
      </c>
      <c r="AJ23" s="184">
        <f t="shared" si="23"/>
        <v>1499.9674752568476</v>
      </c>
      <c r="AK23" s="184">
        <f t="shared" si="23"/>
        <v>3028.8024763979247</v>
      </c>
      <c r="AL23" s="184">
        <f t="shared" si="23"/>
        <v>3618.7460410830399</v>
      </c>
      <c r="AM23" s="184">
        <f t="shared" si="23"/>
        <v>1093.1576735138472</v>
      </c>
      <c r="AN23" s="184">
        <f t="shared" si="23"/>
        <v>1216.5435646851261</v>
      </c>
    </row>
    <row r="24" spans="2:40">
      <c r="E24" s="217"/>
      <c r="F24" s="217"/>
      <c r="G24" s="217"/>
      <c r="H24" s="217"/>
      <c r="I24" s="217"/>
      <c r="J24" s="217"/>
      <c r="K24" s="217"/>
      <c r="L24" s="217"/>
    </row>
    <row r="25" spans="2:40">
      <c r="B25" s="237"/>
      <c r="C25" s="7" t="s">
        <v>87</v>
      </c>
      <c r="E25" s="227">
        <f t="shared" ref="E25:K25" si="24">(E21+E16+E18+E23)</f>
        <v>44378.59</v>
      </c>
      <c r="F25" s="227">
        <f t="shared" si="24"/>
        <v>154972.78999999998</v>
      </c>
      <c r="G25" s="227">
        <f t="shared" si="24"/>
        <v>136857.62000000002</v>
      </c>
      <c r="H25" s="227">
        <f t="shared" si="24"/>
        <v>51257.429999999993</v>
      </c>
      <c r="I25" s="227">
        <f t="shared" si="24"/>
        <v>55345.51</v>
      </c>
      <c r="J25" s="227">
        <f t="shared" si="24"/>
        <v>187784.53</v>
      </c>
      <c r="K25" s="227">
        <f t="shared" si="24"/>
        <v>207318.63</v>
      </c>
      <c r="L25" s="227">
        <f>(L21+L16+L18+L23)</f>
        <v>53484.04</v>
      </c>
      <c r="M25" s="201">
        <f>(M21+M16+M18+M23)</f>
        <v>287509.79600000003</v>
      </c>
      <c r="N25" s="201">
        <f t="shared" ref="N25:AN25" si="25">(N21+N16+N18+N23)</f>
        <v>209866.19896000001</v>
      </c>
      <c r="O25" s="201">
        <f t="shared" si="25"/>
        <v>97313.4322464</v>
      </c>
      <c r="P25" s="201">
        <f t="shared" si="25"/>
        <v>107631.36027568001</v>
      </c>
      <c r="Q25" s="201">
        <f t="shared" si="25"/>
        <v>83459.743936000013</v>
      </c>
      <c r="R25" s="201">
        <f t="shared" si="25"/>
        <v>187332.42007466665</v>
      </c>
      <c r="S25" s="201">
        <f t="shared" si="25"/>
        <v>164927.02460960002</v>
      </c>
      <c r="T25" s="201">
        <f t="shared" si="25"/>
        <v>76792.790240088885</v>
      </c>
      <c r="U25" s="201">
        <f t="shared" si="25"/>
        <v>72975.517434666661</v>
      </c>
      <c r="V25" s="201">
        <f t="shared" si="25"/>
        <v>302547.23100000003</v>
      </c>
      <c r="W25" s="201">
        <f t="shared" si="25"/>
        <v>94723.61905915555</v>
      </c>
      <c r="X25" s="201">
        <f>(X21+X16+X18+X23)</f>
        <v>95992.055214933323</v>
      </c>
      <c r="Y25" s="201">
        <f t="shared" si="25"/>
        <v>391834.97866666666</v>
      </c>
      <c r="Z25" s="201">
        <f t="shared" si="25"/>
        <v>393496.15556799999</v>
      </c>
      <c r="AA25" s="201">
        <f t="shared" si="25"/>
        <v>105106.63287157334</v>
      </c>
      <c r="AB25" s="201">
        <f t="shared" si="25"/>
        <v>104076.57816154312</v>
      </c>
      <c r="AC25" s="201">
        <f t="shared" si="25"/>
        <v>102266.413169712</v>
      </c>
      <c r="AD25" s="201">
        <f t="shared" si="25"/>
        <v>227123.3379662933</v>
      </c>
      <c r="AE25" s="201">
        <f t="shared" si="25"/>
        <v>191141.96522651199</v>
      </c>
      <c r="AF25" s="201">
        <f t="shared" si="25"/>
        <v>118637.85068085688</v>
      </c>
      <c r="AG25" s="201">
        <f t="shared" si="25"/>
        <v>98620.713371989332</v>
      </c>
      <c r="AH25" s="201">
        <f t="shared" si="25"/>
        <v>312857.41129680001</v>
      </c>
      <c r="AI25" s="201">
        <f t="shared" si="25"/>
        <v>172595.2574849209</v>
      </c>
      <c r="AJ25" s="201">
        <f t="shared" si="25"/>
        <v>110836.90841115733</v>
      </c>
      <c r="AK25" s="201">
        <f t="shared" si="25"/>
        <v>462533.89987555548</v>
      </c>
      <c r="AL25" s="201">
        <f t="shared" si="25"/>
        <v>456094.77502976003</v>
      </c>
      <c r="AM25" s="201">
        <f t="shared" si="25"/>
        <v>129084.66314429016</v>
      </c>
      <c r="AN25" s="201">
        <f t="shared" si="25"/>
        <v>128125.7635556086</v>
      </c>
    </row>
    <row r="26" spans="2:40">
      <c r="B26" s="235" t="s">
        <v>894</v>
      </c>
      <c r="C26" s="238" t="s">
        <v>812</v>
      </c>
      <c r="E26" s="228">
        <v>37812.589999999997</v>
      </c>
      <c r="F26" s="228">
        <v>129295.55</v>
      </c>
      <c r="G26" s="228">
        <v>114231.94</v>
      </c>
      <c r="H26" s="228">
        <v>42964.13</v>
      </c>
      <c r="I26" s="228">
        <v>46325.89</v>
      </c>
      <c r="J26" s="228">
        <v>158108</v>
      </c>
      <c r="K26" s="228">
        <v>174582</v>
      </c>
      <c r="L26" s="228">
        <v>45378</v>
      </c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2"/>
      <c r="AC26" s="202"/>
      <c r="AD26" s="202"/>
      <c r="AE26" s="202"/>
      <c r="AF26" s="202"/>
      <c r="AG26" s="202"/>
      <c r="AH26" s="202"/>
      <c r="AI26" s="202"/>
      <c r="AJ26" s="202"/>
      <c r="AK26" s="202"/>
      <c r="AL26" s="202"/>
      <c r="AM26" s="202"/>
      <c r="AN26" s="202"/>
    </row>
    <row r="27" spans="2:40">
      <c r="B27" s="237"/>
      <c r="C27" s="7" t="s">
        <v>813</v>
      </c>
      <c r="E27" s="229">
        <f t="shared" ref="E27:H27" si="26">E26-E25</f>
        <v>-6566</v>
      </c>
      <c r="F27" s="229">
        <f t="shared" si="26"/>
        <v>-25677.239999999976</v>
      </c>
      <c r="G27" s="229">
        <f t="shared" si="26"/>
        <v>-22625.680000000022</v>
      </c>
      <c r="H27" s="229">
        <f t="shared" si="26"/>
        <v>-8293.2999999999956</v>
      </c>
      <c r="I27" s="229">
        <f>I26-I25</f>
        <v>-9019.6200000000026</v>
      </c>
      <c r="J27" s="229">
        <f t="shared" ref="J27:L27" si="27">J26-J25</f>
        <v>-29676.53</v>
      </c>
      <c r="K27" s="229">
        <f t="shared" si="27"/>
        <v>-32736.630000000005</v>
      </c>
      <c r="L27" s="229">
        <f t="shared" si="27"/>
        <v>-8106.0400000000009</v>
      </c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</row>
    <row r="28" spans="2:40">
      <c r="E28" s="230">
        <f>E27/E26</f>
        <v>-0.17364586768586868</v>
      </c>
      <c r="F28" s="230">
        <f t="shared" ref="F28:H28" si="28">F27/F26</f>
        <v>-0.19859337773032387</v>
      </c>
      <c r="G28" s="230">
        <f t="shared" si="28"/>
        <v>-0.198067895896717</v>
      </c>
      <c r="H28" s="230">
        <f t="shared" si="28"/>
        <v>-0.19302846351130573</v>
      </c>
      <c r="I28" s="230">
        <f>I27/I26</f>
        <v>-0.19469933551195676</v>
      </c>
      <c r="J28" s="230">
        <f t="shared" ref="J28:L28" si="29">J27/J26</f>
        <v>-0.18769783945151414</v>
      </c>
      <c r="K28" s="230">
        <f t="shared" si="29"/>
        <v>-0.18751434855827065</v>
      </c>
      <c r="L28" s="230">
        <f t="shared" si="29"/>
        <v>-0.17863369914936755</v>
      </c>
    </row>
    <row r="29" spans="2:40">
      <c r="C29" s="7" t="s">
        <v>814</v>
      </c>
      <c r="E29" s="223">
        <v>0</v>
      </c>
      <c r="F29" s="223">
        <v>0</v>
      </c>
      <c r="G29" s="223">
        <v>0</v>
      </c>
      <c r="H29" s="223">
        <v>0</v>
      </c>
      <c r="I29" s="223">
        <v>0</v>
      </c>
      <c r="J29" s="223">
        <v>0</v>
      </c>
      <c r="K29" s="223">
        <v>0</v>
      </c>
      <c r="L29" s="223">
        <v>0</v>
      </c>
      <c r="M29" s="253">
        <v>0</v>
      </c>
      <c r="N29" s="253">
        <v>0</v>
      </c>
      <c r="O29" s="253">
        <v>0</v>
      </c>
      <c r="P29" s="253">
        <v>0</v>
      </c>
      <c r="Q29" s="253">
        <v>1500</v>
      </c>
      <c r="R29" s="253">
        <v>1500</v>
      </c>
      <c r="S29" s="253">
        <v>1500</v>
      </c>
      <c r="T29" s="253">
        <v>1500</v>
      </c>
      <c r="U29" s="253">
        <v>1500</v>
      </c>
      <c r="V29" s="253">
        <v>1500</v>
      </c>
      <c r="W29" s="253">
        <v>1500</v>
      </c>
      <c r="X29" s="253">
        <v>2000</v>
      </c>
      <c r="Y29" s="253">
        <v>3000</v>
      </c>
      <c r="Z29" s="253">
        <v>3000</v>
      </c>
      <c r="AA29" s="253">
        <v>1500</v>
      </c>
      <c r="AB29" s="253">
        <v>1500</v>
      </c>
      <c r="AC29" s="253">
        <v>1500</v>
      </c>
      <c r="AD29" s="253">
        <v>1500</v>
      </c>
      <c r="AE29" s="253">
        <v>1500</v>
      </c>
      <c r="AF29" s="253">
        <v>1500</v>
      </c>
      <c r="AG29" s="253">
        <v>1500</v>
      </c>
      <c r="AH29" s="253">
        <v>1500</v>
      </c>
      <c r="AI29" s="253">
        <v>1500</v>
      </c>
      <c r="AJ29" s="253">
        <v>1500</v>
      </c>
      <c r="AK29" s="253">
        <v>1500</v>
      </c>
      <c r="AL29" s="253">
        <v>1500</v>
      </c>
      <c r="AM29" s="253">
        <v>1500</v>
      </c>
      <c r="AN29" s="253">
        <v>1500</v>
      </c>
    </row>
    <row r="30" spans="2:40">
      <c r="E30" s="221"/>
      <c r="F30" s="221"/>
      <c r="G30" s="221"/>
      <c r="H30" s="221"/>
      <c r="I30" s="221"/>
      <c r="J30" s="223"/>
      <c r="K30" s="217"/>
      <c r="L30" s="217"/>
    </row>
    <row r="31" spans="2:40">
      <c r="E31" s="221"/>
      <c r="F31" s="221"/>
      <c r="G31" s="221"/>
      <c r="H31" s="221"/>
      <c r="I31" s="221"/>
      <c r="J31" s="223"/>
      <c r="K31" s="217"/>
      <c r="L31" s="217"/>
    </row>
    <row r="32" spans="2:40">
      <c r="C32" s="10" t="s">
        <v>815</v>
      </c>
      <c r="E32" s="221"/>
      <c r="F32" s="221"/>
      <c r="G32" s="221"/>
      <c r="H32" s="221"/>
      <c r="I32" s="221"/>
      <c r="J32" s="224"/>
      <c r="K32" s="231"/>
      <c r="L32" s="231"/>
      <c r="M32" s="357" t="s">
        <v>816</v>
      </c>
      <c r="N32" s="358" t="s">
        <v>817</v>
      </c>
      <c r="O32" s="357" t="s">
        <v>816</v>
      </c>
      <c r="P32" s="357" t="s">
        <v>816</v>
      </c>
      <c r="Q32" s="357" t="s">
        <v>816</v>
      </c>
      <c r="R32" s="357" t="s">
        <v>874</v>
      </c>
      <c r="S32" s="357" t="s">
        <v>874</v>
      </c>
      <c r="T32" s="357" t="s">
        <v>816</v>
      </c>
      <c r="U32" s="357" t="s">
        <v>816</v>
      </c>
      <c r="V32" s="357" t="s">
        <v>874</v>
      </c>
      <c r="W32" s="357" t="s">
        <v>816</v>
      </c>
      <c r="X32" s="357" t="s">
        <v>816</v>
      </c>
      <c r="Y32" s="357" t="s">
        <v>874</v>
      </c>
      <c r="Z32" s="357" t="s">
        <v>874</v>
      </c>
      <c r="AA32" s="357" t="s">
        <v>816</v>
      </c>
      <c r="AB32" s="357" t="s">
        <v>816</v>
      </c>
      <c r="AC32" s="357" t="s">
        <v>816</v>
      </c>
      <c r="AD32" s="357" t="s">
        <v>816</v>
      </c>
      <c r="AE32" s="357" t="s">
        <v>816</v>
      </c>
      <c r="AF32" s="357" t="s">
        <v>816</v>
      </c>
      <c r="AG32" s="357" t="s">
        <v>816</v>
      </c>
      <c r="AH32" s="357" t="s">
        <v>816</v>
      </c>
      <c r="AI32" s="357" t="s">
        <v>816</v>
      </c>
      <c r="AJ32" s="357" t="s">
        <v>816</v>
      </c>
      <c r="AK32" s="357" t="s">
        <v>816</v>
      </c>
      <c r="AL32" s="357" t="s">
        <v>816</v>
      </c>
      <c r="AM32" s="357" t="s">
        <v>816</v>
      </c>
      <c r="AN32" s="357" t="s">
        <v>816</v>
      </c>
    </row>
    <row r="33" spans="2:40">
      <c r="E33" s="221"/>
      <c r="F33" s="221"/>
      <c r="G33" s="221"/>
      <c r="H33" s="221"/>
      <c r="I33" s="221"/>
      <c r="J33" s="217"/>
      <c r="K33" s="217"/>
      <c r="L33" s="217"/>
    </row>
    <row r="34" spans="2:40" ht="12" customHeight="1">
      <c r="B34" s="237"/>
      <c r="C34" s="208" t="s">
        <v>208</v>
      </c>
      <c r="D34" s="208"/>
      <c r="E34" s="218">
        <v>45689</v>
      </c>
      <c r="F34" s="218">
        <v>45717</v>
      </c>
      <c r="G34" s="218">
        <v>45748</v>
      </c>
      <c r="H34" s="218">
        <v>45778</v>
      </c>
      <c r="I34" s="218">
        <v>45809</v>
      </c>
      <c r="J34" s="218">
        <v>45839</v>
      </c>
      <c r="K34" s="218">
        <v>45870</v>
      </c>
      <c r="L34" s="218">
        <v>45901</v>
      </c>
      <c r="M34" s="195">
        <v>45931</v>
      </c>
      <c r="N34" s="195">
        <v>45962</v>
      </c>
      <c r="O34" s="195">
        <v>45992</v>
      </c>
      <c r="P34" s="195">
        <v>46023</v>
      </c>
      <c r="Q34" s="195">
        <v>46054</v>
      </c>
      <c r="R34" s="195">
        <v>46082</v>
      </c>
      <c r="S34" s="195">
        <v>46113</v>
      </c>
      <c r="T34" s="195">
        <v>46143</v>
      </c>
      <c r="U34" s="195">
        <v>46174</v>
      </c>
      <c r="V34" s="195">
        <v>46204</v>
      </c>
      <c r="W34" s="195">
        <v>46235</v>
      </c>
      <c r="X34" s="195">
        <v>46266</v>
      </c>
      <c r="Y34" s="195">
        <v>46296</v>
      </c>
      <c r="Z34" s="195">
        <v>46327</v>
      </c>
      <c r="AA34" s="195">
        <v>46357</v>
      </c>
      <c r="AB34" s="195">
        <v>46388</v>
      </c>
      <c r="AC34" s="195">
        <v>46419</v>
      </c>
      <c r="AD34" s="195">
        <v>46447</v>
      </c>
      <c r="AE34" s="195">
        <v>46478</v>
      </c>
      <c r="AF34" s="195">
        <v>46508</v>
      </c>
      <c r="AG34" s="195">
        <v>46539</v>
      </c>
      <c r="AH34" s="195">
        <v>46569</v>
      </c>
      <c r="AI34" s="195">
        <v>46600</v>
      </c>
      <c r="AJ34" s="195">
        <v>46631</v>
      </c>
      <c r="AK34" s="195">
        <v>46661</v>
      </c>
      <c r="AL34" s="195">
        <v>46692</v>
      </c>
      <c r="AM34" s="195">
        <v>46722</v>
      </c>
      <c r="AN34" s="195">
        <v>46753</v>
      </c>
    </row>
    <row r="35" spans="2:40" ht="12" customHeight="1">
      <c r="B35" s="237"/>
      <c r="C35" s="208"/>
      <c r="D35" s="208"/>
      <c r="E35" s="219" t="s">
        <v>753</v>
      </c>
      <c r="F35" s="219" t="s">
        <v>754</v>
      </c>
      <c r="G35" s="219" t="s">
        <v>755</v>
      </c>
      <c r="H35" s="219" t="s">
        <v>756</v>
      </c>
      <c r="I35" s="219" t="s">
        <v>757</v>
      </c>
      <c r="J35" s="219" t="s">
        <v>758</v>
      </c>
      <c r="K35" s="219" t="s">
        <v>759</v>
      </c>
      <c r="L35" s="219" t="s">
        <v>760</v>
      </c>
      <c r="M35" s="196" t="s">
        <v>761</v>
      </c>
      <c r="N35" s="196" t="s">
        <v>762</v>
      </c>
      <c r="O35" s="196" t="s">
        <v>763</v>
      </c>
      <c r="P35" s="196" t="s">
        <v>764</v>
      </c>
      <c r="Q35" s="196" t="s">
        <v>765</v>
      </c>
      <c r="R35" s="196" t="s">
        <v>766</v>
      </c>
      <c r="S35" s="196" t="s">
        <v>767</v>
      </c>
      <c r="T35" s="196" t="s">
        <v>768</v>
      </c>
      <c r="U35" s="196" t="s">
        <v>769</v>
      </c>
      <c r="V35" s="196" t="s">
        <v>770</v>
      </c>
      <c r="W35" s="196" t="s">
        <v>771</v>
      </c>
      <c r="X35" s="196" t="s">
        <v>772</v>
      </c>
      <c r="Y35" s="196" t="s">
        <v>773</v>
      </c>
      <c r="Z35" s="196" t="s">
        <v>774</v>
      </c>
      <c r="AA35" s="196" t="s">
        <v>775</v>
      </c>
      <c r="AB35" s="196" t="s">
        <v>776</v>
      </c>
      <c r="AC35" s="196" t="s">
        <v>777</v>
      </c>
      <c r="AD35" s="196" t="s">
        <v>778</v>
      </c>
      <c r="AE35" s="196" t="s">
        <v>779</v>
      </c>
      <c r="AF35" s="196" t="s">
        <v>780</v>
      </c>
      <c r="AG35" s="196" t="s">
        <v>781</v>
      </c>
      <c r="AH35" s="196" t="s">
        <v>782</v>
      </c>
      <c r="AI35" s="196" t="s">
        <v>783</v>
      </c>
      <c r="AJ35" s="196" t="s">
        <v>784</v>
      </c>
      <c r="AK35" s="196" t="s">
        <v>785</v>
      </c>
      <c r="AL35" s="196" t="s">
        <v>786</v>
      </c>
      <c r="AM35" s="196" t="s">
        <v>787</v>
      </c>
      <c r="AN35" s="196" t="s">
        <v>788</v>
      </c>
    </row>
    <row r="36" spans="2:40" ht="12" customHeight="1">
      <c r="B36" s="239" t="s">
        <v>895</v>
      </c>
      <c r="C36" s="212" t="s">
        <v>821</v>
      </c>
      <c r="D36" s="214"/>
      <c r="E36" s="232">
        <v>11492</v>
      </c>
      <c r="F36" s="232">
        <v>30945</v>
      </c>
      <c r="G36" s="232">
        <v>36621</v>
      </c>
      <c r="H36" s="232">
        <v>19169</v>
      </c>
      <c r="I36" s="232">
        <v>18948</v>
      </c>
      <c r="J36" s="232">
        <v>35675</v>
      </c>
      <c r="K36" s="232">
        <v>30377</v>
      </c>
      <c r="L36" s="232">
        <v>21701</v>
      </c>
      <c r="M36" s="277">
        <v>70000</v>
      </c>
      <c r="N36" s="277">
        <v>65000</v>
      </c>
      <c r="O36" s="277">
        <v>15000</v>
      </c>
      <c r="P36" s="277">
        <v>20000</v>
      </c>
      <c r="Q36" s="277">
        <f t="shared" ref="Q36:AN36" si="30">E36*Q37</f>
        <v>20685.600000000002</v>
      </c>
      <c r="R36" s="277">
        <f t="shared" si="30"/>
        <v>43323</v>
      </c>
      <c r="S36" s="277">
        <f t="shared" si="30"/>
        <v>40283.100000000006</v>
      </c>
      <c r="T36" s="277">
        <f t="shared" si="30"/>
        <v>21085.9</v>
      </c>
      <c r="U36" s="277">
        <f t="shared" si="30"/>
        <v>20842.800000000003</v>
      </c>
      <c r="V36" s="277">
        <f t="shared" si="30"/>
        <v>64215</v>
      </c>
      <c r="W36" s="277">
        <f t="shared" si="30"/>
        <v>24301.600000000002</v>
      </c>
      <c r="X36" s="277">
        <f t="shared" si="30"/>
        <v>26041.200000000001</v>
      </c>
      <c r="Y36" s="277">
        <f t="shared" si="30"/>
        <v>91000</v>
      </c>
      <c r="Z36" s="277">
        <f>N36*Z37</f>
        <v>117000</v>
      </c>
      <c r="AA36" s="277">
        <f t="shared" si="30"/>
        <v>19500</v>
      </c>
      <c r="AB36" s="277">
        <f>P36*AB37</f>
        <v>26000</v>
      </c>
      <c r="AC36" s="277">
        <f t="shared" si="30"/>
        <v>26891.280000000002</v>
      </c>
      <c r="AD36" s="277">
        <f t="shared" si="30"/>
        <v>56319.9</v>
      </c>
      <c r="AE36" s="277">
        <f t="shared" si="30"/>
        <v>52368.030000000006</v>
      </c>
      <c r="AF36" s="277">
        <f t="shared" si="30"/>
        <v>27411.670000000002</v>
      </c>
      <c r="AG36" s="277">
        <f t="shared" si="30"/>
        <v>27095.640000000003</v>
      </c>
      <c r="AH36" s="277">
        <f t="shared" si="30"/>
        <v>83479.5</v>
      </c>
      <c r="AI36" s="277">
        <f t="shared" si="30"/>
        <v>31592.080000000005</v>
      </c>
      <c r="AJ36" s="277">
        <f t="shared" si="30"/>
        <v>33853.560000000005</v>
      </c>
      <c r="AK36" s="277">
        <f t="shared" si="30"/>
        <v>118300</v>
      </c>
      <c r="AL36" s="277">
        <f t="shared" si="30"/>
        <v>152100</v>
      </c>
      <c r="AM36" s="277">
        <f t="shared" si="30"/>
        <v>25350</v>
      </c>
      <c r="AN36" s="277">
        <f t="shared" si="30"/>
        <v>33800</v>
      </c>
    </row>
    <row r="37" spans="2:40" ht="12" customHeight="1">
      <c r="B37" s="239"/>
      <c r="C37" s="212" t="s">
        <v>887</v>
      </c>
      <c r="D37" s="214"/>
      <c r="E37" s="205"/>
      <c r="F37" s="205"/>
      <c r="G37" s="205"/>
      <c r="H37" s="205"/>
      <c r="I37" s="205"/>
      <c r="J37" s="205"/>
      <c r="K37" s="205"/>
      <c r="L37" s="205"/>
      <c r="M37" s="277"/>
      <c r="N37" s="277"/>
      <c r="O37" s="277"/>
      <c r="P37" s="277"/>
      <c r="Q37" s="281">
        <v>1.8</v>
      </c>
      <c r="R37" s="359">
        <v>1.4</v>
      </c>
      <c r="S37" s="359">
        <v>1.1000000000000001</v>
      </c>
      <c r="T37" s="359">
        <v>1.1000000000000001</v>
      </c>
      <c r="U37" s="359">
        <v>1.1000000000000001</v>
      </c>
      <c r="V37" s="359">
        <v>1.8</v>
      </c>
      <c r="W37" s="359">
        <v>0.8</v>
      </c>
      <c r="X37" s="359">
        <v>1.2</v>
      </c>
      <c r="Y37" s="359">
        <v>1.3</v>
      </c>
      <c r="Z37" s="359">
        <v>1.8</v>
      </c>
      <c r="AA37" s="359">
        <v>1.3</v>
      </c>
      <c r="AB37" s="359">
        <v>1.3</v>
      </c>
      <c r="AC37" s="359">
        <v>1.3</v>
      </c>
      <c r="AD37" s="359">
        <v>1.3</v>
      </c>
      <c r="AE37" s="359">
        <v>1.3</v>
      </c>
      <c r="AF37" s="359">
        <v>1.3</v>
      </c>
      <c r="AG37" s="359">
        <v>1.3</v>
      </c>
      <c r="AH37" s="359">
        <v>1.3</v>
      </c>
      <c r="AI37" s="359">
        <v>1.3</v>
      </c>
      <c r="AJ37" s="359">
        <v>1.3</v>
      </c>
      <c r="AK37" s="359">
        <v>1.3</v>
      </c>
      <c r="AL37" s="359">
        <v>1.3</v>
      </c>
      <c r="AM37" s="359">
        <v>1.3</v>
      </c>
      <c r="AN37" s="359">
        <v>1.3</v>
      </c>
    </row>
    <row r="38" spans="2:40">
      <c r="C38" s="249" t="s">
        <v>822</v>
      </c>
      <c r="D38" s="214"/>
      <c r="J38" s="205"/>
      <c r="K38" s="205"/>
      <c r="L38" s="205"/>
    </row>
    <row r="39" spans="2:40">
      <c r="C39" s="241" t="s">
        <v>751</v>
      </c>
      <c r="E39" s="233"/>
      <c r="F39" s="233"/>
      <c r="G39" s="233"/>
      <c r="H39" s="233"/>
      <c r="I39" s="233"/>
      <c r="J39" s="205"/>
      <c r="K39" s="205"/>
      <c r="L39" s="205"/>
      <c r="M39" s="278">
        <v>0</v>
      </c>
      <c r="N39" s="278">
        <v>0</v>
      </c>
      <c r="O39" s="278">
        <v>0</v>
      </c>
      <c r="P39" s="278">
        <v>0</v>
      </c>
      <c r="Q39" s="278">
        <v>0</v>
      </c>
      <c r="R39" s="278">
        <v>0</v>
      </c>
      <c r="S39" s="278">
        <v>0</v>
      </c>
      <c r="T39" s="278">
        <v>0</v>
      </c>
      <c r="U39" s="278">
        <v>0</v>
      </c>
      <c r="V39" s="278">
        <v>0</v>
      </c>
      <c r="W39" s="278">
        <v>0</v>
      </c>
      <c r="X39" s="278">
        <v>0</v>
      </c>
      <c r="Y39" s="278">
        <v>0</v>
      </c>
      <c r="Z39" s="278">
        <v>0</v>
      </c>
      <c r="AA39" s="278">
        <v>0</v>
      </c>
      <c r="AB39" s="278">
        <v>0</v>
      </c>
      <c r="AC39" s="278">
        <v>0</v>
      </c>
      <c r="AD39" s="278">
        <v>0</v>
      </c>
      <c r="AE39" s="278">
        <v>0</v>
      </c>
      <c r="AF39" s="278">
        <v>0</v>
      </c>
      <c r="AG39" s="278">
        <v>0</v>
      </c>
      <c r="AH39" s="278">
        <v>0</v>
      </c>
      <c r="AI39" s="278">
        <v>0</v>
      </c>
      <c r="AJ39" s="278">
        <v>0</v>
      </c>
      <c r="AK39" s="278">
        <v>0</v>
      </c>
      <c r="AL39" s="278">
        <v>0</v>
      </c>
      <c r="AM39" s="278">
        <v>0</v>
      </c>
      <c r="AN39" s="278">
        <v>0</v>
      </c>
    </row>
    <row r="40" spans="2:40">
      <c r="C40" s="241" t="s">
        <v>823</v>
      </c>
      <c r="E40" s="233"/>
      <c r="F40" s="233"/>
      <c r="G40" s="233"/>
      <c r="H40" s="233"/>
      <c r="I40" s="233"/>
      <c r="J40" s="205"/>
      <c r="K40" s="205"/>
      <c r="L40" s="205"/>
      <c r="M40" s="278">
        <v>0.2</v>
      </c>
      <c r="N40" s="278">
        <v>0.2</v>
      </c>
      <c r="O40" s="278">
        <v>0.2</v>
      </c>
      <c r="P40" s="278">
        <v>0.2</v>
      </c>
      <c r="Q40" s="278">
        <v>0.2</v>
      </c>
      <c r="R40" s="278">
        <v>0.2</v>
      </c>
      <c r="S40" s="278">
        <v>0.2</v>
      </c>
      <c r="T40" s="278">
        <v>0.2</v>
      </c>
      <c r="U40" s="278">
        <v>0.2</v>
      </c>
      <c r="V40" s="278">
        <v>0.2</v>
      </c>
      <c r="W40" s="278">
        <v>0.2</v>
      </c>
      <c r="X40" s="278">
        <v>0.2</v>
      </c>
      <c r="Y40" s="278">
        <v>0.2</v>
      </c>
      <c r="Z40" s="278">
        <v>0.2</v>
      </c>
      <c r="AA40" s="278">
        <v>0.2</v>
      </c>
      <c r="AB40" s="278">
        <v>0.2</v>
      </c>
      <c r="AC40" s="278">
        <v>0.2</v>
      </c>
      <c r="AD40" s="278">
        <v>0.2</v>
      </c>
      <c r="AE40" s="278">
        <v>0.2</v>
      </c>
      <c r="AF40" s="278">
        <v>0.2</v>
      </c>
      <c r="AG40" s="278">
        <v>0.2</v>
      </c>
      <c r="AH40" s="278">
        <v>0.2</v>
      </c>
      <c r="AI40" s="278">
        <v>0.2</v>
      </c>
      <c r="AJ40" s="278">
        <v>0.2</v>
      </c>
      <c r="AK40" s="278">
        <v>0.2</v>
      </c>
      <c r="AL40" s="278">
        <v>0.2</v>
      </c>
      <c r="AM40" s="278">
        <v>0.2</v>
      </c>
      <c r="AN40" s="278">
        <v>0.2</v>
      </c>
    </row>
    <row r="41" spans="2:40">
      <c r="C41" s="241" t="s">
        <v>824</v>
      </c>
      <c r="E41" s="233"/>
      <c r="F41" s="233"/>
      <c r="G41" s="233"/>
      <c r="H41" s="233"/>
      <c r="I41" s="233"/>
      <c r="J41" s="205"/>
      <c r="K41" s="205"/>
      <c r="L41" s="205"/>
      <c r="M41" s="278">
        <v>0.8</v>
      </c>
      <c r="N41" s="278">
        <v>0.8</v>
      </c>
      <c r="O41" s="278">
        <v>0.8</v>
      </c>
      <c r="P41" s="278">
        <v>0.8</v>
      </c>
      <c r="Q41" s="278">
        <v>0.8</v>
      </c>
      <c r="R41" s="278">
        <v>0.8</v>
      </c>
      <c r="S41" s="278">
        <v>0.8</v>
      </c>
      <c r="T41" s="278">
        <v>0.8</v>
      </c>
      <c r="U41" s="278">
        <v>0.8</v>
      </c>
      <c r="V41" s="278">
        <v>0.8</v>
      </c>
      <c r="W41" s="278">
        <v>0.8</v>
      </c>
      <c r="X41" s="278">
        <v>0.8</v>
      </c>
      <c r="Y41" s="278">
        <v>0.8</v>
      </c>
      <c r="Z41" s="278">
        <v>0.8</v>
      </c>
      <c r="AA41" s="278">
        <v>0.8</v>
      </c>
      <c r="AB41" s="278">
        <v>0.8</v>
      </c>
      <c r="AC41" s="278">
        <v>0.8</v>
      </c>
      <c r="AD41" s="278">
        <v>0.8</v>
      </c>
      <c r="AE41" s="278">
        <v>0.8</v>
      </c>
      <c r="AF41" s="278">
        <v>0.8</v>
      </c>
      <c r="AG41" s="278">
        <v>0.8</v>
      </c>
      <c r="AH41" s="278">
        <v>0.8</v>
      </c>
      <c r="AI41" s="278">
        <v>0.8</v>
      </c>
      <c r="AJ41" s="278">
        <v>0.8</v>
      </c>
      <c r="AK41" s="278">
        <v>0.8</v>
      </c>
      <c r="AL41" s="278">
        <v>0.8</v>
      </c>
      <c r="AM41" s="278">
        <v>0.8</v>
      </c>
      <c r="AN41" s="278">
        <v>0.8</v>
      </c>
    </row>
    <row r="42" spans="2:40">
      <c r="J42" s="205"/>
      <c r="K42" s="205"/>
      <c r="L42" s="205"/>
      <c r="M42" s="206"/>
      <c r="N42" s="206"/>
      <c r="O42" s="206"/>
      <c r="P42" s="206"/>
      <c r="Q42" s="206"/>
      <c r="R42" s="206"/>
      <c r="S42" s="206"/>
      <c r="T42" s="206"/>
      <c r="U42" s="206"/>
      <c r="V42" s="206"/>
      <c r="W42" s="206"/>
      <c r="X42" s="206"/>
      <c r="Y42" s="206"/>
      <c r="Z42" s="206"/>
      <c r="AA42" s="206"/>
      <c r="AB42" s="206"/>
      <c r="AC42" s="206"/>
      <c r="AD42" s="206"/>
      <c r="AE42" s="206"/>
      <c r="AF42" s="206"/>
      <c r="AG42" s="206"/>
      <c r="AH42" s="206"/>
      <c r="AI42" s="206"/>
      <c r="AJ42" s="206"/>
      <c r="AK42" s="206"/>
      <c r="AL42" s="206"/>
      <c r="AM42" s="206"/>
      <c r="AN42" s="206"/>
    </row>
    <row r="43" spans="2:40" s="207" customFormat="1">
      <c r="C43" s="242" t="s">
        <v>825</v>
      </c>
    </row>
    <row r="44" spans="2:40" ht="12" customHeight="1" outlineLevel="1">
      <c r="C44" s="208"/>
      <c r="D44" s="208"/>
      <c r="E44" s="196" t="s">
        <v>753</v>
      </c>
      <c r="F44" s="196" t="s">
        <v>754</v>
      </c>
      <c r="G44" s="196" t="s">
        <v>755</v>
      </c>
      <c r="H44" s="196" t="s">
        <v>756</v>
      </c>
      <c r="I44" s="196" t="s">
        <v>757</v>
      </c>
      <c r="J44" s="196" t="s">
        <v>758</v>
      </c>
      <c r="K44" s="196" t="s">
        <v>759</v>
      </c>
      <c r="L44" s="196" t="s">
        <v>760</v>
      </c>
      <c r="M44" s="196" t="s">
        <v>761</v>
      </c>
      <c r="N44" s="196" t="s">
        <v>762</v>
      </c>
      <c r="O44" s="196" t="s">
        <v>763</v>
      </c>
      <c r="P44" s="196" t="s">
        <v>764</v>
      </c>
      <c r="Q44" s="196" t="s">
        <v>765</v>
      </c>
      <c r="R44" s="196" t="s">
        <v>766</v>
      </c>
      <c r="S44" s="196" t="s">
        <v>767</v>
      </c>
      <c r="T44" s="196" t="s">
        <v>768</v>
      </c>
      <c r="U44" s="196" t="s">
        <v>769</v>
      </c>
      <c r="V44" s="196" t="s">
        <v>770</v>
      </c>
      <c r="W44" s="196" t="s">
        <v>771</v>
      </c>
      <c r="X44" s="196" t="s">
        <v>772</v>
      </c>
      <c r="Y44" s="196" t="s">
        <v>773</v>
      </c>
      <c r="Z44" s="196" t="s">
        <v>774</v>
      </c>
      <c r="AA44" s="196" t="s">
        <v>775</v>
      </c>
      <c r="AB44" s="196" t="s">
        <v>776</v>
      </c>
      <c r="AC44" s="196" t="s">
        <v>777</v>
      </c>
      <c r="AD44" s="196" t="s">
        <v>778</v>
      </c>
      <c r="AE44" s="196" t="s">
        <v>779</v>
      </c>
      <c r="AF44" s="196" t="s">
        <v>780</v>
      </c>
      <c r="AG44" s="196" t="s">
        <v>781</v>
      </c>
      <c r="AH44" s="196" t="s">
        <v>782</v>
      </c>
      <c r="AI44" s="196" t="s">
        <v>783</v>
      </c>
      <c r="AJ44" s="196" t="s">
        <v>784</v>
      </c>
      <c r="AK44" s="196" t="s">
        <v>785</v>
      </c>
      <c r="AL44" s="196" t="s">
        <v>786</v>
      </c>
      <c r="AM44" s="196" t="s">
        <v>787</v>
      </c>
      <c r="AN44" s="196" t="s">
        <v>788</v>
      </c>
    </row>
    <row r="45" spans="2:40" ht="12" customHeight="1" outlineLevel="1">
      <c r="B45" s="239"/>
      <c r="C45" s="214" t="s">
        <v>821</v>
      </c>
      <c r="D45" s="212"/>
      <c r="E45" s="257"/>
      <c r="F45" s="257"/>
      <c r="G45" s="257"/>
      <c r="H45" s="257"/>
      <c r="I45" s="257"/>
      <c r="J45" s="257"/>
      <c r="K45" s="257"/>
      <c r="L45" s="257"/>
      <c r="M45" s="188">
        <f t="shared" ref="M45:AN45" si="31">M36*M39</f>
        <v>0</v>
      </c>
      <c r="N45" s="188">
        <f t="shared" si="31"/>
        <v>0</v>
      </c>
      <c r="O45" s="188">
        <f t="shared" si="31"/>
        <v>0</v>
      </c>
      <c r="P45" s="188">
        <f t="shared" si="31"/>
        <v>0</v>
      </c>
      <c r="Q45" s="188">
        <f t="shared" si="31"/>
        <v>0</v>
      </c>
      <c r="R45" s="188">
        <f t="shared" si="31"/>
        <v>0</v>
      </c>
      <c r="S45" s="188">
        <f t="shared" si="31"/>
        <v>0</v>
      </c>
      <c r="T45" s="188">
        <f t="shared" si="31"/>
        <v>0</v>
      </c>
      <c r="U45" s="188">
        <f t="shared" si="31"/>
        <v>0</v>
      </c>
      <c r="V45" s="188">
        <f t="shared" si="31"/>
        <v>0</v>
      </c>
      <c r="W45" s="188">
        <f t="shared" si="31"/>
        <v>0</v>
      </c>
      <c r="X45" s="188">
        <f t="shared" si="31"/>
        <v>0</v>
      </c>
      <c r="Y45" s="188">
        <f t="shared" si="31"/>
        <v>0</v>
      </c>
      <c r="Z45" s="188">
        <f t="shared" si="31"/>
        <v>0</v>
      </c>
      <c r="AA45" s="188">
        <f t="shared" si="31"/>
        <v>0</v>
      </c>
      <c r="AB45" s="188">
        <f t="shared" si="31"/>
        <v>0</v>
      </c>
      <c r="AC45" s="188">
        <f t="shared" si="31"/>
        <v>0</v>
      </c>
      <c r="AD45" s="188">
        <f t="shared" si="31"/>
        <v>0</v>
      </c>
      <c r="AE45" s="188">
        <f t="shared" si="31"/>
        <v>0</v>
      </c>
      <c r="AF45" s="188">
        <f t="shared" si="31"/>
        <v>0</v>
      </c>
      <c r="AG45" s="188">
        <f t="shared" si="31"/>
        <v>0</v>
      </c>
      <c r="AH45" s="188">
        <f t="shared" si="31"/>
        <v>0</v>
      </c>
      <c r="AI45" s="188">
        <f t="shared" si="31"/>
        <v>0</v>
      </c>
      <c r="AJ45" s="188">
        <f t="shared" si="31"/>
        <v>0</v>
      </c>
      <c r="AK45" s="188">
        <f t="shared" si="31"/>
        <v>0</v>
      </c>
      <c r="AL45" s="188">
        <f t="shared" si="31"/>
        <v>0</v>
      </c>
      <c r="AM45" s="188">
        <f t="shared" si="31"/>
        <v>0</v>
      </c>
      <c r="AN45" s="188">
        <f t="shared" si="31"/>
        <v>0</v>
      </c>
    </row>
    <row r="46" spans="2:40" ht="12" customHeight="1" outlineLevel="1">
      <c r="B46" s="239" t="s">
        <v>856</v>
      </c>
      <c r="C46" s="214" t="s">
        <v>827</v>
      </c>
      <c r="D46" s="212"/>
      <c r="E46" s="234"/>
      <c r="F46" s="234"/>
      <c r="G46" s="234"/>
      <c r="H46" s="234"/>
      <c r="I46" s="234"/>
      <c r="J46" s="234"/>
      <c r="K46" s="234"/>
      <c r="L46" s="234"/>
      <c r="M46" s="279">
        <v>84.6</v>
      </c>
      <c r="N46" s="279">
        <v>84.6</v>
      </c>
      <c r="O46" s="279">
        <v>84.6</v>
      </c>
      <c r="P46" s="279">
        <v>84.6</v>
      </c>
      <c r="Q46" s="279">
        <v>84.6</v>
      </c>
      <c r="R46" s="279">
        <v>84.6</v>
      </c>
      <c r="S46" s="279">
        <v>84.6</v>
      </c>
      <c r="T46" s="279">
        <v>84.6</v>
      </c>
      <c r="U46" s="279">
        <v>84.6</v>
      </c>
      <c r="V46" s="279">
        <v>84.6</v>
      </c>
      <c r="W46" s="279">
        <v>84.6</v>
      </c>
      <c r="X46" s="279">
        <v>84.6</v>
      </c>
      <c r="Y46" s="279">
        <v>84.6</v>
      </c>
      <c r="Z46" s="279">
        <v>84.6</v>
      </c>
      <c r="AA46" s="279">
        <v>84.6</v>
      </c>
      <c r="AB46" s="279">
        <v>84.6</v>
      </c>
      <c r="AC46" s="279">
        <v>84.6</v>
      </c>
      <c r="AD46" s="279">
        <v>84.6</v>
      </c>
      <c r="AE46" s="279">
        <v>84.6</v>
      </c>
      <c r="AF46" s="279">
        <v>84.6</v>
      </c>
      <c r="AG46" s="279">
        <v>84.6</v>
      </c>
      <c r="AH46" s="279">
        <v>84.6</v>
      </c>
      <c r="AI46" s="279">
        <v>84.6</v>
      </c>
      <c r="AJ46" s="279">
        <v>84.6</v>
      </c>
      <c r="AK46" s="279">
        <v>84.6</v>
      </c>
      <c r="AL46" s="279">
        <v>84.6</v>
      </c>
      <c r="AM46" s="279">
        <v>84.6</v>
      </c>
      <c r="AN46" s="279">
        <v>84.6</v>
      </c>
    </row>
    <row r="47" spans="2:40" ht="12" customHeight="1" outlineLevel="1">
      <c r="B47" s="239" t="s">
        <v>828</v>
      </c>
      <c r="C47" s="214" t="s">
        <v>829</v>
      </c>
      <c r="D47" s="212"/>
      <c r="E47" s="232"/>
      <c r="F47" s="232"/>
      <c r="G47" s="232"/>
      <c r="H47" s="232"/>
      <c r="I47" s="232"/>
      <c r="J47" s="232"/>
      <c r="K47" s="232"/>
      <c r="L47" s="232"/>
      <c r="M47" s="205">
        <f t="shared" ref="M47:AN47" si="32">M45/M46</f>
        <v>0</v>
      </c>
      <c r="N47" s="205">
        <f t="shared" si="32"/>
        <v>0</v>
      </c>
      <c r="O47" s="205">
        <f t="shared" si="32"/>
        <v>0</v>
      </c>
      <c r="P47" s="205">
        <f t="shared" si="32"/>
        <v>0</v>
      </c>
      <c r="Q47" s="205">
        <f t="shared" si="32"/>
        <v>0</v>
      </c>
      <c r="R47" s="205">
        <f t="shared" si="32"/>
        <v>0</v>
      </c>
      <c r="S47" s="205">
        <f t="shared" si="32"/>
        <v>0</v>
      </c>
      <c r="T47" s="205">
        <f t="shared" si="32"/>
        <v>0</v>
      </c>
      <c r="U47" s="205">
        <f t="shared" si="32"/>
        <v>0</v>
      </c>
      <c r="V47" s="205">
        <f t="shared" si="32"/>
        <v>0</v>
      </c>
      <c r="W47" s="205">
        <f t="shared" si="32"/>
        <v>0</v>
      </c>
      <c r="X47" s="205">
        <f t="shared" si="32"/>
        <v>0</v>
      </c>
      <c r="Y47" s="205">
        <f t="shared" si="32"/>
        <v>0</v>
      </c>
      <c r="Z47" s="205">
        <f t="shared" si="32"/>
        <v>0</v>
      </c>
      <c r="AA47" s="205">
        <f t="shared" si="32"/>
        <v>0</v>
      </c>
      <c r="AB47" s="205">
        <f t="shared" si="32"/>
        <v>0</v>
      </c>
      <c r="AC47" s="205">
        <f t="shared" si="32"/>
        <v>0</v>
      </c>
      <c r="AD47" s="205">
        <f t="shared" si="32"/>
        <v>0</v>
      </c>
      <c r="AE47" s="205">
        <f t="shared" si="32"/>
        <v>0</v>
      </c>
      <c r="AF47" s="205">
        <f t="shared" si="32"/>
        <v>0</v>
      </c>
      <c r="AG47" s="205">
        <f t="shared" si="32"/>
        <v>0</v>
      </c>
      <c r="AH47" s="205">
        <f t="shared" si="32"/>
        <v>0</v>
      </c>
      <c r="AI47" s="205">
        <f t="shared" si="32"/>
        <v>0</v>
      </c>
      <c r="AJ47" s="205">
        <f t="shared" si="32"/>
        <v>0</v>
      </c>
      <c r="AK47" s="205">
        <f t="shared" si="32"/>
        <v>0</v>
      </c>
      <c r="AL47" s="205">
        <f t="shared" si="32"/>
        <v>0</v>
      </c>
      <c r="AM47" s="205">
        <f t="shared" si="32"/>
        <v>0</v>
      </c>
      <c r="AN47" s="205">
        <f t="shared" si="32"/>
        <v>0</v>
      </c>
    </row>
    <row r="48" spans="2:40" ht="12" customHeight="1" outlineLevel="1">
      <c r="B48" s="239"/>
      <c r="C48" s="214" t="s">
        <v>830</v>
      </c>
      <c r="D48" s="212"/>
      <c r="E48" s="256">
        <v>0</v>
      </c>
      <c r="F48" s="256">
        <v>0</v>
      </c>
      <c r="G48" s="256">
        <v>0</v>
      </c>
      <c r="H48" s="256">
        <v>0</v>
      </c>
      <c r="I48" s="256">
        <v>0</v>
      </c>
      <c r="J48" s="256">
        <v>0</v>
      </c>
      <c r="K48" s="256">
        <v>0</v>
      </c>
      <c r="L48" s="256">
        <v>0</v>
      </c>
      <c r="M48" s="280">
        <v>0</v>
      </c>
      <c r="N48" s="280">
        <v>0</v>
      </c>
      <c r="O48" s="280">
        <v>0</v>
      </c>
      <c r="P48" s="280">
        <v>0</v>
      </c>
      <c r="Q48" s="280">
        <v>0</v>
      </c>
      <c r="R48" s="280">
        <f>Q48</f>
        <v>0</v>
      </c>
      <c r="S48" s="280">
        <f t="shared" ref="S48:AN48" si="33">R48</f>
        <v>0</v>
      </c>
      <c r="T48" s="280">
        <f t="shared" si="33"/>
        <v>0</v>
      </c>
      <c r="U48" s="280">
        <v>0.1</v>
      </c>
      <c r="V48" s="280">
        <f t="shared" si="33"/>
        <v>0.1</v>
      </c>
      <c r="W48" s="280">
        <v>0.2</v>
      </c>
      <c r="X48" s="280">
        <f t="shared" si="33"/>
        <v>0.2</v>
      </c>
      <c r="Y48" s="280">
        <v>0</v>
      </c>
      <c r="Z48" s="280">
        <f t="shared" si="33"/>
        <v>0</v>
      </c>
      <c r="AA48" s="280">
        <f t="shared" si="33"/>
        <v>0</v>
      </c>
      <c r="AB48" s="280">
        <f t="shared" si="33"/>
        <v>0</v>
      </c>
      <c r="AC48" s="280">
        <f t="shared" si="33"/>
        <v>0</v>
      </c>
      <c r="AD48" s="280">
        <f t="shared" si="33"/>
        <v>0</v>
      </c>
      <c r="AE48" s="280">
        <f t="shared" si="33"/>
        <v>0</v>
      </c>
      <c r="AF48" s="280">
        <f t="shared" si="33"/>
        <v>0</v>
      </c>
      <c r="AG48" s="280">
        <f t="shared" si="33"/>
        <v>0</v>
      </c>
      <c r="AH48" s="280">
        <f t="shared" si="33"/>
        <v>0</v>
      </c>
      <c r="AI48" s="280">
        <f t="shared" si="33"/>
        <v>0</v>
      </c>
      <c r="AJ48" s="280">
        <f t="shared" si="33"/>
        <v>0</v>
      </c>
      <c r="AK48" s="280">
        <f t="shared" si="33"/>
        <v>0</v>
      </c>
      <c r="AL48" s="280">
        <f t="shared" si="33"/>
        <v>0</v>
      </c>
      <c r="AM48" s="280">
        <f t="shared" si="33"/>
        <v>0</v>
      </c>
      <c r="AN48" s="280">
        <f t="shared" si="33"/>
        <v>0</v>
      </c>
    </row>
    <row r="49" spans="2:40" ht="12" customHeight="1" outlineLevel="1">
      <c r="B49" s="239"/>
      <c r="C49" s="214" t="s">
        <v>831</v>
      </c>
      <c r="D49" s="212"/>
      <c r="E49" s="232">
        <f t="shared" ref="E49:I49" si="34">E47*E48</f>
        <v>0</v>
      </c>
      <c r="F49" s="232">
        <f t="shared" si="34"/>
        <v>0</v>
      </c>
      <c r="G49" s="232">
        <f t="shared" si="34"/>
        <v>0</v>
      </c>
      <c r="H49" s="232">
        <f t="shared" si="34"/>
        <v>0</v>
      </c>
      <c r="I49" s="232">
        <f t="shared" si="34"/>
        <v>0</v>
      </c>
      <c r="J49" s="232">
        <f t="shared" ref="J49:AN49" si="35">J47*J48</f>
        <v>0</v>
      </c>
      <c r="K49" s="232">
        <f t="shared" si="35"/>
        <v>0</v>
      </c>
      <c r="L49" s="232">
        <f t="shared" si="35"/>
        <v>0</v>
      </c>
      <c r="M49" s="205">
        <f t="shared" si="35"/>
        <v>0</v>
      </c>
      <c r="N49" s="205">
        <f t="shared" si="35"/>
        <v>0</v>
      </c>
      <c r="O49" s="205">
        <f t="shared" si="35"/>
        <v>0</v>
      </c>
      <c r="P49" s="205">
        <f t="shared" si="35"/>
        <v>0</v>
      </c>
      <c r="Q49" s="205">
        <f t="shared" si="35"/>
        <v>0</v>
      </c>
      <c r="R49" s="205">
        <f t="shared" si="35"/>
        <v>0</v>
      </c>
      <c r="S49" s="205">
        <f t="shared" si="35"/>
        <v>0</v>
      </c>
      <c r="T49" s="205">
        <f t="shared" si="35"/>
        <v>0</v>
      </c>
      <c r="U49" s="205">
        <f t="shared" si="35"/>
        <v>0</v>
      </c>
      <c r="V49" s="205">
        <f t="shared" si="35"/>
        <v>0</v>
      </c>
      <c r="W49" s="205">
        <f t="shared" si="35"/>
        <v>0</v>
      </c>
      <c r="X49" s="205">
        <f t="shared" si="35"/>
        <v>0</v>
      </c>
      <c r="Y49" s="205">
        <f t="shared" si="35"/>
        <v>0</v>
      </c>
      <c r="Z49" s="205">
        <f t="shared" si="35"/>
        <v>0</v>
      </c>
      <c r="AA49" s="205">
        <f t="shared" si="35"/>
        <v>0</v>
      </c>
      <c r="AB49" s="205">
        <f t="shared" si="35"/>
        <v>0</v>
      </c>
      <c r="AC49" s="205">
        <f t="shared" si="35"/>
        <v>0</v>
      </c>
      <c r="AD49" s="205">
        <f t="shared" si="35"/>
        <v>0</v>
      </c>
      <c r="AE49" s="205">
        <f t="shared" si="35"/>
        <v>0</v>
      </c>
      <c r="AF49" s="205">
        <f t="shared" si="35"/>
        <v>0</v>
      </c>
      <c r="AG49" s="205">
        <f t="shared" si="35"/>
        <v>0</v>
      </c>
      <c r="AH49" s="205">
        <f t="shared" si="35"/>
        <v>0</v>
      </c>
      <c r="AI49" s="205">
        <f t="shared" si="35"/>
        <v>0</v>
      </c>
      <c r="AJ49" s="205">
        <f t="shared" si="35"/>
        <v>0</v>
      </c>
      <c r="AK49" s="205">
        <f t="shared" si="35"/>
        <v>0</v>
      </c>
      <c r="AL49" s="205">
        <f t="shared" si="35"/>
        <v>0</v>
      </c>
      <c r="AM49" s="205">
        <f t="shared" si="35"/>
        <v>0</v>
      </c>
      <c r="AN49" s="205">
        <f t="shared" si="35"/>
        <v>0</v>
      </c>
    </row>
    <row r="50" spans="2:40" ht="12" customHeight="1" outlineLevel="1">
      <c r="B50" s="239" t="s">
        <v>896</v>
      </c>
      <c r="C50" s="214" t="s">
        <v>833</v>
      </c>
      <c r="D50" s="212"/>
      <c r="E50" s="232">
        <v>6</v>
      </c>
      <c r="F50" s="232">
        <v>6</v>
      </c>
      <c r="G50" s="232">
        <v>9</v>
      </c>
      <c r="H50" s="232">
        <v>5</v>
      </c>
      <c r="I50" s="232">
        <v>7</v>
      </c>
      <c r="J50" s="232">
        <v>0</v>
      </c>
      <c r="K50" s="232">
        <f>6+8</f>
        <v>14</v>
      </c>
      <c r="L50" s="232">
        <f>7+2</f>
        <v>9</v>
      </c>
      <c r="M50" s="205">
        <f t="shared" ref="M50:AN50" si="36">M47+M49</f>
        <v>0</v>
      </c>
      <c r="N50" s="205">
        <f t="shared" si="36"/>
        <v>0</v>
      </c>
      <c r="O50" s="205">
        <f t="shared" si="36"/>
        <v>0</v>
      </c>
      <c r="P50" s="205">
        <f t="shared" si="36"/>
        <v>0</v>
      </c>
      <c r="Q50" s="205">
        <f t="shared" si="36"/>
        <v>0</v>
      </c>
      <c r="R50" s="205">
        <f t="shared" si="36"/>
        <v>0</v>
      </c>
      <c r="S50" s="205">
        <f>S47+S49</f>
        <v>0</v>
      </c>
      <c r="T50" s="205">
        <f t="shared" si="36"/>
        <v>0</v>
      </c>
      <c r="U50" s="205">
        <f t="shared" si="36"/>
        <v>0</v>
      </c>
      <c r="V50" s="205">
        <f t="shared" si="36"/>
        <v>0</v>
      </c>
      <c r="W50" s="205">
        <f t="shared" si="36"/>
        <v>0</v>
      </c>
      <c r="X50" s="205">
        <f t="shared" si="36"/>
        <v>0</v>
      </c>
      <c r="Y50" s="205">
        <f t="shared" si="36"/>
        <v>0</v>
      </c>
      <c r="Z50" s="205">
        <f t="shared" si="36"/>
        <v>0</v>
      </c>
      <c r="AA50" s="205">
        <f t="shared" si="36"/>
        <v>0</v>
      </c>
      <c r="AB50" s="205">
        <f t="shared" si="36"/>
        <v>0</v>
      </c>
      <c r="AC50" s="205">
        <f t="shared" si="36"/>
        <v>0</v>
      </c>
      <c r="AD50" s="205">
        <f t="shared" si="36"/>
        <v>0</v>
      </c>
      <c r="AE50" s="205">
        <f t="shared" si="36"/>
        <v>0</v>
      </c>
      <c r="AF50" s="205">
        <f t="shared" si="36"/>
        <v>0</v>
      </c>
      <c r="AG50" s="205">
        <f t="shared" si="36"/>
        <v>0</v>
      </c>
      <c r="AH50" s="205">
        <f t="shared" si="36"/>
        <v>0</v>
      </c>
      <c r="AI50" s="205">
        <f t="shared" si="36"/>
        <v>0</v>
      </c>
      <c r="AJ50" s="205">
        <f t="shared" si="36"/>
        <v>0</v>
      </c>
      <c r="AK50" s="205">
        <f t="shared" si="36"/>
        <v>0</v>
      </c>
      <c r="AL50" s="205">
        <f t="shared" si="36"/>
        <v>0</v>
      </c>
      <c r="AM50" s="205">
        <f t="shared" si="36"/>
        <v>0</v>
      </c>
      <c r="AN50" s="205">
        <f t="shared" si="36"/>
        <v>0</v>
      </c>
    </row>
    <row r="51" spans="2:40" ht="12" customHeight="1" outlineLevel="1">
      <c r="B51" s="239"/>
      <c r="C51" s="214" t="s">
        <v>834</v>
      </c>
      <c r="D51" s="212"/>
      <c r="E51" s="232">
        <v>0</v>
      </c>
      <c r="F51" s="232">
        <v>3</v>
      </c>
      <c r="G51" s="232">
        <v>3</v>
      </c>
      <c r="H51" s="232">
        <v>4</v>
      </c>
      <c r="I51" s="232">
        <v>6</v>
      </c>
      <c r="J51" s="232">
        <v>2</v>
      </c>
      <c r="K51" s="232">
        <v>8</v>
      </c>
      <c r="L51" s="232">
        <v>2</v>
      </c>
      <c r="M51" s="205">
        <f t="shared" ref="M51:AN51" si="37">M59+M60</f>
        <v>0</v>
      </c>
      <c r="N51" s="205">
        <f t="shared" si="37"/>
        <v>0</v>
      </c>
      <c r="O51" s="205">
        <f t="shared" si="37"/>
        <v>0</v>
      </c>
      <c r="P51" s="205">
        <f t="shared" si="37"/>
        <v>0</v>
      </c>
      <c r="Q51" s="205">
        <f t="shared" si="37"/>
        <v>0</v>
      </c>
      <c r="R51" s="205">
        <f t="shared" si="37"/>
        <v>0</v>
      </c>
      <c r="S51" s="205">
        <f t="shared" si="37"/>
        <v>0</v>
      </c>
      <c r="T51" s="205">
        <f t="shared" si="37"/>
        <v>0</v>
      </c>
      <c r="U51" s="205">
        <f t="shared" si="37"/>
        <v>0</v>
      </c>
      <c r="V51" s="205">
        <f t="shared" si="37"/>
        <v>0</v>
      </c>
      <c r="W51" s="205">
        <f t="shared" si="37"/>
        <v>0</v>
      </c>
      <c r="X51" s="205">
        <f t="shared" si="37"/>
        <v>0</v>
      </c>
      <c r="Y51" s="205">
        <f t="shared" si="37"/>
        <v>0</v>
      </c>
      <c r="Z51" s="205">
        <f t="shared" si="37"/>
        <v>0</v>
      </c>
      <c r="AA51" s="205">
        <f t="shared" si="37"/>
        <v>0</v>
      </c>
      <c r="AB51" s="205">
        <f t="shared" si="37"/>
        <v>0</v>
      </c>
      <c r="AC51" s="205">
        <f t="shared" si="37"/>
        <v>0</v>
      </c>
      <c r="AD51" s="205">
        <f t="shared" si="37"/>
        <v>0</v>
      </c>
      <c r="AE51" s="205">
        <f t="shared" si="37"/>
        <v>0</v>
      </c>
      <c r="AF51" s="205">
        <f t="shared" si="37"/>
        <v>0</v>
      </c>
      <c r="AG51" s="205">
        <f t="shared" si="37"/>
        <v>0</v>
      </c>
      <c r="AH51" s="205">
        <f t="shared" si="37"/>
        <v>0</v>
      </c>
      <c r="AI51" s="205">
        <f t="shared" si="37"/>
        <v>0</v>
      </c>
      <c r="AJ51" s="205">
        <f t="shared" si="37"/>
        <v>0</v>
      </c>
      <c r="AK51" s="205">
        <f t="shared" si="37"/>
        <v>0</v>
      </c>
      <c r="AL51" s="205">
        <f t="shared" si="37"/>
        <v>0</v>
      </c>
      <c r="AM51" s="205">
        <f t="shared" si="37"/>
        <v>0</v>
      </c>
      <c r="AN51" s="205">
        <f t="shared" si="37"/>
        <v>0</v>
      </c>
    </row>
    <row r="52" spans="2:40" ht="12" customHeight="1" outlineLevel="1">
      <c r="B52" s="239"/>
      <c r="C52" s="214" t="s">
        <v>835</v>
      </c>
      <c r="D52" s="212"/>
      <c r="E52" s="232">
        <f>E45/E50</f>
        <v>0</v>
      </c>
      <c r="F52" s="232">
        <f t="shared" ref="F52:I52" si="38">F45/F50</f>
        <v>0</v>
      </c>
      <c r="G52" s="232">
        <f t="shared" si="38"/>
        <v>0</v>
      </c>
      <c r="H52" s="232">
        <f t="shared" si="38"/>
        <v>0</v>
      </c>
      <c r="I52" s="232">
        <f t="shared" si="38"/>
        <v>0</v>
      </c>
      <c r="J52" s="232" t="e">
        <f>J45/J50</f>
        <v>#DIV/0!</v>
      </c>
      <c r="K52" s="232">
        <f t="shared" ref="K52:AN52" si="39">K45/K50</f>
        <v>0</v>
      </c>
      <c r="L52" s="232">
        <f t="shared" si="39"/>
        <v>0</v>
      </c>
      <c r="M52" s="205" t="e">
        <f t="shared" si="39"/>
        <v>#DIV/0!</v>
      </c>
      <c r="N52" s="205" t="e">
        <f t="shared" si="39"/>
        <v>#DIV/0!</v>
      </c>
      <c r="O52" s="205" t="e">
        <f t="shared" si="39"/>
        <v>#DIV/0!</v>
      </c>
      <c r="P52" s="205" t="e">
        <f t="shared" si="39"/>
        <v>#DIV/0!</v>
      </c>
      <c r="Q52" s="205" t="e">
        <f t="shared" si="39"/>
        <v>#DIV/0!</v>
      </c>
      <c r="R52" s="205" t="e">
        <f t="shared" si="39"/>
        <v>#DIV/0!</v>
      </c>
      <c r="S52" s="205" t="e">
        <f t="shared" si="39"/>
        <v>#DIV/0!</v>
      </c>
      <c r="T52" s="205" t="e">
        <f t="shared" si="39"/>
        <v>#DIV/0!</v>
      </c>
      <c r="U52" s="205" t="e">
        <f t="shared" si="39"/>
        <v>#DIV/0!</v>
      </c>
      <c r="V52" s="205" t="e">
        <f t="shared" si="39"/>
        <v>#DIV/0!</v>
      </c>
      <c r="W52" s="205" t="e">
        <f t="shared" si="39"/>
        <v>#DIV/0!</v>
      </c>
      <c r="X52" s="205" t="e">
        <f t="shared" si="39"/>
        <v>#DIV/0!</v>
      </c>
      <c r="Y52" s="205" t="e">
        <f t="shared" si="39"/>
        <v>#DIV/0!</v>
      </c>
      <c r="Z52" s="205" t="e">
        <f t="shared" si="39"/>
        <v>#DIV/0!</v>
      </c>
      <c r="AA52" s="205" t="e">
        <f t="shared" si="39"/>
        <v>#DIV/0!</v>
      </c>
      <c r="AB52" s="205" t="e">
        <f t="shared" si="39"/>
        <v>#DIV/0!</v>
      </c>
      <c r="AC52" s="205" t="e">
        <f t="shared" si="39"/>
        <v>#DIV/0!</v>
      </c>
      <c r="AD52" s="205" t="e">
        <f t="shared" si="39"/>
        <v>#DIV/0!</v>
      </c>
      <c r="AE52" s="205" t="e">
        <f t="shared" si="39"/>
        <v>#DIV/0!</v>
      </c>
      <c r="AF52" s="205" t="e">
        <f t="shared" si="39"/>
        <v>#DIV/0!</v>
      </c>
      <c r="AG52" s="205" t="e">
        <f t="shared" si="39"/>
        <v>#DIV/0!</v>
      </c>
      <c r="AH52" s="205" t="e">
        <f t="shared" si="39"/>
        <v>#DIV/0!</v>
      </c>
      <c r="AI52" s="205" t="e">
        <f t="shared" si="39"/>
        <v>#DIV/0!</v>
      </c>
      <c r="AJ52" s="205" t="e">
        <f t="shared" si="39"/>
        <v>#DIV/0!</v>
      </c>
      <c r="AK52" s="205" t="e">
        <f t="shared" si="39"/>
        <v>#DIV/0!</v>
      </c>
      <c r="AL52" s="205" t="e">
        <f t="shared" si="39"/>
        <v>#DIV/0!</v>
      </c>
      <c r="AM52" s="205" t="e">
        <f t="shared" si="39"/>
        <v>#DIV/0!</v>
      </c>
      <c r="AN52" s="205" t="e">
        <f t="shared" si="39"/>
        <v>#DIV/0!</v>
      </c>
    </row>
    <row r="53" spans="2:40" ht="12" customHeight="1" outlineLevel="1">
      <c r="B53" s="239"/>
      <c r="C53" s="243" t="s">
        <v>836</v>
      </c>
      <c r="D53" s="212"/>
      <c r="E53" s="232"/>
      <c r="F53" s="232"/>
      <c r="G53" s="232"/>
      <c r="H53" s="232"/>
      <c r="I53" s="232"/>
      <c r="J53" s="232"/>
      <c r="K53" s="232"/>
      <c r="L53" s="232"/>
      <c r="M53" s="205"/>
      <c r="N53" s="205"/>
      <c r="O53" s="205"/>
      <c r="P53" s="205"/>
      <c r="Q53" s="205"/>
      <c r="R53" s="205"/>
      <c r="S53" s="205"/>
      <c r="T53" s="205"/>
      <c r="U53" s="205"/>
      <c r="V53" s="205"/>
      <c r="W53" s="205"/>
      <c r="X53" s="205"/>
      <c r="Y53" s="205"/>
      <c r="Z53" s="205"/>
      <c r="AA53" s="205"/>
      <c r="AB53" s="205"/>
      <c r="AC53" s="205"/>
      <c r="AD53" s="205"/>
      <c r="AE53" s="205"/>
      <c r="AF53" s="205"/>
      <c r="AG53" s="205"/>
      <c r="AH53" s="205"/>
      <c r="AI53" s="205"/>
      <c r="AJ53" s="205"/>
      <c r="AK53" s="205"/>
      <c r="AL53" s="205"/>
      <c r="AM53" s="205"/>
      <c r="AN53" s="205"/>
    </row>
    <row r="54" spans="2:40" ht="12" customHeight="1" outlineLevel="1">
      <c r="B54" s="244" t="s">
        <v>858</v>
      </c>
      <c r="C54" s="214" t="s">
        <v>837</v>
      </c>
      <c r="D54" s="212"/>
      <c r="E54" s="8">
        <v>1</v>
      </c>
      <c r="F54" s="8">
        <v>0.5</v>
      </c>
      <c r="G54" s="8">
        <f>1-(G51/G50)</f>
        <v>0.66666666666666674</v>
      </c>
      <c r="H54" s="8">
        <f t="shared" ref="H54:I54" si="40">1-(H51/H50)</f>
        <v>0.19999999999999996</v>
      </c>
      <c r="I54" s="8">
        <f t="shared" si="40"/>
        <v>0.1428571428571429</v>
      </c>
      <c r="J54" s="8">
        <v>0</v>
      </c>
      <c r="K54" s="8">
        <f>6/14</f>
        <v>0.42857142857142855</v>
      </c>
      <c r="L54" s="8">
        <v>7.7777777777777776E-3</v>
      </c>
      <c r="M54" s="281">
        <v>0.1</v>
      </c>
      <c r="N54" s="281">
        <v>0.1</v>
      </c>
      <c r="O54" s="281">
        <v>0.1</v>
      </c>
      <c r="P54" s="281">
        <v>0.1</v>
      </c>
      <c r="Q54" s="281">
        <v>0.5</v>
      </c>
      <c r="R54" s="281">
        <v>0.5</v>
      </c>
      <c r="S54" s="281">
        <v>0.5</v>
      </c>
      <c r="T54" s="281">
        <v>0.5</v>
      </c>
      <c r="U54" s="281">
        <v>0.5</v>
      </c>
      <c r="V54" s="281">
        <v>0.5</v>
      </c>
      <c r="W54" s="281">
        <v>0.5</v>
      </c>
      <c r="X54" s="281">
        <v>0.5</v>
      </c>
      <c r="Y54" s="281">
        <v>0.5</v>
      </c>
      <c r="Z54" s="281">
        <v>0.5</v>
      </c>
      <c r="AA54" s="281">
        <v>0.5</v>
      </c>
      <c r="AB54" s="281">
        <v>0.5</v>
      </c>
      <c r="AC54" s="281">
        <v>0.1</v>
      </c>
      <c r="AD54" s="281">
        <v>0.1</v>
      </c>
      <c r="AE54" s="281">
        <v>0.1</v>
      </c>
      <c r="AF54" s="281">
        <v>0.1</v>
      </c>
      <c r="AG54" s="281">
        <v>0.1</v>
      </c>
      <c r="AH54" s="281">
        <v>0.1</v>
      </c>
      <c r="AI54" s="281">
        <v>0.1</v>
      </c>
      <c r="AJ54" s="281">
        <v>0.1</v>
      </c>
      <c r="AK54" s="281">
        <v>0.1</v>
      </c>
      <c r="AL54" s="281">
        <v>0.1</v>
      </c>
      <c r="AM54" s="281">
        <v>0.1</v>
      </c>
      <c r="AN54" s="281">
        <v>0.1</v>
      </c>
    </row>
    <row r="55" spans="2:40" ht="12" customHeight="1" outlineLevel="1">
      <c r="B55" s="239" t="s">
        <v>859</v>
      </c>
      <c r="C55" s="214" t="s">
        <v>839</v>
      </c>
      <c r="D55" s="212"/>
      <c r="E55" s="8">
        <f>1-E54</f>
        <v>0</v>
      </c>
      <c r="F55" s="8">
        <v>0.5</v>
      </c>
      <c r="G55" s="8">
        <f t="shared" ref="G55:I55" si="41">1-G54</f>
        <v>0.33333333333333326</v>
      </c>
      <c r="H55" s="8">
        <f t="shared" si="41"/>
        <v>0.8</v>
      </c>
      <c r="I55" s="8">
        <f t="shared" si="41"/>
        <v>0.8571428571428571</v>
      </c>
      <c r="J55" s="8">
        <v>1</v>
      </c>
      <c r="K55" s="8">
        <f>1-K54</f>
        <v>0.5714285714285714</v>
      </c>
      <c r="L55" s="8">
        <f>1-L54</f>
        <v>0.99222222222222223</v>
      </c>
      <c r="M55" s="281">
        <v>0.1</v>
      </c>
      <c r="N55" s="281">
        <v>0.1</v>
      </c>
      <c r="O55" s="281">
        <v>0.1</v>
      </c>
      <c r="P55" s="281">
        <v>0.1</v>
      </c>
      <c r="Q55" s="281">
        <v>0.5</v>
      </c>
      <c r="R55" s="281">
        <v>0.5</v>
      </c>
      <c r="S55" s="281">
        <v>0.5</v>
      </c>
      <c r="T55" s="281">
        <v>0.5</v>
      </c>
      <c r="U55" s="281">
        <v>0.5</v>
      </c>
      <c r="V55" s="281">
        <v>0.5</v>
      </c>
      <c r="W55" s="281">
        <v>0.5</v>
      </c>
      <c r="X55" s="281">
        <v>0.5</v>
      </c>
      <c r="Y55" s="281">
        <v>0.5</v>
      </c>
      <c r="Z55" s="281">
        <v>0.5</v>
      </c>
      <c r="AA55" s="281">
        <v>0.5</v>
      </c>
      <c r="AB55" s="281">
        <v>0.5</v>
      </c>
      <c r="AC55" s="281">
        <v>0.1</v>
      </c>
      <c r="AD55" s="281">
        <v>0.1</v>
      </c>
      <c r="AE55" s="281">
        <v>0.1</v>
      </c>
      <c r="AF55" s="281">
        <v>0.1</v>
      </c>
      <c r="AG55" s="281">
        <v>0.1</v>
      </c>
      <c r="AH55" s="281">
        <v>0.1</v>
      </c>
      <c r="AI55" s="281">
        <v>0.1</v>
      </c>
      <c r="AJ55" s="281">
        <v>0.1</v>
      </c>
      <c r="AK55" s="281">
        <v>0.1</v>
      </c>
      <c r="AL55" s="281">
        <v>0.1</v>
      </c>
      <c r="AM55" s="281">
        <v>0.1</v>
      </c>
      <c r="AN55" s="281">
        <v>0.1</v>
      </c>
    </row>
    <row r="56" spans="2:40" ht="12" customHeight="1" outlineLevel="1">
      <c r="B56" s="239"/>
      <c r="C56" s="214" t="s">
        <v>840</v>
      </c>
      <c r="D56" s="212"/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281">
        <v>0.8</v>
      </c>
      <c r="N56" s="281">
        <v>0.8</v>
      </c>
      <c r="O56" s="281">
        <v>0.8</v>
      </c>
      <c r="P56" s="281">
        <v>0.8</v>
      </c>
      <c r="Q56" s="281">
        <v>0</v>
      </c>
      <c r="R56" s="281">
        <v>0</v>
      </c>
      <c r="S56" s="281">
        <v>0</v>
      </c>
      <c r="T56" s="281">
        <v>0</v>
      </c>
      <c r="U56" s="281">
        <v>0</v>
      </c>
      <c r="V56" s="281">
        <v>0</v>
      </c>
      <c r="W56" s="281">
        <v>0</v>
      </c>
      <c r="X56" s="281">
        <v>0</v>
      </c>
      <c r="Y56" s="281">
        <v>0</v>
      </c>
      <c r="Z56" s="281">
        <v>0</v>
      </c>
      <c r="AA56" s="281">
        <v>0</v>
      </c>
      <c r="AB56" s="281">
        <v>0</v>
      </c>
      <c r="AC56" s="281">
        <v>0.8</v>
      </c>
      <c r="AD56" s="281">
        <v>0.8</v>
      </c>
      <c r="AE56" s="281">
        <v>0.8</v>
      </c>
      <c r="AF56" s="281">
        <v>0.8</v>
      </c>
      <c r="AG56" s="281">
        <v>0.8</v>
      </c>
      <c r="AH56" s="281">
        <v>0.8</v>
      </c>
      <c r="AI56" s="281">
        <v>0.8</v>
      </c>
      <c r="AJ56" s="281">
        <v>0.8</v>
      </c>
      <c r="AK56" s="281">
        <v>0.8</v>
      </c>
      <c r="AL56" s="281">
        <v>0.8</v>
      </c>
      <c r="AM56" s="281">
        <v>0.8</v>
      </c>
      <c r="AN56" s="281">
        <v>0.8</v>
      </c>
    </row>
    <row r="57" spans="2:40" ht="12" customHeight="1" outlineLevel="1">
      <c r="B57" s="237"/>
      <c r="C57" s="208"/>
      <c r="D57" s="208"/>
      <c r="E57" s="208"/>
      <c r="F57" s="208"/>
      <c r="G57" s="208"/>
      <c r="H57" s="208"/>
      <c r="I57" s="208"/>
      <c r="J57" s="208"/>
      <c r="K57" s="208"/>
      <c r="L57" s="208"/>
      <c r="M57" s="208"/>
      <c r="N57" s="208"/>
      <c r="O57" s="208"/>
      <c r="P57" s="208"/>
      <c r="Q57" s="208"/>
      <c r="R57" s="208"/>
      <c r="S57" s="208"/>
      <c r="T57" s="208"/>
      <c r="U57" s="208"/>
      <c r="V57" s="208"/>
      <c r="W57" s="208"/>
      <c r="X57" s="208"/>
      <c r="Y57" s="208"/>
      <c r="Z57" s="208"/>
      <c r="AA57" s="208"/>
      <c r="AB57" s="208"/>
      <c r="AC57" s="208"/>
      <c r="AD57" s="208"/>
      <c r="AE57" s="208"/>
      <c r="AF57" s="208"/>
      <c r="AG57" s="208"/>
      <c r="AH57" s="208"/>
      <c r="AI57" s="208"/>
      <c r="AJ57" s="208"/>
      <c r="AK57" s="208"/>
      <c r="AL57" s="208"/>
      <c r="AM57" s="208"/>
      <c r="AN57" s="208"/>
    </row>
    <row r="58" spans="2:40" ht="12" customHeight="1" outlineLevel="1">
      <c r="B58" s="239"/>
      <c r="C58" s="214" t="s">
        <v>841</v>
      </c>
      <c r="D58" s="214"/>
      <c r="E58" s="209">
        <f>E$48*E54</f>
        <v>0</v>
      </c>
      <c r="F58" s="209">
        <f>F$48*F54</f>
        <v>0</v>
      </c>
      <c r="G58" s="209">
        <f t="shared" ref="E58:I60" si="42">G$48*G54</f>
        <v>0</v>
      </c>
      <c r="H58" s="209">
        <f t="shared" si="42"/>
        <v>0</v>
      </c>
      <c r="I58" s="209">
        <f t="shared" si="42"/>
        <v>0</v>
      </c>
      <c r="J58" s="209">
        <f>J$50*J54</f>
        <v>0</v>
      </c>
      <c r="K58" s="209">
        <f t="shared" ref="J58:P60" si="43">K$50*K54</f>
        <v>6</v>
      </c>
      <c r="L58" s="209">
        <f t="shared" si="43"/>
        <v>6.9999999999999993E-2</v>
      </c>
      <c r="M58" s="209">
        <f t="shared" si="43"/>
        <v>0</v>
      </c>
      <c r="N58" s="209">
        <f t="shared" si="43"/>
        <v>0</v>
      </c>
      <c r="O58" s="209">
        <f t="shared" si="43"/>
        <v>0</v>
      </c>
      <c r="P58" s="209">
        <f t="shared" si="43"/>
        <v>0</v>
      </c>
      <c r="Q58" s="209">
        <f>Q$50*Q54</f>
        <v>0</v>
      </c>
      <c r="R58" s="209">
        <f t="shared" ref="R58:AN60" si="44">R$50*R54</f>
        <v>0</v>
      </c>
      <c r="S58" s="209">
        <f t="shared" si="44"/>
        <v>0</v>
      </c>
      <c r="T58" s="209">
        <f t="shared" si="44"/>
        <v>0</v>
      </c>
      <c r="U58" s="209">
        <f t="shared" si="44"/>
        <v>0</v>
      </c>
      <c r="V58" s="209">
        <f t="shared" si="44"/>
        <v>0</v>
      </c>
      <c r="W58" s="209">
        <f t="shared" si="44"/>
        <v>0</v>
      </c>
      <c r="X58" s="209">
        <f t="shared" si="44"/>
        <v>0</v>
      </c>
      <c r="Y58" s="209">
        <f t="shared" si="44"/>
        <v>0</v>
      </c>
      <c r="Z58" s="209">
        <f t="shared" si="44"/>
        <v>0</v>
      </c>
      <c r="AA58" s="209">
        <f t="shared" si="44"/>
        <v>0</v>
      </c>
      <c r="AB58" s="209">
        <f t="shared" si="44"/>
        <v>0</v>
      </c>
      <c r="AC58" s="209">
        <f t="shared" si="44"/>
        <v>0</v>
      </c>
      <c r="AD58" s="209">
        <f t="shared" si="44"/>
        <v>0</v>
      </c>
      <c r="AE58" s="209">
        <f t="shared" si="44"/>
        <v>0</v>
      </c>
      <c r="AF58" s="209">
        <f t="shared" si="44"/>
        <v>0</v>
      </c>
      <c r="AG58" s="209">
        <f t="shared" si="44"/>
        <v>0</v>
      </c>
      <c r="AH58" s="209">
        <f t="shared" si="44"/>
        <v>0</v>
      </c>
      <c r="AI58" s="209">
        <f t="shared" si="44"/>
        <v>0</v>
      </c>
      <c r="AJ58" s="209">
        <f t="shared" si="44"/>
        <v>0</v>
      </c>
      <c r="AK58" s="209">
        <f t="shared" si="44"/>
        <v>0</v>
      </c>
      <c r="AL58" s="209">
        <f t="shared" si="44"/>
        <v>0</v>
      </c>
      <c r="AM58" s="209">
        <f t="shared" si="44"/>
        <v>0</v>
      </c>
      <c r="AN58" s="209">
        <f t="shared" si="44"/>
        <v>0</v>
      </c>
    </row>
    <row r="59" spans="2:40" ht="12" customHeight="1" outlineLevel="1">
      <c r="B59" s="239"/>
      <c r="C59" s="214" t="s">
        <v>842</v>
      </c>
      <c r="D59" s="214"/>
      <c r="E59" s="209">
        <f>E$48*E55</f>
        <v>0</v>
      </c>
      <c r="F59" s="209">
        <f>F$48*F55</f>
        <v>0</v>
      </c>
      <c r="G59" s="209">
        <f t="shared" si="42"/>
        <v>0</v>
      </c>
      <c r="H59" s="209">
        <f t="shared" si="42"/>
        <v>0</v>
      </c>
      <c r="I59" s="209">
        <f t="shared" si="42"/>
        <v>0</v>
      </c>
      <c r="J59" s="209">
        <f t="shared" si="43"/>
        <v>0</v>
      </c>
      <c r="K59" s="209">
        <f t="shared" si="43"/>
        <v>8</v>
      </c>
      <c r="L59" s="209">
        <f t="shared" si="43"/>
        <v>8.93</v>
      </c>
      <c r="M59" s="209">
        <f t="shared" si="43"/>
        <v>0</v>
      </c>
      <c r="N59" s="209">
        <f t="shared" si="43"/>
        <v>0</v>
      </c>
      <c r="O59" s="209">
        <f t="shared" si="43"/>
        <v>0</v>
      </c>
      <c r="P59" s="209">
        <f t="shared" si="43"/>
        <v>0</v>
      </c>
      <c r="Q59" s="209">
        <f>Q$50*Q55</f>
        <v>0</v>
      </c>
      <c r="R59" s="209">
        <f t="shared" si="44"/>
        <v>0</v>
      </c>
      <c r="S59" s="209">
        <f t="shared" si="44"/>
        <v>0</v>
      </c>
      <c r="T59" s="209">
        <f t="shared" si="44"/>
        <v>0</v>
      </c>
      <c r="U59" s="209">
        <f t="shared" si="44"/>
        <v>0</v>
      </c>
      <c r="V59" s="209">
        <f t="shared" si="44"/>
        <v>0</v>
      </c>
      <c r="W59" s="209">
        <f t="shared" si="44"/>
        <v>0</v>
      </c>
      <c r="X59" s="209">
        <f t="shared" si="44"/>
        <v>0</v>
      </c>
      <c r="Y59" s="209">
        <f t="shared" si="44"/>
        <v>0</v>
      </c>
      <c r="Z59" s="209">
        <f t="shared" si="44"/>
        <v>0</v>
      </c>
      <c r="AA59" s="209">
        <f t="shared" si="44"/>
        <v>0</v>
      </c>
      <c r="AB59" s="209">
        <f t="shared" si="44"/>
        <v>0</v>
      </c>
      <c r="AC59" s="209">
        <f t="shared" si="44"/>
        <v>0</v>
      </c>
      <c r="AD59" s="209">
        <f t="shared" si="44"/>
        <v>0</v>
      </c>
      <c r="AE59" s="209">
        <f t="shared" si="44"/>
        <v>0</v>
      </c>
      <c r="AF59" s="209">
        <f t="shared" si="44"/>
        <v>0</v>
      </c>
      <c r="AG59" s="209">
        <f t="shared" si="44"/>
        <v>0</v>
      </c>
      <c r="AH59" s="209">
        <f t="shared" si="44"/>
        <v>0</v>
      </c>
      <c r="AI59" s="209">
        <f t="shared" si="44"/>
        <v>0</v>
      </c>
      <c r="AJ59" s="209">
        <f t="shared" si="44"/>
        <v>0</v>
      </c>
      <c r="AK59" s="209">
        <f t="shared" si="44"/>
        <v>0</v>
      </c>
      <c r="AL59" s="209">
        <f t="shared" si="44"/>
        <v>0</v>
      </c>
      <c r="AM59" s="209">
        <f t="shared" si="44"/>
        <v>0</v>
      </c>
      <c r="AN59" s="209">
        <f t="shared" si="44"/>
        <v>0</v>
      </c>
    </row>
    <row r="60" spans="2:40" ht="12" customHeight="1" outlineLevel="1">
      <c r="B60" s="239"/>
      <c r="C60" s="214" t="s">
        <v>843</v>
      </c>
      <c r="D60" s="214"/>
      <c r="E60" s="209">
        <f t="shared" si="42"/>
        <v>0</v>
      </c>
      <c r="F60" s="209">
        <f t="shared" si="42"/>
        <v>0</v>
      </c>
      <c r="G60" s="209">
        <f t="shared" si="42"/>
        <v>0</v>
      </c>
      <c r="H60" s="209">
        <f t="shared" si="42"/>
        <v>0</v>
      </c>
      <c r="I60" s="209">
        <f t="shared" si="42"/>
        <v>0</v>
      </c>
      <c r="J60" s="209">
        <f t="shared" si="43"/>
        <v>0</v>
      </c>
      <c r="K60" s="209">
        <f t="shared" si="43"/>
        <v>0</v>
      </c>
      <c r="L60" s="209">
        <f t="shared" si="43"/>
        <v>0</v>
      </c>
      <c r="M60" s="209">
        <f t="shared" si="43"/>
        <v>0</v>
      </c>
      <c r="N60" s="209">
        <f t="shared" si="43"/>
        <v>0</v>
      </c>
      <c r="O60" s="209">
        <f t="shared" si="43"/>
        <v>0</v>
      </c>
      <c r="P60" s="209">
        <f t="shared" si="43"/>
        <v>0</v>
      </c>
      <c r="Q60" s="209">
        <f>Q$50*Q56</f>
        <v>0</v>
      </c>
      <c r="R60" s="209">
        <f t="shared" si="44"/>
        <v>0</v>
      </c>
      <c r="S60" s="209">
        <f t="shared" si="44"/>
        <v>0</v>
      </c>
      <c r="T60" s="209">
        <f t="shared" si="44"/>
        <v>0</v>
      </c>
      <c r="U60" s="209">
        <f t="shared" si="44"/>
        <v>0</v>
      </c>
      <c r="V60" s="209">
        <f t="shared" si="44"/>
        <v>0</v>
      </c>
      <c r="W60" s="209">
        <f t="shared" si="44"/>
        <v>0</v>
      </c>
      <c r="X60" s="209">
        <f t="shared" si="44"/>
        <v>0</v>
      </c>
      <c r="Y60" s="209">
        <f t="shared" si="44"/>
        <v>0</v>
      </c>
      <c r="Z60" s="209">
        <f t="shared" si="44"/>
        <v>0</v>
      </c>
      <c r="AA60" s="209">
        <f t="shared" si="44"/>
        <v>0</v>
      </c>
      <c r="AB60" s="209">
        <f t="shared" si="44"/>
        <v>0</v>
      </c>
      <c r="AC60" s="209">
        <f t="shared" si="44"/>
        <v>0</v>
      </c>
      <c r="AD60" s="209">
        <f t="shared" si="44"/>
        <v>0</v>
      </c>
      <c r="AE60" s="209">
        <f t="shared" si="44"/>
        <v>0</v>
      </c>
      <c r="AF60" s="209">
        <f t="shared" si="44"/>
        <v>0</v>
      </c>
      <c r="AG60" s="209">
        <f t="shared" si="44"/>
        <v>0</v>
      </c>
      <c r="AH60" s="209">
        <f t="shared" si="44"/>
        <v>0</v>
      </c>
      <c r="AI60" s="209">
        <f t="shared" si="44"/>
        <v>0</v>
      </c>
      <c r="AJ60" s="209">
        <f t="shared" si="44"/>
        <v>0</v>
      </c>
      <c r="AK60" s="209">
        <f t="shared" si="44"/>
        <v>0</v>
      </c>
      <c r="AL60" s="209">
        <f t="shared" si="44"/>
        <v>0</v>
      </c>
      <c r="AM60" s="209">
        <f t="shared" si="44"/>
        <v>0</v>
      </c>
      <c r="AN60" s="209">
        <f t="shared" si="44"/>
        <v>0</v>
      </c>
    </row>
    <row r="61" spans="2:40" ht="12" customHeight="1" outlineLevel="1">
      <c r="B61" s="239"/>
      <c r="C61" s="214" t="s">
        <v>844</v>
      </c>
      <c r="D61" s="214"/>
      <c r="E61" s="209">
        <f>ROUNDDOWN(SUM(E71:E107),0)-E58</f>
        <v>26</v>
      </c>
      <c r="F61" s="209">
        <f t="shared" ref="F61:H61" si="45">ROUNDDOWN(SUM(F71:F107),0)-F58</f>
        <v>25</v>
      </c>
      <c r="G61" s="209">
        <f>ROUNDDOWN(SUM(G71:G107),0)-G58</f>
        <v>38</v>
      </c>
      <c r="H61" s="209">
        <f t="shared" si="45"/>
        <v>37</v>
      </c>
      <c r="I61" s="209">
        <f>ROUNDDOWN(SUM(I71:I107),0)-I58</f>
        <v>14</v>
      </c>
      <c r="J61" s="209">
        <f>ROUNDDOWN(SUM(J71:J107),0)-J58</f>
        <v>13</v>
      </c>
      <c r="K61" s="209">
        <f>ROUNDDOWN(SUM(K71:K107),0)-K58</f>
        <v>13</v>
      </c>
      <c r="L61" s="209">
        <f t="shared" ref="L61:AN61" si="46">ROUNDDOWN(SUM(L71:L107),0)-L58</f>
        <v>12.93</v>
      </c>
      <c r="M61" s="209">
        <f t="shared" si="46"/>
        <v>12</v>
      </c>
      <c r="N61" s="209">
        <f t="shared" si="46"/>
        <v>12</v>
      </c>
      <c r="O61" s="209">
        <f t="shared" si="46"/>
        <v>12</v>
      </c>
      <c r="P61" s="209">
        <f t="shared" si="46"/>
        <v>12</v>
      </c>
      <c r="Q61" s="209">
        <f t="shared" si="46"/>
        <v>11</v>
      </c>
      <c r="R61" s="209">
        <f t="shared" si="46"/>
        <v>11</v>
      </c>
      <c r="S61" s="209">
        <f t="shared" si="46"/>
        <v>11</v>
      </c>
      <c r="T61" s="209">
        <f t="shared" si="46"/>
        <v>11</v>
      </c>
      <c r="U61" s="209">
        <f t="shared" si="46"/>
        <v>10</v>
      </c>
      <c r="V61" s="209">
        <f t="shared" si="46"/>
        <v>10</v>
      </c>
      <c r="W61" s="209">
        <f t="shared" si="46"/>
        <v>10</v>
      </c>
      <c r="X61" s="209">
        <f t="shared" si="46"/>
        <v>10</v>
      </c>
      <c r="Y61" s="209">
        <f t="shared" si="46"/>
        <v>10</v>
      </c>
      <c r="Z61" s="209">
        <f t="shared" si="46"/>
        <v>9</v>
      </c>
      <c r="AA61" s="209">
        <f t="shared" si="46"/>
        <v>9</v>
      </c>
      <c r="AB61" s="209">
        <f t="shared" si="46"/>
        <v>9</v>
      </c>
      <c r="AC61" s="209">
        <f t="shared" si="46"/>
        <v>9</v>
      </c>
      <c r="AD61" s="209">
        <f t="shared" si="46"/>
        <v>9</v>
      </c>
      <c r="AE61" s="209">
        <f t="shared" si="46"/>
        <v>8</v>
      </c>
      <c r="AF61" s="209">
        <f t="shared" si="46"/>
        <v>8</v>
      </c>
      <c r="AG61" s="209">
        <f t="shared" si="46"/>
        <v>8</v>
      </c>
      <c r="AH61" s="209">
        <f t="shared" si="46"/>
        <v>8</v>
      </c>
      <c r="AI61" s="209">
        <f t="shared" si="46"/>
        <v>8</v>
      </c>
      <c r="AJ61" s="209">
        <f t="shared" si="46"/>
        <v>8</v>
      </c>
      <c r="AK61" s="209">
        <f t="shared" si="46"/>
        <v>7</v>
      </c>
      <c r="AL61" s="209">
        <f t="shared" si="46"/>
        <v>7</v>
      </c>
      <c r="AM61" s="209">
        <f t="shared" si="46"/>
        <v>7</v>
      </c>
      <c r="AN61" s="209">
        <f t="shared" si="46"/>
        <v>7</v>
      </c>
    </row>
    <row r="62" spans="2:40" ht="12" customHeight="1" outlineLevel="1">
      <c r="B62" s="239"/>
      <c r="C62" s="214" t="s">
        <v>845</v>
      </c>
      <c r="D62" s="214"/>
      <c r="E62" s="209">
        <f>ROUNDDOWN(SUM(E112:E148),0)-E59</f>
        <v>28</v>
      </c>
      <c r="F62" s="209">
        <f>ROUNDDOWN(SUM(F112:F148),0)-F59</f>
        <v>27</v>
      </c>
      <c r="G62" s="209">
        <f t="shared" ref="G62:I62" si="47">ROUNDDOWN(SUM(G112:G148),0)-G59</f>
        <v>27</v>
      </c>
      <c r="H62" s="209">
        <f t="shared" si="47"/>
        <v>26</v>
      </c>
      <c r="I62" s="209">
        <f t="shared" si="47"/>
        <v>26</v>
      </c>
      <c r="J62" s="209">
        <f t="shared" ref="J62:AN62" si="48">ROUNDDOWN(SUM(J112:J148),0)-J59</f>
        <v>25</v>
      </c>
      <c r="K62" s="209">
        <f t="shared" si="48"/>
        <v>25</v>
      </c>
      <c r="L62" s="209">
        <f t="shared" si="48"/>
        <v>30.07</v>
      </c>
      <c r="M62" s="209">
        <f t="shared" si="48"/>
        <v>37</v>
      </c>
      <c r="N62" s="209">
        <f t="shared" si="48"/>
        <v>35</v>
      </c>
      <c r="O62" s="209">
        <f t="shared" si="48"/>
        <v>32</v>
      </c>
      <c r="P62" s="209">
        <f t="shared" si="48"/>
        <v>29</v>
      </c>
      <c r="Q62" s="209">
        <f t="shared" si="48"/>
        <v>26</v>
      </c>
      <c r="R62" s="209">
        <f t="shared" si="48"/>
        <v>25</v>
      </c>
      <c r="S62" s="209">
        <f t="shared" si="48"/>
        <v>24</v>
      </c>
      <c r="T62" s="209">
        <f t="shared" si="48"/>
        <v>23</v>
      </c>
      <c r="U62" s="209">
        <f>ROUNDDOWN(SUM(U112:U148),0)-U59</f>
        <v>23</v>
      </c>
      <c r="V62" s="209">
        <f t="shared" si="48"/>
        <v>22</v>
      </c>
      <c r="W62" s="209">
        <f t="shared" si="48"/>
        <v>21</v>
      </c>
      <c r="X62" s="209">
        <f t="shared" si="48"/>
        <v>21</v>
      </c>
      <c r="Y62" s="209">
        <f t="shared" si="48"/>
        <v>21</v>
      </c>
      <c r="Z62" s="209">
        <f t="shared" si="48"/>
        <v>21</v>
      </c>
      <c r="AA62" s="209">
        <f t="shared" si="48"/>
        <v>20</v>
      </c>
      <c r="AB62" s="209">
        <f t="shared" si="48"/>
        <v>20</v>
      </c>
      <c r="AC62" s="209">
        <f t="shared" si="48"/>
        <v>20</v>
      </c>
      <c r="AD62" s="209">
        <f t="shared" si="48"/>
        <v>19</v>
      </c>
      <c r="AE62" s="209">
        <f t="shared" si="48"/>
        <v>19</v>
      </c>
      <c r="AF62" s="209">
        <f t="shared" si="48"/>
        <v>18</v>
      </c>
      <c r="AG62" s="209">
        <f t="shared" si="48"/>
        <v>18</v>
      </c>
      <c r="AH62" s="209">
        <f t="shared" si="48"/>
        <v>18</v>
      </c>
      <c r="AI62" s="209">
        <f t="shared" si="48"/>
        <v>18</v>
      </c>
      <c r="AJ62" s="209">
        <f t="shared" si="48"/>
        <v>17</v>
      </c>
      <c r="AK62" s="209">
        <f t="shared" si="48"/>
        <v>17</v>
      </c>
      <c r="AL62" s="209">
        <f t="shared" si="48"/>
        <v>17</v>
      </c>
      <c r="AM62" s="209">
        <f t="shared" si="48"/>
        <v>16</v>
      </c>
      <c r="AN62" s="209">
        <f t="shared" si="48"/>
        <v>16</v>
      </c>
    </row>
    <row r="63" spans="2:40" ht="12" customHeight="1" outlineLevel="1">
      <c r="B63" s="239"/>
      <c r="C63" s="214" t="s">
        <v>846</v>
      </c>
      <c r="D63" s="214"/>
      <c r="E63" s="209">
        <f>ROUNDDOWN(SUM(E154:E190),0)-E60</f>
        <v>56</v>
      </c>
      <c r="F63" s="209">
        <f>ROUNDDOWN(SUM(F154:F190),0)-F60</f>
        <v>41</v>
      </c>
      <c r="G63" s="209">
        <f t="shared" ref="G63:I63" si="49">ROUNDDOWN(SUM(G154:G190),0)-G60</f>
        <v>83</v>
      </c>
      <c r="H63" s="209">
        <f t="shared" si="49"/>
        <v>28</v>
      </c>
      <c r="I63" s="209">
        <f t="shared" si="49"/>
        <v>0</v>
      </c>
      <c r="J63" s="209">
        <f t="shared" ref="J63:AN63" si="50">ROUNDDOWN(SUM(J154:J190),0)-J60</f>
        <v>81</v>
      </c>
      <c r="K63" s="209">
        <f t="shared" si="50"/>
        <v>28</v>
      </c>
      <c r="L63" s="209">
        <f>ROUNDDOWN(SUM(L154:L190),0)-L60</f>
        <v>0</v>
      </c>
      <c r="M63" s="209">
        <f>ROUNDDOWN(SUM(M154:M190),0)-M60</f>
        <v>79</v>
      </c>
      <c r="N63" s="209">
        <f t="shared" si="50"/>
        <v>27</v>
      </c>
      <c r="O63" s="209">
        <f t="shared" si="50"/>
        <v>0</v>
      </c>
      <c r="P63" s="209">
        <f t="shared" si="50"/>
        <v>78</v>
      </c>
      <c r="Q63" s="209">
        <f t="shared" si="50"/>
        <v>26</v>
      </c>
      <c r="R63" s="209">
        <f t="shared" si="50"/>
        <v>0</v>
      </c>
      <c r="S63" s="209">
        <f t="shared" si="50"/>
        <v>76</v>
      </c>
      <c r="T63" s="209">
        <f t="shared" si="50"/>
        <v>26</v>
      </c>
      <c r="U63" s="209">
        <f t="shared" si="50"/>
        <v>0</v>
      </c>
      <c r="V63" s="209">
        <f t="shared" si="50"/>
        <v>75</v>
      </c>
      <c r="W63" s="209">
        <f t="shared" si="50"/>
        <v>25</v>
      </c>
      <c r="X63" s="209">
        <f t="shared" si="50"/>
        <v>0</v>
      </c>
      <c r="Y63" s="209">
        <f t="shared" si="50"/>
        <v>73</v>
      </c>
      <c r="Z63" s="209">
        <f t="shared" si="50"/>
        <v>25</v>
      </c>
      <c r="AA63" s="209">
        <f t="shared" si="50"/>
        <v>0</v>
      </c>
      <c r="AB63" s="209">
        <f t="shared" si="50"/>
        <v>72</v>
      </c>
      <c r="AC63" s="209">
        <f t="shared" si="50"/>
        <v>24</v>
      </c>
      <c r="AD63" s="209">
        <f t="shared" si="50"/>
        <v>0</v>
      </c>
      <c r="AE63" s="209">
        <f t="shared" si="50"/>
        <v>70</v>
      </c>
      <c r="AF63" s="209">
        <f t="shared" si="50"/>
        <v>24</v>
      </c>
      <c r="AG63" s="209">
        <f t="shared" si="50"/>
        <v>0</v>
      </c>
      <c r="AH63" s="209">
        <f t="shared" si="50"/>
        <v>69</v>
      </c>
      <c r="AI63" s="209">
        <f t="shared" si="50"/>
        <v>23</v>
      </c>
      <c r="AJ63" s="209">
        <f t="shared" si="50"/>
        <v>0</v>
      </c>
      <c r="AK63" s="209">
        <f t="shared" si="50"/>
        <v>67</v>
      </c>
      <c r="AL63" s="209">
        <f t="shared" si="50"/>
        <v>23</v>
      </c>
      <c r="AM63" s="209">
        <f t="shared" si="50"/>
        <v>0</v>
      </c>
      <c r="AN63" s="209">
        <f t="shared" si="50"/>
        <v>66</v>
      </c>
    </row>
    <row r="64" spans="2:40" ht="12" customHeight="1" outlineLevel="1">
      <c r="B64" s="237"/>
      <c r="C64" s="214" t="s">
        <v>833</v>
      </c>
      <c r="D64" s="214"/>
      <c r="E64" s="210">
        <f>SUM(E58:E60)</f>
        <v>0</v>
      </c>
      <c r="F64" s="210">
        <f t="shared" ref="F64:I64" si="51">SUM(F58:F60)</f>
        <v>0</v>
      </c>
      <c r="G64" s="210">
        <f t="shared" si="51"/>
        <v>0</v>
      </c>
      <c r="H64" s="210">
        <f t="shared" si="51"/>
        <v>0</v>
      </c>
      <c r="I64" s="210">
        <f t="shared" si="51"/>
        <v>0</v>
      </c>
      <c r="J64" s="210">
        <f>SUM(J58:J60)</f>
        <v>0</v>
      </c>
      <c r="K64" s="210">
        <f t="shared" ref="K64:P64" si="52">SUM(K58:K60)</f>
        <v>14</v>
      </c>
      <c r="L64" s="210">
        <f t="shared" si="52"/>
        <v>9</v>
      </c>
      <c r="M64" s="210">
        <f t="shared" si="52"/>
        <v>0</v>
      </c>
      <c r="N64" s="210">
        <f t="shared" si="52"/>
        <v>0</v>
      </c>
      <c r="O64" s="210">
        <f t="shared" si="52"/>
        <v>0</v>
      </c>
      <c r="P64" s="210">
        <f t="shared" si="52"/>
        <v>0</v>
      </c>
      <c r="Q64" s="210">
        <f>SUM(Q58:Q60)</f>
        <v>0</v>
      </c>
      <c r="R64" s="210">
        <f t="shared" ref="R64:AN64" si="53">SUM(R58:R60)</f>
        <v>0</v>
      </c>
      <c r="S64" s="210">
        <f t="shared" si="53"/>
        <v>0</v>
      </c>
      <c r="T64" s="210">
        <f t="shared" si="53"/>
        <v>0</v>
      </c>
      <c r="U64" s="210">
        <f t="shared" si="53"/>
        <v>0</v>
      </c>
      <c r="V64" s="210">
        <f t="shared" si="53"/>
        <v>0</v>
      </c>
      <c r="W64" s="210">
        <f t="shared" si="53"/>
        <v>0</v>
      </c>
      <c r="X64" s="210">
        <f t="shared" si="53"/>
        <v>0</v>
      </c>
      <c r="Y64" s="210">
        <f t="shared" si="53"/>
        <v>0</v>
      </c>
      <c r="Z64" s="210">
        <f t="shared" si="53"/>
        <v>0</v>
      </c>
      <c r="AA64" s="210">
        <f t="shared" si="53"/>
        <v>0</v>
      </c>
      <c r="AB64" s="210">
        <f t="shared" si="53"/>
        <v>0</v>
      </c>
      <c r="AC64" s="210">
        <f t="shared" si="53"/>
        <v>0</v>
      </c>
      <c r="AD64" s="210">
        <f t="shared" si="53"/>
        <v>0</v>
      </c>
      <c r="AE64" s="210">
        <f t="shared" si="53"/>
        <v>0</v>
      </c>
      <c r="AF64" s="210">
        <f t="shared" si="53"/>
        <v>0</v>
      </c>
      <c r="AG64" s="210">
        <f t="shared" si="53"/>
        <v>0</v>
      </c>
      <c r="AH64" s="210">
        <f t="shared" si="53"/>
        <v>0</v>
      </c>
      <c r="AI64" s="210">
        <f t="shared" si="53"/>
        <v>0</v>
      </c>
      <c r="AJ64" s="210">
        <f t="shared" si="53"/>
        <v>0</v>
      </c>
      <c r="AK64" s="210">
        <f t="shared" si="53"/>
        <v>0</v>
      </c>
      <c r="AL64" s="210">
        <f t="shared" si="53"/>
        <v>0</v>
      </c>
      <c r="AM64" s="210">
        <f t="shared" si="53"/>
        <v>0</v>
      </c>
      <c r="AN64" s="210">
        <f t="shared" si="53"/>
        <v>0</v>
      </c>
    </row>
    <row r="65" spans="2:40" ht="12" customHeight="1" outlineLevel="1">
      <c r="B65" s="237"/>
      <c r="C65" s="214" t="s">
        <v>847</v>
      </c>
      <c r="D65" s="214"/>
      <c r="E65" s="210">
        <f t="shared" ref="E65:I65" si="54">SUM(E61:E63)</f>
        <v>110</v>
      </c>
      <c r="F65" s="210">
        <f t="shared" si="54"/>
        <v>93</v>
      </c>
      <c r="G65" s="210">
        <f t="shared" si="54"/>
        <v>148</v>
      </c>
      <c r="H65" s="210">
        <f t="shared" si="54"/>
        <v>91</v>
      </c>
      <c r="I65" s="210">
        <f t="shared" si="54"/>
        <v>40</v>
      </c>
      <c r="J65" s="210">
        <f t="shared" ref="J65:AN65" si="55">SUM(J61:J63)</f>
        <v>119</v>
      </c>
      <c r="K65" s="210">
        <f t="shared" si="55"/>
        <v>66</v>
      </c>
      <c r="L65" s="210">
        <f t="shared" si="55"/>
        <v>43</v>
      </c>
      <c r="M65" s="210">
        <f>SUM(M61:M63)</f>
        <v>128</v>
      </c>
      <c r="N65" s="210">
        <f t="shared" si="55"/>
        <v>74</v>
      </c>
      <c r="O65" s="210">
        <f t="shared" si="55"/>
        <v>44</v>
      </c>
      <c r="P65" s="210">
        <f t="shared" si="55"/>
        <v>119</v>
      </c>
      <c r="Q65" s="210">
        <f t="shared" si="55"/>
        <v>63</v>
      </c>
      <c r="R65" s="210">
        <f t="shared" si="55"/>
        <v>36</v>
      </c>
      <c r="S65" s="210">
        <f t="shared" si="55"/>
        <v>111</v>
      </c>
      <c r="T65" s="210">
        <f t="shared" si="55"/>
        <v>60</v>
      </c>
      <c r="U65" s="210">
        <f t="shared" si="55"/>
        <v>33</v>
      </c>
      <c r="V65" s="210">
        <f t="shared" si="55"/>
        <v>107</v>
      </c>
      <c r="W65" s="210">
        <f t="shared" si="55"/>
        <v>56</v>
      </c>
      <c r="X65" s="210">
        <f t="shared" si="55"/>
        <v>31</v>
      </c>
      <c r="Y65" s="210">
        <f t="shared" si="55"/>
        <v>104</v>
      </c>
      <c r="Z65" s="210">
        <f t="shared" si="55"/>
        <v>55</v>
      </c>
      <c r="AA65" s="210">
        <f t="shared" si="55"/>
        <v>29</v>
      </c>
      <c r="AB65" s="210">
        <f t="shared" si="55"/>
        <v>101</v>
      </c>
      <c r="AC65" s="210">
        <f t="shared" si="55"/>
        <v>53</v>
      </c>
      <c r="AD65" s="210">
        <f t="shared" si="55"/>
        <v>28</v>
      </c>
      <c r="AE65" s="210">
        <f t="shared" si="55"/>
        <v>97</v>
      </c>
      <c r="AF65" s="210">
        <f t="shared" si="55"/>
        <v>50</v>
      </c>
      <c r="AG65" s="210">
        <f t="shared" si="55"/>
        <v>26</v>
      </c>
      <c r="AH65" s="210">
        <f t="shared" si="55"/>
        <v>95</v>
      </c>
      <c r="AI65" s="210">
        <f t="shared" si="55"/>
        <v>49</v>
      </c>
      <c r="AJ65" s="210">
        <f t="shared" si="55"/>
        <v>25</v>
      </c>
      <c r="AK65" s="210">
        <f t="shared" si="55"/>
        <v>91</v>
      </c>
      <c r="AL65" s="210">
        <f t="shared" si="55"/>
        <v>47</v>
      </c>
      <c r="AM65" s="210">
        <f t="shared" si="55"/>
        <v>23</v>
      </c>
      <c r="AN65" s="210">
        <f t="shared" si="55"/>
        <v>89</v>
      </c>
    </row>
    <row r="66" spans="2:40" ht="12" customHeight="1" outlineLevel="1">
      <c r="B66" s="237"/>
      <c r="C66" s="214" t="s">
        <v>848</v>
      </c>
      <c r="D66" s="214"/>
      <c r="E66" s="205">
        <f t="shared" ref="E66:I66" si="56">SUM(E64:E65)</f>
        <v>110</v>
      </c>
      <c r="F66" s="205">
        <f t="shared" si="56"/>
        <v>93</v>
      </c>
      <c r="G66" s="205">
        <f t="shared" si="56"/>
        <v>148</v>
      </c>
      <c r="H66" s="205">
        <f t="shared" si="56"/>
        <v>91</v>
      </c>
      <c r="I66" s="205">
        <f t="shared" si="56"/>
        <v>40</v>
      </c>
      <c r="J66" s="205">
        <f>SUM(J64:J65)</f>
        <v>119</v>
      </c>
      <c r="K66" s="205">
        <f t="shared" ref="K66:AN66" si="57">SUM(K64:K65)</f>
        <v>80</v>
      </c>
      <c r="L66" s="205">
        <f t="shared" si="57"/>
        <v>52</v>
      </c>
      <c r="M66" s="205">
        <f t="shared" si="57"/>
        <v>128</v>
      </c>
      <c r="N66" s="205">
        <f t="shared" si="57"/>
        <v>74</v>
      </c>
      <c r="O66" s="205">
        <f t="shared" si="57"/>
        <v>44</v>
      </c>
      <c r="P66" s="205">
        <f t="shared" si="57"/>
        <v>119</v>
      </c>
      <c r="Q66" s="205">
        <f t="shared" si="57"/>
        <v>63</v>
      </c>
      <c r="R66" s="205">
        <f t="shared" si="57"/>
        <v>36</v>
      </c>
      <c r="S66" s="205">
        <f t="shared" si="57"/>
        <v>111</v>
      </c>
      <c r="T66" s="205">
        <f t="shared" si="57"/>
        <v>60</v>
      </c>
      <c r="U66" s="205">
        <f t="shared" si="57"/>
        <v>33</v>
      </c>
      <c r="V66" s="205">
        <f t="shared" si="57"/>
        <v>107</v>
      </c>
      <c r="W66" s="205">
        <f t="shared" si="57"/>
        <v>56</v>
      </c>
      <c r="X66" s="205">
        <f t="shared" si="57"/>
        <v>31</v>
      </c>
      <c r="Y66" s="205">
        <f t="shared" si="57"/>
        <v>104</v>
      </c>
      <c r="Z66" s="205">
        <f t="shared" si="57"/>
        <v>55</v>
      </c>
      <c r="AA66" s="205">
        <f t="shared" si="57"/>
        <v>29</v>
      </c>
      <c r="AB66" s="205">
        <f t="shared" si="57"/>
        <v>101</v>
      </c>
      <c r="AC66" s="205">
        <f t="shared" si="57"/>
        <v>53</v>
      </c>
      <c r="AD66" s="205">
        <f t="shared" si="57"/>
        <v>28</v>
      </c>
      <c r="AE66" s="205">
        <f t="shared" si="57"/>
        <v>97</v>
      </c>
      <c r="AF66" s="205">
        <f t="shared" si="57"/>
        <v>50</v>
      </c>
      <c r="AG66" s="205">
        <f t="shared" si="57"/>
        <v>26</v>
      </c>
      <c r="AH66" s="205">
        <f t="shared" si="57"/>
        <v>95</v>
      </c>
      <c r="AI66" s="205">
        <f t="shared" si="57"/>
        <v>49</v>
      </c>
      <c r="AJ66" s="205">
        <f t="shared" si="57"/>
        <v>25</v>
      </c>
      <c r="AK66" s="205">
        <f t="shared" si="57"/>
        <v>91</v>
      </c>
      <c r="AL66" s="205">
        <f t="shared" si="57"/>
        <v>47</v>
      </c>
      <c r="AM66" s="205">
        <f t="shared" si="57"/>
        <v>23</v>
      </c>
      <c r="AN66" s="205">
        <f t="shared" si="57"/>
        <v>89</v>
      </c>
    </row>
    <row r="67" spans="2:40" ht="12" customHeight="1" outlineLevel="1">
      <c r="B67" s="239"/>
      <c r="C67" s="214"/>
      <c r="D67" s="214"/>
      <c r="E67" s="211"/>
      <c r="F67" s="211"/>
      <c r="G67" s="211"/>
      <c r="H67" s="211"/>
      <c r="I67" s="211"/>
      <c r="J67" s="211"/>
      <c r="K67" s="211"/>
      <c r="L67" s="211"/>
      <c r="M67" s="211"/>
      <c r="N67" s="211"/>
      <c r="O67" s="211"/>
      <c r="P67" s="211"/>
      <c r="Q67" s="211"/>
      <c r="R67" s="211"/>
      <c r="S67" s="211"/>
      <c r="T67" s="211"/>
      <c r="U67" s="211"/>
      <c r="V67" s="211"/>
      <c r="W67" s="211"/>
      <c r="X67" s="211"/>
      <c r="Y67" s="211"/>
      <c r="Z67" s="211"/>
      <c r="AA67" s="211"/>
      <c r="AB67" s="211"/>
      <c r="AC67" s="211"/>
      <c r="AD67" s="211"/>
      <c r="AE67" s="211"/>
      <c r="AF67" s="211"/>
      <c r="AG67" s="211"/>
      <c r="AH67" s="211"/>
      <c r="AI67" s="211"/>
      <c r="AJ67" s="211"/>
      <c r="AK67" s="211"/>
      <c r="AL67" s="211"/>
      <c r="AM67" s="211"/>
      <c r="AN67" s="211"/>
    </row>
    <row r="68" spans="2:40" ht="12" hidden="1" customHeight="1" outlineLevel="2">
      <c r="B68" s="239"/>
      <c r="C68" s="243" t="s">
        <v>849</v>
      </c>
      <c r="D68" s="214"/>
      <c r="O68" s="212"/>
      <c r="P68" s="212"/>
      <c r="Q68" s="212"/>
      <c r="R68" s="212"/>
      <c r="S68" s="212"/>
      <c r="T68" s="212"/>
      <c r="U68" s="212"/>
      <c r="V68" s="212"/>
      <c r="W68" s="212"/>
      <c r="X68" s="212"/>
      <c r="Y68" s="212"/>
      <c r="Z68" s="212"/>
      <c r="AA68" s="212"/>
      <c r="AB68" s="212"/>
      <c r="AC68" s="212"/>
      <c r="AD68" s="212"/>
      <c r="AE68" s="212"/>
      <c r="AF68" s="212"/>
      <c r="AG68" s="212"/>
      <c r="AH68" s="212"/>
      <c r="AI68" s="212"/>
      <c r="AJ68" s="212"/>
      <c r="AK68" s="212"/>
      <c r="AL68" s="212"/>
      <c r="AM68" s="212"/>
      <c r="AN68" s="212"/>
    </row>
    <row r="69" spans="2:40" ht="12" hidden="1" customHeight="1" outlineLevel="2">
      <c r="B69" s="239"/>
      <c r="C69" s="214" t="s">
        <v>850</v>
      </c>
      <c r="D69" s="214"/>
      <c r="E69" s="196" t="s">
        <v>753</v>
      </c>
      <c r="F69" s="196" t="s">
        <v>754</v>
      </c>
      <c r="G69" s="196" t="s">
        <v>755</v>
      </c>
      <c r="H69" s="196" t="s">
        <v>756</v>
      </c>
      <c r="I69" s="196" t="s">
        <v>757</v>
      </c>
      <c r="J69" s="196" t="s">
        <v>758</v>
      </c>
      <c r="K69" s="196" t="s">
        <v>759</v>
      </c>
      <c r="L69" s="196" t="s">
        <v>760</v>
      </c>
      <c r="M69" s="196" t="s">
        <v>761</v>
      </c>
      <c r="N69" s="196" t="s">
        <v>762</v>
      </c>
      <c r="O69" s="196" t="s">
        <v>763</v>
      </c>
      <c r="P69" s="196" t="s">
        <v>764</v>
      </c>
      <c r="Q69" s="196" t="s">
        <v>765</v>
      </c>
      <c r="R69" s="196" t="s">
        <v>766</v>
      </c>
      <c r="S69" s="196" t="s">
        <v>767</v>
      </c>
      <c r="T69" s="196" t="s">
        <v>768</v>
      </c>
      <c r="U69" s="196" t="s">
        <v>769</v>
      </c>
      <c r="V69" s="196" t="s">
        <v>770</v>
      </c>
      <c r="W69" s="196" t="s">
        <v>771</v>
      </c>
      <c r="X69" s="196" t="s">
        <v>772</v>
      </c>
      <c r="Y69" s="196" t="s">
        <v>773</v>
      </c>
      <c r="Z69" s="196" t="s">
        <v>774</v>
      </c>
      <c r="AA69" s="196" t="s">
        <v>775</v>
      </c>
      <c r="AB69" s="196" t="s">
        <v>776</v>
      </c>
      <c r="AC69" s="196" t="s">
        <v>777</v>
      </c>
      <c r="AD69" s="196" t="s">
        <v>778</v>
      </c>
      <c r="AE69" s="196" t="s">
        <v>779</v>
      </c>
      <c r="AF69" s="196" t="s">
        <v>780</v>
      </c>
      <c r="AG69" s="196" t="s">
        <v>781</v>
      </c>
      <c r="AH69" s="196" t="s">
        <v>782</v>
      </c>
      <c r="AI69" s="196" t="s">
        <v>783</v>
      </c>
      <c r="AJ69" s="196" t="s">
        <v>784</v>
      </c>
      <c r="AK69" s="196" t="s">
        <v>785</v>
      </c>
      <c r="AL69" s="196" t="s">
        <v>786</v>
      </c>
      <c r="AM69" s="196" t="s">
        <v>787</v>
      </c>
      <c r="AN69" s="196" t="s">
        <v>788</v>
      </c>
    </row>
    <row r="70" spans="2:40" ht="12" hidden="1" customHeight="1" outlineLevel="2">
      <c r="B70" s="239"/>
      <c r="C70" s="246" t="s">
        <v>851</v>
      </c>
      <c r="D70" s="212"/>
      <c r="E70" s="193">
        <v>0</v>
      </c>
      <c r="F70" s="193">
        <v>0</v>
      </c>
      <c r="G70" s="193">
        <v>0</v>
      </c>
      <c r="H70" s="193">
        <v>0</v>
      </c>
      <c r="I70" s="193">
        <v>0</v>
      </c>
      <c r="J70" s="193">
        <v>0</v>
      </c>
      <c r="K70" s="193">
        <v>0</v>
      </c>
      <c r="L70" s="193">
        <v>0</v>
      </c>
      <c r="M70" s="193">
        <v>0</v>
      </c>
      <c r="N70" s="193">
        <v>0</v>
      </c>
      <c r="O70" s="193">
        <v>0</v>
      </c>
      <c r="P70" s="193">
        <v>0</v>
      </c>
      <c r="Q70" s="193">
        <v>0</v>
      </c>
      <c r="R70" s="193">
        <v>0</v>
      </c>
      <c r="S70" s="193">
        <v>0</v>
      </c>
      <c r="T70" s="193">
        <v>0</v>
      </c>
      <c r="U70" s="193">
        <v>0</v>
      </c>
      <c r="V70" s="193">
        <v>0</v>
      </c>
      <c r="W70" s="193">
        <v>0</v>
      </c>
      <c r="X70" s="193">
        <v>0</v>
      </c>
      <c r="Y70" s="193">
        <v>0</v>
      </c>
      <c r="Z70" s="193">
        <v>0</v>
      </c>
      <c r="AA70" s="193">
        <v>0</v>
      </c>
      <c r="AB70" s="193">
        <v>0</v>
      </c>
      <c r="AC70" s="193">
        <v>0</v>
      </c>
      <c r="AD70" s="193">
        <v>0</v>
      </c>
      <c r="AE70" s="193">
        <v>0</v>
      </c>
      <c r="AF70" s="193">
        <v>0</v>
      </c>
      <c r="AG70" s="193">
        <v>0</v>
      </c>
      <c r="AH70" s="193">
        <v>0</v>
      </c>
      <c r="AI70" s="193">
        <v>0</v>
      </c>
      <c r="AJ70" s="191">
        <v>0.99</v>
      </c>
      <c r="AK70" s="191">
        <v>0.99</v>
      </c>
      <c r="AL70" s="191">
        <v>0.99</v>
      </c>
      <c r="AM70" s="191">
        <v>0.99</v>
      </c>
      <c r="AN70" s="191">
        <v>0.99</v>
      </c>
    </row>
    <row r="71" spans="2:40" ht="12" hidden="1" customHeight="1" outlineLevel="2">
      <c r="B71" s="239"/>
      <c r="C71" s="214" t="s">
        <v>852</v>
      </c>
      <c r="D71" s="212"/>
      <c r="E71" s="211">
        <v>26</v>
      </c>
      <c r="F71" s="211">
        <f>E71*98%</f>
        <v>25.48</v>
      </c>
      <c r="G71" s="211">
        <v>38</v>
      </c>
      <c r="H71" s="211">
        <f t="shared" ref="H71:AN71" si="58">G71*98%</f>
        <v>37.24</v>
      </c>
      <c r="I71" s="211">
        <v>14</v>
      </c>
      <c r="J71" s="211">
        <f t="shared" si="58"/>
        <v>13.719999999999999</v>
      </c>
      <c r="K71" s="211">
        <f t="shared" si="58"/>
        <v>13.445599999999999</v>
      </c>
      <c r="L71" s="211">
        <f t="shared" si="58"/>
        <v>13.176687999999999</v>
      </c>
      <c r="M71" s="211">
        <f t="shared" si="58"/>
        <v>12.913154239999999</v>
      </c>
      <c r="N71" s="211">
        <f t="shared" si="58"/>
        <v>12.6548911552</v>
      </c>
      <c r="O71" s="211">
        <f t="shared" si="58"/>
        <v>12.401793332096</v>
      </c>
      <c r="P71" s="211">
        <f t="shared" si="58"/>
        <v>12.153757465454079</v>
      </c>
      <c r="Q71" s="211">
        <f t="shared" si="58"/>
        <v>11.910682316144998</v>
      </c>
      <c r="R71" s="211">
        <f t="shared" si="58"/>
        <v>11.672468669822097</v>
      </c>
      <c r="S71" s="211">
        <f t="shared" si="58"/>
        <v>11.439019296425654</v>
      </c>
      <c r="T71" s="211">
        <f t="shared" si="58"/>
        <v>11.210238910497141</v>
      </c>
      <c r="U71" s="211">
        <f t="shared" si="58"/>
        <v>10.986034132287198</v>
      </c>
      <c r="V71" s="211">
        <f t="shared" si="58"/>
        <v>10.766313449641453</v>
      </c>
      <c r="W71" s="211">
        <f t="shared" si="58"/>
        <v>10.550987180648624</v>
      </c>
      <c r="X71" s="211">
        <f t="shared" si="58"/>
        <v>10.339967437035652</v>
      </c>
      <c r="Y71" s="211">
        <f t="shared" si="58"/>
        <v>10.133168088294939</v>
      </c>
      <c r="Z71" s="211">
        <f t="shared" si="58"/>
        <v>9.9305047265290405</v>
      </c>
      <c r="AA71" s="211">
        <f t="shared" si="58"/>
        <v>9.7318946319984594</v>
      </c>
      <c r="AB71" s="211">
        <f t="shared" si="58"/>
        <v>9.5372567393584902</v>
      </c>
      <c r="AC71" s="211">
        <f t="shared" si="58"/>
        <v>9.3465116045713206</v>
      </c>
      <c r="AD71" s="211">
        <f t="shared" si="58"/>
        <v>9.1595813724798933</v>
      </c>
      <c r="AE71" s="211">
        <f t="shared" si="58"/>
        <v>8.9763897450302945</v>
      </c>
      <c r="AF71" s="211">
        <f t="shared" si="58"/>
        <v>8.7968619501296885</v>
      </c>
      <c r="AG71" s="211">
        <f t="shared" si="58"/>
        <v>8.6209247111270955</v>
      </c>
      <c r="AH71" s="211">
        <f t="shared" si="58"/>
        <v>8.4485062169045531</v>
      </c>
      <c r="AI71" s="211">
        <f t="shared" si="58"/>
        <v>8.2795360925664614</v>
      </c>
      <c r="AJ71" s="211">
        <f t="shared" si="58"/>
        <v>8.1139453707151326</v>
      </c>
      <c r="AK71" s="211">
        <f t="shared" si="58"/>
        <v>7.95166646330083</v>
      </c>
      <c r="AL71" s="211">
        <f t="shared" si="58"/>
        <v>7.7926331340348129</v>
      </c>
      <c r="AM71" s="211">
        <f t="shared" si="58"/>
        <v>7.6367804713541165</v>
      </c>
      <c r="AN71" s="211">
        <f t="shared" si="58"/>
        <v>7.4840448619270337</v>
      </c>
    </row>
    <row r="72" spans="2:40" ht="12" hidden="1" customHeight="1" outlineLevel="2">
      <c r="B72" s="245"/>
      <c r="C72" s="213" t="s">
        <v>753</v>
      </c>
      <c r="D72" s="213"/>
      <c r="E72" s="211">
        <f>INDEX($C$44:$AN$64,MATCH("New Customers One-Time",$C$44:$C$64,0),MATCH($C72,$C$44:$AN$44,0))</f>
        <v>0</v>
      </c>
      <c r="F72" s="211">
        <f t="shared" ref="F72:AN72" si="59">$E$72*(E70)</f>
        <v>0</v>
      </c>
      <c r="G72" s="211">
        <f t="shared" si="59"/>
        <v>0</v>
      </c>
      <c r="H72" s="211">
        <f t="shared" si="59"/>
        <v>0</v>
      </c>
      <c r="I72" s="211">
        <f t="shared" si="59"/>
        <v>0</v>
      </c>
      <c r="J72" s="211">
        <f t="shared" si="59"/>
        <v>0</v>
      </c>
      <c r="K72" s="211">
        <f t="shared" si="59"/>
        <v>0</v>
      </c>
      <c r="L72" s="211">
        <f t="shared" si="59"/>
        <v>0</v>
      </c>
      <c r="M72" s="211">
        <f t="shared" si="59"/>
        <v>0</v>
      </c>
      <c r="N72" s="211">
        <f t="shared" si="59"/>
        <v>0</v>
      </c>
      <c r="O72" s="211">
        <f t="shared" si="59"/>
        <v>0</v>
      </c>
      <c r="P72" s="211">
        <f t="shared" si="59"/>
        <v>0</v>
      </c>
      <c r="Q72" s="211">
        <f t="shared" si="59"/>
        <v>0</v>
      </c>
      <c r="R72" s="211">
        <f t="shared" si="59"/>
        <v>0</v>
      </c>
      <c r="S72" s="211">
        <f t="shared" si="59"/>
        <v>0</v>
      </c>
      <c r="T72" s="211">
        <f t="shared" si="59"/>
        <v>0</v>
      </c>
      <c r="U72" s="211">
        <f t="shared" si="59"/>
        <v>0</v>
      </c>
      <c r="V72" s="211">
        <f t="shared" si="59"/>
        <v>0</v>
      </c>
      <c r="W72" s="211">
        <f t="shared" si="59"/>
        <v>0</v>
      </c>
      <c r="X72" s="211">
        <f t="shared" si="59"/>
        <v>0</v>
      </c>
      <c r="Y72" s="211">
        <f t="shared" si="59"/>
        <v>0</v>
      </c>
      <c r="Z72" s="211">
        <f t="shared" si="59"/>
        <v>0</v>
      </c>
      <c r="AA72" s="211">
        <f t="shared" si="59"/>
        <v>0</v>
      </c>
      <c r="AB72" s="211">
        <f t="shared" si="59"/>
        <v>0</v>
      </c>
      <c r="AC72" s="211">
        <f t="shared" si="59"/>
        <v>0</v>
      </c>
      <c r="AD72" s="211">
        <f t="shared" si="59"/>
        <v>0</v>
      </c>
      <c r="AE72" s="211">
        <f t="shared" si="59"/>
        <v>0</v>
      </c>
      <c r="AF72" s="211">
        <f t="shared" si="59"/>
        <v>0</v>
      </c>
      <c r="AG72" s="211">
        <f t="shared" si="59"/>
        <v>0</v>
      </c>
      <c r="AH72" s="211">
        <f t="shared" si="59"/>
        <v>0</v>
      </c>
      <c r="AI72" s="211">
        <f t="shared" si="59"/>
        <v>0</v>
      </c>
      <c r="AJ72" s="211">
        <f t="shared" si="59"/>
        <v>0</v>
      </c>
      <c r="AK72" s="211">
        <f t="shared" si="59"/>
        <v>0</v>
      </c>
      <c r="AL72" s="211">
        <f t="shared" si="59"/>
        <v>0</v>
      </c>
      <c r="AM72" s="211">
        <f t="shared" si="59"/>
        <v>0</v>
      </c>
      <c r="AN72" s="211">
        <f t="shared" si="59"/>
        <v>0</v>
      </c>
    </row>
    <row r="73" spans="2:40" ht="12" hidden="1" customHeight="1" outlineLevel="2">
      <c r="B73" s="245"/>
      <c r="C73" s="213" t="s">
        <v>754</v>
      </c>
      <c r="D73" s="213"/>
      <c r="E73" s="213"/>
      <c r="F73" s="211">
        <f>INDEX($C$44:$AN$64,MATCH("New Customers One-Time",$C$44:$C$64,0),MATCH($C73,$C$44:$AN$44,0))</f>
        <v>0</v>
      </c>
      <c r="G73" s="211">
        <f t="shared" ref="G73:AN73" si="60">$F$73*(E70)</f>
        <v>0</v>
      </c>
      <c r="H73" s="211">
        <f t="shared" si="60"/>
        <v>0</v>
      </c>
      <c r="I73" s="211">
        <f t="shared" si="60"/>
        <v>0</v>
      </c>
      <c r="J73" s="211">
        <f t="shared" si="60"/>
        <v>0</v>
      </c>
      <c r="K73" s="211">
        <f t="shared" si="60"/>
        <v>0</v>
      </c>
      <c r="L73" s="211">
        <f t="shared" si="60"/>
        <v>0</v>
      </c>
      <c r="M73" s="211">
        <f t="shared" si="60"/>
        <v>0</v>
      </c>
      <c r="N73" s="211">
        <f t="shared" si="60"/>
        <v>0</v>
      </c>
      <c r="O73" s="211">
        <f t="shared" si="60"/>
        <v>0</v>
      </c>
      <c r="P73" s="211">
        <f t="shared" si="60"/>
        <v>0</v>
      </c>
      <c r="Q73" s="211">
        <f t="shared" si="60"/>
        <v>0</v>
      </c>
      <c r="R73" s="211">
        <f t="shared" si="60"/>
        <v>0</v>
      </c>
      <c r="S73" s="211">
        <f t="shared" si="60"/>
        <v>0</v>
      </c>
      <c r="T73" s="211">
        <f t="shared" si="60"/>
        <v>0</v>
      </c>
      <c r="U73" s="211">
        <f t="shared" si="60"/>
        <v>0</v>
      </c>
      <c r="V73" s="211">
        <f t="shared" si="60"/>
        <v>0</v>
      </c>
      <c r="W73" s="211">
        <f t="shared" si="60"/>
        <v>0</v>
      </c>
      <c r="X73" s="211">
        <f t="shared" si="60"/>
        <v>0</v>
      </c>
      <c r="Y73" s="211">
        <f t="shared" si="60"/>
        <v>0</v>
      </c>
      <c r="Z73" s="211">
        <f t="shared" si="60"/>
        <v>0</v>
      </c>
      <c r="AA73" s="211">
        <f t="shared" si="60"/>
        <v>0</v>
      </c>
      <c r="AB73" s="211">
        <f t="shared" si="60"/>
        <v>0</v>
      </c>
      <c r="AC73" s="211">
        <f t="shared" si="60"/>
        <v>0</v>
      </c>
      <c r="AD73" s="211">
        <f t="shared" si="60"/>
        <v>0</v>
      </c>
      <c r="AE73" s="211">
        <f t="shared" si="60"/>
        <v>0</v>
      </c>
      <c r="AF73" s="211">
        <f t="shared" si="60"/>
        <v>0</v>
      </c>
      <c r="AG73" s="211">
        <f t="shared" si="60"/>
        <v>0</v>
      </c>
      <c r="AH73" s="211">
        <f t="shared" si="60"/>
        <v>0</v>
      </c>
      <c r="AI73" s="211">
        <f t="shared" si="60"/>
        <v>0</v>
      </c>
      <c r="AJ73" s="211">
        <f t="shared" si="60"/>
        <v>0</v>
      </c>
      <c r="AK73" s="211">
        <f t="shared" si="60"/>
        <v>0</v>
      </c>
      <c r="AL73" s="211">
        <f t="shared" si="60"/>
        <v>0</v>
      </c>
      <c r="AM73" s="211">
        <f t="shared" si="60"/>
        <v>0</v>
      </c>
      <c r="AN73" s="211">
        <f t="shared" si="60"/>
        <v>0</v>
      </c>
    </row>
    <row r="74" spans="2:40" ht="12" hidden="1" customHeight="1" outlineLevel="2">
      <c r="B74" s="245"/>
      <c r="C74" s="213" t="s">
        <v>755</v>
      </c>
      <c r="D74" s="213"/>
      <c r="E74" s="213"/>
      <c r="G74" s="211">
        <f>INDEX($C$44:$AN$66,MATCH("New Customers One-Time",$C$44:$C$66,0),MATCH($C74,$C$44:$AN$44,0))</f>
        <v>0</v>
      </c>
      <c r="H74" s="211">
        <f t="shared" ref="H74:AN74" si="61">$G$74*(E70)</f>
        <v>0</v>
      </c>
      <c r="I74" s="211">
        <f t="shared" si="61"/>
        <v>0</v>
      </c>
      <c r="J74" s="211">
        <f t="shared" si="61"/>
        <v>0</v>
      </c>
      <c r="K74" s="211">
        <f t="shared" si="61"/>
        <v>0</v>
      </c>
      <c r="L74" s="211">
        <f t="shared" si="61"/>
        <v>0</v>
      </c>
      <c r="M74" s="211">
        <f t="shared" si="61"/>
        <v>0</v>
      </c>
      <c r="N74" s="211">
        <f t="shared" si="61"/>
        <v>0</v>
      </c>
      <c r="O74" s="211">
        <f t="shared" si="61"/>
        <v>0</v>
      </c>
      <c r="P74" s="211">
        <f t="shared" si="61"/>
        <v>0</v>
      </c>
      <c r="Q74" s="211">
        <f t="shared" si="61"/>
        <v>0</v>
      </c>
      <c r="R74" s="211">
        <f t="shared" si="61"/>
        <v>0</v>
      </c>
      <c r="S74" s="211">
        <f t="shared" si="61"/>
        <v>0</v>
      </c>
      <c r="T74" s="211">
        <f t="shared" si="61"/>
        <v>0</v>
      </c>
      <c r="U74" s="211">
        <f t="shared" si="61"/>
        <v>0</v>
      </c>
      <c r="V74" s="211">
        <f t="shared" si="61"/>
        <v>0</v>
      </c>
      <c r="W74" s="211">
        <f t="shared" si="61"/>
        <v>0</v>
      </c>
      <c r="X74" s="211">
        <f t="shared" si="61"/>
        <v>0</v>
      </c>
      <c r="Y74" s="211">
        <f t="shared" si="61"/>
        <v>0</v>
      </c>
      <c r="Z74" s="211">
        <f t="shared" si="61"/>
        <v>0</v>
      </c>
      <c r="AA74" s="211">
        <f t="shared" si="61"/>
        <v>0</v>
      </c>
      <c r="AB74" s="211">
        <f t="shared" si="61"/>
        <v>0</v>
      </c>
      <c r="AC74" s="211">
        <f t="shared" si="61"/>
        <v>0</v>
      </c>
      <c r="AD74" s="211">
        <f t="shared" si="61"/>
        <v>0</v>
      </c>
      <c r="AE74" s="211">
        <f t="shared" si="61"/>
        <v>0</v>
      </c>
      <c r="AF74" s="211">
        <f t="shared" si="61"/>
        <v>0</v>
      </c>
      <c r="AG74" s="211">
        <f t="shared" si="61"/>
        <v>0</v>
      </c>
      <c r="AH74" s="211">
        <f t="shared" si="61"/>
        <v>0</v>
      </c>
      <c r="AI74" s="211">
        <f t="shared" si="61"/>
        <v>0</v>
      </c>
      <c r="AJ74" s="211">
        <f t="shared" si="61"/>
        <v>0</v>
      </c>
      <c r="AK74" s="211">
        <f t="shared" si="61"/>
        <v>0</v>
      </c>
      <c r="AL74" s="211">
        <f t="shared" si="61"/>
        <v>0</v>
      </c>
      <c r="AM74" s="211">
        <f t="shared" si="61"/>
        <v>0</v>
      </c>
      <c r="AN74" s="211">
        <f t="shared" si="61"/>
        <v>0</v>
      </c>
    </row>
    <row r="75" spans="2:40" ht="12" hidden="1" customHeight="1" outlineLevel="2">
      <c r="B75" s="245"/>
      <c r="C75" s="213" t="s">
        <v>756</v>
      </c>
      <c r="D75" s="213"/>
      <c r="E75" s="213"/>
      <c r="F75" s="213"/>
      <c r="G75" s="213"/>
      <c r="H75" s="211">
        <f>INDEX($C$44:$AN$66,MATCH("New Customers One-Time",$C$44:$C$66,0),MATCH($C75,$C$44:$AN$44,0))</f>
        <v>0</v>
      </c>
      <c r="I75" s="211">
        <f t="shared" ref="I75:AN75" si="62">$H$75*(E70)</f>
        <v>0</v>
      </c>
      <c r="J75" s="211">
        <f t="shared" si="62"/>
        <v>0</v>
      </c>
      <c r="K75" s="211">
        <f t="shared" si="62"/>
        <v>0</v>
      </c>
      <c r="L75" s="211">
        <f t="shared" si="62"/>
        <v>0</v>
      </c>
      <c r="M75" s="211">
        <f t="shared" si="62"/>
        <v>0</v>
      </c>
      <c r="N75" s="211">
        <f t="shared" si="62"/>
        <v>0</v>
      </c>
      <c r="O75" s="211">
        <f t="shared" si="62"/>
        <v>0</v>
      </c>
      <c r="P75" s="211">
        <f t="shared" si="62"/>
        <v>0</v>
      </c>
      <c r="Q75" s="211">
        <f t="shared" si="62"/>
        <v>0</v>
      </c>
      <c r="R75" s="211">
        <f t="shared" si="62"/>
        <v>0</v>
      </c>
      <c r="S75" s="211">
        <f t="shared" si="62"/>
        <v>0</v>
      </c>
      <c r="T75" s="211">
        <f t="shared" si="62"/>
        <v>0</v>
      </c>
      <c r="U75" s="211">
        <f t="shared" si="62"/>
        <v>0</v>
      </c>
      <c r="V75" s="211">
        <f t="shared" si="62"/>
        <v>0</v>
      </c>
      <c r="W75" s="211">
        <f t="shared" si="62"/>
        <v>0</v>
      </c>
      <c r="X75" s="211">
        <f t="shared" si="62"/>
        <v>0</v>
      </c>
      <c r="Y75" s="211">
        <f t="shared" si="62"/>
        <v>0</v>
      </c>
      <c r="Z75" s="211">
        <f t="shared" si="62"/>
        <v>0</v>
      </c>
      <c r="AA75" s="211">
        <f t="shared" si="62"/>
        <v>0</v>
      </c>
      <c r="AB75" s="211">
        <f t="shared" si="62"/>
        <v>0</v>
      </c>
      <c r="AC75" s="211">
        <f t="shared" si="62"/>
        <v>0</v>
      </c>
      <c r="AD75" s="211">
        <f t="shared" si="62"/>
        <v>0</v>
      </c>
      <c r="AE75" s="211">
        <f t="shared" si="62"/>
        <v>0</v>
      </c>
      <c r="AF75" s="211">
        <f t="shared" si="62"/>
        <v>0</v>
      </c>
      <c r="AG75" s="211">
        <f t="shared" si="62"/>
        <v>0</v>
      </c>
      <c r="AH75" s="211">
        <f t="shared" si="62"/>
        <v>0</v>
      </c>
      <c r="AI75" s="211">
        <f t="shared" si="62"/>
        <v>0</v>
      </c>
      <c r="AJ75" s="211">
        <f t="shared" si="62"/>
        <v>0</v>
      </c>
      <c r="AK75" s="211">
        <f t="shared" si="62"/>
        <v>0</v>
      </c>
      <c r="AL75" s="211">
        <f t="shared" si="62"/>
        <v>0</v>
      </c>
      <c r="AM75" s="211">
        <f t="shared" si="62"/>
        <v>0</v>
      </c>
      <c r="AN75" s="211">
        <f t="shared" si="62"/>
        <v>0</v>
      </c>
    </row>
    <row r="76" spans="2:40" ht="12" hidden="1" customHeight="1" outlineLevel="2">
      <c r="B76" s="245"/>
      <c r="C76" s="213" t="s">
        <v>757</v>
      </c>
      <c r="D76" s="213"/>
      <c r="E76" s="213"/>
      <c r="F76" s="213"/>
      <c r="G76" s="213"/>
      <c r="H76" s="213"/>
      <c r="I76" s="211">
        <f>INDEX($C$44:$AN$66,MATCH("New Customers One-Time",$C$44:$C$66,0),MATCH($C76,$C$44:$AN$44,0))</f>
        <v>0</v>
      </c>
      <c r="J76" s="211">
        <f t="shared" ref="J76:AN76" si="63">$I$76*(E70)</f>
        <v>0</v>
      </c>
      <c r="K76" s="211">
        <f t="shared" si="63"/>
        <v>0</v>
      </c>
      <c r="L76" s="211">
        <f t="shared" si="63"/>
        <v>0</v>
      </c>
      <c r="M76" s="211">
        <f t="shared" si="63"/>
        <v>0</v>
      </c>
      <c r="N76" s="211">
        <f t="shared" si="63"/>
        <v>0</v>
      </c>
      <c r="O76" s="211">
        <f t="shared" si="63"/>
        <v>0</v>
      </c>
      <c r="P76" s="211">
        <f t="shared" si="63"/>
        <v>0</v>
      </c>
      <c r="Q76" s="211">
        <f t="shared" si="63"/>
        <v>0</v>
      </c>
      <c r="R76" s="211">
        <f t="shared" si="63"/>
        <v>0</v>
      </c>
      <c r="S76" s="211">
        <f t="shared" si="63"/>
        <v>0</v>
      </c>
      <c r="T76" s="211">
        <f t="shared" si="63"/>
        <v>0</v>
      </c>
      <c r="U76" s="211">
        <f t="shared" si="63"/>
        <v>0</v>
      </c>
      <c r="V76" s="211">
        <f t="shared" si="63"/>
        <v>0</v>
      </c>
      <c r="W76" s="211">
        <f t="shared" si="63"/>
        <v>0</v>
      </c>
      <c r="X76" s="211">
        <f t="shared" si="63"/>
        <v>0</v>
      </c>
      <c r="Y76" s="211">
        <f t="shared" si="63"/>
        <v>0</v>
      </c>
      <c r="Z76" s="211">
        <f t="shared" si="63"/>
        <v>0</v>
      </c>
      <c r="AA76" s="211">
        <f t="shared" si="63"/>
        <v>0</v>
      </c>
      <c r="AB76" s="211">
        <f t="shared" si="63"/>
        <v>0</v>
      </c>
      <c r="AC76" s="211">
        <f t="shared" si="63"/>
        <v>0</v>
      </c>
      <c r="AD76" s="211">
        <f t="shared" si="63"/>
        <v>0</v>
      </c>
      <c r="AE76" s="211">
        <f t="shared" si="63"/>
        <v>0</v>
      </c>
      <c r="AF76" s="211">
        <f t="shared" si="63"/>
        <v>0</v>
      </c>
      <c r="AG76" s="211">
        <f t="shared" si="63"/>
        <v>0</v>
      </c>
      <c r="AH76" s="211">
        <f t="shared" si="63"/>
        <v>0</v>
      </c>
      <c r="AI76" s="211">
        <f t="shared" si="63"/>
        <v>0</v>
      </c>
      <c r="AJ76" s="211">
        <f t="shared" si="63"/>
        <v>0</v>
      </c>
      <c r="AK76" s="211">
        <f t="shared" si="63"/>
        <v>0</v>
      </c>
      <c r="AL76" s="211">
        <f t="shared" si="63"/>
        <v>0</v>
      </c>
      <c r="AM76" s="211">
        <f t="shared" si="63"/>
        <v>0</v>
      </c>
      <c r="AN76" s="211">
        <f t="shared" si="63"/>
        <v>0</v>
      </c>
    </row>
    <row r="77" spans="2:40" ht="12" hidden="1" customHeight="1" outlineLevel="2">
      <c r="B77" s="245"/>
      <c r="C77" s="213" t="s">
        <v>758</v>
      </c>
      <c r="D77" s="213"/>
      <c r="E77" s="213"/>
      <c r="F77" s="213"/>
      <c r="G77" s="213"/>
      <c r="H77" s="213"/>
      <c r="I77" s="213"/>
      <c r="J77" s="211">
        <f>INDEX($C$44:$AN$66,MATCH("New Customers One-Time",$C$44:$C$66,0),MATCH($C77,$C$44:$AN$44,0))</f>
        <v>0</v>
      </c>
      <c r="K77" s="211">
        <f t="shared" ref="K77:AN77" si="64">$J$77*(E70)</f>
        <v>0</v>
      </c>
      <c r="L77" s="211">
        <f t="shared" si="64"/>
        <v>0</v>
      </c>
      <c r="M77" s="211">
        <f t="shared" si="64"/>
        <v>0</v>
      </c>
      <c r="N77" s="211">
        <f t="shared" si="64"/>
        <v>0</v>
      </c>
      <c r="O77" s="211">
        <f t="shared" si="64"/>
        <v>0</v>
      </c>
      <c r="P77" s="211">
        <f t="shared" si="64"/>
        <v>0</v>
      </c>
      <c r="Q77" s="211">
        <f t="shared" si="64"/>
        <v>0</v>
      </c>
      <c r="R77" s="211">
        <f t="shared" si="64"/>
        <v>0</v>
      </c>
      <c r="S77" s="211">
        <f t="shared" si="64"/>
        <v>0</v>
      </c>
      <c r="T77" s="211">
        <f t="shared" si="64"/>
        <v>0</v>
      </c>
      <c r="U77" s="211">
        <f t="shared" si="64"/>
        <v>0</v>
      </c>
      <c r="V77" s="211">
        <f t="shared" si="64"/>
        <v>0</v>
      </c>
      <c r="W77" s="211">
        <f t="shared" si="64"/>
        <v>0</v>
      </c>
      <c r="X77" s="211">
        <f t="shared" si="64"/>
        <v>0</v>
      </c>
      <c r="Y77" s="211">
        <f t="shared" si="64"/>
        <v>0</v>
      </c>
      <c r="Z77" s="211">
        <f t="shared" si="64"/>
        <v>0</v>
      </c>
      <c r="AA77" s="211">
        <f t="shared" si="64"/>
        <v>0</v>
      </c>
      <c r="AB77" s="211">
        <f t="shared" si="64"/>
        <v>0</v>
      </c>
      <c r="AC77" s="211">
        <f t="shared" si="64"/>
        <v>0</v>
      </c>
      <c r="AD77" s="211">
        <f t="shared" si="64"/>
        <v>0</v>
      </c>
      <c r="AE77" s="211">
        <f t="shared" si="64"/>
        <v>0</v>
      </c>
      <c r="AF77" s="211">
        <f t="shared" si="64"/>
        <v>0</v>
      </c>
      <c r="AG77" s="211">
        <f t="shared" si="64"/>
        <v>0</v>
      </c>
      <c r="AH77" s="211">
        <f t="shared" si="64"/>
        <v>0</v>
      </c>
      <c r="AI77" s="211">
        <f t="shared" si="64"/>
        <v>0</v>
      </c>
      <c r="AJ77" s="211">
        <f t="shared" si="64"/>
        <v>0</v>
      </c>
      <c r="AK77" s="211">
        <f t="shared" si="64"/>
        <v>0</v>
      </c>
      <c r="AL77" s="211">
        <f t="shared" si="64"/>
        <v>0</v>
      </c>
      <c r="AM77" s="211">
        <f t="shared" si="64"/>
        <v>0</v>
      </c>
      <c r="AN77" s="211">
        <f t="shared" si="64"/>
        <v>0</v>
      </c>
    </row>
    <row r="78" spans="2:40" ht="12" hidden="1" customHeight="1" outlineLevel="2">
      <c r="B78" s="245"/>
      <c r="C78" s="213" t="s">
        <v>759</v>
      </c>
      <c r="D78" s="213"/>
      <c r="E78" s="213"/>
      <c r="F78" s="213"/>
      <c r="G78" s="213"/>
      <c r="H78" s="213"/>
      <c r="I78" s="213"/>
      <c r="J78" s="213"/>
      <c r="K78" s="211">
        <f>INDEX($C$44:$AN$66,MATCH("New Customers One-Time",$C$44:$C$66,0),MATCH($C78,$C$44:$AN$44,0))</f>
        <v>6</v>
      </c>
      <c r="L78" s="211">
        <f t="shared" ref="L78:AN78" si="65">$K$78*(E70)</f>
        <v>0</v>
      </c>
      <c r="M78" s="211">
        <f t="shared" si="65"/>
        <v>0</v>
      </c>
      <c r="N78" s="211">
        <f t="shared" si="65"/>
        <v>0</v>
      </c>
      <c r="O78" s="211">
        <f t="shared" si="65"/>
        <v>0</v>
      </c>
      <c r="P78" s="211">
        <f t="shared" si="65"/>
        <v>0</v>
      </c>
      <c r="Q78" s="211">
        <f t="shared" si="65"/>
        <v>0</v>
      </c>
      <c r="R78" s="211">
        <f t="shared" si="65"/>
        <v>0</v>
      </c>
      <c r="S78" s="211">
        <f t="shared" si="65"/>
        <v>0</v>
      </c>
      <c r="T78" s="211">
        <f t="shared" si="65"/>
        <v>0</v>
      </c>
      <c r="U78" s="211">
        <f t="shared" si="65"/>
        <v>0</v>
      </c>
      <c r="V78" s="211">
        <f t="shared" si="65"/>
        <v>0</v>
      </c>
      <c r="W78" s="211">
        <f t="shared" si="65"/>
        <v>0</v>
      </c>
      <c r="X78" s="211">
        <f t="shared" si="65"/>
        <v>0</v>
      </c>
      <c r="Y78" s="211">
        <f t="shared" si="65"/>
        <v>0</v>
      </c>
      <c r="Z78" s="211">
        <f t="shared" si="65"/>
        <v>0</v>
      </c>
      <c r="AA78" s="211">
        <f t="shared" si="65"/>
        <v>0</v>
      </c>
      <c r="AB78" s="211">
        <f t="shared" si="65"/>
        <v>0</v>
      </c>
      <c r="AC78" s="211">
        <f t="shared" si="65"/>
        <v>0</v>
      </c>
      <c r="AD78" s="211">
        <f t="shared" si="65"/>
        <v>0</v>
      </c>
      <c r="AE78" s="211">
        <f t="shared" si="65"/>
        <v>0</v>
      </c>
      <c r="AF78" s="211">
        <f t="shared" si="65"/>
        <v>0</v>
      </c>
      <c r="AG78" s="211">
        <f t="shared" si="65"/>
        <v>0</v>
      </c>
      <c r="AH78" s="211">
        <f t="shared" si="65"/>
        <v>0</v>
      </c>
      <c r="AI78" s="211">
        <f t="shared" si="65"/>
        <v>0</v>
      </c>
      <c r="AJ78" s="211">
        <f t="shared" si="65"/>
        <v>0</v>
      </c>
      <c r="AK78" s="211">
        <f t="shared" si="65"/>
        <v>0</v>
      </c>
      <c r="AL78" s="211">
        <f t="shared" si="65"/>
        <v>0</v>
      </c>
      <c r="AM78" s="211">
        <f t="shared" si="65"/>
        <v>0</v>
      </c>
      <c r="AN78" s="211">
        <f t="shared" si="65"/>
        <v>0</v>
      </c>
    </row>
    <row r="79" spans="2:40" ht="12" hidden="1" customHeight="1" outlineLevel="2">
      <c r="B79" s="245"/>
      <c r="C79" s="213" t="s">
        <v>760</v>
      </c>
      <c r="D79" s="213"/>
      <c r="E79" s="213"/>
      <c r="F79" s="213"/>
      <c r="G79" s="213"/>
      <c r="H79" s="213"/>
      <c r="I79" s="213"/>
      <c r="J79" s="213"/>
      <c r="K79" s="213"/>
      <c r="L79" s="211">
        <f>INDEX($C$44:$AN$66,MATCH("New Customers One-Time",$C$44:$C$66,0),MATCH($C79,$C$44:$AN$44,0))</f>
        <v>6.9999999999999993E-2</v>
      </c>
      <c r="M79" s="211">
        <f t="shared" ref="M79:AN79" si="66">$L$79*(E70)</f>
        <v>0</v>
      </c>
      <c r="N79" s="211">
        <f t="shared" si="66"/>
        <v>0</v>
      </c>
      <c r="O79" s="211">
        <f t="shared" si="66"/>
        <v>0</v>
      </c>
      <c r="P79" s="211">
        <f t="shared" si="66"/>
        <v>0</v>
      </c>
      <c r="Q79" s="211">
        <f t="shared" si="66"/>
        <v>0</v>
      </c>
      <c r="R79" s="211">
        <f t="shared" si="66"/>
        <v>0</v>
      </c>
      <c r="S79" s="211">
        <f t="shared" si="66"/>
        <v>0</v>
      </c>
      <c r="T79" s="211">
        <f t="shared" si="66"/>
        <v>0</v>
      </c>
      <c r="U79" s="211">
        <f t="shared" si="66"/>
        <v>0</v>
      </c>
      <c r="V79" s="211">
        <f t="shared" si="66"/>
        <v>0</v>
      </c>
      <c r="W79" s="211">
        <f t="shared" si="66"/>
        <v>0</v>
      </c>
      <c r="X79" s="211">
        <f t="shared" si="66"/>
        <v>0</v>
      </c>
      <c r="Y79" s="211">
        <f t="shared" si="66"/>
        <v>0</v>
      </c>
      <c r="Z79" s="211">
        <f t="shared" si="66"/>
        <v>0</v>
      </c>
      <c r="AA79" s="211">
        <f t="shared" si="66"/>
        <v>0</v>
      </c>
      <c r="AB79" s="211">
        <f t="shared" si="66"/>
        <v>0</v>
      </c>
      <c r="AC79" s="211">
        <f t="shared" si="66"/>
        <v>0</v>
      </c>
      <c r="AD79" s="211">
        <f t="shared" si="66"/>
        <v>0</v>
      </c>
      <c r="AE79" s="211">
        <f t="shared" si="66"/>
        <v>0</v>
      </c>
      <c r="AF79" s="211">
        <f t="shared" si="66"/>
        <v>0</v>
      </c>
      <c r="AG79" s="211">
        <f t="shared" si="66"/>
        <v>0</v>
      </c>
      <c r="AH79" s="211">
        <f t="shared" si="66"/>
        <v>0</v>
      </c>
      <c r="AI79" s="211">
        <f t="shared" si="66"/>
        <v>0</v>
      </c>
      <c r="AJ79" s="211">
        <f t="shared" si="66"/>
        <v>0</v>
      </c>
      <c r="AK79" s="211">
        <f t="shared" si="66"/>
        <v>0</v>
      </c>
      <c r="AL79" s="211">
        <f t="shared" si="66"/>
        <v>0</v>
      </c>
      <c r="AM79" s="211">
        <f t="shared" si="66"/>
        <v>0</v>
      </c>
      <c r="AN79" s="211">
        <f t="shared" si="66"/>
        <v>0</v>
      </c>
    </row>
    <row r="80" spans="2:40" ht="12" hidden="1" customHeight="1" outlineLevel="2">
      <c r="B80" s="245"/>
      <c r="C80" s="213" t="s">
        <v>761</v>
      </c>
      <c r="D80" s="213"/>
      <c r="E80" s="213"/>
      <c r="F80" s="213"/>
      <c r="G80" s="213"/>
      <c r="H80" s="213"/>
      <c r="I80" s="213"/>
      <c r="J80" s="213"/>
      <c r="K80" s="213"/>
      <c r="L80" s="213"/>
      <c r="M80" s="211">
        <f>INDEX($C$44:$AN$66,MATCH("New Customers One-Time",$C$44:$C$66,0),MATCH($C80,$C$44:$AN$44,0))</f>
        <v>0</v>
      </c>
      <c r="N80" s="211">
        <f t="shared" ref="N80:AN80" si="67">$M$80*(E70)</f>
        <v>0</v>
      </c>
      <c r="O80" s="211">
        <f t="shared" si="67"/>
        <v>0</v>
      </c>
      <c r="P80" s="211">
        <f t="shared" si="67"/>
        <v>0</v>
      </c>
      <c r="Q80" s="211">
        <f t="shared" si="67"/>
        <v>0</v>
      </c>
      <c r="R80" s="211">
        <f t="shared" si="67"/>
        <v>0</v>
      </c>
      <c r="S80" s="211">
        <f t="shared" si="67"/>
        <v>0</v>
      </c>
      <c r="T80" s="211">
        <f t="shared" si="67"/>
        <v>0</v>
      </c>
      <c r="U80" s="211">
        <f t="shared" si="67"/>
        <v>0</v>
      </c>
      <c r="V80" s="211">
        <f t="shared" si="67"/>
        <v>0</v>
      </c>
      <c r="W80" s="211">
        <f t="shared" si="67"/>
        <v>0</v>
      </c>
      <c r="X80" s="211">
        <f t="shared" si="67"/>
        <v>0</v>
      </c>
      <c r="Y80" s="211">
        <f t="shared" si="67"/>
        <v>0</v>
      </c>
      <c r="Z80" s="211">
        <f t="shared" si="67"/>
        <v>0</v>
      </c>
      <c r="AA80" s="211">
        <f t="shared" si="67"/>
        <v>0</v>
      </c>
      <c r="AB80" s="211">
        <f t="shared" si="67"/>
        <v>0</v>
      </c>
      <c r="AC80" s="211">
        <f t="shared" si="67"/>
        <v>0</v>
      </c>
      <c r="AD80" s="211">
        <f t="shared" si="67"/>
        <v>0</v>
      </c>
      <c r="AE80" s="211">
        <f t="shared" si="67"/>
        <v>0</v>
      </c>
      <c r="AF80" s="211">
        <f t="shared" si="67"/>
        <v>0</v>
      </c>
      <c r="AG80" s="211">
        <f t="shared" si="67"/>
        <v>0</v>
      </c>
      <c r="AH80" s="211">
        <f t="shared" si="67"/>
        <v>0</v>
      </c>
      <c r="AI80" s="211">
        <f t="shared" si="67"/>
        <v>0</v>
      </c>
      <c r="AJ80" s="211">
        <f t="shared" si="67"/>
        <v>0</v>
      </c>
      <c r="AK80" s="211">
        <f t="shared" si="67"/>
        <v>0</v>
      </c>
      <c r="AL80" s="211">
        <f t="shared" si="67"/>
        <v>0</v>
      </c>
      <c r="AM80" s="211">
        <f t="shared" si="67"/>
        <v>0</v>
      </c>
      <c r="AN80" s="211">
        <f t="shared" si="67"/>
        <v>0</v>
      </c>
    </row>
    <row r="81" spans="2:40" ht="12" hidden="1" customHeight="1" outlineLevel="2">
      <c r="B81" s="245"/>
      <c r="C81" s="213" t="s">
        <v>762</v>
      </c>
      <c r="D81" s="213"/>
      <c r="E81" s="213"/>
      <c r="F81" s="213"/>
      <c r="G81" s="213"/>
      <c r="H81" s="213"/>
      <c r="I81" s="213"/>
      <c r="J81" s="213"/>
      <c r="K81" s="213"/>
      <c r="L81" s="213"/>
      <c r="M81" s="213"/>
      <c r="N81" s="211">
        <f>INDEX($C$44:$AN$66,MATCH("New Customers One-Time",$C$44:$C$66,0),MATCH($C81,$C$44:$AN$44,0))</f>
        <v>0</v>
      </c>
      <c r="O81" s="211">
        <f t="shared" ref="O81:AN81" si="68">$N$81*(E70)</f>
        <v>0</v>
      </c>
      <c r="P81" s="211">
        <f t="shared" si="68"/>
        <v>0</v>
      </c>
      <c r="Q81" s="211">
        <f t="shared" si="68"/>
        <v>0</v>
      </c>
      <c r="R81" s="211">
        <f t="shared" si="68"/>
        <v>0</v>
      </c>
      <c r="S81" s="211">
        <f t="shared" si="68"/>
        <v>0</v>
      </c>
      <c r="T81" s="211">
        <f t="shared" si="68"/>
        <v>0</v>
      </c>
      <c r="U81" s="211">
        <f t="shared" si="68"/>
        <v>0</v>
      </c>
      <c r="V81" s="211">
        <f t="shared" si="68"/>
        <v>0</v>
      </c>
      <c r="W81" s="211">
        <f t="shared" si="68"/>
        <v>0</v>
      </c>
      <c r="X81" s="211">
        <f t="shared" si="68"/>
        <v>0</v>
      </c>
      <c r="Y81" s="211">
        <f t="shared" si="68"/>
        <v>0</v>
      </c>
      <c r="Z81" s="211">
        <f t="shared" si="68"/>
        <v>0</v>
      </c>
      <c r="AA81" s="211">
        <f t="shared" si="68"/>
        <v>0</v>
      </c>
      <c r="AB81" s="211">
        <f t="shared" si="68"/>
        <v>0</v>
      </c>
      <c r="AC81" s="211">
        <f t="shared" si="68"/>
        <v>0</v>
      </c>
      <c r="AD81" s="211">
        <f t="shared" si="68"/>
        <v>0</v>
      </c>
      <c r="AE81" s="211">
        <f t="shared" si="68"/>
        <v>0</v>
      </c>
      <c r="AF81" s="211">
        <f t="shared" si="68"/>
        <v>0</v>
      </c>
      <c r="AG81" s="211">
        <f t="shared" si="68"/>
        <v>0</v>
      </c>
      <c r="AH81" s="211">
        <f t="shared" si="68"/>
        <v>0</v>
      </c>
      <c r="AI81" s="211">
        <f t="shared" si="68"/>
        <v>0</v>
      </c>
      <c r="AJ81" s="211">
        <f t="shared" si="68"/>
        <v>0</v>
      </c>
      <c r="AK81" s="211">
        <f t="shared" si="68"/>
        <v>0</v>
      </c>
      <c r="AL81" s="211">
        <f t="shared" si="68"/>
        <v>0</v>
      </c>
      <c r="AM81" s="211">
        <f t="shared" si="68"/>
        <v>0</v>
      </c>
      <c r="AN81" s="211">
        <f t="shared" si="68"/>
        <v>0</v>
      </c>
    </row>
    <row r="82" spans="2:40" ht="12" hidden="1" customHeight="1" outlineLevel="2">
      <c r="B82" s="245"/>
      <c r="C82" s="213" t="s">
        <v>763</v>
      </c>
      <c r="D82" s="213"/>
      <c r="E82" s="213"/>
      <c r="F82" s="213"/>
      <c r="G82" s="213"/>
      <c r="H82" s="213"/>
      <c r="I82" s="213"/>
      <c r="J82" s="213"/>
      <c r="K82" s="213"/>
      <c r="L82" s="213"/>
      <c r="M82" s="213"/>
      <c r="N82" s="213"/>
      <c r="O82" s="211">
        <f>INDEX($C$44:$AN$66,MATCH("New Customers One-Time",$C$44:$C$66,0),MATCH($C82,$C$44:$AN$44,0))</f>
        <v>0</v>
      </c>
      <c r="P82" s="211">
        <f t="shared" ref="P82:AN82" si="69">$O$82*(E70)</f>
        <v>0</v>
      </c>
      <c r="Q82" s="211">
        <f t="shared" si="69"/>
        <v>0</v>
      </c>
      <c r="R82" s="211">
        <f t="shared" si="69"/>
        <v>0</v>
      </c>
      <c r="S82" s="211">
        <f t="shared" si="69"/>
        <v>0</v>
      </c>
      <c r="T82" s="211">
        <f t="shared" si="69"/>
        <v>0</v>
      </c>
      <c r="U82" s="211">
        <f t="shared" si="69"/>
        <v>0</v>
      </c>
      <c r="V82" s="211">
        <f t="shared" si="69"/>
        <v>0</v>
      </c>
      <c r="W82" s="211">
        <f t="shared" si="69"/>
        <v>0</v>
      </c>
      <c r="X82" s="211">
        <f t="shared" si="69"/>
        <v>0</v>
      </c>
      <c r="Y82" s="211">
        <f t="shared" si="69"/>
        <v>0</v>
      </c>
      <c r="Z82" s="211">
        <f t="shared" si="69"/>
        <v>0</v>
      </c>
      <c r="AA82" s="211">
        <f t="shared" si="69"/>
        <v>0</v>
      </c>
      <c r="AB82" s="211">
        <f t="shared" si="69"/>
        <v>0</v>
      </c>
      <c r="AC82" s="211">
        <f t="shared" si="69"/>
        <v>0</v>
      </c>
      <c r="AD82" s="211">
        <f t="shared" si="69"/>
        <v>0</v>
      </c>
      <c r="AE82" s="211">
        <f t="shared" si="69"/>
        <v>0</v>
      </c>
      <c r="AF82" s="211">
        <f t="shared" si="69"/>
        <v>0</v>
      </c>
      <c r="AG82" s="211">
        <f t="shared" si="69"/>
        <v>0</v>
      </c>
      <c r="AH82" s="211">
        <f t="shared" si="69"/>
        <v>0</v>
      </c>
      <c r="AI82" s="211">
        <f t="shared" si="69"/>
        <v>0</v>
      </c>
      <c r="AJ82" s="211">
        <f t="shared" si="69"/>
        <v>0</v>
      </c>
      <c r="AK82" s="211">
        <f t="shared" si="69"/>
        <v>0</v>
      </c>
      <c r="AL82" s="211">
        <f t="shared" si="69"/>
        <v>0</v>
      </c>
      <c r="AM82" s="211">
        <f t="shared" si="69"/>
        <v>0</v>
      </c>
      <c r="AN82" s="211">
        <f t="shared" si="69"/>
        <v>0</v>
      </c>
    </row>
    <row r="83" spans="2:40" ht="12" hidden="1" customHeight="1" outlineLevel="2">
      <c r="B83" s="245"/>
      <c r="C83" s="213" t="s">
        <v>764</v>
      </c>
      <c r="D83" s="213"/>
      <c r="E83" s="213"/>
      <c r="F83" s="213"/>
      <c r="G83" s="213"/>
      <c r="H83" s="213"/>
      <c r="I83" s="213"/>
      <c r="J83" s="213"/>
      <c r="K83" s="213"/>
      <c r="L83" s="213"/>
      <c r="M83" s="213"/>
      <c r="N83" s="213"/>
      <c r="O83" s="213"/>
      <c r="P83" s="211">
        <f>INDEX($C$44:$AN$66,MATCH("New Customers One-Time",$C$44:$C$66,0),MATCH($C83,$C$44:$AN$44,0))</f>
        <v>0</v>
      </c>
      <c r="Q83" s="211">
        <f t="shared" ref="Q83:AN83" si="70">$P$83*(E70)</f>
        <v>0</v>
      </c>
      <c r="R83" s="211">
        <f t="shared" si="70"/>
        <v>0</v>
      </c>
      <c r="S83" s="211">
        <f t="shared" si="70"/>
        <v>0</v>
      </c>
      <c r="T83" s="211">
        <f t="shared" si="70"/>
        <v>0</v>
      </c>
      <c r="U83" s="211">
        <f t="shared" si="70"/>
        <v>0</v>
      </c>
      <c r="V83" s="211">
        <f t="shared" si="70"/>
        <v>0</v>
      </c>
      <c r="W83" s="211">
        <f t="shared" si="70"/>
        <v>0</v>
      </c>
      <c r="X83" s="211">
        <f t="shared" si="70"/>
        <v>0</v>
      </c>
      <c r="Y83" s="211">
        <f t="shared" si="70"/>
        <v>0</v>
      </c>
      <c r="Z83" s="211">
        <f t="shared" si="70"/>
        <v>0</v>
      </c>
      <c r="AA83" s="211">
        <f t="shared" si="70"/>
        <v>0</v>
      </c>
      <c r="AB83" s="211">
        <f t="shared" si="70"/>
        <v>0</v>
      </c>
      <c r="AC83" s="211">
        <f t="shared" si="70"/>
        <v>0</v>
      </c>
      <c r="AD83" s="211">
        <f t="shared" si="70"/>
        <v>0</v>
      </c>
      <c r="AE83" s="211">
        <f t="shared" si="70"/>
        <v>0</v>
      </c>
      <c r="AF83" s="211">
        <f t="shared" si="70"/>
        <v>0</v>
      </c>
      <c r="AG83" s="211">
        <f t="shared" si="70"/>
        <v>0</v>
      </c>
      <c r="AH83" s="211">
        <f t="shared" si="70"/>
        <v>0</v>
      </c>
      <c r="AI83" s="211">
        <f t="shared" si="70"/>
        <v>0</v>
      </c>
      <c r="AJ83" s="211">
        <f t="shared" si="70"/>
        <v>0</v>
      </c>
      <c r="AK83" s="211">
        <f t="shared" si="70"/>
        <v>0</v>
      </c>
      <c r="AL83" s="211">
        <f t="shared" si="70"/>
        <v>0</v>
      </c>
      <c r="AM83" s="211">
        <f t="shared" si="70"/>
        <v>0</v>
      </c>
      <c r="AN83" s="211">
        <f t="shared" si="70"/>
        <v>0</v>
      </c>
    </row>
    <row r="84" spans="2:40" ht="12" hidden="1" customHeight="1" outlineLevel="2">
      <c r="B84" s="245"/>
      <c r="C84" s="213" t="s">
        <v>765</v>
      </c>
      <c r="D84" s="213"/>
      <c r="E84" s="213"/>
      <c r="F84" s="213"/>
      <c r="G84" s="213"/>
      <c r="H84" s="213"/>
      <c r="I84" s="213"/>
      <c r="J84" s="213"/>
      <c r="K84" s="213"/>
      <c r="L84" s="213"/>
      <c r="M84" s="213"/>
      <c r="N84" s="213"/>
      <c r="O84" s="213"/>
      <c r="P84" s="213"/>
      <c r="Q84" s="211">
        <f>INDEX($C$44:$AN$66,MATCH("New Customers One-Time",$C$44:$C$66,0),MATCH($C84,$C$44:$AN$44,0))</f>
        <v>0</v>
      </c>
      <c r="R84" s="211">
        <f t="shared" ref="R84:AN84" si="71">$Q$84*(E70)</f>
        <v>0</v>
      </c>
      <c r="S84" s="211">
        <f t="shared" si="71"/>
        <v>0</v>
      </c>
      <c r="T84" s="211">
        <f t="shared" si="71"/>
        <v>0</v>
      </c>
      <c r="U84" s="211">
        <f t="shared" si="71"/>
        <v>0</v>
      </c>
      <c r="V84" s="211">
        <f t="shared" si="71"/>
        <v>0</v>
      </c>
      <c r="W84" s="211">
        <f t="shared" si="71"/>
        <v>0</v>
      </c>
      <c r="X84" s="211">
        <f t="shared" si="71"/>
        <v>0</v>
      </c>
      <c r="Y84" s="211">
        <f t="shared" si="71"/>
        <v>0</v>
      </c>
      <c r="Z84" s="211">
        <f t="shared" si="71"/>
        <v>0</v>
      </c>
      <c r="AA84" s="211">
        <f t="shared" si="71"/>
        <v>0</v>
      </c>
      <c r="AB84" s="211">
        <f t="shared" si="71"/>
        <v>0</v>
      </c>
      <c r="AC84" s="211">
        <f t="shared" si="71"/>
        <v>0</v>
      </c>
      <c r="AD84" s="211">
        <f t="shared" si="71"/>
        <v>0</v>
      </c>
      <c r="AE84" s="211">
        <f t="shared" si="71"/>
        <v>0</v>
      </c>
      <c r="AF84" s="211">
        <f t="shared" si="71"/>
        <v>0</v>
      </c>
      <c r="AG84" s="211">
        <f t="shared" si="71"/>
        <v>0</v>
      </c>
      <c r="AH84" s="211">
        <f t="shared" si="71"/>
        <v>0</v>
      </c>
      <c r="AI84" s="211">
        <f t="shared" si="71"/>
        <v>0</v>
      </c>
      <c r="AJ84" s="211">
        <f t="shared" si="71"/>
        <v>0</v>
      </c>
      <c r="AK84" s="211">
        <f t="shared" si="71"/>
        <v>0</v>
      </c>
      <c r="AL84" s="211">
        <f t="shared" si="71"/>
        <v>0</v>
      </c>
      <c r="AM84" s="211">
        <f t="shared" si="71"/>
        <v>0</v>
      </c>
      <c r="AN84" s="211">
        <f t="shared" si="71"/>
        <v>0</v>
      </c>
    </row>
    <row r="85" spans="2:40" ht="12" hidden="1" customHeight="1" outlineLevel="2">
      <c r="B85" s="245"/>
      <c r="C85" s="213" t="s">
        <v>766</v>
      </c>
      <c r="D85" s="213"/>
      <c r="E85" s="213"/>
      <c r="F85" s="213"/>
      <c r="G85" s="213"/>
      <c r="H85" s="213"/>
      <c r="I85" s="213"/>
      <c r="J85" s="213"/>
      <c r="K85" s="213"/>
      <c r="L85" s="213"/>
      <c r="M85" s="213"/>
      <c r="N85" s="213"/>
      <c r="O85" s="213"/>
      <c r="P85" s="213"/>
      <c r="Q85" s="213"/>
      <c r="R85" s="211">
        <f>INDEX($C$44:$AN$66,MATCH("New Customers One-Time",$C$44:$C$66,0),MATCH($C85,$C$44:$AN$44,0))</f>
        <v>0</v>
      </c>
      <c r="S85" s="211">
        <f t="shared" ref="S85:AN85" si="72">$R$85*(E70)</f>
        <v>0</v>
      </c>
      <c r="T85" s="211">
        <f t="shared" si="72"/>
        <v>0</v>
      </c>
      <c r="U85" s="211">
        <f t="shared" si="72"/>
        <v>0</v>
      </c>
      <c r="V85" s="211">
        <f t="shared" si="72"/>
        <v>0</v>
      </c>
      <c r="W85" s="211">
        <f t="shared" si="72"/>
        <v>0</v>
      </c>
      <c r="X85" s="211">
        <f t="shared" si="72"/>
        <v>0</v>
      </c>
      <c r="Y85" s="211">
        <f t="shared" si="72"/>
        <v>0</v>
      </c>
      <c r="Z85" s="211">
        <f t="shared" si="72"/>
        <v>0</v>
      </c>
      <c r="AA85" s="211">
        <f t="shared" si="72"/>
        <v>0</v>
      </c>
      <c r="AB85" s="211">
        <f t="shared" si="72"/>
        <v>0</v>
      </c>
      <c r="AC85" s="211">
        <f t="shared" si="72"/>
        <v>0</v>
      </c>
      <c r="AD85" s="211">
        <f t="shared" si="72"/>
        <v>0</v>
      </c>
      <c r="AE85" s="211">
        <f t="shared" si="72"/>
        <v>0</v>
      </c>
      <c r="AF85" s="211">
        <f t="shared" si="72"/>
        <v>0</v>
      </c>
      <c r="AG85" s="211">
        <f t="shared" si="72"/>
        <v>0</v>
      </c>
      <c r="AH85" s="211">
        <f t="shared" si="72"/>
        <v>0</v>
      </c>
      <c r="AI85" s="211">
        <f t="shared" si="72"/>
        <v>0</v>
      </c>
      <c r="AJ85" s="211">
        <f t="shared" si="72"/>
        <v>0</v>
      </c>
      <c r="AK85" s="211">
        <f t="shared" si="72"/>
        <v>0</v>
      </c>
      <c r="AL85" s="211">
        <f t="shared" si="72"/>
        <v>0</v>
      </c>
      <c r="AM85" s="211">
        <f t="shared" si="72"/>
        <v>0</v>
      </c>
      <c r="AN85" s="211">
        <f t="shared" si="72"/>
        <v>0</v>
      </c>
    </row>
    <row r="86" spans="2:40" ht="12" hidden="1" customHeight="1" outlineLevel="2">
      <c r="B86" s="245"/>
      <c r="C86" s="213" t="s">
        <v>767</v>
      </c>
      <c r="D86" s="213"/>
      <c r="E86" s="213"/>
      <c r="F86" s="213"/>
      <c r="G86" s="213"/>
      <c r="H86" s="213"/>
      <c r="I86" s="213"/>
      <c r="J86" s="213"/>
      <c r="K86" s="213"/>
      <c r="L86" s="213"/>
      <c r="M86" s="213"/>
      <c r="N86" s="213"/>
      <c r="O86" s="213"/>
      <c r="P86" s="213"/>
      <c r="Q86" s="213"/>
      <c r="R86" s="213"/>
      <c r="S86" s="211">
        <f>INDEX($C$44:$AN$66,MATCH("New Customers One-Time",$C$44:$C$66,0),MATCH($C86,$C$44:$AN$44,0))</f>
        <v>0</v>
      </c>
      <c r="T86" s="211">
        <f t="shared" ref="T86:AN86" si="73">$S$86*(E70)</f>
        <v>0</v>
      </c>
      <c r="U86" s="211">
        <f t="shared" si="73"/>
        <v>0</v>
      </c>
      <c r="V86" s="211">
        <f t="shared" si="73"/>
        <v>0</v>
      </c>
      <c r="W86" s="211">
        <f t="shared" si="73"/>
        <v>0</v>
      </c>
      <c r="X86" s="211">
        <f t="shared" si="73"/>
        <v>0</v>
      </c>
      <c r="Y86" s="211">
        <f t="shared" si="73"/>
        <v>0</v>
      </c>
      <c r="Z86" s="211">
        <f t="shared" si="73"/>
        <v>0</v>
      </c>
      <c r="AA86" s="211">
        <f t="shared" si="73"/>
        <v>0</v>
      </c>
      <c r="AB86" s="211">
        <f t="shared" si="73"/>
        <v>0</v>
      </c>
      <c r="AC86" s="211">
        <f t="shared" si="73"/>
        <v>0</v>
      </c>
      <c r="AD86" s="211">
        <f t="shared" si="73"/>
        <v>0</v>
      </c>
      <c r="AE86" s="211">
        <f t="shared" si="73"/>
        <v>0</v>
      </c>
      <c r="AF86" s="211">
        <f t="shared" si="73"/>
        <v>0</v>
      </c>
      <c r="AG86" s="211">
        <f t="shared" si="73"/>
        <v>0</v>
      </c>
      <c r="AH86" s="211">
        <f t="shared" si="73"/>
        <v>0</v>
      </c>
      <c r="AI86" s="211">
        <f t="shared" si="73"/>
        <v>0</v>
      </c>
      <c r="AJ86" s="211">
        <f t="shared" si="73"/>
        <v>0</v>
      </c>
      <c r="AK86" s="211">
        <f t="shared" si="73"/>
        <v>0</v>
      </c>
      <c r="AL86" s="211">
        <f t="shared" si="73"/>
        <v>0</v>
      </c>
      <c r="AM86" s="211">
        <f t="shared" si="73"/>
        <v>0</v>
      </c>
      <c r="AN86" s="211">
        <f t="shared" si="73"/>
        <v>0</v>
      </c>
    </row>
    <row r="87" spans="2:40" ht="12" hidden="1" customHeight="1" outlineLevel="2">
      <c r="B87" s="245"/>
      <c r="C87" s="213" t="s">
        <v>768</v>
      </c>
      <c r="D87" s="213"/>
      <c r="E87" s="213"/>
      <c r="F87" s="213"/>
      <c r="G87" s="213"/>
      <c r="H87" s="213"/>
      <c r="I87" s="213"/>
      <c r="J87" s="213"/>
      <c r="K87" s="213"/>
      <c r="L87" s="213"/>
      <c r="M87" s="213"/>
      <c r="N87" s="213"/>
      <c r="O87" s="213"/>
      <c r="P87" s="213"/>
      <c r="Q87" s="213"/>
      <c r="R87" s="213"/>
      <c r="S87" s="213"/>
      <c r="T87" s="211">
        <f>INDEX($C$44:$AN$66,MATCH("New Customers One-Time",$C$44:$C$66,0),MATCH($C87,$C$44:$AN$44,0))</f>
        <v>0</v>
      </c>
      <c r="U87" s="211">
        <f t="shared" ref="U87:AN87" si="74">$T$87*(E70)</f>
        <v>0</v>
      </c>
      <c r="V87" s="211">
        <f t="shared" si="74"/>
        <v>0</v>
      </c>
      <c r="W87" s="211">
        <f t="shared" si="74"/>
        <v>0</v>
      </c>
      <c r="X87" s="211">
        <f t="shared" si="74"/>
        <v>0</v>
      </c>
      <c r="Y87" s="211">
        <f t="shared" si="74"/>
        <v>0</v>
      </c>
      <c r="Z87" s="211">
        <f t="shared" si="74"/>
        <v>0</v>
      </c>
      <c r="AA87" s="211">
        <f t="shared" si="74"/>
        <v>0</v>
      </c>
      <c r="AB87" s="211">
        <f t="shared" si="74"/>
        <v>0</v>
      </c>
      <c r="AC87" s="211">
        <f t="shared" si="74"/>
        <v>0</v>
      </c>
      <c r="AD87" s="211">
        <f t="shared" si="74"/>
        <v>0</v>
      </c>
      <c r="AE87" s="211">
        <f t="shared" si="74"/>
        <v>0</v>
      </c>
      <c r="AF87" s="211">
        <f t="shared" si="74"/>
        <v>0</v>
      </c>
      <c r="AG87" s="211">
        <f t="shared" si="74"/>
        <v>0</v>
      </c>
      <c r="AH87" s="211">
        <f t="shared" si="74"/>
        <v>0</v>
      </c>
      <c r="AI87" s="211">
        <f t="shared" si="74"/>
        <v>0</v>
      </c>
      <c r="AJ87" s="211">
        <f t="shared" si="74"/>
        <v>0</v>
      </c>
      <c r="AK87" s="211">
        <f t="shared" si="74"/>
        <v>0</v>
      </c>
      <c r="AL87" s="211">
        <f t="shared" si="74"/>
        <v>0</v>
      </c>
      <c r="AM87" s="211">
        <f t="shared" si="74"/>
        <v>0</v>
      </c>
      <c r="AN87" s="211">
        <f t="shared" si="74"/>
        <v>0</v>
      </c>
    </row>
    <row r="88" spans="2:40" ht="12" hidden="1" customHeight="1" outlineLevel="2">
      <c r="B88" s="245"/>
      <c r="C88" s="213" t="s">
        <v>769</v>
      </c>
      <c r="D88" s="213"/>
      <c r="E88" s="213"/>
      <c r="F88" s="213"/>
      <c r="G88" s="213"/>
      <c r="H88" s="213"/>
      <c r="I88" s="213"/>
      <c r="J88" s="213"/>
      <c r="K88" s="213"/>
      <c r="L88" s="213"/>
      <c r="M88" s="213"/>
      <c r="N88" s="213"/>
      <c r="O88" s="213"/>
      <c r="P88" s="213"/>
      <c r="Q88" s="213"/>
      <c r="R88" s="213"/>
      <c r="S88" s="213"/>
      <c r="T88" s="213"/>
      <c r="U88" s="211">
        <f>INDEX($C$44:$AN$66,MATCH("New Customers One-Time",$C$44:$C$66,0),MATCH($C88,$C$44:$AN$44,0))</f>
        <v>0</v>
      </c>
      <c r="V88" s="211">
        <f t="shared" ref="V88:AN88" si="75">$U$88*(E70)</f>
        <v>0</v>
      </c>
      <c r="W88" s="211">
        <f t="shared" si="75"/>
        <v>0</v>
      </c>
      <c r="X88" s="211">
        <f t="shared" si="75"/>
        <v>0</v>
      </c>
      <c r="Y88" s="211">
        <f t="shared" si="75"/>
        <v>0</v>
      </c>
      <c r="Z88" s="211">
        <f t="shared" si="75"/>
        <v>0</v>
      </c>
      <c r="AA88" s="211">
        <f t="shared" si="75"/>
        <v>0</v>
      </c>
      <c r="AB88" s="211">
        <f t="shared" si="75"/>
        <v>0</v>
      </c>
      <c r="AC88" s="211">
        <f t="shared" si="75"/>
        <v>0</v>
      </c>
      <c r="AD88" s="211">
        <f t="shared" si="75"/>
        <v>0</v>
      </c>
      <c r="AE88" s="211">
        <f t="shared" si="75"/>
        <v>0</v>
      </c>
      <c r="AF88" s="211">
        <f t="shared" si="75"/>
        <v>0</v>
      </c>
      <c r="AG88" s="211">
        <f t="shared" si="75"/>
        <v>0</v>
      </c>
      <c r="AH88" s="211">
        <f t="shared" si="75"/>
        <v>0</v>
      </c>
      <c r="AI88" s="211">
        <f t="shared" si="75"/>
        <v>0</v>
      </c>
      <c r="AJ88" s="211">
        <f t="shared" si="75"/>
        <v>0</v>
      </c>
      <c r="AK88" s="211">
        <f t="shared" si="75"/>
        <v>0</v>
      </c>
      <c r="AL88" s="211">
        <f t="shared" si="75"/>
        <v>0</v>
      </c>
      <c r="AM88" s="211">
        <f t="shared" si="75"/>
        <v>0</v>
      </c>
      <c r="AN88" s="211">
        <f t="shared" si="75"/>
        <v>0</v>
      </c>
    </row>
    <row r="89" spans="2:40" ht="12" hidden="1" customHeight="1" outlineLevel="2">
      <c r="B89" s="245"/>
      <c r="C89" s="213" t="s">
        <v>770</v>
      </c>
      <c r="D89" s="213"/>
      <c r="E89" s="213"/>
      <c r="F89" s="213"/>
      <c r="G89" s="213"/>
      <c r="H89" s="213"/>
      <c r="I89" s="213"/>
      <c r="J89" s="213"/>
      <c r="K89" s="213"/>
      <c r="L89" s="213"/>
      <c r="M89" s="213"/>
      <c r="N89" s="213"/>
      <c r="O89" s="213"/>
      <c r="P89" s="213"/>
      <c r="Q89" s="213"/>
      <c r="R89" s="213"/>
      <c r="S89" s="213"/>
      <c r="T89" s="213"/>
      <c r="U89" s="213"/>
      <c r="V89" s="211">
        <f>INDEX($C$44:$AN$66,MATCH("New Customers One-Time",$C$44:$C$66,0),MATCH($C89,$C$44:$AN$44,0))</f>
        <v>0</v>
      </c>
      <c r="W89" s="211">
        <f t="shared" ref="W89:AN89" si="76">$V$89*(E70)</f>
        <v>0</v>
      </c>
      <c r="X89" s="211">
        <f t="shared" si="76"/>
        <v>0</v>
      </c>
      <c r="Y89" s="211">
        <f t="shared" si="76"/>
        <v>0</v>
      </c>
      <c r="Z89" s="211">
        <f t="shared" si="76"/>
        <v>0</v>
      </c>
      <c r="AA89" s="211">
        <f t="shared" si="76"/>
        <v>0</v>
      </c>
      <c r="AB89" s="211">
        <f t="shared" si="76"/>
        <v>0</v>
      </c>
      <c r="AC89" s="211">
        <f t="shared" si="76"/>
        <v>0</v>
      </c>
      <c r="AD89" s="211">
        <f t="shared" si="76"/>
        <v>0</v>
      </c>
      <c r="AE89" s="211">
        <f t="shared" si="76"/>
        <v>0</v>
      </c>
      <c r="AF89" s="211">
        <f t="shared" si="76"/>
        <v>0</v>
      </c>
      <c r="AG89" s="211">
        <f t="shared" si="76"/>
        <v>0</v>
      </c>
      <c r="AH89" s="211">
        <f t="shared" si="76"/>
        <v>0</v>
      </c>
      <c r="AI89" s="211">
        <f t="shared" si="76"/>
        <v>0</v>
      </c>
      <c r="AJ89" s="211">
        <f t="shared" si="76"/>
        <v>0</v>
      </c>
      <c r="AK89" s="211">
        <f t="shared" si="76"/>
        <v>0</v>
      </c>
      <c r="AL89" s="211">
        <f t="shared" si="76"/>
        <v>0</v>
      </c>
      <c r="AM89" s="211">
        <f t="shared" si="76"/>
        <v>0</v>
      </c>
      <c r="AN89" s="211">
        <f t="shared" si="76"/>
        <v>0</v>
      </c>
    </row>
    <row r="90" spans="2:40" ht="12" hidden="1" customHeight="1" outlineLevel="2">
      <c r="B90" s="245"/>
      <c r="C90" s="213" t="s">
        <v>771</v>
      </c>
      <c r="D90" s="213"/>
      <c r="E90" s="213"/>
      <c r="F90" s="213"/>
      <c r="G90" s="213"/>
      <c r="H90" s="213"/>
      <c r="I90" s="213"/>
      <c r="J90" s="213"/>
      <c r="K90" s="213"/>
      <c r="L90" s="213"/>
      <c r="M90" s="213"/>
      <c r="N90" s="213"/>
      <c r="O90" s="213"/>
      <c r="P90" s="213"/>
      <c r="Q90" s="213"/>
      <c r="R90" s="213"/>
      <c r="S90" s="213"/>
      <c r="T90" s="213"/>
      <c r="U90" s="213"/>
      <c r="V90" s="213"/>
      <c r="W90" s="211">
        <f>INDEX($C$44:$AN$66,MATCH("New Customers One-Time",$C$44:$C$66,0),MATCH($C90,$C$44:$AN$44,0))</f>
        <v>0</v>
      </c>
      <c r="X90" s="211">
        <f t="shared" ref="X90:AN90" si="77">$W$90*(E70)</f>
        <v>0</v>
      </c>
      <c r="Y90" s="211">
        <f t="shared" si="77"/>
        <v>0</v>
      </c>
      <c r="Z90" s="211">
        <f t="shared" si="77"/>
        <v>0</v>
      </c>
      <c r="AA90" s="211">
        <f t="shared" si="77"/>
        <v>0</v>
      </c>
      <c r="AB90" s="211">
        <f t="shared" si="77"/>
        <v>0</v>
      </c>
      <c r="AC90" s="211">
        <f t="shared" si="77"/>
        <v>0</v>
      </c>
      <c r="AD90" s="211">
        <f t="shared" si="77"/>
        <v>0</v>
      </c>
      <c r="AE90" s="211">
        <f t="shared" si="77"/>
        <v>0</v>
      </c>
      <c r="AF90" s="211">
        <f t="shared" si="77"/>
        <v>0</v>
      </c>
      <c r="AG90" s="211">
        <f t="shared" si="77"/>
        <v>0</v>
      </c>
      <c r="AH90" s="211">
        <f t="shared" si="77"/>
        <v>0</v>
      </c>
      <c r="AI90" s="211">
        <f t="shared" si="77"/>
        <v>0</v>
      </c>
      <c r="AJ90" s="211">
        <f t="shared" si="77"/>
        <v>0</v>
      </c>
      <c r="AK90" s="211">
        <f t="shared" si="77"/>
        <v>0</v>
      </c>
      <c r="AL90" s="211">
        <f t="shared" si="77"/>
        <v>0</v>
      </c>
      <c r="AM90" s="211">
        <f t="shared" si="77"/>
        <v>0</v>
      </c>
      <c r="AN90" s="211">
        <f t="shared" si="77"/>
        <v>0</v>
      </c>
    </row>
    <row r="91" spans="2:40" ht="12" hidden="1" customHeight="1" outlineLevel="2">
      <c r="B91" s="245"/>
      <c r="C91" s="213" t="s">
        <v>772</v>
      </c>
      <c r="D91" s="213"/>
      <c r="E91" s="213"/>
      <c r="F91" s="213"/>
      <c r="G91" s="213"/>
      <c r="H91" s="213"/>
      <c r="I91" s="213"/>
      <c r="J91" s="213"/>
      <c r="K91" s="213"/>
      <c r="L91" s="213"/>
      <c r="M91" s="213"/>
      <c r="N91" s="213"/>
      <c r="O91" s="213"/>
      <c r="P91" s="213"/>
      <c r="Q91" s="213"/>
      <c r="R91" s="213"/>
      <c r="S91" s="213"/>
      <c r="T91" s="213"/>
      <c r="U91" s="213"/>
      <c r="V91" s="213"/>
      <c r="W91" s="213"/>
      <c r="X91" s="211">
        <f>INDEX($C$44:$AN$66,MATCH("New Customers One-Time",$C$44:$C$66,0),MATCH($C91,$C$44:$AN$44,0))</f>
        <v>0</v>
      </c>
      <c r="Y91" s="211">
        <f t="shared" ref="Y91:AN91" si="78">$X$91*(E70)</f>
        <v>0</v>
      </c>
      <c r="Z91" s="211">
        <f t="shared" si="78"/>
        <v>0</v>
      </c>
      <c r="AA91" s="211">
        <f t="shared" si="78"/>
        <v>0</v>
      </c>
      <c r="AB91" s="211">
        <f t="shared" si="78"/>
        <v>0</v>
      </c>
      <c r="AC91" s="211">
        <f t="shared" si="78"/>
        <v>0</v>
      </c>
      <c r="AD91" s="211">
        <f t="shared" si="78"/>
        <v>0</v>
      </c>
      <c r="AE91" s="211">
        <f t="shared" si="78"/>
        <v>0</v>
      </c>
      <c r="AF91" s="211">
        <f t="shared" si="78"/>
        <v>0</v>
      </c>
      <c r="AG91" s="211">
        <f t="shared" si="78"/>
        <v>0</v>
      </c>
      <c r="AH91" s="211">
        <f t="shared" si="78"/>
        <v>0</v>
      </c>
      <c r="AI91" s="211">
        <f t="shared" si="78"/>
        <v>0</v>
      </c>
      <c r="AJ91" s="211">
        <f t="shared" si="78"/>
        <v>0</v>
      </c>
      <c r="AK91" s="211">
        <f t="shared" si="78"/>
        <v>0</v>
      </c>
      <c r="AL91" s="211">
        <f t="shared" si="78"/>
        <v>0</v>
      </c>
      <c r="AM91" s="211">
        <f t="shared" si="78"/>
        <v>0</v>
      </c>
      <c r="AN91" s="211">
        <f t="shared" si="78"/>
        <v>0</v>
      </c>
    </row>
    <row r="92" spans="2:40" ht="12" hidden="1" customHeight="1" outlineLevel="2">
      <c r="B92" s="245"/>
      <c r="C92" s="213" t="s">
        <v>773</v>
      </c>
      <c r="D92" s="213"/>
      <c r="E92" s="213"/>
      <c r="F92" s="213"/>
      <c r="G92" s="213"/>
      <c r="H92" s="213"/>
      <c r="I92" s="213"/>
      <c r="J92" s="213"/>
      <c r="K92" s="213"/>
      <c r="L92" s="213"/>
      <c r="M92" s="213"/>
      <c r="N92" s="213"/>
      <c r="O92" s="213"/>
      <c r="P92" s="213"/>
      <c r="Q92" s="213"/>
      <c r="R92" s="213"/>
      <c r="S92" s="213"/>
      <c r="T92" s="213"/>
      <c r="U92" s="213"/>
      <c r="V92" s="213"/>
      <c r="W92" s="213"/>
      <c r="X92" s="213"/>
      <c r="Y92" s="211">
        <f>INDEX($C$44:$AN$66,MATCH("New Customers One-Time",$C$44:$C$66,0),MATCH($C92,$C$44:$AN$44,0))</f>
        <v>0</v>
      </c>
      <c r="Z92" s="211">
        <f t="shared" ref="Z92:AN92" si="79">$Y$92*(E70)</f>
        <v>0</v>
      </c>
      <c r="AA92" s="211">
        <f t="shared" si="79"/>
        <v>0</v>
      </c>
      <c r="AB92" s="211">
        <f t="shared" si="79"/>
        <v>0</v>
      </c>
      <c r="AC92" s="211">
        <f t="shared" si="79"/>
        <v>0</v>
      </c>
      <c r="AD92" s="211">
        <f t="shared" si="79"/>
        <v>0</v>
      </c>
      <c r="AE92" s="211">
        <f t="shared" si="79"/>
        <v>0</v>
      </c>
      <c r="AF92" s="211">
        <f t="shared" si="79"/>
        <v>0</v>
      </c>
      <c r="AG92" s="211">
        <f t="shared" si="79"/>
        <v>0</v>
      </c>
      <c r="AH92" s="211">
        <f t="shared" si="79"/>
        <v>0</v>
      </c>
      <c r="AI92" s="211">
        <f t="shared" si="79"/>
        <v>0</v>
      </c>
      <c r="AJ92" s="211">
        <f t="shared" si="79"/>
        <v>0</v>
      </c>
      <c r="AK92" s="211">
        <f t="shared" si="79"/>
        <v>0</v>
      </c>
      <c r="AL92" s="211">
        <f t="shared" si="79"/>
        <v>0</v>
      </c>
      <c r="AM92" s="211">
        <f t="shared" si="79"/>
        <v>0</v>
      </c>
      <c r="AN92" s="211">
        <f t="shared" si="79"/>
        <v>0</v>
      </c>
    </row>
    <row r="93" spans="2:40" ht="12" hidden="1" customHeight="1" outlineLevel="2">
      <c r="B93" s="245"/>
      <c r="C93" s="213" t="s">
        <v>774</v>
      </c>
      <c r="D93" s="213"/>
      <c r="E93" s="213"/>
      <c r="F93" s="213"/>
      <c r="G93" s="213"/>
      <c r="H93" s="213"/>
      <c r="I93" s="213"/>
      <c r="J93" s="213"/>
      <c r="K93" s="213"/>
      <c r="L93" s="213"/>
      <c r="M93" s="213"/>
      <c r="N93" s="213"/>
      <c r="O93" s="213"/>
      <c r="P93" s="213"/>
      <c r="Q93" s="213"/>
      <c r="R93" s="213"/>
      <c r="S93" s="213"/>
      <c r="T93" s="213"/>
      <c r="U93" s="213"/>
      <c r="V93" s="213"/>
      <c r="W93" s="213"/>
      <c r="X93" s="213"/>
      <c r="Y93" s="213"/>
      <c r="Z93" s="211">
        <f>INDEX($C$44:$AN$66,MATCH("New Customers One-Time",$C$44:$C$66,0),MATCH($C93,$C$44:$AN$44,0))</f>
        <v>0</v>
      </c>
      <c r="AA93" s="211">
        <f t="shared" ref="AA93:AN93" si="80">$Z$93*(E70)</f>
        <v>0</v>
      </c>
      <c r="AB93" s="211">
        <f t="shared" si="80"/>
        <v>0</v>
      </c>
      <c r="AC93" s="211">
        <f t="shared" si="80"/>
        <v>0</v>
      </c>
      <c r="AD93" s="211">
        <f t="shared" si="80"/>
        <v>0</v>
      </c>
      <c r="AE93" s="211">
        <f t="shared" si="80"/>
        <v>0</v>
      </c>
      <c r="AF93" s="211">
        <f t="shared" si="80"/>
        <v>0</v>
      </c>
      <c r="AG93" s="211">
        <f t="shared" si="80"/>
        <v>0</v>
      </c>
      <c r="AH93" s="211">
        <f t="shared" si="80"/>
        <v>0</v>
      </c>
      <c r="AI93" s="211">
        <f t="shared" si="80"/>
        <v>0</v>
      </c>
      <c r="AJ93" s="211">
        <f t="shared" si="80"/>
        <v>0</v>
      </c>
      <c r="AK93" s="211">
        <f t="shared" si="80"/>
        <v>0</v>
      </c>
      <c r="AL93" s="211">
        <f t="shared" si="80"/>
        <v>0</v>
      </c>
      <c r="AM93" s="211">
        <f t="shared" si="80"/>
        <v>0</v>
      </c>
      <c r="AN93" s="211">
        <f t="shared" si="80"/>
        <v>0</v>
      </c>
    </row>
    <row r="94" spans="2:40" ht="12" hidden="1" customHeight="1" outlineLevel="2">
      <c r="B94" s="245"/>
      <c r="C94" s="213" t="s">
        <v>775</v>
      </c>
      <c r="D94" s="213"/>
      <c r="E94" s="213"/>
      <c r="F94" s="213"/>
      <c r="G94" s="213"/>
      <c r="H94" s="213"/>
      <c r="I94" s="213"/>
      <c r="J94" s="213"/>
      <c r="K94" s="213"/>
      <c r="L94" s="213"/>
      <c r="M94" s="213"/>
      <c r="N94" s="213"/>
      <c r="O94" s="213"/>
      <c r="P94" s="213"/>
      <c r="Q94" s="213"/>
      <c r="R94" s="213"/>
      <c r="S94" s="213"/>
      <c r="T94" s="213"/>
      <c r="U94" s="213"/>
      <c r="V94" s="213"/>
      <c r="W94" s="213"/>
      <c r="X94" s="213"/>
      <c r="Y94" s="213"/>
      <c r="Z94" s="213"/>
      <c r="AA94" s="211">
        <f>INDEX($C$44:$AN$66,MATCH("New Customers One-Time",$C$44:$C$66,0),MATCH($C94,$C$44:$AN$44,0))</f>
        <v>0</v>
      </c>
      <c r="AB94" s="211">
        <f t="shared" ref="AB94:AN94" si="81">$AA$94*(E70)</f>
        <v>0</v>
      </c>
      <c r="AC94" s="211">
        <f t="shared" si="81"/>
        <v>0</v>
      </c>
      <c r="AD94" s="211">
        <f t="shared" si="81"/>
        <v>0</v>
      </c>
      <c r="AE94" s="211">
        <f t="shared" si="81"/>
        <v>0</v>
      </c>
      <c r="AF94" s="211">
        <f t="shared" si="81"/>
        <v>0</v>
      </c>
      <c r="AG94" s="211">
        <f t="shared" si="81"/>
        <v>0</v>
      </c>
      <c r="AH94" s="211">
        <f t="shared" si="81"/>
        <v>0</v>
      </c>
      <c r="AI94" s="211">
        <f t="shared" si="81"/>
        <v>0</v>
      </c>
      <c r="AJ94" s="211">
        <f t="shared" si="81"/>
        <v>0</v>
      </c>
      <c r="AK94" s="211">
        <f t="shared" si="81"/>
        <v>0</v>
      </c>
      <c r="AL94" s="211">
        <f t="shared" si="81"/>
        <v>0</v>
      </c>
      <c r="AM94" s="211">
        <f t="shared" si="81"/>
        <v>0</v>
      </c>
      <c r="AN94" s="211">
        <f t="shared" si="81"/>
        <v>0</v>
      </c>
    </row>
    <row r="95" spans="2:40" ht="12" hidden="1" customHeight="1" outlineLevel="2">
      <c r="B95" s="245"/>
      <c r="C95" s="213" t="s">
        <v>776</v>
      </c>
      <c r="D95" s="213"/>
      <c r="E95" s="213"/>
      <c r="F95" s="213"/>
      <c r="G95" s="213"/>
      <c r="H95" s="213"/>
      <c r="I95" s="213"/>
      <c r="J95" s="213"/>
      <c r="K95" s="213"/>
      <c r="L95" s="213"/>
      <c r="M95" s="213"/>
      <c r="N95" s="213"/>
      <c r="O95" s="213"/>
      <c r="P95" s="213"/>
      <c r="Q95" s="213"/>
      <c r="R95" s="213"/>
      <c r="S95" s="213"/>
      <c r="T95" s="213"/>
      <c r="U95" s="213"/>
      <c r="V95" s="213"/>
      <c r="W95" s="213"/>
      <c r="X95" s="213"/>
      <c r="Y95" s="213"/>
      <c r="Z95" s="213"/>
      <c r="AA95" s="213"/>
      <c r="AB95" s="211">
        <f>INDEX($C$44:$AN$66,MATCH("New Customers One-Time",$C$44:$C$66,0),MATCH($C95,$C$44:$AN$44,0))</f>
        <v>0</v>
      </c>
      <c r="AC95" s="211">
        <f t="shared" ref="AC95:AN95" si="82">$AB$95*(E70)</f>
        <v>0</v>
      </c>
      <c r="AD95" s="211">
        <f t="shared" si="82"/>
        <v>0</v>
      </c>
      <c r="AE95" s="211">
        <f t="shared" si="82"/>
        <v>0</v>
      </c>
      <c r="AF95" s="211">
        <f t="shared" si="82"/>
        <v>0</v>
      </c>
      <c r="AG95" s="211">
        <f t="shared" si="82"/>
        <v>0</v>
      </c>
      <c r="AH95" s="211">
        <f t="shared" si="82"/>
        <v>0</v>
      </c>
      <c r="AI95" s="211">
        <f t="shared" si="82"/>
        <v>0</v>
      </c>
      <c r="AJ95" s="211">
        <f t="shared" si="82"/>
        <v>0</v>
      </c>
      <c r="AK95" s="211">
        <f t="shared" si="82"/>
        <v>0</v>
      </c>
      <c r="AL95" s="211">
        <f t="shared" si="82"/>
        <v>0</v>
      </c>
      <c r="AM95" s="211">
        <f t="shared" si="82"/>
        <v>0</v>
      </c>
      <c r="AN95" s="211">
        <f t="shared" si="82"/>
        <v>0</v>
      </c>
    </row>
    <row r="96" spans="2:40" ht="12" hidden="1" customHeight="1" outlineLevel="2">
      <c r="B96" s="245"/>
      <c r="C96" s="213" t="s">
        <v>777</v>
      </c>
      <c r="D96" s="213"/>
      <c r="E96" s="213"/>
      <c r="F96" s="213"/>
      <c r="G96" s="213"/>
      <c r="H96" s="213"/>
      <c r="I96" s="213"/>
      <c r="J96" s="213"/>
      <c r="K96" s="213"/>
      <c r="L96" s="213"/>
      <c r="M96" s="213"/>
      <c r="N96" s="213"/>
      <c r="O96" s="213"/>
      <c r="P96" s="213"/>
      <c r="Q96" s="213"/>
      <c r="R96" s="213"/>
      <c r="S96" s="213"/>
      <c r="T96" s="213"/>
      <c r="U96" s="213"/>
      <c r="V96" s="213"/>
      <c r="W96" s="213"/>
      <c r="X96" s="213"/>
      <c r="Y96" s="213"/>
      <c r="Z96" s="213"/>
      <c r="AA96" s="213"/>
      <c r="AB96" s="211"/>
      <c r="AC96" s="211">
        <f>INDEX($C$44:$AN$66,MATCH("New Customers One-Time",$C$44:$C$66,0),MATCH($C96,$C$44:$AN$44,0))</f>
        <v>0</v>
      </c>
      <c r="AD96" s="211">
        <f t="shared" ref="AD96:AN96" si="83">$AC$96*(E70)</f>
        <v>0</v>
      </c>
      <c r="AE96" s="211">
        <f t="shared" si="83"/>
        <v>0</v>
      </c>
      <c r="AF96" s="211">
        <f t="shared" si="83"/>
        <v>0</v>
      </c>
      <c r="AG96" s="211">
        <f t="shared" si="83"/>
        <v>0</v>
      </c>
      <c r="AH96" s="211">
        <f t="shared" si="83"/>
        <v>0</v>
      </c>
      <c r="AI96" s="211">
        <f t="shared" si="83"/>
        <v>0</v>
      </c>
      <c r="AJ96" s="211">
        <f t="shared" si="83"/>
        <v>0</v>
      </c>
      <c r="AK96" s="211">
        <f t="shared" si="83"/>
        <v>0</v>
      </c>
      <c r="AL96" s="211">
        <f t="shared" si="83"/>
        <v>0</v>
      </c>
      <c r="AM96" s="211">
        <f t="shared" si="83"/>
        <v>0</v>
      </c>
      <c r="AN96" s="211">
        <f t="shared" si="83"/>
        <v>0</v>
      </c>
    </row>
    <row r="97" spans="2:40" ht="12" hidden="1" customHeight="1" outlineLevel="2">
      <c r="B97" s="245"/>
      <c r="C97" s="213" t="s">
        <v>778</v>
      </c>
      <c r="D97" s="213"/>
      <c r="E97" s="213"/>
      <c r="F97" s="213"/>
      <c r="G97" s="213"/>
      <c r="H97" s="213"/>
      <c r="I97" s="213"/>
      <c r="J97" s="213"/>
      <c r="K97" s="213"/>
      <c r="L97" s="213"/>
      <c r="M97" s="213"/>
      <c r="N97" s="213"/>
      <c r="O97" s="213"/>
      <c r="P97" s="213"/>
      <c r="Q97" s="213"/>
      <c r="R97" s="213"/>
      <c r="S97" s="213"/>
      <c r="T97" s="213"/>
      <c r="U97" s="213"/>
      <c r="V97" s="213"/>
      <c r="W97" s="213"/>
      <c r="X97" s="213"/>
      <c r="Y97" s="213"/>
      <c r="Z97" s="213"/>
      <c r="AA97" s="213"/>
      <c r="AB97" s="211"/>
      <c r="AC97" s="211"/>
      <c r="AD97" s="211">
        <f>INDEX($C$44:$AN$66,MATCH("New Customers One-Time",$C$44:$C$66,0),MATCH($C97,$C$44:$AN$44,0))</f>
        <v>0</v>
      </c>
      <c r="AE97" s="211">
        <f t="shared" ref="AE97:AN97" si="84">$AD$97*(E70)</f>
        <v>0</v>
      </c>
      <c r="AF97" s="211">
        <f t="shared" si="84"/>
        <v>0</v>
      </c>
      <c r="AG97" s="211">
        <f t="shared" si="84"/>
        <v>0</v>
      </c>
      <c r="AH97" s="211">
        <f t="shared" si="84"/>
        <v>0</v>
      </c>
      <c r="AI97" s="211">
        <f t="shared" si="84"/>
        <v>0</v>
      </c>
      <c r="AJ97" s="211">
        <f t="shared" si="84"/>
        <v>0</v>
      </c>
      <c r="AK97" s="211">
        <f t="shared" si="84"/>
        <v>0</v>
      </c>
      <c r="AL97" s="211">
        <f t="shared" si="84"/>
        <v>0</v>
      </c>
      <c r="AM97" s="211">
        <f t="shared" si="84"/>
        <v>0</v>
      </c>
      <c r="AN97" s="211">
        <f t="shared" si="84"/>
        <v>0</v>
      </c>
    </row>
    <row r="98" spans="2:40" ht="12" hidden="1" customHeight="1" outlineLevel="2">
      <c r="B98" s="245"/>
      <c r="C98" s="213" t="s">
        <v>779</v>
      </c>
      <c r="D98" s="213"/>
      <c r="E98" s="213"/>
      <c r="F98" s="213"/>
      <c r="G98" s="213"/>
      <c r="H98" s="213"/>
      <c r="I98" s="213"/>
      <c r="J98" s="213"/>
      <c r="K98" s="213"/>
      <c r="L98" s="213"/>
      <c r="M98" s="213"/>
      <c r="N98" s="213"/>
      <c r="O98" s="213"/>
      <c r="P98" s="213"/>
      <c r="Q98" s="213"/>
      <c r="R98" s="213"/>
      <c r="S98" s="213"/>
      <c r="T98" s="213"/>
      <c r="U98" s="213"/>
      <c r="V98" s="213"/>
      <c r="W98" s="213"/>
      <c r="X98" s="213"/>
      <c r="Y98" s="213"/>
      <c r="Z98" s="213"/>
      <c r="AA98" s="213"/>
      <c r="AB98" s="211"/>
      <c r="AC98" s="211"/>
      <c r="AD98" s="211"/>
      <c r="AE98" s="211">
        <f>INDEX($C$44:$AN$66,MATCH("New Customers One-Time",$C$44:$C$66,0),MATCH($C98,$C$44:$AN$44,0))</f>
        <v>0</v>
      </c>
      <c r="AF98" s="211">
        <f t="shared" ref="AF98:AN98" si="85">$AE$98*(E70)</f>
        <v>0</v>
      </c>
      <c r="AG98" s="211">
        <f t="shared" si="85"/>
        <v>0</v>
      </c>
      <c r="AH98" s="211">
        <f t="shared" si="85"/>
        <v>0</v>
      </c>
      <c r="AI98" s="211">
        <f t="shared" si="85"/>
        <v>0</v>
      </c>
      <c r="AJ98" s="211">
        <f t="shared" si="85"/>
        <v>0</v>
      </c>
      <c r="AK98" s="211">
        <f t="shared" si="85"/>
        <v>0</v>
      </c>
      <c r="AL98" s="211">
        <f t="shared" si="85"/>
        <v>0</v>
      </c>
      <c r="AM98" s="211">
        <f t="shared" si="85"/>
        <v>0</v>
      </c>
      <c r="AN98" s="211">
        <f t="shared" si="85"/>
        <v>0</v>
      </c>
    </row>
    <row r="99" spans="2:40" ht="12" hidden="1" customHeight="1" outlineLevel="2">
      <c r="B99" s="245"/>
      <c r="C99" s="213" t="s">
        <v>780</v>
      </c>
      <c r="D99" s="213"/>
      <c r="E99" s="213"/>
      <c r="F99" s="213"/>
      <c r="G99" s="213"/>
      <c r="H99" s="213"/>
      <c r="I99" s="213"/>
      <c r="J99" s="213"/>
      <c r="K99" s="213"/>
      <c r="L99" s="213"/>
      <c r="M99" s="213"/>
      <c r="N99" s="213"/>
      <c r="O99" s="213"/>
      <c r="P99" s="213"/>
      <c r="Q99" s="213"/>
      <c r="R99" s="213"/>
      <c r="S99" s="213"/>
      <c r="T99" s="213"/>
      <c r="U99" s="213"/>
      <c r="V99" s="213"/>
      <c r="W99" s="213"/>
      <c r="X99" s="213"/>
      <c r="Y99" s="213"/>
      <c r="Z99" s="213"/>
      <c r="AA99" s="213"/>
      <c r="AB99" s="211"/>
      <c r="AC99" s="211"/>
      <c r="AD99" s="211"/>
      <c r="AE99" s="211"/>
      <c r="AF99" s="211">
        <f>INDEX($C$44:$AN$66,MATCH("New Customers One-Time",$C$44:$C$66,0),MATCH($C99,$C$44:$AN$44,0))</f>
        <v>0</v>
      </c>
      <c r="AG99" s="211">
        <f t="shared" ref="AG99:AN99" si="86">$AF$99*(E70)</f>
        <v>0</v>
      </c>
      <c r="AH99" s="211">
        <f t="shared" si="86"/>
        <v>0</v>
      </c>
      <c r="AI99" s="211">
        <f t="shared" si="86"/>
        <v>0</v>
      </c>
      <c r="AJ99" s="211">
        <f t="shared" si="86"/>
        <v>0</v>
      </c>
      <c r="AK99" s="211">
        <f t="shared" si="86"/>
        <v>0</v>
      </c>
      <c r="AL99" s="211">
        <f t="shared" si="86"/>
        <v>0</v>
      </c>
      <c r="AM99" s="211">
        <f t="shared" si="86"/>
        <v>0</v>
      </c>
      <c r="AN99" s="211">
        <f t="shared" si="86"/>
        <v>0</v>
      </c>
    </row>
    <row r="100" spans="2:40" ht="12" hidden="1" customHeight="1" outlineLevel="2">
      <c r="B100" s="245"/>
      <c r="C100" s="213" t="s">
        <v>781</v>
      </c>
      <c r="D100" s="213"/>
      <c r="E100" s="213"/>
      <c r="F100" s="213"/>
      <c r="G100" s="213"/>
      <c r="H100" s="213"/>
      <c r="I100" s="213"/>
      <c r="J100" s="213"/>
      <c r="K100" s="213"/>
      <c r="L100" s="213"/>
      <c r="M100" s="213"/>
      <c r="N100" s="213"/>
      <c r="O100" s="213"/>
      <c r="P100" s="213"/>
      <c r="Q100" s="213"/>
      <c r="R100" s="213"/>
      <c r="S100" s="213"/>
      <c r="T100" s="213"/>
      <c r="U100" s="213"/>
      <c r="V100" s="213"/>
      <c r="W100" s="213"/>
      <c r="X100" s="213"/>
      <c r="Y100" s="213"/>
      <c r="Z100" s="213"/>
      <c r="AA100" s="213"/>
      <c r="AB100" s="211"/>
      <c r="AC100" s="211"/>
      <c r="AD100" s="211"/>
      <c r="AE100" s="211"/>
      <c r="AF100" s="211"/>
      <c r="AG100" s="211">
        <f>INDEX($C$44:$AN$66,MATCH("New Customers One-Time",$C$44:$C$66,0),MATCH($C100,$C$44:$AN$44,0))</f>
        <v>0</v>
      </c>
      <c r="AH100" s="211">
        <f t="shared" ref="AH100:AN100" si="87">$AG$100*(E70)</f>
        <v>0</v>
      </c>
      <c r="AI100" s="211">
        <f t="shared" si="87"/>
        <v>0</v>
      </c>
      <c r="AJ100" s="211">
        <f t="shared" si="87"/>
        <v>0</v>
      </c>
      <c r="AK100" s="211">
        <f t="shared" si="87"/>
        <v>0</v>
      </c>
      <c r="AL100" s="211">
        <f t="shared" si="87"/>
        <v>0</v>
      </c>
      <c r="AM100" s="211">
        <f t="shared" si="87"/>
        <v>0</v>
      </c>
      <c r="AN100" s="211">
        <f t="shared" si="87"/>
        <v>0</v>
      </c>
    </row>
    <row r="101" spans="2:40" ht="12" hidden="1" customHeight="1" outlineLevel="2">
      <c r="B101" s="245"/>
      <c r="C101" s="213" t="s">
        <v>782</v>
      </c>
      <c r="D101" s="213"/>
      <c r="E101" s="213"/>
      <c r="F101" s="213"/>
      <c r="G101" s="213"/>
      <c r="H101" s="213"/>
      <c r="I101" s="213"/>
      <c r="J101" s="213"/>
      <c r="K101" s="213"/>
      <c r="L101" s="213"/>
      <c r="M101" s="213"/>
      <c r="N101" s="213"/>
      <c r="O101" s="213"/>
      <c r="P101" s="213"/>
      <c r="Q101" s="213"/>
      <c r="R101" s="213"/>
      <c r="S101" s="213"/>
      <c r="T101" s="213"/>
      <c r="U101" s="213"/>
      <c r="V101" s="213"/>
      <c r="W101" s="213"/>
      <c r="X101" s="213"/>
      <c r="Y101" s="213"/>
      <c r="Z101" s="213"/>
      <c r="AA101" s="213"/>
      <c r="AB101" s="211"/>
      <c r="AC101" s="211"/>
      <c r="AD101" s="211"/>
      <c r="AE101" s="211"/>
      <c r="AF101" s="211"/>
      <c r="AG101" s="211"/>
      <c r="AH101" s="211">
        <f>INDEX($C$44:$AN$66,MATCH("New Customers One-Time",$C$44:$C$66,0),MATCH($C101,$C$44:$AN$44,0))</f>
        <v>0</v>
      </c>
      <c r="AI101" s="211">
        <f t="shared" ref="AI101:AN101" si="88">$AH$101*(E70)</f>
        <v>0</v>
      </c>
      <c r="AJ101" s="211">
        <f t="shared" si="88"/>
        <v>0</v>
      </c>
      <c r="AK101" s="211">
        <f t="shared" si="88"/>
        <v>0</v>
      </c>
      <c r="AL101" s="211">
        <f t="shared" si="88"/>
        <v>0</v>
      </c>
      <c r="AM101" s="211">
        <f t="shared" si="88"/>
        <v>0</v>
      </c>
      <c r="AN101" s="211">
        <f t="shared" si="88"/>
        <v>0</v>
      </c>
    </row>
    <row r="102" spans="2:40" ht="12" hidden="1" customHeight="1" outlineLevel="2">
      <c r="B102" s="245"/>
      <c r="C102" s="213" t="s">
        <v>783</v>
      </c>
      <c r="D102" s="213"/>
      <c r="E102" s="213"/>
      <c r="F102" s="213"/>
      <c r="G102" s="213"/>
      <c r="H102" s="213"/>
      <c r="I102" s="213"/>
      <c r="J102" s="213"/>
      <c r="K102" s="213"/>
      <c r="L102" s="213"/>
      <c r="M102" s="213"/>
      <c r="N102" s="213"/>
      <c r="O102" s="213"/>
      <c r="P102" s="213"/>
      <c r="Q102" s="213"/>
      <c r="R102" s="213"/>
      <c r="S102" s="213"/>
      <c r="T102" s="213"/>
      <c r="U102" s="213"/>
      <c r="V102" s="213"/>
      <c r="W102" s="213"/>
      <c r="X102" s="213"/>
      <c r="Y102" s="213"/>
      <c r="Z102" s="213"/>
      <c r="AA102" s="213"/>
      <c r="AB102" s="211"/>
      <c r="AC102" s="211"/>
      <c r="AD102" s="211"/>
      <c r="AE102" s="211"/>
      <c r="AF102" s="211"/>
      <c r="AG102" s="211"/>
      <c r="AH102" s="211"/>
      <c r="AI102" s="211">
        <f>INDEX($C$44:$AN$66,MATCH("New Customers One-Time",$C$44:$C$66,0),MATCH($C102,$C$44:$AN$44,0))</f>
        <v>0</v>
      </c>
      <c r="AJ102" s="211">
        <f>$AI$102*(E70)</f>
        <v>0</v>
      </c>
      <c r="AK102" s="211">
        <f>$AI$102*(F70)</f>
        <v>0</v>
      </c>
      <c r="AL102" s="211">
        <f>$AI$102*(G70)</f>
        <v>0</v>
      </c>
      <c r="AM102" s="211">
        <f>$AI$102*(H70)</f>
        <v>0</v>
      </c>
      <c r="AN102" s="211">
        <f>$AI$102*(I70)</f>
        <v>0</v>
      </c>
    </row>
    <row r="103" spans="2:40" ht="12" hidden="1" customHeight="1" outlineLevel="2">
      <c r="B103" s="245"/>
      <c r="C103" s="213" t="s">
        <v>784</v>
      </c>
      <c r="D103" s="213"/>
      <c r="E103" s="213"/>
      <c r="F103" s="213"/>
      <c r="G103" s="213"/>
      <c r="H103" s="213"/>
      <c r="I103" s="213"/>
      <c r="J103" s="213"/>
      <c r="K103" s="213"/>
      <c r="L103" s="213"/>
      <c r="M103" s="213"/>
      <c r="N103" s="213"/>
      <c r="O103" s="213"/>
      <c r="P103" s="213"/>
      <c r="Q103" s="213"/>
      <c r="R103" s="213"/>
      <c r="S103" s="213"/>
      <c r="T103" s="213"/>
      <c r="U103" s="213"/>
      <c r="V103" s="213"/>
      <c r="W103" s="213"/>
      <c r="X103" s="213"/>
      <c r="Y103" s="213"/>
      <c r="Z103" s="213"/>
      <c r="AA103" s="213"/>
      <c r="AB103" s="211"/>
      <c r="AC103" s="211"/>
      <c r="AD103" s="211"/>
      <c r="AE103" s="211"/>
      <c r="AF103" s="211"/>
      <c r="AG103" s="211"/>
      <c r="AH103" s="211"/>
      <c r="AI103" s="211"/>
      <c r="AJ103" s="211">
        <f>INDEX($C$44:$AN$66,MATCH("New Customers One-Time",$C$44:$C$66,0),MATCH($C103,$C$44:$AN$44,0))</f>
        <v>0</v>
      </c>
      <c r="AK103" s="211">
        <f>$AJ$103*(E70)</f>
        <v>0</v>
      </c>
      <c r="AL103" s="211">
        <f>$AJ$103*(F70)</f>
        <v>0</v>
      </c>
      <c r="AM103" s="211">
        <f>$AJ$103*(G70)</f>
        <v>0</v>
      </c>
      <c r="AN103" s="211">
        <f>$AJ$103*(H70)</f>
        <v>0</v>
      </c>
    </row>
    <row r="104" spans="2:40" ht="12" hidden="1" customHeight="1" outlineLevel="2">
      <c r="B104" s="245"/>
      <c r="C104" s="213" t="s">
        <v>785</v>
      </c>
      <c r="D104" s="213"/>
      <c r="E104" s="213"/>
      <c r="F104" s="213"/>
      <c r="G104" s="213"/>
      <c r="H104" s="213"/>
      <c r="I104" s="213"/>
      <c r="J104" s="213"/>
      <c r="K104" s="213"/>
      <c r="L104" s="213"/>
      <c r="M104" s="213"/>
      <c r="N104" s="213"/>
      <c r="O104" s="213"/>
      <c r="P104" s="213"/>
      <c r="Q104" s="213"/>
      <c r="R104" s="213"/>
      <c r="S104" s="213"/>
      <c r="T104" s="213"/>
      <c r="U104" s="213"/>
      <c r="V104" s="213"/>
      <c r="W104" s="213"/>
      <c r="X104" s="213"/>
      <c r="Y104" s="213"/>
      <c r="Z104" s="213"/>
      <c r="AA104" s="213"/>
      <c r="AB104" s="211"/>
      <c r="AC104" s="211"/>
      <c r="AD104" s="211"/>
      <c r="AE104" s="211"/>
      <c r="AF104" s="211"/>
      <c r="AG104" s="211"/>
      <c r="AH104" s="211"/>
      <c r="AI104" s="211"/>
      <c r="AJ104" s="211"/>
      <c r="AK104" s="211">
        <f>INDEX($C$44:$AN$66,MATCH("New Customers One-Time",$C$44:$C$66,0),MATCH($C104,$C$44:$AN$44,0))</f>
        <v>0</v>
      </c>
      <c r="AL104" s="211">
        <f>$AK$104*(E70)</f>
        <v>0</v>
      </c>
      <c r="AM104" s="211">
        <f>$AK$104*(F70)</f>
        <v>0</v>
      </c>
      <c r="AN104" s="211">
        <f>$AK$104*(G70)</f>
        <v>0</v>
      </c>
    </row>
    <row r="105" spans="2:40" ht="12" hidden="1" customHeight="1" outlineLevel="2">
      <c r="B105" s="245"/>
      <c r="C105" s="213" t="s">
        <v>786</v>
      </c>
      <c r="D105" s="213"/>
      <c r="E105" s="213"/>
      <c r="F105" s="213"/>
      <c r="G105" s="213"/>
      <c r="H105" s="213"/>
      <c r="I105" s="213"/>
      <c r="J105" s="213"/>
      <c r="K105" s="213"/>
      <c r="L105" s="213"/>
      <c r="M105" s="213"/>
      <c r="N105" s="213"/>
      <c r="O105" s="213"/>
      <c r="P105" s="213"/>
      <c r="Q105" s="213"/>
      <c r="R105" s="213"/>
      <c r="S105" s="213"/>
      <c r="T105" s="213"/>
      <c r="U105" s="213"/>
      <c r="V105" s="213"/>
      <c r="W105" s="213"/>
      <c r="X105" s="213"/>
      <c r="Y105" s="213"/>
      <c r="Z105" s="213"/>
      <c r="AA105" s="213"/>
      <c r="AB105" s="211"/>
      <c r="AC105" s="211"/>
      <c r="AD105" s="211"/>
      <c r="AE105" s="211"/>
      <c r="AF105" s="211"/>
      <c r="AG105" s="211"/>
      <c r="AH105" s="211"/>
      <c r="AI105" s="211"/>
      <c r="AJ105" s="211"/>
      <c r="AK105" s="211"/>
      <c r="AL105" s="211">
        <f>INDEX($C$44:$AN$66,MATCH("New Customers One-Time",$C$44:$C$66,0),MATCH($C105,$C$44:$AN$44,0))</f>
        <v>0</v>
      </c>
      <c r="AM105" s="211">
        <f>$AL$105*(E70)</f>
        <v>0</v>
      </c>
      <c r="AN105" s="211">
        <f>$AL$105*(F70)</f>
        <v>0</v>
      </c>
    </row>
    <row r="106" spans="2:40" ht="12" hidden="1" customHeight="1" outlineLevel="2">
      <c r="B106" s="245"/>
      <c r="C106" s="213" t="s">
        <v>787</v>
      </c>
      <c r="D106" s="213"/>
      <c r="E106" s="213"/>
      <c r="F106" s="213"/>
      <c r="G106" s="213"/>
      <c r="H106" s="213"/>
      <c r="I106" s="213"/>
      <c r="J106" s="213"/>
      <c r="K106" s="213"/>
      <c r="L106" s="213"/>
      <c r="M106" s="213"/>
      <c r="N106" s="213"/>
      <c r="O106" s="213"/>
      <c r="P106" s="213"/>
      <c r="Q106" s="213"/>
      <c r="R106" s="213"/>
      <c r="S106" s="213"/>
      <c r="T106" s="213"/>
      <c r="U106" s="213"/>
      <c r="V106" s="213"/>
      <c r="W106" s="213"/>
      <c r="X106" s="213"/>
      <c r="Y106" s="213"/>
      <c r="Z106" s="213"/>
      <c r="AA106" s="213"/>
      <c r="AB106" s="211"/>
      <c r="AC106" s="211"/>
      <c r="AD106" s="211"/>
      <c r="AE106" s="211"/>
      <c r="AF106" s="211"/>
      <c r="AG106" s="211"/>
      <c r="AH106" s="211"/>
      <c r="AI106" s="211"/>
      <c r="AJ106" s="211"/>
      <c r="AK106" s="211"/>
      <c r="AL106" s="211"/>
      <c r="AM106" s="211">
        <f>INDEX($C$44:$AN$66,MATCH("New Customers One-Time",$C$44:$C$66,0),MATCH($C106,$C$44:$AN$44,0))</f>
        <v>0</v>
      </c>
      <c r="AN106" s="211">
        <f>$AM$106*(E70)</f>
        <v>0</v>
      </c>
    </row>
    <row r="107" spans="2:40" ht="12" hidden="1" customHeight="1" outlineLevel="2">
      <c r="B107" s="245"/>
      <c r="C107" s="213" t="s">
        <v>788</v>
      </c>
      <c r="D107" s="213"/>
      <c r="E107" s="213"/>
      <c r="F107" s="213"/>
      <c r="G107" s="213"/>
      <c r="H107" s="213"/>
      <c r="I107" s="213"/>
      <c r="J107" s="213"/>
      <c r="K107" s="213"/>
      <c r="L107" s="213"/>
      <c r="M107" s="213"/>
      <c r="N107" s="213"/>
      <c r="O107" s="213"/>
      <c r="P107" s="213"/>
      <c r="Q107" s="213"/>
      <c r="R107" s="213"/>
      <c r="S107" s="213"/>
      <c r="T107" s="213"/>
      <c r="U107" s="213"/>
      <c r="V107" s="213"/>
      <c r="W107" s="213"/>
      <c r="X107" s="213"/>
      <c r="Y107" s="213"/>
      <c r="Z107" s="213"/>
      <c r="AA107" s="213"/>
      <c r="AB107" s="211"/>
      <c r="AC107" s="211"/>
      <c r="AD107" s="211"/>
      <c r="AE107" s="211"/>
      <c r="AF107" s="211"/>
      <c r="AG107" s="211"/>
      <c r="AH107" s="211"/>
      <c r="AI107" s="211"/>
      <c r="AJ107" s="211"/>
      <c r="AK107" s="211"/>
      <c r="AL107" s="211"/>
      <c r="AM107" s="211"/>
      <c r="AN107" s="211">
        <f>INDEX($C$44:$AN$66,MATCH("New Customers One-Time",$C$44:$C$66,0),MATCH($C107,$C$44:$AN$44,0))</f>
        <v>0</v>
      </c>
    </row>
    <row r="108" spans="2:40" ht="12" hidden="1" customHeight="1" outlineLevel="2">
      <c r="B108" s="245"/>
      <c r="C108" s="213"/>
      <c r="D108" s="213"/>
      <c r="E108" s="213"/>
      <c r="F108" s="213"/>
      <c r="G108" s="213"/>
      <c r="H108" s="213"/>
      <c r="I108" s="213"/>
      <c r="J108" s="213"/>
      <c r="K108" s="213"/>
      <c r="L108" s="213"/>
      <c r="M108" s="213"/>
      <c r="N108" s="213"/>
      <c r="O108" s="213"/>
      <c r="P108" s="213"/>
      <c r="Q108" s="213"/>
      <c r="R108" s="213"/>
      <c r="S108" s="213"/>
      <c r="T108" s="213"/>
      <c r="U108" s="213"/>
      <c r="V108" s="213"/>
      <c r="W108" s="213"/>
      <c r="X108" s="213"/>
      <c r="Y108" s="213"/>
      <c r="Z108" s="213"/>
      <c r="AA108" s="213"/>
      <c r="AB108" s="211"/>
      <c r="AC108" s="211"/>
      <c r="AD108" s="211"/>
      <c r="AE108" s="211"/>
      <c r="AF108" s="211"/>
      <c r="AG108" s="211"/>
      <c r="AH108" s="211"/>
      <c r="AI108" s="211"/>
      <c r="AJ108" s="211"/>
      <c r="AK108" s="211"/>
      <c r="AL108" s="211"/>
      <c r="AM108" s="211"/>
      <c r="AN108" s="211"/>
    </row>
    <row r="109" spans="2:40" ht="12" hidden="1" customHeight="1" outlineLevel="2">
      <c r="B109" s="245"/>
      <c r="C109" s="243" t="s">
        <v>853</v>
      </c>
      <c r="D109" s="213"/>
      <c r="E109" s="213"/>
      <c r="F109" s="213"/>
      <c r="G109" s="213"/>
      <c r="H109" s="213"/>
      <c r="I109" s="213"/>
      <c r="J109" s="213"/>
      <c r="K109" s="213"/>
      <c r="L109" s="213"/>
      <c r="M109" s="213"/>
      <c r="N109" s="213"/>
      <c r="O109" s="213"/>
      <c r="P109" s="213"/>
      <c r="Q109" s="213"/>
      <c r="R109" s="213"/>
      <c r="S109" s="213"/>
      <c r="T109" s="213"/>
      <c r="U109" s="213"/>
      <c r="V109" s="213"/>
      <c r="W109" s="213"/>
      <c r="X109" s="213"/>
      <c r="Y109" s="213"/>
      <c r="Z109" s="213"/>
      <c r="AA109" s="213"/>
      <c r="AB109" s="213"/>
      <c r="AC109" s="211"/>
    </row>
    <row r="110" spans="2:40" ht="12" hidden="1" customHeight="1" outlineLevel="2">
      <c r="B110" s="239"/>
      <c r="C110" s="214" t="s">
        <v>850</v>
      </c>
      <c r="D110" s="214"/>
      <c r="E110" s="196" t="s">
        <v>753</v>
      </c>
      <c r="F110" s="196" t="s">
        <v>754</v>
      </c>
      <c r="G110" s="196" t="s">
        <v>755</v>
      </c>
      <c r="H110" s="196" t="s">
        <v>756</v>
      </c>
      <c r="I110" s="196" t="s">
        <v>757</v>
      </c>
      <c r="J110" s="196" t="s">
        <v>758</v>
      </c>
      <c r="K110" s="196" t="s">
        <v>759</v>
      </c>
      <c r="L110" s="196" t="s">
        <v>760</v>
      </c>
      <c r="M110" s="196" t="s">
        <v>761</v>
      </c>
      <c r="N110" s="196" t="s">
        <v>762</v>
      </c>
      <c r="O110" s="196" t="s">
        <v>763</v>
      </c>
      <c r="P110" s="196" t="s">
        <v>764</v>
      </c>
      <c r="Q110" s="196" t="s">
        <v>765</v>
      </c>
      <c r="R110" s="196" t="s">
        <v>766</v>
      </c>
      <c r="S110" s="196" t="s">
        <v>767</v>
      </c>
      <c r="T110" s="196" t="s">
        <v>768</v>
      </c>
      <c r="U110" s="196" t="s">
        <v>769</v>
      </c>
      <c r="V110" s="196" t="s">
        <v>770</v>
      </c>
      <c r="W110" s="196" t="s">
        <v>771</v>
      </c>
      <c r="X110" s="196" t="s">
        <v>772</v>
      </c>
      <c r="Y110" s="196" t="s">
        <v>773</v>
      </c>
      <c r="Z110" s="196" t="s">
        <v>774</v>
      </c>
      <c r="AA110" s="196" t="s">
        <v>775</v>
      </c>
      <c r="AB110" s="196" t="s">
        <v>776</v>
      </c>
      <c r="AC110" s="196" t="s">
        <v>777</v>
      </c>
      <c r="AD110" s="196" t="s">
        <v>778</v>
      </c>
      <c r="AE110" s="196" t="s">
        <v>779</v>
      </c>
      <c r="AF110" s="196" t="s">
        <v>780</v>
      </c>
      <c r="AG110" s="196" t="s">
        <v>781</v>
      </c>
      <c r="AH110" s="196" t="s">
        <v>782</v>
      </c>
      <c r="AI110" s="196" t="s">
        <v>783</v>
      </c>
      <c r="AJ110" s="196" t="s">
        <v>784</v>
      </c>
      <c r="AK110" s="196" t="s">
        <v>785</v>
      </c>
      <c r="AL110" s="196" t="s">
        <v>786</v>
      </c>
      <c r="AM110" s="196" t="s">
        <v>787</v>
      </c>
      <c r="AN110" s="196" t="s">
        <v>788</v>
      </c>
    </row>
    <row r="111" spans="2:40" ht="12" hidden="1" customHeight="1" outlineLevel="2">
      <c r="B111" s="239"/>
      <c r="C111" s="246" t="s">
        <v>851</v>
      </c>
      <c r="D111" s="212"/>
      <c r="E111" s="191">
        <v>0.8</v>
      </c>
      <c r="F111" s="191">
        <v>0.75</v>
      </c>
      <c r="G111" s="191">
        <v>0.6</v>
      </c>
      <c r="H111" s="191">
        <v>0.5</v>
      </c>
      <c r="I111" s="191">
        <v>0.3</v>
      </c>
      <c r="J111" s="191">
        <v>0.25</v>
      </c>
      <c r="K111" s="191">
        <v>0.2</v>
      </c>
      <c r="L111" s="191">
        <v>0.18</v>
      </c>
      <c r="M111" s="191">
        <v>0.16</v>
      </c>
      <c r="N111" s="191">
        <v>0.15</v>
      </c>
      <c r="O111" s="191">
        <v>0.14000000000000001</v>
      </c>
      <c r="P111" s="191">
        <v>0.12</v>
      </c>
      <c r="Q111" s="191">
        <v>0.15</v>
      </c>
      <c r="R111" s="191">
        <v>0.15</v>
      </c>
      <c r="S111" s="191">
        <v>0.15</v>
      </c>
      <c r="T111" s="191">
        <v>0.15</v>
      </c>
      <c r="U111" s="191">
        <v>0.15</v>
      </c>
      <c r="V111" s="191">
        <v>0.15</v>
      </c>
      <c r="W111" s="191">
        <v>0.15</v>
      </c>
      <c r="X111" s="191">
        <v>0.15</v>
      </c>
      <c r="Y111" s="191">
        <v>0.15</v>
      </c>
      <c r="Z111" s="191">
        <v>0.15</v>
      </c>
      <c r="AA111" s="191">
        <v>0.15</v>
      </c>
      <c r="AB111" s="191">
        <v>0.15</v>
      </c>
      <c r="AC111" s="191">
        <v>0.15</v>
      </c>
      <c r="AD111" s="191">
        <v>0.15</v>
      </c>
      <c r="AE111" s="191">
        <v>0.15</v>
      </c>
      <c r="AF111" s="191">
        <v>0.15</v>
      </c>
      <c r="AG111" s="191">
        <v>0.15</v>
      </c>
      <c r="AH111" s="191">
        <v>0.15</v>
      </c>
      <c r="AI111" s="191">
        <v>0.15</v>
      </c>
      <c r="AJ111" s="191">
        <v>0.15</v>
      </c>
      <c r="AK111" s="191">
        <v>0.15</v>
      </c>
      <c r="AL111" s="191">
        <v>0.15</v>
      </c>
      <c r="AM111" s="191">
        <v>0.15</v>
      </c>
      <c r="AN111" s="191">
        <v>0.15</v>
      </c>
    </row>
    <row r="112" spans="2:40" ht="12" hidden="1" customHeight="1" outlineLevel="2">
      <c r="B112" s="239"/>
      <c r="C112" s="214" t="s">
        <v>852</v>
      </c>
      <c r="D112" s="212"/>
      <c r="E112" s="211">
        <f>86*33%</f>
        <v>28.380000000000003</v>
      </c>
      <c r="F112" s="211">
        <f>E112*98%</f>
        <v>27.8124</v>
      </c>
      <c r="G112" s="211">
        <f>F112*98%</f>
        <v>27.256152</v>
      </c>
      <c r="H112" s="211">
        <f t="shared" ref="H112:AN112" si="89">G112*98%</f>
        <v>26.71102896</v>
      </c>
      <c r="I112" s="211">
        <f t="shared" si="89"/>
        <v>26.176808380800001</v>
      </c>
      <c r="J112" s="211">
        <f t="shared" si="89"/>
        <v>25.653272213184</v>
      </c>
      <c r="K112" s="211">
        <f t="shared" si="89"/>
        <v>25.140206768920319</v>
      </c>
      <c r="L112" s="211">
        <f t="shared" si="89"/>
        <v>24.63740263354191</v>
      </c>
      <c r="M112" s="211">
        <f t="shared" si="89"/>
        <v>24.144654580871073</v>
      </c>
      <c r="N112" s="211">
        <f t="shared" si="89"/>
        <v>23.661761489253649</v>
      </c>
      <c r="O112" s="211">
        <f t="shared" si="89"/>
        <v>23.188526259468578</v>
      </c>
      <c r="P112" s="211">
        <f t="shared" si="89"/>
        <v>22.724755734279206</v>
      </c>
      <c r="Q112" s="211">
        <f t="shared" si="89"/>
        <v>22.270260619593621</v>
      </c>
      <c r="R112" s="211">
        <f t="shared" si="89"/>
        <v>21.824855407201749</v>
      </c>
      <c r="S112" s="211">
        <f t="shared" si="89"/>
        <v>21.388358299057714</v>
      </c>
      <c r="T112" s="211">
        <f t="shared" si="89"/>
        <v>20.960591133076559</v>
      </c>
      <c r="U112" s="211">
        <f t="shared" si="89"/>
        <v>20.541379310415028</v>
      </c>
      <c r="V112" s="211">
        <f t="shared" si="89"/>
        <v>20.130551724206725</v>
      </c>
      <c r="W112" s="211">
        <f t="shared" si="89"/>
        <v>19.72794068972259</v>
      </c>
      <c r="X112" s="211">
        <f t="shared" si="89"/>
        <v>19.33338187592814</v>
      </c>
      <c r="Y112" s="211">
        <f t="shared" si="89"/>
        <v>18.946714238409577</v>
      </c>
      <c r="Z112" s="211">
        <f t="shared" si="89"/>
        <v>18.567779953641384</v>
      </c>
      <c r="AA112" s="211">
        <f t="shared" si="89"/>
        <v>18.196424354568556</v>
      </c>
      <c r="AB112" s="211">
        <f t="shared" si="89"/>
        <v>17.832495867477185</v>
      </c>
      <c r="AC112" s="211">
        <f t="shared" si="89"/>
        <v>17.475845950127642</v>
      </c>
      <c r="AD112" s="211">
        <f t="shared" si="89"/>
        <v>17.126329031125088</v>
      </c>
      <c r="AE112" s="211">
        <f t="shared" si="89"/>
        <v>16.783802450502588</v>
      </c>
      <c r="AF112" s="211">
        <f t="shared" si="89"/>
        <v>16.448126401492537</v>
      </c>
      <c r="AG112" s="211">
        <f t="shared" si="89"/>
        <v>16.119163873462686</v>
      </c>
      <c r="AH112" s="211">
        <f t="shared" si="89"/>
        <v>15.796780595993432</v>
      </c>
      <c r="AI112" s="211">
        <f t="shared" si="89"/>
        <v>15.480844984073563</v>
      </c>
      <c r="AJ112" s="211">
        <f t="shared" si="89"/>
        <v>15.171228084392093</v>
      </c>
      <c r="AK112" s="211">
        <f t="shared" si="89"/>
        <v>14.86780352270425</v>
      </c>
      <c r="AL112" s="211">
        <f t="shared" si="89"/>
        <v>14.570447452250164</v>
      </c>
      <c r="AM112" s="211">
        <f t="shared" si="89"/>
        <v>14.279038503205161</v>
      </c>
      <c r="AN112" s="211">
        <f t="shared" si="89"/>
        <v>13.993457733141058</v>
      </c>
    </row>
    <row r="113" spans="2:40" ht="12" hidden="1" customHeight="1" outlineLevel="2">
      <c r="B113" s="245"/>
      <c r="C113" s="213" t="s">
        <v>753</v>
      </c>
      <c r="D113" s="213"/>
      <c r="E113" s="211">
        <f>INDEX($C$44:$AN$66,MATCH("New Customers 1MS",$C$44:$C$66,0),MATCH($C113,$C$44:$AN$44,0))</f>
        <v>0</v>
      </c>
      <c r="F113" s="211">
        <f t="shared" ref="F113:AN113" si="90">$E$113*(E111)</f>
        <v>0</v>
      </c>
      <c r="G113" s="211">
        <f t="shared" si="90"/>
        <v>0</v>
      </c>
      <c r="H113" s="211">
        <f t="shared" si="90"/>
        <v>0</v>
      </c>
      <c r="I113" s="211">
        <f t="shared" si="90"/>
        <v>0</v>
      </c>
      <c r="J113" s="211">
        <f t="shared" si="90"/>
        <v>0</v>
      </c>
      <c r="K113" s="211">
        <f t="shared" si="90"/>
        <v>0</v>
      </c>
      <c r="L113" s="211">
        <f t="shared" si="90"/>
        <v>0</v>
      </c>
      <c r="M113" s="211">
        <f t="shared" si="90"/>
        <v>0</v>
      </c>
      <c r="N113" s="211">
        <f t="shared" si="90"/>
        <v>0</v>
      </c>
      <c r="O113" s="211">
        <f t="shared" si="90"/>
        <v>0</v>
      </c>
      <c r="P113" s="211">
        <f t="shared" si="90"/>
        <v>0</v>
      </c>
      <c r="Q113" s="211">
        <f t="shared" si="90"/>
        <v>0</v>
      </c>
      <c r="R113" s="211">
        <f t="shared" si="90"/>
        <v>0</v>
      </c>
      <c r="S113" s="211">
        <f t="shared" si="90"/>
        <v>0</v>
      </c>
      <c r="T113" s="211">
        <f t="shared" si="90"/>
        <v>0</v>
      </c>
      <c r="U113" s="211">
        <f t="shared" si="90"/>
        <v>0</v>
      </c>
      <c r="V113" s="211">
        <f t="shared" si="90"/>
        <v>0</v>
      </c>
      <c r="W113" s="211">
        <f t="shared" si="90"/>
        <v>0</v>
      </c>
      <c r="X113" s="211">
        <f t="shared" si="90"/>
        <v>0</v>
      </c>
      <c r="Y113" s="211">
        <f t="shared" si="90"/>
        <v>0</v>
      </c>
      <c r="Z113" s="211">
        <f t="shared" si="90"/>
        <v>0</v>
      </c>
      <c r="AA113" s="211">
        <f t="shared" si="90"/>
        <v>0</v>
      </c>
      <c r="AB113" s="211">
        <f t="shared" si="90"/>
        <v>0</v>
      </c>
      <c r="AC113" s="211">
        <f t="shared" si="90"/>
        <v>0</v>
      </c>
      <c r="AD113" s="211">
        <f t="shared" si="90"/>
        <v>0</v>
      </c>
      <c r="AE113" s="211">
        <f t="shared" si="90"/>
        <v>0</v>
      </c>
      <c r="AF113" s="211">
        <f t="shared" si="90"/>
        <v>0</v>
      </c>
      <c r="AG113" s="211">
        <f t="shared" si="90"/>
        <v>0</v>
      </c>
      <c r="AH113" s="211">
        <f t="shared" si="90"/>
        <v>0</v>
      </c>
      <c r="AI113" s="211">
        <f t="shared" si="90"/>
        <v>0</v>
      </c>
      <c r="AJ113" s="211">
        <f t="shared" si="90"/>
        <v>0</v>
      </c>
      <c r="AK113" s="211">
        <f t="shared" si="90"/>
        <v>0</v>
      </c>
      <c r="AL113" s="211">
        <f t="shared" si="90"/>
        <v>0</v>
      </c>
      <c r="AM113" s="211">
        <f t="shared" si="90"/>
        <v>0</v>
      </c>
      <c r="AN113" s="211">
        <f t="shared" si="90"/>
        <v>0</v>
      </c>
    </row>
    <row r="114" spans="2:40" ht="12" hidden="1" customHeight="1" outlineLevel="2">
      <c r="B114" s="245"/>
      <c r="C114" s="213" t="s">
        <v>754</v>
      </c>
      <c r="D114" s="213"/>
      <c r="E114" s="213"/>
      <c r="F114" s="211">
        <f>INDEX($C$44:$AN$66,MATCH("New Customers 1MS",$C$44:$C$66,0),MATCH($C114,$C$44:$AN$44,0))</f>
        <v>0</v>
      </c>
      <c r="G114" s="211">
        <f t="shared" ref="G114:AN114" si="91">$F$114*(E111)</f>
        <v>0</v>
      </c>
      <c r="H114" s="211">
        <f t="shared" si="91"/>
        <v>0</v>
      </c>
      <c r="I114" s="211">
        <f t="shared" si="91"/>
        <v>0</v>
      </c>
      <c r="J114" s="211">
        <f t="shared" si="91"/>
        <v>0</v>
      </c>
      <c r="K114" s="211">
        <f t="shared" si="91"/>
        <v>0</v>
      </c>
      <c r="L114" s="211">
        <f t="shared" si="91"/>
        <v>0</v>
      </c>
      <c r="M114" s="211">
        <f t="shared" si="91"/>
        <v>0</v>
      </c>
      <c r="N114" s="211">
        <f t="shared" si="91"/>
        <v>0</v>
      </c>
      <c r="O114" s="211">
        <f t="shared" si="91"/>
        <v>0</v>
      </c>
      <c r="P114" s="211">
        <f t="shared" si="91"/>
        <v>0</v>
      </c>
      <c r="Q114" s="211">
        <f t="shared" si="91"/>
        <v>0</v>
      </c>
      <c r="R114" s="211">
        <f t="shared" si="91"/>
        <v>0</v>
      </c>
      <c r="S114" s="211">
        <f t="shared" si="91"/>
        <v>0</v>
      </c>
      <c r="T114" s="211">
        <f t="shared" si="91"/>
        <v>0</v>
      </c>
      <c r="U114" s="211">
        <f t="shared" si="91"/>
        <v>0</v>
      </c>
      <c r="V114" s="211">
        <f t="shared" si="91"/>
        <v>0</v>
      </c>
      <c r="W114" s="211">
        <f t="shared" si="91"/>
        <v>0</v>
      </c>
      <c r="X114" s="211">
        <f t="shared" si="91"/>
        <v>0</v>
      </c>
      <c r="Y114" s="211">
        <f t="shared" si="91"/>
        <v>0</v>
      </c>
      <c r="Z114" s="211">
        <f t="shared" si="91"/>
        <v>0</v>
      </c>
      <c r="AA114" s="211">
        <f t="shared" si="91"/>
        <v>0</v>
      </c>
      <c r="AB114" s="211">
        <f t="shared" si="91"/>
        <v>0</v>
      </c>
      <c r="AC114" s="211">
        <f t="shared" si="91"/>
        <v>0</v>
      </c>
      <c r="AD114" s="211">
        <f t="shared" si="91"/>
        <v>0</v>
      </c>
      <c r="AE114" s="211">
        <f t="shared" si="91"/>
        <v>0</v>
      </c>
      <c r="AF114" s="211">
        <f t="shared" si="91"/>
        <v>0</v>
      </c>
      <c r="AG114" s="211">
        <f t="shared" si="91"/>
        <v>0</v>
      </c>
      <c r="AH114" s="211">
        <f t="shared" si="91"/>
        <v>0</v>
      </c>
      <c r="AI114" s="211">
        <f t="shared" si="91"/>
        <v>0</v>
      </c>
      <c r="AJ114" s="211">
        <f t="shared" si="91"/>
        <v>0</v>
      </c>
      <c r="AK114" s="211">
        <f t="shared" si="91"/>
        <v>0</v>
      </c>
      <c r="AL114" s="211">
        <f t="shared" si="91"/>
        <v>0</v>
      </c>
      <c r="AM114" s="211">
        <f t="shared" si="91"/>
        <v>0</v>
      </c>
      <c r="AN114" s="211">
        <f t="shared" si="91"/>
        <v>0</v>
      </c>
    </row>
    <row r="115" spans="2:40" ht="12" hidden="1" customHeight="1" outlineLevel="2">
      <c r="B115" s="245"/>
      <c r="C115" s="213" t="s">
        <v>755</v>
      </c>
      <c r="D115" s="213"/>
      <c r="E115" s="213"/>
      <c r="F115" s="213"/>
      <c r="G115" s="211">
        <f>INDEX($C$44:$AN$66,MATCH("New Customers 1MS",$C$44:$C$66,0),MATCH($C115,$C$44:$AN$44,0))</f>
        <v>0</v>
      </c>
      <c r="H115" s="211">
        <f t="shared" ref="H115:AN115" si="92">$G$115*(E111)</f>
        <v>0</v>
      </c>
      <c r="I115" s="211">
        <f t="shared" si="92"/>
        <v>0</v>
      </c>
      <c r="J115" s="211">
        <f t="shared" si="92"/>
        <v>0</v>
      </c>
      <c r="K115" s="211">
        <f t="shared" si="92"/>
        <v>0</v>
      </c>
      <c r="L115" s="211">
        <f t="shared" si="92"/>
        <v>0</v>
      </c>
      <c r="M115" s="211">
        <f t="shared" si="92"/>
        <v>0</v>
      </c>
      <c r="N115" s="211">
        <f t="shared" si="92"/>
        <v>0</v>
      </c>
      <c r="O115" s="211">
        <f t="shared" si="92"/>
        <v>0</v>
      </c>
      <c r="P115" s="211">
        <f t="shared" si="92"/>
        <v>0</v>
      </c>
      <c r="Q115" s="211">
        <f t="shared" si="92"/>
        <v>0</v>
      </c>
      <c r="R115" s="211">
        <f t="shared" si="92"/>
        <v>0</v>
      </c>
      <c r="S115" s="211">
        <f t="shared" si="92"/>
        <v>0</v>
      </c>
      <c r="T115" s="211">
        <f t="shared" si="92"/>
        <v>0</v>
      </c>
      <c r="U115" s="211">
        <f t="shared" si="92"/>
        <v>0</v>
      </c>
      <c r="V115" s="211">
        <f t="shared" si="92"/>
        <v>0</v>
      </c>
      <c r="W115" s="211">
        <f t="shared" si="92"/>
        <v>0</v>
      </c>
      <c r="X115" s="211">
        <f t="shared" si="92"/>
        <v>0</v>
      </c>
      <c r="Y115" s="211">
        <f t="shared" si="92"/>
        <v>0</v>
      </c>
      <c r="Z115" s="211">
        <f t="shared" si="92"/>
        <v>0</v>
      </c>
      <c r="AA115" s="211">
        <f t="shared" si="92"/>
        <v>0</v>
      </c>
      <c r="AB115" s="211">
        <f t="shared" si="92"/>
        <v>0</v>
      </c>
      <c r="AC115" s="211">
        <f t="shared" si="92"/>
        <v>0</v>
      </c>
      <c r="AD115" s="211">
        <f t="shared" si="92"/>
        <v>0</v>
      </c>
      <c r="AE115" s="211">
        <f t="shared" si="92"/>
        <v>0</v>
      </c>
      <c r="AF115" s="211">
        <f t="shared" si="92"/>
        <v>0</v>
      </c>
      <c r="AG115" s="211">
        <f t="shared" si="92"/>
        <v>0</v>
      </c>
      <c r="AH115" s="211">
        <f t="shared" si="92"/>
        <v>0</v>
      </c>
      <c r="AI115" s="211">
        <f t="shared" si="92"/>
        <v>0</v>
      </c>
      <c r="AJ115" s="211">
        <f t="shared" si="92"/>
        <v>0</v>
      </c>
      <c r="AK115" s="211">
        <f t="shared" si="92"/>
        <v>0</v>
      </c>
      <c r="AL115" s="211">
        <f t="shared" si="92"/>
        <v>0</v>
      </c>
      <c r="AM115" s="211">
        <f t="shared" si="92"/>
        <v>0</v>
      </c>
      <c r="AN115" s="211">
        <f t="shared" si="92"/>
        <v>0</v>
      </c>
    </row>
    <row r="116" spans="2:40" ht="12" hidden="1" customHeight="1" outlineLevel="2">
      <c r="B116" s="245"/>
      <c r="C116" s="213" t="s">
        <v>756</v>
      </c>
      <c r="D116" s="213"/>
      <c r="E116" s="213"/>
      <c r="F116" s="213"/>
      <c r="G116" s="213"/>
      <c r="H116" s="211">
        <f>INDEX($C$44:$AN$66,MATCH("New Customers 1MS",$C$44:$C$66,0),MATCH($C116,$C$44:$AN$44,0))</f>
        <v>0</v>
      </c>
      <c r="I116" s="211">
        <f t="shared" ref="I116:AN116" si="93">$H$116*(E111)</f>
        <v>0</v>
      </c>
      <c r="J116" s="211">
        <f t="shared" si="93"/>
        <v>0</v>
      </c>
      <c r="K116" s="211">
        <f t="shared" si="93"/>
        <v>0</v>
      </c>
      <c r="L116" s="211">
        <f t="shared" si="93"/>
        <v>0</v>
      </c>
      <c r="M116" s="211">
        <f t="shared" si="93"/>
        <v>0</v>
      </c>
      <c r="N116" s="211">
        <f t="shared" si="93"/>
        <v>0</v>
      </c>
      <c r="O116" s="211">
        <f t="shared" si="93"/>
        <v>0</v>
      </c>
      <c r="P116" s="211">
        <f t="shared" si="93"/>
        <v>0</v>
      </c>
      <c r="Q116" s="211">
        <f t="shared" si="93"/>
        <v>0</v>
      </c>
      <c r="R116" s="211">
        <f t="shared" si="93"/>
        <v>0</v>
      </c>
      <c r="S116" s="211">
        <f t="shared" si="93"/>
        <v>0</v>
      </c>
      <c r="T116" s="211">
        <f t="shared" si="93"/>
        <v>0</v>
      </c>
      <c r="U116" s="211">
        <f t="shared" si="93"/>
        <v>0</v>
      </c>
      <c r="V116" s="211">
        <f t="shared" si="93"/>
        <v>0</v>
      </c>
      <c r="W116" s="211">
        <f t="shared" si="93"/>
        <v>0</v>
      </c>
      <c r="X116" s="211">
        <f t="shared" si="93"/>
        <v>0</v>
      </c>
      <c r="Y116" s="211">
        <f t="shared" si="93"/>
        <v>0</v>
      </c>
      <c r="Z116" s="211">
        <f t="shared" si="93"/>
        <v>0</v>
      </c>
      <c r="AA116" s="211">
        <f t="shared" si="93"/>
        <v>0</v>
      </c>
      <c r="AB116" s="211">
        <f t="shared" si="93"/>
        <v>0</v>
      </c>
      <c r="AC116" s="211">
        <f t="shared" si="93"/>
        <v>0</v>
      </c>
      <c r="AD116" s="211">
        <f t="shared" si="93"/>
        <v>0</v>
      </c>
      <c r="AE116" s="211">
        <f t="shared" si="93"/>
        <v>0</v>
      </c>
      <c r="AF116" s="211">
        <f t="shared" si="93"/>
        <v>0</v>
      </c>
      <c r="AG116" s="211">
        <f t="shared" si="93"/>
        <v>0</v>
      </c>
      <c r="AH116" s="211">
        <f t="shared" si="93"/>
        <v>0</v>
      </c>
      <c r="AI116" s="211">
        <f t="shared" si="93"/>
        <v>0</v>
      </c>
      <c r="AJ116" s="211">
        <f t="shared" si="93"/>
        <v>0</v>
      </c>
      <c r="AK116" s="211">
        <f t="shared" si="93"/>
        <v>0</v>
      </c>
      <c r="AL116" s="211">
        <f t="shared" si="93"/>
        <v>0</v>
      </c>
      <c r="AM116" s="211">
        <f t="shared" si="93"/>
        <v>0</v>
      </c>
      <c r="AN116" s="211">
        <f t="shared" si="93"/>
        <v>0</v>
      </c>
    </row>
    <row r="117" spans="2:40" ht="12" hidden="1" customHeight="1" outlineLevel="2">
      <c r="B117" s="245"/>
      <c r="C117" s="213" t="s">
        <v>757</v>
      </c>
      <c r="D117" s="213"/>
      <c r="E117" s="213"/>
      <c r="F117" s="213"/>
      <c r="G117" s="213"/>
      <c r="H117" s="213"/>
      <c r="I117" s="211">
        <f>INDEX($C$44:$AN$66,MATCH("New Customers 1MS",$C$44:$C$66,0),MATCH($C117,$C$44:$AN$44,0))</f>
        <v>0</v>
      </c>
      <c r="J117" s="211">
        <f t="shared" ref="J117:AN117" si="94">$I$117*(E111)</f>
        <v>0</v>
      </c>
      <c r="K117" s="211">
        <f t="shared" si="94"/>
        <v>0</v>
      </c>
      <c r="L117" s="211">
        <f t="shared" si="94"/>
        <v>0</v>
      </c>
      <c r="M117" s="211">
        <f t="shared" si="94"/>
        <v>0</v>
      </c>
      <c r="N117" s="211">
        <f t="shared" si="94"/>
        <v>0</v>
      </c>
      <c r="O117" s="211">
        <f t="shared" si="94"/>
        <v>0</v>
      </c>
      <c r="P117" s="211">
        <f t="shared" si="94"/>
        <v>0</v>
      </c>
      <c r="Q117" s="211">
        <f t="shared" si="94"/>
        <v>0</v>
      </c>
      <c r="R117" s="211">
        <f t="shared" si="94"/>
        <v>0</v>
      </c>
      <c r="S117" s="211">
        <f t="shared" si="94"/>
        <v>0</v>
      </c>
      <c r="T117" s="211">
        <f t="shared" si="94"/>
        <v>0</v>
      </c>
      <c r="U117" s="211">
        <f t="shared" si="94"/>
        <v>0</v>
      </c>
      <c r="V117" s="211">
        <f t="shared" si="94"/>
        <v>0</v>
      </c>
      <c r="W117" s="211">
        <f t="shared" si="94"/>
        <v>0</v>
      </c>
      <c r="X117" s="211">
        <f t="shared" si="94"/>
        <v>0</v>
      </c>
      <c r="Y117" s="211">
        <f t="shared" si="94"/>
        <v>0</v>
      </c>
      <c r="Z117" s="211">
        <f t="shared" si="94"/>
        <v>0</v>
      </c>
      <c r="AA117" s="211">
        <f t="shared" si="94"/>
        <v>0</v>
      </c>
      <c r="AB117" s="211">
        <f t="shared" si="94"/>
        <v>0</v>
      </c>
      <c r="AC117" s="211">
        <f t="shared" si="94"/>
        <v>0</v>
      </c>
      <c r="AD117" s="211">
        <f t="shared" si="94"/>
        <v>0</v>
      </c>
      <c r="AE117" s="211">
        <f t="shared" si="94"/>
        <v>0</v>
      </c>
      <c r="AF117" s="211">
        <f t="shared" si="94"/>
        <v>0</v>
      </c>
      <c r="AG117" s="211">
        <f t="shared" si="94"/>
        <v>0</v>
      </c>
      <c r="AH117" s="211">
        <f t="shared" si="94"/>
        <v>0</v>
      </c>
      <c r="AI117" s="211">
        <f t="shared" si="94"/>
        <v>0</v>
      </c>
      <c r="AJ117" s="211">
        <f t="shared" si="94"/>
        <v>0</v>
      </c>
      <c r="AK117" s="211">
        <f t="shared" si="94"/>
        <v>0</v>
      </c>
      <c r="AL117" s="211">
        <f t="shared" si="94"/>
        <v>0</v>
      </c>
      <c r="AM117" s="211">
        <f t="shared" si="94"/>
        <v>0</v>
      </c>
      <c r="AN117" s="211">
        <f t="shared" si="94"/>
        <v>0</v>
      </c>
    </row>
    <row r="118" spans="2:40" ht="12" hidden="1" customHeight="1" outlineLevel="2">
      <c r="B118" s="245"/>
      <c r="C118" s="213" t="s">
        <v>758</v>
      </c>
      <c r="D118" s="213"/>
      <c r="E118" s="213"/>
      <c r="F118" s="213"/>
      <c r="G118" s="213"/>
      <c r="H118" s="213"/>
      <c r="I118" s="213"/>
      <c r="J118" s="211">
        <f>INDEX($C$44:$AN$66,MATCH("New Customers 1MS",$C$44:$C$66,0),MATCH($C118,$C$44:$AN$44,0))</f>
        <v>0</v>
      </c>
      <c r="K118" s="211">
        <f t="shared" ref="K118:AN118" si="95">$J$118*(E111)</f>
        <v>0</v>
      </c>
      <c r="L118" s="211">
        <f t="shared" si="95"/>
        <v>0</v>
      </c>
      <c r="M118" s="211">
        <f t="shared" si="95"/>
        <v>0</v>
      </c>
      <c r="N118" s="211">
        <f t="shared" si="95"/>
        <v>0</v>
      </c>
      <c r="O118" s="211">
        <f t="shared" si="95"/>
        <v>0</v>
      </c>
      <c r="P118" s="211">
        <f t="shared" si="95"/>
        <v>0</v>
      </c>
      <c r="Q118" s="211">
        <f t="shared" si="95"/>
        <v>0</v>
      </c>
      <c r="R118" s="211">
        <f t="shared" si="95"/>
        <v>0</v>
      </c>
      <c r="S118" s="211">
        <f t="shared" si="95"/>
        <v>0</v>
      </c>
      <c r="T118" s="211">
        <f t="shared" si="95"/>
        <v>0</v>
      </c>
      <c r="U118" s="211">
        <f t="shared" si="95"/>
        <v>0</v>
      </c>
      <c r="V118" s="211">
        <f t="shared" si="95"/>
        <v>0</v>
      </c>
      <c r="W118" s="211">
        <f t="shared" si="95"/>
        <v>0</v>
      </c>
      <c r="X118" s="211">
        <f t="shared" si="95"/>
        <v>0</v>
      </c>
      <c r="Y118" s="211">
        <f t="shared" si="95"/>
        <v>0</v>
      </c>
      <c r="Z118" s="211">
        <f t="shared" si="95"/>
        <v>0</v>
      </c>
      <c r="AA118" s="211">
        <f t="shared" si="95"/>
        <v>0</v>
      </c>
      <c r="AB118" s="211">
        <f t="shared" si="95"/>
        <v>0</v>
      </c>
      <c r="AC118" s="211">
        <f t="shared" si="95"/>
        <v>0</v>
      </c>
      <c r="AD118" s="211">
        <f t="shared" si="95"/>
        <v>0</v>
      </c>
      <c r="AE118" s="211">
        <f t="shared" si="95"/>
        <v>0</v>
      </c>
      <c r="AF118" s="211">
        <f t="shared" si="95"/>
        <v>0</v>
      </c>
      <c r="AG118" s="211">
        <f t="shared" si="95"/>
        <v>0</v>
      </c>
      <c r="AH118" s="211">
        <f t="shared" si="95"/>
        <v>0</v>
      </c>
      <c r="AI118" s="211">
        <f t="shared" si="95"/>
        <v>0</v>
      </c>
      <c r="AJ118" s="211">
        <f t="shared" si="95"/>
        <v>0</v>
      </c>
      <c r="AK118" s="211">
        <f t="shared" si="95"/>
        <v>0</v>
      </c>
      <c r="AL118" s="211">
        <f t="shared" si="95"/>
        <v>0</v>
      </c>
      <c r="AM118" s="211">
        <f t="shared" si="95"/>
        <v>0</v>
      </c>
      <c r="AN118" s="211">
        <f t="shared" si="95"/>
        <v>0</v>
      </c>
    </row>
    <row r="119" spans="2:40" ht="12" hidden="1" customHeight="1" outlineLevel="2">
      <c r="B119" s="245"/>
      <c r="C119" s="213" t="s">
        <v>759</v>
      </c>
      <c r="D119" s="213"/>
      <c r="E119" s="213"/>
      <c r="F119" s="213"/>
      <c r="G119" s="213"/>
      <c r="H119" s="213"/>
      <c r="I119" s="213"/>
      <c r="J119" s="213"/>
      <c r="K119" s="211">
        <f>INDEX($C$44:$AN$66,MATCH("New Customers 1MS",$C$44:$C$66,0),MATCH($C119,$C$44:$AN$44,0))</f>
        <v>8</v>
      </c>
      <c r="L119" s="211">
        <f t="shared" ref="L119:AN119" si="96">$K$119*(E111)</f>
        <v>6.4</v>
      </c>
      <c r="M119" s="211">
        <f t="shared" si="96"/>
        <v>6</v>
      </c>
      <c r="N119" s="211">
        <f t="shared" si="96"/>
        <v>4.8</v>
      </c>
      <c r="O119" s="211">
        <f t="shared" si="96"/>
        <v>4</v>
      </c>
      <c r="P119" s="211">
        <f t="shared" si="96"/>
        <v>2.4</v>
      </c>
      <c r="Q119" s="211">
        <f t="shared" si="96"/>
        <v>2</v>
      </c>
      <c r="R119" s="211">
        <f t="shared" si="96"/>
        <v>1.6</v>
      </c>
      <c r="S119" s="211">
        <f t="shared" si="96"/>
        <v>1.44</v>
      </c>
      <c r="T119" s="211">
        <f t="shared" si="96"/>
        <v>1.28</v>
      </c>
      <c r="U119" s="211">
        <f t="shared" si="96"/>
        <v>1.2</v>
      </c>
      <c r="V119" s="211">
        <f t="shared" si="96"/>
        <v>1.1200000000000001</v>
      </c>
      <c r="W119" s="211">
        <f t="shared" si="96"/>
        <v>0.96</v>
      </c>
      <c r="X119" s="211">
        <f t="shared" si="96"/>
        <v>1.2</v>
      </c>
      <c r="Y119" s="211">
        <f t="shared" si="96"/>
        <v>1.2</v>
      </c>
      <c r="Z119" s="211">
        <f t="shared" si="96"/>
        <v>1.2</v>
      </c>
      <c r="AA119" s="211">
        <f t="shared" si="96"/>
        <v>1.2</v>
      </c>
      <c r="AB119" s="211">
        <f t="shared" si="96"/>
        <v>1.2</v>
      </c>
      <c r="AC119" s="211">
        <f t="shared" si="96"/>
        <v>1.2</v>
      </c>
      <c r="AD119" s="211">
        <f t="shared" si="96"/>
        <v>1.2</v>
      </c>
      <c r="AE119" s="211">
        <f t="shared" si="96"/>
        <v>1.2</v>
      </c>
      <c r="AF119" s="211">
        <f t="shared" si="96"/>
        <v>1.2</v>
      </c>
      <c r="AG119" s="211">
        <f t="shared" si="96"/>
        <v>1.2</v>
      </c>
      <c r="AH119" s="211">
        <f t="shared" si="96"/>
        <v>1.2</v>
      </c>
      <c r="AI119" s="211">
        <f t="shared" si="96"/>
        <v>1.2</v>
      </c>
      <c r="AJ119" s="211">
        <f t="shared" si="96"/>
        <v>1.2</v>
      </c>
      <c r="AK119" s="211">
        <f t="shared" si="96"/>
        <v>1.2</v>
      </c>
      <c r="AL119" s="211">
        <f t="shared" si="96"/>
        <v>1.2</v>
      </c>
      <c r="AM119" s="211">
        <f t="shared" si="96"/>
        <v>1.2</v>
      </c>
      <c r="AN119" s="211">
        <f t="shared" si="96"/>
        <v>1.2</v>
      </c>
    </row>
    <row r="120" spans="2:40" ht="12" hidden="1" customHeight="1" outlineLevel="2">
      <c r="B120" s="245"/>
      <c r="C120" s="213" t="s">
        <v>760</v>
      </c>
      <c r="D120" s="213"/>
      <c r="E120" s="213"/>
      <c r="F120" s="213"/>
      <c r="G120" s="213"/>
      <c r="H120" s="213"/>
      <c r="I120" s="213"/>
      <c r="J120" s="213"/>
      <c r="K120" s="213"/>
      <c r="L120" s="211">
        <f>INDEX($C$44:$AN$66,MATCH("New Customers 1MS",$C$44:$C$66,0),MATCH($C120,$C$44:$AN$44,0))</f>
        <v>8.93</v>
      </c>
      <c r="M120" s="211">
        <f t="shared" ref="M120:AN120" si="97">$L$120*(E111)</f>
        <v>7.1440000000000001</v>
      </c>
      <c r="N120" s="211">
        <f t="shared" si="97"/>
        <v>6.6974999999999998</v>
      </c>
      <c r="O120" s="211">
        <f t="shared" si="97"/>
        <v>5.3579999999999997</v>
      </c>
      <c r="P120" s="211">
        <f t="shared" si="97"/>
        <v>4.4649999999999999</v>
      </c>
      <c r="Q120" s="211">
        <f t="shared" si="97"/>
        <v>2.6789999999999998</v>
      </c>
      <c r="R120" s="211">
        <f t="shared" si="97"/>
        <v>2.2324999999999999</v>
      </c>
      <c r="S120" s="211">
        <f t="shared" si="97"/>
        <v>1.786</v>
      </c>
      <c r="T120" s="211">
        <f t="shared" si="97"/>
        <v>1.6073999999999999</v>
      </c>
      <c r="U120" s="211">
        <f t="shared" si="97"/>
        <v>1.4288000000000001</v>
      </c>
      <c r="V120" s="211">
        <f t="shared" si="97"/>
        <v>1.3394999999999999</v>
      </c>
      <c r="W120" s="211">
        <f t="shared" si="97"/>
        <v>1.2502</v>
      </c>
      <c r="X120" s="211">
        <f t="shared" si="97"/>
        <v>1.0715999999999999</v>
      </c>
      <c r="Y120" s="211">
        <f t="shared" si="97"/>
        <v>1.3394999999999999</v>
      </c>
      <c r="Z120" s="211">
        <f t="shared" si="97"/>
        <v>1.3394999999999999</v>
      </c>
      <c r="AA120" s="211">
        <f t="shared" si="97"/>
        <v>1.3394999999999999</v>
      </c>
      <c r="AB120" s="211">
        <f t="shared" si="97"/>
        <v>1.3394999999999999</v>
      </c>
      <c r="AC120" s="211">
        <f t="shared" si="97"/>
        <v>1.3394999999999999</v>
      </c>
      <c r="AD120" s="211">
        <f t="shared" si="97"/>
        <v>1.3394999999999999</v>
      </c>
      <c r="AE120" s="211">
        <f t="shared" si="97"/>
        <v>1.3394999999999999</v>
      </c>
      <c r="AF120" s="211">
        <f t="shared" si="97"/>
        <v>1.3394999999999999</v>
      </c>
      <c r="AG120" s="211">
        <f t="shared" si="97"/>
        <v>1.3394999999999999</v>
      </c>
      <c r="AH120" s="211">
        <f t="shared" si="97"/>
        <v>1.3394999999999999</v>
      </c>
      <c r="AI120" s="211">
        <f t="shared" si="97"/>
        <v>1.3394999999999999</v>
      </c>
      <c r="AJ120" s="211">
        <f t="shared" si="97"/>
        <v>1.3394999999999999</v>
      </c>
      <c r="AK120" s="211">
        <f t="shared" si="97"/>
        <v>1.3394999999999999</v>
      </c>
      <c r="AL120" s="211">
        <f t="shared" si="97"/>
        <v>1.3394999999999999</v>
      </c>
      <c r="AM120" s="211">
        <f t="shared" si="97"/>
        <v>1.3394999999999999</v>
      </c>
      <c r="AN120" s="211">
        <f t="shared" si="97"/>
        <v>1.3394999999999999</v>
      </c>
    </row>
    <row r="121" spans="2:40" ht="12" hidden="1" customHeight="1" outlineLevel="2">
      <c r="B121" s="245"/>
      <c r="C121" s="213" t="s">
        <v>761</v>
      </c>
      <c r="D121" s="213"/>
      <c r="E121" s="213"/>
      <c r="F121" s="213"/>
      <c r="G121" s="213"/>
      <c r="H121" s="213"/>
      <c r="I121" s="213"/>
      <c r="J121" s="213"/>
      <c r="K121" s="213"/>
      <c r="L121" s="213"/>
      <c r="M121" s="211">
        <f>INDEX($C$44:$AN$66,MATCH("New Customers 1MS",$C$44:$C$66,0),MATCH($C121,$C$44:$AN$44,0))</f>
        <v>0</v>
      </c>
      <c r="N121" s="211">
        <f t="shared" ref="N121:AN121" si="98">$M$121*(E111)</f>
        <v>0</v>
      </c>
      <c r="O121" s="211">
        <f t="shared" si="98"/>
        <v>0</v>
      </c>
      <c r="P121" s="211">
        <f t="shared" si="98"/>
        <v>0</v>
      </c>
      <c r="Q121" s="211">
        <f t="shared" si="98"/>
        <v>0</v>
      </c>
      <c r="R121" s="211">
        <f t="shared" si="98"/>
        <v>0</v>
      </c>
      <c r="S121" s="211">
        <f t="shared" si="98"/>
        <v>0</v>
      </c>
      <c r="T121" s="211">
        <f t="shared" si="98"/>
        <v>0</v>
      </c>
      <c r="U121" s="211">
        <f t="shared" si="98"/>
        <v>0</v>
      </c>
      <c r="V121" s="211">
        <f t="shared" si="98"/>
        <v>0</v>
      </c>
      <c r="W121" s="211">
        <f t="shared" si="98"/>
        <v>0</v>
      </c>
      <c r="X121" s="211">
        <f t="shared" si="98"/>
        <v>0</v>
      </c>
      <c r="Y121" s="211">
        <f t="shared" si="98"/>
        <v>0</v>
      </c>
      <c r="Z121" s="211">
        <f t="shared" si="98"/>
        <v>0</v>
      </c>
      <c r="AA121" s="211">
        <f t="shared" si="98"/>
        <v>0</v>
      </c>
      <c r="AB121" s="211">
        <f t="shared" si="98"/>
        <v>0</v>
      </c>
      <c r="AC121" s="211">
        <f t="shared" si="98"/>
        <v>0</v>
      </c>
      <c r="AD121" s="211">
        <f t="shared" si="98"/>
        <v>0</v>
      </c>
      <c r="AE121" s="211">
        <f t="shared" si="98"/>
        <v>0</v>
      </c>
      <c r="AF121" s="211">
        <f t="shared" si="98"/>
        <v>0</v>
      </c>
      <c r="AG121" s="211">
        <f t="shared" si="98"/>
        <v>0</v>
      </c>
      <c r="AH121" s="211">
        <f t="shared" si="98"/>
        <v>0</v>
      </c>
      <c r="AI121" s="211">
        <f t="shared" si="98"/>
        <v>0</v>
      </c>
      <c r="AJ121" s="211">
        <f t="shared" si="98"/>
        <v>0</v>
      </c>
      <c r="AK121" s="211">
        <f t="shared" si="98"/>
        <v>0</v>
      </c>
      <c r="AL121" s="211">
        <f t="shared" si="98"/>
        <v>0</v>
      </c>
      <c r="AM121" s="211">
        <f t="shared" si="98"/>
        <v>0</v>
      </c>
      <c r="AN121" s="211">
        <f t="shared" si="98"/>
        <v>0</v>
      </c>
    </row>
    <row r="122" spans="2:40" ht="12" hidden="1" customHeight="1" outlineLevel="2">
      <c r="B122" s="245"/>
      <c r="C122" s="213" t="s">
        <v>762</v>
      </c>
      <c r="D122" s="213"/>
      <c r="E122" s="213"/>
      <c r="F122" s="213"/>
      <c r="G122" s="213"/>
      <c r="H122" s="213"/>
      <c r="I122" s="213"/>
      <c r="J122" s="213"/>
      <c r="K122" s="213"/>
      <c r="L122" s="213"/>
      <c r="M122" s="213"/>
      <c r="N122" s="211">
        <f>INDEX($C$44:$AN$66,MATCH("New Customers 1MS",$C$44:$C$66,0),MATCH($C122,$C$44:$AN$44,0))</f>
        <v>0</v>
      </c>
      <c r="O122" s="211">
        <f t="shared" ref="O122:AN122" si="99">$N$122*(E111)</f>
        <v>0</v>
      </c>
      <c r="P122" s="211">
        <f t="shared" si="99"/>
        <v>0</v>
      </c>
      <c r="Q122" s="211">
        <f t="shared" si="99"/>
        <v>0</v>
      </c>
      <c r="R122" s="211">
        <f t="shared" si="99"/>
        <v>0</v>
      </c>
      <c r="S122" s="211">
        <f t="shared" si="99"/>
        <v>0</v>
      </c>
      <c r="T122" s="211">
        <f t="shared" si="99"/>
        <v>0</v>
      </c>
      <c r="U122" s="211">
        <f t="shared" si="99"/>
        <v>0</v>
      </c>
      <c r="V122" s="211">
        <f t="shared" si="99"/>
        <v>0</v>
      </c>
      <c r="W122" s="211">
        <f t="shared" si="99"/>
        <v>0</v>
      </c>
      <c r="X122" s="211">
        <f t="shared" si="99"/>
        <v>0</v>
      </c>
      <c r="Y122" s="211">
        <f t="shared" si="99"/>
        <v>0</v>
      </c>
      <c r="Z122" s="211">
        <f t="shared" si="99"/>
        <v>0</v>
      </c>
      <c r="AA122" s="211">
        <f t="shared" si="99"/>
        <v>0</v>
      </c>
      <c r="AB122" s="211">
        <f t="shared" si="99"/>
        <v>0</v>
      </c>
      <c r="AC122" s="211">
        <f t="shared" si="99"/>
        <v>0</v>
      </c>
      <c r="AD122" s="211">
        <f t="shared" si="99"/>
        <v>0</v>
      </c>
      <c r="AE122" s="211">
        <f t="shared" si="99"/>
        <v>0</v>
      </c>
      <c r="AF122" s="211">
        <f t="shared" si="99"/>
        <v>0</v>
      </c>
      <c r="AG122" s="211">
        <f t="shared" si="99"/>
        <v>0</v>
      </c>
      <c r="AH122" s="211">
        <f t="shared" si="99"/>
        <v>0</v>
      </c>
      <c r="AI122" s="211">
        <f t="shared" si="99"/>
        <v>0</v>
      </c>
      <c r="AJ122" s="211">
        <f t="shared" si="99"/>
        <v>0</v>
      </c>
      <c r="AK122" s="211">
        <f t="shared" si="99"/>
        <v>0</v>
      </c>
      <c r="AL122" s="211">
        <f t="shared" si="99"/>
        <v>0</v>
      </c>
      <c r="AM122" s="211">
        <f t="shared" si="99"/>
        <v>0</v>
      </c>
      <c r="AN122" s="211">
        <f t="shared" si="99"/>
        <v>0</v>
      </c>
    </row>
    <row r="123" spans="2:40" ht="12" hidden="1" customHeight="1" outlineLevel="2">
      <c r="B123" s="245"/>
      <c r="C123" s="213" t="s">
        <v>763</v>
      </c>
      <c r="D123" s="213"/>
      <c r="E123" s="213"/>
      <c r="F123" s="213"/>
      <c r="G123" s="213"/>
      <c r="H123" s="213"/>
      <c r="I123" s="213"/>
      <c r="J123" s="213"/>
      <c r="K123" s="213"/>
      <c r="L123" s="213"/>
      <c r="M123" s="213"/>
      <c r="N123" s="213"/>
      <c r="O123" s="211">
        <f>INDEX($C$44:$AN$66,MATCH("New Customers 1MS",$C$44:$C$66,0),MATCH($C123,$C$44:$AN$44,0))</f>
        <v>0</v>
      </c>
      <c r="P123" s="211">
        <f t="shared" ref="P123:AN123" si="100">$O$123*(E111)</f>
        <v>0</v>
      </c>
      <c r="Q123" s="211">
        <f t="shared" si="100"/>
        <v>0</v>
      </c>
      <c r="R123" s="211">
        <f t="shared" si="100"/>
        <v>0</v>
      </c>
      <c r="S123" s="211">
        <f t="shared" si="100"/>
        <v>0</v>
      </c>
      <c r="T123" s="211">
        <f t="shared" si="100"/>
        <v>0</v>
      </c>
      <c r="U123" s="211">
        <f t="shared" si="100"/>
        <v>0</v>
      </c>
      <c r="V123" s="211">
        <f t="shared" si="100"/>
        <v>0</v>
      </c>
      <c r="W123" s="211">
        <f t="shared" si="100"/>
        <v>0</v>
      </c>
      <c r="X123" s="211">
        <f t="shared" si="100"/>
        <v>0</v>
      </c>
      <c r="Y123" s="211">
        <f t="shared" si="100"/>
        <v>0</v>
      </c>
      <c r="Z123" s="211">
        <f t="shared" si="100"/>
        <v>0</v>
      </c>
      <c r="AA123" s="211">
        <f t="shared" si="100"/>
        <v>0</v>
      </c>
      <c r="AB123" s="211">
        <f t="shared" si="100"/>
        <v>0</v>
      </c>
      <c r="AC123" s="211">
        <f t="shared" si="100"/>
        <v>0</v>
      </c>
      <c r="AD123" s="211">
        <f t="shared" si="100"/>
        <v>0</v>
      </c>
      <c r="AE123" s="211">
        <f t="shared" si="100"/>
        <v>0</v>
      </c>
      <c r="AF123" s="211">
        <f t="shared" si="100"/>
        <v>0</v>
      </c>
      <c r="AG123" s="211">
        <f t="shared" si="100"/>
        <v>0</v>
      </c>
      <c r="AH123" s="211">
        <f t="shared" si="100"/>
        <v>0</v>
      </c>
      <c r="AI123" s="211">
        <f t="shared" si="100"/>
        <v>0</v>
      </c>
      <c r="AJ123" s="211">
        <f t="shared" si="100"/>
        <v>0</v>
      </c>
      <c r="AK123" s="211">
        <f t="shared" si="100"/>
        <v>0</v>
      </c>
      <c r="AL123" s="211">
        <f t="shared" si="100"/>
        <v>0</v>
      </c>
      <c r="AM123" s="211">
        <f t="shared" si="100"/>
        <v>0</v>
      </c>
      <c r="AN123" s="211">
        <f t="shared" si="100"/>
        <v>0</v>
      </c>
    </row>
    <row r="124" spans="2:40" ht="12" hidden="1" customHeight="1" outlineLevel="2">
      <c r="B124" s="245"/>
      <c r="C124" s="213" t="s">
        <v>764</v>
      </c>
      <c r="D124" s="213"/>
      <c r="E124" s="213"/>
      <c r="F124" s="213"/>
      <c r="G124" s="213"/>
      <c r="H124" s="213"/>
      <c r="I124" s="213"/>
      <c r="J124" s="213"/>
      <c r="K124" s="213"/>
      <c r="L124" s="213"/>
      <c r="M124" s="213"/>
      <c r="N124" s="213"/>
      <c r="O124" s="213"/>
      <c r="P124" s="211">
        <f>INDEX($C$44:$AN$66,MATCH("New Customers 1MS",$C$44:$C$66,0),MATCH($C124,$C$44:$AN$44,0))</f>
        <v>0</v>
      </c>
      <c r="Q124" s="211">
        <f t="shared" ref="Q124:AN124" si="101">$P$124*(E111)</f>
        <v>0</v>
      </c>
      <c r="R124" s="211">
        <f t="shared" si="101"/>
        <v>0</v>
      </c>
      <c r="S124" s="211">
        <f t="shared" si="101"/>
        <v>0</v>
      </c>
      <c r="T124" s="211">
        <f t="shared" si="101"/>
        <v>0</v>
      </c>
      <c r="U124" s="211">
        <f t="shared" si="101"/>
        <v>0</v>
      </c>
      <c r="V124" s="211">
        <f t="shared" si="101"/>
        <v>0</v>
      </c>
      <c r="W124" s="211">
        <f t="shared" si="101"/>
        <v>0</v>
      </c>
      <c r="X124" s="211">
        <f t="shared" si="101"/>
        <v>0</v>
      </c>
      <c r="Y124" s="211">
        <f t="shared" si="101"/>
        <v>0</v>
      </c>
      <c r="Z124" s="211">
        <f t="shared" si="101"/>
        <v>0</v>
      </c>
      <c r="AA124" s="211">
        <f t="shared" si="101"/>
        <v>0</v>
      </c>
      <c r="AB124" s="211">
        <f t="shared" si="101"/>
        <v>0</v>
      </c>
      <c r="AC124" s="211">
        <f t="shared" si="101"/>
        <v>0</v>
      </c>
      <c r="AD124" s="211">
        <f t="shared" si="101"/>
        <v>0</v>
      </c>
      <c r="AE124" s="211">
        <f t="shared" si="101"/>
        <v>0</v>
      </c>
      <c r="AF124" s="211">
        <f t="shared" si="101"/>
        <v>0</v>
      </c>
      <c r="AG124" s="211">
        <f t="shared" si="101"/>
        <v>0</v>
      </c>
      <c r="AH124" s="211">
        <f t="shared" si="101"/>
        <v>0</v>
      </c>
      <c r="AI124" s="211">
        <f t="shared" si="101"/>
        <v>0</v>
      </c>
      <c r="AJ124" s="211">
        <f t="shared" si="101"/>
        <v>0</v>
      </c>
      <c r="AK124" s="211">
        <f t="shared" si="101"/>
        <v>0</v>
      </c>
      <c r="AL124" s="211">
        <f t="shared" si="101"/>
        <v>0</v>
      </c>
      <c r="AM124" s="211">
        <f t="shared" si="101"/>
        <v>0</v>
      </c>
      <c r="AN124" s="211">
        <f t="shared" si="101"/>
        <v>0</v>
      </c>
    </row>
    <row r="125" spans="2:40" ht="12" hidden="1" customHeight="1" outlineLevel="2">
      <c r="B125" s="245"/>
      <c r="C125" s="213" t="s">
        <v>765</v>
      </c>
      <c r="D125" s="213"/>
      <c r="E125" s="213"/>
      <c r="F125" s="213"/>
      <c r="G125" s="213"/>
      <c r="H125" s="213"/>
      <c r="I125" s="213"/>
      <c r="J125" s="213"/>
      <c r="K125" s="213"/>
      <c r="L125" s="213"/>
      <c r="M125" s="213"/>
      <c r="N125" s="213"/>
      <c r="O125" s="213"/>
      <c r="P125" s="213"/>
      <c r="Q125" s="211">
        <f>INDEX($C$44:$AN$66,MATCH("New Customers 1MS",$C$44:$C$66,0),MATCH($C125,$C$44:$AN$44,0))</f>
        <v>0</v>
      </c>
      <c r="R125" s="211">
        <f t="shared" ref="R125:AN125" si="102">$Q$125*(E111)</f>
        <v>0</v>
      </c>
      <c r="S125" s="211">
        <f t="shared" si="102"/>
        <v>0</v>
      </c>
      <c r="T125" s="211">
        <f t="shared" si="102"/>
        <v>0</v>
      </c>
      <c r="U125" s="211">
        <f t="shared" si="102"/>
        <v>0</v>
      </c>
      <c r="V125" s="211">
        <f t="shared" si="102"/>
        <v>0</v>
      </c>
      <c r="W125" s="211">
        <f t="shared" si="102"/>
        <v>0</v>
      </c>
      <c r="X125" s="211">
        <f t="shared" si="102"/>
        <v>0</v>
      </c>
      <c r="Y125" s="211">
        <f t="shared" si="102"/>
        <v>0</v>
      </c>
      <c r="Z125" s="211">
        <f t="shared" si="102"/>
        <v>0</v>
      </c>
      <c r="AA125" s="211">
        <f t="shared" si="102"/>
        <v>0</v>
      </c>
      <c r="AB125" s="211">
        <f t="shared" si="102"/>
        <v>0</v>
      </c>
      <c r="AC125" s="211">
        <f t="shared" si="102"/>
        <v>0</v>
      </c>
      <c r="AD125" s="211">
        <f t="shared" si="102"/>
        <v>0</v>
      </c>
      <c r="AE125" s="211">
        <f t="shared" si="102"/>
        <v>0</v>
      </c>
      <c r="AF125" s="211">
        <f t="shared" si="102"/>
        <v>0</v>
      </c>
      <c r="AG125" s="211">
        <f t="shared" si="102"/>
        <v>0</v>
      </c>
      <c r="AH125" s="211">
        <f t="shared" si="102"/>
        <v>0</v>
      </c>
      <c r="AI125" s="211">
        <f t="shared" si="102"/>
        <v>0</v>
      </c>
      <c r="AJ125" s="211">
        <f t="shared" si="102"/>
        <v>0</v>
      </c>
      <c r="AK125" s="211">
        <f t="shared" si="102"/>
        <v>0</v>
      </c>
      <c r="AL125" s="211">
        <f t="shared" si="102"/>
        <v>0</v>
      </c>
      <c r="AM125" s="211">
        <f t="shared" si="102"/>
        <v>0</v>
      </c>
      <c r="AN125" s="211">
        <f t="shared" si="102"/>
        <v>0</v>
      </c>
    </row>
    <row r="126" spans="2:40" ht="12" hidden="1" customHeight="1" outlineLevel="2">
      <c r="B126" s="245"/>
      <c r="C126" s="213" t="s">
        <v>766</v>
      </c>
      <c r="D126" s="213"/>
      <c r="E126" s="213"/>
      <c r="F126" s="213"/>
      <c r="G126" s="213"/>
      <c r="H126" s="213"/>
      <c r="I126" s="213"/>
      <c r="J126" s="213"/>
      <c r="K126" s="213"/>
      <c r="L126" s="213"/>
      <c r="M126" s="213"/>
      <c r="N126" s="213"/>
      <c r="O126" s="213"/>
      <c r="P126" s="213"/>
      <c r="Q126" s="213"/>
      <c r="R126" s="211">
        <f>INDEX($C$44:$AN$66,MATCH("New Customers 1MS",$C$44:$C$66,0),MATCH($C126,$C$44:$AN$44,0))</f>
        <v>0</v>
      </c>
      <c r="S126" s="211">
        <f t="shared" ref="S126:AN126" si="103">$R$126*(E111)</f>
        <v>0</v>
      </c>
      <c r="T126" s="211">
        <f t="shared" si="103"/>
        <v>0</v>
      </c>
      <c r="U126" s="211">
        <f t="shared" si="103"/>
        <v>0</v>
      </c>
      <c r="V126" s="211">
        <f t="shared" si="103"/>
        <v>0</v>
      </c>
      <c r="W126" s="211">
        <f t="shared" si="103"/>
        <v>0</v>
      </c>
      <c r="X126" s="211">
        <f t="shared" si="103"/>
        <v>0</v>
      </c>
      <c r="Y126" s="211">
        <f t="shared" si="103"/>
        <v>0</v>
      </c>
      <c r="Z126" s="211">
        <f t="shared" si="103"/>
        <v>0</v>
      </c>
      <c r="AA126" s="211">
        <f t="shared" si="103"/>
        <v>0</v>
      </c>
      <c r="AB126" s="211">
        <f t="shared" si="103"/>
        <v>0</v>
      </c>
      <c r="AC126" s="211">
        <f t="shared" si="103"/>
        <v>0</v>
      </c>
      <c r="AD126" s="211">
        <f t="shared" si="103"/>
        <v>0</v>
      </c>
      <c r="AE126" s="211">
        <f t="shared" si="103"/>
        <v>0</v>
      </c>
      <c r="AF126" s="211">
        <f t="shared" si="103"/>
        <v>0</v>
      </c>
      <c r="AG126" s="211">
        <f t="shared" si="103"/>
        <v>0</v>
      </c>
      <c r="AH126" s="211">
        <f t="shared" si="103"/>
        <v>0</v>
      </c>
      <c r="AI126" s="211">
        <f t="shared" si="103"/>
        <v>0</v>
      </c>
      <c r="AJ126" s="211">
        <f t="shared" si="103"/>
        <v>0</v>
      </c>
      <c r="AK126" s="211">
        <f t="shared" si="103"/>
        <v>0</v>
      </c>
      <c r="AL126" s="211">
        <f t="shared" si="103"/>
        <v>0</v>
      </c>
      <c r="AM126" s="211">
        <f t="shared" si="103"/>
        <v>0</v>
      </c>
      <c r="AN126" s="211">
        <f t="shared" si="103"/>
        <v>0</v>
      </c>
    </row>
    <row r="127" spans="2:40" ht="12" hidden="1" customHeight="1" outlineLevel="2">
      <c r="B127" s="245"/>
      <c r="C127" s="213" t="s">
        <v>767</v>
      </c>
      <c r="D127" s="213"/>
      <c r="E127" s="213"/>
      <c r="F127" s="213"/>
      <c r="G127" s="213"/>
      <c r="H127" s="213"/>
      <c r="I127" s="213"/>
      <c r="J127" s="213"/>
      <c r="K127" s="213"/>
      <c r="L127" s="213"/>
      <c r="M127" s="213"/>
      <c r="N127" s="213"/>
      <c r="O127" s="213"/>
      <c r="P127" s="213"/>
      <c r="Q127" s="213"/>
      <c r="R127" s="213"/>
      <c r="S127" s="211">
        <f>INDEX($C$44:$AN$66,MATCH("New Customers 1MS",$C$44:$C$66,0),MATCH($C127,$C$44:$AN$44,0))</f>
        <v>0</v>
      </c>
      <c r="T127" s="211">
        <f t="shared" ref="T127:AN127" si="104">$S$127*(E111)</f>
        <v>0</v>
      </c>
      <c r="U127" s="211">
        <f t="shared" si="104"/>
        <v>0</v>
      </c>
      <c r="V127" s="211">
        <f t="shared" si="104"/>
        <v>0</v>
      </c>
      <c r="W127" s="211">
        <f t="shared" si="104"/>
        <v>0</v>
      </c>
      <c r="X127" s="211">
        <f t="shared" si="104"/>
        <v>0</v>
      </c>
      <c r="Y127" s="211">
        <f t="shared" si="104"/>
        <v>0</v>
      </c>
      <c r="Z127" s="211">
        <f t="shared" si="104"/>
        <v>0</v>
      </c>
      <c r="AA127" s="211">
        <f t="shared" si="104"/>
        <v>0</v>
      </c>
      <c r="AB127" s="211">
        <f t="shared" si="104"/>
        <v>0</v>
      </c>
      <c r="AC127" s="211">
        <f t="shared" si="104"/>
        <v>0</v>
      </c>
      <c r="AD127" s="211">
        <f t="shared" si="104"/>
        <v>0</v>
      </c>
      <c r="AE127" s="211">
        <f t="shared" si="104"/>
        <v>0</v>
      </c>
      <c r="AF127" s="211">
        <f t="shared" si="104"/>
        <v>0</v>
      </c>
      <c r="AG127" s="211">
        <f t="shared" si="104"/>
        <v>0</v>
      </c>
      <c r="AH127" s="211">
        <f t="shared" si="104"/>
        <v>0</v>
      </c>
      <c r="AI127" s="211">
        <f t="shared" si="104"/>
        <v>0</v>
      </c>
      <c r="AJ127" s="211">
        <f t="shared" si="104"/>
        <v>0</v>
      </c>
      <c r="AK127" s="211">
        <f t="shared" si="104"/>
        <v>0</v>
      </c>
      <c r="AL127" s="211">
        <f t="shared" si="104"/>
        <v>0</v>
      </c>
      <c r="AM127" s="211">
        <f t="shared" si="104"/>
        <v>0</v>
      </c>
      <c r="AN127" s="211">
        <f t="shared" si="104"/>
        <v>0</v>
      </c>
    </row>
    <row r="128" spans="2:40" ht="12" hidden="1" customHeight="1" outlineLevel="2">
      <c r="B128" s="245"/>
      <c r="C128" s="213" t="s">
        <v>768</v>
      </c>
      <c r="D128" s="213"/>
      <c r="E128" s="213"/>
      <c r="F128" s="213"/>
      <c r="G128" s="213"/>
      <c r="H128" s="213"/>
      <c r="I128" s="213"/>
      <c r="J128" s="213"/>
      <c r="K128" s="213"/>
      <c r="L128" s="213"/>
      <c r="M128" s="213"/>
      <c r="N128" s="213"/>
      <c r="O128" s="213"/>
      <c r="P128" s="213"/>
      <c r="Q128" s="213"/>
      <c r="R128" s="213"/>
      <c r="S128" s="213"/>
      <c r="T128" s="211">
        <f>INDEX($C$44:$AN$66,MATCH("New Customers 1MS",$C$44:$C$66,0),MATCH($C128,$C$44:$AN$44,0))</f>
        <v>0</v>
      </c>
      <c r="U128" s="211">
        <f t="shared" ref="U128:AN128" si="105">$T$128*(E111)</f>
        <v>0</v>
      </c>
      <c r="V128" s="211">
        <f t="shared" si="105"/>
        <v>0</v>
      </c>
      <c r="W128" s="211">
        <f t="shared" si="105"/>
        <v>0</v>
      </c>
      <c r="X128" s="211">
        <f t="shared" si="105"/>
        <v>0</v>
      </c>
      <c r="Y128" s="211">
        <f t="shared" si="105"/>
        <v>0</v>
      </c>
      <c r="Z128" s="211">
        <f t="shared" si="105"/>
        <v>0</v>
      </c>
      <c r="AA128" s="211">
        <f t="shared" si="105"/>
        <v>0</v>
      </c>
      <c r="AB128" s="211">
        <f t="shared" si="105"/>
        <v>0</v>
      </c>
      <c r="AC128" s="211">
        <f t="shared" si="105"/>
        <v>0</v>
      </c>
      <c r="AD128" s="211">
        <f t="shared" si="105"/>
        <v>0</v>
      </c>
      <c r="AE128" s="211">
        <f t="shared" si="105"/>
        <v>0</v>
      </c>
      <c r="AF128" s="211">
        <f t="shared" si="105"/>
        <v>0</v>
      </c>
      <c r="AG128" s="211">
        <f t="shared" si="105"/>
        <v>0</v>
      </c>
      <c r="AH128" s="211">
        <f t="shared" si="105"/>
        <v>0</v>
      </c>
      <c r="AI128" s="211">
        <f t="shared" si="105"/>
        <v>0</v>
      </c>
      <c r="AJ128" s="211">
        <f t="shared" si="105"/>
        <v>0</v>
      </c>
      <c r="AK128" s="211">
        <f t="shared" si="105"/>
        <v>0</v>
      </c>
      <c r="AL128" s="211">
        <f t="shared" si="105"/>
        <v>0</v>
      </c>
      <c r="AM128" s="211">
        <f t="shared" si="105"/>
        <v>0</v>
      </c>
      <c r="AN128" s="211">
        <f t="shared" si="105"/>
        <v>0</v>
      </c>
    </row>
    <row r="129" spans="2:40" ht="12" hidden="1" customHeight="1" outlineLevel="2">
      <c r="B129" s="245"/>
      <c r="C129" s="213" t="s">
        <v>769</v>
      </c>
      <c r="D129" s="213"/>
      <c r="E129" s="213"/>
      <c r="F129" s="213"/>
      <c r="G129" s="213"/>
      <c r="H129" s="213"/>
      <c r="I129" s="213"/>
      <c r="J129" s="213"/>
      <c r="K129" s="213"/>
      <c r="L129" s="213"/>
      <c r="M129" s="213"/>
      <c r="N129" s="213"/>
      <c r="O129" s="213"/>
      <c r="P129" s="213"/>
      <c r="Q129" s="213"/>
      <c r="R129" s="213"/>
      <c r="S129" s="213"/>
      <c r="T129" s="213"/>
      <c r="U129" s="211">
        <f>INDEX($C$44:$AN$66,MATCH("New Customers 1MS",$C$44:$C$66,0),MATCH($C129,$C$44:$AN$44,0))</f>
        <v>0</v>
      </c>
      <c r="V129" s="211">
        <f t="shared" ref="V129:AN129" si="106">$U$129*(E111)</f>
        <v>0</v>
      </c>
      <c r="W129" s="211">
        <f t="shared" si="106"/>
        <v>0</v>
      </c>
      <c r="X129" s="211">
        <f t="shared" si="106"/>
        <v>0</v>
      </c>
      <c r="Y129" s="211">
        <f t="shared" si="106"/>
        <v>0</v>
      </c>
      <c r="Z129" s="211">
        <f t="shared" si="106"/>
        <v>0</v>
      </c>
      <c r="AA129" s="211">
        <f t="shared" si="106"/>
        <v>0</v>
      </c>
      <c r="AB129" s="211">
        <f t="shared" si="106"/>
        <v>0</v>
      </c>
      <c r="AC129" s="211">
        <f t="shared" si="106"/>
        <v>0</v>
      </c>
      <c r="AD129" s="211">
        <f t="shared" si="106"/>
        <v>0</v>
      </c>
      <c r="AE129" s="211">
        <f t="shared" si="106"/>
        <v>0</v>
      </c>
      <c r="AF129" s="211">
        <f t="shared" si="106"/>
        <v>0</v>
      </c>
      <c r="AG129" s="211">
        <f t="shared" si="106"/>
        <v>0</v>
      </c>
      <c r="AH129" s="211">
        <f t="shared" si="106"/>
        <v>0</v>
      </c>
      <c r="AI129" s="211">
        <f t="shared" si="106"/>
        <v>0</v>
      </c>
      <c r="AJ129" s="211">
        <f t="shared" si="106"/>
        <v>0</v>
      </c>
      <c r="AK129" s="211">
        <f t="shared" si="106"/>
        <v>0</v>
      </c>
      <c r="AL129" s="211">
        <f t="shared" si="106"/>
        <v>0</v>
      </c>
      <c r="AM129" s="211">
        <f t="shared" si="106"/>
        <v>0</v>
      </c>
      <c r="AN129" s="211">
        <f t="shared" si="106"/>
        <v>0</v>
      </c>
    </row>
    <row r="130" spans="2:40" ht="12" hidden="1" customHeight="1" outlineLevel="2">
      <c r="B130" s="245"/>
      <c r="C130" s="213" t="s">
        <v>770</v>
      </c>
      <c r="D130" s="213"/>
      <c r="E130" s="213"/>
      <c r="F130" s="213"/>
      <c r="G130" s="213"/>
      <c r="H130" s="213"/>
      <c r="I130" s="213"/>
      <c r="J130" s="213"/>
      <c r="K130" s="213"/>
      <c r="L130" s="213"/>
      <c r="M130" s="213"/>
      <c r="N130" s="213"/>
      <c r="O130" s="213"/>
      <c r="P130" s="213"/>
      <c r="Q130" s="213"/>
      <c r="R130" s="213"/>
      <c r="S130" s="213"/>
      <c r="T130" s="213"/>
      <c r="U130" s="213"/>
      <c r="V130" s="211">
        <f>INDEX($C$44:$AN$66,MATCH("New Customers 1MS",$C$44:$C$66,0),MATCH($C130,$C$44:$AN$44,0))</f>
        <v>0</v>
      </c>
      <c r="W130" s="211">
        <f t="shared" ref="W130:AN130" si="107">$V$130*(E111)</f>
        <v>0</v>
      </c>
      <c r="X130" s="211">
        <f t="shared" si="107"/>
        <v>0</v>
      </c>
      <c r="Y130" s="211">
        <f t="shared" si="107"/>
        <v>0</v>
      </c>
      <c r="Z130" s="211">
        <f t="shared" si="107"/>
        <v>0</v>
      </c>
      <c r="AA130" s="211">
        <f t="shared" si="107"/>
        <v>0</v>
      </c>
      <c r="AB130" s="211">
        <f t="shared" si="107"/>
        <v>0</v>
      </c>
      <c r="AC130" s="211">
        <f t="shared" si="107"/>
        <v>0</v>
      </c>
      <c r="AD130" s="211">
        <f t="shared" si="107"/>
        <v>0</v>
      </c>
      <c r="AE130" s="211">
        <f t="shared" si="107"/>
        <v>0</v>
      </c>
      <c r="AF130" s="211">
        <f t="shared" si="107"/>
        <v>0</v>
      </c>
      <c r="AG130" s="211">
        <f t="shared" si="107"/>
        <v>0</v>
      </c>
      <c r="AH130" s="211">
        <f t="shared" si="107"/>
        <v>0</v>
      </c>
      <c r="AI130" s="211">
        <f t="shared" si="107"/>
        <v>0</v>
      </c>
      <c r="AJ130" s="211">
        <f t="shared" si="107"/>
        <v>0</v>
      </c>
      <c r="AK130" s="211">
        <f t="shared" si="107"/>
        <v>0</v>
      </c>
      <c r="AL130" s="211">
        <f t="shared" si="107"/>
        <v>0</v>
      </c>
      <c r="AM130" s="211">
        <f t="shared" si="107"/>
        <v>0</v>
      </c>
      <c r="AN130" s="211">
        <f t="shared" si="107"/>
        <v>0</v>
      </c>
    </row>
    <row r="131" spans="2:40" ht="12" hidden="1" customHeight="1" outlineLevel="2">
      <c r="B131" s="245"/>
      <c r="C131" s="213" t="s">
        <v>771</v>
      </c>
      <c r="D131" s="213"/>
      <c r="E131" s="213"/>
      <c r="F131" s="213"/>
      <c r="G131" s="213"/>
      <c r="H131" s="213"/>
      <c r="I131" s="213"/>
      <c r="J131" s="213"/>
      <c r="K131" s="213"/>
      <c r="L131" s="213"/>
      <c r="M131" s="213"/>
      <c r="N131" s="213"/>
      <c r="O131" s="213"/>
      <c r="P131" s="213"/>
      <c r="Q131" s="213"/>
      <c r="R131" s="213"/>
      <c r="S131" s="213"/>
      <c r="T131" s="213"/>
      <c r="U131" s="213"/>
      <c r="V131" s="213"/>
      <c r="W131" s="211">
        <f>INDEX($C$44:$AN$66,MATCH("New Customers 1MS",$C$44:$C$66,0),MATCH($C131,$C$44:$AN$44,0))</f>
        <v>0</v>
      </c>
      <c r="X131" s="211">
        <f t="shared" ref="X131:AN131" si="108">$W$131*(E111)</f>
        <v>0</v>
      </c>
      <c r="Y131" s="211">
        <f t="shared" si="108"/>
        <v>0</v>
      </c>
      <c r="Z131" s="211">
        <f t="shared" si="108"/>
        <v>0</v>
      </c>
      <c r="AA131" s="211">
        <f t="shared" si="108"/>
        <v>0</v>
      </c>
      <c r="AB131" s="211">
        <f t="shared" si="108"/>
        <v>0</v>
      </c>
      <c r="AC131" s="211">
        <f t="shared" si="108"/>
        <v>0</v>
      </c>
      <c r="AD131" s="211">
        <f t="shared" si="108"/>
        <v>0</v>
      </c>
      <c r="AE131" s="211">
        <f t="shared" si="108"/>
        <v>0</v>
      </c>
      <c r="AF131" s="211">
        <f t="shared" si="108"/>
        <v>0</v>
      </c>
      <c r="AG131" s="211">
        <f t="shared" si="108"/>
        <v>0</v>
      </c>
      <c r="AH131" s="211">
        <f t="shared" si="108"/>
        <v>0</v>
      </c>
      <c r="AI131" s="211">
        <f t="shared" si="108"/>
        <v>0</v>
      </c>
      <c r="AJ131" s="211">
        <f t="shared" si="108"/>
        <v>0</v>
      </c>
      <c r="AK131" s="211">
        <f t="shared" si="108"/>
        <v>0</v>
      </c>
      <c r="AL131" s="211">
        <f t="shared" si="108"/>
        <v>0</v>
      </c>
      <c r="AM131" s="211">
        <f t="shared" si="108"/>
        <v>0</v>
      </c>
      <c r="AN131" s="211">
        <f t="shared" si="108"/>
        <v>0</v>
      </c>
    </row>
    <row r="132" spans="2:40" ht="12" hidden="1" customHeight="1" outlineLevel="2">
      <c r="B132" s="245"/>
      <c r="C132" s="213" t="s">
        <v>772</v>
      </c>
      <c r="D132" s="213"/>
      <c r="E132" s="213"/>
      <c r="F132" s="213"/>
      <c r="G132" s="213"/>
      <c r="H132" s="213"/>
      <c r="I132" s="213"/>
      <c r="J132" s="213"/>
      <c r="K132" s="213"/>
      <c r="L132" s="213"/>
      <c r="M132" s="213"/>
      <c r="N132" s="213"/>
      <c r="O132" s="213"/>
      <c r="P132" s="213"/>
      <c r="Q132" s="213"/>
      <c r="R132" s="213"/>
      <c r="S132" s="213"/>
      <c r="T132" s="213"/>
      <c r="U132" s="213"/>
      <c r="V132" s="213"/>
      <c r="W132" s="213"/>
      <c r="X132" s="211">
        <f>INDEX($C$44:$AN$66,MATCH("New Customers 1MS",$C$44:$C$66,0),MATCH($C132,$C$44:$AN$44,0))</f>
        <v>0</v>
      </c>
      <c r="Y132" s="211">
        <f t="shared" ref="Y132:AN132" si="109">$X$132*(E111)</f>
        <v>0</v>
      </c>
      <c r="Z132" s="211">
        <f t="shared" si="109"/>
        <v>0</v>
      </c>
      <c r="AA132" s="211">
        <f t="shared" si="109"/>
        <v>0</v>
      </c>
      <c r="AB132" s="211">
        <f t="shared" si="109"/>
        <v>0</v>
      </c>
      <c r="AC132" s="211">
        <f t="shared" si="109"/>
        <v>0</v>
      </c>
      <c r="AD132" s="211">
        <f t="shared" si="109"/>
        <v>0</v>
      </c>
      <c r="AE132" s="211">
        <f t="shared" si="109"/>
        <v>0</v>
      </c>
      <c r="AF132" s="211">
        <f t="shared" si="109"/>
        <v>0</v>
      </c>
      <c r="AG132" s="211">
        <f t="shared" si="109"/>
        <v>0</v>
      </c>
      <c r="AH132" s="211">
        <f t="shared" si="109"/>
        <v>0</v>
      </c>
      <c r="AI132" s="211">
        <f t="shared" si="109"/>
        <v>0</v>
      </c>
      <c r="AJ132" s="211">
        <f t="shared" si="109"/>
        <v>0</v>
      </c>
      <c r="AK132" s="211">
        <f t="shared" si="109"/>
        <v>0</v>
      </c>
      <c r="AL132" s="211">
        <f t="shared" si="109"/>
        <v>0</v>
      </c>
      <c r="AM132" s="211">
        <f t="shared" si="109"/>
        <v>0</v>
      </c>
      <c r="AN132" s="211">
        <f t="shared" si="109"/>
        <v>0</v>
      </c>
    </row>
    <row r="133" spans="2:40" ht="12" hidden="1" customHeight="1" outlineLevel="2">
      <c r="B133" s="245"/>
      <c r="C133" s="213" t="s">
        <v>773</v>
      </c>
      <c r="D133" s="213"/>
      <c r="E133" s="213"/>
      <c r="F133" s="213"/>
      <c r="G133" s="213"/>
      <c r="H133" s="213"/>
      <c r="I133" s="213"/>
      <c r="J133" s="213"/>
      <c r="K133" s="213"/>
      <c r="L133" s="213"/>
      <c r="M133" s="213"/>
      <c r="N133" s="213"/>
      <c r="O133" s="213"/>
      <c r="P133" s="213"/>
      <c r="Q133" s="213"/>
      <c r="R133" s="213"/>
      <c r="S133" s="213"/>
      <c r="T133" s="213"/>
      <c r="U133" s="213"/>
      <c r="V133" s="213"/>
      <c r="W133" s="213"/>
      <c r="X133" s="213"/>
      <c r="Y133" s="211">
        <f>INDEX($C$44:$AN$66,MATCH("New Customers 1MS",$C$44:$C$66,0),MATCH($C133,$C$44:$AN$44,0))</f>
        <v>0</v>
      </c>
      <c r="Z133" s="211">
        <f t="shared" ref="Z133:AN133" si="110">$Y$133*(E111)</f>
        <v>0</v>
      </c>
      <c r="AA133" s="211">
        <f t="shared" si="110"/>
        <v>0</v>
      </c>
      <c r="AB133" s="211">
        <f t="shared" si="110"/>
        <v>0</v>
      </c>
      <c r="AC133" s="211">
        <f t="shared" si="110"/>
        <v>0</v>
      </c>
      <c r="AD133" s="211">
        <f t="shared" si="110"/>
        <v>0</v>
      </c>
      <c r="AE133" s="211">
        <f t="shared" si="110"/>
        <v>0</v>
      </c>
      <c r="AF133" s="211">
        <f t="shared" si="110"/>
        <v>0</v>
      </c>
      <c r="AG133" s="211">
        <f t="shared" si="110"/>
        <v>0</v>
      </c>
      <c r="AH133" s="211">
        <f t="shared" si="110"/>
        <v>0</v>
      </c>
      <c r="AI133" s="211">
        <f t="shared" si="110"/>
        <v>0</v>
      </c>
      <c r="AJ133" s="211">
        <f t="shared" si="110"/>
        <v>0</v>
      </c>
      <c r="AK133" s="211">
        <f t="shared" si="110"/>
        <v>0</v>
      </c>
      <c r="AL133" s="211">
        <f t="shared" si="110"/>
        <v>0</v>
      </c>
      <c r="AM133" s="211">
        <f t="shared" si="110"/>
        <v>0</v>
      </c>
      <c r="AN133" s="211">
        <f t="shared" si="110"/>
        <v>0</v>
      </c>
    </row>
    <row r="134" spans="2:40" ht="12" hidden="1" customHeight="1" outlineLevel="2">
      <c r="B134" s="245"/>
      <c r="C134" s="213" t="s">
        <v>774</v>
      </c>
      <c r="D134" s="213"/>
      <c r="E134" s="213"/>
      <c r="F134" s="213"/>
      <c r="G134" s="213"/>
      <c r="H134" s="213"/>
      <c r="I134" s="213"/>
      <c r="J134" s="213"/>
      <c r="K134" s="213"/>
      <c r="L134" s="213"/>
      <c r="M134" s="213"/>
      <c r="N134" s="213"/>
      <c r="O134" s="213"/>
      <c r="P134" s="213"/>
      <c r="Q134" s="213"/>
      <c r="R134" s="213"/>
      <c r="S134" s="213"/>
      <c r="T134" s="213"/>
      <c r="U134" s="213"/>
      <c r="V134" s="213"/>
      <c r="W134" s="213"/>
      <c r="X134" s="213"/>
      <c r="Y134" s="213"/>
      <c r="Z134" s="211">
        <f>INDEX($C$44:$AN$66,MATCH("New Customers 1MS",$C$44:$C$66,0),MATCH($C134,$C$44:$AN$44,0))</f>
        <v>0</v>
      </c>
      <c r="AA134" s="211">
        <f t="shared" ref="AA134:AN134" si="111">$Z$134*(E111)</f>
        <v>0</v>
      </c>
      <c r="AB134" s="211">
        <f t="shared" si="111"/>
        <v>0</v>
      </c>
      <c r="AC134" s="211">
        <f t="shared" si="111"/>
        <v>0</v>
      </c>
      <c r="AD134" s="211">
        <f t="shared" si="111"/>
        <v>0</v>
      </c>
      <c r="AE134" s="211">
        <f t="shared" si="111"/>
        <v>0</v>
      </c>
      <c r="AF134" s="211">
        <f t="shared" si="111"/>
        <v>0</v>
      </c>
      <c r="AG134" s="211">
        <f t="shared" si="111"/>
        <v>0</v>
      </c>
      <c r="AH134" s="211">
        <f t="shared" si="111"/>
        <v>0</v>
      </c>
      <c r="AI134" s="211">
        <f t="shared" si="111"/>
        <v>0</v>
      </c>
      <c r="AJ134" s="211">
        <f t="shared" si="111"/>
        <v>0</v>
      </c>
      <c r="AK134" s="211">
        <f t="shared" si="111"/>
        <v>0</v>
      </c>
      <c r="AL134" s="211">
        <f t="shared" si="111"/>
        <v>0</v>
      </c>
      <c r="AM134" s="211">
        <f t="shared" si="111"/>
        <v>0</v>
      </c>
      <c r="AN134" s="211">
        <f t="shared" si="111"/>
        <v>0</v>
      </c>
    </row>
    <row r="135" spans="2:40" ht="12" hidden="1" customHeight="1" outlineLevel="2">
      <c r="B135" s="245"/>
      <c r="C135" s="213" t="s">
        <v>775</v>
      </c>
      <c r="D135" s="213"/>
      <c r="E135" s="213"/>
      <c r="F135" s="213"/>
      <c r="G135" s="213"/>
      <c r="H135" s="213"/>
      <c r="I135" s="213"/>
      <c r="J135" s="213"/>
      <c r="K135" s="213"/>
      <c r="L135" s="213"/>
      <c r="M135" s="213"/>
      <c r="N135" s="213"/>
      <c r="O135" s="213"/>
      <c r="P135" s="213"/>
      <c r="Q135" s="213"/>
      <c r="R135" s="213"/>
      <c r="S135" s="213"/>
      <c r="T135" s="213"/>
      <c r="U135" s="213"/>
      <c r="V135" s="213"/>
      <c r="W135" s="213"/>
      <c r="X135" s="213"/>
      <c r="Y135" s="213"/>
      <c r="Z135" s="213"/>
      <c r="AA135" s="211">
        <f>INDEX($C$44:$AN$66,MATCH("New Customers 1MS",$C$44:$C$66,0),MATCH($C135,$C$44:$AN$44,0))</f>
        <v>0</v>
      </c>
      <c r="AB135" s="211">
        <f t="shared" ref="AB135:AN135" si="112">$AA$135*(E111)</f>
        <v>0</v>
      </c>
      <c r="AC135" s="211">
        <f t="shared" si="112"/>
        <v>0</v>
      </c>
      <c r="AD135" s="211">
        <f t="shared" si="112"/>
        <v>0</v>
      </c>
      <c r="AE135" s="211">
        <f t="shared" si="112"/>
        <v>0</v>
      </c>
      <c r="AF135" s="211">
        <f t="shared" si="112"/>
        <v>0</v>
      </c>
      <c r="AG135" s="211">
        <f t="shared" si="112"/>
        <v>0</v>
      </c>
      <c r="AH135" s="211">
        <f t="shared" si="112"/>
        <v>0</v>
      </c>
      <c r="AI135" s="211">
        <f t="shared" si="112"/>
        <v>0</v>
      </c>
      <c r="AJ135" s="211">
        <f t="shared" si="112"/>
        <v>0</v>
      </c>
      <c r="AK135" s="211">
        <f t="shared" si="112"/>
        <v>0</v>
      </c>
      <c r="AL135" s="211">
        <f t="shared" si="112"/>
        <v>0</v>
      </c>
      <c r="AM135" s="211">
        <f t="shared" si="112"/>
        <v>0</v>
      </c>
      <c r="AN135" s="211">
        <f t="shared" si="112"/>
        <v>0</v>
      </c>
    </row>
    <row r="136" spans="2:40" ht="12" hidden="1" customHeight="1" outlineLevel="2">
      <c r="B136" s="245"/>
      <c r="C136" s="213" t="s">
        <v>776</v>
      </c>
      <c r="D136" s="213"/>
      <c r="E136" s="213"/>
      <c r="F136" s="213"/>
      <c r="G136" s="213"/>
      <c r="H136" s="213"/>
      <c r="I136" s="213"/>
      <c r="J136" s="213"/>
      <c r="K136" s="213"/>
      <c r="L136" s="213"/>
      <c r="M136" s="213"/>
      <c r="N136" s="213"/>
      <c r="O136" s="213"/>
      <c r="P136" s="213"/>
      <c r="Q136" s="213"/>
      <c r="R136" s="213"/>
      <c r="S136" s="213"/>
      <c r="T136" s="213"/>
      <c r="U136" s="213"/>
      <c r="V136" s="213"/>
      <c r="W136" s="213"/>
      <c r="X136" s="213"/>
      <c r="Y136" s="213"/>
      <c r="Z136" s="213"/>
      <c r="AA136" s="213"/>
      <c r="AB136" s="211">
        <f>INDEX($C$44:$AN$66,MATCH("New Customers 1MS",$C$44:$C$66,0),MATCH($C136,$C$44:$AN$44,0))</f>
        <v>0</v>
      </c>
      <c r="AC136" s="211">
        <f t="shared" ref="AC136:AN136" si="113">$AB$136*(E111)</f>
        <v>0</v>
      </c>
      <c r="AD136" s="211">
        <f t="shared" si="113"/>
        <v>0</v>
      </c>
      <c r="AE136" s="211">
        <f t="shared" si="113"/>
        <v>0</v>
      </c>
      <c r="AF136" s="211">
        <f t="shared" si="113"/>
        <v>0</v>
      </c>
      <c r="AG136" s="211">
        <f t="shared" si="113"/>
        <v>0</v>
      </c>
      <c r="AH136" s="211">
        <f t="shared" si="113"/>
        <v>0</v>
      </c>
      <c r="AI136" s="211">
        <f t="shared" si="113"/>
        <v>0</v>
      </c>
      <c r="AJ136" s="211">
        <f t="shared" si="113"/>
        <v>0</v>
      </c>
      <c r="AK136" s="211">
        <f t="shared" si="113"/>
        <v>0</v>
      </c>
      <c r="AL136" s="211">
        <f t="shared" si="113"/>
        <v>0</v>
      </c>
      <c r="AM136" s="211">
        <f t="shared" si="113"/>
        <v>0</v>
      </c>
      <c r="AN136" s="211">
        <f t="shared" si="113"/>
        <v>0</v>
      </c>
    </row>
    <row r="137" spans="2:40" ht="12" hidden="1" customHeight="1" outlineLevel="2">
      <c r="B137" s="245"/>
      <c r="C137" s="213" t="s">
        <v>777</v>
      </c>
      <c r="D137" s="213"/>
      <c r="E137" s="213"/>
      <c r="F137" s="213"/>
      <c r="G137" s="213"/>
      <c r="H137" s="213"/>
      <c r="I137" s="213"/>
      <c r="J137" s="213"/>
      <c r="K137" s="213"/>
      <c r="L137" s="213"/>
      <c r="M137" s="213"/>
      <c r="N137" s="213"/>
      <c r="O137" s="213"/>
      <c r="P137" s="213"/>
      <c r="Q137" s="213"/>
      <c r="R137" s="213"/>
      <c r="S137" s="213"/>
      <c r="T137" s="213"/>
      <c r="U137" s="213"/>
      <c r="V137" s="213"/>
      <c r="W137" s="213"/>
      <c r="X137" s="213"/>
      <c r="Y137" s="213"/>
      <c r="Z137" s="213"/>
      <c r="AA137" s="213"/>
      <c r="AB137" s="211"/>
      <c r="AC137" s="211">
        <f>INDEX($C$44:$AN$66,MATCH("New Customers 1MS",$C$44:$C$66,0),MATCH($C137,$C$44:$AN$44,0))</f>
        <v>0</v>
      </c>
      <c r="AD137" s="211">
        <f t="shared" ref="AD137:AN137" si="114">$AC$137*(E111)</f>
        <v>0</v>
      </c>
      <c r="AE137" s="211">
        <f t="shared" si="114"/>
        <v>0</v>
      </c>
      <c r="AF137" s="211">
        <f t="shared" si="114"/>
        <v>0</v>
      </c>
      <c r="AG137" s="211">
        <f t="shared" si="114"/>
        <v>0</v>
      </c>
      <c r="AH137" s="211">
        <f t="shared" si="114"/>
        <v>0</v>
      </c>
      <c r="AI137" s="211">
        <f t="shared" si="114"/>
        <v>0</v>
      </c>
      <c r="AJ137" s="211">
        <f t="shared" si="114"/>
        <v>0</v>
      </c>
      <c r="AK137" s="211">
        <f t="shared" si="114"/>
        <v>0</v>
      </c>
      <c r="AL137" s="211">
        <f t="shared" si="114"/>
        <v>0</v>
      </c>
      <c r="AM137" s="211">
        <f t="shared" si="114"/>
        <v>0</v>
      </c>
      <c r="AN137" s="211">
        <f t="shared" si="114"/>
        <v>0</v>
      </c>
    </row>
    <row r="138" spans="2:40" ht="12" hidden="1" customHeight="1" outlineLevel="2">
      <c r="B138" s="245"/>
      <c r="C138" s="213" t="s">
        <v>778</v>
      </c>
      <c r="D138" s="213"/>
      <c r="E138" s="213"/>
      <c r="F138" s="213"/>
      <c r="G138" s="213"/>
      <c r="H138" s="213"/>
      <c r="I138" s="213"/>
      <c r="J138" s="213"/>
      <c r="K138" s="213"/>
      <c r="L138" s="213"/>
      <c r="M138" s="213"/>
      <c r="N138" s="213"/>
      <c r="O138" s="213"/>
      <c r="P138" s="213"/>
      <c r="Q138" s="213"/>
      <c r="R138" s="213"/>
      <c r="S138" s="213"/>
      <c r="T138" s="213"/>
      <c r="U138" s="213"/>
      <c r="V138" s="213"/>
      <c r="W138" s="213"/>
      <c r="X138" s="213"/>
      <c r="Y138" s="213"/>
      <c r="Z138" s="213"/>
      <c r="AA138" s="213"/>
      <c r="AB138" s="211"/>
      <c r="AC138" s="211"/>
      <c r="AD138" s="211">
        <f>INDEX($C$44:$AN$66,MATCH("New Customers 1MS",$C$44:$C$66,0),MATCH($C138,$C$44:$AN$44,0))</f>
        <v>0</v>
      </c>
      <c r="AE138" s="211">
        <f t="shared" ref="AE138:AN138" si="115">$AD$138*(E111)</f>
        <v>0</v>
      </c>
      <c r="AF138" s="211">
        <f t="shared" si="115"/>
        <v>0</v>
      </c>
      <c r="AG138" s="211">
        <f t="shared" si="115"/>
        <v>0</v>
      </c>
      <c r="AH138" s="211">
        <f t="shared" si="115"/>
        <v>0</v>
      </c>
      <c r="AI138" s="211">
        <f t="shared" si="115"/>
        <v>0</v>
      </c>
      <c r="AJ138" s="211">
        <f t="shared" si="115"/>
        <v>0</v>
      </c>
      <c r="AK138" s="211">
        <f t="shared" si="115"/>
        <v>0</v>
      </c>
      <c r="AL138" s="211">
        <f t="shared" si="115"/>
        <v>0</v>
      </c>
      <c r="AM138" s="211">
        <f t="shared" si="115"/>
        <v>0</v>
      </c>
      <c r="AN138" s="211">
        <f t="shared" si="115"/>
        <v>0</v>
      </c>
    </row>
    <row r="139" spans="2:40" ht="12" hidden="1" customHeight="1" outlineLevel="2">
      <c r="B139" s="245"/>
      <c r="C139" s="213" t="s">
        <v>779</v>
      </c>
      <c r="D139" s="213"/>
      <c r="E139" s="213"/>
      <c r="F139" s="213"/>
      <c r="G139" s="213"/>
      <c r="H139" s="213"/>
      <c r="I139" s="213"/>
      <c r="J139" s="213"/>
      <c r="K139" s="213"/>
      <c r="L139" s="213"/>
      <c r="M139" s="213"/>
      <c r="N139" s="213"/>
      <c r="O139" s="213"/>
      <c r="P139" s="213"/>
      <c r="Q139" s="213"/>
      <c r="R139" s="213"/>
      <c r="S139" s="213"/>
      <c r="T139" s="213"/>
      <c r="U139" s="213"/>
      <c r="V139" s="213"/>
      <c r="W139" s="213"/>
      <c r="X139" s="213"/>
      <c r="Y139" s="213"/>
      <c r="Z139" s="213"/>
      <c r="AA139" s="213"/>
      <c r="AB139" s="211"/>
      <c r="AC139" s="211"/>
      <c r="AD139" s="211"/>
      <c r="AE139" s="211">
        <f>INDEX($C$44:$AN$66,MATCH("New Customers 1MS",$C$44:$C$66,0),MATCH($C139,$C$44:$AN$44,0))</f>
        <v>0</v>
      </c>
      <c r="AF139" s="211">
        <f t="shared" ref="AF139:AM139" si="116">$AE$139*(E111)</f>
        <v>0</v>
      </c>
      <c r="AG139" s="211">
        <f t="shared" si="116"/>
        <v>0</v>
      </c>
      <c r="AH139" s="211">
        <f t="shared" si="116"/>
        <v>0</v>
      </c>
      <c r="AI139" s="211">
        <f t="shared" si="116"/>
        <v>0</v>
      </c>
      <c r="AJ139" s="211">
        <f t="shared" si="116"/>
        <v>0</v>
      </c>
      <c r="AK139" s="211">
        <f t="shared" si="116"/>
        <v>0</v>
      </c>
      <c r="AL139" s="211">
        <f t="shared" si="116"/>
        <v>0</v>
      </c>
      <c r="AM139" s="211">
        <f t="shared" si="116"/>
        <v>0</v>
      </c>
      <c r="AN139" s="211">
        <f>AM139*(M111)</f>
        <v>0</v>
      </c>
    </row>
    <row r="140" spans="2:40" ht="12" hidden="1" customHeight="1" outlineLevel="2">
      <c r="B140" s="245"/>
      <c r="C140" s="213" t="s">
        <v>780</v>
      </c>
      <c r="D140" s="213"/>
      <c r="E140" s="213"/>
      <c r="F140" s="213"/>
      <c r="G140" s="213"/>
      <c r="H140" s="213"/>
      <c r="I140" s="213"/>
      <c r="J140" s="213"/>
      <c r="K140" s="213"/>
      <c r="L140" s="213"/>
      <c r="M140" s="213"/>
      <c r="N140" s="213"/>
      <c r="O140" s="213"/>
      <c r="P140" s="213"/>
      <c r="Q140" s="213"/>
      <c r="R140" s="213"/>
      <c r="S140" s="213"/>
      <c r="T140" s="213"/>
      <c r="U140" s="213"/>
      <c r="V140" s="213"/>
      <c r="W140" s="213"/>
      <c r="X140" s="213"/>
      <c r="Y140" s="213"/>
      <c r="Z140" s="213"/>
      <c r="AA140" s="213"/>
      <c r="AB140" s="211"/>
      <c r="AC140" s="211"/>
      <c r="AD140" s="211"/>
      <c r="AE140" s="211"/>
      <c r="AF140" s="211">
        <f>INDEX($C$44:$AN$66,MATCH("New Customers 1MS",$C$44:$C$66,0),MATCH($C140,$C$44:$AN$44,0))</f>
        <v>0</v>
      </c>
      <c r="AG140" s="211">
        <f t="shared" ref="AG140:AM140" si="117">$AF$140*(E111)</f>
        <v>0</v>
      </c>
      <c r="AH140" s="211">
        <f t="shared" si="117"/>
        <v>0</v>
      </c>
      <c r="AI140" s="211">
        <f t="shared" si="117"/>
        <v>0</v>
      </c>
      <c r="AJ140" s="211">
        <f t="shared" si="117"/>
        <v>0</v>
      </c>
      <c r="AK140" s="211">
        <f t="shared" si="117"/>
        <v>0</v>
      </c>
      <c r="AL140" s="211">
        <f t="shared" si="117"/>
        <v>0</v>
      </c>
      <c r="AM140" s="211">
        <f t="shared" si="117"/>
        <v>0</v>
      </c>
      <c r="AN140" s="211">
        <f>AM140*(L111)</f>
        <v>0</v>
      </c>
    </row>
    <row r="141" spans="2:40" ht="12" hidden="1" customHeight="1" outlineLevel="2">
      <c r="B141" s="245"/>
      <c r="C141" s="213" t="s">
        <v>781</v>
      </c>
      <c r="D141" s="213"/>
      <c r="E141" s="213"/>
      <c r="F141" s="213"/>
      <c r="G141" s="213"/>
      <c r="H141" s="213"/>
      <c r="I141" s="213"/>
      <c r="J141" s="213"/>
      <c r="K141" s="213"/>
      <c r="L141" s="213"/>
      <c r="M141" s="213"/>
      <c r="N141" s="213"/>
      <c r="O141" s="213"/>
      <c r="P141" s="213"/>
      <c r="Q141" s="213"/>
      <c r="R141" s="213"/>
      <c r="S141" s="213"/>
      <c r="T141" s="213"/>
      <c r="U141" s="213"/>
      <c r="V141" s="213"/>
      <c r="W141" s="213"/>
      <c r="X141" s="213"/>
      <c r="Y141" s="213"/>
      <c r="Z141" s="213"/>
      <c r="AA141" s="213"/>
      <c r="AB141" s="211"/>
      <c r="AC141" s="211"/>
      <c r="AD141" s="211"/>
      <c r="AE141" s="211"/>
      <c r="AF141" s="211"/>
      <c r="AG141" s="211">
        <f>INDEX($C$44:$AN$66,MATCH("New Customers 1MS",$C$44:$C$66,0),MATCH($C141,$C$44:$AN$44,0))</f>
        <v>0</v>
      </c>
      <c r="AH141" s="211">
        <f t="shared" ref="AH141:AN141" si="118">$AG$141*(E111)</f>
        <v>0</v>
      </c>
      <c r="AI141" s="211">
        <f t="shared" si="118"/>
        <v>0</v>
      </c>
      <c r="AJ141" s="211">
        <f t="shared" si="118"/>
        <v>0</v>
      </c>
      <c r="AK141" s="211">
        <f t="shared" si="118"/>
        <v>0</v>
      </c>
      <c r="AL141" s="211">
        <f t="shared" si="118"/>
        <v>0</v>
      </c>
      <c r="AM141" s="211">
        <f t="shared" si="118"/>
        <v>0</v>
      </c>
      <c r="AN141" s="211">
        <f t="shared" si="118"/>
        <v>0</v>
      </c>
    </row>
    <row r="142" spans="2:40" ht="12" hidden="1" customHeight="1" outlineLevel="2">
      <c r="B142" s="245"/>
      <c r="C142" s="213" t="s">
        <v>782</v>
      </c>
      <c r="D142" s="213"/>
      <c r="E142" s="213"/>
      <c r="F142" s="213"/>
      <c r="G142" s="213"/>
      <c r="H142" s="213"/>
      <c r="I142" s="213"/>
      <c r="J142" s="213"/>
      <c r="K142" s="213"/>
      <c r="L142" s="213"/>
      <c r="M142" s="213"/>
      <c r="N142" s="213"/>
      <c r="O142" s="213"/>
      <c r="P142" s="213"/>
      <c r="Q142" s="213"/>
      <c r="R142" s="213"/>
      <c r="S142" s="213"/>
      <c r="T142" s="213"/>
      <c r="U142" s="213"/>
      <c r="V142" s="213"/>
      <c r="W142" s="213"/>
      <c r="X142" s="213"/>
      <c r="Y142" s="213"/>
      <c r="Z142" s="213"/>
      <c r="AA142" s="213"/>
      <c r="AB142" s="211"/>
      <c r="AC142" s="211"/>
      <c r="AD142" s="211"/>
      <c r="AE142" s="211"/>
      <c r="AF142" s="211"/>
      <c r="AG142" s="211"/>
      <c r="AH142" s="211">
        <f>INDEX($C$44:$AN$66,MATCH("New Customers 1MS",$C$44:$C$66,0),MATCH($C142,$C$44:$AN$44,0))</f>
        <v>0</v>
      </c>
      <c r="AI142" s="211">
        <f t="shared" ref="AI142:AN142" si="119">$AH$142*(E111)</f>
        <v>0</v>
      </c>
      <c r="AJ142" s="211">
        <f t="shared" si="119"/>
        <v>0</v>
      </c>
      <c r="AK142" s="211">
        <f t="shared" si="119"/>
        <v>0</v>
      </c>
      <c r="AL142" s="211">
        <f t="shared" si="119"/>
        <v>0</v>
      </c>
      <c r="AM142" s="211">
        <f t="shared" si="119"/>
        <v>0</v>
      </c>
      <c r="AN142" s="211">
        <f t="shared" si="119"/>
        <v>0</v>
      </c>
    </row>
    <row r="143" spans="2:40" ht="12" hidden="1" customHeight="1" outlineLevel="2">
      <c r="B143" s="245"/>
      <c r="C143" s="213" t="s">
        <v>783</v>
      </c>
      <c r="D143" s="213"/>
      <c r="E143" s="213"/>
      <c r="F143" s="213"/>
      <c r="G143" s="213"/>
      <c r="H143" s="213"/>
      <c r="I143" s="213"/>
      <c r="J143" s="213"/>
      <c r="K143" s="213"/>
      <c r="L143" s="213"/>
      <c r="M143" s="213"/>
      <c r="N143" s="213"/>
      <c r="O143" s="213"/>
      <c r="P143" s="213"/>
      <c r="Q143" s="213"/>
      <c r="R143" s="213"/>
      <c r="S143" s="213"/>
      <c r="T143" s="213"/>
      <c r="U143" s="213"/>
      <c r="V143" s="213"/>
      <c r="W143" s="213"/>
      <c r="X143" s="213"/>
      <c r="Y143" s="213"/>
      <c r="Z143" s="213"/>
      <c r="AA143" s="213"/>
      <c r="AB143" s="211"/>
      <c r="AC143" s="211"/>
      <c r="AD143" s="211"/>
      <c r="AE143" s="211"/>
      <c r="AF143" s="211"/>
      <c r="AG143" s="211"/>
      <c r="AH143" s="211"/>
      <c r="AI143" s="211">
        <f>INDEX($C$44:$AN$66,MATCH("New Customers 1MS",$C$44:$C$66,0),MATCH($C143,$C$44:$AN$44,0))</f>
        <v>0</v>
      </c>
      <c r="AJ143" s="211">
        <f>$AI$143*(E111)</f>
        <v>0</v>
      </c>
      <c r="AK143" s="211">
        <f>$AI$143*(F111)</f>
        <v>0</v>
      </c>
      <c r="AL143" s="211">
        <f>$AI$143*(G111)</f>
        <v>0</v>
      </c>
      <c r="AM143" s="211">
        <f>$AI$143*(H111)</f>
        <v>0</v>
      </c>
      <c r="AN143" s="211">
        <f>$AI$143*(I111)</f>
        <v>0</v>
      </c>
    </row>
    <row r="144" spans="2:40" ht="12" hidden="1" customHeight="1" outlineLevel="2">
      <c r="B144" s="245"/>
      <c r="C144" s="213" t="s">
        <v>784</v>
      </c>
      <c r="D144" s="213"/>
      <c r="E144" s="213"/>
      <c r="F144" s="213"/>
      <c r="G144" s="213"/>
      <c r="H144" s="213"/>
      <c r="I144" s="213"/>
      <c r="J144" s="213"/>
      <c r="K144" s="213"/>
      <c r="L144" s="213"/>
      <c r="M144" s="213"/>
      <c r="N144" s="213"/>
      <c r="O144" s="213"/>
      <c r="P144" s="213"/>
      <c r="Q144" s="213"/>
      <c r="R144" s="213"/>
      <c r="S144" s="213"/>
      <c r="T144" s="213"/>
      <c r="U144" s="213"/>
      <c r="V144" s="213"/>
      <c r="W144" s="213"/>
      <c r="X144" s="213"/>
      <c r="Y144" s="213"/>
      <c r="Z144" s="213"/>
      <c r="AA144" s="213"/>
      <c r="AB144" s="211"/>
      <c r="AC144" s="211"/>
      <c r="AD144" s="211"/>
      <c r="AE144" s="211"/>
      <c r="AF144" s="211"/>
      <c r="AG144" s="211"/>
      <c r="AH144" s="211"/>
      <c r="AI144" s="211"/>
      <c r="AJ144" s="211">
        <f>INDEX($C$44:$AN$66,MATCH("New Customers 1MS",$C$44:$C$66,0),MATCH($C144,$C$44:$AN$44,0))</f>
        <v>0</v>
      </c>
      <c r="AK144" s="211">
        <f>$AJ$144*(E111)</f>
        <v>0</v>
      </c>
      <c r="AL144" s="211">
        <f>$AJ$144*(F111)</f>
        <v>0</v>
      </c>
      <c r="AM144" s="211">
        <f>$AJ$144*(G111)</f>
        <v>0</v>
      </c>
      <c r="AN144" s="211">
        <f>$AJ$144*(H111)</f>
        <v>0</v>
      </c>
    </row>
    <row r="145" spans="2:41" ht="12" hidden="1" customHeight="1" outlineLevel="2">
      <c r="B145" s="245"/>
      <c r="C145" s="213" t="s">
        <v>785</v>
      </c>
      <c r="D145" s="213"/>
      <c r="E145" s="213"/>
      <c r="F145" s="213"/>
      <c r="G145" s="213"/>
      <c r="H145" s="213"/>
      <c r="I145" s="213"/>
      <c r="J145" s="213"/>
      <c r="K145" s="213"/>
      <c r="L145" s="213"/>
      <c r="M145" s="213"/>
      <c r="N145" s="213"/>
      <c r="O145" s="213"/>
      <c r="P145" s="213"/>
      <c r="Q145" s="213"/>
      <c r="R145" s="213"/>
      <c r="S145" s="213"/>
      <c r="T145" s="213"/>
      <c r="U145" s="213"/>
      <c r="V145" s="213"/>
      <c r="W145" s="213"/>
      <c r="X145" s="213"/>
      <c r="Y145" s="213"/>
      <c r="Z145" s="213"/>
      <c r="AA145" s="213"/>
      <c r="AB145" s="211"/>
      <c r="AC145" s="211"/>
      <c r="AD145" s="211"/>
      <c r="AE145" s="211"/>
      <c r="AF145" s="211"/>
      <c r="AG145" s="211"/>
      <c r="AH145" s="211"/>
      <c r="AI145" s="211"/>
      <c r="AJ145" s="211"/>
      <c r="AK145" s="211">
        <f>INDEX($C$44:$AN$66,MATCH("New Customers 1MS",$C$44:$C$66,0),MATCH($C145,$C$44:$AN$44,0))</f>
        <v>0</v>
      </c>
      <c r="AL145" s="211">
        <f>$AK$145*(E111)</f>
        <v>0</v>
      </c>
      <c r="AM145" s="211">
        <f>$AK$145*(F111)</f>
        <v>0</v>
      </c>
      <c r="AN145" s="211">
        <f>$AK$145*(G111)</f>
        <v>0</v>
      </c>
    </row>
    <row r="146" spans="2:41" ht="12" hidden="1" customHeight="1" outlineLevel="2">
      <c r="B146" s="245"/>
      <c r="C146" s="213" t="s">
        <v>786</v>
      </c>
      <c r="D146" s="213"/>
      <c r="E146" s="213"/>
      <c r="F146" s="213"/>
      <c r="G146" s="213"/>
      <c r="H146" s="213"/>
      <c r="I146" s="213"/>
      <c r="J146" s="213"/>
      <c r="K146" s="213"/>
      <c r="L146" s="213"/>
      <c r="M146" s="213"/>
      <c r="N146" s="213"/>
      <c r="O146" s="213"/>
      <c r="P146" s="213"/>
      <c r="Q146" s="213"/>
      <c r="R146" s="213"/>
      <c r="S146" s="213"/>
      <c r="T146" s="213"/>
      <c r="U146" s="213"/>
      <c r="V146" s="213"/>
      <c r="W146" s="213"/>
      <c r="X146" s="213"/>
      <c r="Y146" s="213"/>
      <c r="Z146" s="213"/>
      <c r="AA146" s="213"/>
      <c r="AB146" s="211"/>
      <c r="AC146" s="211"/>
      <c r="AD146" s="211"/>
      <c r="AE146" s="211"/>
      <c r="AF146" s="211"/>
      <c r="AG146" s="211"/>
      <c r="AH146" s="211"/>
      <c r="AI146" s="211"/>
      <c r="AJ146" s="211"/>
      <c r="AK146" s="211"/>
      <c r="AL146" s="211">
        <f>INDEX($C$44:$AN$66,MATCH("New Customers 1MS",$C$44:$C$66,0),MATCH($C146,$C$44:$AN$44,0))</f>
        <v>0</v>
      </c>
      <c r="AM146" s="211">
        <f>$AL$146*(E111)</f>
        <v>0</v>
      </c>
      <c r="AN146" s="211">
        <f>$AL$146*(F111)</f>
        <v>0</v>
      </c>
    </row>
    <row r="147" spans="2:41" ht="12" hidden="1" customHeight="1" outlineLevel="2">
      <c r="B147" s="245"/>
      <c r="C147" s="213" t="s">
        <v>787</v>
      </c>
      <c r="D147" s="213"/>
      <c r="E147" s="213"/>
      <c r="F147" s="213"/>
      <c r="G147" s="213"/>
      <c r="H147" s="213"/>
      <c r="I147" s="213"/>
      <c r="J147" s="213"/>
      <c r="K147" s="213"/>
      <c r="L147" s="213"/>
      <c r="M147" s="213"/>
      <c r="N147" s="213"/>
      <c r="O147" s="213"/>
      <c r="P147" s="213"/>
      <c r="Q147" s="213"/>
      <c r="R147" s="213"/>
      <c r="S147" s="213"/>
      <c r="T147" s="213"/>
      <c r="U147" s="213"/>
      <c r="V147" s="213"/>
      <c r="W147" s="213"/>
      <c r="X147" s="213"/>
      <c r="Y147" s="213"/>
      <c r="Z147" s="213"/>
      <c r="AA147" s="213"/>
      <c r="AB147" s="211"/>
      <c r="AC147" s="211"/>
      <c r="AD147" s="211"/>
      <c r="AE147" s="211"/>
      <c r="AF147" s="211"/>
      <c r="AG147" s="211"/>
      <c r="AH147" s="211"/>
      <c r="AI147" s="211"/>
      <c r="AJ147" s="211"/>
      <c r="AK147" s="211"/>
      <c r="AL147" s="211"/>
      <c r="AM147" s="211">
        <f>INDEX($C$44:$AN$66,MATCH("New Customers 1MS",$C$44:$C$66,0),MATCH($C147,$C$44:$AN$44,0))</f>
        <v>0</v>
      </c>
      <c r="AN147" s="211">
        <f>$AM$147*(E111)</f>
        <v>0</v>
      </c>
    </row>
    <row r="148" spans="2:41" ht="12" hidden="1" customHeight="1" outlineLevel="2">
      <c r="B148" s="245"/>
      <c r="C148" s="213" t="s">
        <v>788</v>
      </c>
      <c r="D148" s="213"/>
      <c r="E148" s="213"/>
      <c r="F148" s="213"/>
      <c r="G148" s="213"/>
      <c r="H148" s="213"/>
      <c r="I148" s="213"/>
      <c r="J148" s="213"/>
      <c r="K148" s="213"/>
      <c r="L148" s="213"/>
      <c r="M148" s="213"/>
      <c r="N148" s="213"/>
      <c r="O148" s="213"/>
      <c r="P148" s="213"/>
      <c r="Q148" s="213"/>
      <c r="R148" s="213"/>
      <c r="S148" s="213"/>
      <c r="T148" s="213"/>
      <c r="U148" s="213"/>
      <c r="V148" s="213"/>
      <c r="W148" s="213"/>
      <c r="X148" s="213"/>
      <c r="Y148" s="213"/>
      <c r="Z148" s="213"/>
      <c r="AA148" s="213"/>
      <c r="AB148" s="211"/>
      <c r="AC148" s="211"/>
      <c r="AD148" s="211"/>
      <c r="AE148" s="211"/>
      <c r="AF148" s="211"/>
      <c r="AG148" s="211"/>
      <c r="AH148" s="211"/>
      <c r="AI148" s="211"/>
      <c r="AJ148" s="211"/>
      <c r="AK148" s="211"/>
      <c r="AL148" s="211"/>
      <c r="AM148" s="211"/>
      <c r="AN148" s="211">
        <f>INDEX($C$44:$AN$66,MATCH("New Customers 1MS",$C$44:$C$66,0),MATCH($C148,$C$44:$AN$44,0))</f>
        <v>0</v>
      </c>
    </row>
    <row r="149" spans="2:41" ht="12" hidden="1" customHeight="1" outlineLevel="2">
      <c r="B149" s="245"/>
      <c r="C149" s="213"/>
      <c r="D149" s="213"/>
      <c r="E149" s="213"/>
      <c r="F149" s="213"/>
      <c r="G149" s="213"/>
      <c r="H149" s="213"/>
      <c r="I149" s="213"/>
      <c r="J149" s="213"/>
      <c r="K149" s="213"/>
      <c r="L149" s="213"/>
      <c r="M149" s="213"/>
      <c r="N149" s="213"/>
      <c r="O149" s="213"/>
      <c r="P149" s="213"/>
      <c r="Q149" s="213"/>
      <c r="R149" s="213"/>
      <c r="S149" s="213"/>
      <c r="T149" s="213"/>
      <c r="U149" s="213"/>
      <c r="V149" s="213"/>
      <c r="W149" s="213"/>
      <c r="X149" s="213"/>
      <c r="Y149" s="213"/>
      <c r="Z149" s="213"/>
      <c r="AA149" s="213"/>
      <c r="AB149" s="211"/>
      <c r="AC149" s="211"/>
      <c r="AD149" s="211"/>
      <c r="AE149" s="211"/>
      <c r="AF149" s="211"/>
      <c r="AG149" s="211"/>
      <c r="AH149" s="211"/>
      <c r="AI149" s="211"/>
      <c r="AJ149" s="211"/>
      <c r="AK149" s="211"/>
      <c r="AL149" s="211"/>
      <c r="AM149" s="211"/>
      <c r="AN149" s="211"/>
    </row>
    <row r="150" spans="2:41" ht="12" hidden="1" customHeight="1" outlineLevel="2">
      <c r="B150" s="245"/>
      <c r="C150" s="213"/>
      <c r="D150" s="213"/>
      <c r="E150" s="213"/>
      <c r="F150" s="213"/>
      <c r="G150" s="213"/>
      <c r="H150" s="213"/>
      <c r="I150" s="213"/>
      <c r="J150" s="213"/>
      <c r="K150" s="213"/>
      <c r="L150" s="213"/>
      <c r="M150" s="213"/>
      <c r="N150" s="213"/>
      <c r="O150" s="213"/>
      <c r="P150" s="213"/>
      <c r="Q150" s="213"/>
      <c r="R150" s="213"/>
      <c r="S150" s="213"/>
      <c r="T150" s="213"/>
      <c r="U150" s="213"/>
      <c r="V150" s="213"/>
      <c r="W150" s="213"/>
      <c r="X150" s="213"/>
      <c r="Y150" s="213"/>
      <c r="Z150" s="213"/>
      <c r="AA150" s="213"/>
      <c r="AB150" s="211"/>
      <c r="AC150" s="211"/>
      <c r="AD150" s="211"/>
      <c r="AE150" s="211"/>
      <c r="AF150" s="211"/>
      <c r="AG150" s="211"/>
      <c r="AH150" s="211"/>
      <c r="AI150" s="211"/>
      <c r="AJ150" s="211"/>
      <c r="AK150" s="211"/>
      <c r="AL150" s="211"/>
      <c r="AM150" s="211"/>
      <c r="AN150" s="211"/>
    </row>
    <row r="151" spans="2:41" ht="12" hidden="1" customHeight="1" outlineLevel="2">
      <c r="B151" s="245"/>
      <c r="C151" s="243" t="s">
        <v>854</v>
      </c>
      <c r="D151" s="213"/>
      <c r="E151" s="213"/>
      <c r="F151" s="213"/>
      <c r="G151" s="213"/>
      <c r="H151" s="213"/>
      <c r="I151" s="213"/>
      <c r="J151" s="213"/>
      <c r="K151" s="213"/>
      <c r="L151" s="213"/>
      <c r="M151" s="213"/>
      <c r="N151" s="213"/>
      <c r="O151" s="213"/>
      <c r="P151" s="213"/>
      <c r="Q151" s="213"/>
      <c r="R151" s="213"/>
      <c r="S151" s="213"/>
      <c r="T151" s="213"/>
      <c r="U151" s="213"/>
      <c r="V151" s="213"/>
      <c r="W151" s="213"/>
      <c r="X151" s="213"/>
      <c r="Y151" s="213"/>
      <c r="Z151" s="213"/>
      <c r="AA151" s="213"/>
      <c r="AB151" s="213"/>
      <c r="AC151" s="211"/>
    </row>
    <row r="152" spans="2:41" ht="12" hidden="1" customHeight="1" outlineLevel="2">
      <c r="B152" s="239"/>
      <c r="C152" s="214" t="s">
        <v>850</v>
      </c>
      <c r="D152" s="214"/>
      <c r="E152" s="196" t="s">
        <v>753</v>
      </c>
      <c r="F152" s="196" t="s">
        <v>754</v>
      </c>
      <c r="G152" s="196" t="s">
        <v>755</v>
      </c>
      <c r="H152" s="196" t="s">
        <v>756</v>
      </c>
      <c r="I152" s="196" t="s">
        <v>757</v>
      </c>
      <c r="J152" s="196" t="s">
        <v>758</v>
      </c>
      <c r="K152" s="196" t="s">
        <v>759</v>
      </c>
      <c r="L152" s="196" t="s">
        <v>760</v>
      </c>
      <c r="M152" s="196" t="s">
        <v>761</v>
      </c>
      <c r="N152" s="196" t="s">
        <v>762</v>
      </c>
      <c r="O152" s="196" t="s">
        <v>763</v>
      </c>
      <c r="P152" s="196" t="s">
        <v>764</v>
      </c>
      <c r="Q152" s="196" t="s">
        <v>765</v>
      </c>
      <c r="R152" s="196" t="s">
        <v>766</v>
      </c>
      <c r="S152" s="196" t="s">
        <v>767</v>
      </c>
      <c r="T152" s="196" t="s">
        <v>768</v>
      </c>
      <c r="U152" s="196" t="s">
        <v>769</v>
      </c>
      <c r="V152" s="196" t="s">
        <v>770</v>
      </c>
      <c r="W152" s="196" t="s">
        <v>771</v>
      </c>
      <c r="X152" s="196" t="s">
        <v>772</v>
      </c>
      <c r="Y152" s="196" t="s">
        <v>773</v>
      </c>
      <c r="Z152" s="196" t="s">
        <v>774</v>
      </c>
      <c r="AA152" s="196" t="s">
        <v>775</v>
      </c>
      <c r="AB152" s="196" t="s">
        <v>776</v>
      </c>
      <c r="AC152" s="196" t="s">
        <v>777</v>
      </c>
      <c r="AD152" s="196" t="s">
        <v>778</v>
      </c>
      <c r="AE152" s="196" t="s">
        <v>779</v>
      </c>
      <c r="AF152" s="196" t="s">
        <v>780</v>
      </c>
      <c r="AG152" s="196" t="s">
        <v>781</v>
      </c>
      <c r="AH152" s="196" t="s">
        <v>782</v>
      </c>
      <c r="AI152" s="196" t="s">
        <v>783</v>
      </c>
      <c r="AJ152" s="196" t="s">
        <v>784</v>
      </c>
      <c r="AK152" s="196" t="s">
        <v>785</v>
      </c>
      <c r="AL152" s="196" t="s">
        <v>786</v>
      </c>
      <c r="AM152" s="196" t="s">
        <v>787</v>
      </c>
      <c r="AN152" s="196" t="s">
        <v>788</v>
      </c>
    </row>
    <row r="153" spans="2:41" ht="12" hidden="1" customHeight="1" outlineLevel="2">
      <c r="B153" s="239"/>
      <c r="C153" s="247" t="s">
        <v>851</v>
      </c>
      <c r="D153" s="212"/>
      <c r="E153" s="193">
        <v>0.9</v>
      </c>
      <c r="F153" s="192"/>
      <c r="G153" s="192"/>
      <c r="H153" s="193">
        <v>0.6</v>
      </c>
      <c r="I153" s="192"/>
      <c r="J153" s="192"/>
      <c r="K153" s="193">
        <v>0.4</v>
      </c>
      <c r="L153" s="192"/>
      <c r="M153" s="192"/>
      <c r="N153" s="193">
        <v>0.2</v>
      </c>
      <c r="O153" s="192"/>
      <c r="P153" s="192"/>
      <c r="Q153" s="193">
        <v>0.15</v>
      </c>
      <c r="R153" s="192"/>
      <c r="S153" s="192"/>
      <c r="T153" s="193">
        <v>0.1</v>
      </c>
      <c r="U153" s="192"/>
      <c r="V153" s="192"/>
      <c r="W153" s="193">
        <v>0.08</v>
      </c>
      <c r="X153" s="192"/>
      <c r="Y153" s="192"/>
      <c r="Z153" s="193">
        <v>7.0000000000000007E-2</v>
      </c>
      <c r="AA153" s="192"/>
      <c r="AB153" s="192"/>
      <c r="AC153" s="193">
        <v>0.05</v>
      </c>
      <c r="AD153" s="192"/>
      <c r="AE153" s="192"/>
      <c r="AF153" s="193">
        <v>0.04</v>
      </c>
      <c r="AG153" s="192"/>
      <c r="AH153" s="192"/>
      <c r="AI153" s="193">
        <v>0.02</v>
      </c>
      <c r="AJ153" s="192"/>
      <c r="AK153" s="192"/>
      <c r="AL153" s="193">
        <v>0.01</v>
      </c>
      <c r="AM153" s="192"/>
      <c r="AN153" s="192"/>
    </row>
    <row r="154" spans="2:41" ht="12" hidden="1" customHeight="1" outlineLevel="2">
      <c r="B154" s="239"/>
      <c r="C154" s="214" t="s">
        <v>852</v>
      </c>
      <c r="D154" s="212"/>
      <c r="E154" s="211">
        <f>86*66%</f>
        <v>56.760000000000005</v>
      </c>
      <c r="F154" s="211">
        <f>69-28</f>
        <v>41</v>
      </c>
      <c r="G154" s="211">
        <f>111-28</f>
        <v>83</v>
      </c>
      <c r="H154" s="211">
        <f>E154*0.98-27</f>
        <v>28.6248</v>
      </c>
      <c r="I154" s="211">
        <f>F154*0.98-40</f>
        <v>0.17999999999999972</v>
      </c>
      <c r="J154" s="211">
        <f t="shared" ref="J154:AN154" si="120">G154*0.98</f>
        <v>81.34</v>
      </c>
      <c r="K154" s="211">
        <f t="shared" si="120"/>
        <v>28.052303999999999</v>
      </c>
      <c r="L154" s="211">
        <f t="shared" si="120"/>
        <v>0.17639999999999972</v>
      </c>
      <c r="M154" s="211">
        <f t="shared" si="120"/>
        <v>79.713200000000001</v>
      </c>
      <c r="N154" s="211">
        <f t="shared" si="120"/>
        <v>27.491257919999999</v>
      </c>
      <c r="O154" s="211">
        <f t="shared" si="120"/>
        <v>0.17287199999999972</v>
      </c>
      <c r="P154" s="211">
        <f t="shared" si="120"/>
        <v>78.118936000000005</v>
      </c>
      <c r="Q154" s="211">
        <f t="shared" si="120"/>
        <v>26.941432761599998</v>
      </c>
      <c r="R154" s="211">
        <f t="shared" si="120"/>
        <v>0.16941455999999971</v>
      </c>
      <c r="S154" s="211">
        <f t="shared" si="120"/>
        <v>76.556557280000007</v>
      </c>
      <c r="T154" s="211">
        <f t="shared" si="120"/>
        <v>26.402604106367999</v>
      </c>
      <c r="U154" s="211">
        <f t="shared" si="120"/>
        <v>0.16602626879999971</v>
      </c>
      <c r="V154" s="211">
        <f t="shared" si="120"/>
        <v>75.025426134400007</v>
      </c>
      <c r="W154" s="211">
        <f t="shared" si="120"/>
        <v>25.874552024240639</v>
      </c>
      <c r="X154" s="211">
        <f t="shared" si="120"/>
        <v>0.16270574342399971</v>
      </c>
      <c r="Y154" s="211">
        <f t="shared" si="120"/>
        <v>73.524917611711999</v>
      </c>
      <c r="Z154" s="211">
        <f t="shared" si="120"/>
        <v>25.357060983755826</v>
      </c>
      <c r="AA154" s="211">
        <f t="shared" si="120"/>
        <v>0.15945162855551973</v>
      </c>
      <c r="AB154" s="211">
        <f t="shared" si="120"/>
        <v>72.054419259477754</v>
      </c>
      <c r="AC154" s="211">
        <f t="shared" si="120"/>
        <v>24.84991976408071</v>
      </c>
      <c r="AD154" s="211">
        <f t="shared" si="120"/>
        <v>0.15626259598440934</v>
      </c>
      <c r="AE154" s="211">
        <f t="shared" si="120"/>
        <v>70.613330874288195</v>
      </c>
      <c r="AF154" s="211">
        <f t="shared" si="120"/>
        <v>24.352921368799095</v>
      </c>
      <c r="AG154" s="211">
        <f t="shared" si="120"/>
        <v>0.15313734406472115</v>
      </c>
      <c r="AH154" s="211">
        <f t="shared" si="120"/>
        <v>69.201064256802425</v>
      </c>
      <c r="AI154" s="211">
        <f t="shared" si="120"/>
        <v>23.865862941423114</v>
      </c>
      <c r="AJ154" s="211">
        <f t="shared" si="120"/>
        <v>0.15007459718342672</v>
      </c>
      <c r="AK154" s="211">
        <f t="shared" si="120"/>
        <v>67.817042971666382</v>
      </c>
      <c r="AL154" s="211">
        <f t="shared" si="120"/>
        <v>23.38854568259465</v>
      </c>
      <c r="AM154" s="211">
        <f t="shared" si="120"/>
        <v>0.1470731052397582</v>
      </c>
      <c r="AN154" s="211">
        <f t="shared" si="120"/>
        <v>66.460702112233051</v>
      </c>
      <c r="AO154" s="211"/>
    </row>
    <row r="155" spans="2:41" ht="12" hidden="1" customHeight="1" outlineLevel="2">
      <c r="B155" s="245"/>
      <c r="C155" s="213" t="s">
        <v>753</v>
      </c>
      <c r="D155" s="213"/>
      <c r="E155" s="211">
        <f>INDEX($C$44:$AN$66,MATCH("New Customers 3MS",$C$44:$C$66,0),MATCH($C155,$C$44:$AN$44,0))</f>
        <v>0</v>
      </c>
      <c r="F155" s="211"/>
      <c r="G155" s="211"/>
      <c r="H155" s="211">
        <f>E155*(E153)</f>
        <v>0</v>
      </c>
      <c r="I155" s="211"/>
      <c r="J155" s="211"/>
      <c r="K155" s="211">
        <f>$E$155*(H153)</f>
        <v>0</v>
      </c>
      <c r="L155" s="211"/>
      <c r="M155" s="211"/>
      <c r="N155" s="211">
        <f>$E$155*(K153)</f>
        <v>0</v>
      </c>
      <c r="O155" s="211"/>
      <c r="P155" s="211"/>
      <c r="Q155" s="211">
        <f>$E$155*(N153)</f>
        <v>0</v>
      </c>
      <c r="R155" s="211"/>
      <c r="S155" s="211"/>
      <c r="T155" s="211">
        <f>$E$155*(Q153)</f>
        <v>0</v>
      </c>
      <c r="U155" s="211"/>
      <c r="V155" s="211"/>
      <c r="W155" s="211">
        <f>$E$155*(T153)</f>
        <v>0</v>
      </c>
      <c r="X155" s="211"/>
      <c r="Y155" s="211"/>
      <c r="Z155" s="211">
        <f>$E$155*(W153)</f>
        <v>0</v>
      </c>
      <c r="AA155" s="211"/>
      <c r="AB155" s="211"/>
      <c r="AC155" s="211">
        <f>$E$155*(Z153)</f>
        <v>0</v>
      </c>
      <c r="AD155" s="211"/>
      <c r="AE155" s="211"/>
      <c r="AF155" s="211">
        <f>$E$155*(AC153)</f>
        <v>0</v>
      </c>
      <c r="AG155" s="211"/>
      <c r="AH155" s="211"/>
      <c r="AI155" s="211">
        <f>$E$155*(AF153)</f>
        <v>0</v>
      </c>
      <c r="AJ155" s="211"/>
      <c r="AK155" s="211"/>
      <c r="AL155" s="211">
        <f>$E$155*(AI153)</f>
        <v>0</v>
      </c>
      <c r="AM155" s="211"/>
      <c r="AN155" s="211"/>
    </row>
    <row r="156" spans="2:41" ht="12" hidden="1" customHeight="1" outlineLevel="2">
      <c r="B156" s="245"/>
      <c r="C156" s="213" t="s">
        <v>754</v>
      </c>
      <c r="D156" s="213"/>
      <c r="E156" s="213"/>
      <c r="F156" s="211">
        <f>INDEX($C$44:$AN$66,MATCH("New Customers 3MS",$C$44:$C$66,0),MATCH($C156,$C$44:$AN$44,0))</f>
        <v>0</v>
      </c>
      <c r="G156" s="211"/>
      <c r="H156" s="211"/>
      <c r="I156" s="211">
        <f>$F$156*(E153)</f>
        <v>0</v>
      </c>
      <c r="J156" s="211"/>
      <c r="K156" s="211"/>
      <c r="L156" s="211">
        <f>$F$156*(H153)</f>
        <v>0</v>
      </c>
      <c r="M156" s="211"/>
      <c r="N156" s="211"/>
      <c r="O156" s="211">
        <f>$F$156*(K153)</f>
        <v>0</v>
      </c>
      <c r="P156" s="211"/>
      <c r="Q156" s="211"/>
      <c r="R156" s="211">
        <f>$F$156*(N153)</f>
        <v>0</v>
      </c>
      <c r="S156" s="211"/>
      <c r="T156" s="211"/>
      <c r="U156" s="211">
        <f>$F$156*(Q153)</f>
        <v>0</v>
      </c>
      <c r="V156" s="211"/>
      <c r="W156" s="211"/>
      <c r="X156" s="211">
        <f>$F$156*(T153)</f>
        <v>0</v>
      </c>
      <c r="Y156" s="211"/>
      <c r="Z156" s="211"/>
      <c r="AA156" s="211">
        <f>$F$156*(W153)</f>
        <v>0</v>
      </c>
      <c r="AB156" s="211"/>
      <c r="AC156" s="211"/>
      <c r="AD156" s="211">
        <f>$F$156*(Z153)</f>
        <v>0</v>
      </c>
      <c r="AE156" s="211"/>
      <c r="AF156" s="211"/>
      <c r="AG156" s="211">
        <f>$F$156*(AC153)</f>
        <v>0</v>
      </c>
      <c r="AH156" s="211"/>
      <c r="AI156" s="211"/>
      <c r="AJ156" s="211">
        <f>$F$156*(AF153)</f>
        <v>0</v>
      </c>
      <c r="AK156" s="211"/>
      <c r="AL156" s="211"/>
      <c r="AM156" s="211">
        <f>$F$156*(AI153)</f>
        <v>0</v>
      </c>
      <c r="AN156" s="211"/>
    </row>
    <row r="157" spans="2:41" ht="12" hidden="1" customHeight="1" outlineLevel="2">
      <c r="B157" s="245"/>
      <c r="C157" s="213" t="s">
        <v>755</v>
      </c>
      <c r="D157" s="213"/>
      <c r="E157" s="213"/>
      <c r="F157" s="213"/>
      <c r="G157" s="211">
        <f>INDEX($C$44:$AN$66,MATCH("New Customers 3MS",$C$44:$C$66,0),MATCH($C157,$C$44:$AN$44,0))</f>
        <v>0</v>
      </c>
      <c r="H157" s="211"/>
      <c r="I157" s="211"/>
      <c r="J157" s="211">
        <f>$G$157*(E153)</f>
        <v>0</v>
      </c>
      <c r="K157" s="211"/>
      <c r="L157" s="211"/>
      <c r="M157" s="211">
        <f>$G$157*(H153)</f>
        <v>0</v>
      </c>
      <c r="N157" s="211"/>
      <c r="O157" s="211"/>
      <c r="P157" s="211">
        <f>$G$157*(K153)</f>
        <v>0</v>
      </c>
      <c r="Q157" s="211"/>
      <c r="R157" s="211"/>
      <c r="S157" s="211">
        <f>$G$157*(N153)</f>
        <v>0</v>
      </c>
      <c r="T157" s="211"/>
      <c r="U157" s="211"/>
      <c r="V157" s="211">
        <f>$G$157*(Q153)</f>
        <v>0</v>
      </c>
      <c r="W157" s="211"/>
      <c r="X157" s="211"/>
      <c r="Y157" s="211">
        <f>$G$157*(T153)</f>
        <v>0</v>
      </c>
      <c r="Z157" s="211"/>
      <c r="AA157" s="211"/>
      <c r="AB157" s="211">
        <f>$G$157*(W153)</f>
        <v>0</v>
      </c>
      <c r="AC157" s="211"/>
      <c r="AD157" s="211"/>
      <c r="AE157" s="211">
        <f>$G$157*(Z153)</f>
        <v>0</v>
      </c>
      <c r="AF157" s="211"/>
      <c r="AG157" s="211"/>
      <c r="AH157" s="211">
        <f>$G$157*(AC153)</f>
        <v>0</v>
      </c>
      <c r="AI157" s="211"/>
      <c r="AJ157" s="211"/>
      <c r="AK157" s="211">
        <f>$G$157*(AF153)</f>
        <v>0</v>
      </c>
      <c r="AL157" s="211"/>
      <c r="AM157" s="211"/>
      <c r="AN157" s="211">
        <f>$G$157*(AI153)</f>
        <v>0</v>
      </c>
    </row>
    <row r="158" spans="2:41" ht="12" hidden="1" customHeight="1" outlineLevel="2">
      <c r="B158" s="245"/>
      <c r="C158" s="213" t="s">
        <v>756</v>
      </c>
      <c r="D158" s="213"/>
      <c r="E158" s="213"/>
      <c r="F158" s="213"/>
      <c r="G158" s="213"/>
      <c r="H158" s="211">
        <f>INDEX($C$44:$AN$66,MATCH("New Customers 3MS",$C$44:$C$66,0),MATCH($C158,$C$44:$AN$44,0))</f>
        <v>0</v>
      </c>
      <c r="I158" s="211"/>
      <c r="J158" s="211"/>
      <c r="K158" s="211">
        <f>$H$158*(E153)</f>
        <v>0</v>
      </c>
      <c r="L158" s="211"/>
      <c r="M158" s="211"/>
      <c r="N158" s="211">
        <f>$H$158*(H153)</f>
        <v>0</v>
      </c>
      <c r="O158" s="211"/>
      <c r="P158" s="211"/>
      <c r="Q158" s="211">
        <f>$H$158*(K153)</f>
        <v>0</v>
      </c>
      <c r="R158" s="211"/>
      <c r="S158" s="211"/>
      <c r="T158" s="211">
        <f>$H$158*(N153)</f>
        <v>0</v>
      </c>
      <c r="U158" s="211"/>
      <c r="V158" s="211"/>
      <c r="W158" s="211">
        <f>$H$158*(Q153)</f>
        <v>0</v>
      </c>
      <c r="X158" s="211"/>
      <c r="Y158" s="211"/>
      <c r="Z158" s="211">
        <f>$H$158*(T153)</f>
        <v>0</v>
      </c>
      <c r="AA158" s="211"/>
      <c r="AB158" s="211"/>
      <c r="AC158" s="211">
        <f>$H$158*(W153)</f>
        <v>0</v>
      </c>
      <c r="AD158" s="211"/>
      <c r="AE158" s="211"/>
      <c r="AF158" s="211">
        <f>$H$158*(Z153)</f>
        <v>0</v>
      </c>
      <c r="AG158" s="211"/>
      <c r="AH158" s="211"/>
      <c r="AI158" s="211">
        <f>$H$158*(AC153)</f>
        <v>0</v>
      </c>
      <c r="AJ158" s="211"/>
      <c r="AK158" s="211"/>
      <c r="AL158" s="211">
        <f>$H$158*(AF153)</f>
        <v>0</v>
      </c>
      <c r="AM158" s="211"/>
      <c r="AN158" s="211"/>
    </row>
    <row r="159" spans="2:41" ht="12" hidden="1" customHeight="1" outlineLevel="2">
      <c r="B159" s="245"/>
      <c r="C159" s="213" t="s">
        <v>757</v>
      </c>
      <c r="D159" s="213"/>
      <c r="E159" s="213"/>
      <c r="F159" s="213"/>
      <c r="G159" s="213"/>
      <c r="H159" s="213"/>
      <c r="I159" s="211">
        <f>INDEX($C$44:$AN$66,MATCH("New Customers 3MS",$C$44:$C$66,0),MATCH($C159,$C$44:$AN$44,0))</f>
        <v>0</v>
      </c>
      <c r="J159" s="211"/>
      <c r="K159" s="211"/>
      <c r="L159" s="211">
        <f>$I$159*(E153)</f>
        <v>0</v>
      </c>
      <c r="M159" s="211"/>
      <c r="N159" s="211"/>
      <c r="O159" s="211">
        <f>$I$159*(H153)</f>
        <v>0</v>
      </c>
      <c r="P159" s="211"/>
      <c r="Q159" s="211"/>
      <c r="R159" s="211">
        <f>$I$159*(K153)</f>
        <v>0</v>
      </c>
      <c r="S159" s="211"/>
      <c r="T159" s="211"/>
      <c r="U159" s="211">
        <f>$I$159*(N153)</f>
        <v>0</v>
      </c>
      <c r="V159" s="211"/>
      <c r="W159" s="211"/>
      <c r="X159" s="211">
        <f>$I$159*(Q153)</f>
        <v>0</v>
      </c>
      <c r="Y159" s="211"/>
      <c r="Z159" s="211"/>
      <c r="AA159" s="211">
        <f>$I$159*(T153)</f>
        <v>0</v>
      </c>
      <c r="AB159" s="211"/>
      <c r="AC159" s="211"/>
      <c r="AD159" s="211">
        <f>$I$159*(W153)</f>
        <v>0</v>
      </c>
      <c r="AE159" s="211"/>
      <c r="AF159" s="211"/>
      <c r="AG159" s="211">
        <f>$I$159*(Z153)</f>
        <v>0</v>
      </c>
      <c r="AH159" s="211"/>
      <c r="AI159" s="211"/>
      <c r="AJ159" s="211">
        <f>$I$159*(AC153)</f>
        <v>0</v>
      </c>
      <c r="AK159" s="211"/>
      <c r="AL159" s="211"/>
      <c r="AM159" s="211">
        <f>$I$159*(AF153)</f>
        <v>0</v>
      </c>
      <c r="AN159" s="211"/>
    </row>
    <row r="160" spans="2:41" ht="12" hidden="1" customHeight="1" outlineLevel="2">
      <c r="B160" s="245"/>
      <c r="C160" s="213" t="s">
        <v>758</v>
      </c>
      <c r="D160" s="213"/>
      <c r="E160" s="213"/>
      <c r="F160" s="213"/>
      <c r="G160" s="213"/>
      <c r="H160" s="213"/>
      <c r="I160" s="213"/>
      <c r="J160" s="211">
        <f>INDEX($C$44:$AN$66,MATCH("New Customers 3MS",$C$44:$C$66,0),MATCH($C160,$C$44:$AN$44,0))</f>
        <v>0</v>
      </c>
      <c r="K160" s="211"/>
      <c r="L160" s="211"/>
      <c r="M160" s="211">
        <f>$J$160*(E153)</f>
        <v>0</v>
      </c>
      <c r="N160" s="211"/>
      <c r="O160" s="211"/>
      <c r="P160" s="211">
        <f>$J$160*(H153)</f>
        <v>0</v>
      </c>
      <c r="Q160" s="211"/>
      <c r="R160" s="211"/>
      <c r="S160" s="211">
        <f>$J$160*(K153)</f>
        <v>0</v>
      </c>
      <c r="T160" s="211"/>
      <c r="U160" s="211"/>
      <c r="V160" s="211">
        <f>$J$160*(N153)</f>
        <v>0</v>
      </c>
      <c r="W160" s="211"/>
      <c r="X160" s="211"/>
      <c r="Y160" s="211">
        <f>$J$160*(Q153)</f>
        <v>0</v>
      </c>
      <c r="Z160" s="211"/>
      <c r="AA160" s="211"/>
      <c r="AB160" s="211">
        <f>$J$160*(T153)</f>
        <v>0</v>
      </c>
      <c r="AC160" s="211"/>
      <c r="AD160" s="211"/>
      <c r="AE160" s="211">
        <f>$J$160*(W153)</f>
        <v>0</v>
      </c>
      <c r="AF160" s="211"/>
      <c r="AG160" s="211"/>
      <c r="AH160" s="211">
        <f>$J$160*(Z153)</f>
        <v>0</v>
      </c>
      <c r="AI160" s="211"/>
      <c r="AJ160" s="211"/>
      <c r="AK160" s="211">
        <f>$J$160*(AC153)</f>
        <v>0</v>
      </c>
      <c r="AL160" s="211"/>
      <c r="AM160" s="211"/>
      <c r="AN160" s="211">
        <f>$J$160*(AF153)</f>
        <v>0</v>
      </c>
    </row>
    <row r="161" spans="2:42" ht="12" hidden="1" customHeight="1" outlineLevel="2">
      <c r="B161" s="245"/>
      <c r="C161" s="213" t="s">
        <v>759</v>
      </c>
      <c r="D161" s="213"/>
      <c r="E161" s="213"/>
      <c r="F161" s="213"/>
      <c r="G161" s="213"/>
      <c r="H161" s="213"/>
      <c r="I161" s="213"/>
      <c r="J161" s="213"/>
      <c r="K161" s="211">
        <f>INDEX($C$44:$AN$66,MATCH("New Customers 3MS",$C$44:$C$66,0),MATCH($C161,$C$44:$AN$44,0))</f>
        <v>0</v>
      </c>
      <c r="L161" s="211"/>
      <c r="M161" s="211"/>
      <c r="N161" s="211">
        <f>$K$161*(E153)</f>
        <v>0</v>
      </c>
      <c r="O161" s="211"/>
      <c r="P161" s="211"/>
      <c r="Q161" s="211">
        <f>$K$161*(H153)</f>
        <v>0</v>
      </c>
      <c r="R161" s="211"/>
      <c r="S161" s="211"/>
      <c r="T161" s="211">
        <f>$K$161*(K153)</f>
        <v>0</v>
      </c>
      <c r="U161" s="211"/>
      <c r="V161" s="211"/>
      <c r="W161" s="211">
        <f>$K$161*(N153)</f>
        <v>0</v>
      </c>
      <c r="X161" s="211"/>
      <c r="Y161" s="211"/>
      <c r="Z161" s="211">
        <f>$K$161*(Q153)</f>
        <v>0</v>
      </c>
      <c r="AA161" s="211"/>
      <c r="AB161" s="211"/>
      <c r="AC161" s="211">
        <f>$K$161*(T153)</f>
        <v>0</v>
      </c>
      <c r="AD161" s="211"/>
      <c r="AE161" s="211"/>
      <c r="AF161" s="211">
        <f>$K$161*(W153)</f>
        <v>0</v>
      </c>
      <c r="AG161" s="211"/>
      <c r="AH161" s="211"/>
      <c r="AI161" s="211">
        <f>$K$161*(Z153)</f>
        <v>0</v>
      </c>
      <c r="AJ161" s="211"/>
      <c r="AK161" s="211"/>
      <c r="AL161" s="211">
        <f>$K$161*(AC153)</f>
        <v>0</v>
      </c>
      <c r="AM161" s="211"/>
      <c r="AN161" s="211"/>
    </row>
    <row r="162" spans="2:42" ht="12" hidden="1" customHeight="1" outlineLevel="2">
      <c r="B162" s="245"/>
      <c r="C162" s="213" t="s">
        <v>760</v>
      </c>
      <c r="D162" s="213"/>
      <c r="E162" s="213"/>
      <c r="F162" s="213"/>
      <c r="G162" s="213"/>
      <c r="H162" s="213"/>
      <c r="I162" s="213"/>
      <c r="J162" s="213"/>
      <c r="K162" s="213"/>
      <c r="L162" s="211">
        <f>INDEX($C$44:$AN$66,MATCH("New Customers 3MS",$C$44:$C$66,0),MATCH($C162,$C$44:$AN$44,0))</f>
        <v>0</v>
      </c>
      <c r="M162" s="211"/>
      <c r="N162" s="211"/>
      <c r="O162" s="211">
        <f>$L$162*(E153)</f>
        <v>0</v>
      </c>
      <c r="P162" s="211"/>
      <c r="Q162" s="211"/>
      <c r="R162" s="211">
        <f>$L$162*(H153)</f>
        <v>0</v>
      </c>
      <c r="S162" s="211"/>
      <c r="T162" s="211"/>
      <c r="U162" s="211">
        <f>$L$162*(K153)</f>
        <v>0</v>
      </c>
      <c r="V162" s="211"/>
      <c r="W162" s="211"/>
      <c r="X162" s="211">
        <f>$L$162*(N153)</f>
        <v>0</v>
      </c>
      <c r="Y162" s="211"/>
      <c r="Z162" s="211"/>
      <c r="AA162" s="211">
        <f>$L$162*(Q153)</f>
        <v>0</v>
      </c>
      <c r="AB162" s="211"/>
      <c r="AC162" s="211"/>
      <c r="AD162" s="211">
        <f>$L$162*(T153)</f>
        <v>0</v>
      </c>
      <c r="AE162" s="211"/>
      <c r="AF162" s="211"/>
      <c r="AG162" s="211">
        <f>$L$162*(W153)</f>
        <v>0</v>
      </c>
      <c r="AH162" s="211"/>
      <c r="AI162" s="211"/>
      <c r="AJ162" s="211">
        <f>$L$162*(Z153)</f>
        <v>0</v>
      </c>
      <c r="AK162" s="211"/>
      <c r="AL162" s="211"/>
      <c r="AM162" s="211">
        <f>$L$162*(AC153)</f>
        <v>0</v>
      </c>
      <c r="AN162" s="211"/>
    </row>
    <row r="163" spans="2:42" ht="12" hidden="1" customHeight="1" outlineLevel="2">
      <c r="B163" s="245"/>
      <c r="C163" s="213" t="s">
        <v>761</v>
      </c>
      <c r="D163" s="213"/>
      <c r="E163" s="213"/>
      <c r="F163" s="213"/>
      <c r="G163" s="213"/>
      <c r="H163" s="213"/>
      <c r="I163" s="213"/>
      <c r="J163" s="213"/>
      <c r="K163" s="213"/>
      <c r="L163" s="213"/>
      <c r="M163" s="211">
        <f>INDEX($C$44:$AN$64,MATCH("New Customers 3MS",$C$44:$C$64,0),MATCH($C163,$C$44:$AN$44,0))</f>
        <v>0</v>
      </c>
      <c r="N163" s="211"/>
      <c r="O163" s="211"/>
      <c r="P163" s="211">
        <f>$M$163*(E153)</f>
        <v>0</v>
      </c>
      <c r="Q163" s="211"/>
      <c r="R163" s="211"/>
      <c r="S163" s="211">
        <f>$M$163*(H153)</f>
        <v>0</v>
      </c>
      <c r="T163" s="211"/>
      <c r="U163" s="211"/>
      <c r="V163" s="211">
        <f>$M$163*(K153)</f>
        <v>0</v>
      </c>
      <c r="W163" s="211"/>
      <c r="X163" s="211"/>
      <c r="Y163" s="211">
        <f>$M$163*(N153)</f>
        <v>0</v>
      </c>
      <c r="Z163" s="211"/>
      <c r="AA163" s="211"/>
      <c r="AB163" s="211">
        <f>$M$163*(Q153)</f>
        <v>0</v>
      </c>
      <c r="AC163" s="211"/>
      <c r="AD163" s="211"/>
      <c r="AE163" s="211">
        <f>$M$163*(T153)</f>
        <v>0</v>
      </c>
      <c r="AF163" s="211"/>
      <c r="AG163" s="211"/>
      <c r="AH163" s="211">
        <f>$M$163*(W153)</f>
        <v>0</v>
      </c>
      <c r="AI163" s="211"/>
      <c r="AJ163" s="211"/>
      <c r="AK163" s="211">
        <f>$M$163*(Z153)</f>
        <v>0</v>
      </c>
      <c r="AL163" s="211"/>
      <c r="AM163" s="211"/>
      <c r="AN163" s="211">
        <f>$M$163*(AC153)</f>
        <v>0</v>
      </c>
    </row>
    <row r="164" spans="2:42" ht="12" hidden="1" customHeight="1" outlineLevel="2">
      <c r="B164" s="245"/>
      <c r="C164" s="213" t="s">
        <v>762</v>
      </c>
      <c r="D164" s="213"/>
      <c r="E164" s="213"/>
      <c r="F164" s="213"/>
      <c r="G164" s="213"/>
      <c r="H164" s="213"/>
      <c r="I164" s="213"/>
      <c r="J164" s="213"/>
      <c r="K164" s="213"/>
      <c r="L164" s="213"/>
      <c r="M164" s="213"/>
      <c r="N164" s="211">
        <f>INDEX($C$44:$AN$66,MATCH("New Customers 3MS",$C$44:$C$66,0),MATCH($C164,$C$44:$AN$44,0))</f>
        <v>0</v>
      </c>
      <c r="O164" s="211"/>
      <c r="P164" s="211"/>
      <c r="Q164" s="211">
        <f>$N$164*(E153)</f>
        <v>0</v>
      </c>
      <c r="R164" s="211"/>
      <c r="S164" s="211"/>
      <c r="T164" s="211">
        <f>$N$164*(H153)</f>
        <v>0</v>
      </c>
      <c r="U164" s="211"/>
      <c r="V164" s="211"/>
      <c r="W164" s="211">
        <f>$N$164*(K153)</f>
        <v>0</v>
      </c>
      <c r="X164" s="211"/>
      <c r="Y164" s="211"/>
      <c r="Z164" s="211">
        <f>$N$164*(N153)</f>
        <v>0</v>
      </c>
      <c r="AA164" s="211"/>
      <c r="AB164" s="211"/>
      <c r="AC164" s="211">
        <f>$N$164*(Q153)</f>
        <v>0</v>
      </c>
      <c r="AD164" s="211"/>
      <c r="AE164" s="211"/>
      <c r="AF164" s="211">
        <f>$N$164*(T153)</f>
        <v>0</v>
      </c>
      <c r="AG164" s="211"/>
      <c r="AH164" s="211"/>
      <c r="AI164" s="211">
        <f>$N$164*(W153)</f>
        <v>0</v>
      </c>
      <c r="AJ164" s="211"/>
      <c r="AK164" s="211"/>
      <c r="AL164" s="211">
        <f>$N$164*(Z153)</f>
        <v>0</v>
      </c>
      <c r="AM164" s="211"/>
      <c r="AN164" s="211"/>
      <c r="AO164" s="211"/>
    </row>
    <row r="165" spans="2:42" ht="12" hidden="1" customHeight="1" outlineLevel="2">
      <c r="B165" s="245"/>
      <c r="C165" s="213" t="s">
        <v>763</v>
      </c>
      <c r="D165" s="213"/>
      <c r="E165" s="213"/>
      <c r="F165" s="213"/>
      <c r="G165" s="213"/>
      <c r="H165" s="213"/>
      <c r="I165" s="213"/>
      <c r="J165" s="213"/>
      <c r="K165" s="213"/>
      <c r="L165" s="213"/>
      <c r="M165" s="213"/>
      <c r="N165" s="213"/>
      <c r="O165" s="211">
        <f>INDEX($C$44:$AN$66,MATCH("New Customers 3MS",$C$44:$C$66,0),MATCH($C165,$C$44:$AN$44,0))</f>
        <v>0</v>
      </c>
      <c r="P165" s="211"/>
      <c r="Q165" s="211"/>
      <c r="R165" s="211">
        <f>$N$164*(E153)</f>
        <v>0</v>
      </c>
      <c r="S165" s="211"/>
      <c r="T165" s="211"/>
      <c r="U165" s="211">
        <f>$N$164*(H153)</f>
        <v>0</v>
      </c>
      <c r="V165" s="211"/>
      <c r="W165" s="211"/>
      <c r="X165" s="211">
        <f>$N$164*(K153)</f>
        <v>0</v>
      </c>
      <c r="Y165" s="211"/>
      <c r="Z165" s="211"/>
      <c r="AA165" s="211">
        <f>$N$164*(N153)</f>
        <v>0</v>
      </c>
      <c r="AB165" s="211"/>
      <c r="AC165" s="211"/>
      <c r="AD165" s="211">
        <f>$N$164*(Q153)</f>
        <v>0</v>
      </c>
      <c r="AE165" s="211"/>
      <c r="AF165" s="211"/>
      <c r="AG165" s="211">
        <f>$N$164*(T153)</f>
        <v>0</v>
      </c>
      <c r="AH165" s="211"/>
      <c r="AI165" s="211"/>
      <c r="AJ165" s="211">
        <f>$N$164*(W153)</f>
        <v>0</v>
      </c>
      <c r="AK165" s="211"/>
      <c r="AL165" s="211"/>
      <c r="AM165" s="211">
        <f>$N$164*(Z153)</f>
        <v>0</v>
      </c>
      <c r="AN165" s="211"/>
    </row>
    <row r="166" spans="2:42" ht="12" hidden="1" customHeight="1" outlineLevel="2">
      <c r="B166" s="245"/>
      <c r="C166" s="213" t="s">
        <v>764</v>
      </c>
      <c r="D166" s="213"/>
      <c r="E166" s="213"/>
      <c r="F166" s="213"/>
      <c r="G166" s="213"/>
      <c r="H166" s="213"/>
      <c r="I166" s="213"/>
      <c r="J166" s="213"/>
      <c r="K166" s="213"/>
      <c r="L166" s="213"/>
      <c r="M166" s="213"/>
      <c r="N166" s="213"/>
      <c r="O166" s="213"/>
      <c r="P166" s="211">
        <f>INDEX($C$44:$AN$66,MATCH("New Customers 3MS",$C$44:$C$66,0),MATCH($C166,$C$44:$AN$44,0))</f>
        <v>0</v>
      </c>
      <c r="Q166" s="211"/>
      <c r="R166" s="211"/>
      <c r="S166" s="211">
        <f>$P$166*(E153)</f>
        <v>0</v>
      </c>
      <c r="T166" s="211"/>
      <c r="U166" s="211"/>
      <c r="V166" s="211">
        <f>$P$166*(H153)</f>
        <v>0</v>
      </c>
      <c r="W166" s="211"/>
      <c r="X166" s="211"/>
      <c r="Y166" s="211">
        <f>$P$166*(K153)</f>
        <v>0</v>
      </c>
      <c r="Z166" s="211"/>
      <c r="AA166" s="211"/>
      <c r="AB166" s="211">
        <f>$P$166*(N153)</f>
        <v>0</v>
      </c>
      <c r="AC166" s="211"/>
      <c r="AD166" s="211"/>
      <c r="AE166" s="211">
        <f>$P$166*(Q153)</f>
        <v>0</v>
      </c>
      <c r="AF166" s="211"/>
      <c r="AG166" s="211"/>
      <c r="AH166" s="211">
        <f>$P$166*(T153)</f>
        <v>0</v>
      </c>
      <c r="AI166" s="211"/>
      <c r="AJ166" s="211"/>
      <c r="AK166" s="211">
        <f>$P$166*(W153)</f>
        <v>0</v>
      </c>
      <c r="AL166" s="211"/>
      <c r="AM166" s="211"/>
      <c r="AN166" s="211">
        <f>$P$166*(Z153)</f>
        <v>0</v>
      </c>
    </row>
    <row r="167" spans="2:42" ht="12" hidden="1" customHeight="1" outlineLevel="2">
      <c r="B167" s="245"/>
      <c r="C167" s="213" t="s">
        <v>765</v>
      </c>
      <c r="D167" s="213"/>
      <c r="E167" s="213"/>
      <c r="F167" s="213"/>
      <c r="G167" s="213"/>
      <c r="H167" s="213"/>
      <c r="I167" s="213"/>
      <c r="J167" s="213"/>
      <c r="K167" s="213"/>
      <c r="L167" s="213"/>
      <c r="M167" s="213"/>
      <c r="N167" s="213"/>
      <c r="O167" s="213"/>
      <c r="P167" s="213"/>
      <c r="Q167" s="211">
        <f>INDEX($C$44:$AN$66,MATCH("New Customers 3MS",$C$44:$C$66,0),MATCH($C167,$C$44:$AN$44,0))</f>
        <v>0</v>
      </c>
      <c r="R167" s="211"/>
      <c r="S167" s="211"/>
      <c r="T167" s="211">
        <f>$Q$167*(E153)</f>
        <v>0</v>
      </c>
      <c r="U167" s="211"/>
      <c r="V167" s="211"/>
      <c r="W167" s="211">
        <f>$Q$167*(H153)</f>
        <v>0</v>
      </c>
      <c r="X167" s="211"/>
      <c r="Y167" s="211"/>
      <c r="Z167" s="211">
        <f>$Q$167*(K153)</f>
        <v>0</v>
      </c>
      <c r="AA167" s="211"/>
      <c r="AB167" s="211"/>
      <c r="AC167" s="211">
        <f>$Q$167*(N153)</f>
        <v>0</v>
      </c>
      <c r="AD167" s="211"/>
      <c r="AE167" s="211"/>
      <c r="AF167" s="211">
        <f>$Q$167*(Q153)</f>
        <v>0</v>
      </c>
      <c r="AG167" s="211"/>
      <c r="AH167" s="211"/>
      <c r="AI167" s="211">
        <f>$Q$167*(T153)</f>
        <v>0</v>
      </c>
      <c r="AJ167" s="211"/>
      <c r="AK167" s="211"/>
      <c r="AL167" s="211">
        <f>$Q$167*(W153)</f>
        <v>0</v>
      </c>
      <c r="AM167" s="211"/>
      <c r="AN167" s="211"/>
      <c r="AO167" s="211"/>
    </row>
    <row r="168" spans="2:42" ht="12" hidden="1" customHeight="1" outlineLevel="2">
      <c r="B168" s="245"/>
      <c r="C168" s="213" t="s">
        <v>766</v>
      </c>
      <c r="D168" s="213"/>
      <c r="E168" s="213"/>
      <c r="F168" s="213"/>
      <c r="G168" s="213"/>
      <c r="H168" s="213"/>
      <c r="I168" s="213"/>
      <c r="J168" s="213"/>
      <c r="K168" s="213"/>
      <c r="L168" s="213"/>
      <c r="M168" s="213"/>
      <c r="N168" s="213"/>
      <c r="O168" s="213"/>
      <c r="P168" s="213"/>
      <c r="Q168" s="213"/>
      <c r="R168" s="211">
        <f>INDEX($C$44:$AN$66,MATCH("New Customers 3MS",$C$44:$C$66,0),MATCH($C168,$C$44:$AN$44,0))</f>
        <v>0</v>
      </c>
      <c r="S168" s="211"/>
      <c r="T168" s="211"/>
      <c r="U168" s="211">
        <f>$R$168*(E153)</f>
        <v>0</v>
      </c>
      <c r="V168" s="211"/>
      <c r="W168" s="211"/>
      <c r="X168" s="211">
        <f>$R$168*(H153)</f>
        <v>0</v>
      </c>
      <c r="Y168" s="211"/>
      <c r="Z168" s="211"/>
      <c r="AA168" s="211">
        <f>$R$168*(K153)</f>
        <v>0</v>
      </c>
      <c r="AB168" s="211"/>
      <c r="AC168" s="211"/>
      <c r="AD168" s="211">
        <f>$R$168*(N153)</f>
        <v>0</v>
      </c>
      <c r="AE168" s="211"/>
      <c r="AF168" s="211"/>
      <c r="AG168" s="211">
        <f>$R$168*(Q153)</f>
        <v>0</v>
      </c>
      <c r="AH168" s="211"/>
      <c r="AI168" s="211"/>
      <c r="AJ168" s="211">
        <f>$R$168*(T153)</f>
        <v>0</v>
      </c>
      <c r="AK168" s="211"/>
      <c r="AL168" s="211"/>
      <c r="AM168" s="211">
        <f>$R$168*(W153)</f>
        <v>0</v>
      </c>
      <c r="AN168" s="211"/>
    </row>
    <row r="169" spans="2:42" ht="12" hidden="1" customHeight="1" outlineLevel="2">
      <c r="B169" s="245"/>
      <c r="C169" s="213" t="s">
        <v>767</v>
      </c>
      <c r="D169" s="213"/>
      <c r="E169" s="213"/>
      <c r="F169" s="213"/>
      <c r="G169" s="213"/>
      <c r="H169" s="213"/>
      <c r="I169" s="213"/>
      <c r="J169" s="213"/>
      <c r="K169" s="213"/>
      <c r="L169" s="213"/>
      <c r="M169" s="213"/>
      <c r="N169" s="213"/>
      <c r="O169" s="213"/>
      <c r="P169" s="213"/>
      <c r="Q169" s="213"/>
      <c r="R169" s="213"/>
      <c r="S169" s="211">
        <f>INDEX($C$44:$AN$66,MATCH("New Customers 3MS",$C$44:$C$66,0),MATCH($C169,$C$44:$AN$44,0))</f>
        <v>0</v>
      </c>
      <c r="T169" s="211"/>
      <c r="U169" s="211"/>
      <c r="V169" s="211">
        <f>$S$169*(E153)</f>
        <v>0</v>
      </c>
      <c r="W169" s="211"/>
      <c r="X169" s="211"/>
      <c r="Y169" s="211">
        <f>$S$169*(H153)</f>
        <v>0</v>
      </c>
      <c r="Z169" s="211"/>
      <c r="AA169" s="211"/>
      <c r="AB169" s="211">
        <f>$S$169*(K153)</f>
        <v>0</v>
      </c>
      <c r="AC169" s="211"/>
      <c r="AD169" s="211"/>
      <c r="AE169" s="211">
        <f>$S$169*(N153)</f>
        <v>0</v>
      </c>
      <c r="AF169" s="211"/>
      <c r="AG169" s="211"/>
      <c r="AH169" s="211">
        <f>$S$169*(Q153)</f>
        <v>0</v>
      </c>
      <c r="AI169" s="211"/>
      <c r="AJ169" s="211"/>
      <c r="AK169" s="211">
        <f>$S$169*(T153)</f>
        <v>0</v>
      </c>
      <c r="AL169" s="211"/>
      <c r="AM169" s="211"/>
      <c r="AN169" s="211">
        <f>$S$169*(W153)</f>
        <v>0</v>
      </c>
    </row>
    <row r="170" spans="2:42" ht="12" hidden="1" customHeight="1" outlineLevel="2">
      <c r="B170" s="245"/>
      <c r="C170" s="213" t="s">
        <v>768</v>
      </c>
      <c r="D170" s="213"/>
      <c r="E170" s="213"/>
      <c r="F170" s="213"/>
      <c r="G170" s="213"/>
      <c r="H170" s="213"/>
      <c r="I170" s="213"/>
      <c r="J170" s="213"/>
      <c r="K170" s="213"/>
      <c r="L170" s="213"/>
      <c r="M170" s="213"/>
      <c r="N170" s="213"/>
      <c r="O170" s="213"/>
      <c r="P170" s="213"/>
      <c r="Q170" s="213"/>
      <c r="R170" s="213"/>
      <c r="S170" s="213"/>
      <c r="T170" s="211">
        <f>INDEX($C$44:$AN$66,MATCH("New Customers 3MS",$C$44:$C$66,0),MATCH($C170,$C$44:$AN$44,0))</f>
        <v>0</v>
      </c>
      <c r="U170" s="211"/>
      <c r="V170" s="211"/>
      <c r="W170" s="211">
        <f>$T$170*(E153)</f>
        <v>0</v>
      </c>
      <c r="X170" s="211"/>
      <c r="Y170" s="211"/>
      <c r="Z170" s="211">
        <f>$T$170*(H153)</f>
        <v>0</v>
      </c>
      <c r="AA170" s="211"/>
      <c r="AB170" s="211"/>
      <c r="AC170" s="211">
        <f>$T$170*(K153)</f>
        <v>0</v>
      </c>
      <c r="AD170" s="211"/>
      <c r="AE170" s="211"/>
      <c r="AF170" s="211">
        <f>$T$170*(N153)</f>
        <v>0</v>
      </c>
      <c r="AG170" s="211"/>
      <c r="AH170" s="211"/>
      <c r="AI170" s="211">
        <f>$T$170*(Q153)</f>
        <v>0</v>
      </c>
      <c r="AJ170" s="211"/>
      <c r="AK170" s="211"/>
      <c r="AL170" s="211">
        <f>$T$170*(T153)</f>
        <v>0</v>
      </c>
      <c r="AM170" s="211"/>
      <c r="AN170" s="211"/>
      <c r="AO170" s="211"/>
    </row>
    <row r="171" spans="2:42" ht="12" hidden="1" customHeight="1" outlineLevel="2">
      <c r="B171" s="245"/>
      <c r="C171" s="213" t="s">
        <v>769</v>
      </c>
      <c r="D171" s="213"/>
      <c r="E171" s="213"/>
      <c r="F171" s="213"/>
      <c r="G171" s="213"/>
      <c r="H171" s="213"/>
      <c r="I171" s="213"/>
      <c r="J171" s="213"/>
      <c r="K171" s="213"/>
      <c r="L171" s="213"/>
      <c r="M171" s="213"/>
      <c r="N171" s="213"/>
      <c r="O171" s="213"/>
      <c r="P171" s="213"/>
      <c r="Q171" s="213"/>
      <c r="R171" s="213"/>
      <c r="S171" s="213"/>
      <c r="T171" s="213"/>
      <c r="U171" s="211">
        <f>INDEX($C$44:$AN$66,MATCH("New Customers 3MS",$C$44:$C$66,0),MATCH($C171,$C$44:$AN$44,0))</f>
        <v>0</v>
      </c>
      <c r="V171" s="211"/>
      <c r="W171" s="211"/>
      <c r="X171" s="211">
        <f>$U$171*(E153)</f>
        <v>0</v>
      </c>
      <c r="Y171" s="211"/>
      <c r="Z171" s="211"/>
      <c r="AA171" s="211">
        <f>$U$171*(H153)</f>
        <v>0</v>
      </c>
      <c r="AB171" s="211"/>
      <c r="AC171" s="211"/>
      <c r="AD171" s="211">
        <f>$U$171*(K153)</f>
        <v>0</v>
      </c>
      <c r="AE171" s="211"/>
      <c r="AF171" s="211"/>
      <c r="AG171" s="211">
        <f>$U$171*(N153)</f>
        <v>0</v>
      </c>
      <c r="AH171" s="211"/>
      <c r="AI171" s="211"/>
      <c r="AJ171" s="211">
        <f>$U$171*(Q153)</f>
        <v>0</v>
      </c>
      <c r="AK171" s="211"/>
      <c r="AL171" s="211"/>
      <c r="AM171" s="211">
        <f>$U$171*(T153)</f>
        <v>0</v>
      </c>
      <c r="AN171" s="211"/>
      <c r="AP171" s="211"/>
    </row>
    <row r="172" spans="2:42" ht="12" hidden="1" customHeight="1" outlineLevel="2">
      <c r="B172" s="245"/>
      <c r="C172" s="213" t="s">
        <v>770</v>
      </c>
      <c r="D172" s="213"/>
      <c r="E172" s="213"/>
      <c r="F172" s="213"/>
      <c r="G172" s="213"/>
      <c r="H172" s="213"/>
      <c r="I172" s="213"/>
      <c r="J172" s="213"/>
      <c r="K172" s="213"/>
      <c r="L172" s="213"/>
      <c r="M172" s="213"/>
      <c r="N172" s="213"/>
      <c r="O172" s="213"/>
      <c r="P172" s="213"/>
      <c r="Q172" s="213"/>
      <c r="R172" s="213"/>
      <c r="S172" s="213"/>
      <c r="T172" s="213"/>
      <c r="U172" s="213"/>
      <c r="V172" s="211">
        <f>INDEX($C$44:$AN$66,MATCH("New Customers 3MS",$C$44:$C$66,0),MATCH($C172,$C$44:$AN$44,0))</f>
        <v>0</v>
      </c>
      <c r="W172" s="211"/>
      <c r="X172" s="211"/>
      <c r="Y172" s="211">
        <f>$V$172*(E153)</f>
        <v>0</v>
      </c>
      <c r="Z172" s="211"/>
      <c r="AA172" s="211"/>
      <c r="AB172" s="211">
        <f>$V$172*(H153)</f>
        <v>0</v>
      </c>
      <c r="AC172" s="211"/>
      <c r="AD172" s="211"/>
      <c r="AE172" s="211">
        <f>$V$172*(K153)</f>
        <v>0</v>
      </c>
      <c r="AF172" s="211"/>
      <c r="AG172" s="211"/>
      <c r="AH172" s="211">
        <f>$V$172*(N153)</f>
        <v>0</v>
      </c>
      <c r="AI172" s="211"/>
      <c r="AJ172" s="211"/>
      <c r="AK172" s="211">
        <f>$V$172*(Q153)</f>
        <v>0</v>
      </c>
      <c r="AL172" s="211"/>
      <c r="AM172" s="211"/>
      <c r="AN172" s="211">
        <f>$V$172*(T153)</f>
        <v>0</v>
      </c>
    </row>
    <row r="173" spans="2:42" ht="12" hidden="1" customHeight="1" outlineLevel="2">
      <c r="B173" s="245"/>
      <c r="C173" s="213" t="s">
        <v>771</v>
      </c>
      <c r="D173" s="213"/>
      <c r="E173" s="213"/>
      <c r="F173" s="213"/>
      <c r="G173" s="213"/>
      <c r="H173" s="213"/>
      <c r="I173" s="213"/>
      <c r="J173" s="213"/>
      <c r="K173" s="213"/>
      <c r="L173" s="213"/>
      <c r="M173" s="213"/>
      <c r="N173" s="213"/>
      <c r="O173" s="213"/>
      <c r="P173" s="213"/>
      <c r="Q173" s="213"/>
      <c r="R173" s="213"/>
      <c r="S173" s="213"/>
      <c r="T173" s="213"/>
      <c r="U173" s="213"/>
      <c r="V173" s="213"/>
      <c r="W173" s="211">
        <f>INDEX($C$44:$AN$66,MATCH("New Customers 3MS",$C$44:$C$66,0),MATCH($C173,$C$44:$AN$44,0))</f>
        <v>0</v>
      </c>
      <c r="X173" s="211"/>
      <c r="Y173" s="211"/>
      <c r="Z173" s="211">
        <f>$W$173*(E153)</f>
        <v>0</v>
      </c>
      <c r="AA173" s="211"/>
      <c r="AB173" s="211"/>
      <c r="AC173" s="211">
        <f>$W$173*(H153)</f>
        <v>0</v>
      </c>
      <c r="AD173" s="211"/>
      <c r="AE173" s="211"/>
      <c r="AF173" s="211">
        <f>$W$173*(K153)</f>
        <v>0</v>
      </c>
      <c r="AG173" s="211"/>
      <c r="AH173" s="211"/>
      <c r="AI173" s="211">
        <f>$W$173*(N153)</f>
        <v>0</v>
      </c>
      <c r="AJ173" s="211"/>
      <c r="AK173" s="211"/>
      <c r="AL173" s="211">
        <f>$W$173*(Q153)</f>
        <v>0</v>
      </c>
      <c r="AM173" s="211"/>
      <c r="AN173" s="211"/>
    </row>
    <row r="174" spans="2:42" ht="12" hidden="1" customHeight="1" outlineLevel="2">
      <c r="B174" s="245"/>
      <c r="C174" s="213" t="s">
        <v>772</v>
      </c>
      <c r="D174" s="213"/>
      <c r="E174" s="213"/>
      <c r="F174" s="213"/>
      <c r="G174" s="213"/>
      <c r="H174" s="213"/>
      <c r="I174" s="213"/>
      <c r="J174" s="213"/>
      <c r="K174" s="213"/>
      <c r="L174" s="213"/>
      <c r="M174" s="213"/>
      <c r="N174" s="213"/>
      <c r="O174" s="213"/>
      <c r="P174" s="213"/>
      <c r="Q174" s="213"/>
      <c r="R174" s="213"/>
      <c r="S174" s="213"/>
      <c r="T174" s="213"/>
      <c r="U174" s="213"/>
      <c r="V174" s="213"/>
      <c r="W174" s="213"/>
      <c r="X174" s="211">
        <f>INDEX($C$44:$AN$66,MATCH("New Customers 3MS",$C$44:$C$66,0),MATCH($C174,$C$44:$AN$44,0))</f>
        <v>0</v>
      </c>
      <c r="Y174" s="211"/>
      <c r="Z174" s="211"/>
      <c r="AA174" s="211">
        <f>$X$174*(E153)</f>
        <v>0</v>
      </c>
      <c r="AB174" s="211"/>
      <c r="AC174" s="211"/>
      <c r="AD174" s="211">
        <f>$X$174*(H153)</f>
        <v>0</v>
      </c>
      <c r="AE174" s="211"/>
      <c r="AF174" s="211"/>
      <c r="AG174" s="211">
        <f>$X$174*(K153)</f>
        <v>0</v>
      </c>
      <c r="AH174" s="211"/>
      <c r="AI174" s="211"/>
      <c r="AJ174" s="211">
        <f>$X$174*(N153)</f>
        <v>0</v>
      </c>
      <c r="AK174" s="211"/>
      <c r="AL174" s="211"/>
      <c r="AM174" s="211">
        <f>$X$174*(Q153)</f>
        <v>0</v>
      </c>
      <c r="AN174" s="211"/>
    </row>
    <row r="175" spans="2:42" ht="12" hidden="1" customHeight="1" outlineLevel="2">
      <c r="B175" s="245"/>
      <c r="C175" s="213" t="s">
        <v>773</v>
      </c>
      <c r="D175" s="213"/>
      <c r="E175" s="213"/>
      <c r="F175" s="213"/>
      <c r="G175" s="213"/>
      <c r="H175" s="213"/>
      <c r="I175" s="213"/>
      <c r="J175" s="213"/>
      <c r="K175" s="213"/>
      <c r="L175" s="213"/>
      <c r="M175" s="213"/>
      <c r="N175" s="213"/>
      <c r="O175" s="213"/>
      <c r="P175" s="213"/>
      <c r="Q175" s="213"/>
      <c r="R175" s="213"/>
      <c r="S175" s="213"/>
      <c r="T175" s="213"/>
      <c r="U175" s="213"/>
      <c r="V175" s="213"/>
      <c r="W175" s="213"/>
      <c r="X175" s="213"/>
      <c r="Y175" s="211">
        <f>INDEX($C$44:$AN$66,MATCH("New Customers 3MS",$C$44:$C$66,0),MATCH($C175,$C$44:$AN$44,0))</f>
        <v>0</v>
      </c>
      <c r="Z175" s="211"/>
      <c r="AA175" s="211"/>
      <c r="AB175" s="211">
        <f>$Y$175*(E153)</f>
        <v>0</v>
      </c>
      <c r="AC175" s="211"/>
      <c r="AD175" s="211"/>
      <c r="AE175" s="211">
        <f>$Y$175*(H153)</f>
        <v>0</v>
      </c>
      <c r="AF175" s="211"/>
      <c r="AG175" s="211"/>
      <c r="AH175" s="211">
        <f>$Y$175*(K153)</f>
        <v>0</v>
      </c>
      <c r="AI175" s="211"/>
      <c r="AJ175" s="211"/>
      <c r="AK175" s="211">
        <f>$Y$175*(N153)</f>
        <v>0</v>
      </c>
      <c r="AL175" s="211"/>
      <c r="AM175" s="211"/>
      <c r="AN175" s="211">
        <f>$Y$175*(Q153)</f>
        <v>0</v>
      </c>
    </row>
    <row r="176" spans="2:42" ht="12" hidden="1" customHeight="1" outlineLevel="2">
      <c r="B176" s="245"/>
      <c r="C176" s="213" t="s">
        <v>774</v>
      </c>
      <c r="D176" s="213"/>
      <c r="E176" s="213"/>
      <c r="F176" s="213"/>
      <c r="G176" s="213"/>
      <c r="H176" s="213"/>
      <c r="I176" s="213"/>
      <c r="J176" s="213"/>
      <c r="K176" s="213"/>
      <c r="L176" s="213"/>
      <c r="M176" s="213"/>
      <c r="N176" s="213"/>
      <c r="O176" s="213"/>
      <c r="P176" s="213"/>
      <c r="Q176" s="213"/>
      <c r="R176" s="213"/>
      <c r="S176" s="213"/>
      <c r="T176" s="213"/>
      <c r="U176" s="213"/>
      <c r="V176" s="213"/>
      <c r="W176" s="213"/>
      <c r="X176" s="213"/>
      <c r="Y176" s="213"/>
      <c r="Z176" s="211">
        <f>INDEX($C$44:$AN$66,MATCH("New Customers 3MS",$C$44:$C$66,0),MATCH($C176,$C$44:$AN$44,0))</f>
        <v>0</v>
      </c>
      <c r="AA176" s="211"/>
      <c r="AB176" s="211"/>
      <c r="AC176" s="211">
        <f>$Z$176*(E153)</f>
        <v>0</v>
      </c>
      <c r="AD176" s="211"/>
      <c r="AE176" s="211"/>
      <c r="AF176" s="211">
        <f>$Z$176*(H153)</f>
        <v>0</v>
      </c>
      <c r="AG176" s="211"/>
      <c r="AH176" s="211"/>
      <c r="AI176" s="211">
        <f>$Z$176*(K153)</f>
        <v>0</v>
      </c>
      <c r="AJ176" s="211"/>
      <c r="AK176" s="211"/>
      <c r="AL176" s="211">
        <f>$Z$176*(N153)</f>
        <v>0</v>
      </c>
      <c r="AM176" s="211"/>
      <c r="AN176" s="211"/>
    </row>
    <row r="177" spans="2:41" ht="12" hidden="1" customHeight="1" outlineLevel="2">
      <c r="B177" s="245"/>
      <c r="C177" s="213" t="s">
        <v>775</v>
      </c>
      <c r="D177" s="213"/>
      <c r="E177" s="213"/>
      <c r="F177" s="213"/>
      <c r="G177" s="213"/>
      <c r="H177" s="213"/>
      <c r="I177" s="213"/>
      <c r="J177" s="213"/>
      <c r="K177" s="213"/>
      <c r="L177" s="213"/>
      <c r="M177" s="213"/>
      <c r="N177" s="213"/>
      <c r="O177" s="213"/>
      <c r="P177" s="213"/>
      <c r="Q177" s="213"/>
      <c r="R177" s="213"/>
      <c r="S177" s="213"/>
      <c r="T177" s="213"/>
      <c r="U177" s="213"/>
      <c r="V177" s="213"/>
      <c r="W177" s="213"/>
      <c r="X177" s="213"/>
      <c r="Y177" s="213"/>
      <c r="Z177" s="213"/>
      <c r="AA177" s="211">
        <f>INDEX($C$44:$AN$66,MATCH("New Customers 3MS",$C$44:$C$66,0),MATCH($C177,$C$44:$AN$44,0))</f>
        <v>0</v>
      </c>
      <c r="AB177" s="211"/>
      <c r="AC177" s="211"/>
      <c r="AD177" s="211">
        <f>$AA$177*(E153)</f>
        <v>0</v>
      </c>
      <c r="AE177" s="211"/>
      <c r="AF177" s="211"/>
      <c r="AG177" s="211">
        <f>$AA$177*(H153)</f>
        <v>0</v>
      </c>
      <c r="AH177" s="211"/>
      <c r="AI177" s="211"/>
      <c r="AJ177" s="211">
        <f>$AA$177*(K153)</f>
        <v>0</v>
      </c>
      <c r="AK177" s="211"/>
      <c r="AL177" s="211"/>
      <c r="AM177" s="211">
        <f>$AA$177*(N153)</f>
        <v>0</v>
      </c>
      <c r="AN177" s="211"/>
    </row>
    <row r="178" spans="2:41" ht="12" hidden="1" customHeight="1" outlineLevel="2">
      <c r="B178" s="245"/>
      <c r="C178" s="213" t="s">
        <v>776</v>
      </c>
      <c r="D178" s="213"/>
      <c r="E178" s="213"/>
      <c r="F178" s="213"/>
      <c r="G178" s="213"/>
      <c r="H178" s="213"/>
      <c r="I178" s="213"/>
      <c r="J178" s="213"/>
      <c r="K178" s="213"/>
      <c r="L178" s="213"/>
      <c r="M178" s="213"/>
      <c r="N178" s="213"/>
      <c r="O178" s="213"/>
      <c r="P178" s="213"/>
      <c r="Q178" s="213"/>
      <c r="R178" s="213"/>
      <c r="S178" s="213"/>
      <c r="T178" s="213"/>
      <c r="U178" s="213"/>
      <c r="V178" s="213"/>
      <c r="W178" s="213"/>
      <c r="X178" s="213"/>
      <c r="Y178" s="213"/>
      <c r="Z178" s="213"/>
      <c r="AA178" s="213"/>
      <c r="AB178" s="211">
        <f>INDEX($C$44:$AN$66,MATCH("New Customers 3MS",$C$44:$C$66,0),MATCH($C178,$C$44:$AN$44,0))</f>
        <v>0</v>
      </c>
      <c r="AC178" s="211"/>
      <c r="AD178" s="211"/>
      <c r="AE178" s="211">
        <f>$AB$178*(E153)</f>
        <v>0</v>
      </c>
      <c r="AF178" s="211"/>
      <c r="AG178" s="211"/>
      <c r="AH178" s="211">
        <f>$AB$178*(H153)</f>
        <v>0</v>
      </c>
      <c r="AI178" s="211"/>
      <c r="AJ178" s="211"/>
      <c r="AK178" s="211">
        <f>$AB$178*(K153)</f>
        <v>0</v>
      </c>
      <c r="AL178" s="211"/>
      <c r="AM178" s="211"/>
      <c r="AN178" s="211">
        <f>$AB$178*(N153)</f>
        <v>0</v>
      </c>
    </row>
    <row r="179" spans="2:41" ht="12" hidden="1" customHeight="1" outlineLevel="2">
      <c r="B179" s="245"/>
      <c r="C179" s="213" t="s">
        <v>777</v>
      </c>
      <c r="D179" s="213"/>
      <c r="E179" s="213"/>
      <c r="F179" s="213"/>
      <c r="G179" s="213"/>
      <c r="H179" s="213"/>
      <c r="I179" s="213"/>
      <c r="J179" s="213"/>
      <c r="K179" s="213"/>
      <c r="L179" s="213"/>
      <c r="M179" s="213"/>
      <c r="N179" s="213"/>
      <c r="O179" s="213"/>
      <c r="P179" s="213"/>
      <c r="Q179" s="213"/>
      <c r="R179" s="213"/>
      <c r="S179" s="213"/>
      <c r="T179" s="213"/>
      <c r="U179" s="213"/>
      <c r="V179" s="213"/>
      <c r="W179" s="213"/>
      <c r="X179" s="213"/>
      <c r="Y179" s="213"/>
      <c r="Z179" s="213"/>
      <c r="AA179" s="213"/>
      <c r="AB179" s="211"/>
      <c r="AC179" s="211">
        <f>INDEX($C$44:$AN$66,MATCH("New Customers 3MS",$C$44:$C$66,0),MATCH($C179,$C$44:$AN$44,0))</f>
        <v>0</v>
      </c>
      <c r="AD179" s="211"/>
      <c r="AE179" s="211"/>
      <c r="AF179" s="211">
        <f>$AC$179*(E153)</f>
        <v>0</v>
      </c>
      <c r="AG179" s="211"/>
      <c r="AH179" s="211"/>
      <c r="AI179" s="211">
        <f>$AC$179*(H153)</f>
        <v>0</v>
      </c>
      <c r="AJ179" s="211"/>
      <c r="AK179" s="211"/>
      <c r="AL179" s="211">
        <f>$AC$179*(K153)</f>
        <v>0</v>
      </c>
      <c r="AM179" s="211"/>
      <c r="AN179" s="211"/>
      <c r="AO179" s="211"/>
    </row>
    <row r="180" spans="2:41" ht="12" hidden="1" customHeight="1" outlineLevel="2">
      <c r="B180" s="245"/>
      <c r="C180" s="213" t="s">
        <v>778</v>
      </c>
      <c r="D180" s="213"/>
      <c r="E180" s="213"/>
      <c r="F180" s="213"/>
      <c r="G180" s="213"/>
      <c r="H180" s="213"/>
      <c r="I180" s="213"/>
      <c r="J180" s="213"/>
      <c r="K180" s="213"/>
      <c r="L180" s="213"/>
      <c r="M180" s="213"/>
      <c r="N180" s="213"/>
      <c r="O180" s="213"/>
      <c r="P180" s="213"/>
      <c r="Q180" s="213"/>
      <c r="R180" s="213"/>
      <c r="S180" s="213"/>
      <c r="T180" s="213"/>
      <c r="U180" s="213"/>
      <c r="V180" s="213"/>
      <c r="W180" s="213"/>
      <c r="X180" s="213"/>
      <c r="Y180" s="213"/>
      <c r="Z180" s="213"/>
      <c r="AA180" s="213"/>
      <c r="AB180" s="211"/>
      <c r="AC180" s="211"/>
      <c r="AD180" s="211">
        <f>INDEX($C$44:$AN$66,MATCH("New Customers 3MS",$C$44:$C$66,0),MATCH($C180,$C$44:$AN$44,0))</f>
        <v>0</v>
      </c>
      <c r="AE180" s="211"/>
      <c r="AF180" s="211"/>
      <c r="AG180" s="211">
        <f>$AD$180*(E153)</f>
        <v>0</v>
      </c>
      <c r="AH180" s="211"/>
      <c r="AI180" s="211"/>
      <c r="AJ180" s="211">
        <f>$AD$180*(H153)</f>
        <v>0</v>
      </c>
      <c r="AK180" s="211"/>
      <c r="AL180" s="211"/>
      <c r="AM180" s="211">
        <f>$AD$180*(K153)</f>
        <v>0</v>
      </c>
      <c r="AN180" s="211"/>
    </row>
    <row r="181" spans="2:41" ht="12" hidden="1" customHeight="1" outlineLevel="2">
      <c r="B181" s="245"/>
      <c r="C181" s="213" t="s">
        <v>779</v>
      </c>
      <c r="D181" s="213"/>
      <c r="E181" s="213"/>
      <c r="F181" s="213"/>
      <c r="G181" s="213"/>
      <c r="H181" s="213"/>
      <c r="I181" s="213"/>
      <c r="J181" s="213"/>
      <c r="K181" s="213"/>
      <c r="L181" s="213"/>
      <c r="M181" s="213"/>
      <c r="N181" s="213"/>
      <c r="O181" s="213"/>
      <c r="P181" s="213"/>
      <c r="Q181" s="213"/>
      <c r="R181" s="213"/>
      <c r="S181" s="213"/>
      <c r="T181" s="213"/>
      <c r="U181" s="213"/>
      <c r="V181" s="213"/>
      <c r="W181" s="213"/>
      <c r="X181" s="213"/>
      <c r="Y181" s="213"/>
      <c r="Z181" s="213"/>
      <c r="AA181" s="213"/>
      <c r="AB181" s="211"/>
      <c r="AC181" s="211"/>
      <c r="AD181" s="211"/>
      <c r="AE181" s="211">
        <f>INDEX($C$44:$AN$66,MATCH("New Customers 3MS",$C$44:$C$66,0),MATCH($C181,$C$44:$AN$44,0))</f>
        <v>0</v>
      </c>
      <c r="AF181" s="211"/>
      <c r="AG181" s="211"/>
      <c r="AH181" s="211">
        <f>$AE$181*(E153)</f>
        <v>0</v>
      </c>
      <c r="AI181" s="211"/>
      <c r="AJ181" s="211"/>
      <c r="AK181" s="211">
        <f>$AE$181*(H153)</f>
        <v>0</v>
      </c>
      <c r="AL181" s="211"/>
      <c r="AM181" s="211"/>
      <c r="AN181" s="211">
        <f>$AE$181*(K153)</f>
        <v>0</v>
      </c>
    </row>
    <row r="182" spans="2:41" ht="12" hidden="1" customHeight="1" outlineLevel="2">
      <c r="B182" s="245"/>
      <c r="C182" s="213" t="s">
        <v>780</v>
      </c>
      <c r="D182" s="213"/>
      <c r="E182" s="213"/>
      <c r="F182" s="213"/>
      <c r="G182" s="213"/>
      <c r="H182" s="213"/>
      <c r="I182" s="213"/>
      <c r="J182" s="213"/>
      <c r="K182" s="213"/>
      <c r="L182" s="213"/>
      <c r="M182" s="213"/>
      <c r="N182" s="213"/>
      <c r="O182" s="213"/>
      <c r="P182" s="213"/>
      <c r="Q182" s="213"/>
      <c r="R182" s="213"/>
      <c r="S182" s="213"/>
      <c r="T182" s="213"/>
      <c r="U182" s="213"/>
      <c r="V182" s="213"/>
      <c r="W182" s="213"/>
      <c r="X182" s="213"/>
      <c r="Y182" s="213"/>
      <c r="Z182" s="213"/>
      <c r="AA182" s="213"/>
      <c r="AB182" s="211"/>
      <c r="AC182" s="211"/>
      <c r="AD182" s="211"/>
      <c r="AE182" s="211"/>
      <c r="AF182" s="211">
        <f>INDEX($C$44:$AN$66,MATCH("New Customers 3MS",$C$44:$C$66,0),MATCH($C182,$C$44:$AN$44,0))</f>
        <v>0</v>
      </c>
      <c r="AG182" s="211"/>
      <c r="AH182" s="211"/>
      <c r="AI182" s="211">
        <f>$AF$182*(E153)</f>
        <v>0</v>
      </c>
      <c r="AJ182" s="211"/>
      <c r="AK182" s="211"/>
      <c r="AL182" s="211">
        <f>$AF$182*(H153)</f>
        <v>0</v>
      </c>
      <c r="AM182" s="211"/>
      <c r="AN182" s="211"/>
    </row>
    <row r="183" spans="2:41" ht="12" hidden="1" customHeight="1" outlineLevel="2">
      <c r="B183" s="245"/>
      <c r="C183" s="213" t="s">
        <v>781</v>
      </c>
      <c r="D183" s="213"/>
      <c r="E183" s="213"/>
      <c r="F183" s="213"/>
      <c r="G183" s="213"/>
      <c r="H183" s="213"/>
      <c r="I183" s="213"/>
      <c r="J183" s="213"/>
      <c r="K183" s="213"/>
      <c r="L183" s="213"/>
      <c r="M183" s="213"/>
      <c r="N183" s="213"/>
      <c r="O183" s="213"/>
      <c r="P183" s="213"/>
      <c r="Q183" s="213"/>
      <c r="R183" s="213"/>
      <c r="S183" s="213"/>
      <c r="T183" s="213"/>
      <c r="U183" s="213"/>
      <c r="V183" s="213"/>
      <c r="W183" s="213"/>
      <c r="X183" s="213"/>
      <c r="Y183" s="213"/>
      <c r="Z183" s="213"/>
      <c r="AA183" s="213"/>
      <c r="AB183" s="211"/>
      <c r="AC183" s="211"/>
      <c r="AD183" s="211"/>
      <c r="AE183" s="211"/>
      <c r="AF183" s="211"/>
      <c r="AG183" s="211">
        <f>INDEX($C$44:$AN$66,MATCH("New Customers 3MS",$C$44:$C$66,0),MATCH($C183,$C$44:$AN$44,0))</f>
        <v>0</v>
      </c>
      <c r="AH183" s="211"/>
      <c r="AI183" s="211"/>
      <c r="AJ183" s="211">
        <f>$AG$183*(E153)</f>
        <v>0</v>
      </c>
      <c r="AK183" s="211"/>
      <c r="AL183" s="211"/>
      <c r="AM183" s="211">
        <f>$AG$183*(H153)</f>
        <v>0</v>
      </c>
      <c r="AN183" s="211"/>
    </row>
    <row r="184" spans="2:41" ht="12" hidden="1" customHeight="1" outlineLevel="2">
      <c r="B184" s="245"/>
      <c r="C184" s="213" t="s">
        <v>782</v>
      </c>
      <c r="D184" s="213"/>
      <c r="E184" s="213"/>
      <c r="F184" s="213"/>
      <c r="G184" s="213"/>
      <c r="H184" s="213"/>
      <c r="I184" s="213"/>
      <c r="J184" s="213"/>
      <c r="K184" s="213"/>
      <c r="L184" s="213"/>
      <c r="M184" s="213"/>
      <c r="N184" s="213"/>
      <c r="O184" s="213"/>
      <c r="P184" s="213"/>
      <c r="Q184" s="213"/>
      <c r="R184" s="213"/>
      <c r="S184" s="213"/>
      <c r="T184" s="213"/>
      <c r="U184" s="213"/>
      <c r="V184" s="213"/>
      <c r="W184" s="213"/>
      <c r="X184" s="213"/>
      <c r="Y184" s="213"/>
      <c r="Z184" s="213"/>
      <c r="AA184" s="213"/>
      <c r="AB184" s="211"/>
      <c r="AC184" s="211"/>
      <c r="AD184" s="211"/>
      <c r="AE184" s="211"/>
      <c r="AF184" s="211"/>
      <c r="AG184" s="211"/>
      <c r="AH184" s="211">
        <f>INDEX($C$44:$AN$66,MATCH("New Customers 3MS",$C$44:$C$66,0),MATCH($C184,$C$44:$AN$44,0))</f>
        <v>0</v>
      </c>
      <c r="AI184" s="211"/>
      <c r="AJ184" s="211"/>
      <c r="AK184" s="211">
        <f>$AH$184*(E153)</f>
        <v>0</v>
      </c>
      <c r="AL184" s="211"/>
      <c r="AM184" s="211"/>
      <c r="AN184" s="211">
        <f>$AH$184*(H153)</f>
        <v>0</v>
      </c>
    </row>
    <row r="185" spans="2:41" ht="12" hidden="1" customHeight="1" outlineLevel="2">
      <c r="B185" s="245"/>
      <c r="C185" s="213" t="s">
        <v>783</v>
      </c>
      <c r="D185" s="213"/>
      <c r="E185" s="213"/>
      <c r="F185" s="213"/>
      <c r="G185" s="213"/>
      <c r="H185" s="213"/>
      <c r="I185" s="213"/>
      <c r="J185" s="213"/>
      <c r="K185" s="213"/>
      <c r="L185" s="213"/>
      <c r="M185" s="213"/>
      <c r="N185" s="213"/>
      <c r="O185" s="213"/>
      <c r="P185" s="213"/>
      <c r="Q185" s="213"/>
      <c r="R185" s="213"/>
      <c r="S185" s="213"/>
      <c r="T185" s="213"/>
      <c r="U185" s="213"/>
      <c r="V185" s="213"/>
      <c r="W185" s="213"/>
      <c r="X185" s="213"/>
      <c r="Y185" s="213"/>
      <c r="Z185" s="213"/>
      <c r="AA185" s="213"/>
      <c r="AB185" s="211"/>
      <c r="AC185" s="211"/>
      <c r="AD185" s="211"/>
      <c r="AE185" s="211"/>
      <c r="AF185" s="211"/>
      <c r="AG185" s="211"/>
      <c r="AH185" s="211"/>
      <c r="AI185" s="211">
        <f>INDEX($C$44:$AN$66,MATCH("New Customers 3MS",$C$44:$C$66,0),MATCH($C185,$C$44:$AN$44,0))</f>
        <v>0</v>
      </c>
      <c r="AJ185" s="211"/>
      <c r="AK185" s="211"/>
      <c r="AL185" s="211">
        <f>$AI$185*(E153)</f>
        <v>0</v>
      </c>
      <c r="AM185" s="211"/>
      <c r="AN185" s="211"/>
    </row>
    <row r="186" spans="2:41" ht="12" hidden="1" customHeight="1" outlineLevel="2">
      <c r="B186" s="245"/>
      <c r="C186" s="213" t="s">
        <v>784</v>
      </c>
      <c r="D186" s="213"/>
      <c r="E186" s="213"/>
      <c r="F186" s="213"/>
      <c r="G186" s="213"/>
      <c r="H186" s="213"/>
      <c r="I186" s="213"/>
      <c r="J186" s="213"/>
      <c r="K186" s="213"/>
      <c r="L186" s="213"/>
      <c r="M186" s="213"/>
      <c r="N186" s="213"/>
      <c r="O186" s="213"/>
      <c r="P186" s="213"/>
      <c r="Q186" s="213"/>
      <c r="R186" s="213"/>
      <c r="S186" s="213"/>
      <c r="T186" s="213"/>
      <c r="U186" s="213"/>
      <c r="V186" s="213"/>
      <c r="W186" s="213"/>
      <c r="X186" s="213"/>
      <c r="Y186" s="213"/>
      <c r="Z186" s="213"/>
      <c r="AA186" s="213"/>
      <c r="AB186" s="211"/>
      <c r="AC186" s="211"/>
      <c r="AD186" s="211"/>
      <c r="AE186" s="211"/>
      <c r="AF186" s="211"/>
      <c r="AG186" s="211"/>
      <c r="AH186" s="211"/>
      <c r="AI186" s="211"/>
      <c r="AJ186" s="211">
        <f>INDEX($C$44:$AN$66,MATCH("New Customers 3MS",$C$44:$C$66,0),MATCH($C186,$C$44:$AN$44,0))</f>
        <v>0</v>
      </c>
      <c r="AK186" s="211"/>
      <c r="AL186" s="211"/>
      <c r="AM186" s="211">
        <f>$AJ$186*(E153)</f>
        <v>0</v>
      </c>
      <c r="AN186" s="211"/>
    </row>
    <row r="187" spans="2:41" ht="12" hidden="1" customHeight="1" outlineLevel="2">
      <c r="B187" s="245"/>
      <c r="C187" s="213" t="s">
        <v>785</v>
      </c>
      <c r="D187" s="213"/>
      <c r="E187" s="213"/>
      <c r="F187" s="213"/>
      <c r="G187" s="213"/>
      <c r="H187" s="213"/>
      <c r="I187" s="213"/>
      <c r="J187" s="213"/>
      <c r="K187" s="213"/>
      <c r="L187" s="213"/>
      <c r="M187" s="213"/>
      <c r="N187" s="213"/>
      <c r="O187" s="213"/>
      <c r="P187" s="213"/>
      <c r="Q187" s="213"/>
      <c r="R187" s="213"/>
      <c r="S187" s="213"/>
      <c r="T187" s="213"/>
      <c r="U187" s="213"/>
      <c r="V187" s="213"/>
      <c r="W187" s="213"/>
      <c r="X187" s="213"/>
      <c r="Y187" s="213"/>
      <c r="Z187" s="213"/>
      <c r="AA187" s="213"/>
      <c r="AB187" s="211"/>
      <c r="AC187" s="211"/>
      <c r="AD187" s="211"/>
      <c r="AE187" s="211"/>
      <c r="AF187" s="211"/>
      <c r="AG187" s="211"/>
      <c r="AH187" s="211"/>
      <c r="AI187" s="211"/>
      <c r="AJ187" s="211"/>
      <c r="AK187" s="211">
        <f>INDEX($C$44:$AN$66,MATCH("New Customers 3MS",$C$44:$C$66,0),MATCH($C187,$C$44:$AN$44,0))</f>
        <v>0</v>
      </c>
      <c r="AL187" s="211"/>
      <c r="AM187" s="211"/>
      <c r="AN187" s="211">
        <f>$AK$187*(E153)</f>
        <v>0</v>
      </c>
    </row>
    <row r="188" spans="2:41" ht="12" hidden="1" customHeight="1" outlineLevel="2">
      <c r="B188" s="245"/>
      <c r="C188" s="213" t="s">
        <v>786</v>
      </c>
      <c r="D188" s="213"/>
      <c r="E188" s="213"/>
      <c r="F188" s="213"/>
      <c r="G188" s="213"/>
      <c r="H188" s="213"/>
      <c r="I188" s="213"/>
      <c r="J188" s="213"/>
      <c r="K188" s="213"/>
      <c r="L188" s="213"/>
      <c r="M188" s="213"/>
      <c r="N188" s="213"/>
      <c r="O188" s="213"/>
      <c r="P188" s="213"/>
      <c r="Q188" s="213"/>
      <c r="R188" s="213"/>
      <c r="S188" s="213"/>
      <c r="T188" s="213"/>
      <c r="U188" s="213"/>
      <c r="V188" s="213"/>
      <c r="W188" s="213"/>
      <c r="X188" s="213"/>
      <c r="Y188" s="213"/>
      <c r="Z188" s="213"/>
      <c r="AA188" s="213"/>
      <c r="AB188" s="211"/>
      <c r="AC188" s="211"/>
      <c r="AD188" s="211"/>
      <c r="AE188" s="211"/>
      <c r="AF188" s="211"/>
      <c r="AG188" s="211"/>
      <c r="AH188" s="211"/>
      <c r="AI188" s="211"/>
      <c r="AJ188" s="211"/>
      <c r="AK188" s="211"/>
      <c r="AL188" s="211">
        <f>INDEX($C$44:$AN$66,MATCH("New Customers 3MS",$C$44:$C$66,0),MATCH($C188,$C$44:$AN$44,0))</f>
        <v>0</v>
      </c>
      <c r="AM188" s="211"/>
      <c r="AN188" s="211"/>
    </row>
    <row r="189" spans="2:41" ht="12" hidden="1" customHeight="1" outlineLevel="2">
      <c r="B189" s="245"/>
      <c r="C189" s="213" t="s">
        <v>787</v>
      </c>
      <c r="D189" s="213"/>
      <c r="E189" s="213"/>
      <c r="F189" s="213"/>
      <c r="G189" s="213"/>
      <c r="H189" s="213"/>
      <c r="I189" s="213"/>
      <c r="J189" s="213"/>
      <c r="K189" s="213"/>
      <c r="L189" s="213"/>
      <c r="M189" s="213"/>
      <c r="N189" s="213"/>
      <c r="O189" s="213"/>
      <c r="P189" s="213"/>
      <c r="Q189" s="213"/>
      <c r="R189" s="213"/>
      <c r="S189" s="213"/>
      <c r="T189" s="213"/>
      <c r="U189" s="213"/>
      <c r="V189" s="213"/>
      <c r="W189" s="213"/>
      <c r="X189" s="213"/>
      <c r="Y189" s="213"/>
      <c r="Z189" s="213"/>
      <c r="AA189" s="213"/>
      <c r="AB189" s="211"/>
      <c r="AC189" s="211"/>
      <c r="AD189" s="211"/>
      <c r="AE189" s="211"/>
      <c r="AF189" s="211"/>
      <c r="AG189" s="211"/>
      <c r="AH189" s="211"/>
      <c r="AI189" s="211"/>
      <c r="AJ189" s="211"/>
      <c r="AK189" s="211"/>
      <c r="AL189" s="211"/>
      <c r="AM189" s="211">
        <f>INDEX($C$44:$AN$66,MATCH("New Customers 3MS",$C$44:$C$66,0),MATCH($C189,$C$44:$AN$44,0))</f>
        <v>0</v>
      </c>
      <c r="AN189" s="211"/>
    </row>
    <row r="190" spans="2:41" ht="12" hidden="1" customHeight="1" outlineLevel="2">
      <c r="B190" s="245"/>
      <c r="C190" s="213" t="s">
        <v>788</v>
      </c>
      <c r="D190" s="213"/>
      <c r="E190" s="213"/>
      <c r="F190" s="213"/>
      <c r="G190" s="213"/>
      <c r="H190" s="213"/>
      <c r="I190" s="213"/>
      <c r="J190" s="213"/>
      <c r="K190" s="213"/>
      <c r="L190" s="213"/>
      <c r="M190" s="213"/>
      <c r="N190" s="213"/>
      <c r="O190" s="213"/>
      <c r="P190" s="213"/>
      <c r="Q190" s="213"/>
      <c r="R190" s="213"/>
      <c r="S190" s="213"/>
      <c r="T190" s="213"/>
      <c r="U190" s="213"/>
      <c r="V190" s="213"/>
      <c r="W190" s="213"/>
      <c r="X190" s="213"/>
      <c r="Y190" s="213"/>
      <c r="Z190" s="213"/>
      <c r="AA190" s="213"/>
      <c r="AB190" s="211"/>
      <c r="AC190" s="211"/>
      <c r="AD190" s="211"/>
      <c r="AE190" s="211"/>
      <c r="AF190" s="211"/>
      <c r="AG190" s="211"/>
      <c r="AH190" s="211"/>
      <c r="AI190" s="211"/>
      <c r="AJ190" s="211"/>
      <c r="AK190" s="211"/>
      <c r="AL190" s="211"/>
      <c r="AM190" s="211"/>
      <c r="AN190" s="211">
        <f>INDEX($C$44:$AN$66,MATCH("New Customers 3MS",$C$44:$C$66,0),MATCH($C190,$C$44:$AN$44,0))</f>
        <v>0</v>
      </c>
    </row>
    <row r="191" spans="2:41" ht="12" hidden="1" customHeight="1" outlineLevel="2">
      <c r="B191" s="245"/>
      <c r="C191" s="213"/>
      <c r="D191" s="213"/>
      <c r="E191" s="213"/>
      <c r="F191" s="213"/>
      <c r="G191" s="213"/>
      <c r="H191" s="213"/>
      <c r="I191" s="213"/>
      <c r="J191" s="213"/>
      <c r="K191" s="213"/>
      <c r="L191" s="213"/>
      <c r="M191" s="213"/>
      <c r="N191" s="213"/>
      <c r="O191" s="213"/>
      <c r="P191" s="213"/>
      <c r="Q191" s="213"/>
      <c r="R191" s="213"/>
      <c r="S191" s="213"/>
      <c r="T191" s="213"/>
      <c r="U191" s="213"/>
      <c r="V191" s="213"/>
      <c r="W191" s="213"/>
      <c r="X191" s="213"/>
      <c r="Y191" s="213"/>
      <c r="Z191" s="213"/>
      <c r="AA191" s="213"/>
      <c r="AB191" s="211"/>
      <c r="AC191" s="211"/>
      <c r="AD191" s="211"/>
      <c r="AE191" s="211"/>
      <c r="AF191" s="211"/>
      <c r="AG191" s="211"/>
      <c r="AH191" s="211"/>
      <c r="AI191" s="211"/>
      <c r="AJ191" s="211"/>
      <c r="AK191" s="211"/>
      <c r="AL191" s="211"/>
      <c r="AM191" s="211"/>
      <c r="AN191" s="211"/>
    </row>
    <row r="192" spans="2:41" ht="12" hidden="1" customHeight="1" outlineLevel="2">
      <c r="B192" s="245"/>
      <c r="C192" s="213"/>
      <c r="D192" s="213"/>
      <c r="E192" s="213"/>
      <c r="F192" s="213"/>
      <c r="G192" s="213"/>
      <c r="H192" s="213"/>
      <c r="I192" s="213"/>
      <c r="J192" s="213"/>
      <c r="K192" s="213"/>
      <c r="L192" s="213"/>
      <c r="M192" s="213"/>
      <c r="N192" s="213"/>
      <c r="O192" s="213"/>
      <c r="P192" s="213"/>
      <c r="Q192" s="213"/>
      <c r="R192" s="213"/>
      <c r="S192" s="213"/>
      <c r="T192" s="213"/>
      <c r="U192" s="213"/>
      <c r="V192" s="213"/>
      <c r="W192" s="213"/>
      <c r="X192" s="213"/>
      <c r="Y192" s="213"/>
      <c r="Z192" s="213"/>
      <c r="AA192" s="213"/>
      <c r="AB192" s="211"/>
      <c r="AC192" s="211"/>
      <c r="AD192" s="211"/>
      <c r="AE192" s="211"/>
      <c r="AF192" s="211"/>
      <c r="AG192" s="211"/>
      <c r="AH192" s="211"/>
      <c r="AI192" s="211"/>
      <c r="AJ192" s="211"/>
      <c r="AK192" s="211"/>
      <c r="AL192" s="211"/>
      <c r="AM192" s="211"/>
      <c r="AN192" s="211"/>
    </row>
    <row r="193" spans="2:40" ht="12" hidden="1" customHeight="1" outlineLevel="2">
      <c r="B193" s="245"/>
      <c r="C193" s="213"/>
      <c r="D193" s="213"/>
      <c r="E193" s="213"/>
      <c r="F193" s="213"/>
      <c r="G193" s="213"/>
      <c r="H193" s="213"/>
      <c r="I193" s="213"/>
      <c r="J193" s="213"/>
      <c r="K193" s="213"/>
      <c r="L193" s="213"/>
      <c r="M193" s="213"/>
      <c r="N193" s="213"/>
      <c r="O193" s="213"/>
      <c r="P193" s="213"/>
      <c r="Q193" s="213"/>
      <c r="R193" s="213"/>
      <c r="S193" s="213"/>
      <c r="T193" s="213"/>
      <c r="U193" s="213"/>
      <c r="V193" s="213"/>
      <c r="W193" s="213"/>
      <c r="X193" s="213"/>
      <c r="Y193" s="213"/>
      <c r="Z193" s="213"/>
      <c r="AA193" s="213"/>
      <c r="AB193" s="211"/>
      <c r="AC193" s="211"/>
      <c r="AD193" s="211"/>
      <c r="AE193" s="211"/>
      <c r="AF193" s="211"/>
      <c r="AG193" s="211"/>
      <c r="AH193" s="211"/>
      <c r="AI193" s="211"/>
      <c r="AJ193" s="211"/>
      <c r="AK193" s="211"/>
      <c r="AL193" s="211"/>
      <c r="AM193" s="211"/>
      <c r="AN193" s="211"/>
    </row>
    <row r="194" spans="2:40" ht="12" hidden="1" customHeight="1" outlineLevel="2">
      <c r="B194" s="245"/>
      <c r="C194" s="213"/>
      <c r="D194" s="213"/>
      <c r="E194" s="213"/>
      <c r="F194" s="213"/>
      <c r="G194" s="213"/>
      <c r="H194" s="213"/>
      <c r="I194" s="213"/>
      <c r="J194" s="213"/>
      <c r="K194" s="213"/>
      <c r="L194" s="213"/>
      <c r="M194" s="213"/>
      <c r="N194" s="213"/>
      <c r="O194" s="213"/>
      <c r="P194" s="213"/>
      <c r="Q194" s="213"/>
      <c r="R194" s="213"/>
      <c r="S194" s="213"/>
      <c r="T194" s="213"/>
      <c r="U194" s="213"/>
      <c r="V194" s="213"/>
      <c r="W194" s="213"/>
      <c r="X194" s="213"/>
      <c r="Y194" s="213"/>
      <c r="Z194" s="213"/>
      <c r="AA194" s="213"/>
      <c r="AB194" s="211"/>
      <c r="AC194" s="211"/>
      <c r="AD194" s="211"/>
      <c r="AE194" s="211"/>
      <c r="AF194" s="211"/>
      <c r="AG194" s="211"/>
      <c r="AH194" s="211"/>
      <c r="AI194" s="211"/>
      <c r="AJ194" s="211"/>
      <c r="AK194" s="211"/>
      <c r="AL194" s="211"/>
      <c r="AM194" s="211"/>
      <c r="AN194" s="211"/>
    </row>
    <row r="195" spans="2:40" ht="12" customHeight="1" outlineLevel="1" collapsed="1">
      <c r="B195" s="245"/>
      <c r="C195" s="243" t="s">
        <v>855</v>
      </c>
      <c r="D195" s="214"/>
      <c r="E195" s="214"/>
      <c r="F195" s="214"/>
      <c r="G195" s="214"/>
      <c r="H195" s="214"/>
      <c r="I195" s="214"/>
      <c r="J195" s="214"/>
      <c r="K195" s="214"/>
      <c r="L195" s="214"/>
      <c r="M195" s="214"/>
      <c r="N195" s="214"/>
      <c r="O195" s="214"/>
      <c r="P195" s="214"/>
      <c r="Q195" s="214"/>
      <c r="R195" s="214"/>
      <c r="S195" s="214"/>
      <c r="T195" s="214"/>
      <c r="U195" s="214"/>
      <c r="V195" s="214"/>
      <c r="W195" s="214"/>
      <c r="X195" s="214"/>
      <c r="Y195" s="214"/>
      <c r="Z195" s="214"/>
      <c r="AA195" s="214"/>
      <c r="AB195" s="214"/>
      <c r="AC195" s="211"/>
    </row>
    <row r="196" spans="2:40" ht="12" customHeight="1" outlineLevel="1">
      <c r="B196" s="239"/>
      <c r="C196" s="214"/>
      <c r="D196" s="214"/>
      <c r="E196" s="214"/>
      <c r="F196" s="214"/>
      <c r="G196" s="214"/>
      <c r="H196" s="214"/>
      <c r="I196" s="214"/>
      <c r="J196" s="214"/>
      <c r="K196" s="214"/>
      <c r="L196" s="214"/>
      <c r="M196" s="214"/>
      <c r="N196" s="214"/>
      <c r="O196" s="214"/>
      <c r="P196" s="214"/>
      <c r="Q196" s="214"/>
      <c r="R196" s="214"/>
      <c r="S196" s="214"/>
      <c r="T196" s="214"/>
      <c r="U196" s="214"/>
      <c r="V196" s="214"/>
      <c r="W196" s="214"/>
      <c r="X196" s="214"/>
      <c r="Y196" s="214"/>
      <c r="Z196" s="214"/>
      <c r="AA196" s="214"/>
      <c r="AB196" s="214"/>
      <c r="AC196" s="215"/>
    </row>
    <row r="197" spans="2:40" outlineLevel="1"/>
    <row r="198" spans="2:40" s="207" customFormat="1">
      <c r="C198" s="248" t="s">
        <v>823</v>
      </c>
    </row>
    <row r="199" spans="2:40" ht="12" customHeight="1" outlineLevel="1">
      <c r="B199" s="237"/>
      <c r="C199" s="208"/>
      <c r="D199" s="208"/>
      <c r="E199" s="196" t="s">
        <v>753</v>
      </c>
      <c r="F199" s="196" t="s">
        <v>754</v>
      </c>
      <c r="G199" s="196" t="s">
        <v>755</v>
      </c>
      <c r="H199" s="196" t="s">
        <v>756</v>
      </c>
      <c r="I199" s="196" t="s">
        <v>757</v>
      </c>
      <c r="J199" s="196" t="s">
        <v>758</v>
      </c>
      <c r="K199" s="196" t="s">
        <v>759</v>
      </c>
      <c r="L199" s="196" t="s">
        <v>760</v>
      </c>
      <c r="M199" s="196" t="s">
        <v>761</v>
      </c>
      <c r="N199" s="196" t="s">
        <v>762</v>
      </c>
      <c r="O199" s="196" t="s">
        <v>763</v>
      </c>
      <c r="P199" s="196" t="s">
        <v>764</v>
      </c>
      <c r="Q199" s="196" t="s">
        <v>765</v>
      </c>
      <c r="R199" s="196" t="s">
        <v>766</v>
      </c>
      <c r="S199" s="196" t="s">
        <v>767</v>
      </c>
      <c r="T199" s="196" t="s">
        <v>768</v>
      </c>
      <c r="U199" s="196" t="s">
        <v>769</v>
      </c>
      <c r="V199" s="196" t="s">
        <v>770</v>
      </c>
      <c r="W199" s="196" t="s">
        <v>771</v>
      </c>
      <c r="X199" s="196" t="s">
        <v>772</v>
      </c>
      <c r="Y199" s="196" t="s">
        <v>773</v>
      </c>
      <c r="Z199" s="196" t="s">
        <v>774</v>
      </c>
      <c r="AA199" s="196" t="s">
        <v>775</v>
      </c>
      <c r="AB199" s="196" t="s">
        <v>776</v>
      </c>
      <c r="AC199" s="196" t="s">
        <v>777</v>
      </c>
      <c r="AD199" s="196" t="s">
        <v>778</v>
      </c>
      <c r="AE199" s="196" t="s">
        <v>779</v>
      </c>
      <c r="AF199" s="196" t="s">
        <v>780</v>
      </c>
      <c r="AG199" s="196" t="s">
        <v>781</v>
      </c>
      <c r="AH199" s="196" t="s">
        <v>782</v>
      </c>
      <c r="AI199" s="196" t="s">
        <v>783</v>
      </c>
      <c r="AJ199" s="196" t="s">
        <v>784</v>
      </c>
      <c r="AK199" s="196" t="s">
        <v>785</v>
      </c>
      <c r="AL199" s="196" t="s">
        <v>786</v>
      </c>
      <c r="AM199" s="196" t="s">
        <v>787</v>
      </c>
      <c r="AN199" s="196" t="s">
        <v>788</v>
      </c>
    </row>
    <row r="200" spans="2:40" ht="12" customHeight="1" outlineLevel="1">
      <c r="B200" s="239"/>
      <c r="C200" s="214" t="s">
        <v>821</v>
      </c>
      <c r="D200" s="212"/>
      <c r="E200" s="257"/>
      <c r="F200" s="257"/>
      <c r="G200" s="257"/>
      <c r="H200" s="257"/>
      <c r="I200" s="257"/>
      <c r="J200" s="257"/>
      <c r="K200" s="257"/>
      <c r="L200" s="257"/>
      <c r="M200" s="188">
        <f t="shared" ref="M200:AN200" si="121">M36*M40</f>
        <v>14000</v>
      </c>
      <c r="N200" s="188">
        <f t="shared" si="121"/>
        <v>13000</v>
      </c>
      <c r="O200" s="188">
        <f t="shared" si="121"/>
        <v>3000</v>
      </c>
      <c r="P200" s="188">
        <f t="shared" si="121"/>
        <v>4000</v>
      </c>
      <c r="Q200" s="188">
        <f t="shared" si="121"/>
        <v>4137.1200000000008</v>
      </c>
      <c r="R200" s="188">
        <f t="shared" si="121"/>
        <v>8664.6</v>
      </c>
      <c r="S200" s="188">
        <f t="shared" si="121"/>
        <v>8056.6200000000017</v>
      </c>
      <c r="T200" s="188">
        <f t="shared" si="121"/>
        <v>4217.18</v>
      </c>
      <c r="U200" s="188">
        <f t="shared" si="121"/>
        <v>4168.5600000000004</v>
      </c>
      <c r="V200" s="188">
        <f t="shared" si="121"/>
        <v>12843</v>
      </c>
      <c r="W200" s="188">
        <f t="shared" si="121"/>
        <v>4860.3200000000006</v>
      </c>
      <c r="X200" s="188">
        <f t="shared" si="121"/>
        <v>5208.2400000000007</v>
      </c>
      <c r="Y200" s="188">
        <f t="shared" si="121"/>
        <v>18200</v>
      </c>
      <c r="Z200" s="188">
        <f t="shared" si="121"/>
        <v>23400</v>
      </c>
      <c r="AA200" s="188">
        <f t="shared" si="121"/>
        <v>3900</v>
      </c>
      <c r="AB200" s="188">
        <f t="shared" si="121"/>
        <v>5200</v>
      </c>
      <c r="AC200" s="188">
        <f t="shared" si="121"/>
        <v>5378.2560000000012</v>
      </c>
      <c r="AD200" s="188">
        <f t="shared" si="121"/>
        <v>11263.980000000001</v>
      </c>
      <c r="AE200" s="188">
        <f t="shared" si="121"/>
        <v>10473.606000000002</v>
      </c>
      <c r="AF200" s="188">
        <f t="shared" si="121"/>
        <v>5482.3340000000007</v>
      </c>
      <c r="AG200" s="188">
        <f t="shared" si="121"/>
        <v>5419.1280000000006</v>
      </c>
      <c r="AH200" s="188">
        <f t="shared" si="121"/>
        <v>16695.900000000001</v>
      </c>
      <c r="AI200" s="188">
        <f t="shared" si="121"/>
        <v>6318.4160000000011</v>
      </c>
      <c r="AJ200" s="188">
        <f t="shared" si="121"/>
        <v>6770.7120000000014</v>
      </c>
      <c r="AK200" s="188">
        <f t="shared" si="121"/>
        <v>23660</v>
      </c>
      <c r="AL200" s="188">
        <f t="shared" si="121"/>
        <v>30420</v>
      </c>
      <c r="AM200" s="188">
        <f t="shared" si="121"/>
        <v>5070</v>
      </c>
      <c r="AN200" s="188">
        <f t="shared" si="121"/>
        <v>6760</v>
      </c>
    </row>
    <row r="201" spans="2:40" ht="12" customHeight="1" outlineLevel="1">
      <c r="B201" s="239" t="s">
        <v>856</v>
      </c>
      <c r="C201" s="214" t="s">
        <v>827</v>
      </c>
      <c r="D201" s="212"/>
      <c r="E201" s="234"/>
      <c r="F201" s="234"/>
      <c r="G201" s="234"/>
      <c r="H201" s="234"/>
      <c r="I201" s="234"/>
      <c r="J201" s="234"/>
      <c r="K201" s="234"/>
      <c r="L201" s="234"/>
      <c r="M201" s="279">
        <v>90</v>
      </c>
      <c r="N201" s="279">
        <v>90</v>
      </c>
      <c r="O201" s="279">
        <v>90</v>
      </c>
      <c r="P201" s="279">
        <v>90</v>
      </c>
      <c r="Q201" s="279">
        <v>90</v>
      </c>
      <c r="R201" s="279">
        <v>90</v>
      </c>
      <c r="S201" s="279">
        <v>90</v>
      </c>
      <c r="T201" s="279">
        <v>90</v>
      </c>
      <c r="U201" s="279">
        <v>90</v>
      </c>
      <c r="V201" s="279">
        <v>90</v>
      </c>
      <c r="W201" s="279">
        <v>90</v>
      </c>
      <c r="X201" s="279">
        <v>90</v>
      </c>
      <c r="Y201" s="279">
        <v>90</v>
      </c>
      <c r="Z201" s="279">
        <v>90</v>
      </c>
      <c r="AA201" s="279">
        <v>90</v>
      </c>
      <c r="AB201" s="279">
        <v>90</v>
      </c>
      <c r="AC201" s="279">
        <v>90</v>
      </c>
      <c r="AD201" s="279">
        <v>90</v>
      </c>
      <c r="AE201" s="279">
        <v>90</v>
      </c>
      <c r="AF201" s="279">
        <v>90</v>
      </c>
      <c r="AG201" s="279">
        <v>90</v>
      </c>
      <c r="AH201" s="279">
        <v>90</v>
      </c>
      <c r="AI201" s="279">
        <v>90</v>
      </c>
      <c r="AJ201" s="279">
        <v>90</v>
      </c>
      <c r="AK201" s="279">
        <v>90</v>
      </c>
      <c r="AL201" s="279">
        <v>90</v>
      </c>
      <c r="AM201" s="279">
        <v>90</v>
      </c>
      <c r="AN201" s="279">
        <v>90</v>
      </c>
    </row>
    <row r="202" spans="2:40" ht="12" customHeight="1" outlineLevel="1">
      <c r="B202" s="239" t="s">
        <v>828</v>
      </c>
      <c r="C202" s="214" t="s">
        <v>829</v>
      </c>
      <c r="D202" s="212"/>
      <c r="E202" s="232"/>
      <c r="F202" s="232"/>
      <c r="G202" s="232"/>
      <c r="H202" s="232"/>
      <c r="I202" s="232"/>
      <c r="J202" s="232"/>
      <c r="K202" s="232"/>
      <c r="L202" s="232"/>
      <c r="M202" s="205">
        <f t="shared" ref="M202:AN202" si="122">M200/M201</f>
        <v>155.55555555555554</v>
      </c>
      <c r="N202" s="205">
        <f t="shared" si="122"/>
        <v>144.44444444444446</v>
      </c>
      <c r="O202" s="205">
        <f t="shared" si="122"/>
        <v>33.333333333333336</v>
      </c>
      <c r="P202" s="205">
        <f t="shared" si="122"/>
        <v>44.444444444444443</v>
      </c>
      <c r="Q202" s="205">
        <f t="shared" si="122"/>
        <v>45.968000000000011</v>
      </c>
      <c r="R202" s="205">
        <f t="shared" si="122"/>
        <v>96.273333333333341</v>
      </c>
      <c r="S202" s="205">
        <f t="shared" si="122"/>
        <v>89.518000000000015</v>
      </c>
      <c r="T202" s="205">
        <f t="shared" si="122"/>
        <v>46.857555555555557</v>
      </c>
      <c r="U202" s="205">
        <f t="shared" si="122"/>
        <v>46.317333333333337</v>
      </c>
      <c r="V202" s="205">
        <f t="shared" si="122"/>
        <v>142.69999999999999</v>
      </c>
      <c r="W202" s="205">
        <f t="shared" si="122"/>
        <v>54.003555555555565</v>
      </c>
      <c r="X202" s="205">
        <f t="shared" si="122"/>
        <v>57.869333333333344</v>
      </c>
      <c r="Y202" s="205">
        <f t="shared" si="122"/>
        <v>202.22222222222223</v>
      </c>
      <c r="Z202" s="205">
        <f t="shared" si="122"/>
        <v>260</v>
      </c>
      <c r="AA202" s="205">
        <f t="shared" si="122"/>
        <v>43.333333333333336</v>
      </c>
      <c r="AB202" s="205">
        <f t="shared" si="122"/>
        <v>57.777777777777779</v>
      </c>
      <c r="AC202" s="205">
        <f t="shared" si="122"/>
        <v>59.758400000000016</v>
      </c>
      <c r="AD202" s="205">
        <f t="shared" si="122"/>
        <v>125.15533333333335</v>
      </c>
      <c r="AE202" s="205">
        <f t="shared" si="122"/>
        <v>116.37340000000002</v>
      </c>
      <c r="AF202" s="205">
        <f t="shared" si="122"/>
        <v>60.914822222222227</v>
      </c>
      <c r="AG202" s="205">
        <f t="shared" si="122"/>
        <v>60.21253333333334</v>
      </c>
      <c r="AH202" s="205">
        <f t="shared" si="122"/>
        <v>185.51000000000002</v>
      </c>
      <c r="AI202" s="205">
        <f t="shared" si="122"/>
        <v>70.204622222222241</v>
      </c>
      <c r="AJ202" s="205">
        <f t="shared" si="122"/>
        <v>75.230133333333342</v>
      </c>
      <c r="AK202" s="205">
        <f t="shared" si="122"/>
        <v>262.88888888888891</v>
      </c>
      <c r="AL202" s="205">
        <f t="shared" si="122"/>
        <v>338</v>
      </c>
      <c r="AM202" s="205">
        <f t="shared" si="122"/>
        <v>56.333333333333336</v>
      </c>
      <c r="AN202" s="205">
        <f t="shared" si="122"/>
        <v>75.111111111111114</v>
      </c>
    </row>
    <row r="203" spans="2:40" ht="12" customHeight="1" outlineLevel="1">
      <c r="B203" s="239"/>
      <c r="C203" s="214" t="s">
        <v>830</v>
      </c>
      <c r="D203" s="212"/>
      <c r="E203" s="256"/>
      <c r="F203" s="256"/>
      <c r="G203" s="256"/>
      <c r="H203" s="256"/>
      <c r="I203" s="256"/>
      <c r="J203" s="256"/>
      <c r="K203" s="256"/>
      <c r="L203" s="256"/>
      <c r="M203" s="280">
        <v>0</v>
      </c>
      <c r="N203" s="280">
        <v>0</v>
      </c>
      <c r="O203" s="280">
        <v>0</v>
      </c>
      <c r="P203" s="280">
        <v>0</v>
      </c>
      <c r="Q203" s="280">
        <v>0</v>
      </c>
      <c r="R203" s="280">
        <v>0</v>
      </c>
      <c r="S203" s="280">
        <v>0</v>
      </c>
      <c r="T203" s="280">
        <v>0</v>
      </c>
      <c r="U203" s="280">
        <v>0</v>
      </c>
      <c r="V203" s="280">
        <v>0</v>
      </c>
      <c r="W203" s="280">
        <v>0</v>
      </c>
      <c r="X203" s="280">
        <v>0</v>
      </c>
      <c r="Y203" s="280">
        <v>0</v>
      </c>
      <c r="Z203" s="280">
        <v>0</v>
      </c>
      <c r="AA203" s="280">
        <v>0</v>
      </c>
      <c r="AB203" s="280">
        <v>0</v>
      </c>
      <c r="AC203" s="280">
        <v>0</v>
      </c>
      <c r="AD203" s="280">
        <v>0</v>
      </c>
      <c r="AE203" s="280">
        <v>0</v>
      </c>
      <c r="AF203" s="280">
        <v>0</v>
      </c>
      <c r="AG203" s="280">
        <v>0</v>
      </c>
      <c r="AH203" s="280">
        <v>0</v>
      </c>
      <c r="AI203" s="280">
        <v>0</v>
      </c>
      <c r="AJ203" s="280">
        <v>0</v>
      </c>
      <c r="AK203" s="280">
        <v>0</v>
      </c>
      <c r="AL203" s="280">
        <v>0</v>
      </c>
      <c r="AM203" s="280">
        <v>0</v>
      </c>
      <c r="AN203" s="280">
        <v>0</v>
      </c>
    </row>
    <row r="204" spans="2:40" ht="12" customHeight="1" outlineLevel="1">
      <c r="B204" s="239"/>
      <c r="C204" s="214" t="s">
        <v>831</v>
      </c>
      <c r="D204" s="212"/>
      <c r="E204" s="232"/>
      <c r="F204" s="232"/>
      <c r="G204" s="232"/>
      <c r="H204" s="232"/>
      <c r="I204" s="232"/>
      <c r="J204" s="232"/>
      <c r="K204" s="232"/>
      <c r="L204" s="232"/>
      <c r="M204" s="205">
        <f t="shared" ref="M204:AN204" si="123">M202*M203</f>
        <v>0</v>
      </c>
      <c r="N204" s="205">
        <f t="shared" si="123"/>
        <v>0</v>
      </c>
      <c r="O204" s="205">
        <f t="shared" si="123"/>
        <v>0</v>
      </c>
      <c r="P204" s="205">
        <f t="shared" si="123"/>
        <v>0</v>
      </c>
      <c r="Q204" s="205">
        <f t="shared" si="123"/>
        <v>0</v>
      </c>
      <c r="R204" s="205">
        <f t="shared" si="123"/>
        <v>0</v>
      </c>
      <c r="S204" s="205">
        <f t="shared" si="123"/>
        <v>0</v>
      </c>
      <c r="T204" s="205">
        <f t="shared" si="123"/>
        <v>0</v>
      </c>
      <c r="U204" s="205">
        <f t="shared" si="123"/>
        <v>0</v>
      </c>
      <c r="V204" s="205">
        <f t="shared" si="123"/>
        <v>0</v>
      </c>
      <c r="W204" s="205">
        <f t="shared" si="123"/>
        <v>0</v>
      </c>
      <c r="X204" s="205">
        <f t="shared" si="123"/>
        <v>0</v>
      </c>
      <c r="Y204" s="205">
        <f t="shared" si="123"/>
        <v>0</v>
      </c>
      <c r="Z204" s="205">
        <f t="shared" si="123"/>
        <v>0</v>
      </c>
      <c r="AA204" s="205">
        <f t="shared" si="123"/>
        <v>0</v>
      </c>
      <c r="AB204" s="205">
        <f t="shared" si="123"/>
        <v>0</v>
      </c>
      <c r="AC204" s="205">
        <f t="shared" si="123"/>
        <v>0</v>
      </c>
      <c r="AD204" s="205">
        <f t="shared" si="123"/>
        <v>0</v>
      </c>
      <c r="AE204" s="205">
        <f t="shared" si="123"/>
        <v>0</v>
      </c>
      <c r="AF204" s="205">
        <f t="shared" si="123"/>
        <v>0</v>
      </c>
      <c r="AG204" s="205">
        <f t="shared" si="123"/>
        <v>0</v>
      </c>
      <c r="AH204" s="205">
        <f t="shared" si="123"/>
        <v>0</v>
      </c>
      <c r="AI204" s="205">
        <f t="shared" si="123"/>
        <v>0</v>
      </c>
      <c r="AJ204" s="205">
        <f t="shared" si="123"/>
        <v>0</v>
      </c>
      <c r="AK204" s="205">
        <f t="shared" si="123"/>
        <v>0</v>
      </c>
      <c r="AL204" s="205">
        <f t="shared" si="123"/>
        <v>0</v>
      </c>
      <c r="AM204" s="205">
        <f t="shared" si="123"/>
        <v>0</v>
      </c>
      <c r="AN204" s="205">
        <f t="shared" si="123"/>
        <v>0</v>
      </c>
    </row>
    <row r="205" spans="2:40" ht="12" customHeight="1" outlineLevel="1">
      <c r="B205" s="239"/>
      <c r="C205" s="214" t="s">
        <v>833</v>
      </c>
      <c r="D205" s="212"/>
      <c r="E205" s="232">
        <v>34</v>
      </c>
      <c r="F205" s="232">
        <v>35</v>
      </c>
      <c r="G205" s="232">
        <v>26</v>
      </c>
      <c r="H205" s="232">
        <v>13</v>
      </c>
      <c r="I205" s="232">
        <v>65</v>
      </c>
      <c r="J205" s="232">
        <f>83+5</f>
        <v>88</v>
      </c>
      <c r="K205" s="232">
        <v>46</v>
      </c>
      <c r="L205" s="232">
        <f t="shared" ref="L205:AN205" si="124">L202+L204</f>
        <v>0</v>
      </c>
      <c r="M205" s="205">
        <f t="shared" si="124"/>
        <v>155.55555555555554</v>
      </c>
      <c r="N205" s="205">
        <f t="shared" si="124"/>
        <v>144.44444444444446</v>
      </c>
      <c r="O205" s="205">
        <f t="shared" si="124"/>
        <v>33.333333333333336</v>
      </c>
      <c r="P205" s="205">
        <f t="shared" si="124"/>
        <v>44.444444444444443</v>
      </c>
      <c r="Q205" s="205">
        <f t="shared" si="124"/>
        <v>45.968000000000011</v>
      </c>
      <c r="R205" s="205">
        <f t="shared" si="124"/>
        <v>96.273333333333341</v>
      </c>
      <c r="S205" s="205">
        <f t="shared" si="124"/>
        <v>89.518000000000015</v>
      </c>
      <c r="T205" s="205">
        <f t="shared" si="124"/>
        <v>46.857555555555557</v>
      </c>
      <c r="U205" s="205">
        <f t="shared" si="124"/>
        <v>46.317333333333337</v>
      </c>
      <c r="V205" s="205">
        <f t="shared" si="124"/>
        <v>142.69999999999999</v>
      </c>
      <c r="W205" s="205">
        <f t="shared" si="124"/>
        <v>54.003555555555565</v>
      </c>
      <c r="X205" s="205">
        <f t="shared" si="124"/>
        <v>57.869333333333344</v>
      </c>
      <c r="Y205" s="205">
        <f t="shared" si="124"/>
        <v>202.22222222222223</v>
      </c>
      <c r="Z205" s="205">
        <f t="shared" si="124"/>
        <v>260</v>
      </c>
      <c r="AA205" s="205">
        <f t="shared" si="124"/>
        <v>43.333333333333336</v>
      </c>
      <c r="AB205" s="205">
        <f t="shared" si="124"/>
        <v>57.777777777777779</v>
      </c>
      <c r="AC205" s="205">
        <f t="shared" si="124"/>
        <v>59.758400000000016</v>
      </c>
      <c r="AD205" s="205">
        <f t="shared" si="124"/>
        <v>125.15533333333335</v>
      </c>
      <c r="AE205" s="205">
        <f t="shared" si="124"/>
        <v>116.37340000000002</v>
      </c>
      <c r="AF205" s="205">
        <f t="shared" si="124"/>
        <v>60.914822222222227</v>
      </c>
      <c r="AG205" s="205">
        <f t="shared" si="124"/>
        <v>60.21253333333334</v>
      </c>
      <c r="AH205" s="205">
        <f t="shared" si="124"/>
        <v>185.51000000000002</v>
      </c>
      <c r="AI205" s="205">
        <f t="shared" si="124"/>
        <v>70.204622222222241</v>
      </c>
      <c r="AJ205" s="205">
        <f t="shared" si="124"/>
        <v>75.230133333333342</v>
      </c>
      <c r="AK205" s="205">
        <f t="shared" si="124"/>
        <v>262.88888888888891</v>
      </c>
      <c r="AL205" s="205">
        <f t="shared" si="124"/>
        <v>338</v>
      </c>
      <c r="AM205" s="205">
        <f t="shared" si="124"/>
        <v>56.333333333333336</v>
      </c>
      <c r="AN205" s="205">
        <f t="shared" si="124"/>
        <v>75.111111111111114</v>
      </c>
    </row>
    <row r="206" spans="2:40" ht="12" customHeight="1" outlineLevel="1">
      <c r="B206" s="239"/>
      <c r="C206" s="214" t="s">
        <v>834</v>
      </c>
      <c r="D206" s="212"/>
      <c r="E206" s="232">
        <v>14</v>
      </c>
      <c r="F206" s="232">
        <v>1</v>
      </c>
      <c r="G206" s="232">
        <v>0</v>
      </c>
      <c r="H206" s="232">
        <v>0</v>
      </c>
      <c r="I206" s="232">
        <v>3</v>
      </c>
      <c r="J206" s="232">
        <v>5</v>
      </c>
      <c r="K206" s="232">
        <v>1</v>
      </c>
      <c r="L206" s="232">
        <f t="shared" ref="L206:AN206" si="125">L214+L215</f>
        <v>0</v>
      </c>
      <c r="M206" s="205">
        <f t="shared" si="125"/>
        <v>28.370074349946506</v>
      </c>
      <c r="N206" s="205">
        <f t="shared" si="125"/>
        <v>26.343640467807472</v>
      </c>
      <c r="O206" s="205">
        <f t="shared" si="125"/>
        <v>6.0793016464171092</v>
      </c>
      <c r="P206" s="205">
        <f t="shared" si="125"/>
        <v>8.1057355285561439</v>
      </c>
      <c r="Q206" s="205">
        <f t="shared" si="125"/>
        <v>8.3836001424750517</v>
      </c>
      <c r="R206" s="205">
        <f t="shared" si="125"/>
        <v>17.558239015181893</v>
      </c>
      <c r="S206" s="205">
        <f t="shared" si="125"/>
        <v>16.326207743519003</v>
      </c>
      <c r="T206" s="205">
        <f t="shared" si="125"/>
        <v>8.5458364390791015</v>
      </c>
      <c r="U206" s="205">
        <f t="shared" si="125"/>
        <v>8.4473112237295016</v>
      </c>
      <c r="V206" s="205">
        <f t="shared" si="125"/>
        <v>26.025490348311639</v>
      </c>
      <c r="W206" s="205">
        <f t="shared" si="125"/>
        <v>9.8491171260380028</v>
      </c>
      <c r="X206" s="205">
        <f t="shared" si="125"/>
        <v>10.554154002311815</v>
      </c>
      <c r="Y206" s="205">
        <f t="shared" si="125"/>
        <v>36.88109665493046</v>
      </c>
      <c r="Z206" s="205">
        <f t="shared" si="125"/>
        <v>47.418552842053444</v>
      </c>
      <c r="AA206" s="205">
        <f t="shared" si="125"/>
        <v>7.9030921403422418</v>
      </c>
      <c r="AB206" s="205">
        <f t="shared" si="125"/>
        <v>10.537456187122988</v>
      </c>
      <c r="AC206" s="205">
        <f t="shared" si="125"/>
        <v>10.898680185217568</v>
      </c>
      <c r="AD206" s="205">
        <f t="shared" si="125"/>
        <v>22.825710719736463</v>
      </c>
      <c r="AE206" s="205">
        <f t="shared" si="125"/>
        <v>21.224070066574704</v>
      </c>
      <c r="AF206" s="205">
        <f t="shared" si="125"/>
        <v>11.109587370802831</v>
      </c>
      <c r="AG206" s="205">
        <f t="shared" si="125"/>
        <v>10.981504590848353</v>
      </c>
      <c r="AH206" s="205">
        <f t="shared" si="125"/>
        <v>33.83313745280514</v>
      </c>
      <c r="AI206" s="205">
        <f t="shared" si="125"/>
        <v>12.803852263849404</v>
      </c>
      <c r="AJ206" s="205">
        <f t="shared" si="125"/>
        <v>13.72040020300536</v>
      </c>
      <c r="AK206" s="205">
        <f t="shared" si="125"/>
        <v>47.9454256514096</v>
      </c>
      <c r="AL206" s="205">
        <f t="shared" si="125"/>
        <v>61.64411869466948</v>
      </c>
      <c r="AM206" s="205">
        <f t="shared" si="125"/>
        <v>10.274019782444913</v>
      </c>
      <c r="AN206" s="205">
        <f t="shared" si="125"/>
        <v>13.698693043259885</v>
      </c>
    </row>
    <row r="207" spans="2:40" ht="12" customHeight="1" outlineLevel="1">
      <c r="B207" s="239"/>
      <c r="C207" s="214" t="s">
        <v>835</v>
      </c>
      <c r="D207" s="212"/>
      <c r="E207" s="232">
        <f>E200/E205</f>
        <v>0</v>
      </c>
      <c r="F207" s="232">
        <f t="shared" ref="F207:I207" si="126">F200/F205</f>
        <v>0</v>
      </c>
      <c r="G207" s="232">
        <f t="shared" si="126"/>
        <v>0</v>
      </c>
      <c r="H207" s="232">
        <f t="shared" si="126"/>
        <v>0</v>
      </c>
      <c r="I207" s="232">
        <f t="shared" si="126"/>
        <v>0</v>
      </c>
      <c r="J207" s="232">
        <f t="shared" ref="J207:AN207" si="127">J200/J205</f>
        <v>0</v>
      </c>
      <c r="K207" s="232">
        <f t="shared" si="127"/>
        <v>0</v>
      </c>
      <c r="L207" s="232">
        <v>0</v>
      </c>
      <c r="M207" s="205">
        <f t="shared" si="127"/>
        <v>90.000000000000014</v>
      </c>
      <c r="N207" s="205">
        <f t="shared" si="127"/>
        <v>89.999999999999986</v>
      </c>
      <c r="O207" s="205">
        <f t="shared" si="127"/>
        <v>90</v>
      </c>
      <c r="P207" s="205">
        <f t="shared" si="127"/>
        <v>90</v>
      </c>
      <c r="Q207" s="205">
        <f t="shared" si="127"/>
        <v>90</v>
      </c>
      <c r="R207" s="205">
        <f t="shared" si="127"/>
        <v>90</v>
      </c>
      <c r="S207" s="205">
        <f t="shared" si="127"/>
        <v>90</v>
      </c>
      <c r="T207" s="205">
        <f t="shared" si="127"/>
        <v>90</v>
      </c>
      <c r="U207" s="205">
        <f t="shared" si="127"/>
        <v>90</v>
      </c>
      <c r="V207" s="205">
        <f t="shared" si="127"/>
        <v>90.000000000000014</v>
      </c>
      <c r="W207" s="205">
        <f t="shared" si="127"/>
        <v>90</v>
      </c>
      <c r="X207" s="205">
        <f t="shared" si="127"/>
        <v>90</v>
      </c>
      <c r="Y207" s="205">
        <f t="shared" si="127"/>
        <v>90</v>
      </c>
      <c r="Z207" s="205">
        <f t="shared" si="127"/>
        <v>90</v>
      </c>
      <c r="AA207" s="205">
        <f t="shared" si="127"/>
        <v>90</v>
      </c>
      <c r="AB207" s="205">
        <f t="shared" si="127"/>
        <v>90</v>
      </c>
      <c r="AC207" s="205">
        <f t="shared" si="127"/>
        <v>90</v>
      </c>
      <c r="AD207" s="205">
        <f t="shared" si="127"/>
        <v>90</v>
      </c>
      <c r="AE207" s="205">
        <f t="shared" si="127"/>
        <v>90</v>
      </c>
      <c r="AF207" s="205">
        <f t="shared" si="127"/>
        <v>90</v>
      </c>
      <c r="AG207" s="205">
        <f t="shared" si="127"/>
        <v>90</v>
      </c>
      <c r="AH207" s="205">
        <f t="shared" si="127"/>
        <v>90</v>
      </c>
      <c r="AI207" s="205">
        <f t="shared" si="127"/>
        <v>89.999999999999986</v>
      </c>
      <c r="AJ207" s="205">
        <f t="shared" si="127"/>
        <v>90.000000000000014</v>
      </c>
      <c r="AK207" s="205">
        <f t="shared" si="127"/>
        <v>89.999999999999986</v>
      </c>
      <c r="AL207" s="205">
        <f t="shared" si="127"/>
        <v>90</v>
      </c>
      <c r="AM207" s="205">
        <f t="shared" si="127"/>
        <v>90</v>
      </c>
      <c r="AN207" s="205">
        <f t="shared" si="127"/>
        <v>90</v>
      </c>
    </row>
    <row r="208" spans="2:40" ht="12" customHeight="1" outlineLevel="1">
      <c r="B208" s="239"/>
      <c r="C208" s="214" t="s">
        <v>836</v>
      </c>
      <c r="D208" s="212"/>
      <c r="E208" s="232"/>
      <c r="F208" s="232"/>
      <c r="G208" s="232"/>
      <c r="H208" s="232"/>
      <c r="I208" s="232"/>
      <c r="J208" s="232"/>
      <c r="K208" s="232"/>
      <c r="L208" s="232"/>
      <c r="M208" s="205"/>
      <c r="N208" s="205"/>
      <c r="O208" s="205"/>
      <c r="P208" s="205"/>
      <c r="Q208" s="205"/>
      <c r="R208" s="205"/>
      <c r="S208" s="205"/>
      <c r="T208" s="205"/>
      <c r="U208" s="205"/>
      <c r="V208" s="205"/>
      <c r="W208" s="205"/>
      <c r="X208" s="205"/>
      <c r="Y208" s="205"/>
      <c r="Z208" s="205"/>
      <c r="AA208" s="205"/>
      <c r="AB208" s="205"/>
      <c r="AC208" s="205"/>
      <c r="AD208" s="205"/>
      <c r="AE208" s="205"/>
      <c r="AF208" s="205"/>
      <c r="AG208" s="205"/>
      <c r="AH208" s="205"/>
      <c r="AI208" s="205"/>
      <c r="AJ208" s="205"/>
      <c r="AK208" s="205"/>
      <c r="AL208" s="205"/>
      <c r="AM208" s="205"/>
      <c r="AN208" s="205"/>
    </row>
    <row r="209" spans="2:40" ht="12" customHeight="1" outlineLevel="1">
      <c r="B209" s="244" t="s">
        <v>897</v>
      </c>
      <c r="C209" s="214" t="s">
        <v>837</v>
      </c>
      <c r="D209" s="212"/>
      <c r="E209" s="8">
        <v>1</v>
      </c>
      <c r="F209" s="8">
        <f>1-(F206/F205)</f>
        <v>0.97142857142857142</v>
      </c>
      <c r="G209" s="8">
        <f t="shared" ref="G209:I209" si="128">1-(G206/G205)</f>
        <v>1</v>
      </c>
      <c r="H209" s="8">
        <f t="shared" si="128"/>
        <v>1</v>
      </c>
      <c r="I209" s="8">
        <f t="shared" si="128"/>
        <v>0.95384615384615379</v>
      </c>
      <c r="J209" s="8">
        <f>83/88</f>
        <v>0.94318181818181823</v>
      </c>
      <c r="K209" s="8">
        <f>45/46</f>
        <v>0.97826086956521741</v>
      </c>
      <c r="L209" s="8">
        <v>0</v>
      </c>
      <c r="M209" s="281">
        <v>0.81762095060748674</v>
      </c>
      <c r="N209" s="281">
        <v>0.81762095060748674</v>
      </c>
      <c r="O209" s="281">
        <v>0.81762095060748674</v>
      </c>
      <c r="P209" s="281">
        <v>0.81762095060748674</v>
      </c>
      <c r="Q209" s="281">
        <v>0.81762095060748674</v>
      </c>
      <c r="R209" s="281">
        <v>0.81762095060748674</v>
      </c>
      <c r="S209" s="281">
        <v>0.81762095060748674</v>
      </c>
      <c r="T209" s="281">
        <v>0.81762095060748674</v>
      </c>
      <c r="U209" s="281">
        <v>0.81762095060748674</v>
      </c>
      <c r="V209" s="281">
        <v>0.81762095060748674</v>
      </c>
      <c r="W209" s="281">
        <v>0.81762095060748674</v>
      </c>
      <c r="X209" s="281">
        <v>0.81762095060748674</v>
      </c>
      <c r="Y209" s="281">
        <v>0.81762095060748674</v>
      </c>
      <c r="Z209" s="281">
        <v>0.81762095060748674</v>
      </c>
      <c r="AA209" s="281">
        <v>0.81762095060748674</v>
      </c>
      <c r="AB209" s="281">
        <v>0.81762095060748674</v>
      </c>
      <c r="AC209" s="281">
        <v>0.81762095060748674</v>
      </c>
      <c r="AD209" s="281">
        <v>0.81762095060748674</v>
      </c>
      <c r="AE209" s="281">
        <v>0.81762095060748674</v>
      </c>
      <c r="AF209" s="281">
        <v>0.81762095060748674</v>
      </c>
      <c r="AG209" s="281">
        <v>0.81762095060748674</v>
      </c>
      <c r="AH209" s="281">
        <v>0.81762095060748674</v>
      </c>
      <c r="AI209" s="281">
        <v>0.81762095060748674</v>
      </c>
      <c r="AJ209" s="281">
        <v>0.81762095060748674</v>
      </c>
      <c r="AK209" s="281">
        <v>0.81762095060748674</v>
      </c>
      <c r="AL209" s="281">
        <v>0.81762095060748674</v>
      </c>
      <c r="AM209" s="281">
        <v>0.81762095060748674</v>
      </c>
      <c r="AN209" s="281">
        <v>0.81762095060748674</v>
      </c>
    </row>
    <row r="210" spans="2:40" ht="12" customHeight="1" outlineLevel="1">
      <c r="B210" s="239"/>
      <c r="C210" s="214" t="s">
        <v>839</v>
      </c>
      <c r="D210" s="212"/>
      <c r="E210" s="8">
        <f>1-E209</f>
        <v>0</v>
      </c>
      <c r="F210" s="8">
        <f t="shared" ref="F210:I210" si="129">1-F209</f>
        <v>2.8571428571428581E-2</v>
      </c>
      <c r="G210" s="8">
        <f t="shared" si="129"/>
        <v>0</v>
      </c>
      <c r="H210" s="8">
        <f t="shared" si="129"/>
        <v>0</v>
      </c>
      <c r="I210" s="8">
        <f t="shared" si="129"/>
        <v>4.6153846153846212E-2</v>
      </c>
      <c r="J210" s="8">
        <f>1-J209</f>
        <v>5.6818181818181768E-2</v>
      </c>
      <c r="K210" s="8">
        <f>1-K209</f>
        <v>2.1739130434782594E-2</v>
      </c>
      <c r="L210" s="8">
        <v>0</v>
      </c>
      <c r="M210" s="281">
        <v>0.18237904939251326</v>
      </c>
      <c r="N210" s="281">
        <v>0.18237904939251326</v>
      </c>
      <c r="O210" s="281">
        <v>0.18237904939251326</v>
      </c>
      <c r="P210" s="281">
        <v>0.18237904939251326</v>
      </c>
      <c r="Q210" s="281">
        <v>0.18237904939251326</v>
      </c>
      <c r="R210" s="281">
        <v>0.18237904939251326</v>
      </c>
      <c r="S210" s="281">
        <v>0.18237904939251326</v>
      </c>
      <c r="T210" s="281">
        <v>0.18237904939251326</v>
      </c>
      <c r="U210" s="281">
        <v>0.18237904939251326</v>
      </c>
      <c r="V210" s="281">
        <v>0.18237904939251326</v>
      </c>
      <c r="W210" s="281">
        <v>0.18237904939251326</v>
      </c>
      <c r="X210" s="281">
        <v>0.18237904939251326</v>
      </c>
      <c r="Y210" s="281">
        <v>0.18237904939251326</v>
      </c>
      <c r="Z210" s="281">
        <v>0.18237904939251326</v>
      </c>
      <c r="AA210" s="281">
        <v>0.18237904939251326</v>
      </c>
      <c r="AB210" s="281">
        <v>0.18237904939251326</v>
      </c>
      <c r="AC210" s="281">
        <v>0.18237904939251326</v>
      </c>
      <c r="AD210" s="281">
        <v>0.18237904939251326</v>
      </c>
      <c r="AE210" s="281">
        <v>0.18237904939251326</v>
      </c>
      <c r="AF210" s="281">
        <v>0.18237904939251326</v>
      </c>
      <c r="AG210" s="281">
        <v>0.18237904939251326</v>
      </c>
      <c r="AH210" s="281">
        <v>0.18237904939251326</v>
      </c>
      <c r="AI210" s="281">
        <v>0.18237904939251326</v>
      </c>
      <c r="AJ210" s="281">
        <v>0.18237904939251326</v>
      </c>
      <c r="AK210" s="281">
        <v>0.18237904939251326</v>
      </c>
      <c r="AL210" s="281">
        <v>0.18237904939251326</v>
      </c>
      <c r="AM210" s="281">
        <v>0.18237904939251326</v>
      </c>
      <c r="AN210" s="281">
        <v>0.18237904939251326</v>
      </c>
    </row>
    <row r="211" spans="2:40" ht="12" customHeight="1" outlineLevel="1">
      <c r="B211" s="239"/>
      <c r="C211" s="214" t="s">
        <v>840</v>
      </c>
      <c r="D211" s="212"/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281">
        <v>0</v>
      </c>
      <c r="N211" s="281">
        <v>0</v>
      </c>
      <c r="O211" s="281">
        <v>0</v>
      </c>
      <c r="P211" s="281">
        <v>0</v>
      </c>
      <c r="Q211" s="281">
        <v>0</v>
      </c>
      <c r="R211" s="281">
        <v>0</v>
      </c>
      <c r="S211" s="281">
        <v>0</v>
      </c>
      <c r="T211" s="281">
        <v>0</v>
      </c>
      <c r="U211" s="281">
        <v>0</v>
      </c>
      <c r="V211" s="281">
        <v>0</v>
      </c>
      <c r="W211" s="281">
        <v>0</v>
      </c>
      <c r="X211" s="281">
        <v>0</v>
      </c>
      <c r="Y211" s="281">
        <v>0</v>
      </c>
      <c r="Z211" s="281">
        <v>0</v>
      </c>
      <c r="AA211" s="281">
        <v>0</v>
      </c>
      <c r="AB211" s="281">
        <v>0</v>
      </c>
      <c r="AC211" s="281">
        <v>0</v>
      </c>
      <c r="AD211" s="281">
        <v>0</v>
      </c>
      <c r="AE211" s="281">
        <v>0</v>
      </c>
      <c r="AF211" s="281">
        <v>0</v>
      </c>
      <c r="AG211" s="281">
        <v>0</v>
      </c>
      <c r="AH211" s="281">
        <v>0</v>
      </c>
      <c r="AI211" s="281">
        <v>0</v>
      </c>
      <c r="AJ211" s="281">
        <v>0</v>
      </c>
      <c r="AK211" s="281">
        <v>0</v>
      </c>
      <c r="AL211" s="281">
        <v>0</v>
      </c>
      <c r="AM211" s="281">
        <v>0</v>
      </c>
      <c r="AN211" s="281">
        <v>0</v>
      </c>
    </row>
    <row r="212" spans="2:40" ht="12" customHeight="1" outlineLevel="1">
      <c r="B212" s="237"/>
      <c r="C212" s="208"/>
      <c r="D212" s="208"/>
      <c r="E212" s="216"/>
      <c r="F212" s="208"/>
      <c r="G212" s="208"/>
      <c r="H212" s="208"/>
      <c r="I212" s="208"/>
      <c r="J212" s="208"/>
      <c r="K212" s="208"/>
      <c r="L212" s="208"/>
      <c r="M212" s="208"/>
      <c r="N212" s="208"/>
      <c r="O212" s="208"/>
      <c r="P212" s="208"/>
      <c r="Q212" s="208"/>
      <c r="R212" s="208"/>
      <c r="S212" s="208"/>
      <c r="T212" s="208"/>
      <c r="U212" s="208"/>
      <c r="V212" s="208"/>
      <c r="W212" s="208"/>
      <c r="X212" s="208"/>
      <c r="Y212" s="208"/>
      <c r="Z212" s="208"/>
      <c r="AA212" s="208"/>
      <c r="AB212" s="208"/>
      <c r="AC212" s="208"/>
      <c r="AD212" s="208"/>
      <c r="AE212" s="208"/>
      <c r="AF212" s="208"/>
      <c r="AG212" s="208"/>
      <c r="AH212" s="208"/>
      <c r="AI212" s="208"/>
      <c r="AJ212" s="208"/>
      <c r="AK212" s="208"/>
      <c r="AL212" s="208"/>
      <c r="AM212" s="208"/>
      <c r="AN212" s="208"/>
    </row>
    <row r="213" spans="2:40" ht="12" customHeight="1" outlineLevel="1">
      <c r="B213" s="239"/>
      <c r="C213" s="214" t="s">
        <v>841</v>
      </c>
      <c r="D213" s="214"/>
      <c r="E213" s="209">
        <f>E205*E209</f>
        <v>34</v>
      </c>
      <c r="F213" s="209">
        <f>F205*F209</f>
        <v>34</v>
      </c>
      <c r="G213" s="209">
        <f t="shared" ref="G213:I213" si="130">G205*G209</f>
        <v>26</v>
      </c>
      <c r="H213" s="209">
        <f>H205*H209</f>
        <v>13</v>
      </c>
      <c r="I213" s="209">
        <f t="shared" si="130"/>
        <v>61.999999999999993</v>
      </c>
      <c r="J213" s="209">
        <f t="shared" ref="J213:AN213" si="131">J205*J209</f>
        <v>83</v>
      </c>
      <c r="K213" s="209">
        <f t="shared" si="131"/>
        <v>45</v>
      </c>
      <c r="L213" s="209">
        <f t="shared" si="131"/>
        <v>0</v>
      </c>
      <c r="M213" s="209">
        <f t="shared" si="131"/>
        <v>127.18548120560904</v>
      </c>
      <c r="N213" s="209">
        <f t="shared" si="131"/>
        <v>118.10080397663698</v>
      </c>
      <c r="O213" s="209">
        <f t="shared" si="131"/>
        <v>27.254031686916228</v>
      </c>
      <c r="P213" s="209">
        <f t="shared" si="131"/>
        <v>36.338708915888297</v>
      </c>
      <c r="Q213" s="209">
        <f t="shared" si="131"/>
        <v>37.584399857524957</v>
      </c>
      <c r="R213" s="209">
        <f t="shared" si="131"/>
        <v>78.715094318151444</v>
      </c>
      <c r="S213" s="209">
        <f t="shared" si="131"/>
        <v>73.191792256481008</v>
      </c>
      <c r="T213" s="209">
        <f t="shared" si="131"/>
        <v>38.311719116476453</v>
      </c>
      <c r="U213" s="209">
        <f t="shared" si="131"/>
        <v>37.870022109603838</v>
      </c>
      <c r="V213" s="209">
        <f t="shared" si="131"/>
        <v>116.67450965168835</v>
      </c>
      <c r="W213" s="209">
        <f t="shared" si="131"/>
        <v>44.154438429517562</v>
      </c>
      <c r="X213" s="209">
        <f t="shared" si="131"/>
        <v>47.315179331021525</v>
      </c>
      <c r="Y213" s="209">
        <f t="shared" si="131"/>
        <v>165.34112556729175</v>
      </c>
      <c r="Z213" s="209">
        <f t="shared" si="131"/>
        <v>212.58144715794654</v>
      </c>
      <c r="AA213" s="209">
        <f t="shared" si="131"/>
        <v>35.430241192991097</v>
      </c>
      <c r="AB213" s="209">
        <f t="shared" si="131"/>
        <v>47.240321590654787</v>
      </c>
      <c r="AC213" s="209">
        <f t="shared" si="131"/>
        <v>48.859719814782451</v>
      </c>
      <c r="AD213" s="209">
        <f t="shared" si="131"/>
        <v>102.32962261359688</v>
      </c>
      <c r="AE213" s="209">
        <f t="shared" si="131"/>
        <v>95.149329933425307</v>
      </c>
      <c r="AF213" s="209">
        <f t="shared" si="131"/>
        <v>49.805234851419392</v>
      </c>
      <c r="AG213" s="209">
        <f t="shared" si="131"/>
        <v>49.231028742484988</v>
      </c>
      <c r="AH213" s="209">
        <f t="shared" si="131"/>
        <v>151.67686254719487</v>
      </c>
      <c r="AI213" s="209">
        <f>AI205*AI209</f>
        <v>57.400769958372834</v>
      </c>
      <c r="AJ213" s="209">
        <f t="shared" si="131"/>
        <v>61.50973313032798</v>
      </c>
      <c r="AK213" s="209">
        <f t="shared" si="131"/>
        <v>214.94346323747931</v>
      </c>
      <c r="AL213" s="209">
        <f t="shared" si="131"/>
        <v>276.35588130533051</v>
      </c>
      <c r="AM213" s="209">
        <f t="shared" si="131"/>
        <v>46.059313550888419</v>
      </c>
      <c r="AN213" s="209">
        <f t="shared" si="131"/>
        <v>61.412418067851227</v>
      </c>
    </row>
    <row r="214" spans="2:40" ht="12" customHeight="1" outlineLevel="1">
      <c r="B214" s="239"/>
      <c r="C214" s="214" t="s">
        <v>842</v>
      </c>
      <c r="D214" s="214"/>
      <c r="E214" s="209">
        <f>E205*E210</f>
        <v>0</v>
      </c>
      <c r="F214" s="209">
        <f>F205*F210</f>
        <v>1.0000000000000004</v>
      </c>
      <c r="G214" s="209">
        <f>G205*G210</f>
        <v>0</v>
      </c>
      <c r="H214" s="209">
        <f t="shared" ref="H214:I214" si="132">H205*H210</f>
        <v>0</v>
      </c>
      <c r="I214" s="209">
        <f t="shared" si="132"/>
        <v>3.0000000000000036</v>
      </c>
      <c r="J214" s="209">
        <f t="shared" ref="J214:AN214" si="133">J205*J210</f>
        <v>4.9999999999999956</v>
      </c>
      <c r="K214" s="209">
        <f t="shared" si="133"/>
        <v>0.99999999999999933</v>
      </c>
      <c r="L214" s="209">
        <f t="shared" si="133"/>
        <v>0</v>
      </c>
      <c r="M214" s="209">
        <f t="shared" si="133"/>
        <v>28.370074349946506</v>
      </c>
      <c r="N214" s="209">
        <f t="shared" si="133"/>
        <v>26.343640467807472</v>
      </c>
      <c r="O214" s="209">
        <f t="shared" si="133"/>
        <v>6.0793016464171092</v>
      </c>
      <c r="P214" s="209">
        <f t="shared" si="133"/>
        <v>8.1057355285561439</v>
      </c>
      <c r="Q214" s="209">
        <f t="shared" si="133"/>
        <v>8.3836001424750517</v>
      </c>
      <c r="R214" s="209">
        <f t="shared" si="133"/>
        <v>17.558239015181893</v>
      </c>
      <c r="S214" s="209">
        <f t="shared" si="133"/>
        <v>16.326207743519003</v>
      </c>
      <c r="T214" s="209">
        <f t="shared" si="133"/>
        <v>8.5458364390791015</v>
      </c>
      <c r="U214" s="209">
        <f t="shared" si="133"/>
        <v>8.4473112237295016</v>
      </c>
      <c r="V214" s="209">
        <f t="shared" si="133"/>
        <v>26.025490348311639</v>
      </c>
      <c r="W214" s="209">
        <f t="shared" si="133"/>
        <v>9.8491171260380028</v>
      </c>
      <c r="X214" s="209">
        <f t="shared" si="133"/>
        <v>10.554154002311815</v>
      </c>
      <c r="Y214" s="209">
        <f t="shared" si="133"/>
        <v>36.88109665493046</v>
      </c>
      <c r="Z214" s="209">
        <f t="shared" si="133"/>
        <v>47.418552842053444</v>
      </c>
      <c r="AA214" s="209">
        <f t="shared" si="133"/>
        <v>7.9030921403422418</v>
      </c>
      <c r="AB214" s="209">
        <f t="shared" si="133"/>
        <v>10.537456187122988</v>
      </c>
      <c r="AC214" s="209">
        <f t="shared" si="133"/>
        <v>10.898680185217568</v>
      </c>
      <c r="AD214" s="209">
        <f t="shared" si="133"/>
        <v>22.825710719736463</v>
      </c>
      <c r="AE214" s="209">
        <f t="shared" si="133"/>
        <v>21.224070066574704</v>
      </c>
      <c r="AF214" s="209">
        <f t="shared" si="133"/>
        <v>11.109587370802831</v>
      </c>
      <c r="AG214" s="209">
        <f t="shared" si="133"/>
        <v>10.981504590848353</v>
      </c>
      <c r="AH214" s="209">
        <f t="shared" si="133"/>
        <v>33.83313745280514</v>
      </c>
      <c r="AI214" s="209">
        <f t="shared" si="133"/>
        <v>12.803852263849404</v>
      </c>
      <c r="AJ214" s="209">
        <f t="shared" si="133"/>
        <v>13.72040020300536</v>
      </c>
      <c r="AK214" s="209">
        <f t="shared" si="133"/>
        <v>47.9454256514096</v>
      </c>
      <c r="AL214" s="209">
        <f t="shared" si="133"/>
        <v>61.64411869466948</v>
      </c>
      <c r="AM214" s="209">
        <f t="shared" si="133"/>
        <v>10.274019782444913</v>
      </c>
      <c r="AN214" s="209">
        <f t="shared" si="133"/>
        <v>13.698693043259885</v>
      </c>
    </row>
    <row r="215" spans="2:40" ht="12" customHeight="1" outlineLevel="1">
      <c r="B215" s="239"/>
      <c r="C215" s="214" t="s">
        <v>843</v>
      </c>
      <c r="D215" s="214"/>
      <c r="E215" s="209">
        <f>E205*E211</f>
        <v>0</v>
      </c>
      <c r="F215" s="209">
        <f t="shared" ref="F215:I215" si="134">F205*F211</f>
        <v>0</v>
      </c>
      <c r="G215" s="209">
        <f t="shared" si="134"/>
        <v>0</v>
      </c>
      <c r="H215" s="209">
        <f t="shared" si="134"/>
        <v>0</v>
      </c>
      <c r="I215" s="209">
        <f t="shared" si="134"/>
        <v>0</v>
      </c>
      <c r="J215" s="209">
        <f t="shared" ref="J215:AN215" si="135">J205*J211</f>
        <v>0</v>
      </c>
      <c r="K215" s="209">
        <f t="shared" si="135"/>
        <v>0</v>
      </c>
      <c r="L215" s="209">
        <f t="shared" si="135"/>
        <v>0</v>
      </c>
      <c r="M215" s="209">
        <f t="shared" si="135"/>
        <v>0</v>
      </c>
      <c r="N215" s="209">
        <f t="shared" si="135"/>
        <v>0</v>
      </c>
      <c r="O215" s="209">
        <f t="shared" si="135"/>
        <v>0</v>
      </c>
      <c r="P215" s="209">
        <f t="shared" si="135"/>
        <v>0</v>
      </c>
      <c r="Q215" s="209">
        <f t="shared" si="135"/>
        <v>0</v>
      </c>
      <c r="R215" s="209">
        <f t="shared" si="135"/>
        <v>0</v>
      </c>
      <c r="S215" s="209">
        <f t="shared" si="135"/>
        <v>0</v>
      </c>
      <c r="T215" s="209">
        <f t="shared" si="135"/>
        <v>0</v>
      </c>
      <c r="U215" s="209">
        <f t="shared" si="135"/>
        <v>0</v>
      </c>
      <c r="V215" s="209">
        <f t="shared" si="135"/>
        <v>0</v>
      </c>
      <c r="W215" s="209">
        <f t="shared" si="135"/>
        <v>0</v>
      </c>
      <c r="X215" s="209">
        <f t="shared" si="135"/>
        <v>0</v>
      </c>
      <c r="Y215" s="209">
        <f t="shared" si="135"/>
        <v>0</v>
      </c>
      <c r="Z215" s="209">
        <f t="shared" si="135"/>
        <v>0</v>
      </c>
      <c r="AA215" s="209">
        <f t="shared" si="135"/>
        <v>0</v>
      </c>
      <c r="AB215" s="209">
        <f t="shared" si="135"/>
        <v>0</v>
      </c>
      <c r="AC215" s="209">
        <f t="shared" si="135"/>
        <v>0</v>
      </c>
      <c r="AD215" s="209">
        <f t="shared" si="135"/>
        <v>0</v>
      </c>
      <c r="AE215" s="209">
        <f t="shared" si="135"/>
        <v>0</v>
      </c>
      <c r="AF215" s="209">
        <f t="shared" si="135"/>
        <v>0</v>
      </c>
      <c r="AG215" s="209">
        <f t="shared" si="135"/>
        <v>0</v>
      </c>
      <c r="AH215" s="209">
        <f t="shared" si="135"/>
        <v>0</v>
      </c>
      <c r="AI215" s="209">
        <f t="shared" si="135"/>
        <v>0</v>
      </c>
      <c r="AJ215" s="209">
        <f t="shared" si="135"/>
        <v>0</v>
      </c>
      <c r="AK215" s="209">
        <f t="shared" si="135"/>
        <v>0</v>
      </c>
      <c r="AL215" s="209">
        <f t="shared" si="135"/>
        <v>0</v>
      </c>
      <c r="AM215" s="209">
        <f t="shared" si="135"/>
        <v>0</v>
      </c>
      <c r="AN215" s="209">
        <f t="shared" si="135"/>
        <v>0</v>
      </c>
    </row>
    <row r="216" spans="2:40" ht="12" customHeight="1" outlineLevel="1">
      <c r="B216" s="239"/>
      <c r="C216" s="214" t="s">
        <v>844</v>
      </c>
      <c r="D216" s="214"/>
      <c r="E216" s="209">
        <f>IF((SUM(E226:E262)-E213)&lt;2,ROUNDUP(SUM(E226:E262),0)-E213,ROUNDDOWN(SUM(E226:E262),0)-E213)</f>
        <v>33</v>
      </c>
      <c r="F216" s="209">
        <f t="shared" ref="F216" si="136">IF((SUM(F226:F262)-F213)&lt;2,ROUNDUP(SUM(F226:F262),0)-F213,ROUNDDOWN(SUM(F226:F262),0)-F213)</f>
        <v>90</v>
      </c>
      <c r="G216" s="209">
        <f>IF((SUM(G226:G262)-G213)&lt;2,ROUNDUP(SUM(G226:G262),0)-G213,ROUNDDOWN(SUM(G226:G262),0)-G213)</f>
        <v>6</v>
      </c>
      <c r="H216" s="209">
        <f>IF((SUM(H226:H262)-H213)&lt;2,ROUNDUP(SUM(H226:H262),0)-H213,ROUNDDOWN(SUM(H226:H262),0)-H213)</f>
        <v>178</v>
      </c>
      <c r="I216" s="209">
        <f>IF((SUM(I226:I262)-I213)&lt;2,ROUNDUP(SUM(I226:I262),0)-I213,ROUNDDOWN(SUM(I226:I262),0)-I213)</f>
        <v>8.0000000000000071</v>
      </c>
      <c r="J216" s="209">
        <f t="shared" ref="J216:AN216" si="137">IF((SUM(J226:J262)-J213)&lt;2,ROUNDUP(SUM(J226:J262),0)-J213,ROUNDDOWN(SUM(J226:J262),0)-J213)</f>
        <v>7</v>
      </c>
      <c r="K216" s="209">
        <f t="shared" si="137"/>
        <v>7</v>
      </c>
      <c r="L216" s="209">
        <f t="shared" si="137"/>
        <v>7</v>
      </c>
      <c r="M216" s="209">
        <f t="shared" si="137"/>
        <v>6.8145187943909633</v>
      </c>
      <c r="N216" s="209">
        <f t="shared" si="137"/>
        <v>6.8991960233630181</v>
      </c>
      <c r="O216" s="209">
        <f t="shared" si="137"/>
        <v>6.7459683130837718</v>
      </c>
      <c r="P216" s="209">
        <f t="shared" si="137"/>
        <v>6.6612910841117028</v>
      </c>
      <c r="Q216" s="209">
        <f t="shared" si="137"/>
        <v>6.4156001424750428</v>
      </c>
      <c r="R216" s="209">
        <f t="shared" si="137"/>
        <v>6.2849056818485565</v>
      </c>
      <c r="S216" s="209">
        <f t="shared" si="137"/>
        <v>5.8082077435189916</v>
      </c>
      <c r="T216" s="209">
        <f t="shared" si="137"/>
        <v>5.6882808835235465</v>
      </c>
      <c r="U216" s="209">
        <f t="shared" si="137"/>
        <v>6.1299778903961624</v>
      </c>
      <c r="V216" s="209">
        <f t="shared" si="137"/>
        <v>5.3254903483116465</v>
      </c>
      <c r="W216" s="209">
        <f t="shared" si="137"/>
        <v>5.8455615704824382</v>
      </c>
      <c r="X216" s="209">
        <f t="shared" si="137"/>
        <v>5.6848206689784746</v>
      </c>
      <c r="Y216" s="209">
        <f t="shared" si="137"/>
        <v>5.6588744327082452</v>
      </c>
      <c r="Z216" s="209">
        <f t="shared" si="137"/>
        <v>5.4185528420534581</v>
      </c>
      <c r="AA216" s="209">
        <f t="shared" si="137"/>
        <v>4.5697588070089026</v>
      </c>
      <c r="AB216" s="209">
        <f t="shared" si="137"/>
        <v>4.7596784093452129</v>
      </c>
      <c r="AC216" s="209">
        <f t="shared" si="137"/>
        <v>5.1402801852175486</v>
      </c>
      <c r="AD216" s="209">
        <f t="shared" si="137"/>
        <v>4.6703773864031177</v>
      </c>
      <c r="AE216" s="209">
        <f t="shared" si="137"/>
        <v>4.8506700665746934</v>
      </c>
      <c r="AF216" s="209">
        <f t="shared" si="137"/>
        <v>4.1947651485806077</v>
      </c>
      <c r="AG216" s="209">
        <f t="shared" si="137"/>
        <v>4.7689712575150125</v>
      </c>
      <c r="AH216" s="209">
        <f t="shared" si="137"/>
        <v>4.3231374528051276</v>
      </c>
      <c r="AI216" s="209">
        <f t="shared" si="137"/>
        <v>4.5992300416271661</v>
      </c>
      <c r="AJ216" s="209">
        <f t="shared" si="137"/>
        <v>4.4902668696720198</v>
      </c>
      <c r="AK216" s="209">
        <f t="shared" si="137"/>
        <v>4.0565367625206932</v>
      </c>
      <c r="AL216" s="209">
        <f t="shared" si="137"/>
        <v>3.644118694669487</v>
      </c>
      <c r="AM216" s="209">
        <f t="shared" si="137"/>
        <v>3.9406864491115812</v>
      </c>
      <c r="AN216" s="209">
        <f t="shared" si="137"/>
        <v>3.5875819321487725</v>
      </c>
    </row>
    <row r="217" spans="2:40" ht="12" customHeight="1" outlineLevel="1">
      <c r="B217" s="239"/>
      <c r="C217" s="214" t="s">
        <v>845</v>
      </c>
      <c r="D217" s="214"/>
      <c r="E217" s="209">
        <f>IF((SUM(E267:E303)-E214)&lt;2,ROUNDUP(SUM(E267:E303),0)-E214,ROUNDDOWN(SUM(E267:E303),0)-E214)</f>
        <v>0</v>
      </c>
      <c r="F217" s="209">
        <f t="shared" ref="F217:I217" si="138">IF((SUM(F267:F303)-F214)&lt;2,ROUNDUP(SUM(F267:F303),0)-F214,ROUNDDOWN(SUM(F267:F303),0)-F214)</f>
        <v>-4.4408920985006262E-16</v>
      </c>
      <c r="G217" s="209">
        <f>IF((SUM(G267:G303)-G214)&lt;2,ROUNDUP(SUM(G267:G303),0)-G214,ROUNDDOWN(SUM(G267:G303),0)-G214)</f>
        <v>1</v>
      </c>
      <c r="H217" s="209">
        <f t="shared" si="138"/>
        <v>1</v>
      </c>
      <c r="I217" s="209">
        <f t="shared" si="138"/>
        <v>0.99999999999999645</v>
      </c>
      <c r="J217" s="209">
        <f t="shared" ref="J217:AN217" si="139">IF((SUM(J267:J303)-J214)&lt;2,ROUNDUP(SUM(J267:J303),0)-J214,ROUNDDOWN(SUM(J267:J303),0)-J214)</f>
        <v>1.0000000000000044</v>
      </c>
      <c r="K217" s="209">
        <f t="shared" si="139"/>
        <v>1.0000000000000007</v>
      </c>
      <c r="L217" s="209">
        <f t="shared" si="139"/>
        <v>1</v>
      </c>
      <c r="M217" s="209">
        <f t="shared" si="139"/>
        <v>1.6299256500534938</v>
      </c>
      <c r="N217" s="209">
        <f t="shared" si="139"/>
        <v>1.6563595321925284</v>
      </c>
      <c r="O217" s="209">
        <f t="shared" si="139"/>
        <v>3.9206983535828908</v>
      </c>
      <c r="P217" s="209">
        <f t="shared" si="139"/>
        <v>3.8942644714438561</v>
      </c>
      <c r="Q217" s="209">
        <f t="shared" si="139"/>
        <v>4.6163998575249483</v>
      </c>
      <c r="R217" s="209">
        <f t="shared" si="139"/>
        <v>4.4417609848181066</v>
      </c>
      <c r="S217" s="209">
        <f t="shared" si="139"/>
        <v>5.6737922564809971</v>
      </c>
      <c r="T217" s="209">
        <f t="shared" si="139"/>
        <v>6.4541635609208985</v>
      </c>
      <c r="U217" s="209">
        <f t="shared" si="139"/>
        <v>6.5526887762704984</v>
      </c>
      <c r="V217" s="209">
        <f t="shared" si="139"/>
        <v>6.9745096516883613</v>
      </c>
      <c r="W217" s="209">
        <f t="shared" si="139"/>
        <v>8.1508828739619972</v>
      </c>
      <c r="X217" s="209">
        <f t="shared" si="139"/>
        <v>8.4458459976881848</v>
      </c>
      <c r="Y217" s="209">
        <f t="shared" si="139"/>
        <v>9.1189033450695405</v>
      </c>
      <c r="Z217" s="209">
        <f t="shared" si="139"/>
        <v>10.581447157946556</v>
      </c>
      <c r="AA217" s="209">
        <f t="shared" si="139"/>
        <v>14.096907859657758</v>
      </c>
      <c r="AB217" s="209">
        <f t="shared" si="139"/>
        <v>13.462543812877012</v>
      </c>
      <c r="AC217" s="209">
        <f t="shared" si="139"/>
        <v>13.101319814782432</v>
      </c>
      <c r="AD217" s="209">
        <f t="shared" si="139"/>
        <v>13.174289280263537</v>
      </c>
      <c r="AE217" s="209">
        <f t="shared" si="139"/>
        <v>13.775929933425296</v>
      </c>
      <c r="AF217" s="209">
        <f t="shared" si="139"/>
        <v>13.890412629197169</v>
      </c>
      <c r="AG217" s="209">
        <f t="shared" si="139"/>
        <v>14.018495409151647</v>
      </c>
      <c r="AH217" s="209">
        <f t="shared" si="139"/>
        <v>14.16686254719486</v>
      </c>
      <c r="AI217" s="209">
        <f t="shared" si="139"/>
        <v>15.196147736150596</v>
      </c>
      <c r="AJ217" s="209">
        <f t="shared" si="139"/>
        <v>15.27959979699464</v>
      </c>
      <c r="AK217" s="209">
        <f t="shared" si="139"/>
        <v>15.0545743485904</v>
      </c>
      <c r="AL217" s="209">
        <f t="shared" si="139"/>
        <v>17.35588130533052</v>
      </c>
      <c r="AM217" s="209">
        <f t="shared" si="139"/>
        <v>20.725980217555087</v>
      </c>
      <c r="AN217" s="209">
        <f t="shared" si="139"/>
        <v>20.301306956740113</v>
      </c>
    </row>
    <row r="218" spans="2:40" ht="12" customHeight="1" outlineLevel="1">
      <c r="B218" s="239"/>
      <c r="C218" s="214" t="s">
        <v>846</v>
      </c>
      <c r="D218" s="214"/>
      <c r="E218" s="209">
        <f>IF((SUM(E308:E343)-E215)&lt;1,ROUNDUP(SUM(E308:E343),0)-E215,ROUNDDOWN(SUM(E308:E343),0)-E215)</f>
        <v>0</v>
      </c>
      <c r="F218" s="209">
        <f t="shared" ref="F218:I218" si="140">IF((SUM(F308:F343)-F215)&lt;1,ROUNDUP(SUM(F308:F343),0)-F215,ROUNDDOWN(SUM(F308:F343),0)-F215)</f>
        <v>0</v>
      </c>
      <c r="G218" s="209">
        <f t="shared" si="140"/>
        <v>0</v>
      </c>
      <c r="H218" s="209">
        <f t="shared" si="140"/>
        <v>0</v>
      </c>
      <c r="I218" s="209">
        <f t="shared" si="140"/>
        <v>0</v>
      </c>
      <c r="J218" s="209">
        <f t="shared" ref="J218:AN218" si="141">IF((SUM(J308:J343)-J215)&lt;1,ROUNDUP(SUM(J308:J343),0)-J215,ROUNDDOWN(SUM(J308:J343),0)-J215)</f>
        <v>0</v>
      </c>
      <c r="K218" s="209">
        <f t="shared" si="141"/>
        <v>0</v>
      </c>
      <c r="L218" s="209">
        <f t="shared" si="141"/>
        <v>0</v>
      </c>
      <c r="M218" s="209">
        <f t="shared" si="141"/>
        <v>0</v>
      </c>
      <c r="N218" s="209">
        <f t="shared" si="141"/>
        <v>0</v>
      </c>
      <c r="O218" s="209">
        <f t="shared" si="141"/>
        <v>0</v>
      </c>
      <c r="P218" s="209">
        <f t="shared" si="141"/>
        <v>0</v>
      </c>
      <c r="Q218" s="209">
        <f t="shared" si="141"/>
        <v>0</v>
      </c>
      <c r="R218" s="209">
        <f t="shared" si="141"/>
        <v>0</v>
      </c>
      <c r="S218" s="209">
        <f t="shared" si="141"/>
        <v>0</v>
      </c>
      <c r="T218" s="209">
        <f t="shared" si="141"/>
        <v>0</v>
      </c>
      <c r="U218" s="209">
        <f t="shared" si="141"/>
        <v>0</v>
      </c>
      <c r="V218" s="209">
        <f t="shared" si="141"/>
        <v>0</v>
      </c>
      <c r="W218" s="209">
        <f t="shared" si="141"/>
        <v>0</v>
      </c>
      <c r="X218" s="209">
        <f t="shared" si="141"/>
        <v>0</v>
      </c>
      <c r="Y218" s="209">
        <f t="shared" si="141"/>
        <v>0</v>
      </c>
      <c r="Z218" s="209">
        <f t="shared" si="141"/>
        <v>0</v>
      </c>
      <c r="AA218" s="209">
        <f t="shared" si="141"/>
        <v>0</v>
      </c>
      <c r="AB218" s="209">
        <f t="shared" si="141"/>
        <v>0</v>
      </c>
      <c r="AC218" s="209">
        <f t="shared" si="141"/>
        <v>0</v>
      </c>
      <c r="AD218" s="209">
        <f t="shared" si="141"/>
        <v>0</v>
      </c>
      <c r="AE218" s="209">
        <f t="shared" si="141"/>
        <v>0</v>
      </c>
      <c r="AF218" s="209">
        <f t="shared" si="141"/>
        <v>0</v>
      </c>
      <c r="AG218" s="209">
        <f t="shared" si="141"/>
        <v>0</v>
      </c>
      <c r="AH218" s="209">
        <f t="shared" si="141"/>
        <v>0</v>
      </c>
      <c r="AI218" s="209">
        <f t="shared" si="141"/>
        <v>0</v>
      </c>
      <c r="AJ218" s="209">
        <f t="shared" si="141"/>
        <v>0</v>
      </c>
      <c r="AK218" s="209">
        <f t="shared" si="141"/>
        <v>0</v>
      </c>
      <c r="AL218" s="209">
        <f t="shared" si="141"/>
        <v>0</v>
      </c>
      <c r="AM218" s="209">
        <f t="shared" si="141"/>
        <v>0</v>
      </c>
      <c r="AN218" s="209">
        <f t="shared" si="141"/>
        <v>0</v>
      </c>
    </row>
    <row r="219" spans="2:40" ht="12" customHeight="1" outlineLevel="1">
      <c r="B219" s="237"/>
      <c r="C219" s="214" t="s">
        <v>833</v>
      </c>
      <c r="D219" s="214"/>
      <c r="E219" s="210">
        <f t="shared" ref="E219:I219" si="142">SUM(E213:E215)</f>
        <v>34</v>
      </c>
      <c r="F219" s="210">
        <f t="shared" si="142"/>
        <v>35</v>
      </c>
      <c r="G219" s="210">
        <f t="shared" si="142"/>
        <v>26</v>
      </c>
      <c r="H219" s="210">
        <f>SUM(H213:H215)</f>
        <v>13</v>
      </c>
      <c r="I219" s="210">
        <f t="shared" si="142"/>
        <v>65</v>
      </c>
      <c r="J219" s="210">
        <f t="shared" ref="J219:P219" si="143">SUM(J213:J215)</f>
        <v>88</v>
      </c>
      <c r="K219" s="210">
        <f t="shared" si="143"/>
        <v>46</v>
      </c>
      <c r="L219" s="210">
        <f t="shared" si="143"/>
        <v>0</v>
      </c>
      <c r="M219" s="210">
        <f t="shared" si="143"/>
        <v>155.55555555555554</v>
      </c>
      <c r="N219" s="210">
        <f t="shared" si="143"/>
        <v>144.44444444444446</v>
      </c>
      <c r="O219" s="210">
        <f t="shared" si="143"/>
        <v>33.333333333333336</v>
      </c>
      <c r="P219" s="210">
        <f t="shared" si="143"/>
        <v>44.444444444444443</v>
      </c>
      <c r="Q219" s="210">
        <f t="shared" ref="Q219:AN219" si="144">SUM(Q213:Q215)</f>
        <v>45.968000000000011</v>
      </c>
      <c r="R219" s="210">
        <f t="shared" si="144"/>
        <v>96.273333333333341</v>
      </c>
      <c r="S219" s="210">
        <f t="shared" si="144"/>
        <v>89.518000000000015</v>
      </c>
      <c r="T219" s="210">
        <f t="shared" si="144"/>
        <v>46.857555555555557</v>
      </c>
      <c r="U219" s="210">
        <f t="shared" si="144"/>
        <v>46.317333333333337</v>
      </c>
      <c r="V219" s="210">
        <f t="shared" si="144"/>
        <v>142.69999999999999</v>
      </c>
      <c r="W219" s="210">
        <f t="shared" si="144"/>
        <v>54.003555555555565</v>
      </c>
      <c r="X219" s="210">
        <f t="shared" si="144"/>
        <v>57.869333333333344</v>
      </c>
      <c r="Y219" s="210">
        <f t="shared" si="144"/>
        <v>202.22222222222223</v>
      </c>
      <c r="Z219" s="210">
        <f t="shared" si="144"/>
        <v>260</v>
      </c>
      <c r="AA219" s="210">
        <f t="shared" si="144"/>
        <v>43.333333333333343</v>
      </c>
      <c r="AB219" s="210">
        <f t="shared" si="144"/>
        <v>57.777777777777771</v>
      </c>
      <c r="AC219" s="210">
        <f t="shared" si="144"/>
        <v>59.758400000000023</v>
      </c>
      <c r="AD219" s="210">
        <f t="shared" si="144"/>
        <v>125.15533333333335</v>
      </c>
      <c r="AE219" s="210">
        <f t="shared" si="144"/>
        <v>116.3734</v>
      </c>
      <c r="AF219" s="210">
        <f t="shared" si="144"/>
        <v>60.914822222222227</v>
      </c>
      <c r="AG219" s="210">
        <f t="shared" si="144"/>
        <v>60.21253333333334</v>
      </c>
      <c r="AH219" s="210">
        <f t="shared" si="144"/>
        <v>185.51000000000002</v>
      </c>
      <c r="AI219" s="210">
        <f t="shared" si="144"/>
        <v>70.204622222222241</v>
      </c>
      <c r="AJ219" s="210">
        <f t="shared" si="144"/>
        <v>75.230133333333342</v>
      </c>
      <c r="AK219" s="210">
        <f t="shared" si="144"/>
        <v>262.88888888888891</v>
      </c>
      <c r="AL219" s="210">
        <f t="shared" si="144"/>
        <v>338</v>
      </c>
      <c r="AM219" s="210">
        <f t="shared" si="144"/>
        <v>56.333333333333329</v>
      </c>
      <c r="AN219" s="210">
        <f t="shared" si="144"/>
        <v>75.111111111111114</v>
      </c>
    </row>
    <row r="220" spans="2:40" ht="12" customHeight="1" outlineLevel="1">
      <c r="B220" s="237"/>
      <c r="C220" s="214" t="s">
        <v>847</v>
      </c>
      <c r="D220" s="214"/>
      <c r="E220" s="210">
        <f>SUM(E216:E218)</f>
        <v>33</v>
      </c>
      <c r="F220" s="210">
        <f t="shared" ref="F220:I220" si="145">SUM(F216:F218)</f>
        <v>90</v>
      </c>
      <c r="G220" s="210">
        <f t="shared" si="145"/>
        <v>7</v>
      </c>
      <c r="H220" s="210">
        <f t="shared" si="145"/>
        <v>179</v>
      </c>
      <c r="I220" s="210">
        <f t="shared" si="145"/>
        <v>9.0000000000000036</v>
      </c>
      <c r="J220" s="210">
        <f t="shared" ref="J220:AN220" si="146">SUM(J216:J218)</f>
        <v>8.0000000000000036</v>
      </c>
      <c r="K220" s="210">
        <f t="shared" si="146"/>
        <v>8</v>
      </c>
      <c r="L220" s="210">
        <f t="shared" si="146"/>
        <v>8</v>
      </c>
      <c r="M220" s="210">
        <f t="shared" si="146"/>
        <v>8.4444444444444571</v>
      </c>
      <c r="N220" s="210">
        <f t="shared" si="146"/>
        <v>8.5555555555555465</v>
      </c>
      <c r="O220" s="210">
        <f t="shared" si="146"/>
        <v>10.666666666666663</v>
      </c>
      <c r="P220" s="210">
        <f t="shared" si="146"/>
        <v>10.555555555555559</v>
      </c>
      <c r="Q220" s="210">
        <f t="shared" si="146"/>
        <v>11.031999999999991</v>
      </c>
      <c r="R220" s="210">
        <f t="shared" si="146"/>
        <v>10.726666666666663</v>
      </c>
      <c r="S220" s="210">
        <f t="shared" si="146"/>
        <v>11.481999999999989</v>
      </c>
      <c r="T220" s="210">
        <f t="shared" si="146"/>
        <v>12.142444444444445</v>
      </c>
      <c r="U220" s="210">
        <f t="shared" si="146"/>
        <v>12.682666666666661</v>
      </c>
      <c r="V220" s="210">
        <f t="shared" si="146"/>
        <v>12.300000000000008</v>
      </c>
      <c r="W220" s="210">
        <f t="shared" si="146"/>
        <v>13.996444444444435</v>
      </c>
      <c r="X220" s="210">
        <f t="shared" si="146"/>
        <v>14.130666666666659</v>
      </c>
      <c r="Y220" s="210">
        <f t="shared" si="146"/>
        <v>14.777777777777786</v>
      </c>
      <c r="Z220" s="210">
        <f t="shared" si="146"/>
        <v>16.000000000000014</v>
      </c>
      <c r="AA220" s="210">
        <f t="shared" si="146"/>
        <v>18.666666666666661</v>
      </c>
      <c r="AB220" s="210">
        <f t="shared" si="146"/>
        <v>18.222222222222225</v>
      </c>
      <c r="AC220" s="210">
        <f t="shared" si="146"/>
        <v>18.24159999999998</v>
      </c>
      <c r="AD220" s="210">
        <f t="shared" si="146"/>
        <v>17.844666666666654</v>
      </c>
      <c r="AE220" s="210">
        <f t="shared" si="146"/>
        <v>18.626599999999989</v>
      </c>
      <c r="AF220" s="210">
        <f t="shared" si="146"/>
        <v>18.085177777777776</v>
      </c>
      <c r="AG220" s="210">
        <f t="shared" si="146"/>
        <v>18.78746666666666</v>
      </c>
      <c r="AH220" s="210">
        <f t="shared" si="146"/>
        <v>18.489999999999988</v>
      </c>
      <c r="AI220" s="210">
        <f t="shared" si="146"/>
        <v>19.795377777777762</v>
      </c>
      <c r="AJ220" s="210">
        <f t="shared" si="146"/>
        <v>19.769866666666658</v>
      </c>
      <c r="AK220" s="210">
        <f t="shared" si="146"/>
        <v>19.111111111111093</v>
      </c>
      <c r="AL220" s="210">
        <f t="shared" si="146"/>
        <v>21.000000000000007</v>
      </c>
      <c r="AM220" s="210">
        <f t="shared" si="146"/>
        <v>24.666666666666668</v>
      </c>
      <c r="AN220" s="210">
        <f t="shared" si="146"/>
        <v>23.888888888888886</v>
      </c>
    </row>
    <row r="221" spans="2:40" ht="12" customHeight="1" outlineLevel="1">
      <c r="B221" s="237"/>
      <c r="C221" s="214" t="s">
        <v>848</v>
      </c>
      <c r="D221" s="214"/>
      <c r="E221" s="205">
        <f>SUM(E219:E220)</f>
        <v>67</v>
      </c>
      <c r="F221" s="205">
        <f t="shared" ref="F221:I221" si="147">SUM(F219:F220)</f>
        <v>125</v>
      </c>
      <c r="G221" s="205">
        <f t="shared" si="147"/>
        <v>33</v>
      </c>
      <c r="H221" s="205">
        <f t="shared" si="147"/>
        <v>192</v>
      </c>
      <c r="I221" s="205">
        <f t="shared" si="147"/>
        <v>74</v>
      </c>
      <c r="J221" s="205">
        <f t="shared" ref="J221:AN221" si="148">SUM(J219:J220)</f>
        <v>96</v>
      </c>
      <c r="K221" s="205">
        <f t="shared" si="148"/>
        <v>54</v>
      </c>
      <c r="L221" s="205">
        <f t="shared" si="148"/>
        <v>8</v>
      </c>
      <c r="M221" s="205">
        <f t="shared" si="148"/>
        <v>164</v>
      </c>
      <c r="N221" s="205">
        <f t="shared" si="148"/>
        <v>153</v>
      </c>
      <c r="O221" s="205">
        <f t="shared" si="148"/>
        <v>44</v>
      </c>
      <c r="P221" s="205">
        <f t="shared" si="148"/>
        <v>55</v>
      </c>
      <c r="Q221" s="205">
        <f t="shared" si="148"/>
        <v>57</v>
      </c>
      <c r="R221" s="205">
        <f t="shared" si="148"/>
        <v>107</v>
      </c>
      <c r="S221" s="205">
        <f t="shared" si="148"/>
        <v>101</v>
      </c>
      <c r="T221" s="205">
        <f t="shared" si="148"/>
        <v>59</v>
      </c>
      <c r="U221" s="205">
        <f t="shared" si="148"/>
        <v>59</v>
      </c>
      <c r="V221" s="205">
        <f t="shared" si="148"/>
        <v>155</v>
      </c>
      <c r="W221" s="205">
        <f t="shared" si="148"/>
        <v>68</v>
      </c>
      <c r="X221" s="205">
        <f t="shared" si="148"/>
        <v>72</v>
      </c>
      <c r="Y221" s="205">
        <f t="shared" si="148"/>
        <v>217</v>
      </c>
      <c r="Z221" s="205">
        <f t="shared" si="148"/>
        <v>276</v>
      </c>
      <c r="AA221" s="205">
        <f t="shared" si="148"/>
        <v>62</v>
      </c>
      <c r="AB221" s="205">
        <f t="shared" si="148"/>
        <v>76</v>
      </c>
      <c r="AC221" s="205">
        <f t="shared" si="148"/>
        <v>78</v>
      </c>
      <c r="AD221" s="205">
        <f t="shared" si="148"/>
        <v>143</v>
      </c>
      <c r="AE221" s="205">
        <f t="shared" si="148"/>
        <v>135</v>
      </c>
      <c r="AF221" s="205">
        <f t="shared" si="148"/>
        <v>79</v>
      </c>
      <c r="AG221" s="205">
        <f t="shared" si="148"/>
        <v>79</v>
      </c>
      <c r="AH221" s="205">
        <f t="shared" si="148"/>
        <v>204</v>
      </c>
      <c r="AI221" s="205">
        <f t="shared" si="148"/>
        <v>90</v>
      </c>
      <c r="AJ221" s="205">
        <f t="shared" si="148"/>
        <v>95</v>
      </c>
      <c r="AK221" s="205">
        <f t="shared" si="148"/>
        <v>282</v>
      </c>
      <c r="AL221" s="205">
        <f t="shared" si="148"/>
        <v>359</v>
      </c>
      <c r="AM221" s="205">
        <f t="shared" si="148"/>
        <v>81</v>
      </c>
      <c r="AN221" s="205">
        <f t="shared" si="148"/>
        <v>99</v>
      </c>
    </row>
    <row r="222" spans="2:40" ht="12" customHeight="1" outlineLevel="1">
      <c r="B222" s="239"/>
      <c r="C222" s="212"/>
      <c r="D222" s="212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</row>
    <row r="223" spans="2:40" ht="12" hidden="1" customHeight="1" outlineLevel="2">
      <c r="B223" s="239"/>
      <c r="C223" s="249" t="s">
        <v>849</v>
      </c>
      <c r="D223" s="212"/>
      <c r="O223" s="212"/>
      <c r="P223" s="212"/>
      <c r="Q223" s="212"/>
      <c r="R223" s="212"/>
      <c r="S223" s="212"/>
      <c r="T223" s="212"/>
      <c r="U223" s="212"/>
      <c r="V223" s="212"/>
      <c r="W223" s="212"/>
      <c r="X223" s="212"/>
      <c r="Y223" s="212"/>
      <c r="Z223" s="212"/>
      <c r="AA223" s="212"/>
      <c r="AB223" s="212"/>
      <c r="AC223" s="212"/>
      <c r="AD223" s="212"/>
      <c r="AE223" s="212"/>
      <c r="AF223" s="212"/>
      <c r="AG223" s="212"/>
      <c r="AH223" s="212"/>
      <c r="AI223" s="212"/>
      <c r="AJ223" s="212"/>
      <c r="AK223" s="212"/>
      <c r="AL223" s="212"/>
      <c r="AM223" s="212"/>
      <c r="AN223" s="212"/>
    </row>
    <row r="224" spans="2:40" ht="12" hidden="1" customHeight="1" outlineLevel="2">
      <c r="B224" s="239"/>
      <c r="C224" s="212" t="s">
        <v>850</v>
      </c>
      <c r="D224" s="212"/>
      <c r="E224" s="196" t="s">
        <v>753</v>
      </c>
      <c r="F224" s="196" t="s">
        <v>754</v>
      </c>
      <c r="G224" s="196" t="s">
        <v>755</v>
      </c>
      <c r="H224" s="196" t="s">
        <v>756</v>
      </c>
      <c r="I224" s="196" t="s">
        <v>757</v>
      </c>
      <c r="J224" s="196" t="s">
        <v>758</v>
      </c>
      <c r="K224" s="196" t="s">
        <v>759</v>
      </c>
      <c r="L224" s="196" t="s">
        <v>760</v>
      </c>
      <c r="M224" s="196" t="s">
        <v>761</v>
      </c>
      <c r="N224" s="196" t="s">
        <v>762</v>
      </c>
      <c r="O224" s="196" t="s">
        <v>763</v>
      </c>
      <c r="P224" s="196" t="s">
        <v>764</v>
      </c>
      <c r="Q224" s="196" t="s">
        <v>765</v>
      </c>
      <c r="R224" s="196" t="s">
        <v>766</v>
      </c>
      <c r="S224" s="196" t="s">
        <v>767</v>
      </c>
      <c r="T224" s="196" t="s">
        <v>768</v>
      </c>
      <c r="U224" s="196" t="s">
        <v>769</v>
      </c>
      <c r="V224" s="196" t="s">
        <v>770</v>
      </c>
      <c r="W224" s="196" t="s">
        <v>771</v>
      </c>
      <c r="X224" s="196" t="s">
        <v>772</v>
      </c>
      <c r="Y224" s="196" t="s">
        <v>773</v>
      </c>
      <c r="Z224" s="196" t="s">
        <v>774</v>
      </c>
      <c r="AA224" s="196" t="s">
        <v>775</v>
      </c>
      <c r="AB224" s="196" t="s">
        <v>776</v>
      </c>
      <c r="AC224" s="196" t="s">
        <v>777</v>
      </c>
      <c r="AD224" s="196" t="s">
        <v>778</v>
      </c>
      <c r="AE224" s="196" t="s">
        <v>779</v>
      </c>
      <c r="AF224" s="196" t="s">
        <v>780</v>
      </c>
      <c r="AG224" s="196" t="s">
        <v>781</v>
      </c>
      <c r="AH224" s="196" t="s">
        <v>782</v>
      </c>
      <c r="AI224" s="196" t="s">
        <v>783</v>
      </c>
      <c r="AJ224" s="196" t="s">
        <v>784</v>
      </c>
      <c r="AK224" s="196" t="s">
        <v>785</v>
      </c>
      <c r="AL224" s="196" t="s">
        <v>786</v>
      </c>
      <c r="AM224" s="196" t="s">
        <v>787</v>
      </c>
      <c r="AN224" s="196" t="s">
        <v>788</v>
      </c>
    </row>
    <row r="225" spans="2:40" ht="12" hidden="1" customHeight="1" outlineLevel="2">
      <c r="B225" s="239" t="s">
        <v>860</v>
      </c>
      <c r="C225" s="246" t="s">
        <v>851</v>
      </c>
      <c r="D225" s="212"/>
      <c r="E225" s="193">
        <v>0</v>
      </c>
      <c r="F225" s="193">
        <v>0</v>
      </c>
      <c r="G225" s="193">
        <v>0</v>
      </c>
      <c r="H225" s="193">
        <v>0</v>
      </c>
      <c r="I225" s="193">
        <v>0</v>
      </c>
      <c r="J225" s="193">
        <v>0</v>
      </c>
      <c r="K225" s="193">
        <v>0</v>
      </c>
      <c r="L225" s="193">
        <v>0</v>
      </c>
      <c r="M225" s="193">
        <v>0</v>
      </c>
      <c r="N225" s="193">
        <v>0</v>
      </c>
      <c r="O225" s="193">
        <v>0</v>
      </c>
      <c r="P225" s="193">
        <v>0</v>
      </c>
      <c r="Q225" s="193">
        <v>0</v>
      </c>
      <c r="R225" s="193">
        <v>0</v>
      </c>
      <c r="S225" s="193">
        <v>0</v>
      </c>
      <c r="T225" s="193">
        <v>0</v>
      </c>
      <c r="U225" s="193">
        <v>0</v>
      </c>
      <c r="V225" s="193">
        <v>0</v>
      </c>
      <c r="W225" s="193">
        <v>0</v>
      </c>
      <c r="X225" s="193">
        <v>0</v>
      </c>
      <c r="Y225" s="193">
        <v>0</v>
      </c>
      <c r="Z225" s="193">
        <v>0</v>
      </c>
      <c r="AA225" s="193">
        <v>0</v>
      </c>
      <c r="AB225" s="193">
        <v>0</v>
      </c>
      <c r="AC225" s="193">
        <v>0</v>
      </c>
      <c r="AD225" s="193">
        <v>0</v>
      </c>
      <c r="AE225" s="193">
        <v>0</v>
      </c>
      <c r="AF225" s="193">
        <v>0</v>
      </c>
      <c r="AG225" s="193">
        <v>0</v>
      </c>
      <c r="AH225" s="193">
        <v>0</v>
      </c>
      <c r="AI225" s="193">
        <v>0</v>
      </c>
      <c r="AJ225" s="193">
        <f t="shared" ref="AJ225:AN225" si="149">AI225</f>
        <v>0</v>
      </c>
      <c r="AK225" s="193">
        <f t="shared" si="149"/>
        <v>0</v>
      </c>
      <c r="AL225" s="193">
        <f t="shared" si="149"/>
        <v>0</v>
      </c>
      <c r="AM225" s="193">
        <f t="shared" si="149"/>
        <v>0</v>
      </c>
      <c r="AN225" s="193">
        <f t="shared" si="149"/>
        <v>0</v>
      </c>
    </row>
    <row r="226" spans="2:40" ht="12" hidden="1" customHeight="1" outlineLevel="2">
      <c r="B226" s="239"/>
      <c r="C226" s="212" t="s">
        <v>861</v>
      </c>
      <c r="D226" s="212"/>
      <c r="E226" s="211">
        <v>33</v>
      </c>
      <c r="F226" s="211">
        <v>90</v>
      </c>
      <c r="G226" s="211">
        <v>6</v>
      </c>
      <c r="H226" s="211">
        <v>178</v>
      </c>
      <c r="I226" s="211">
        <v>8</v>
      </c>
      <c r="J226" s="211">
        <f t="shared" ref="J226:AN226" si="150">I226*98%</f>
        <v>7.84</v>
      </c>
      <c r="K226" s="211">
        <f t="shared" si="150"/>
        <v>7.6831999999999994</v>
      </c>
      <c r="L226" s="211">
        <f t="shared" si="150"/>
        <v>7.5295359999999993</v>
      </c>
      <c r="M226" s="211">
        <f t="shared" si="150"/>
        <v>7.3789452799999991</v>
      </c>
      <c r="N226" s="211">
        <f t="shared" si="150"/>
        <v>7.2313663743999985</v>
      </c>
      <c r="O226" s="211">
        <f t="shared" si="150"/>
        <v>7.0867390469119984</v>
      </c>
      <c r="P226" s="211">
        <f t="shared" si="150"/>
        <v>6.9450042659737585</v>
      </c>
      <c r="Q226" s="211">
        <f t="shared" si="150"/>
        <v>6.806104180654283</v>
      </c>
      <c r="R226" s="211">
        <f t="shared" si="150"/>
        <v>6.6699820970411974</v>
      </c>
      <c r="S226" s="211">
        <f t="shared" si="150"/>
        <v>6.5365824551003735</v>
      </c>
      <c r="T226" s="211">
        <f t="shared" si="150"/>
        <v>6.4058508059983659</v>
      </c>
      <c r="U226" s="211">
        <f t="shared" si="150"/>
        <v>6.2777337898783987</v>
      </c>
      <c r="V226" s="211">
        <f t="shared" si="150"/>
        <v>6.1521791140808304</v>
      </c>
      <c r="W226" s="211">
        <f t="shared" si="150"/>
        <v>6.0291355317992137</v>
      </c>
      <c r="X226" s="211">
        <f t="shared" si="150"/>
        <v>5.9085528211632292</v>
      </c>
      <c r="Y226" s="211">
        <f t="shared" si="150"/>
        <v>5.7903817647399647</v>
      </c>
      <c r="Z226" s="211">
        <f t="shared" si="150"/>
        <v>5.6745741294451655</v>
      </c>
      <c r="AA226" s="211">
        <f t="shared" si="150"/>
        <v>5.5610826468562617</v>
      </c>
      <c r="AB226" s="211">
        <f t="shared" si="150"/>
        <v>5.4498609939191365</v>
      </c>
      <c r="AC226" s="211">
        <f t="shared" si="150"/>
        <v>5.3408637740407539</v>
      </c>
      <c r="AD226" s="211">
        <f t="shared" si="150"/>
        <v>5.2340464985599384</v>
      </c>
      <c r="AE226" s="211">
        <f t="shared" si="150"/>
        <v>5.1293655685887396</v>
      </c>
      <c r="AF226" s="211">
        <f t="shared" si="150"/>
        <v>5.0267782572169644</v>
      </c>
      <c r="AG226" s="211">
        <f t="shared" si="150"/>
        <v>4.9262426920726252</v>
      </c>
      <c r="AH226" s="211">
        <f t="shared" si="150"/>
        <v>4.8277178382311723</v>
      </c>
      <c r="AI226" s="211">
        <f t="shared" si="150"/>
        <v>4.7311634814665489</v>
      </c>
      <c r="AJ226" s="211">
        <f t="shared" si="150"/>
        <v>4.6365402118372181</v>
      </c>
      <c r="AK226" s="211">
        <f t="shared" si="150"/>
        <v>4.5438094076004738</v>
      </c>
      <c r="AL226" s="211">
        <f t="shared" si="150"/>
        <v>4.4529332194484645</v>
      </c>
      <c r="AM226" s="211">
        <f t="shared" si="150"/>
        <v>4.3638745550594953</v>
      </c>
      <c r="AN226" s="211">
        <f t="shared" si="150"/>
        <v>4.2765970639583051</v>
      </c>
    </row>
    <row r="227" spans="2:40" ht="12" hidden="1" customHeight="1" outlineLevel="2">
      <c r="B227" s="245"/>
      <c r="C227" s="250" t="s">
        <v>753</v>
      </c>
      <c r="D227" s="250"/>
      <c r="E227" s="211">
        <f>INDEX($C$199:$AN$221,MATCH("New Customers One-Time",$C$199:$C$221,0),MATCH($C227,$C$199:$AN$199,0))</f>
        <v>34</v>
      </c>
      <c r="F227" s="211">
        <f t="shared" ref="F227:AN227" si="151">$E$227*(E225)</f>
        <v>0</v>
      </c>
      <c r="G227" s="211">
        <f t="shared" si="151"/>
        <v>0</v>
      </c>
      <c r="H227" s="211">
        <f t="shared" si="151"/>
        <v>0</v>
      </c>
      <c r="I227" s="211">
        <f t="shared" si="151"/>
        <v>0</v>
      </c>
      <c r="J227" s="211">
        <f t="shared" si="151"/>
        <v>0</v>
      </c>
      <c r="K227" s="211">
        <f t="shared" si="151"/>
        <v>0</v>
      </c>
      <c r="L227" s="211">
        <f t="shared" si="151"/>
        <v>0</v>
      </c>
      <c r="M227" s="211">
        <f t="shared" si="151"/>
        <v>0</v>
      </c>
      <c r="N227" s="211">
        <f t="shared" si="151"/>
        <v>0</v>
      </c>
      <c r="O227" s="211">
        <f t="shared" si="151"/>
        <v>0</v>
      </c>
      <c r="P227" s="211">
        <f t="shared" si="151"/>
        <v>0</v>
      </c>
      <c r="Q227" s="211">
        <f t="shared" si="151"/>
        <v>0</v>
      </c>
      <c r="R227" s="211">
        <f t="shared" si="151"/>
        <v>0</v>
      </c>
      <c r="S227" s="211">
        <f t="shared" si="151"/>
        <v>0</v>
      </c>
      <c r="T227" s="211">
        <f t="shared" si="151"/>
        <v>0</v>
      </c>
      <c r="U227" s="211">
        <f t="shared" si="151"/>
        <v>0</v>
      </c>
      <c r="V227" s="211">
        <f t="shared" si="151"/>
        <v>0</v>
      </c>
      <c r="W227" s="211">
        <f t="shared" si="151"/>
        <v>0</v>
      </c>
      <c r="X227" s="211">
        <f t="shared" si="151"/>
        <v>0</v>
      </c>
      <c r="Y227" s="211">
        <f t="shared" si="151"/>
        <v>0</v>
      </c>
      <c r="Z227" s="211">
        <f t="shared" si="151"/>
        <v>0</v>
      </c>
      <c r="AA227" s="211">
        <f t="shared" si="151"/>
        <v>0</v>
      </c>
      <c r="AB227" s="211">
        <f t="shared" si="151"/>
        <v>0</v>
      </c>
      <c r="AC227" s="211">
        <f t="shared" si="151"/>
        <v>0</v>
      </c>
      <c r="AD227" s="211">
        <f t="shared" si="151"/>
        <v>0</v>
      </c>
      <c r="AE227" s="211">
        <f t="shared" si="151"/>
        <v>0</v>
      </c>
      <c r="AF227" s="211">
        <f t="shared" si="151"/>
        <v>0</v>
      </c>
      <c r="AG227" s="211">
        <f t="shared" si="151"/>
        <v>0</v>
      </c>
      <c r="AH227" s="211">
        <f t="shared" si="151"/>
        <v>0</v>
      </c>
      <c r="AI227" s="211">
        <f t="shared" si="151"/>
        <v>0</v>
      </c>
      <c r="AJ227" s="211">
        <f t="shared" si="151"/>
        <v>0</v>
      </c>
      <c r="AK227" s="211">
        <f t="shared" si="151"/>
        <v>0</v>
      </c>
      <c r="AL227" s="211">
        <f t="shared" si="151"/>
        <v>0</v>
      </c>
      <c r="AM227" s="211">
        <f t="shared" si="151"/>
        <v>0</v>
      </c>
      <c r="AN227" s="211">
        <f t="shared" si="151"/>
        <v>0</v>
      </c>
    </row>
    <row r="228" spans="2:40" ht="12" hidden="1" customHeight="1" outlineLevel="2">
      <c r="B228" s="245"/>
      <c r="C228" s="250" t="s">
        <v>754</v>
      </c>
      <c r="D228" s="250"/>
      <c r="E228" s="213"/>
      <c r="F228" s="211">
        <f>INDEX($C$199:$AN$221,MATCH("New Customers One-Time",$C$199:$C$221,0),MATCH($C228,$C$199:$AN$199,0))</f>
        <v>34</v>
      </c>
      <c r="G228" s="211">
        <f t="shared" ref="G228:AN228" si="152">$F$228*(E225)</f>
        <v>0</v>
      </c>
      <c r="H228" s="211">
        <f t="shared" si="152"/>
        <v>0</v>
      </c>
      <c r="I228" s="211">
        <f t="shared" si="152"/>
        <v>0</v>
      </c>
      <c r="J228" s="211">
        <f t="shared" si="152"/>
        <v>0</v>
      </c>
      <c r="K228" s="211">
        <f t="shared" si="152"/>
        <v>0</v>
      </c>
      <c r="L228" s="211">
        <f t="shared" si="152"/>
        <v>0</v>
      </c>
      <c r="M228" s="211">
        <f t="shared" si="152"/>
        <v>0</v>
      </c>
      <c r="N228" s="211">
        <f t="shared" si="152"/>
        <v>0</v>
      </c>
      <c r="O228" s="211">
        <f t="shared" si="152"/>
        <v>0</v>
      </c>
      <c r="P228" s="211">
        <f t="shared" si="152"/>
        <v>0</v>
      </c>
      <c r="Q228" s="211">
        <f t="shared" si="152"/>
        <v>0</v>
      </c>
      <c r="R228" s="211">
        <f t="shared" si="152"/>
        <v>0</v>
      </c>
      <c r="S228" s="211">
        <f t="shared" si="152"/>
        <v>0</v>
      </c>
      <c r="T228" s="211">
        <f t="shared" si="152"/>
        <v>0</v>
      </c>
      <c r="U228" s="211">
        <f t="shared" si="152"/>
        <v>0</v>
      </c>
      <c r="V228" s="211">
        <f t="shared" si="152"/>
        <v>0</v>
      </c>
      <c r="W228" s="211">
        <f t="shared" si="152"/>
        <v>0</v>
      </c>
      <c r="X228" s="211">
        <f t="shared" si="152"/>
        <v>0</v>
      </c>
      <c r="Y228" s="211">
        <f t="shared" si="152"/>
        <v>0</v>
      </c>
      <c r="Z228" s="211">
        <f t="shared" si="152"/>
        <v>0</v>
      </c>
      <c r="AA228" s="211">
        <f t="shared" si="152"/>
        <v>0</v>
      </c>
      <c r="AB228" s="211">
        <f t="shared" si="152"/>
        <v>0</v>
      </c>
      <c r="AC228" s="211">
        <f t="shared" si="152"/>
        <v>0</v>
      </c>
      <c r="AD228" s="211">
        <f t="shared" si="152"/>
        <v>0</v>
      </c>
      <c r="AE228" s="211">
        <f t="shared" si="152"/>
        <v>0</v>
      </c>
      <c r="AF228" s="211">
        <f t="shared" si="152"/>
        <v>0</v>
      </c>
      <c r="AG228" s="211">
        <f t="shared" si="152"/>
        <v>0</v>
      </c>
      <c r="AH228" s="211">
        <f t="shared" si="152"/>
        <v>0</v>
      </c>
      <c r="AI228" s="211">
        <f t="shared" si="152"/>
        <v>0</v>
      </c>
      <c r="AJ228" s="211">
        <f t="shared" si="152"/>
        <v>0</v>
      </c>
      <c r="AK228" s="211">
        <f t="shared" si="152"/>
        <v>0</v>
      </c>
      <c r="AL228" s="211">
        <f t="shared" si="152"/>
        <v>0</v>
      </c>
      <c r="AM228" s="211">
        <f t="shared" si="152"/>
        <v>0</v>
      </c>
      <c r="AN228" s="211">
        <f t="shared" si="152"/>
        <v>0</v>
      </c>
    </row>
    <row r="229" spans="2:40" ht="12" hidden="1" customHeight="1" outlineLevel="2">
      <c r="B229" s="245"/>
      <c r="C229" s="250" t="s">
        <v>755</v>
      </c>
      <c r="D229" s="250"/>
      <c r="E229" s="213"/>
      <c r="G229" s="211">
        <f>INDEX($C$199:$AN$221,MATCH("New Customers One-Time",$C$199:$C$221,0),MATCH($C229,$C$199:$AN$199,0))</f>
        <v>26</v>
      </c>
      <c r="H229" s="211">
        <f t="shared" ref="H229:AN229" si="153">$G$229*(E225)</f>
        <v>0</v>
      </c>
      <c r="I229" s="211">
        <f t="shared" si="153"/>
        <v>0</v>
      </c>
      <c r="J229" s="211">
        <f t="shared" si="153"/>
        <v>0</v>
      </c>
      <c r="K229" s="211">
        <f t="shared" si="153"/>
        <v>0</v>
      </c>
      <c r="L229" s="211">
        <f t="shared" si="153"/>
        <v>0</v>
      </c>
      <c r="M229" s="211">
        <f t="shared" si="153"/>
        <v>0</v>
      </c>
      <c r="N229" s="211">
        <f t="shared" si="153"/>
        <v>0</v>
      </c>
      <c r="O229" s="211">
        <f t="shared" si="153"/>
        <v>0</v>
      </c>
      <c r="P229" s="211">
        <f t="shared" si="153"/>
        <v>0</v>
      </c>
      <c r="Q229" s="211">
        <f t="shared" si="153"/>
        <v>0</v>
      </c>
      <c r="R229" s="211">
        <f t="shared" si="153"/>
        <v>0</v>
      </c>
      <c r="S229" s="211">
        <f t="shared" si="153"/>
        <v>0</v>
      </c>
      <c r="T229" s="211">
        <f t="shared" si="153"/>
        <v>0</v>
      </c>
      <c r="U229" s="211">
        <f t="shared" si="153"/>
        <v>0</v>
      </c>
      <c r="V229" s="211">
        <f t="shared" si="153"/>
        <v>0</v>
      </c>
      <c r="W229" s="211">
        <f t="shared" si="153"/>
        <v>0</v>
      </c>
      <c r="X229" s="211">
        <f t="shared" si="153"/>
        <v>0</v>
      </c>
      <c r="Y229" s="211">
        <f t="shared" si="153"/>
        <v>0</v>
      </c>
      <c r="Z229" s="211">
        <f t="shared" si="153"/>
        <v>0</v>
      </c>
      <c r="AA229" s="211">
        <f t="shared" si="153"/>
        <v>0</v>
      </c>
      <c r="AB229" s="211">
        <f t="shared" si="153"/>
        <v>0</v>
      </c>
      <c r="AC229" s="211">
        <f t="shared" si="153"/>
        <v>0</v>
      </c>
      <c r="AD229" s="211">
        <f t="shared" si="153"/>
        <v>0</v>
      </c>
      <c r="AE229" s="211">
        <f t="shared" si="153"/>
        <v>0</v>
      </c>
      <c r="AF229" s="211">
        <f t="shared" si="153"/>
        <v>0</v>
      </c>
      <c r="AG229" s="211">
        <f t="shared" si="153"/>
        <v>0</v>
      </c>
      <c r="AH229" s="211">
        <f t="shared" si="153"/>
        <v>0</v>
      </c>
      <c r="AI229" s="211">
        <f t="shared" si="153"/>
        <v>0</v>
      </c>
      <c r="AJ229" s="211">
        <f t="shared" si="153"/>
        <v>0</v>
      </c>
      <c r="AK229" s="211">
        <f t="shared" si="153"/>
        <v>0</v>
      </c>
      <c r="AL229" s="211">
        <f t="shared" si="153"/>
        <v>0</v>
      </c>
      <c r="AM229" s="211">
        <f t="shared" si="153"/>
        <v>0</v>
      </c>
      <c r="AN229" s="211">
        <f t="shared" si="153"/>
        <v>0</v>
      </c>
    </row>
    <row r="230" spans="2:40" ht="12" hidden="1" customHeight="1" outlineLevel="2">
      <c r="B230" s="245"/>
      <c r="C230" s="250" t="s">
        <v>756</v>
      </c>
      <c r="D230" s="250"/>
      <c r="E230" s="213"/>
      <c r="F230" s="213"/>
      <c r="G230" s="213"/>
      <c r="H230" s="211">
        <f>INDEX($C$199:$AN$221,MATCH("New Customers One-Time",$C$199:$C$221,0),MATCH($C230,$C$199:$AN$199,0))</f>
        <v>13</v>
      </c>
      <c r="I230" s="211">
        <f t="shared" ref="I230:AN230" si="154">$H$230*(E225)</f>
        <v>0</v>
      </c>
      <c r="J230" s="211">
        <f t="shared" si="154"/>
        <v>0</v>
      </c>
      <c r="K230" s="211">
        <f t="shared" si="154"/>
        <v>0</v>
      </c>
      <c r="L230" s="211">
        <f t="shared" si="154"/>
        <v>0</v>
      </c>
      <c r="M230" s="211">
        <f t="shared" si="154"/>
        <v>0</v>
      </c>
      <c r="N230" s="211">
        <f t="shared" si="154"/>
        <v>0</v>
      </c>
      <c r="O230" s="211">
        <f t="shared" si="154"/>
        <v>0</v>
      </c>
      <c r="P230" s="211">
        <f t="shared" si="154"/>
        <v>0</v>
      </c>
      <c r="Q230" s="211">
        <f t="shared" si="154"/>
        <v>0</v>
      </c>
      <c r="R230" s="211">
        <f t="shared" si="154"/>
        <v>0</v>
      </c>
      <c r="S230" s="211">
        <f t="shared" si="154"/>
        <v>0</v>
      </c>
      <c r="T230" s="211">
        <f t="shared" si="154"/>
        <v>0</v>
      </c>
      <c r="U230" s="211">
        <f t="shared" si="154"/>
        <v>0</v>
      </c>
      <c r="V230" s="211">
        <f t="shared" si="154"/>
        <v>0</v>
      </c>
      <c r="W230" s="211">
        <f t="shared" si="154"/>
        <v>0</v>
      </c>
      <c r="X230" s="211">
        <f t="shared" si="154"/>
        <v>0</v>
      </c>
      <c r="Y230" s="211">
        <f t="shared" si="154"/>
        <v>0</v>
      </c>
      <c r="Z230" s="211">
        <f t="shared" si="154"/>
        <v>0</v>
      </c>
      <c r="AA230" s="211">
        <f t="shared" si="154"/>
        <v>0</v>
      </c>
      <c r="AB230" s="211">
        <f t="shared" si="154"/>
        <v>0</v>
      </c>
      <c r="AC230" s="211">
        <f t="shared" si="154"/>
        <v>0</v>
      </c>
      <c r="AD230" s="211">
        <f t="shared" si="154"/>
        <v>0</v>
      </c>
      <c r="AE230" s="211">
        <f t="shared" si="154"/>
        <v>0</v>
      </c>
      <c r="AF230" s="211">
        <f t="shared" si="154"/>
        <v>0</v>
      </c>
      <c r="AG230" s="211">
        <f t="shared" si="154"/>
        <v>0</v>
      </c>
      <c r="AH230" s="211">
        <f t="shared" si="154"/>
        <v>0</v>
      </c>
      <c r="AI230" s="211">
        <f t="shared" si="154"/>
        <v>0</v>
      </c>
      <c r="AJ230" s="211">
        <f t="shared" si="154"/>
        <v>0</v>
      </c>
      <c r="AK230" s="211">
        <f t="shared" si="154"/>
        <v>0</v>
      </c>
      <c r="AL230" s="211">
        <f t="shared" si="154"/>
        <v>0</v>
      </c>
      <c r="AM230" s="211">
        <f t="shared" si="154"/>
        <v>0</v>
      </c>
      <c r="AN230" s="211">
        <f t="shared" si="154"/>
        <v>0</v>
      </c>
    </row>
    <row r="231" spans="2:40" ht="12" hidden="1" customHeight="1" outlineLevel="2">
      <c r="B231" s="245"/>
      <c r="C231" s="250" t="s">
        <v>757</v>
      </c>
      <c r="D231" s="250"/>
      <c r="E231" s="213"/>
      <c r="F231" s="213"/>
      <c r="G231" s="213"/>
      <c r="H231" s="213"/>
      <c r="I231" s="211">
        <f>INDEX($C$199:$AN$221,MATCH("New Customers One-Time",$C$199:$C$221,0),MATCH($C231,$C$199:$AN$199,0))</f>
        <v>61.999999999999993</v>
      </c>
      <c r="J231" s="211">
        <f t="shared" ref="J231:AN231" si="155">$I$231*(E225)</f>
        <v>0</v>
      </c>
      <c r="K231" s="211">
        <f t="shared" si="155"/>
        <v>0</v>
      </c>
      <c r="L231" s="211">
        <f t="shared" si="155"/>
        <v>0</v>
      </c>
      <c r="M231" s="211">
        <f t="shared" si="155"/>
        <v>0</v>
      </c>
      <c r="N231" s="211">
        <f t="shared" si="155"/>
        <v>0</v>
      </c>
      <c r="O231" s="211">
        <f t="shared" si="155"/>
        <v>0</v>
      </c>
      <c r="P231" s="211">
        <f t="shared" si="155"/>
        <v>0</v>
      </c>
      <c r="Q231" s="211">
        <f t="shared" si="155"/>
        <v>0</v>
      </c>
      <c r="R231" s="211">
        <f t="shared" si="155"/>
        <v>0</v>
      </c>
      <c r="S231" s="211">
        <f t="shared" si="155"/>
        <v>0</v>
      </c>
      <c r="T231" s="211">
        <f t="shared" si="155"/>
        <v>0</v>
      </c>
      <c r="U231" s="211">
        <f t="shared" si="155"/>
        <v>0</v>
      </c>
      <c r="V231" s="211">
        <f t="shared" si="155"/>
        <v>0</v>
      </c>
      <c r="W231" s="211">
        <f t="shared" si="155"/>
        <v>0</v>
      </c>
      <c r="X231" s="211">
        <f t="shared" si="155"/>
        <v>0</v>
      </c>
      <c r="Y231" s="211">
        <f t="shared" si="155"/>
        <v>0</v>
      </c>
      <c r="Z231" s="211">
        <f t="shared" si="155"/>
        <v>0</v>
      </c>
      <c r="AA231" s="211">
        <f t="shared" si="155"/>
        <v>0</v>
      </c>
      <c r="AB231" s="211">
        <f t="shared" si="155"/>
        <v>0</v>
      </c>
      <c r="AC231" s="211">
        <f t="shared" si="155"/>
        <v>0</v>
      </c>
      <c r="AD231" s="211">
        <f t="shared" si="155"/>
        <v>0</v>
      </c>
      <c r="AE231" s="211">
        <f t="shared" si="155"/>
        <v>0</v>
      </c>
      <c r="AF231" s="211">
        <f t="shared" si="155"/>
        <v>0</v>
      </c>
      <c r="AG231" s="211">
        <f t="shared" si="155"/>
        <v>0</v>
      </c>
      <c r="AH231" s="211">
        <f t="shared" si="155"/>
        <v>0</v>
      </c>
      <c r="AI231" s="211">
        <f t="shared" si="155"/>
        <v>0</v>
      </c>
      <c r="AJ231" s="211">
        <f t="shared" si="155"/>
        <v>0</v>
      </c>
      <c r="AK231" s="211">
        <f t="shared" si="155"/>
        <v>0</v>
      </c>
      <c r="AL231" s="211">
        <f t="shared" si="155"/>
        <v>0</v>
      </c>
      <c r="AM231" s="211">
        <f t="shared" si="155"/>
        <v>0</v>
      </c>
      <c r="AN231" s="211">
        <f t="shared" si="155"/>
        <v>0</v>
      </c>
    </row>
    <row r="232" spans="2:40" ht="12" hidden="1" customHeight="1" outlineLevel="2">
      <c r="B232" s="245"/>
      <c r="C232" s="250" t="s">
        <v>758</v>
      </c>
      <c r="D232" s="250"/>
      <c r="E232" s="213"/>
      <c r="F232" s="213"/>
      <c r="G232" s="213"/>
      <c r="H232" s="213"/>
      <c r="I232" s="213"/>
      <c r="J232" s="211">
        <f>INDEX($C$199:$AN$221,MATCH("New Customers One-Time",$C$199:$C$221,0),MATCH($C232,$C$199:$AN$199,0))</f>
        <v>83</v>
      </c>
      <c r="K232" s="211">
        <f t="shared" ref="K232:AN232" si="156">$J$232*(E225)</f>
        <v>0</v>
      </c>
      <c r="L232" s="211">
        <f t="shared" si="156"/>
        <v>0</v>
      </c>
      <c r="M232" s="211">
        <f t="shared" si="156"/>
        <v>0</v>
      </c>
      <c r="N232" s="211">
        <f t="shared" si="156"/>
        <v>0</v>
      </c>
      <c r="O232" s="211">
        <f t="shared" si="156"/>
        <v>0</v>
      </c>
      <c r="P232" s="211">
        <f t="shared" si="156"/>
        <v>0</v>
      </c>
      <c r="Q232" s="211">
        <f t="shared" si="156"/>
        <v>0</v>
      </c>
      <c r="R232" s="211">
        <f t="shared" si="156"/>
        <v>0</v>
      </c>
      <c r="S232" s="211">
        <f t="shared" si="156"/>
        <v>0</v>
      </c>
      <c r="T232" s="211">
        <f t="shared" si="156"/>
        <v>0</v>
      </c>
      <c r="U232" s="211">
        <f t="shared" si="156"/>
        <v>0</v>
      </c>
      <c r="V232" s="211">
        <f t="shared" si="156"/>
        <v>0</v>
      </c>
      <c r="W232" s="211">
        <f t="shared" si="156"/>
        <v>0</v>
      </c>
      <c r="X232" s="211">
        <f t="shared" si="156"/>
        <v>0</v>
      </c>
      <c r="Y232" s="211">
        <f t="shared" si="156"/>
        <v>0</v>
      </c>
      <c r="Z232" s="211">
        <f t="shared" si="156"/>
        <v>0</v>
      </c>
      <c r="AA232" s="211">
        <f t="shared" si="156"/>
        <v>0</v>
      </c>
      <c r="AB232" s="211">
        <f t="shared" si="156"/>
        <v>0</v>
      </c>
      <c r="AC232" s="211">
        <f t="shared" si="156"/>
        <v>0</v>
      </c>
      <c r="AD232" s="211">
        <f t="shared" si="156"/>
        <v>0</v>
      </c>
      <c r="AE232" s="211">
        <f t="shared" si="156"/>
        <v>0</v>
      </c>
      <c r="AF232" s="211">
        <f t="shared" si="156"/>
        <v>0</v>
      </c>
      <c r="AG232" s="211">
        <f t="shared" si="156"/>
        <v>0</v>
      </c>
      <c r="AH232" s="211">
        <f t="shared" si="156"/>
        <v>0</v>
      </c>
      <c r="AI232" s="211">
        <f t="shared" si="156"/>
        <v>0</v>
      </c>
      <c r="AJ232" s="211">
        <f t="shared" si="156"/>
        <v>0</v>
      </c>
      <c r="AK232" s="211">
        <f t="shared" si="156"/>
        <v>0</v>
      </c>
      <c r="AL232" s="211">
        <f t="shared" si="156"/>
        <v>0</v>
      </c>
      <c r="AM232" s="211">
        <f t="shared" si="156"/>
        <v>0</v>
      </c>
      <c r="AN232" s="211">
        <f t="shared" si="156"/>
        <v>0</v>
      </c>
    </row>
    <row r="233" spans="2:40" ht="12" hidden="1" customHeight="1" outlineLevel="2">
      <c r="B233" s="245"/>
      <c r="C233" s="250" t="s">
        <v>759</v>
      </c>
      <c r="D233" s="250"/>
      <c r="E233" s="213"/>
      <c r="F233" s="213"/>
      <c r="G233" s="213"/>
      <c r="H233" s="213"/>
      <c r="I233" s="213"/>
      <c r="J233" s="213"/>
      <c r="K233" s="211">
        <f>INDEX($C$199:$AN$221,MATCH("New Customers One-Time",$C$199:$C$221,0),MATCH($C233,$C$199:$AN$199,0))</f>
        <v>45</v>
      </c>
      <c r="L233" s="211">
        <f t="shared" ref="L233:AN233" si="157">$K$233*(E225)</f>
        <v>0</v>
      </c>
      <c r="M233" s="211">
        <f t="shared" si="157"/>
        <v>0</v>
      </c>
      <c r="N233" s="211">
        <f t="shared" si="157"/>
        <v>0</v>
      </c>
      <c r="O233" s="211">
        <f t="shared" si="157"/>
        <v>0</v>
      </c>
      <c r="P233" s="211">
        <f t="shared" si="157"/>
        <v>0</v>
      </c>
      <c r="Q233" s="211">
        <f t="shared" si="157"/>
        <v>0</v>
      </c>
      <c r="R233" s="211">
        <f t="shared" si="157"/>
        <v>0</v>
      </c>
      <c r="S233" s="211">
        <f t="shared" si="157"/>
        <v>0</v>
      </c>
      <c r="T233" s="211">
        <f t="shared" si="157"/>
        <v>0</v>
      </c>
      <c r="U233" s="211">
        <f t="shared" si="157"/>
        <v>0</v>
      </c>
      <c r="V233" s="211">
        <f t="shared" si="157"/>
        <v>0</v>
      </c>
      <c r="W233" s="211">
        <f t="shared" si="157"/>
        <v>0</v>
      </c>
      <c r="X233" s="211">
        <f t="shared" si="157"/>
        <v>0</v>
      </c>
      <c r="Y233" s="211">
        <f t="shared" si="157"/>
        <v>0</v>
      </c>
      <c r="Z233" s="211">
        <f t="shared" si="157"/>
        <v>0</v>
      </c>
      <c r="AA233" s="211">
        <f t="shared" si="157"/>
        <v>0</v>
      </c>
      <c r="AB233" s="211">
        <f t="shared" si="157"/>
        <v>0</v>
      </c>
      <c r="AC233" s="211">
        <f t="shared" si="157"/>
        <v>0</v>
      </c>
      <c r="AD233" s="211">
        <f t="shared" si="157"/>
        <v>0</v>
      </c>
      <c r="AE233" s="211">
        <f t="shared" si="157"/>
        <v>0</v>
      </c>
      <c r="AF233" s="211">
        <f t="shared" si="157"/>
        <v>0</v>
      </c>
      <c r="AG233" s="211">
        <f t="shared" si="157"/>
        <v>0</v>
      </c>
      <c r="AH233" s="211">
        <f t="shared" si="157"/>
        <v>0</v>
      </c>
      <c r="AI233" s="211">
        <f t="shared" si="157"/>
        <v>0</v>
      </c>
      <c r="AJ233" s="211">
        <f t="shared" si="157"/>
        <v>0</v>
      </c>
      <c r="AK233" s="211">
        <f t="shared" si="157"/>
        <v>0</v>
      </c>
      <c r="AL233" s="211">
        <f t="shared" si="157"/>
        <v>0</v>
      </c>
      <c r="AM233" s="211">
        <f t="shared" si="157"/>
        <v>0</v>
      </c>
      <c r="AN233" s="211">
        <f t="shared" si="157"/>
        <v>0</v>
      </c>
    </row>
    <row r="234" spans="2:40" ht="12" hidden="1" customHeight="1" outlineLevel="2">
      <c r="B234" s="245"/>
      <c r="C234" s="250" t="s">
        <v>760</v>
      </c>
      <c r="D234" s="250"/>
      <c r="E234" s="213"/>
      <c r="F234" s="213"/>
      <c r="G234" s="213"/>
      <c r="H234" s="213"/>
      <c r="I234" s="213"/>
      <c r="J234" s="213"/>
      <c r="K234" s="213"/>
      <c r="L234" s="211">
        <f>INDEX($C$199:$AN$221,MATCH("New Customers One-Time",$C$199:$C$221,0),MATCH($C234,$C$199:$AN$199,0))</f>
        <v>0</v>
      </c>
      <c r="M234" s="211">
        <f t="shared" ref="M234:AN234" si="158">$L$234*(E225)</f>
        <v>0</v>
      </c>
      <c r="N234" s="211">
        <f t="shared" si="158"/>
        <v>0</v>
      </c>
      <c r="O234" s="211">
        <f t="shared" si="158"/>
        <v>0</v>
      </c>
      <c r="P234" s="211">
        <f t="shared" si="158"/>
        <v>0</v>
      </c>
      <c r="Q234" s="211">
        <f t="shared" si="158"/>
        <v>0</v>
      </c>
      <c r="R234" s="211">
        <f t="shared" si="158"/>
        <v>0</v>
      </c>
      <c r="S234" s="211">
        <f t="shared" si="158"/>
        <v>0</v>
      </c>
      <c r="T234" s="211">
        <f t="shared" si="158"/>
        <v>0</v>
      </c>
      <c r="U234" s="211">
        <f t="shared" si="158"/>
        <v>0</v>
      </c>
      <c r="V234" s="211">
        <f t="shared" si="158"/>
        <v>0</v>
      </c>
      <c r="W234" s="211">
        <f t="shared" si="158"/>
        <v>0</v>
      </c>
      <c r="X234" s="211">
        <f t="shared" si="158"/>
        <v>0</v>
      </c>
      <c r="Y234" s="211">
        <f t="shared" si="158"/>
        <v>0</v>
      </c>
      <c r="Z234" s="211">
        <f t="shared" si="158"/>
        <v>0</v>
      </c>
      <c r="AA234" s="211">
        <f t="shared" si="158"/>
        <v>0</v>
      </c>
      <c r="AB234" s="211">
        <f t="shared" si="158"/>
        <v>0</v>
      </c>
      <c r="AC234" s="211">
        <f t="shared" si="158"/>
        <v>0</v>
      </c>
      <c r="AD234" s="211">
        <f t="shared" si="158"/>
        <v>0</v>
      </c>
      <c r="AE234" s="211">
        <f t="shared" si="158"/>
        <v>0</v>
      </c>
      <c r="AF234" s="211">
        <f t="shared" si="158"/>
        <v>0</v>
      </c>
      <c r="AG234" s="211">
        <f t="shared" si="158"/>
        <v>0</v>
      </c>
      <c r="AH234" s="211">
        <f t="shared" si="158"/>
        <v>0</v>
      </c>
      <c r="AI234" s="211">
        <f t="shared" si="158"/>
        <v>0</v>
      </c>
      <c r="AJ234" s="211">
        <f t="shared" si="158"/>
        <v>0</v>
      </c>
      <c r="AK234" s="211">
        <f t="shared" si="158"/>
        <v>0</v>
      </c>
      <c r="AL234" s="211">
        <f t="shared" si="158"/>
        <v>0</v>
      </c>
      <c r="AM234" s="211">
        <f t="shared" si="158"/>
        <v>0</v>
      </c>
      <c r="AN234" s="211">
        <f t="shared" si="158"/>
        <v>0</v>
      </c>
    </row>
    <row r="235" spans="2:40" ht="12" hidden="1" customHeight="1" outlineLevel="2">
      <c r="B235" s="245"/>
      <c r="C235" s="250" t="s">
        <v>761</v>
      </c>
      <c r="D235" s="250"/>
      <c r="E235" s="213"/>
      <c r="F235" s="213"/>
      <c r="G235" s="213"/>
      <c r="H235" s="213"/>
      <c r="I235" s="213"/>
      <c r="J235" s="213"/>
      <c r="K235" s="213"/>
      <c r="L235" s="213"/>
      <c r="M235" s="211">
        <f>INDEX($C$199:$AN$221,MATCH("New Customers One-Time",$C$199:$C$221,0),MATCH($C235,$C$199:$AN$199,0))</f>
        <v>127.18548120560904</v>
      </c>
      <c r="N235" s="211">
        <f t="shared" ref="N235:AN235" si="159">$M$235*(E225)</f>
        <v>0</v>
      </c>
      <c r="O235" s="211">
        <f t="shared" si="159"/>
        <v>0</v>
      </c>
      <c r="P235" s="211">
        <f t="shared" si="159"/>
        <v>0</v>
      </c>
      <c r="Q235" s="211">
        <f t="shared" si="159"/>
        <v>0</v>
      </c>
      <c r="R235" s="211">
        <f t="shared" si="159"/>
        <v>0</v>
      </c>
      <c r="S235" s="211">
        <f t="shared" si="159"/>
        <v>0</v>
      </c>
      <c r="T235" s="211">
        <f t="shared" si="159"/>
        <v>0</v>
      </c>
      <c r="U235" s="211">
        <f t="shared" si="159"/>
        <v>0</v>
      </c>
      <c r="V235" s="211">
        <f t="shared" si="159"/>
        <v>0</v>
      </c>
      <c r="W235" s="211">
        <f t="shared" si="159"/>
        <v>0</v>
      </c>
      <c r="X235" s="211">
        <f t="shared" si="159"/>
        <v>0</v>
      </c>
      <c r="Y235" s="211">
        <f t="shared" si="159"/>
        <v>0</v>
      </c>
      <c r="Z235" s="211">
        <f t="shared" si="159"/>
        <v>0</v>
      </c>
      <c r="AA235" s="211">
        <f t="shared" si="159"/>
        <v>0</v>
      </c>
      <c r="AB235" s="211">
        <f t="shared" si="159"/>
        <v>0</v>
      </c>
      <c r="AC235" s="211">
        <f t="shared" si="159"/>
        <v>0</v>
      </c>
      <c r="AD235" s="211">
        <f t="shared" si="159"/>
        <v>0</v>
      </c>
      <c r="AE235" s="211">
        <f t="shared" si="159"/>
        <v>0</v>
      </c>
      <c r="AF235" s="211">
        <f t="shared" si="159"/>
        <v>0</v>
      </c>
      <c r="AG235" s="211">
        <f t="shared" si="159"/>
        <v>0</v>
      </c>
      <c r="AH235" s="211">
        <f t="shared" si="159"/>
        <v>0</v>
      </c>
      <c r="AI235" s="211">
        <f t="shared" si="159"/>
        <v>0</v>
      </c>
      <c r="AJ235" s="211">
        <f t="shared" si="159"/>
        <v>0</v>
      </c>
      <c r="AK235" s="211">
        <f t="shared" si="159"/>
        <v>0</v>
      </c>
      <c r="AL235" s="211">
        <f t="shared" si="159"/>
        <v>0</v>
      </c>
      <c r="AM235" s="211">
        <f t="shared" si="159"/>
        <v>0</v>
      </c>
      <c r="AN235" s="211">
        <f t="shared" si="159"/>
        <v>0</v>
      </c>
    </row>
    <row r="236" spans="2:40" ht="12" hidden="1" customHeight="1" outlineLevel="2">
      <c r="B236" s="245"/>
      <c r="C236" s="250" t="s">
        <v>762</v>
      </c>
      <c r="D236" s="250"/>
      <c r="E236" s="213"/>
      <c r="F236" s="213"/>
      <c r="G236" s="213"/>
      <c r="H236" s="213"/>
      <c r="I236" s="213"/>
      <c r="J236" s="213"/>
      <c r="K236" s="213"/>
      <c r="L236" s="213"/>
      <c r="M236" s="213"/>
      <c r="N236" s="211">
        <f>INDEX($C$199:$AN$221,MATCH("New Customers One-Time",$C$199:$C$221,0),MATCH($C236,$C$199:$AN$199,0))</f>
        <v>118.10080397663698</v>
      </c>
      <c r="O236" s="211">
        <f t="shared" ref="O236:AN236" si="160">$N$236*(E225)</f>
        <v>0</v>
      </c>
      <c r="P236" s="211">
        <f t="shared" si="160"/>
        <v>0</v>
      </c>
      <c r="Q236" s="211">
        <f t="shared" si="160"/>
        <v>0</v>
      </c>
      <c r="R236" s="211">
        <f t="shared" si="160"/>
        <v>0</v>
      </c>
      <c r="S236" s="211">
        <f t="shared" si="160"/>
        <v>0</v>
      </c>
      <c r="T236" s="211">
        <f t="shared" si="160"/>
        <v>0</v>
      </c>
      <c r="U236" s="211">
        <f t="shared" si="160"/>
        <v>0</v>
      </c>
      <c r="V236" s="211">
        <f t="shared" si="160"/>
        <v>0</v>
      </c>
      <c r="W236" s="211">
        <f t="shared" si="160"/>
        <v>0</v>
      </c>
      <c r="X236" s="211">
        <f t="shared" si="160"/>
        <v>0</v>
      </c>
      <c r="Y236" s="211">
        <f t="shared" si="160"/>
        <v>0</v>
      </c>
      <c r="Z236" s="211">
        <f t="shared" si="160"/>
        <v>0</v>
      </c>
      <c r="AA236" s="211">
        <f t="shared" si="160"/>
        <v>0</v>
      </c>
      <c r="AB236" s="211">
        <f t="shared" si="160"/>
        <v>0</v>
      </c>
      <c r="AC236" s="211">
        <f t="shared" si="160"/>
        <v>0</v>
      </c>
      <c r="AD236" s="211">
        <f t="shared" si="160"/>
        <v>0</v>
      </c>
      <c r="AE236" s="211">
        <f t="shared" si="160"/>
        <v>0</v>
      </c>
      <c r="AF236" s="211">
        <f t="shared" si="160"/>
        <v>0</v>
      </c>
      <c r="AG236" s="211">
        <f t="shared" si="160"/>
        <v>0</v>
      </c>
      <c r="AH236" s="211">
        <f t="shared" si="160"/>
        <v>0</v>
      </c>
      <c r="AI236" s="211">
        <f t="shared" si="160"/>
        <v>0</v>
      </c>
      <c r="AJ236" s="211">
        <f t="shared" si="160"/>
        <v>0</v>
      </c>
      <c r="AK236" s="211">
        <f t="shared" si="160"/>
        <v>0</v>
      </c>
      <c r="AL236" s="211">
        <f t="shared" si="160"/>
        <v>0</v>
      </c>
      <c r="AM236" s="211">
        <f t="shared" si="160"/>
        <v>0</v>
      </c>
      <c r="AN236" s="211">
        <f t="shared" si="160"/>
        <v>0</v>
      </c>
    </row>
    <row r="237" spans="2:40" ht="12" hidden="1" customHeight="1" outlineLevel="2">
      <c r="B237" s="245"/>
      <c r="C237" s="250" t="s">
        <v>763</v>
      </c>
      <c r="D237" s="250"/>
      <c r="E237" s="213"/>
      <c r="F237" s="213"/>
      <c r="G237" s="213"/>
      <c r="H237" s="213"/>
      <c r="I237" s="213"/>
      <c r="J237" s="213"/>
      <c r="K237" s="213"/>
      <c r="L237" s="213"/>
      <c r="M237" s="213"/>
      <c r="N237" s="213"/>
      <c r="O237" s="211">
        <f>INDEX($C$199:$AN$221,MATCH("New Customers One-Time",$C$199:$C$221,0),MATCH($C237,$C$199:$AN$199,0))</f>
        <v>27.254031686916228</v>
      </c>
      <c r="P237" s="211">
        <f t="shared" ref="P237:AN237" si="161">$O$237*(E225)</f>
        <v>0</v>
      </c>
      <c r="Q237" s="211">
        <f t="shared" si="161"/>
        <v>0</v>
      </c>
      <c r="R237" s="211">
        <f t="shared" si="161"/>
        <v>0</v>
      </c>
      <c r="S237" s="211">
        <f t="shared" si="161"/>
        <v>0</v>
      </c>
      <c r="T237" s="211">
        <f t="shared" si="161"/>
        <v>0</v>
      </c>
      <c r="U237" s="211">
        <f t="shared" si="161"/>
        <v>0</v>
      </c>
      <c r="V237" s="211">
        <f t="shared" si="161"/>
        <v>0</v>
      </c>
      <c r="W237" s="211">
        <f t="shared" si="161"/>
        <v>0</v>
      </c>
      <c r="X237" s="211">
        <f t="shared" si="161"/>
        <v>0</v>
      </c>
      <c r="Y237" s="211">
        <f t="shared" si="161"/>
        <v>0</v>
      </c>
      <c r="Z237" s="211">
        <f t="shared" si="161"/>
        <v>0</v>
      </c>
      <c r="AA237" s="211">
        <f t="shared" si="161"/>
        <v>0</v>
      </c>
      <c r="AB237" s="211">
        <f t="shared" si="161"/>
        <v>0</v>
      </c>
      <c r="AC237" s="211">
        <f t="shared" si="161"/>
        <v>0</v>
      </c>
      <c r="AD237" s="211">
        <f t="shared" si="161"/>
        <v>0</v>
      </c>
      <c r="AE237" s="211">
        <f t="shared" si="161"/>
        <v>0</v>
      </c>
      <c r="AF237" s="211">
        <f t="shared" si="161"/>
        <v>0</v>
      </c>
      <c r="AG237" s="211">
        <f t="shared" si="161"/>
        <v>0</v>
      </c>
      <c r="AH237" s="211">
        <f t="shared" si="161"/>
        <v>0</v>
      </c>
      <c r="AI237" s="211">
        <f t="shared" si="161"/>
        <v>0</v>
      </c>
      <c r="AJ237" s="211">
        <f t="shared" si="161"/>
        <v>0</v>
      </c>
      <c r="AK237" s="211">
        <f t="shared" si="161"/>
        <v>0</v>
      </c>
      <c r="AL237" s="211">
        <f t="shared" si="161"/>
        <v>0</v>
      </c>
      <c r="AM237" s="211">
        <f t="shared" si="161"/>
        <v>0</v>
      </c>
      <c r="AN237" s="211">
        <f t="shared" si="161"/>
        <v>0</v>
      </c>
    </row>
    <row r="238" spans="2:40" ht="12" hidden="1" customHeight="1" outlineLevel="2">
      <c r="B238" s="245"/>
      <c r="C238" s="250" t="s">
        <v>764</v>
      </c>
      <c r="D238" s="250"/>
      <c r="E238" s="213"/>
      <c r="F238" s="213"/>
      <c r="G238" s="213"/>
      <c r="H238" s="213"/>
      <c r="I238" s="213"/>
      <c r="J238" s="213"/>
      <c r="K238" s="213"/>
      <c r="L238" s="213"/>
      <c r="M238" s="213"/>
      <c r="N238" s="213"/>
      <c r="O238" s="213"/>
      <c r="P238" s="211">
        <f>INDEX($C$199:$AN$221,MATCH("New Customers One-Time",$C$199:$C$221,0),MATCH($C238,$C$199:$AN$199,0))</f>
        <v>36.338708915888297</v>
      </c>
      <c r="Q238" s="211">
        <f t="shared" ref="Q238:AN238" si="162">$P$238*(E225)</f>
        <v>0</v>
      </c>
      <c r="R238" s="211">
        <f t="shared" si="162"/>
        <v>0</v>
      </c>
      <c r="S238" s="211">
        <f t="shared" si="162"/>
        <v>0</v>
      </c>
      <c r="T238" s="211">
        <f t="shared" si="162"/>
        <v>0</v>
      </c>
      <c r="U238" s="211">
        <f t="shared" si="162"/>
        <v>0</v>
      </c>
      <c r="V238" s="211">
        <f t="shared" si="162"/>
        <v>0</v>
      </c>
      <c r="W238" s="211">
        <f t="shared" si="162"/>
        <v>0</v>
      </c>
      <c r="X238" s="211">
        <f t="shared" si="162"/>
        <v>0</v>
      </c>
      <c r="Y238" s="211">
        <f t="shared" si="162"/>
        <v>0</v>
      </c>
      <c r="Z238" s="211">
        <f t="shared" si="162"/>
        <v>0</v>
      </c>
      <c r="AA238" s="211">
        <f t="shared" si="162"/>
        <v>0</v>
      </c>
      <c r="AB238" s="211">
        <f t="shared" si="162"/>
        <v>0</v>
      </c>
      <c r="AC238" s="211">
        <f t="shared" si="162"/>
        <v>0</v>
      </c>
      <c r="AD238" s="211">
        <f t="shared" si="162"/>
        <v>0</v>
      </c>
      <c r="AE238" s="211">
        <f t="shared" si="162"/>
        <v>0</v>
      </c>
      <c r="AF238" s="211">
        <f t="shared" si="162"/>
        <v>0</v>
      </c>
      <c r="AG238" s="211">
        <f t="shared" si="162"/>
        <v>0</v>
      </c>
      <c r="AH238" s="211">
        <f t="shared" si="162"/>
        <v>0</v>
      </c>
      <c r="AI238" s="211">
        <f t="shared" si="162"/>
        <v>0</v>
      </c>
      <c r="AJ238" s="211">
        <f t="shared" si="162"/>
        <v>0</v>
      </c>
      <c r="AK238" s="211">
        <f t="shared" si="162"/>
        <v>0</v>
      </c>
      <c r="AL238" s="211">
        <f t="shared" si="162"/>
        <v>0</v>
      </c>
      <c r="AM238" s="211">
        <f t="shared" si="162"/>
        <v>0</v>
      </c>
      <c r="AN238" s="211">
        <f t="shared" si="162"/>
        <v>0</v>
      </c>
    </row>
    <row r="239" spans="2:40" ht="12" hidden="1" customHeight="1" outlineLevel="2">
      <c r="B239" s="245"/>
      <c r="C239" s="250" t="s">
        <v>765</v>
      </c>
      <c r="D239" s="250"/>
      <c r="E239" s="213"/>
      <c r="F239" s="213"/>
      <c r="G239" s="213"/>
      <c r="H239" s="213"/>
      <c r="I239" s="213"/>
      <c r="J239" s="213"/>
      <c r="K239" s="213"/>
      <c r="L239" s="213"/>
      <c r="M239" s="213"/>
      <c r="N239" s="213"/>
      <c r="O239" s="213"/>
      <c r="P239" s="213"/>
      <c r="Q239" s="211">
        <f>INDEX($C$199:$AN$221,MATCH("New Customers One-Time",$C$199:$C$221,0),MATCH($C239,$C$199:$AN$199,0))</f>
        <v>37.584399857524957</v>
      </c>
      <c r="R239" s="211">
        <f t="shared" ref="R239:AN239" si="163">$Q$239*(E225)</f>
        <v>0</v>
      </c>
      <c r="S239" s="211">
        <f t="shared" si="163"/>
        <v>0</v>
      </c>
      <c r="T239" s="211">
        <f t="shared" si="163"/>
        <v>0</v>
      </c>
      <c r="U239" s="211">
        <f t="shared" si="163"/>
        <v>0</v>
      </c>
      <c r="V239" s="211">
        <f t="shared" si="163"/>
        <v>0</v>
      </c>
      <c r="W239" s="211">
        <f t="shared" si="163"/>
        <v>0</v>
      </c>
      <c r="X239" s="211">
        <f t="shared" si="163"/>
        <v>0</v>
      </c>
      <c r="Y239" s="211">
        <f t="shared" si="163"/>
        <v>0</v>
      </c>
      <c r="Z239" s="211">
        <f t="shared" si="163"/>
        <v>0</v>
      </c>
      <c r="AA239" s="211">
        <f t="shared" si="163"/>
        <v>0</v>
      </c>
      <c r="AB239" s="211">
        <f t="shared" si="163"/>
        <v>0</v>
      </c>
      <c r="AC239" s="211">
        <f t="shared" si="163"/>
        <v>0</v>
      </c>
      <c r="AD239" s="211">
        <f t="shared" si="163"/>
        <v>0</v>
      </c>
      <c r="AE239" s="211">
        <f t="shared" si="163"/>
        <v>0</v>
      </c>
      <c r="AF239" s="211">
        <f t="shared" si="163"/>
        <v>0</v>
      </c>
      <c r="AG239" s="211">
        <f t="shared" si="163"/>
        <v>0</v>
      </c>
      <c r="AH239" s="211">
        <f t="shared" si="163"/>
        <v>0</v>
      </c>
      <c r="AI239" s="211">
        <f t="shared" si="163"/>
        <v>0</v>
      </c>
      <c r="AJ239" s="211">
        <f t="shared" si="163"/>
        <v>0</v>
      </c>
      <c r="AK239" s="211">
        <f t="shared" si="163"/>
        <v>0</v>
      </c>
      <c r="AL239" s="211">
        <f t="shared" si="163"/>
        <v>0</v>
      </c>
      <c r="AM239" s="211">
        <f t="shared" si="163"/>
        <v>0</v>
      </c>
      <c r="AN239" s="211">
        <f t="shared" si="163"/>
        <v>0</v>
      </c>
    </row>
    <row r="240" spans="2:40" ht="12" hidden="1" customHeight="1" outlineLevel="2">
      <c r="B240" s="245"/>
      <c r="C240" s="250" t="s">
        <v>766</v>
      </c>
      <c r="D240" s="250"/>
      <c r="E240" s="213"/>
      <c r="F240" s="213"/>
      <c r="G240" s="213"/>
      <c r="H240" s="213"/>
      <c r="I240" s="213"/>
      <c r="J240" s="213"/>
      <c r="K240" s="213"/>
      <c r="L240" s="213"/>
      <c r="M240" s="213"/>
      <c r="N240" s="213"/>
      <c r="O240" s="213"/>
      <c r="P240" s="213"/>
      <c r="Q240" s="213"/>
      <c r="R240" s="211">
        <f>INDEX($C$199:$AN$221,MATCH("New Customers One-Time",$C$199:$C$221,0),MATCH($C240,$C$199:$AN$199,0))</f>
        <v>78.715094318151444</v>
      </c>
      <c r="S240" s="211">
        <f t="shared" ref="S240:AN240" si="164">$R$240*(E225)</f>
        <v>0</v>
      </c>
      <c r="T240" s="211">
        <f t="shared" si="164"/>
        <v>0</v>
      </c>
      <c r="U240" s="211">
        <f t="shared" si="164"/>
        <v>0</v>
      </c>
      <c r="V240" s="211">
        <f t="shared" si="164"/>
        <v>0</v>
      </c>
      <c r="W240" s="211">
        <f t="shared" si="164"/>
        <v>0</v>
      </c>
      <c r="X240" s="211">
        <f t="shared" si="164"/>
        <v>0</v>
      </c>
      <c r="Y240" s="211">
        <f t="shared" si="164"/>
        <v>0</v>
      </c>
      <c r="Z240" s="211">
        <f t="shared" si="164"/>
        <v>0</v>
      </c>
      <c r="AA240" s="211">
        <f t="shared" si="164"/>
        <v>0</v>
      </c>
      <c r="AB240" s="211">
        <f t="shared" si="164"/>
        <v>0</v>
      </c>
      <c r="AC240" s="211">
        <f t="shared" si="164"/>
        <v>0</v>
      </c>
      <c r="AD240" s="211">
        <f t="shared" si="164"/>
        <v>0</v>
      </c>
      <c r="AE240" s="211">
        <f t="shared" si="164"/>
        <v>0</v>
      </c>
      <c r="AF240" s="211">
        <f t="shared" si="164"/>
        <v>0</v>
      </c>
      <c r="AG240" s="211">
        <f t="shared" si="164"/>
        <v>0</v>
      </c>
      <c r="AH240" s="211">
        <f t="shared" si="164"/>
        <v>0</v>
      </c>
      <c r="AI240" s="211">
        <f t="shared" si="164"/>
        <v>0</v>
      </c>
      <c r="AJ240" s="211">
        <f t="shared" si="164"/>
        <v>0</v>
      </c>
      <c r="AK240" s="211">
        <f t="shared" si="164"/>
        <v>0</v>
      </c>
      <c r="AL240" s="211">
        <f t="shared" si="164"/>
        <v>0</v>
      </c>
      <c r="AM240" s="211">
        <f t="shared" si="164"/>
        <v>0</v>
      </c>
      <c r="AN240" s="211">
        <f t="shared" si="164"/>
        <v>0</v>
      </c>
    </row>
    <row r="241" spans="2:41" ht="12" hidden="1" customHeight="1" outlineLevel="2">
      <c r="B241" s="245"/>
      <c r="C241" s="250" t="s">
        <v>767</v>
      </c>
      <c r="D241" s="250"/>
      <c r="E241" s="213"/>
      <c r="F241" s="213"/>
      <c r="G241" s="213"/>
      <c r="H241" s="213"/>
      <c r="I241" s="213"/>
      <c r="J241" s="213"/>
      <c r="K241" s="213"/>
      <c r="L241" s="213"/>
      <c r="M241" s="213"/>
      <c r="N241" s="213"/>
      <c r="O241" s="213"/>
      <c r="P241" s="213"/>
      <c r="Q241" s="213"/>
      <c r="R241" s="213"/>
      <c r="S241" s="211">
        <f>INDEX($C$199:$AN$221,MATCH("New Customers One-Time",$C$199:$C$221,0),MATCH($C241,$C$199:$AN$199,0))</f>
        <v>73.191792256481008</v>
      </c>
      <c r="T241" s="211">
        <f t="shared" ref="T241:AN241" si="165">$S$241*(E225)</f>
        <v>0</v>
      </c>
      <c r="U241" s="211">
        <f t="shared" si="165"/>
        <v>0</v>
      </c>
      <c r="V241" s="211">
        <f t="shared" si="165"/>
        <v>0</v>
      </c>
      <c r="W241" s="211">
        <f t="shared" si="165"/>
        <v>0</v>
      </c>
      <c r="X241" s="211">
        <f t="shared" si="165"/>
        <v>0</v>
      </c>
      <c r="Y241" s="211">
        <f t="shared" si="165"/>
        <v>0</v>
      </c>
      <c r="Z241" s="211">
        <f t="shared" si="165"/>
        <v>0</v>
      </c>
      <c r="AA241" s="211">
        <f t="shared" si="165"/>
        <v>0</v>
      </c>
      <c r="AB241" s="211">
        <f t="shared" si="165"/>
        <v>0</v>
      </c>
      <c r="AC241" s="211">
        <f t="shared" si="165"/>
        <v>0</v>
      </c>
      <c r="AD241" s="211">
        <f t="shared" si="165"/>
        <v>0</v>
      </c>
      <c r="AE241" s="211">
        <f t="shared" si="165"/>
        <v>0</v>
      </c>
      <c r="AF241" s="211">
        <f t="shared" si="165"/>
        <v>0</v>
      </c>
      <c r="AG241" s="211">
        <f t="shared" si="165"/>
        <v>0</v>
      </c>
      <c r="AH241" s="211">
        <f t="shared" si="165"/>
        <v>0</v>
      </c>
      <c r="AI241" s="211">
        <f t="shared" si="165"/>
        <v>0</v>
      </c>
      <c r="AJ241" s="211">
        <f t="shared" si="165"/>
        <v>0</v>
      </c>
      <c r="AK241" s="211">
        <f t="shared" si="165"/>
        <v>0</v>
      </c>
      <c r="AL241" s="211">
        <f t="shared" si="165"/>
        <v>0</v>
      </c>
      <c r="AM241" s="211">
        <f t="shared" si="165"/>
        <v>0</v>
      </c>
      <c r="AN241" s="211">
        <f t="shared" si="165"/>
        <v>0</v>
      </c>
    </row>
    <row r="242" spans="2:41" ht="12" hidden="1" customHeight="1" outlineLevel="2">
      <c r="B242" s="245"/>
      <c r="C242" s="250" t="s">
        <v>768</v>
      </c>
      <c r="D242" s="250"/>
      <c r="E242" s="213"/>
      <c r="F242" s="213"/>
      <c r="G242" s="213"/>
      <c r="H242" s="213"/>
      <c r="I242" s="213"/>
      <c r="J242" s="213"/>
      <c r="K242" s="213"/>
      <c r="L242" s="213"/>
      <c r="M242" s="213"/>
      <c r="N242" s="213"/>
      <c r="O242" s="213"/>
      <c r="P242" s="213"/>
      <c r="Q242" s="213"/>
      <c r="R242" s="213"/>
      <c r="S242" s="213"/>
      <c r="T242" s="211">
        <f>INDEX($C$199:$AN$221,MATCH("New Customers One-Time",$C$199:$C$221,0),MATCH($C242,$C$199:$AN$199,0))</f>
        <v>38.311719116476453</v>
      </c>
      <c r="U242" s="211">
        <f t="shared" ref="U242:AN242" si="166">$T$242*(E225)</f>
        <v>0</v>
      </c>
      <c r="V242" s="211">
        <f t="shared" si="166"/>
        <v>0</v>
      </c>
      <c r="W242" s="211">
        <f t="shared" si="166"/>
        <v>0</v>
      </c>
      <c r="X242" s="211">
        <f t="shared" si="166"/>
        <v>0</v>
      </c>
      <c r="Y242" s="211">
        <f t="shared" si="166"/>
        <v>0</v>
      </c>
      <c r="Z242" s="211">
        <f t="shared" si="166"/>
        <v>0</v>
      </c>
      <c r="AA242" s="211">
        <f t="shared" si="166"/>
        <v>0</v>
      </c>
      <c r="AB242" s="211">
        <f t="shared" si="166"/>
        <v>0</v>
      </c>
      <c r="AC242" s="211">
        <f t="shared" si="166"/>
        <v>0</v>
      </c>
      <c r="AD242" s="211">
        <f t="shared" si="166"/>
        <v>0</v>
      </c>
      <c r="AE242" s="211">
        <f t="shared" si="166"/>
        <v>0</v>
      </c>
      <c r="AF242" s="211">
        <f t="shared" si="166"/>
        <v>0</v>
      </c>
      <c r="AG242" s="211">
        <f t="shared" si="166"/>
        <v>0</v>
      </c>
      <c r="AH242" s="211">
        <f t="shared" si="166"/>
        <v>0</v>
      </c>
      <c r="AI242" s="211">
        <f t="shared" si="166"/>
        <v>0</v>
      </c>
      <c r="AJ242" s="211">
        <f t="shared" si="166"/>
        <v>0</v>
      </c>
      <c r="AK242" s="211">
        <f t="shared" si="166"/>
        <v>0</v>
      </c>
      <c r="AL242" s="211">
        <f t="shared" si="166"/>
        <v>0</v>
      </c>
      <c r="AM242" s="211">
        <f t="shared" si="166"/>
        <v>0</v>
      </c>
      <c r="AN242" s="211">
        <f t="shared" si="166"/>
        <v>0</v>
      </c>
    </row>
    <row r="243" spans="2:41" ht="12" hidden="1" customHeight="1" outlineLevel="2">
      <c r="B243" s="245"/>
      <c r="C243" s="250" t="s">
        <v>769</v>
      </c>
      <c r="D243" s="250"/>
      <c r="E243" s="213"/>
      <c r="F243" s="213"/>
      <c r="G243" s="213"/>
      <c r="H243" s="213"/>
      <c r="I243" s="213"/>
      <c r="J243" s="213"/>
      <c r="K243" s="213"/>
      <c r="L243" s="213"/>
      <c r="M243" s="213"/>
      <c r="N243" s="213"/>
      <c r="O243" s="213"/>
      <c r="P243" s="213"/>
      <c r="Q243" s="213"/>
      <c r="R243" s="213"/>
      <c r="S243" s="213"/>
      <c r="T243" s="213"/>
      <c r="U243" s="211">
        <f>INDEX($C$199:$AN$221,MATCH("New Customers One-Time",$C$199:$C$221,0),MATCH($C243,$C$199:$AN$199,0))</f>
        <v>37.870022109603838</v>
      </c>
      <c r="V243" s="211">
        <f t="shared" ref="V243:AN243" si="167">$U$243*(E225)</f>
        <v>0</v>
      </c>
      <c r="W243" s="211">
        <f t="shared" si="167"/>
        <v>0</v>
      </c>
      <c r="X243" s="211">
        <f t="shared" si="167"/>
        <v>0</v>
      </c>
      <c r="Y243" s="211">
        <f t="shared" si="167"/>
        <v>0</v>
      </c>
      <c r="Z243" s="211">
        <f t="shared" si="167"/>
        <v>0</v>
      </c>
      <c r="AA243" s="211">
        <f t="shared" si="167"/>
        <v>0</v>
      </c>
      <c r="AB243" s="211">
        <f t="shared" si="167"/>
        <v>0</v>
      </c>
      <c r="AC243" s="211">
        <f t="shared" si="167"/>
        <v>0</v>
      </c>
      <c r="AD243" s="211">
        <f t="shared" si="167"/>
        <v>0</v>
      </c>
      <c r="AE243" s="211">
        <f t="shared" si="167"/>
        <v>0</v>
      </c>
      <c r="AF243" s="211">
        <f t="shared" si="167"/>
        <v>0</v>
      </c>
      <c r="AG243" s="211">
        <f t="shared" si="167"/>
        <v>0</v>
      </c>
      <c r="AH243" s="211">
        <f t="shared" si="167"/>
        <v>0</v>
      </c>
      <c r="AI243" s="211">
        <f t="shared" si="167"/>
        <v>0</v>
      </c>
      <c r="AJ243" s="211">
        <f t="shared" si="167"/>
        <v>0</v>
      </c>
      <c r="AK243" s="211">
        <f t="shared" si="167"/>
        <v>0</v>
      </c>
      <c r="AL243" s="211">
        <f t="shared" si="167"/>
        <v>0</v>
      </c>
      <c r="AM243" s="211">
        <f t="shared" si="167"/>
        <v>0</v>
      </c>
      <c r="AN243" s="211">
        <f t="shared" si="167"/>
        <v>0</v>
      </c>
    </row>
    <row r="244" spans="2:41" ht="12" hidden="1" customHeight="1" outlineLevel="2">
      <c r="B244" s="245"/>
      <c r="C244" s="250" t="s">
        <v>770</v>
      </c>
      <c r="D244" s="250"/>
      <c r="E244" s="213"/>
      <c r="F244" s="213"/>
      <c r="G244" s="213"/>
      <c r="H244" s="213"/>
      <c r="I244" s="213"/>
      <c r="J244" s="213"/>
      <c r="K244" s="213"/>
      <c r="L244" s="213"/>
      <c r="M244" s="213"/>
      <c r="N244" s="213"/>
      <c r="O244" s="213"/>
      <c r="P244" s="213"/>
      <c r="Q244" s="213"/>
      <c r="R244" s="213"/>
      <c r="S244" s="213"/>
      <c r="T244" s="213"/>
      <c r="U244" s="213"/>
      <c r="V244" s="211">
        <f>INDEX($C$199:$AN$221,MATCH("New Customers One-Time",$C$199:$C$221,0),MATCH($C244,$C$199:$AN$199,0))</f>
        <v>116.67450965168835</v>
      </c>
      <c r="W244" s="211">
        <f t="shared" ref="W244:AN244" si="168">$V$244*(E225)</f>
        <v>0</v>
      </c>
      <c r="X244" s="211">
        <f t="shared" si="168"/>
        <v>0</v>
      </c>
      <c r="Y244" s="211">
        <f t="shared" si="168"/>
        <v>0</v>
      </c>
      <c r="Z244" s="211">
        <f t="shared" si="168"/>
        <v>0</v>
      </c>
      <c r="AA244" s="211">
        <f t="shared" si="168"/>
        <v>0</v>
      </c>
      <c r="AB244" s="211">
        <f t="shared" si="168"/>
        <v>0</v>
      </c>
      <c r="AC244" s="211">
        <f t="shared" si="168"/>
        <v>0</v>
      </c>
      <c r="AD244" s="211">
        <f t="shared" si="168"/>
        <v>0</v>
      </c>
      <c r="AE244" s="211">
        <f t="shared" si="168"/>
        <v>0</v>
      </c>
      <c r="AF244" s="211">
        <f t="shared" si="168"/>
        <v>0</v>
      </c>
      <c r="AG244" s="211">
        <f t="shared" si="168"/>
        <v>0</v>
      </c>
      <c r="AH244" s="211">
        <f t="shared" si="168"/>
        <v>0</v>
      </c>
      <c r="AI244" s="211">
        <f t="shared" si="168"/>
        <v>0</v>
      </c>
      <c r="AJ244" s="211">
        <f t="shared" si="168"/>
        <v>0</v>
      </c>
      <c r="AK244" s="211">
        <f t="shared" si="168"/>
        <v>0</v>
      </c>
      <c r="AL244" s="211">
        <f t="shared" si="168"/>
        <v>0</v>
      </c>
      <c r="AM244" s="211">
        <f t="shared" si="168"/>
        <v>0</v>
      </c>
      <c r="AN244" s="211">
        <f t="shared" si="168"/>
        <v>0</v>
      </c>
    </row>
    <row r="245" spans="2:41" ht="12" hidden="1" customHeight="1" outlineLevel="2">
      <c r="B245" s="245"/>
      <c r="C245" s="250" t="s">
        <v>771</v>
      </c>
      <c r="D245" s="250"/>
      <c r="E245" s="213"/>
      <c r="F245" s="213"/>
      <c r="G245" s="213"/>
      <c r="H245" s="213"/>
      <c r="I245" s="213"/>
      <c r="J245" s="213"/>
      <c r="K245" s="213"/>
      <c r="L245" s="213"/>
      <c r="M245" s="213"/>
      <c r="N245" s="213"/>
      <c r="O245" s="213"/>
      <c r="P245" s="213"/>
      <c r="Q245" s="213"/>
      <c r="R245" s="213"/>
      <c r="S245" s="213"/>
      <c r="T245" s="213"/>
      <c r="U245" s="213"/>
      <c r="V245" s="213"/>
      <c r="W245" s="211">
        <f>INDEX($C$199:$AN$221,MATCH("New Customers One-Time",$C$199:$C$221,0),MATCH($C245,$C$199:$AN$199,0))</f>
        <v>44.154438429517562</v>
      </c>
      <c r="X245" s="211">
        <f t="shared" ref="X245:AN245" si="169">$W$245*(E225)</f>
        <v>0</v>
      </c>
      <c r="Y245" s="211">
        <f t="shared" si="169"/>
        <v>0</v>
      </c>
      <c r="Z245" s="211">
        <f t="shared" si="169"/>
        <v>0</v>
      </c>
      <c r="AA245" s="211">
        <f t="shared" si="169"/>
        <v>0</v>
      </c>
      <c r="AB245" s="211">
        <f t="shared" si="169"/>
        <v>0</v>
      </c>
      <c r="AC245" s="211">
        <f t="shared" si="169"/>
        <v>0</v>
      </c>
      <c r="AD245" s="211">
        <f t="shared" si="169"/>
        <v>0</v>
      </c>
      <c r="AE245" s="211">
        <f t="shared" si="169"/>
        <v>0</v>
      </c>
      <c r="AF245" s="211">
        <f t="shared" si="169"/>
        <v>0</v>
      </c>
      <c r="AG245" s="211">
        <f t="shared" si="169"/>
        <v>0</v>
      </c>
      <c r="AH245" s="211">
        <f t="shared" si="169"/>
        <v>0</v>
      </c>
      <c r="AI245" s="211">
        <f t="shared" si="169"/>
        <v>0</v>
      </c>
      <c r="AJ245" s="211">
        <f t="shared" si="169"/>
        <v>0</v>
      </c>
      <c r="AK245" s="211">
        <f t="shared" si="169"/>
        <v>0</v>
      </c>
      <c r="AL245" s="211">
        <f t="shared" si="169"/>
        <v>0</v>
      </c>
      <c r="AM245" s="211">
        <f t="shared" si="169"/>
        <v>0</v>
      </c>
      <c r="AN245" s="211">
        <f t="shared" si="169"/>
        <v>0</v>
      </c>
    </row>
    <row r="246" spans="2:41" ht="12" hidden="1" customHeight="1" outlineLevel="2">
      <c r="B246" s="245"/>
      <c r="C246" s="250" t="s">
        <v>772</v>
      </c>
      <c r="D246" s="250"/>
      <c r="E246" s="213"/>
      <c r="F246" s="213"/>
      <c r="G246" s="213"/>
      <c r="H246" s="213"/>
      <c r="I246" s="213"/>
      <c r="J246" s="213"/>
      <c r="K246" s="213"/>
      <c r="L246" s="213"/>
      <c r="M246" s="213"/>
      <c r="N246" s="213"/>
      <c r="O246" s="213"/>
      <c r="P246" s="213"/>
      <c r="Q246" s="213"/>
      <c r="R246" s="213"/>
      <c r="S246" s="213"/>
      <c r="T246" s="213"/>
      <c r="U246" s="213"/>
      <c r="V246" s="213"/>
      <c r="W246" s="213"/>
      <c r="X246" s="211">
        <f>INDEX($C$199:$AN$221,MATCH("New Customers One-Time",$C$199:$C$221,0),MATCH($C246,$C$199:$AN$199,0))</f>
        <v>47.315179331021525</v>
      </c>
      <c r="Y246" s="211">
        <f t="shared" ref="Y246:AN246" si="170">$X$246*(E225)</f>
        <v>0</v>
      </c>
      <c r="Z246" s="211">
        <f t="shared" si="170"/>
        <v>0</v>
      </c>
      <c r="AA246" s="211">
        <f t="shared" si="170"/>
        <v>0</v>
      </c>
      <c r="AB246" s="211">
        <f t="shared" si="170"/>
        <v>0</v>
      </c>
      <c r="AC246" s="211">
        <f t="shared" si="170"/>
        <v>0</v>
      </c>
      <c r="AD246" s="211">
        <f t="shared" si="170"/>
        <v>0</v>
      </c>
      <c r="AE246" s="211">
        <f t="shared" si="170"/>
        <v>0</v>
      </c>
      <c r="AF246" s="211">
        <f t="shared" si="170"/>
        <v>0</v>
      </c>
      <c r="AG246" s="211">
        <f t="shared" si="170"/>
        <v>0</v>
      </c>
      <c r="AH246" s="211">
        <f t="shared" si="170"/>
        <v>0</v>
      </c>
      <c r="AI246" s="211">
        <f t="shared" si="170"/>
        <v>0</v>
      </c>
      <c r="AJ246" s="211">
        <f t="shared" si="170"/>
        <v>0</v>
      </c>
      <c r="AK246" s="211">
        <f t="shared" si="170"/>
        <v>0</v>
      </c>
      <c r="AL246" s="211">
        <f t="shared" si="170"/>
        <v>0</v>
      </c>
      <c r="AM246" s="211">
        <f t="shared" si="170"/>
        <v>0</v>
      </c>
      <c r="AN246" s="211">
        <f t="shared" si="170"/>
        <v>0</v>
      </c>
    </row>
    <row r="247" spans="2:41" ht="12" hidden="1" customHeight="1" outlineLevel="2">
      <c r="B247" s="245"/>
      <c r="C247" s="250" t="s">
        <v>773</v>
      </c>
      <c r="D247" s="250"/>
      <c r="E247" s="213"/>
      <c r="F247" s="213"/>
      <c r="G247" s="213"/>
      <c r="H247" s="213"/>
      <c r="I247" s="213"/>
      <c r="J247" s="213"/>
      <c r="K247" s="213"/>
      <c r="L247" s="213"/>
      <c r="M247" s="213"/>
      <c r="N247" s="213"/>
      <c r="O247" s="213"/>
      <c r="P247" s="213"/>
      <c r="Q247" s="213"/>
      <c r="R247" s="213"/>
      <c r="S247" s="213"/>
      <c r="T247" s="213"/>
      <c r="U247" s="213"/>
      <c r="V247" s="213"/>
      <c r="W247" s="213"/>
      <c r="X247" s="213"/>
      <c r="Y247" s="211">
        <f>INDEX($C$199:$AN$221,MATCH("New Customers One-Time",$C$199:$C$221,0),MATCH($C247,$C$199:$AN$199,0))</f>
        <v>165.34112556729175</v>
      </c>
      <c r="Z247" s="211">
        <f t="shared" ref="Z247:AN247" si="171">$Y$247*(E225)</f>
        <v>0</v>
      </c>
      <c r="AA247" s="211">
        <f t="shared" si="171"/>
        <v>0</v>
      </c>
      <c r="AB247" s="211">
        <f t="shared" si="171"/>
        <v>0</v>
      </c>
      <c r="AC247" s="211">
        <f t="shared" si="171"/>
        <v>0</v>
      </c>
      <c r="AD247" s="211">
        <f t="shared" si="171"/>
        <v>0</v>
      </c>
      <c r="AE247" s="211">
        <f t="shared" si="171"/>
        <v>0</v>
      </c>
      <c r="AF247" s="211">
        <f t="shared" si="171"/>
        <v>0</v>
      </c>
      <c r="AG247" s="211">
        <f t="shared" si="171"/>
        <v>0</v>
      </c>
      <c r="AH247" s="211">
        <f t="shared" si="171"/>
        <v>0</v>
      </c>
      <c r="AI247" s="211">
        <f t="shared" si="171"/>
        <v>0</v>
      </c>
      <c r="AJ247" s="211">
        <f t="shared" si="171"/>
        <v>0</v>
      </c>
      <c r="AK247" s="211">
        <f t="shared" si="171"/>
        <v>0</v>
      </c>
      <c r="AL247" s="211">
        <f t="shared" si="171"/>
        <v>0</v>
      </c>
      <c r="AM247" s="211">
        <f t="shared" si="171"/>
        <v>0</v>
      </c>
      <c r="AN247" s="211">
        <f t="shared" si="171"/>
        <v>0</v>
      </c>
    </row>
    <row r="248" spans="2:41" ht="12" hidden="1" customHeight="1" outlineLevel="2">
      <c r="B248" s="245"/>
      <c r="C248" s="250" t="s">
        <v>774</v>
      </c>
      <c r="D248" s="250"/>
      <c r="E248" s="213"/>
      <c r="F248" s="213"/>
      <c r="G248" s="213"/>
      <c r="H248" s="213"/>
      <c r="I248" s="213"/>
      <c r="J248" s="213"/>
      <c r="K248" s="213"/>
      <c r="L248" s="213"/>
      <c r="M248" s="213"/>
      <c r="N248" s="213"/>
      <c r="O248" s="213"/>
      <c r="P248" s="213"/>
      <c r="Q248" s="213"/>
      <c r="R248" s="213"/>
      <c r="S248" s="213"/>
      <c r="T248" s="213"/>
      <c r="U248" s="213"/>
      <c r="V248" s="213"/>
      <c r="W248" s="213"/>
      <c r="X248" s="213"/>
      <c r="Y248" s="213"/>
      <c r="Z248" s="211">
        <f>INDEX($C$199:$AN$221,MATCH("New Customers One-Time",$C$199:$C$221,0),MATCH($C248,$C$199:$AN$199,0))</f>
        <v>212.58144715794654</v>
      </c>
      <c r="AA248" s="211">
        <f t="shared" ref="AA248:AK248" si="172">$Z$248*(E225)</f>
        <v>0</v>
      </c>
      <c r="AB248" s="211">
        <f t="shared" si="172"/>
        <v>0</v>
      </c>
      <c r="AC248" s="211">
        <f t="shared" si="172"/>
        <v>0</v>
      </c>
      <c r="AD248" s="211">
        <f t="shared" si="172"/>
        <v>0</v>
      </c>
      <c r="AE248" s="211">
        <f t="shared" si="172"/>
        <v>0</v>
      </c>
      <c r="AF248" s="211">
        <f t="shared" si="172"/>
        <v>0</v>
      </c>
      <c r="AG248" s="211">
        <f t="shared" si="172"/>
        <v>0</v>
      </c>
      <c r="AH248" s="211">
        <f t="shared" si="172"/>
        <v>0</v>
      </c>
      <c r="AI248" s="211">
        <f t="shared" si="172"/>
        <v>0</v>
      </c>
      <c r="AJ248" s="211">
        <f t="shared" si="172"/>
        <v>0</v>
      </c>
      <c r="AK248" s="211">
        <f t="shared" si="172"/>
        <v>0</v>
      </c>
      <c r="AL248" s="211">
        <f>AK248*(P225)</f>
        <v>0</v>
      </c>
      <c r="AM248" s="211">
        <f>AL248*(Q225)</f>
        <v>0</v>
      </c>
      <c r="AN248" s="211">
        <f>AM248*(R225)</f>
        <v>0</v>
      </c>
    </row>
    <row r="249" spans="2:41" ht="12" hidden="1" customHeight="1" outlineLevel="2">
      <c r="B249" s="245"/>
      <c r="C249" s="250" t="s">
        <v>775</v>
      </c>
      <c r="D249" s="250"/>
      <c r="E249" s="213"/>
      <c r="F249" s="213"/>
      <c r="G249" s="213"/>
      <c r="H249" s="213"/>
      <c r="I249" s="213"/>
      <c r="J249" s="213"/>
      <c r="K249" s="213"/>
      <c r="L249" s="213"/>
      <c r="M249" s="213"/>
      <c r="N249" s="213"/>
      <c r="O249" s="213"/>
      <c r="P249" s="213"/>
      <c r="Q249" s="213"/>
      <c r="R249" s="213"/>
      <c r="S249" s="213"/>
      <c r="T249" s="213"/>
      <c r="U249" s="213"/>
      <c r="V249" s="213"/>
      <c r="W249" s="213"/>
      <c r="X249" s="213"/>
      <c r="Y249" s="213"/>
      <c r="Z249" s="213"/>
      <c r="AA249" s="211">
        <f>INDEX($C$199:$AN$221,MATCH("New Customers One-Time",$C$199:$C$221,0),MATCH($C249,$C$199:$AN$199,0))</f>
        <v>35.430241192991097</v>
      </c>
      <c r="AB249" s="211">
        <f t="shared" ref="AB249:AK249" si="173">$AA$249*(E225)</f>
        <v>0</v>
      </c>
      <c r="AC249" s="211">
        <f t="shared" si="173"/>
        <v>0</v>
      </c>
      <c r="AD249" s="211">
        <f t="shared" si="173"/>
        <v>0</v>
      </c>
      <c r="AE249" s="211">
        <f t="shared" si="173"/>
        <v>0</v>
      </c>
      <c r="AF249" s="211">
        <f t="shared" si="173"/>
        <v>0</v>
      </c>
      <c r="AG249" s="211">
        <f t="shared" si="173"/>
        <v>0</v>
      </c>
      <c r="AH249" s="211">
        <f t="shared" si="173"/>
        <v>0</v>
      </c>
      <c r="AI249" s="211">
        <f t="shared" si="173"/>
        <v>0</v>
      </c>
      <c r="AJ249" s="211">
        <f t="shared" si="173"/>
        <v>0</v>
      </c>
      <c r="AK249" s="211">
        <f t="shared" si="173"/>
        <v>0</v>
      </c>
      <c r="AL249" s="211">
        <f>AK249*(O225)</f>
        <v>0</v>
      </c>
      <c r="AM249" s="211">
        <f>AL249*(P225)</f>
        <v>0</v>
      </c>
      <c r="AN249" s="211">
        <f>AM249*(Q225)</f>
        <v>0</v>
      </c>
    </row>
    <row r="250" spans="2:41" ht="12" hidden="1" customHeight="1" outlineLevel="2">
      <c r="B250" s="245"/>
      <c r="C250" s="250" t="s">
        <v>776</v>
      </c>
      <c r="D250" s="250"/>
      <c r="E250" s="213"/>
      <c r="F250" s="213"/>
      <c r="G250" s="213"/>
      <c r="H250" s="213"/>
      <c r="I250" s="213"/>
      <c r="J250" s="213"/>
      <c r="K250" s="213"/>
      <c r="L250" s="213"/>
      <c r="M250" s="213"/>
      <c r="N250" s="213"/>
      <c r="O250" s="213"/>
      <c r="P250" s="213"/>
      <c r="Q250" s="213"/>
      <c r="R250" s="213"/>
      <c r="S250" s="213"/>
      <c r="T250" s="213"/>
      <c r="U250" s="213"/>
      <c r="V250" s="213"/>
      <c r="W250" s="213"/>
      <c r="X250" s="213"/>
      <c r="Y250" s="213"/>
      <c r="Z250" s="213"/>
      <c r="AA250" s="213"/>
      <c r="AB250" s="211">
        <f>INDEX($C$199:$AN$221,MATCH("New Customers One-Time",$C$199:$C$221,0),MATCH($C250,$C$199:$AN$199,0))</f>
        <v>47.240321590654787</v>
      </c>
      <c r="AC250" s="211">
        <f t="shared" ref="AC250:AN250" si="174">$AB$250*(E225)</f>
        <v>0</v>
      </c>
      <c r="AD250" s="211">
        <f t="shared" si="174"/>
        <v>0</v>
      </c>
      <c r="AE250" s="211">
        <f t="shared" si="174"/>
        <v>0</v>
      </c>
      <c r="AF250" s="211">
        <f t="shared" si="174"/>
        <v>0</v>
      </c>
      <c r="AG250" s="211">
        <f t="shared" si="174"/>
        <v>0</v>
      </c>
      <c r="AH250" s="211">
        <f t="shared" si="174"/>
        <v>0</v>
      </c>
      <c r="AI250" s="211">
        <f t="shared" si="174"/>
        <v>0</v>
      </c>
      <c r="AJ250" s="211">
        <f t="shared" si="174"/>
        <v>0</v>
      </c>
      <c r="AK250" s="211">
        <f t="shared" si="174"/>
        <v>0</v>
      </c>
      <c r="AL250" s="211">
        <f t="shared" si="174"/>
        <v>0</v>
      </c>
      <c r="AM250" s="211">
        <f t="shared" si="174"/>
        <v>0</v>
      </c>
      <c r="AN250" s="211">
        <f t="shared" si="174"/>
        <v>0</v>
      </c>
      <c r="AO250" s="211"/>
    </row>
    <row r="251" spans="2:41" ht="12" hidden="1" customHeight="1" outlineLevel="2">
      <c r="B251" s="245"/>
      <c r="C251" s="250" t="s">
        <v>777</v>
      </c>
      <c r="D251" s="250"/>
      <c r="E251" s="213"/>
      <c r="F251" s="213"/>
      <c r="G251" s="213"/>
      <c r="H251" s="213"/>
      <c r="I251" s="213"/>
      <c r="J251" s="213"/>
      <c r="K251" s="213"/>
      <c r="L251" s="213"/>
      <c r="M251" s="213"/>
      <c r="N251" s="213"/>
      <c r="O251" s="213"/>
      <c r="P251" s="213"/>
      <c r="Q251" s="213"/>
      <c r="R251" s="213"/>
      <c r="S251" s="213"/>
      <c r="T251" s="213"/>
      <c r="U251" s="213"/>
      <c r="V251" s="213"/>
      <c r="W251" s="213"/>
      <c r="X251" s="213"/>
      <c r="Y251" s="213"/>
      <c r="Z251" s="213"/>
      <c r="AA251" s="213"/>
      <c r="AB251" s="211"/>
      <c r="AC251" s="211">
        <f>INDEX($C$199:$AN$221,MATCH("New Customers One-Time",$C$199:$C$221,0),MATCH($C251,$C$199:$AN$199,0))</f>
        <v>48.859719814782451</v>
      </c>
      <c r="AD251" s="211">
        <f t="shared" ref="AD251:AK251" si="175">$AC$251*(E225)</f>
        <v>0</v>
      </c>
      <c r="AE251" s="211">
        <f t="shared" si="175"/>
        <v>0</v>
      </c>
      <c r="AF251" s="211">
        <f t="shared" si="175"/>
        <v>0</v>
      </c>
      <c r="AG251" s="211">
        <f t="shared" si="175"/>
        <v>0</v>
      </c>
      <c r="AH251" s="211">
        <f t="shared" si="175"/>
        <v>0</v>
      </c>
      <c r="AI251" s="211">
        <f t="shared" si="175"/>
        <v>0</v>
      </c>
      <c r="AJ251" s="211">
        <f t="shared" si="175"/>
        <v>0</v>
      </c>
      <c r="AK251" s="211">
        <f t="shared" si="175"/>
        <v>0</v>
      </c>
      <c r="AL251" s="211">
        <f>AK251*(M225)</f>
        <v>0</v>
      </c>
      <c r="AM251" s="211">
        <f>AL251*(N225)</f>
        <v>0</v>
      </c>
      <c r="AN251" s="211">
        <f>AM251*(O225)</f>
        <v>0</v>
      </c>
    </row>
    <row r="252" spans="2:41" ht="12" hidden="1" customHeight="1" outlineLevel="2">
      <c r="B252" s="245"/>
      <c r="C252" s="250" t="s">
        <v>778</v>
      </c>
      <c r="D252" s="250"/>
      <c r="E252" s="213"/>
      <c r="F252" s="213"/>
      <c r="G252" s="213"/>
      <c r="H252" s="213"/>
      <c r="I252" s="213"/>
      <c r="J252" s="213"/>
      <c r="K252" s="213"/>
      <c r="L252" s="213"/>
      <c r="M252" s="213"/>
      <c r="N252" s="213"/>
      <c r="O252" s="213"/>
      <c r="P252" s="213"/>
      <c r="Q252" s="213"/>
      <c r="R252" s="213"/>
      <c r="S252" s="213"/>
      <c r="T252" s="213"/>
      <c r="U252" s="213"/>
      <c r="V252" s="213"/>
      <c r="W252" s="213"/>
      <c r="X252" s="213"/>
      <c r="Y252" s="213"/>
      <c r="Z252" s="213"/>
      <c r="AA252" s="213"/>
      <c r="AB252" s="211"/>
      <c r="AC252" s="211"/>
      <c r="AD252" s="211">
        <f>INDEX($C$199:$AN$221,MATCH("New Customers One-Time",$C$199:$C$221,0),MATCH($C252,$C$199:$AN$199,0))</f>
        <v>102.32962261359688</v>
      </c>
      <c r="AE252" s="211">
        <f t="shared" ref="AE252:AN252" si="176">$AD$252*(E225)</f>
        <v>0</v>
      </c>
      <c r="AF252" s="211">
        <f t="shared" si="176"/>
        <v>0</v>
      </c>
      <c r="AG252" s="211">
        <f t="shared" si="176"/>
        <v>0</v>
      </c>
      <c r="AH252" s="211">
        <f t="shared" si="176"/>
        <v>0</v>
      </c>
      <c r="AI252" s="211">
        <f t="shared" si="176"/>
        <v>0</v>
      </c>
      <c r="AJ252" s="211">
        <f t="shared" si="176"/>
        <v>0</v>
      </c>
      <c r="AK252" s="211">
        <f t="shared" si="176"/>
        <v>0</v>
      </c>
      <c r="AL252" s="211">
        <f t="shared" si="176"/>
        <v>0</v>
      </c>
      <c r="AM252" s="211">
        <f t="shared" si="176"/>
        <v>0</v>
      </c>
      <c r="AN252" s="211">
        <f t="shared" si="176"/>
        <v>0</v>
      </c>
    </row>
    <row r="253" spans="2:41" ht="12" hidden="1" customHeight="1" outlineLevel="2">
      <c r="B253" s="245"/>
      <c r="C253" s="250" t="s">
        <v>779</v>
      </c>
      <c r="D253" s="250"/>
      <c r="E253" s="213"/>
      <c r="F253" s="213"/>
      <c r="G253" s="213"/>
      <c r="H253" s="213"/>
      <c r="I253" s="213"/>
      <c r="J253" s="213"/>
      <c r="K253" s="213"/>
      <c r="L253" s="213"/>
      <c r="M253" s="213"/>
      <c r="N253" s="213"/>
      <c r="O253" s="213"/>
      <c r="P253" s="213"/>
      <c r="Q253" s="213"/>
      <c r="R253" s="213"/>
      <c r="S253" s="213"/>
      <c r="T253" s="213"/>
      <c r="U253" s="213"/>
      <c r="V253" s="213"/>
      <c r="W253" s="213"/>
      <c r="X253" s="213"/>
      <c r="Y253" s="213"/>
      <c r="Z253" s="213"/>
      <c r="AA253" s="213"/>
      <c r="AB253" s="211"/>
      <c r="AC253" s="211"/>
      <c r="AD253" s="211"/>
      <c r="AE253" s="211">
        <f>INDEX($C$199:$AN$221,MATCH("New Customers One-Time",$C$199:$C$221,0),MATCH($C253,$C$199:$AN$199,0))</f>
        <v>95.149329933425307</v>
      </c>
      <c r="AF253" s="211">
        <f t="shared" ref="AF253:AN253" si="177">$AE$253*(E225)</f>
        <v>0</v>
      </c>
      <c r="AG253" s="211">
        <f t="shared" si="177"/>
        <v>0</v>
      </c>
      <c r="AH253" s="211">
        <f t="shared" si="177"/>
        <v>0</v>
      </c>
      <c r="AI253" s="211">
        <f t="shared" si="177"/>
        <v>0</v>
      </c>
      <c r="AJ253" s="211">
        <f t="shared" si="177"/>
        <v>0</v>
      </c>
      <c r="AK253" s="211">
        <f t="shared" si="177"/>
        <v>0</v>
      </c>
      <c r="AL253" s="211">
        <f t="shared" si="177"/>
        <v>0</v>
      </c>
      <c r="AM253" s="211">
        <f t="shared" si="177"/>
        <v>0</v>
      </c>
      <c r="AN253" s="211">
        <f t="shared" si="177"/>
        <v>0</v>
      </c>
    </row>
    <row r="254" spans="2:41" ht="12" hidden="1" customHeight="1" outlineLevel="2">
      <c r="B254" s="245"/>
      <c r="C254" s="250" t="s">
        <v>780</v>
      </c>
      <c r="D254" s="250"/>
      <c r="E254" s="213"/>
      <c r="F254" s="213"/>
      <c r="G254" s="213"/>
      <c r="H254" s="213"/>
      <c r="I254" s="213"/>
      <c r="J254" s="213"/>
      <c r="K254" s="213"/>
      <c r="L254" s="213"/>
      <c r="M254" s="213"/>
      <c r="N254" s="213"/>
      <c r="O254" s="213"/>
      <c r="P254" s="213"/>
      <c r="Q254" s="213"/>
      <c r="R254" s="213"/>
      <c r="S254" s="213"/>
      <c r="T254" s="213"/>
      <c r="U254" s="213"/>
      <c r="V254" s="213"/>
      <c r="W254" s="213"/>
      <c r="X254" s="213"/>
      <c r="Y254" s="213"/>
      <c r="Z254" s="213"/>
      <c r="AA254" s="213"/>
      <c r="AB254" s="211"/>
      <c r="AC254" s="211"/>
      <c r="AD254" s="211"/>
      <c r="AE254" s="211"/>
      <c r="AF254" s="211">
        <f>INDEX($C$199:$AN$221,MATCH("New Customers One-Time",$C$199:$C$221,0),MATCH($C254,$C$199:$AN$199,0))</f>
        <v>49.805234851419392</v>
      </c>
      <c r="AG254" s="211">
        <f t="shared" ref="AG254:AN254" si="178">$AF$254*(E225)</f>
        <v>0</v>
      </c>
      <c r="AH254" s="211">
        <f t="shared" si="178"/>
        <v>0</v>
      </c>
      <c r="AI254" s="211">
        <f t="shared" si="178"/>
        <v>0</v>
      </c>
      <c r="AJ254" s="211">
        <f t="shared" si="178"/>
        <v>0</v>
      </c>
      <c r="AK254" s="211">
        <f t="shared" si="178"/>
        <v>0</v>
      </c>
      <c r="AL254" s="211">
        <f t="shared" si="178"/>
        <v>0</v>
      </c>
      <c r="AM254" s="211">
        <f t="shared" si="178"/>
        <v>0</v>
      </c>
      <c r="AN254" s="211">
        <f t="shared" si="178"/>
        <v>0</v>
      </c>
    </row>
    <row r="255" spans="2:41" ht="12" hidden="1" customHeight="1" outlineLevel="2">
      <c r="B255" s="245"/>
      <c r="C255" s="250" t="s">
        <v>781</v>
      </c>
      <c r="D255" s="250"/>
      <c r="E255" s="213"/>
      <c r="F255" s="213"/>
      <c r="G255" s="213"/>
      <c r="H255" s="213"/>
      <c r="I255" s="213"/>
      <c r="J255" s="213"/>
      <c r="K255" s="213"/>
      <c r="L255" s="213"/>
      <c r="M255" s="213"/>
      <c r="N255" s="213"/>
      <c r="O255" s="213"/>
      <c r="P255" s="213"/>
      <c r="Q255" s="213"/>
      <c r="R255" s="213"/>
      <c r="S255" s="213"/>
      <c r="T255" s="213"/>
      <c r="U255" s="213"/>
      <c r="V255" s="213"/>
      <c r="W255" s="213"/>
      <c r="X255" s="213"/>
      <c r="Y255" s="213"/>
      <c r="Z255" s="213"/>
      <c r="AA255" s="213"/>
      <c r="AB255" s="211"/>
      <c r="AC255" s="211"/>
      <c r="AD255" s="211"/>
      <c r="AE255" s="211"/>
      <c r="AF255" s="211"/>
      <c r="AG255" s="211">
        <f>INDEX($C$199:$AN$221,MATCH("New Customers One-Time",$C$199:$C$221,0),MATCH($C255,$C$199:$AN$199,0))</f>
        <v>49.231028742484988</v>
      </c>
      <c r="AH255" s="211">
        <f t="shared" ref="AH255:AN255" si="179">$AG$255*(E225)</f>
        <v>0</v>
      </c>
      <c r="AI255" s="211">
        <f t="shared" si="179"/>
        <v>0</v>
      </c>
      <c r="AJ255" s="211">
        <f t="shared" si="179"/>
        <v>0</v>
      </c>
      <c r="AK255" s="211">
        <f t="shared" si="179"/>
        <v>0</v>
      </c>
      <c r="AL255" s="211">
        <f t="shared" si="179"/>
        <v>0</v>
      </c>
      <c r="AM255" s="211">
        <f t="shared" si="179"/>
        <v>0</v>
      </c>
      <c r="AN255" s="211">
        <f t="shared" si="179"/>
        <v>0</v>
      </c>
    </row>
    <row r="256" spans="2:41" ht="12" hidden="1" customHeight="1" outlineLevel="2">
      <c r="B256" s="245"/>
      <c r="C256" s="250" t="s">
        <v>782</v>
      </c>
      <c r="D256" s="250"/>
      <c r="E256" s="213"/>
      <c r="F256" s="213"/>
      <c r="G256" s="213"/>
      <c r="H256" s="213"/>
      <c r="I256" s="213"/>
      <c r="J256" s="213"/>
      <c r="K256" s="213"/>
      <c r="L256" s="213"/>
      <c r="M256" s="213"/>
      <c r="N256" s="213"/>
      <c r="O256" s="213"/>
      <c r="P256" s="213"/>
      <c r="Q256" s="213"/>
      <c r="R256" s="213"/>
      <c r="S256" s="213"/>
      <c r="T256" s="213"/>
      <c r="U256" s="213"/>
      <c r="V256" s="213"/>
      <c r="W256" s="213"/>
      <c r="X256" s="213"/>
      <c r="Y256" s="213"/>
      <c r="Z256" s="213"/>
      <c r="AA256" s="213"/>
      <c r="AB256" s="211"/>
      <c r="AC256" s="211"/>
      <c r="AD256" s="211"/>
      <c r="AE256" s="211"/>
      <c r="AF256" s="211"/>
      <c r="AG256" s="211"/>
      <c r="AH256" s="211">
        <f>INDEX($C$199:$AN$221,MATCH("New Customers One-Time",$C$199:$C$221,0),MATCH($C256,$C$199:$AN$199,0))</f>
        <v>151.67686254719487</v>
      </c>
      <c r="AI256" s="211">
        <f t="shared" ref="AI256:AN256" si="180">$AH$256*(E225)</f>
        <v>0</v>
      </c>
      <c r="AJ256" s="211">
        <f t="shared" si="180"/>
        <v>0</v>
      </c>
      <c r="AK256" s="211">
        <f t="shared" si="180"/>
        <v>0</v>
      </c>
      <c r="AL256" s="211">
        <f t="shared" si="180"/>
        <v>0</v>
      </c>
      <c r="AM256" s="211">
        <f t="shared" si="180"/>
        <v>0</v>
      </c>
      <c r="AN256" s="211">
        <f t="shared" si="180"/>
        <v>0</v>
      </c>
    </row>
    <row r="257" spans="2:40" ht="12" hidden="1" customHeight="1" outlineLevel="2">
      <c r="B257" s="245"/>
      <c r="C257" s="250" t="s">
        <v>783</v>
      </c>
      <c r="D257" s="250"/>
      <c r="E257" s="213"/>
      <c r="F257" s="213"/>
      <c r="G257" s="213"/>
      <c r="H257" s="213"/>
      <c r="I257" s="213"/>
      <c r="J257" s="213"/>
      <c r="K257" s="213"/>
      <c r="L257" s="213"/>
      <c r="M257" s="213"/>
      <c r="N257" s="213"/>
      <c r="O257" s="213"/>
      <c r="P257" s="213"/>
      <c r="Q257" s="213"/>
      <c r="R257" s="213"/>
      <c r="S257" s="213"/>
      <c r="T257" s="213"/>
      <c r="U257" s="213"/>
      <c r="V257" s="213"/>
      <c r="W257" s="213"/>
      <c r="X257" s="213"/>
      <c r="Y257" s="213"/>
      <c r="Z257" s="213"/>
      <c r="AA257" s="213"/>
      <c r="AB257" s="211"/>
      <c r="AC257" s="211"/>
      <c r="AD257" s="211"/>
      <c r="AE257" s="211"/>
      <c r="AF257" s="211"/>
      <c r="AG257" s="211"/>
      <c r="AH257" s="211"/>
      <c r="AI257" s="211">
        <f>INDEX($C$199:$AN$221,MATCH("New Customers One-Time",$C$199:$C$221,0),MATCH($C257,$C$199:$AN$199,0))</f>
        <v>57.400769958372834</v>
      </c>
      <c r="AJ257" s="211">
        <f>$AI$257*(E225)</f>
        <v>0</v>
      </c>
      <c r="AK257" s="211">
        <f>$AI$257*(F225)</f>
        <v>0</v>
      </c>
      <c r="AL257" s="211">
        <f>$AI$257*(G225)</f>
        <v>0</v>
      </c>
      <c r="AM257" s="211">
        <f>$AI$257*(H225)</f>
        <v>0</v>
      </c>
      <c r="AN257" s="211">
        <f>$AI$257*(I225)</f>
        <v>0</v>
      </c>
    </row>
    <row r="258" spans="2:40" ht="12" hidden="1" customHeight="1" outlineLevel="2">
      <c r="B258" s="245"/>
      <c r="C258" s="250" t="s">
        <v>784</v>
      </c>
      <c r="D258" s="250"/>
      <c r="E258" s="213"/>
      <c r="F258" s="213"/>
      <c r="G258" s="213"/>
      <c r="H258" s="213"/>
      <c r="I258" s="213"/>
      <c r="J258" s="213"/>
      <c r="K258" s="213"/>
      <c r="L258" s="213"/>
      <c r="M258" s="213"/>
      <c r="N258" s="213"/>
      <c r="O258" s="213"/>
      <c r="P258" s="213"/>
      <c r="Q258" s="213"/>
      <c r="R258" s="213"/>
      <c r="S258" s="213"/>
      <c r="T258" s="213"/>
      <c r="U258" s="213"/>
      <c r="V258" s="213"/>
      <c r="W258" s="213"/>
      <c r="X258" s="213"/>
      <c r="Y258" s="213"/>
      <c r="Z258" s="213"/>
      <c r="AA258" s="213"/>
      <c r="AB258" s="211"/>
      <c r="AC258" s="211"/>
      <c r="AD258" s="211"/>
      <c r="AE258" s="211"/>
      <c r="AF258" s="211"/>
      <c r="AG258" s="211"/>
      <c r="AH258" s="211"/>
      <c r="AI258" s="211"/>
      <c r="AJ258" s="211">
        <f>INDEX($C$199:$AN$221,MATCH("New Customers One-Time",$C$199:$C$221,0),MATCH($C258,$C$199:$AN$199,0))</f>
        <v>61.50973313032798</v>
      </c>
      <c r="AK258" s="211">
        <f>$AJ$258*(E225)</f>
        <v>0</v>
      </c>
      <c r="AL258" s="211">
        <f>$AJ$258*(F225)</f>
        <v>0</v>
      </c>
      <c r="AM258" s="211">
        <f>$AJ$258*(G225)</f>
        <v>0</v>
      </c>
      <c r="AN258" s="211">
        <f>$AJ$258*(H225)</f>
        <v>0</v>
      </c>
    </row>
    <row r="259" spans="2:40" ht="12" hidden="1" customHeight="1" outlineLevel="2">
      <c r="B259" s="245"/>
      <c r="C259" s="250" t="s">
        <v>785</v>
      </c>
      <c r="D259" s="250"/>
      <c r="E259" s="213"/>
      <c r="F259" s="213"/>
      <c r="G259" s="213"/>
      <c r="H259" s="213"/>
      <c r="I259" s="213"/>
      <c r="J259" s="213"/>
      <c r="K259" s="213"/>
      <c r="L259" s="213"/>
      <c r="M259" s="213"/>
      <c r="N259" s="213"/>
      <c r="O259" s="213"/>
      <c r="P259" s="213"/>
      <c r="Q259" s="213"/>
      <c r="R259" s="213"/>
      <c r="S259" s="213"/>
      <c r="T259" s="213"/>
      <c r="U259" s="213"/>
      <c r="V259" s="213"/>
      <c r="W259" s="213"/>
      <c r="X259" s="213"/>
      <c r="Y259" s="213"/>
      <c r="Z259" s="213"/>
      <c r="AA259" s="213"/>
      <c r="AB259" s="211"/>
      <c r="AC259" s="211"/>
      <c r="AD259" s="211"/>
      <c r="AE259" s="211"/>
      <c r="AF259" s="211"/>
      <c r="AG259" s="211"/>
      <c r="AH259" s="211"/>
      <c r="AI259" s="211"/>
      <c r="AJ259" s="211"/>
      <c r="AK259" s="211">
        <f>INDEX($C$199:$AN$221,MATCH("New Customers One-Time",$C$199:$C$221,0),MATCH($C259,$C$199:$AN$199,0))</f>
        <v>214.94346323747931</v>
      </c>
      <c r="AL259" s="211">
        <f>$AK$259*(E225)</f>
        <v>0</v>
      </c>
      <c r="AM259" s="211">
        <f>$AK$259*(F225)</f>
        <v>0</v>
      </c>
      <c r="AN259" s="211">
        <f>$AK$259*(G225)</f>
        <v>0</v>
      </c>
    </row>
    <row r="260" spans="2:40" ht="12" hidden="1" customHeight="1" outlineLevel="2">
      <c r="B260" s="245"/>
      <c r="C260" s="250" t="s">
        <v>786</v>
      </c>
      <c r="D260" s="250"/>
      <c r="E260" s="213"/>
      <c r="F260" s="213"/>
      <c r="G260" s="213"/>
      <c r="H260" s="213"/>
      <c r="I260" s="213"/>
      <c r="J260" s="213"/>
      <c r="K260" s="213"/>
      <c r="L260" s="213"/>
      <c r="M260" s="213"/>
      <c r="N260" s="213"/>
      <c r="O260" s="213"/>
      <c r="P260" s="213"/>
      <c r="Q260" s="213"/>
      <c r="R260" s="213"/>
      <c r="S260" s="213"/>
      <c r="T260" s="213"/>
      <c r="U260" s="213"/>
      <c r="V260" s="213"/>
      <c r="W260" s="213"/>
      <c r="X260" s="213"/>
      <c r="Y260" s="213"/>
      <c r="Z260" s="213"/>
      <c r="AA260" s="213"/>
      <c r="AB260" s="211"/>
      <c r="AC260" s="211"/>
      <c r="AD260" s="211"/>
      <c r="AE260" s="211"/>
      <c r="AF260" s="211"/>
      <c r="AG260" s="211"/>
      <c r="AH260" s="211"/>
      <c r="AI260" s="211"/>
      <c r="AJ260" s="211"/>
      <c r="AK260" s="211"/>
      <c r="AL260" s="211">
        <f>INDEX($C$199:$AN$221,MATCH("New Customers One-Time",$C$199:$C$221,0),MATCH($C260,$C$199:$AN$199,0))</f>
        <v>276.35588130533051</v>
      </c>
      <c r="AM260" s="211">
        <f>$AL$260*(E225)</f>
        <v>0</v>
      </c>
      <c r="AN260" s="211">
        <f>$AL$260*(F225)</f>
        <v>0</v>
      </c>
    </row>
    <row r="261" spans="2:40" ht="12" hidden="1" customHeight="1" outlineLevel="2">
      <c r="B261" s="245"/>
      <c r="C261" s="250" t="s">
        <v>787</v>
      </c>
      <c r="D261" s="250"/>
      <c r="E261" s="213"/>
      <c r="F261" s="213"/>
      <c r="G261" s="213"/>
      <c r="H261" s="213"/>
      <c r="I261" s="213"/>
      <c r="J261" s="213"/>
      <c r="K261" s="213"/>
      <c r="L261" s="213"/>
      <c r="M261" s="213"/>
      <c r="N261" s="213"/>
      <c r="O261" s="213"/>
      <c r="P261" s="213"/>
      <c r="Q261" s="213"/>
      <c r="R261" s="213"/>
      <c r="S261" s="213"/>
      <c r="T261" s="213"/>
      <c r="U261" s="213"/>
      <c r="V261" s="213"/>
      <c r="W261" s="213"/>
      <c r="X261" s="213"/>
      <c r="Y261" s="213"/>
      <c r="Z261" s="213"/>
      <c r="AA261" s="213"/>
      <c r="AB261" s="211"/>
      <c r="AC261" s="211"/>
      <c r="AD261" s="211"/>
      <c r="AE261" s="211"/>
      <c r="AF261" s="211"/>
      <c r="AG261" s="211"/>
      <c r="AH261" s="211"/>
      <c r="AI261" s="211"/>
      <c r="AJ261" s="211"/>
      <c r="AK261" s="211"/>
      <c r="AL261" s="211"/>
      <c r="AM261" s="211">
        <f>INDEX($C$199:$AN$221,MATCH("New Customers One-Time",$C$199:$C$221,0),MATCH($C261,$C$199:$AN$199,0))</f>
        <v>46.059313550888419</v>
      </c>
      <c r="AN261" s="211">
        <f>$AM$261*(E225)</f>
        <v>0</v>
      </c>
    </row>
    <row r="262" spans="2:40" ht="12" hidden="1" customHeight="1" outlineLevel="2">
      <c r="B262" s="245"/>
      <c r="C262" s="250" t="s">
        <v>788</v>
      </c>
      <c r="D262" s="250"/>
      <c r="E262" s="213"/>
      <c r="F262" s="213"/>
      <c r="G262" s="213"/>
      <c r="H262" s="213"/>
      <c r="I262" s="213"/>
      <c r="J262" s="213"/>
      <c r="K262" s="213"/>
      <c r="L262" s="213"/>
      <c r="M262" s="213"/>
      <c r="N262" s="213"/>
      <c r="O262" s="213"/>
      <c r="P262" s="213"/>
      <c r="Q262" s="213"/>
      <c r="R262" s="213"/>
      <c r="S262" s="213"/>
      <c r="T262" s="213"/>
      <c r="U262" s="213"/>
      <c r="V262" s="213"/>
      <c r="W262" s="213"/>
      <c r="X262" s="213"/>
      <c r="Y262" s="213"/>
      <c r="Z262" s="213"/>
      <c r="AA262" s="213"/>
      <c r="AB262" s="211"/>
      <c r="AC262" s="211"/>
      <c r="AD262" s="211"/>
      <c r="AE262" s="211"/>
      <c r="AF262" s="211"/>
      <c r="AG262" s="211"/>
      <c r="AH262" s="211"/>
      <c r="AI262" s="211"/>
      <c r="AJ262" s="211"/>
      <c r="AK262" s="211"/>
      <c r="AL262" s="211"/>
      <c r="AM262" s="211"/>
      <c r="AN262" s="211">
        <f>INDEX($C$199:$AN$221,MATCH("New Customers One-Time",$C$199:$C$221,0),MATCH($C262,$C$199:$AN$199,0))</f>
        <v>61.412418067851227</v>
      </c>
    </row>
    <row r="263" spans="2:40" ht="12" hidden="1" customHeight="1" outlineLevel="2">
      <c r="B263" s="245"/>
      <c r="C263" s="250"/>
      <c r="D263" s="250"/>
      <c r="E263" s="213"/>
      <c r="F263" s="213"/>
      <c r="G263" s="213"/>
      <c r="H263" s="213"/>
      <c r="I263" s="213"/>
      <c r="J263" s="213"/>
      <c r="K263" s="213"/>
      <c r="L263" s="213"/>
      <c r="M263" s="213"/>
      <c r="N263" s="213"/>
      <c r="O263" s="213"/>
      <c r="P263" s="213"/>
      <c r="Q263" s="213"/>
      <c r="R263" s="213"/>
      <c r="S263" s="213"/>
      <c r="T263" s="213"/>
      <c r="U263" s="213"/>
      <c r="V263" s="213"/>
      <c r="W263" s="213"/>
      <c r="X263" s="213"/>
      <c r="Y263" s="213"/>
      <c r="Z263" s="213"/>
      <c r="AA263" s="213"/>
      <c r="AB263" s="211"/>
      <c r="AC263" s="211"/>
      <c r="AD263" s="211"/>
      <c r="AE263" s="211"/>
      <c r="AF263" s="211"/>
      <c r="AG263" s="211"/>
      <c r="AH263" s="211"/>
      <c r="AI263" s="211"/>
      <c r="AJ263" s="211"/>
      <c r="AK263" s="211"/>
      <c r="AL263" s="211"/>
      <c r="AM263" s="211"/>
      <c r="AN263" s="211"/>
    </row>
    <row r="264" spans="2:40" ht="12" hidden="1" customHeight="1" outlineLevel="2">
      <c r="B264" s="245"/>
      <c r="C264" s="249" t="s">
        <v>853</v>
      </c>
      <c r="D264" s="250"/>
      <c r="E264" s="213"/>
      <c r="F264" s="213"/>
      <c r="G264" s="213"/>
      <c r="H264" s="213"/>
      <c r="I264" s="213"/>
      <c r="J264" s="213"/>
      <c r="K264" s="213"/>
      <c r="L264" s="213"/>
      <c r="M264" s="213"/>
      <c r="N264" s="213"/>
      <c r="O264" s="213"/>
      <c r="P264" s="213"/>
      <c r="Q264" s="213"/>
      <c r="R264" s="213"/>
      <c r="S264" s="213"/>
      <c r="T264" s="213"/>
      <c r="U264" s="213"/>
      <c r="V264" s="213"/>
      <c r="W264" s="213"/>
      <c r="X264" s="213"/>
      <c r="Y264" s="213"/>
      <c r="Z264" s="213"/>
      <c r="AA264" s="213"/>
      <c r="AB264" s="213"/>
      <c r="AC264" s="211"/>
    </row>
    <row r="265" spans="2:40" ht="12" hidden="1" customHeight="1" outlineLevel="2">
      <c r="B265" s="239"/>
      <c r="C265" s="212" t="s">
        <v>850</v>
      </c>
      <c r="D265" s="212"/>
      <c r="E265" s="196" t="s">
        <v>753</v>
      </c>
      <c r="F265" s="196" t="s">
        <v>754</v>
      </c>
      <c r="G265" s="196" t="s">
        <v>755</v>
      </c>
      <c r="H265" s="196" t="s">
        <v>756</v>
      </c>
      <c r="I265" s="196" t="s">
        <v>757</v>
      </c>
      <c r="J265" s="196" t="s">
        <v>758</v>
      </c>
      <c r="K265" s="196" t="s">
        <v>759</v>
      </c>
      <c r="L265" s="196" t="s">
        <v>760</v>
      </c>
      <c r="M265" s="196" t="s">
        <v>761</v>
      </c>
      <c r="N265" s="196" t="s">
        <v>762</v>
      </c>
      <c r="O265" s="196" t="s">
        <v>763</v>
      </c>
      <c r="P265" s="196" t="s">
        <v>764</v>
      </c>
      <c r="Q265" s="196" t="s">
        <v>765</v>
      </c>
      <c r="R265" s="196" t="s">
        <v>766</v>
      </c>
      <c r="S265" s="196" t="s">
        <v>767</v>
      </c>
      <c r="T265" s="196" t="s">
        <v>768</v>
      </c>
      <c r="U265" s="196" t="s">
        <v>769</v>
      </c>
      <c r="V265" s="196" t="s">
        <v>770</v>
      </c>
      <c r="W265" s="196" t="s">
        <v>771</v>
      </c>
      <c r="X265" s="196" t="s">
        <v>772</v>
      </c>
      <c r="Y265" s="196" t="s">
        <v>773</v>
      </c>
      <c r="Z265" s="196" t="s">
        <v>774</v>
      </c>
      <c r="AA265" s="196" t="s">
        <v>775</v>
      </c>
      <c r="AB265" s="196" t="s">
        <v>776</v>
      </c>
      <c r="AC265" s="196" t="s">
        <v>777</v>
      </c>
      <c r="AD265" s="196" t="s">
        <v>778</v>
      </c>
      <c r="AE265" s="196" t="s">
        <v>779</v>
      </c>
      <c r="AF265" s="196" t="s">
        <v>780</v>
      </c>
      <c r="AG265" s="196" t="s">
        <v>781</v>
      </c>
      <c r="AH265" s="196" t="s">
        <v>782</v>
      </c>
      <c r="AI265" s="196" t="s">
        <v>783</v>
      </c>
      <c r="AJ265" s="196" t="s">
        <v>784</v>
      </c>
      <c r="AK265" s="196" t="s">
        <v>785</v>
      </c>
      <c r="AL265" s="196" t="s">
        <v>786</v>
      </c>
      <c r="AM265" s="196" t="s">
        <v>787</v>
      </c>
      <c r="AN265" s="196" t="s">
        <v>788</v>
      </c>
    </row>
    <row r="266" spans="2:40" ht="12" hidden="1" customHeight="1" outlineLevel="2">
      <c r="B266" s="239"/>
      <c r="C266" s="247" t="s">
        <v>851</v>
      </c>
      <c r="D266" s="212"/>
      <c r="E266" s="193">
        <v>7.0000000000000007E-2</v>
      </c>
      <c r="F266" s="193">
        <v>7.0000000000000007E-2</v>
      </c>
      <c r="G266" s="193">
        <v>7.0000000000000007E-2</v>
      </c>
      <c r="H266" s="193">
        <v>0.06</v>
      </c>
      <c r="I266" s="193">
        <v>0.06</v>
      </c>
      <c r="J266" s="193">
        <v>0.06</v>
      </c>
      <c r="K266" s="193">
        <v>0.05</v>
      </c>
      <c r="L266" s="193">
        <v>0.05</v>
      </c>
      <c r="M266" s="193">
        <v>0.05</v>
      </c>
      <c r="N266" s="193">
        <v>0.04</v>
      </c>
      <c r="O266" s="193">
        <v>0.04</v>
      </c>
      <c r="P266" s="193">
        <v>0.04</v>
      </c>
      <c r="Q266" s="193">
        <v>0.03</v>
      </c>
      <c r="R266" s="193">
        <v>0.03</v>
      </c>
      <c r="S266" s="193">
        <v>0.03</v>
      </c>
      <c r="T266" s="193">
        <v>0.02</v>
      </c>
      <c r="U266" s="193">
        <v>0.02</v>
      </c>
      <c r="V266" s="193">
        <v>0.02</v>
      </c>
      <c r="W266" s="193">
        <v>0.01</v>
      </c>
      <c r="X266" s="193">
        <v>0.01</v>
      </c>
      <c r="Y266" s="193">
        <v>0.01</v>
      </c>
      <c r="Z266" s="193">
        <v>0.01</v>
      </c>
      <c r="AA266" s="193">
        <v>0.01</v>
      </c>
      <c r="AB266" s="193">
        <v>0.01</v>
      </c>
      <c r="AC266" s="193">
        <v>0.01</v>
      </c>
      <c r="AD266" s="193">
        <f t="shared" ref="AD266:AN266" si="181">AC266</f>
        <v>0.01</v>
      </c>
      <c r="AE266" s="193">
        <f t="shared" si="181"/>
        <v>0.01</v>
      </c>
      <c r="AF266" s="193">
        <f t="shared" si="181"/>
        <v>0.01</v>
      </c>
      <c r="AG266" s="193">
        <f t="shared" si="181"/>
        <v>0.01</v>
      </c>
      <c r="AH266" s="193">
        <f t="shared" si="181"/>
        <v>0.01</v>
      </c>
      <c r="AI266" s="193">
        <f t="shared" si="181"/>
        <v>0.01</v>
      </c>
      <c r="AJ266" s="193">
        <f t="shared" si="181"/>
        <v>0.01</v>
      </c>
      <c r="AK266" s="193">
        <f t="shared" si="181"/>
        <v>0.01</v>
      </c>
      <c r="AL266" s="193">
        <f t="shared" si="181"/>
        <v>0.01</v>
      </c>
      <c r="AM266" s="193">
        <f t="shared" si="181"/>
        <v>0.01</v>
      </c>
      <c r="AN266" s="193">
        <f t="shared" si="181"/>
        <v>0.01</v>
      </c>
    </row>
    <row r="267" spans="2:40" ht="12" hidden="1" customHeight="1" outlineLevel="2">
      <c r="B267" s="239"/>
      <c r="C267" s="212" t="s">
        <v>861</v>
      </c>
      <c r="D267" s="212"/>
      <c r="E267" s="211"/>
      <c r="F267" s="211"/>
      <c r="G267" s="211"/>
      <c r="H267" s="211"/>
      <c r="I267" s="211"/>
      <c r="J267" s="211"/>
      <c r="K267" s="211"/>
      <c r="L267" s="211"/>
      <c r="M267" s="211"/>
      <c r="N267" s="211"/>
      <c r="O267" s="211"/>
      <c r="P267" s="211"/>
      <c r="Q267" s="211"/>
      <c r="R267" s="211"/>
      <c r="S267" s="211"/>
      <c r="T267" s="211"/>
      <c r="U267" s="211"/>
      <c r="V267" s="211"/>
      <c r="W267" s="211"/>
      <c r="X267" s="211"/>
      <c r="Y267" s="211"/>
      <c r="Z267" s="211"/>
      <c r="AA267" s="211"/>
      <c r="AB267" s="211"/>
      <c r="AC267" s="211"/>
      <c r="AD267" s="211"/>
      <c r="AE267" s="211"/>
      <c r="AF267" s="211"/>
      <c r="AG267" s="211"/>
      <c r="AH267" s="211"/>
      <c r="AI267" s="211"/>
      <c r="AJ267" s="211"/>
      <c r="AK267" s="211"/>
      <c r="AL267" s="211"/>
      <c r="AM267" s="211"/>
      <c r="AN267" s="211"/>
    </row>
    <row r="268" spans="2:40" ht="12" hidden="1" customHeight="1" outlineLevel="2">
      <c r="B268" s="245"/>
      <c r="C268" s="250" t="s">
        <v>753</v>
      </c>
      <c r="D268" s="250"/>
      <c r="E268" s="211">
        <f>INDEX($C$199:$AN$221,MATCH("New Customers 1MS",$C$199:$C$221,0),MATCH($C268,$C$199:$AN$199,0))</f>
        <v>0</v>
      </c>
      <c r="F268" s="211">
        <f>$E$268*(1-E266)</f>
        <v>0</v>
      </c>
      <c r="G268" s="211">
        <f t="shared" ref="G268:AN268" si="182">$E$268*(1-F266)</f>
        <v>0</v>
      </c>
      <c r="H268" s="211">
        <f t="shared" si="182"/>
        <v>0</v>
      </c>
      <c r="I268" s="211">
        <f t="shared" si="182"/>
        <v>0</v>
      </c>
      <c r="J268" s="211">
        <f t="shared" si="182"/>
        <v>0</v>
      </c>
      <c r="K268" s="211">
        <f t="shared" si="182"/>
        <v>0</v>
      </c>
      <c r="L268" s="211">
        <f t="shared" si="182"/>
        <v>0</v>
      </c>
      <c r="M268" s="211">
        <f t="shared" si="182"/>
        <v>0</v>
      </c>
      <c r="N268" s="211">
        <f t="shared" si="182"/>
        <v>0</v>
      </c>
      <c r="O268" s="211">
        <f t="shared" si="182"/>
        <v>0</v>
      </c>
      <c r="P268" s="211">
        <f t="shared" si="182"/>
        <v>0</v>
      </c>
      <c r="Q268" s="211">
        <f t="shared" si="182"/>
        <v>0</v>
      </c>
      <c r="R268" s="211">
        <f t="shared" si="182"/>
        <v>0</v>
      </c>
      <c r="S268" s="211">
        <f t="shared" si="182"/>
        <v>0</v>
      </c>
      <c r="T268" s="211">
        <f t="shared" si="182"/>
        <v>0</v>
      </c>
      <c r="U268" s="211">
        <f t="shared" si="182"/>
        <v>0</v>
      </c>
      <c r="V268" s="211">
        <f t="shared" si="182"/>
        <v>0</v>
      </c>
      <c r="W268" s="211">
        <f t="shared" si="182"/>
        <v>0</v>
      </c>
      <c r="X268" s="211">
        <f t="shared" si="182"/>
        <v>0</v>
      </c>
      <c r="Y268" s="211">
        <f t="shared" si="182"/>
        <v>0</v>
      </c>
      <c r="Z268" s="211">
        <f t="shared" si="182"/>
        <v>0</v>
      </c>
      <c r="AA268" s="211">
        <f t="shared" si="182"/>
        <v>0</v>
      </c>
      <c r="AB268" s="211">
        <f t="shared" si="182"/>
        <v>0</v>
      </c>
      <c r="AC268" s="211">
        <f t="shared" si="182"/>
        <v>0</v>
      </c>
      <c r="AD268" s="211">
        <f t="shared" si="182"/>
        <v>0</v>
      </c>
      <c r="AE268" s="211">
        <f t="shared" si="182"/>
        <v>0</v>
      </c>
      <c r="AF268" s="211">
        <f t="shared" si="182"/>
        <v>0</v>
      </c>
      <c r="AG268" s="211">
        <f t="shared" si="182"/>
        <v>0</v>
      </c>
      <c r="AH268" s="211">
        <f t="shared" si="182"/>
        <v>0</v>
      </c>
      <c r="AI268" s="211">
        <f t="shared" si="182"/>
        <v>0</v>
      </c>
      <c r="AJ268" s="211">
        <f t="shared" si="182"/>
        <v>0</v>
      </c>
      <c r="AK268" s="211">
        <f t="shared" si="182"/>
        <v>0</v>
      </c>
      <c r="AL268" s="211">
        <f t="shared" si="182"/>
        <v>0</v>
      </c>
      <c r="AM268" s="211">
        <f t="shared" si="182"/>
        <v>0</v>
      </c>
      <c r="AN268" s="211">
        <f t="shared" si="182"/>
        <v>0</v>
      </c>
    </row>
    <row r="269" spans="2:40" ht="12" hidden="1" customHeight="1" outlineLevel="2">
      <c r="B269" s="245"/>
      <c r="C269" s="250" t="s">
        <v>754</v>
      </c>
      <c r="D269" s="250"/>
      <c r="E269" s="213"/>
      <c r="F269" s="211">
        <f>INDEX($C$199:$AN$221,MATCH("New Customers 1MS",$C$199:$C$221,0),MATCH($C269,$C$199:$AN$199,0))</f>
        <v>1.0000000000000004</v>
      </c>
      <c r="G269" s="211">
        <f t="shared" ref="G269:AN269" si="183">$F$269*(E266)</f>
        <v>7.0000000000000034E-2</v>
      </c>
      <c r="H269" s="211">
        <f t="shared" si="183"/>
        <v>7.0000000000000034E-2</v>
      </c>
      <c r="I269" s="211">
        <f t="shared" si="183"/>
        <v>7.0000000000000034E-2</v>
      </c>
      <c r="J269" s="211">
        <f t="shared" si="183"/>
        <v>6.0000000000000026E-2</v>
      </c>
      <c r="K269" s="211">
        <f t="shared" si="183"/>
        <v>6.0000000000000026E-2</v>
      </c>
      <c r="L269" s="211">
        <f t="shared" si="183"/>
        <v>6.0000000000000026E-2</v>
      </c>
      <c r="M269" s="211">
        <f t="shared" si="183"/>
        <v>5.0000000000000024E-2</v>
      </c>
      <c r="N269" s="211">
        <f t="shared" si="183"/>
        <v>5.0000000000000024E-2</v>
      </c>
      <c r="O269" s="211">
        <f t="shared" si="183"/>
        <v>5.0000000000000024E-2</v>
      </c>
      <c r="P269" s="211">
        <f t="shared" si="183"/>
        <v>4.0000000000000022E-2</v>
      </c>
      <c r="Q269" s="211">
        <f t="shared" si="183"/>
        <v>4.0000000000000022E-2</v>
      </c>
      <c r="R269" s="211">
        <f t="shared" si="183"/>
        <v>4.0000000000000022E-2</v>
      </c>
      <c r="S269" s="211">
        <f t="shared" si="183"/>
        <v>3.0000000000000013E-2</v>
      </c>
      <c r="T269" s="211">
        <f t="shared" si="183"/>
        <v>3.0000000000000013E-2</v>
      </c>
      <c r="U269" s="211">
        <f t="shared" si="183"/>
        <v>3.0000000000000013E-2</v>
      </c>
      <c r="V269" s="211">
        <f t="shared" si="183"/>
        <v>2.0000000000000011E-2</v>
      </c>
      <c r="W269" s="211">
        <f t="shared" si="183"/>
        <v>2.0000000000000011E-2</v>
      </c>
      <c r="X269" s="211">
        <f t="shared" si="183"/>
        <v>2.0000000000000011E-2</v>
      </c>
      <c r="Y269" s="211">
        <f t="shared" si="183"/>
        <v>1.0000000000000005E-2</v>
      </c>
      <c r="Z269" s="211">
        <f t="shared" si="183"/>
        <v>1.0000000000000005E-2</v>
      </c>
      <c r="AA269" s="211">
        <f t="shared" si="183"/>
        <v>1.0000000000000005E-2</v>
      </c>
      <c r="AB269" s="211">
        <f t="shared" si="183"/>
        <v>1.0000000000000005E-2</v>
      </c>
      <c r="AC269" s="211">
        <f t="shared" si="183"/>
        <v>1.0000000000000005E-2</v>
      </c>
      <c r="AD269" s="211">
        <f t="shared" si="183"/>
        <v>1.0000000000000005E-2</v>
      </c>
      <c r="AE269" s="211">
        <f t="shared" si="183"/>
        <v>1.0000000000000005E-2</v>
      </c>
      <c r="AF269" s="211">
        <f t="shared" si="183"/>
        <v>1.0000000000000005E-2</v>
      </c>
      <c r="AG269" s="211">
        <f t="shared" si="183"/>
        <v>1.0000000000000005E-2</v>
      </c>
      <c r="AH269" s="211">
        <f t="shared" si="183"/>
        <v>1.0000000000000005E-2</v>
      </c>
      <c r="AI269" s="211">
        <f t="shared" si="183"/>
        <v>1.0000000000000005E-2</v>
      </c>
      <c r="AJ269" s="211">
        <f t="shared" si="183"/>
        <v>1.0000000000000005E-2</v>
      </c>
      <c r="AK269" s="211">
        <f t="shared" si="183"/>
        <v>1.0000000000000005E-2</v>
      </c>
      <c r="AL269" s="211">
        <f t="shared" si="183"/>
        <v>1.0000000000000005E-2</v>
      </c>
      <c r="AM269" s="211">
        <f t="shared" si="183"/>
        <v>1.0000000000000005E-2</v>
      </c>
      <c r="AN269" s="211">
        <f t="shared" si="183"/>
        <v>1.0000000000000005E-2</v>
      </c>
    </row>
    <row r="270" spans="2:40" ht="12" hidden="1" customHeight="1" outlineLevel="2">
      <c r="B270" s="245"/>
      <c r="C270" s="250" t="s">
        <v>755</v>
      </c>
      <c r="D270" s="250"/>
      <c r="E270" s="213"/>
      <c r="F270" s="213"/>
      <c r="G270" s="211">
        <f>INDEX($C$199:$AN$221,MATCH("New Customers 1MS",$C$199:$C$221,0),MATCH($C270,$C$199:$AN$199,0))</f>
        <v>0</v>
      </c>
      <c r="H270" s="211">
        <f t="shared" ref="H270:AN270" si="184">$G$270*(E266)</f>
        <v>0</v>
      </c>
      <c r="I270" s="211">
        <f t="shared" si="184"/>
        <v>0</v>
      </c>
      <c r="J270" s="211">
        <f t="shared" si="184"/>
        <v>0</v>
      </c>
      <c r="K270" s="211">
        <f t="shared" si="184"/>
        <v>0</v>
      </c>
      <c r="L270" s="211">
        <f t="shared" si="184"/>
        <v>0</v>
      </c>
      <c r="M270" s="211">
        <f t="shared" si="184"/>
        <v>0</v>
      </c>
      <c r="N270" s="211">
        <f t="shared" si="184"/>
        <v>0</v>
      </c>
      <c r="O270" s="211">
        <f t="shared" si="184"/>
        <v>0</v>
      </c>
      <c r="P270" s="211">
        <f t="shared" si="184"/>
        <v>0</v>
      </c>
      <c r="Q270" s="211">
        <f t="shared" si="184"/>
        <v>0</v>
      </c>
      <c r="R270" s="211">
        <f t="shared" si="184"/>
        <v>0</v>
      </c>
      <c r="S270" s="211">
        <f t="shared" si="184"/>
        <v>0</v>
      </c>
      <c r="T270" s="211">
        <f t="shared" si="184"/>
        <v>0</v>
      </c>
      <c r="U270" s="211">
        <f t="shared" si="184"/>
        <v>0</v>
      </c>
      <c r="V270" s="211">
        <f t="shared" si="184"/>
        <v>0</v>
      </c>
      <c r="W270" s="211">
        <f t="shared" si="184"/>
        <v>0</v>
      </c>
      <c r="X270" s="211">
        <f t="shared" si="184"/>
        <v>0</v>
      </c>
      <c r="Y270" s="211">
        <f t="shared" si="184"/>
        <v>0</v>
      </c>
      <c r="Z270" s="211">
        <f t="shared" si="184"/>
        <v>0</v>
      </c>
      <c r="AA270" s="211">
        <f t="shared" si="184"/>
        <v>0</v>
      </c>
      <c r="AB270" s="211">
        <f t="shared" si="184"/>
        <v>0</v>
      </c>
      <c r="AC270" s="211">
        <f t="shared" si="184"/>
        <v>0</v>
      </c>
      <c r="AD270" s="211">
        <f t="shared" si="184"/>
        <v>0</v>
      </c>
      <c r="AE270" s="211">
        <f t="shared" si="184"/>
        <v>0</v>
      </c>
      <c r="AF270" s="211">
        <f t="shared" si="184"/>
        <v>0</v>
      </c>
      <c r="AG270" s="211">
        <f t="shared" si="184"/>
        <v>0</v>
      </c>
      <c r="AH270" s="211">
        <f t="shared" si="184"/>
        <v>0</v>
      </c>
      <c r="AI270" s="211">
        <f t="shared" si="184"/>
        <v>0</v>
      </c>
      <c r="AJ270" s="211">
        <f t="shared" si="184"/>
        <v>0</v>
      </c>
      <c r="AK270" s="211">
        <f t="shared" si="184"/>
        <v>0</v>
      </c>
      <c r="AL270" s="211">
        <f t="shared" si="184"/>
        <v>0</v>
      </c>
      <c r="AM270" s="211">
        <f t="shared" si="184"/>
        <v>0</v>
      </c>
      <c r="AN270" s="211">
        <f t="shared" si="184"/>
        <v>0</v>
      </c>
    </row>
    <row r="271" spans="2:40" ht="12" hidden="1" customHeight="1" outlineLevel="2">
      <c r="B271" s="245"/>
      <c r="C271" s="250" t="s">
        <v>756</v>
      </c>
      <c r="D271" s="250"/>
      <c r="E271" s="213"/>
      <c r="F271" s="213"/>
      <c r="G271" s="213"/>
      <c r="H271" s="211">
        <f>INDEX($C$199:$AN$221,MATCH("New Customers 1MS",$C$199:$C$221,0),MATCH($C271,$C$199:$AN$199,0))</f>
        <v>0</v>
      </c>
      <c r="I271" s="211">
        <f t="shared" ref="I271:AN271" si="185">$H$271*(E266)</f>
        <v>0</v>
      </c>
      <c r="J271" s="211">
        <f t="shared" si="185"/>
        <v>0</v>
      </c>
      <c r="K271" s="211">
        <f t="shared" si="185"/>
        <v>0</v>
      </c>
      <c r="L271" s="211">
        <f t="shared" si="185"/>
        <v>0</v>
      </c>
      <c r="M271" s="211">
        <f t="shared" si="185"/>
        <v>0</v>
      </c>
      <c r="N271" s="211">
        <f t="shared" si="185"/>
        <v>0</v>
      </c>
      <c r="O271" s="211">
        <f t="shared" si="185"/>
        <v>0</v>
      </c>
      <c r="P271" s="211">
        <f t="shared" si="185"/>
        <v>0</v>
      </c>
      <c r="Q271" s="211">
        <f t="shared" si="185"/>
        <v>0</v>
      </c>
      <c r="R271" s="211">
        <f t="shared" si="185"/>
        <v>0</v>
      </c>
      <c r="S271" s="211">
        <f t="shared" si="185"/>
        <v>0</v>
      </c>
      <c r="T271" s="211">
        <f t="shared" si="185"/>
        <v>0</v>
      </c>
      <c r="U271" s="211">
        <f t="shared" si="185"/>
        <v>0</v>
      </c>
      <c r="V271" s="211">
        <f t="shared" si="185"/>
        <v>0</v>
      </c>
      <c r="W271" s="211">
        <f t="shared" si="185"/>
        <v>0</v>
      </c>
      <c r="X271" s="211">
        <f t="shared" si="185"/>
        <v>0</v>
      </c>
      <c r="Y271" s="211">
        <f t="shared" si="185"/>
        <v>0</v>
      </c>
      <c r="Z271" s="211">
        <f t="shared" si="185"/>
        <v>0</v>
      </c>
      <c r="AA271" s="211">
        <f t="shared" si="185"/>
        <v>0</v>
      </c>
      <c r="AB271" s="211">
        <f t="shared" si="185"/>
        <v>0</v>
      </c>
      <c r="AC271" s="211">
        <f t="shared" si="185"/>
        <v>0</v>
      </c>
      <c r="AD271" s="211">
        <f t="shared" si="185"/>
        <v>0</v>
      </c>
      <c r="AE271" s="211">
        <f t="shared" si="185"/>
        <v>0</v>
      </c>
      <c r="AF271" s="211">
        <f t="shared" si="185"/>
        <v>0</v>
      </c>
      <c r="AG271" s="211">
        <f t="shared" si="185"/>
        <v>0</v>
      </c>
      <c r="AH271" s="211">
        <f t="shared" si="185"/>
        <v>0</v>
      </c>
      <c r="AI271" s="211">
        <f t="shared" si="185"/>
        <v>0</v>
      </c>
      <c r="AJ271" s="211">
        <f t="shared" si="185"/>
        <v>0</v>
      </c>
      <c r="AK271" s="211">
        <f t="shared" si="185"/>
        <v>0</v>
      </c>
      <c r="AL271" s="211">
        <f t="shared" si="185"/>
        <v>0</v>
      </c>
      <c r="AM271" s="211">
        <f t="shared" si="185"/>
        <v>0</v>
      </c>
      <c r="AN271" s="211">
        <f t="shared" si="185"/>
        <v>0</v>
      </c>
    </row>
    <row r="272" spans="2:40" ht="12" hidden="1" customHeight="1" outlineLevel="2">
      <c r="B272" s="245"/>
      <c r="C272" s="250" t="s">
        <v>757</v>
      </c>
      <c r="D272" s="250"/>
      <c r="E272" s="213"/>
      <c r="F272" s="213"/>
      <c r="G272" s="213"/>
      <c r="H272" s="213"/>
      <c r="I272" s="211">
        <f>INDEX($C$199:$AN$221,MATCH("New Customers 1MS",$C$199:$C$221,0),MATCH($C272,$C$199:$AN$199,0))</f>
        <v>3.0000000000000036</v>
      </c>
      <c r="J272" s="211">
        <f t="shared" ref="J272:AN272" si="186">$I$272*(E266)</f>
        <v>0.21000000000000027</v>
      </c>
      <c r="K272" s="211">
        <f t="shared" si="186"/>
        <v>0.21000000000000027</v>
      </c>
      <c r="L272" s="211">
        <f t="shared" si="186"/>
        <v>0.21000000000000027</v>
      </c>
      <c r="M272" s="211">
        <f t="shared" si="186"/>
        <v>0.18000000000000022</v>
      </c>
      <c r="N272" s="211">
        <f t="shared" si="186"/>
        <v>0.18000000000000022</v>
      </c>
      <c r="O272" s="211">
        <f t="shared" si="186"/>
        <v>0.18000000000000022</v>
      </c>
      <c r="P272" s="211">
        <f t="shared" si="186"/>
        <v>0.15000000000000019</v>
      </c>
      <c r="Q272" s="211">
        <f t="shared" si="186"/>
        <v>0.15000000000000019</v>
      </c>
      <c r="R272" s="211">
        <f t="shared" si="186"/>
        <v>0.15000000000000019</v>
      </c>
      <c r="S272" s="211">
        <f t="shared" si="186"/>
        <v>0.12000000000000015</v>
      </c>
      <c r="T272" s="211">
        <f t="shared" si="186"/>
        <v>0.12000000000000015</v>
      </c>
      <c r="U272" s="211">
        <f t="shared" si="186"/>
        <v>0.12000000000000015</v>
      </c>
      <c r="V272" s="211">
        <f t="shared" si="186"/>
        <v>9.0000000000000108E-2</v>
      </c>
      <c r="W272" s="211">
        <f t="shared" si="186"/>
        <v>9.0000000000000108E-2</v>
      </c>
      <c r="X272" s="211">
        <f t="shared" si="186"/>
        <v>9.0000000000000108E-2</v>
      </c>
      <c r="Y272" s="211">
        <f t="shared" si="186"/>
        <v>6.0000000000000074E-2</v>
      </c>
      <c r="Z272" s="211">
        <f t="shared" si="186"/>
        <v>6.0000000000000074E-2</v>
      </c>
      <c r="AA272" s="211">
        <f t="shared" si="186"/>
        <v>6.0000000000000074E-2</v>
      </c>
      <c r="AB272" s="211">
        <f t="shared" si="186"/>
        <v>3.0000000000000037E-2</v>
      </c>
      <c r="AC272" s="211">
        <f t="shared" si="186"/>
        <v>3.0000000000000037E-2</v>
      </c>
      <c r="AD272" s="211">
        <f t="shared" si="186"/>
        <v>3.0000000000000037E-2</v>
      </c>
      <c r="AE272" s="211">
        <f t="shared" si="186"/>
        <v>3.0000000000000037E-2</v>
      </c>
      <c r="AF272" s="211">
        <f t="shared" si="186"/>
        <v>3.0000000000000037E-2</v>
      </c>
      <c r="AG272" s="211">
        <f t="shared" si="186"/>
        <v>3.0000000000000037E-2</v>
      </c>
      <c r="AH272" s="211">
        <f t="shared" si="186"/>
        <v>3.0000000000000037E-2</v>
      </c>
      <c r="AI272" s="211">
        <f t="shared" si="186"/>
        <v>3.0000000000000037E-2</v>
      </c>
      <c r="AJ272" s="211">
        <f t="shared" si="186"/>
        <v>3.0000000000000037E-2</v>
      </c>
      <c r="AK272" s="211">
        <f t="shared" si="186"/>
        <v>3.0000000000000037E-2</v>
      </c>
      <c r="AL272" s="211">
        <f t="shared" si="186"/>
        <v>3.0000000000000037E-2</v>
      </c>
      <c r="AM272" s="211">
        <f t="shared" si="186"/>
        <v>3.0000000000000037E-2</v>
      </c>
      <c r="AN272" s="211">
        <f t="shared" si="186"/>
        <v>3.0000000000000037E-2</v>
      </c>
    </row>
    <row r="273" spans="2:40" ht="12" hidden="1" customHeight="1" outlineLevel="2">
      <c r="B273" s="245"/>
      <c r="C273" s="250" t="s">
        <v>758</v>
      </c>
      <c r="D273" s="250"/>
      <c r="E273" s="213"/>
      <c r="F273" s="213"/>
      <c r="G273" s="213"/>
      <c r="H273" s="213"/>
      <c r="I273" s="213"/>
      <c r="J273" s="211">
        <f>INDEX($C$199:$AN$221,MATCH("New Customers 1MS",$C$199:$C$221,0),MATCH($C273,$C$199:$AN$199,0))</f>
        <v>4.9999999999999956</v>
      </c>
      <c r="K273" s="211">
        <f t="shared" ref="K273:AN273" si="187">$J$273*(E266)</f>
        <v>0.3499999999999997</v>
      </c>
      <c r="L273" s="211">
        <f t="shared" si="187"/>
        <v>0.3499999999999997</v>
      </c>
      <c r="M273" s="211">
        <f t="shared" si="187"/>
        <v>0.3499999999999997</v>
      </c>
      <c r="N273" s="211">
        <f t="shared" si="187"/>
        <v>0.29999999999999971</v>
      </c>
      <c r="O273" s="211">
        <f t="shared" si="187"/>
        <v>0.29999999999999971</v>
      </c>
      <c r="P273" s="211">
        <f t="shared" si="187"/>
        <v>0.29999999999999971</v>
      </c>
      <c r="Q273" s="211">
        <f t="shared" si="187"/>
        <v>0.24999999999999978</v>
      </c>
      <c r="R273" s="211">
        <f t="shared" si="187"/>
        <v>0.24999999999999978</v>
      </c>
      <c r="S273" s="211">
        <f t="shared" si="187"/>
        <v>0.24999999999999978</v>
      </c>
      <c r="T273" s="211">
        <f t="shared" si="187"/>
        <v>0.19999999999999982</v>
      </c>
      <c r="U273" s="211">
        <f t="shared" si="187"/>
        <v>0.19999999999999982</v>
      </c>
      <c r="V273" s="211">
        <f t="shared" si="187"/>
        <v>0.19999999999999982</v>
      </c>
      <c r="W273" s="211">
        <f t="shared" si="187"/>
        <v>0.14999999999999986</v>
      </c>
      <c r="X273" s="211">
        <f t="shared" si="187"/>
        <v>0.14999999999999986</v>
      </c>
      <c r="Y273" s="211">
        <f t="shared" si="187"/>
        <v>0.14999999999999986</v>
      </c>
      <c r="Z273" s="211">
        <f t="shared" si="187"/>
        <v>9.9999999999999908E-2</v>
      </c>
      <c r="AA273" s="211">
        <f t="shared" si="187"/>
        <v>9.9999999999999908E-2</v>
      </c>
      <c r="AB273" s="211">
        <f t="shared" si="187"/>
        <v>9.9999999999999908E-2</v>
      </c>
      <c r="AC273" s="211">
        <f t="shared" si="187"/>
        <v>4.9999999999999954E-2</v>
      </c>
      <c r="AD273" s="211">
        <f t="shared" si="187"/>
        <v>4.9999999999999954E-2</v>
      </c>
      <c r="AE273" s="211">
        <f t="shared" si="187"/>
        <v>4.9999999999999954E-2</v>
      </c>
      <c r="AF273" s="211">
        <f t="shared" si="187"/>
        <v>4.9999999999999954E-2</v>
      </c>
      <c r="AG273" s="211">
        <f t="shared" si="187"/>
        <v>4.9999999999999954E-2</v>
      </c>
      <c r="AH273" s="211">
        <f t="shared" si="187"/>
        <v>4.9999999999999954E-2</v>
      </c>
      <c r="AI273" s="211">
        <f t="shared" si="187"/>
        <v>4.9999999999999954E-2</v>
      </c>
      <c r="AJ273" s="211">
        <f t="shared" si="187"/>
        <v>4.9999999999999954E-2</v>
      </c>
      <c r="AK273" s="211">
        <f t="shared" si="187"/>
        <v>4.9999999999999954E-2</v>
      </c>
      <c r="AL273" s="211">
        <f t="shared" si="187"/>
        <v>4.9999999999999954E-2</v>
      </c>
      <c r="AM273" s="211">
        <f t="shared" si="187"/>
        <v>4.9999999999999954E-2</v>
      </c>
      <c r="AN273" s="211">
        <f t="shared" si="187"/>
        <v>4.9999999999999954E-2</v>
      </c>
    </row>
    <row r="274" spans="2:40" ht="12" hidden="1" customHeight="1" outlineLevel="2">
      <c r="B274" s="245"/>
      <c r="C274" s="250" t="s">
        <v>759</v>
      </c>
      <c r="D274" s="250"/>
      <c r="E274" s="213"/>
      <c r="F274" s="213"/>
      <c r="G274" s="213"/>
      <c r="H274" s="213"/>
      <c r="I274" s="213"/>
      <c r="J274" s="213"/>
      <c r="K274" s="211">
        <f>INDEX($C$199:$AN$221,MATCH("New Customers 1MS",$C$199:$C$221,0),MATCH($C274,$C$199:$AN$199,0))</f>
        <v>0.99999999999999933</v>
      </c>
      <c r="L274" s="211">
        <f t="shared" ref="L274:AN274" si="188">$K$274*(E266)</f>
        <v>6.9999999999999965E-2</v>
      </c>
      <c r="M274" s="211">
        <f t="shared" si="188"/>
        <v>6.9999999999999965E-2</v>
      </c>
      <c r="N274" s="211">
        <f t="shared" si="188"/>
        <v>6.9999999999999965E-2</v>
      </c>
      <c r="O274" s="211">
        <f t="shared" si="188"/>
        <v>5.9999999999999956E-2</v>
      </c>
      <c r="P274" s="211">
        <f t="shared" si="188"/>
        <v>5.9999999999999956E-2</v>
      </c>
      <c r="Q274" s="211">
        <f t="shared" si="188"/>
        <v>5.9999999999999956E-2</v>
      </c>
      <c r="R274" s="211">
        <f t="shared" si="188"/>
        <v>4.9999999999999968E-2</v>
      </c>
      <c r="S274" s="211">
        <f t="shared" si="188"/>
        <v>4.9999999999999968E-2</v>
      </c>
      <c r="T274" s="211">
        <f t="shared" si="188"/>
        <v>4.9999999999999968E-2</v>
      </c>
      <c r="U274" s="211">
        <f t="shared" si="188"/>
        <v>3.9999999999999973E-2</v>
      </c>
      <c r="V274" s="211">
        <f t="shared" si="188"/>
        <v>3.9999999999999973E-2</v>
      </c>
      <c r="W274" s="211">
        <f t="shared" si="188"/>
        <v>3.9999999999999973E-2</v>
      </c>
      <c r="X274" s="211">
        <f t="shared" si="188"/>
        <v>2.9999999999999978E-2</v>
      </c>
      <c r="Y274" s="211">
        <f t="shared" si="188"/>
        <v>2.9999999999999978E-2</v>
      </c>
      <c r="Z274" s="211">
        <f t="shared" si="188"/>
        <v>2.9999999999999978E-2</v>
      </c>
      <c r="AA274" s="211">
        <f t="shared" si="188"/>
        <v>1.9999999999999987E-2</v>
      </c>
      <c r="AB274" s="211">
        <f t="shared" si="188"/>
        <v>1.9999999999999987E-2</v>
      </c>
      <c r="AC274" s="211">
        <f t="shared" si="188"/>
        <v>1.9999999999999987E-2</v>
      </c>
      <c r="AD274" s="211">
        <f t="shared" si="188"/>
        <v>9.9999999999999933E-3</v>
      </c>
      <c r="AE274" s="211">
        <f t="shared" si="188"/>
        <v>9.9999999999999933E-3</v>
      </c>
      <c r="AF274" s="211">
        <f t="shared" si="188"/>
        <v>9.9999999999999933E-3</v>
      </c>
      <c r="AG274" s="211">
        <f t="shared" si="188"/>
        <v>9.9999999999999933E-3</v>
      </c>
      <c r="AH274" s="211">
        <f t="shared" si="188"/>
        <v>9.9999999999999933E-3</v>
      </c>
      <c r="AI274" s="211">
        <f t="shared" si="188"/>
        <v>9.9999999999999933E-3</v>
      </c>
      <c r="AJ274" s="211">
        <f t="shared" si="188"/>
        <v>9.9999999999999933E-3</v>
      </c>
      <c r="AK274" s="211">
        <f t="shared" si="188"/>
        <v>9.9999999999999933E-3</v>
      </c>
      <c r="AL274" s="211">
        <f t="shared" si="188"/>
        <v>9.9999999999999933E-3</v>
      </c>
      <c r="AM274" s="211">
        <f t="shared" si="188"/>
        <v>9.9999999999999933E-3</v>
      </c>
      <c r="AN274" s="211">
        <f t="shared" si="188"/>
        <v>9.9999999999999933E-3</v>
      </c>
    </row>
    <row r="275" spans="2:40" ht="12" hidden="1" customHeight="1" outlineLevel="2">
      <c r="B275" s="245"/>
      <c r="C275" s="250" t="s">
        <v>760</v>
      </c>
      <c r="D275" s="250"/>
      <c r="E275" s="213"/>
      <c r="F275" s="213"/>
      <c r="G275" s="251"/>
      <c r="H275" s="213"/>
      <c r="I275" s="213"/>
      <c r="J275" s="213"/>
      <c r="K275" s="213"/>
      <c r="L275" s="211">
        <f>INDEX($C$199:$AN$221,MATCH("New Customers 1MS",$C$199:$C$221,0),MATCH($C275,$C$199:$AN$199,0))</f>
        <v>0</v>
      </c>
      <c r="M275" s="211">
        <f t="shared" ref="M275:AN275" si="189">$L$275*(E266)</f>
        <v>0</v>
      </c>
      <c r="N275" s="211">
        <f t="shared" si="189"/>
        <v>0</v>
      </c>
      <c r="O275" s="211">
        <f t="shared" si="189"/>
        <v>0</v>
      </c>
      <c r="P275" s="211">
        <f t="shared" si="189"/>
        <v>0</v>
      </c>
      <c r="Q275" s="211">
        <f t="shared" si="189"/>
        <v>0</v>
      </c>
      <c r="R275" s="211">
        <f t="shared" si="189"/>
        <v>0</v>
      </c>
      <c r="S275" s="211">
        <f t="shared" si="189"/>
        <v>0</v>
      </c>
      <c r="T275" s="211">
        <f t="shared" si="189"/>
        <v>0</v>
      </c>
      <c r="U275" s="211">
        <f t="shared" si="189"/>
        <v>0</v>
      </c>
      <c r="V275" s="211">
        <f t="shared" si="189"/>
        <v>0</v>
      </c>
      <c r="W275" s="211">
        <f t="shared" si="189"/>
        <v>0</v>
      </c>
      <c r="X275" s="211">
        <f t="shared" si="189"/>
        <v>0</v>
      </c>
      <c r="Y275" s="211">
        <f t="shared" si="189"/>
        <v>0</v>
      </c>
      <c r="Z275" s="211">
        <f t="shared" si="189"/>
        <v>0</v>
      </c>
      <c r="AA275" s="211">
        <f t="shared" si="189"/>
        <v>0</v>
      </c>
      <c r="AB275" s="211">
        <f t="shared" si="189"/>
        <v>0</v>
      </c>
      <c r="AC275" s="211">
        <f t="shared" si="189"/>
        <v>0</v>
      </c>
      <c r="AD275" s="211">
        <f t="shared" si="189"/>
        <v>0</v>
      </c>
      <c r="AE275" s="211">
        <f t="shared" si="189"/>
        <v>0</v>
      </c>
      <c r="AF275" s="211">
        <f t="shared" si="189"/>
        <v>0</v>
      </c>
      <c r="AG275" s="211">
        <f t="shared" si="189"/>
        <v>0</v>
      </c>
      <c r="AH275" s="211">
        <f t="shared" si="189"/>
        <v>0</v>
      </c>
      <c r="AI275" s="211">
        <f t="shared" si="189"/>
        <v>0</v>
      </c>
      <c r="AJ275" s="211">
        <f t="shared" si="189"/>
        <v>0</v>
      </c>
      <c r="AK275" s="211">
        <f t="shared" si="189"/>
        <v>0</v>
      </c>
      <c r="AL275" s="211">
        <f t="shared" si="189"/>
        <v>0</v>
      </c>
      <c r="AM275" s="211">
        <f t="shared" si="189"/>
        <v>0</v>
      </c>
      <c r="AN275" s="211">
        <f t="shared" si="189"/>
        <v>0</v>
      </c>
    </row>
    <row r="276" spans="2:40" ht="12" hidden="1" customHeight="1" outlineLevel="2">
      <c r="B276" s="245"/>
      <c r="C276" s="250" t="s">
        <v>761</v>
      </c>
      <c r="D276" s="250"/>
      <c r="E276" s="213"/>
      <c r="F276" s="213"/>
      <c r="G276" s="213"/>
      <c r="H276" s="213"/>
      <c r="I276" s="213"/>
      <c r="J276" s="213"/>
      <c r="K276" s="213"/>
      <c r="L276" s="213"/>
      <c r="M276" s="211">
        <f>INDEX($C$199:$AN$221,MATCH("New Customers 1MS",$C$199:$C$221,0),MATCH($C276,$C$199:$AN$199,0))</f>
        <v>28.370074349946506</v>
      </c>
      <c r="N276" s="211">
        <f t="shared" ref="N276:AN276" si="190">$M$276*(E266)</f>
        <v>1.9859052044962555</v>
      </c>
      <c r="O276" s="211">
        <f t="shared" si="190"/>
        <v>1.9859052044962555</v>
      </c>
      <c r="P276" s="211">
        <f t="shared" si="190"/>
        <v>1.9859052044962555</v>
      </c>
      <c r="Q276" s="211">
        <f t="shared" si="190"/>
        <v>1.7022044609967903</v>
      </c>
      <c r="R276" s="211">
        <f t="shared" si="190"/>
        <v>1.7022044609967903</v>
      </c>
      <c r="S276" s="211">
        <f t="shared" si="190"/>
        <v>1.7022044609967903</v>
      </c>
      <c r="T276" s="211">
        <f t="shared" si="190"/>
        <v>1.4185037174973254</v>
      </c>
      <c r="U276" s="211">
        <f t="shared" si="190"/>
        <v>1.4185037174973254</v>
      </c>
      <c r="V276" s="211">
        <f t="shared" si="190"/>
        <v>1.4185037174973254</v>
      </c>
      <c r="W276" s="211">
        <f t="shared" si="190"/>
        <v>1.1348029739978602</v>
      </c>
      <c r="X276" s="211">
        <f t="shared" si="190"/>
        <v>1.1348029739978602</v>
      </c>
      <c r="Y276" s="211">
        <f t="shared" si="190"/>
        <v>1.1348029739978602</v>
      </c>
      <c r="Z276" s="211">
        <f t="shared" si="190"/>
        <v>0.85110223049839517</v>
      </c>
      <c r="AA276" s="211">
        <f t="shared" si="190"/>
        <v>0.85110223049839517</v>
      </c>
      <c r="AB276" s="211">
        <f t="shared" si="190"/>
        <v>0.85110223049839517</v>
      </c>
      <c r="AC276" s="211">
        <f t="shared" si="190"/>
        <v>0.56740148699893012</v>
      </c>
      <c r="AD276" s="211">
        <f t="shared" si="190"/>
        <v>0.56740148699893012</v>
      </c>
      <c r="AE276" s="211">
        <f t="shared" si="190"/>
        <v>0.56740148699893012</v>
      </c>
      <c r="AF276" s="211">
        <f t="shared" si="190"/>
        <v>0.28370074349946506</v>
      </c>
      <c r="AG276" s="211">
        <f t="shared" si="190"/>
        <v>0.28370074349946506</v>
      </c>
      <c r="AH276" s="211">
        <f t="shared" si="190"/>
        <v>0.28370074349946506</v>
      </c>
      <c r="AI276" s="211">
        <f t="shared" si="190"/>
        <v>0.28370074349946506</v>
      </c>
      <c r="AJ276" s="211">
        <f t="shared" si="190"/>
        <v>0.28370074349946506</v>
      </c>
      <c r="AK276" s="211">
        <f t="shared" si="190"/>
        <v>0.28370074349946506</v>
      </c>
      <c r="AL276" s="211">
        <f t="shared" si="190"/>
        <v>0.28370074349946506</v>
      </c>
      <c r="AM276" s="211">
        <f t="shared" si="190"/>
        <v>0.28370074349946506</v>
      </c>
      <c r="AN276" s="211">
        <f t="shared" si="190"/>
        <v>0.28370074349946506</v>
      </c>
    </row>
    <row r="277" spans="2:40" ht="12" hidden="1" customHeight="1" outlineLevel="2">
      <c r="B277" s="245"/>
      <c r="C277" s="250" t="s">
        <v>762</v>
      </c>
      <c r="D277" s="250"/>
      <c r="E277" s="213"/>
      <c r="F277" s="213"/>
      <c r="G277" s="213"/>
      <c r="H277" s="213"/>
      <c r="I277" s="213"/>
      <c r="J277" s="213"/>
      <c r="K277" s="213"/>
      <c r="L277" s="213"/>
      <c r="M277" s="213"/>
      <c r="N277" s="211">
        <f>INDEX($C$199:$AN$221,MATCH("New Customers 1MS",$C$199:$C$221,0),MATCH($C277,$C$199:$AN$199,0))</f>
        <v>26.343640467807472</v>
      </c>
      <c r="O277" s="211">
        <f t="shared" ref="O277:AN277" si="191">$N$277*(E266)</f>
        <v>1.8440548327465232</v>
      </c>
      <c r="P277" s="211">
        <f t="shared" si="191"/>
        <v>1.8440548327465232</v>
      </c>
      <c r="Q277" s="211">
        <f t="shared" si="191"/>
        <v>1.8440548327465232</v>
      </c>
      <c r="R277" s="211">
        <f t="shared" si="191"/>
        <v>1.5806184280684483</v>
      </c>
      <c r="S277" s="211">
        <f t="shared" si="191"/>
        <v>1.5806184280684483</v>
      </c>
      <c r="T277" s="211">
        <f t="shared" si="191"/>
        <v>1.5806184280684483</v>
      </c>
      <c r="U277" s="211">
        <f t="shared" si="191"/>
        <v>1.3171820233903737</v>
      </c>
      <c r="V277" s="211">
        <f t="shared" si="191"/>
        <v>1.3171820233903737</v>
      </c>
      <c r="W277" s="211">
        <f t="shared" si="191"/>
        <v>1.3171820233903737</v>
      </c>
      <c r="X277" s="211">
        <f t="shared" si="191"/>
        <v>1.0537456187122989</v>
      </c>
      <c r="Y277" s="211">
        <f t="shared" si="191"/>
        <v>1.0537456187122989</v>
      </c>
      <c r="Z277" s="211">
        <f t="shared" si="191"/>
        <v>1.0537456187122989</v>
      </c>
      <c r="AA277" s="211">
        <f t="shared" si="191"/>
        <v>0.79030921403422416</v>
      </c>
      <c r="AB277" s="211">
        <f t="shared" si="191"/>
        <v>0.79030921403422416</v>
      </c>
      <c r="AC277" s="211">
        <f t="shared" si="191"/>
        <v>0.79030921403422416</v>
      </c>
      <c r="AD277" s="211">
        <f t="shared" si="191"/>
        <v>0.52687280935614944</v>
      </c>
      <c r="AE277" s="211">
        <f t="shared" si="191"/>
        <v>0.52687280935614944</v>
      </c>
      <c r="AF277" s="211">
        <f t="shared" si="191"/>
        <v>0.52687280935614944</v>
      </c>
      <c r="AG277" s="211">
        <f t="shared" si="191"/>
        <v>0.26343640467807472</v>
      </c>
      <c r="AH277" s="211">
        <f t="shared" si="191"/>
        <v>0.26343640467807472</v>
      </c>
      <c r="AI277" s="211">
        <f t="shared" si="191"/>
        <v>0.26343640467807472</v>
      </c>
      <c r="AJ277" s="211">
        <f t="shared" si="191"/>
        <v>0.26343640467807472</v>
      </c>
      <c r="AK277" s="211">
        <f t="shared" si="191"/>
        <v>0.26343640467807472</v>
      </c>
      <c r="AL277" s="211">
        <f t="shared" si="191"/>
        <v>0.26343640467807472</v>
      </c>
      <c r="AM277" s="211">
        <f t="shared" si="191"/>
        <v>0.26343640467807472</v>
      </c>
      <c r="AN277" s="211">
        <f t="shared" si="191"/>
        <v>0.26343640467807472</v>
      </c>
    </row>
    <row r="278" spans="2:40" ht="12" hidden="1" customHeight="1" outlineLevel="2">
      <c r="B278" s="245"/>
      <c r="C278" s="250" t="s">
        <v>763</v>
      </c>
      <c r="D278" s="250"/>
      <c r="E278" s="213"/>
      <c r="F278" s="213"/>
      <c r="G278" s="213"/>
      <c r="H278" s="213"/>
      <c r="I278" s="213"/>
      <c r="J278" s="213"/>
      <c r="K278" s="213"/>
      <c r="L278" s="213"/>
      <c r="M278" s="213"/>
      <c r="N278" s="213"/>
      <c r="O278" s="211">
        <f>INDEX($C$199:$AN$221,MATCH("New Customers 1MS",$C$199:$C$221,0),MATCH($C278,$C$199:$AN$199,0))</f>
        <v>6.0793016464171092</v>
      </c>
      <c r="P278" s="211">
        <f t="shared" ref="P278:AN278" si="192">$O$278*(E266)</f>
        <v>0.4255511152491977</v>
      </c>
      <c r="Q278" s="211">
        <f t="shared" si="192"/>
        <v>0.4255511152491977</v>
      </c>
      <c r="R278" s="211">
        <f t="shared" si="192"/>
        <v>0.4255511152491977</v>
      </c>
      <c r="S278" s="211">
        <f t="shared" si="192"/>
        <v>0.36475809878502652</v>
      </c>
      <c r="T278" s="211">
        <f t="shared" si="192"/>
        <v>0.36475809878502652</v>
      </c>
      <c r="U278" s="211">
        <f t="shared" si="192"/>
        <v>0.36475809878502652</v>
      </c>
      <c r="V278" s="211">
        <f t="shared" si="192"/>
        <v>0.30396508232085551</v>
      </c>
      <c r="W278" s="211">
        <f t="shared" si="192"/>
        <v>0.30396508232085551</v>
      </c>
      <c r="X278" s="211">
        <f t="shared" si="192"/>
        <v>0.30396508232085551</v>
      </c>
      <c r="Y278" s="211">
        <f t="shared" si="192"/>
        <v>0.24317206585668438</v>
      </c>
      <c r="Z278" s="211">
        <f t="shared" si="192"/>
        <v>0.24317206585668438</v>
      </c>
      <c r="AA278" s="211">
        <f t="shared" si="192"/>
        <v>0.24317206585668438</v>
      </c>
      <c r="AB278" s="211">
        <f t="shared" si="192"/>
        <v>0.18237904939251326</v>
      </c>
      <c r="AC278" s="211">
        <f t="shared" si="192"/>
        <v>0.18237904939251326</v>
      </c>
      <c r="AD278" s="211">
        <f t="shared" si="192"/>
        <v>0.18237904939251326</v>
      </c>
      <c r="AE278" s="211">
        <f t="shared" si="192"/>
        <v>0.12158603292834219</v>
      </c>
      <c r="AF278" s="211">
        <f t="shared" si="192"/>
        <v>0.12158603292834219</v>
      </c>
      <c r="AG278" s="211">
        <f t="shared" si="192"/>
        <v>0.12158603292834219</v>
      </c>
      <c r="AH278" s="211">
        <f t="shared" si="192"/>
        <v>6.0793016464171096E-2</v>
      </c>
      <c r="AI278" s="211">
        <f t="shared" si="192"/>
        <v>6.0793016464171096E-2</v>
      </c>
      <c r="AJ278" s="211">
        <f t="shared" si="192"/>
        <v>6.0793016464171096E-2</v>
      </c>
      <c r="AK278" s="211">
        <f t="shared" si="192"/>
        <v>6.0793016464171096E-2</v>
      </c>
      <c r="AL278" s="211">
        <f t="shared" si="192"/>
        <v>6.0793016464171096E-2</v>
      </c>
      <c r="AM278" s="211">
        <f t="shared" si="192"/>
        <v>6.0793016464171096E-2</v>
      </c>
      <c r="AN278" s="211">
        <f t="shared" si="192"/>
        <v>6.0793016464171096E-2</v>
      </c>
    </row>
    <row r="279" spans="2:40" ht="12" hidden="1" customHeight="1" outlineLevel="2">
      <c r="B279" s="245"/>
      <c r="C279" s="250" t="s">
        <v>764</v>
      </c>
      <c r="D279" s="250"/>
      <c r="E279" s="213"/>
      <c r="F279" s="213"/>
      <c r="G279" s="213"/>
      <c r="H279" s="213"/>
      <c r="I279" s="213"/>
      <c r="J279" s="213"/>
      <c r="K279" s="213"/>
      <c r="L279" s="213"/>
      <c r="M279" s="213"/>
      <c r="N279" s="213"/>
      <c r="O279" s="213"/>
      <c r="P279" s="211">
        <f>INDEX($C$199:$AN$221,MATCH("New Customers 1MS",$C$199:$C$221,0),MATCH($C279,$C$199:$AN$199,0))</f>
        <v>8.1057355285561439</v>
      </c>
      <c r="Q279" s="211">
        <f t="shared" ref="Q279:AN279" si="193">$P$279*(E266)</f>
        <v>0.56740148699893012</v>
      </c>
      <c r="R279" s="211">
        <f t="shared" si="193"/>
        <v>0.56740148699893012</v>
      </c>
      <c r="S279" s="211">
        <f t="shared" si="193"/>
        <v>0.56740148699893012</v>
      </c>
      <c r="T279" s="211">
        <f t="shared" si="193"/>
        <v>0.4863441317133686</v>
      </c>
      <c r="U279" s="211">
        <f t="shared" si="193"/>
        <v>0.4863441317133686</v>
      </c>
      <c r="V279" s="211">
        <f t="shared" si="193"/>
        <v>0.4863441317133686</v>
      </c>
      <c r="W279" s="211">
        <f t="shared" si="193"/>
        <v>0.40528677642780719</v>
      </c>
      <c r="X279" s="211">
        <f t="shared" si="193"/>
        <v>0.40528677642780719</v>
      </c>
      <c r="Y279" s="211">
        <f t="shared" si="193"/>
        <v>0.40528677642780719</v>
      </c>
      <c r="Z279" s="211">
        <f t="shared" si="193"/>
        <v>0.32422942114224579</v>
      </c>
      <c r="AA279" s="211">
        <f t="shared" si="193"/>
        <v>0.32422942114224579</v>
      </c>
      <c r="AB279" s="211">
        <f t="shared" si="193"/>
        <v>0.32422942114224579</v>
      </c>
      <c r="AC279" s="211">
        <f t="shared" si="193"/>
        <v>0.2431720658566843</v>
      </c>
      <c r="AD279" s="211">
        <f t="shared" si="193"/>
        <v>0.2431720658566843</v>
      </c>
      <c r="AE279" s="211">
        <f t="shared" si="193"/>
        <v>0.2431720658566843</v>
      </c>
      <c r="AF279" s="211">
        <f t="shared" si="193"/>
        <v>0.16211471057112289</v>
      </c>
      <c r="AG279" s="211">
        <f t="shared" si="193"/>
        <v>0.16211471057112289</v>
      </c>
      <c r="AH279" s="211">
        <f t="shared" si="193"/>
        <v>0.16211471057112289</v>
      </c>
      <c r="AI279" s="211">
        <f t="shared" si="193"/>
        <v>8.1057355285561447E-2</v>
      </c>
      <c r="AJ279" s="211">
        <f t="shared" si="193"/>
        <v>8.1057355285561447E-2</v>
      </c>
      <c r="AK279" s="211">
        <f t="shared" si="193"/>
        <v>8.1057355285561447E-2</v>
      </c>
      <c r="AL279" s="211">
        <f t="shared" si="193"/>
        <v>8.1057355285561447E-2</v>
      </c>
      <c r="AM279" s="211">
        <f t="shared" si="193"/>
        <v>8.1057355285561447E-2</v>
      </c>
      <c r="AN279" s="211">
        <f t="shared" si="193"/>
        <v>8.1057355285561447E-2</v>
      </c>
    </row>
    <row r="280" spans="2:40" ht="12" hidden="1" customHeight="1" outlineLevel="2">
      <c r="B280" s="245"/>
      <c r="C280" s="250" t="s">
        <v>765</v>
      </c>
      <c r="D280" s="250"/>
      <c r="E280" s="213"/>
      <c r="F280" s="213"/>
      <c r="G280" s="213"/>
      <c r="H280" s="213"/>
      <c r="I280" s="213"/>
      <c r="J280" s="213"/>
      <c r="K280" s="213"/>
      <c r="L280" s="213"/>
      <c r="M280" s="213"/>
      <c r="N280" s="213"/>
      <c r="O280" s="213"/>
      <c r="P280" s="213"/>
      <c r="Q280" s="211">
        <f>INDEX($C$199:$AN$221,MATCH("New Customers 1MS",$C$199:$C$221,0),MATCH($C280,$C$199:$AN$199,0))</f>
        <v>8.3836001424750517</v>
      </c>
      <c r="R280" s="211">
        <f t="shared" ref="R280:AN280" si="194">$Q$280*(E266)</f>
        <v>0.58685200997325371</v>
      </c>
      <c r="S280" s="211">
        <f t="shared" si="194"/>
        <v>0.58685200997325371</v>
      </c>
      <c r="T280" s="211">
        <f t="shared" si="194"/>
        <v>0.58685200997325371</v>
      </c>
      <c r="U280" s="211">
        <f t="shared" si="194"/>
        <v>0.50301600854850304</v>
      </c>
      <c r="V280" s="211">
        <f t="shared" si="194"/>
        <v>0.50301600854850304</v>
      </c>
      <c r="W280" s="211">
        <f t="shared" si="194"/>
        <v>0.50301600854850304</v>
      </c>
      <c r="X280" s="211">
        <f t="shared" si="194"/>
        <v>0.41918000712375258</v>
      </c>
      <c r="Y280" s="211">
        <f t="shared" si="194"/>
        <v>0.41918000712375258</v>
      </c>
      <c r="Z280" s="211">
        <f t="shared" si="194"/>
        <v>0.41918000712375258</v>
      </c>
      <c r="AA280" s="211">
        <f t="shared" si="194"/>
        <v>0.33534400569900208</v>
      </c>
      <c r="AB280" s="211">
        <f t="shared" si="194"/>
        <v>0.33534400569900208</v>
      </c>
      <c r="AC280" s="211">
        <f t="shared" si="194"/>
        <v>0.33534400569900208</v>
      </c>
      <c r="AD280" s="211">
        <f t="shared" si="194"/>
        <v>0.25150800427425152</v>
      </c>
      <c r="AE280" s="211">
        <f t="shared" si="194"/>
        <v>0.25150800427425152</v>
      </c>
      <c r="AF280" s="211">
        <f t="shared" si="194"/>
        <v>0.25150800427425152</v>
      </c>
      <c r="AG280" s="211">
        <f t="shared" si="194"/>
        <v>0.16767200284950104</v>
      </c>
      <c r="AH280" s="211">
        <f t="shared" si="194"/>
        <v>0.16767200284950104</v>
      </c>
      <c r="AI280" s="211">
        <f t="shared" si="194"/>
        <v>0.16767200284950104</v>
      </c>
      <c r="AJ280" s="211">
        <f t="shared" si="194"/>
        <v>8.383600142475052E-2</v>
      </c>
      <c r="AK280" s="211">
        <f t="shared" si="194"/>
        <v>8.383600142475052E-2</v>
      </c>
      <c r="AL280" s="211">
        <f t="shared" si="194"/>
        <v>8.383600142475052E-2</v>
      </c>
      <c r="AM280" s="211">
        <f t="shared" si="194"/>
        <v>8.383600142475052E-2</v>
      </c>
      <c r="AN280" s="211">
        <f t="shared" si="194"/>
        <v>8.383600142475052E-2</v>
      </c>
    </row>
    <row r="281" spans="2:40" ht="12" hidden="1" customHeight="1" outlineLevel="2">
      <c r="B281" s="245"/>
      <c r="C281" s="250" t="s">
        <v>766</v>
      </c>
      <c r="D281" s="250"/>
      <c r="E281" s="213"/>
      <c r="F281" s="213"/>
      <c r="G281" s="213"/>
      <c r="H281" s="213"/>
      <c r="I281" s="213"/>
      <c r="J281" s="213"/>
      <c r="K281" s="213"/>
      <c r="L281" s="213"/>
      <c r="M281" s="213"/>
      <c r="N281" s="213"/>
      <c r="O281" s="213"/>
      <c r="P281" s="213"/>
      <c r="Q281" s="213"/>
      <c r="R281" s="211">
        <f>INDEX($C$199:$AN$221,MATCH("New Customers 1MS",$C$199:$C$221,0),MATCH($C281,$C$199:$AN$199,0))</f>
        <v>17.558239015181893</v>
      </c>
      <c r="S281" s="211">
        <f t="shared" ref="S281:AN281" si="195">$R$281*(E266)</f>
        <v>1.2290767310627326</v>
      </c>
      <c r="T281" s="211">
        <f t="shared" si="195"/>
        <v>1.2290767310627326</v>
      </c>
      <c r="U281" s="211">
        <f t="shared" si="195"/>
        <v>1.2290767310627326</v>
      </c>
      <c r="V281" s="211">
        <f t="shared" si="195"/>
        <v>1.0534943409109137</v>
      </c>
      <c r="W281" s="211">
        <f t="shared" si="195"/>
        <v>1.0534943409109137</v>
      </c>
      <c r="X281" s="211">
        <f t="shared" si="195"/>
        <v>1.0534943409109137</v>
      </c>
      <c r="Y281" s="211">
        <f t="shared" si="195"/>
        <v>0.87791195075909467</v>
      </c>
      <c r="Z281" s="211">
        <f t="shared" si="195"/>
        <v>0.87791195075909467</v>
      </c>
      <c r="AA281" s="211">
        <f t="shared" si="195"/>
        <v>0.87791195075909467</v>
      </c>
      <c r="AB281" s="211">
        <f t="shared" si="195"/>
        <v>0.7023295606072758</v>
      </c>
      <c r="AC281" s="211">
        <f t="shared" si="195"/>
        <v>0.7023295606072758</v>
      </c>
      <c r="AD281" s="211">
        <f t="shared" si="195"/>
        <v>0.7023295606072758</v>
      </c>
      <c r="AE281" s="211">
        <f t="shared" si="195"/>
        <v>0.52674717045545683</v>
      </c>
      <c r="AF281" s="211">
        <f t="shared" si="195"/>
        <v>0.52674717045545683</v>
      </c>
      <c r="AG281" s="211">
        <f t="shared" si="195"/>
        <v>0.52674717045545683</v>
      </c>
      <c r="AH281" s="211">
        <f t="shared" si="195"/>
        <v>0.3511647803036379</v>
      </c>
      <c r="AI281" s="211">
        <f t="shared" si="195"/>
        <v>0.3511647803036379</v>
      </c>
      <c r="AJ281" s="211">
        <f t="shared" si="195"/>
        <v>0.3511647803036379</v>
      </c>
      <c r="AK281" s="211">
        <f t="shared" si="195"/>
        <v>0.17558239015181895</v>
      </c>
      <c r="AL281" s="211">
        <f t="shared" si="195"/>
        <v>0.17558239015181895</v>
      </c>
      <c r="AM281" s="211">
        <f t="shared" si="195"/>
        <v>0.17558239015181895</v>
      </c>
      <c r="AN281" s="211">
        <f t="shared" si="195"/>
        <v>0.17558239015181895</v>
      </c>
    </row>
    <row r="282" spans="2:40" ht="12" hidden="1" customHeight="1" outlineLevel="2">
      <c r="B282" s="245"/>
      <c r="C282" s="250" t="s">
        <v>767</v>
      </c>
      <c r="D282" s="250"/>
      <c r="E282" s="213"/>
      <c r="F282" s="213"/>
      <c r="G282" s="213"/>
      <c r="H282" s="213"/>
      <c r="I282" s="213"/>
      <c r="J282" s="213"/>
      <c r="K282" s="213"/>
      <c r="L282" s="213"/>
      <c r="M282" s="213"/>
      <c r="N282" s="213"/>
      <c r="O282" s="213"/>
      <c r="P282" s="213"/>
      <c r="Q282" s="213"/>
      <c r="R282" s="213"/>
      <c r="S282" s="211">
        <f>INDEX($C$199:$AN$221,MATCH("New Customers 1MS",$C$199:$C$221,0),MATCH($C282,$C$199:$AN$199,0))</f>
        <v>16.326207743519003</v>
      </c>
      <c r="T282" s="211">
        <f t="shared" ref="T282:AN282" si="196">$S$282*(E266)</f>
        <v>1.1428345420463304</v>
      </c>
      <c r="U282" s="211">
        <f t="shared" si="196"/>
        <v>1.1428345420463304</v>
      </c>
      <c r="V282" s="211">
        <f t="shared" si="196"/>
        <v>1.1428345420463304</v>
      </c>
      <c r="W282" s="211">
        <f t="shared" si="196"/>
        <v>0.97957246461114011</v>
      </c>
      <c r="X282" s="211">
        <f t="shared" si="196"/>
        <v>0.97957246461114011</v>
      </c>
      <c r="Y282" s="211">
        <f t="shared" si="196"/>
        <v>0.97957246461114011</v>
      </c>
      <c r="Z282" s="211">
        <f t="shared" si="196"/>
        <v>0.81631038717595017</v>
      </c>
      <c r="AA282" s="211">
        <f t="shared" si="196"/>
        <v>0.81631038717595017</v>
      </c>
      <c r="AB282" s="211">
        <f t="shared" si="196"/>
        <v>0.81631038717595017</v>
      </c>
      <c r="AC282" s="211">
        <f t="shared" si="196"/>
        <v>0.65304830974076011</v>
      </c>
      <c r="AD282" s="211">
        <f t="shared" si="196"/>
        <v>0.65304830974076011</v>
      </c>
      <c r="AE282" s="211">
        <f t="shared" si="196"/>
        <v>0.65304830974076011</v>
      </c>
      <c r="AF282" s="211">
        <f t="shared" si="196"/>
        <v>0.48978623230557006</v>
      </c>
      <c r="AG282" s="211">
        <f t="shared" si="196"/>
        <v>0.48978623230557006</v>
      </c>
      <c r="AH282" s="211">
        <f t="shared" si="196"/>
        <v>0.48978623230557006</v>
      </c>
      <c r="AI282" s="211">
        <f t="shared" si="196"/>
        <v>0.32652415487038006</v>
      </c>
      <c r="AJ282" s="211">
        <f t="shared" si="196"/>
        <v>0.32652415487038006</v>
      </c>
      <c r="AK282" s="211">
        <f t="shared" si="196"/>
        <v>0.32652415487038006</v>
      </c>
      <c r="AL282" s="211">
        <f t="shared" si="196"/>
        <v>0.16326207743519003</v>
      </c>
      <c r="AM282" s="211">
        <f t="shared" si="196"/>
        <v>0.16326207743519003</v>
      </c>
      <c r="AN282" s="211">
        <f t="shared" si="196"/>
        <v>0.16326207743519003</v>
      </c>
    </row>
    <row r="283" spans="2:40" ht="12" hidden="1" customHeight="1" outlineLevel="2">
      <c r="B283" s="245"/>
      <c r="C283" s="250" t="s">
        <v>768</v>
      </c>
      <c r="D283" s="250"/>
      <c r="E283" s="213"/>
      <c r="F283" s="213"/>
      <c r="G283" s="213"/>
      <c r="H283" s="213"/>
      <c r="I283" s="213"/>
      <c r="J283" s="213"/>
      <c r="K283" s="213"/>
      <c r="L283" s="213"/>
      <c r="M283" s="213"/>
      <c r="N283" s="213"/>
      <c r="O283" s="213"/>
      <c r="P283" s="213"/>
      <c r="Q283" s="213"/>
      <c r="R283" s="213"/>
      <c r="S283" s="213"/>
      <c r="T283" s="211">
        <f>INDEX($C$199:$AN$221,MATCH("New Customers 1MS",$C$199:$C$221,0),MATCH($C283,$C$199:$AN$199,0))</f>
        <v>8.5458364390791015</v>
      </c>
      <c r="U283" s="211">
        <f t="shared" ref="U283:AN283" si="197">$T$283*(E266)</f>
        <v>0.59820855073553714</v>
      </c>
      <c r="V283" s="211">
        <f t="shared" si="197"/>
        <v>0.59820855073553714</v>
      </c>
      <c r="W283" s="211">
        <f t="shared" si="197"/>
        <v>0.59820855073553714</v>
      </c>
      <c r="X283" s="211">
        <f t="shared" si="197"/>
        <v>0.51275018634474612</v>
      </c>
      <c r="Y283" s="211">
        <f t="shared" si="197"/>
        <v>0.51275018634474612</v>
      </c>
      <c r="Z283" s="211">
        <f t="shared" si="197"/>
        <v>0.51275018634474612</v>
      </c>
      <c r="AA283" s="211">
        <f t="shared" si="197"/>
        <v>0.4272918219539551</v>
      </c>
      <c r="AB283" s="211">
        <f t="shared" si="197"/>
        <v>0.4272918219539551</v>
      </c>
      <c r="AC283" s="211">
        <f t="shared" si="197"/>
        <v>0.4272918219539551</v>
      </c>
      <c r="AD283" s="211">
        <f t="shared" si="197"/>
        <v>0.34183345756316408</v>
      </c>
      <c r="AE283" s="211">
        <f t="shared" si="197"/>
        <v>0.34183345756316408</v>
      </c>
      <c r="AF283" s="211">
        <f t="shared" si="197"/>
        <v>0.34183345756316408</v>
      </c>
      <c r="AG283" s="211">
        <f t="shared" si="197"/>
        <v>0.25637509317237306</v>
      </c>
      <c r="AH283" s="211">
        <f t="shared" si="197"/>
        <v>0.25637509317237306</v>
      </c>
      <c r="AI283" s="211">
        <f t="shared" si="197"/>
        <v>0.25637509317237306</v>
      </c>
      <c r="AJ283" s="211">
        <f t="shared" si="197"/>
        <v>0.17091672878158204</v>
      </c>
      <c r="AK283" s="211">
        <f t="shared" si="197"/>
        <v>0.17091672878158204</v>
      </c>
      <c r="AL283" s="211">
        <f t="shared" si="197"/>
        <v>0.17091672878158204</v>
      </c>
      <c r="AM283" s="211">
        <f t="shared" si="197"/>
        <v>8.545836439079102E-2</v>
      </c>
      <c r="AN283" s="211">
        <f t="shared" si="197"/>
        <v>8.545836439079102E-2</v>
      </c>
    </row>
    <row r="284" spans="2:40" ht="12" hidden="1" customHeight="1" outlineLevel="2">
      <c r="B284" s="245"/>
      <c r="C284" s="250" t="s">
        <v>769</v>
      </c>
      <c r="D284" s="250"/>
      <c r="E284" s="213"/>
      <c r="F284" s="213"/>
      <c r="G284" s="213"/>
      <c r="H284" s="213"/>
      <c r="I284" s="213"/>
      <c r="J284" s="213"/>
      <c r="K284" s="213"/>
      <c r="L284" s="213"/>
      <c r="M284" s="213"/>
      <c r="N284" s="213"/>
      <c r="O284" s="213"/>
      <c r="P284" s="213"/>
      <c r="Q284" s="213"/>
      <c r="R284" s="213"/>
      <c r="S284" s="213"/>
      <c r="T284" s="213"/>
      <c r="U284" s="211">
        <f>INDEX($C$199:$AN$221,MATCH("New Customers 1MS",$C$199:$C$221,0),MATCH($C284,$C$199:$AN$199,0))</f>
        <v>8.4473112237295016</v>
      </c>
      <c r="V284" s="211">
        <f t="shared" ref="V284:AN284" si="198">$U$284*(E266)</f>
        <v>0.59131178566106513</v>
      </c>
      <c r="W284" s="211">
        <f t="shared" si="198"/>
        <v>0.59131178566106513</v>
      </c>
      <c r="X284" s="211">
        <f t="shared" si="198"/>
        <v>0.59131178566106513</v>
      </c>
      <c r="Y284" s="211">
        <f t="shared" si="198"/>
        <v>0.50683867342377009</v>
      </c>
      <c r="Z284" s="211">
        <f t="shared" si="198"/>
        <v>0.50683867342377009</v>
      </c>
      <c r="AA284" s="211">
        <f t="shared" si="198"/>
        <v>0.50683867342377009</v>
      </c>
      <c r="AB284" s="211">
        <f t="shared" si="198"/>
        <v>0.42236556118647511</v>
      </c>
      <c r="AC284" s="211">
        <f t="shared" si="198"/>
        <v>0.42236556118647511</v>
      </c>
      <c r="AD284" s="211">
        <f t="shared" si="198"/>
        <v>0.42236556118647511</v>
      </c>
      <c r="AE284" s="211">
        <f t="shared" si="198"/>
        <v>0.33789244894918008</v>
      </c>
      <c r="AF284" s="211">
        <f t="shared" si="198"/>
        <v>0.33789244894918008</v>
      </c>
      <c r="AG284" s="211">
        <f t="shared" si="198"/>
        <v>0.33789244894918008</v>
      </c>
      <c r="AH284" s="211">
        <f t="shared" si="198"/>
        <v>0.25341933671188505</v>
      </c>
      <c r="AI284" s="211">
        <f t="shared" si="198"/>
        <v>0.25341933671188505</v>
      </c>
      <c r="AJ284" s="211">
        <f t="shared" si="198"/>
        <v>0.25341933671188505</v>
      </c>
      <c r="AK284" s="211">
        <f t="shared" si="198"/>
        <v>0.16894622447459004</v>
      </c>
      <c r="AL284" s="211">
        <f t="shared" si="198"/>
        <v>0.16894622447459004</v>
      </c>
      <c r="AM284" s="211">
        <f t="shared" si="198"/>
        <v>0.16894622447459004</v>
      </c>
      <c r="AN284" s="211">
        <f t="shared" si="198"/>
        <v>8.447311223729502E-2</v>
      </c>
    </row>
    <row r="285" spans="2:40" ht="12" hidden="1" customHeight="1" outlineLevel="2">
      <c r="B285" s="245"/>
      <c r="C285" s="250" t="s">
        <v>770</v>
      </c>
      <c r="D285" s="250"/>
      <c r="E285" s="213"/>
      <c r="F285" s="213"/>
      <c r="G285" s="213"/>
      <c r="H285" s="213"/>
      <c r="I285" s="213"/>
      <c r="J285" s="213"/>
      <c r="K285" s="213"/>
      <c r="L285" s="213"/>
      <c r="M285" s="213"/>
      <c r="N285" s="213"/>
      <c r="O285" s="213"/>
      <c r="P285" s="213"/>
      <c r="Q285" s="213"/>
      <c r="R285" s="213"/>
      <c r="S285" s="213"/>
      <c r="T285" s="213"/>
      <c r="U285" s="213"/>
      <c r="V285" s="211">
        <f>INDEX($C$199:$AN$221,MATCH("New Customers 1MS",$C$199:$C$221,0),MATCH($C285,$C$199:$AN$199,0))</f>
        <v>26.025490348311639</v>
      </c>
      <c r="W285" s="211">
        <f t="shared" ref="W285:AN285" si="199">$V$285*(E266)</f>
        <v>1.8217843243818148</v>
      </c>
      <c r="X285" s="211">
        <f t="shared" si="199"/>
        <v>1.8217843243818148</v>
      </c>
      <c r="Y285" s="211">
        <f t="shared" si="199"/>
        <v>1.8217843243818148</v>
      </c>
      <c r="Z285" s="211">
        <f t="shared" si="199"/>
        <v>1.5615294208986983</v>
      </c>
      <c r="AA285" s="211">
        <f t="shared" si="199"/>
        <v>1.5615294208986983</v>
      </c>
      <c r="AB285" s="211">
        <f t="shared" si="199"/>
        <v>1.5615294208986983</v>
      </c>
      <c r="AC285" s="211">
        <f t="shared" si="199"/>
        <v>1.301274517415582</v>
      </c>
      <c r="AD285" s="211">
        <f t="shared" si="199"/>
        <v>1.301274517415582</v>
      </c>
      <c r="AE285" s="211">
        <f t="shared" si="199"/>
        <v>1.301274517415582</v>
      </c>
      <c r="AF285" s="211">
        <f t="shared" si="199"/>
        <v>1.0410196139324657</v>
      </c>
      <c r="AG285" s="211">
        <f t="shared" si="199"/>
        <v>1.0410196139324657</v>
      </c>
      <c r="AH285" s="211">
        <f t="shared" si="199"/>
        <v>1.0410196139324657</v>
      </c>
      <c r="AI285" s="211">
        <f t="shared" si="199"/>
        <v>0.78076471044934914</v>
      </c>
      <c r="AJ285" s="211">
        <f t="shared" si="199"/>
        <v>0.78076471044934914</v>
      </c>
      <c r="AK285" s="211">
        <f t="shared" si="199"/>
        <v>0.78076471044934914</v>
      </c>
      <c r="AL285" s="211">
        <f t="shared" si="199"/>
        <v>0.52050980696623284</v>
      </c>
      <c r="AM285" s="211">
        <f t="shared" si="199"/>
        <v>0.52050980696623284</v>
      </c>
      <c r="AN285" s="211">
        <f t="shared" si="199"/>
        <v>0.52050980696623284</v>
      </c>
    </row>
    <row r="286" spans="2:40" ht="12" hidden="1" customHeight="1" outlineLevel="2">
      <c r="B286" s="245"/>
      <c r="C286" s="250" t="s">
        <v>771</v>
      </c>
      <c r="D286" s="250"/>
      <c r="E286" s="213"/>
      <c r="F286" s="213"/>
      <c r="G286" s="213"/>
      <c r="H286" s="213"/>
      <c r="I286" s="213"/>
      <c r="J286" s="213"/>
      <c r="K286" s="213"/>
      <c r="L286" s="213"/>
      <c r="M286" s="213"/>
      <c r="N286" s="213"/>
      <c r="O286" s="213"/>
      <c r="P286" s="213"/>
      <c r="Q286" s="213"/>
      <c r="R286" s="213"/>
      <c r="S286" s="213"/>
      <c r="T286" s="213"/>
      <c r="U286" s="213"/>
      <c r="V286" s="213"/>
      <c r="W286" s="211">
        <f>INDEX($C$199:$AN$221,MATCH("New Customers 1MS",$C$199:$C$221,0),MATCH($C286,$C$199:$AN$199,0))</f>
        <v>9.8491171260380028</v>
      </c>
      <c r="X286" s="211">
        <f t="shared" ref="X286:AN286" si="200">$W$286*(E266)</f>
        <v>0.68943819882266022</v>
      </c>
      <c r="Y286" s="211">
        <f t="shared" si="200"/>
        <v>0.68943819882266022</v>
      </c>
      <c r="Z286" s="211">
        <f t="shared" si="200"/>
        <v>0.68943819882266022</v>
      </c>
      <c r="AA286" s="211">
        <f t="shared" si="200"/>
        <v>0.59094702756228012</v>
      </c>
      <c r="AB286" s="211">
        <f t="shared" si="200"/>
        <v>0.59094702756228012</v>
      </c>
      <c r="AC286" s="211">
        <f t="shared" si="200"/>
        <v>0.59094702756228012</v>
      </c>
      <c r="AD286" s="211">
        <f t="shared" si="200"/>
        <v>0.49245585630190014</v>
      </c>
      <c r="AE286" s="211">
        <f t="shared" si="200"/>
        <v>0.49245585630190014</v>
      </c>
      <c r="AF286" s="211">
        <f t="shared" si="200"/>
        <v>0.49245585630190014</v>
      </c>
      <c r="AG286" s="211">
        <f t="shared" si="200"/>
        <v>0.3939646850415201</v>
      </c>
      <c r="AH286" s="211">
        <f t="shared" si="200"/>
        <v>0.3939646850415201</v>
      </c>
      <c r="AI286" s="211">
        <f t="shared" si="200"/>
        <v>0.3939646850415201</v>
      </c>
      <c r="AJ286" s="211">
        <f t="shared" si="200"/>
        <v>0.29547351378114006</v>
      </c>
      <c r="AK286" s="211">
        <f t="shared" si="200"/>
        <v>0.29547351378114006</v>
      </c>
      <c r="AL286" s="211">
        <f t="shared" si="200"/>
        <v>0.29547351378114006</v>
      </c>
      <c r="AM286" s="211">
        <f t="shared" si="200"/>
        <v>0.19698234252076005</v>
      </c>
      <c r="AN286" s="211">
        <f t="shared" si="200"/>
        <v>0.19698234252076005</v>
      </c>
    </row>
    <row r="287" spans="2:40" ht="12" hidden="1" customHeight="1" outlineLevel="2">
      <c r="B287" s="245"/>
      <c r="C287" s="250" t="s">
        <v>772</v>
      </c>
      <c r="D287" s="250"/>
      <c r="E287" s="213"/>
      <c r="F287" s="213"/>
      <c r="G287" s="213"/>
      <c r="H287" s="213"/>
      <c r="I287" s="213"/>
      <c r="J287" s="213"/>
      <c r="K287" s="213"/>
      <c r="L287" s="213"/>
      <c r="M287" s="213"/>
      <c r="N287" s="213"/>
      <c r="O287" s="213"/>
      <c r="P287" s="213"/>
      <c r="Q287" s="213"/>
      <c r="R287" s="213"/>
      <c r="S287" s="213"/>
      <c r="T287" s="213"/>
      <c r="U287" s="213"/>
      <c r="V287" s="213"/>
      <c r="W287" s="213"/>
      <c r="X287" s="211">
        <f>INDEX($C$199:$AN$221,MATCH("New Customers 1MS",$C$199:$C$221,0),MATCH($C287,$C$199:$AN$199,0))</f>
        <v>10.554154002311815</v>
      </c>
      <c r="Y287" s="211">
        <f t="shared" ref="Y287:AN287" si="201">$X$287*(E266)</f>
        <v>0.73879078016182709</v>
      </c>
      <c r="Z287" s="211">
        <f t="shared" si="201"/>
        <v>0.73879078016182709</v>
      </c>
      <c r="AA287" s="211">
        <f t="shared" si="201"/>
        <v>0.73879078016182709</v>
      </c>
      <c r="AB287" s="211">
        <f t="shared" si="201"/>
        <v>0.63324924013870887</v>
      </c>
      <c r="AC287" s="211">
        <f t="shared" si="201"/>
        <v>0.63324924013870887</v>
      </c>
      <c r="AD287" s="211">
        <f t="shared" si="201"/>
        <v>0.63324924013870887</v>
      </c>
      <c r="AE287" s="211">
        <f t="shared" si="201"/>
        <v>0.52770770011559076</v>
      </c>
      <c r="AF287" s="211">
        <f t="shared" si="201"/>
        <v>0.52770770011559076</v>
      </c>
      <c r="AG287" s="211">
        <f t="shared" si="201"/>
        <v>0.52770770011559076</v>
      </c>
      <c r="AH287" s="211">
        <f t="shared" si="201"/>
        <v>0.4221661600924726</v>
      </c>
      <c r="AI287" s="211">
        <f t="shared" si="201"/>
        <v>0.4221661600924726</v>
      </c>
      <c r="AJ287" s="211">
        <f t="shared" si="201"/>
        <v>0.4221661600924726</v>
      </c>
      <c r="AK287" s="211">
        <f t="shared" si="201"/>
        <v>0.31662462006935443</v>
      </c>
      <c r="AL287" s="211">
        <f t="shared" si="201"/>
        <v>0.31662462006935443</v>
      </c>
      <c r="AM287" s="211">
        <f t="shared" si="201"/>
        <v>0.31662462006935443</v>
      </c>
      <c r="AN287" s="211">
        <f t="shared" si="201"/>
        <v>0.2110830800462363</v>
      </c>
    </row>
    <row r="288" spans="2:40" ht="12" hidden="1" customHeight="1" outlineLevel="2">
      <c r="B288" s="245"/>
      <c r="C288" s="250" t="s">
        <v>773</v>
      </c>
      <c r="D288" s="250"/>
      <c r="E288" s="213"/>
      <c r="F288" s="213"/>
      <c r="G288" s="213"/>
      <c r="H288" s="213"/>
      <c r="I288" s="213"/>
      <c r="J288" s="213"/>
      <c r="K288" s="213"/>
      <c r="L288" s="213"/>
      <c r="M288" s="213"/>
      <c r="N288" s="213"/>
      <c r="O288" s="213"/>
      <c r="P288" s="213"/>
      <c r="Q288" s="213"/>
      <c r="R288" s="213"/>
      <c r="S288" s="213"/>
      <c r="T288" s="213"/>
      <c r="U288" s="213"/>
      <c r="V288" s="213"/>
      <c r="W288" s="213"/>
      <c r="X288" s="213"/>
      <c r="Y288" s="211">
        <f>INDEX($C$199:$AN$221,MATCH("New Customers 1MS",$C$199:$C$221,0),MATCH($C288,$C$199:$AN$199,0))</f>
        <v>36.88109665493046</v>
      </c>
      <c r="Z288" s="211">
        <f t="shared" ref="Z288:AN288" si="202">$Y$288*(E266)</f>
        <v>2.5816767658451325</v>
      </c>
      <c r="AA288" s="211">
        <f t="shared" si="202"/>
        <v>2.5816767658451325</v>
      </c>
      <c r="AB288" s="211">
        <f t="shared" si="202"/>
        <v>2.5816767658451325</v>
      </c>
      <c r="AC288" s="211">
        <f t="shared" si="202"/>
        <v>2.2128657992958276</v>
      </c>
      <c r="AD288" s="211">
        <f t="shared" si="202"/>
        <v>2.2128657992958276</v>
      </c>
      <c r="AE288" s="211">
        <f t="shared" si="202"/>
        <v>2.2128657992958276</v>
      </c>
      <c r="AF288" s="211">
        <f t="shared" si="202"/>
        <v>1.8440548327465232</v>
      </c>
      <c r="AG288" s="211">
        <f t="shared" si="202"/>
        <v>1.8440548327465232</v>
      </c>
      <c r="AH288" s="211">
        <f t="shared" si="202"/>
        <v>1.8440548327465232</v>
      </c>
      <c r="AI288" s="211">
        <f t="shared" si="202"/>
        <v>1.4752438661972185</v>
      </c>
      <c r="AJ288" s="211">
        <f t="shared" si="202"/>
        <v>1.4752438661972185</v>
      </c>
      <c r="AK288" s="211">
        <f t="shared" si="202"/>
        <v>1.4752438661972185</v>
      </c>
      <c r="AL288" s="211">
        <f t="shared" si="202"/>
        <v>1.1064328996479138</v>
      </c>
      <c r="AM288" s="211">
        <f t="shared" si="202"/>
        <v>1.1064328996479138</v>
      </c>
      <c r="AN288" s="211">
        <f t="shared" si="202"/>
        <v>1.1064328996479138</v>
      </c>
    </row>
    <row r="289" spans="2:40" ht="12" hidden="1" customHeight="1" outlineLevel="2">
      <c r="B289" s="245"/>
      <c r="C289" s="250" t="s">
        <v>774</v>
      </c>
      <c r="D289" s="250"/>
      <c r="E289" s="213"/>
      <c r="F289" s="213"/>
      <c r="G289" s="213"/>
      <c r="H289" s="213"/>
      <c r="I289" s="213"/>
      <c r="J289" s="213"/>
      <c r="K289" s="213"/>
      <c r="L289" s="213"/>
      <c r="M289" s="213"/>
      <c r="N289" s="213"/>
      <c r="O289" s="213"/>
      <c r="P289" s="213"/>
      <c r="Q289" s="213"/>
      <c r="R289" s="213"/>
      <c r="S289" s="213"/>
      <c r="T289" s="213"/>
      <c r="U289" s="213"/>
      <c r="V289" s="213"/>
      <c r="W289" s="213"/>
      <c r="X289" s="213"/>
      <c r="Y289" s="213"/>
      <c r="Z289" s="211">
        <f>INDEX($C$199:$AN$221,MATCH("New Customers 1MS",$C$199:$C$221,0),MATCH($C289,$C$199:$AN$199,0))</f>
        <v>47.418552842053444</v>
      </c>
      <c r="AA289" s="211">
        <f t="shared" ref="AA289:AN289" si="203">$Z$289*(E266)</f>
        <v>3.3192986989437414</v>
      </c>
      <c r="AB289" s="211">
        <f t="shared" si="203"/>
        <v>3.3192986989437414</v>
      </c>
      <c r="AC289" s="211">
        <f t="shared" si="203"/>
        <v>3.3192986989437414</v>
      </c>
      <c r="AD289" s="211">
        <f t="shared" si="203"/>
        <v>2.8451131705232067</v>
      </c>
      <c r="AE289" s="211">
        <f t="shared" si="203"/>
        <v>2.8451131705232067</v>
      </c>
      <c r="AF289" s="211">
        <f t="shared" si="203"/>
        <v>2.8451131705232067</v>
      </c>
      <c r="AG289" s="211">
        <f t="shared" si="203"/>
        <v>2.3709276421026724</v>
      </c>
      <c r="AH289" s="211">
        <f t="shared" si="203"/>
        <v>2.3709276421026724</v>
      </c>
      <c r="AI289" s="211">
        <f t="shared" si="203"/>
        <v>2.3709276421026724</v>
      </c>
      <c r="AJ289" s="211">
        <f t="shared" si="203"/>
        <v>1.8967421136821379</v>
      </c>
      <c r="AK289" s="211">
        <f t="shared" si="203"/>
        <v>1.8967421136821379</v>
      </c>
      <c r="AL289" s="211">
        <f t="shared" si="203"/>
        <v>1.8967421136821379</v>
      </c>
      <c r="AM289" s="211">
        <f t="shared" si="203"/>
        <v>1.4225565852616033</v>
      </c>
      <c r="AN289" s="211">
        <f t="shared" si="203"/>
        <v>1.4225565852616033</v>
      </c>
    </row>
    <row r="290" spans="2:40" ht="12" hidden="1" customHeight="1" outlineLevel="2">
      <c r="B290" s="245"/>
      <c r="C290" s="250" t="s">
        <v>775</v>
      </c>
      <c r="D290" s="250"/>
      <c r="E290" s="213"/>
      <c r="F290" s="213"/>
      <c r="G290" s="213"/>
      <c r="H290" s="213"/>
      <c r="I290" s="213"/>
      <c r="J290" s="213"/>
      <c r="K290" s="213"/>
      <c r="L290" s="213"/>
      <c r="M290" s="213"/>
      <c r="N290" s="213"/>
      <c r="O290" s="213"/>
      <c r="P290" s="213"/>
      <c r="Q290" s="213"/>
      <c r="R290" s="213"/>
      <c r="S290" s="213"/>
      <c r="T290" s="213"/>
      <c r="U290" s="213"/>
      <c r="V290" s="213"/>
      <c r="W290" s="213"/>
      <c r="X290" s="213"/>
      <c r="Y290" s="213"/>
      <c r="Z290" s="213"/>
      <c r="AA290" s="211">
        <f>INDEX($C$199:$AN$221,MATCH("New Customers 1MS",$C$199:$C$221,0),MATCH($C290,$C$199:$AN$199,0))</f>
        <v>7.9030921403422418</v>
      </c>
      <c r="AB290" s="211">
        <f t="shared" ref="AB290:AN290" si="204">$AA$290*(E266)</f>
        <v>0.55321644982395701</v>
      </c>
      <c r="AC290" s="211">
        <f t="shared" si="204"/>
        <v>0.55321644982395701</v>
      </c>
      <c r="AD290" s="211">
        <f t="shared" si="204"/>
        <v>0.55321644982395701</v>
      </c>
      <c r="AE290" s="211">
        <f t="shared" si="204"/>
        <v>0.47418552842053452</v>
      </c>
      <c r="AF290" s="211">
        <f t="shared" si="204"/>
        <v>0.47418552842053452</v>
      </c>
      <c r="AG290" s="211">
        <f t="shared" si="204"/>
        <v>0.47418552842053452</v>
      </c>
      <c r="AH290" s="211">
        <f t="shared" si="204"/>
        <v>0.39515460701711214</v>
      </c>
      <c r="AI290" s="211">
        <f t="shared" si="204"/>
        <v>0.39515460701711214</v>
      </c>
      <c r="AJ290" s="211">
        <f t="shared" si="204"/>
        <v>0.39515460701711214</v>
      </c>
      <c r="AK290" s="211">
        <f t="shared" si="204"/>
        <v>0.3161236856136897</v>
      </c>
      <c r="AL290" s="211">
        <f t="shared" si="204"/>
        <v>0.3161236856136897</v>
      </c>
      <c r="AM290" s="211">
        <f t="shared" si="204"/>
        <v>0.3161236856136897</v>
      </c>
      <c r="AN290" s="211">
        <f t="shared" si="204"/>
        <v>0.23709276421026726</v>
      </c>
    </row>
    <row r="291" spans="2:40" ht="12" hidden="1" customHeight="1" outlineLevel="2">
      <c r="B291" s="245"/>
      <c r="C291" s="250" t="s">
        <v>776</v>
      </c>
      <c r="D291" s="250"/>
      <c r="E291" s="213"/>
      <c r="F291" s="213"/>
      <c r="G291" s="213"/>
      <c r="H291" s="213"/>
      <c r="I291" s="213"/>
      <c r="J291" s="213"/>
      <c r="K291" s="213"/>
      <c r="L291" s="213"/>
      <c r="M291" s="213"/>
      <c r="N291" s="213"/>
      <c r="O291" s="213"/>
      <c r="P291" s="213"/>
      <c r="Q291" s="213"/>
      <c r="R291" s="213"/>
      <c r="S291" s="213"/>
      <c r="T291" s="213"/>
      <c r="U291" s="213"/>
      <c r="V291" s="213"/>
      <c r="W291" s="213"/>
      <c r="X291" s="213"/>
      <c r="Y291" s="213"/>
      <c r="Z291" s="213"/>
      <c r="AA291" s="213"/>
      <c r="AB291" s="211">
        <f>INDEX($C$199:$AN$221,MATCH("New Customers 1MS",$C$199:$C$221,0),MATCH($C291,$C$199:$AN$199,0))</f>
        <v>10.537456187122988</v>
      </c>
      <c r="AC291" s="211">
        <f t="shared" ref="AC291:AN291" si="205">$AB$291*(E266)</f>
        <v>0.73762193309860924</v>
      </c>
      <c r="AD291" s="211">
        <f t="shared" si="205"/>
        <v>0.73762193309860924</v>
      </c>
      <c r="AE291" s="211">
        <f t="shared" si="205"/>
        <v>0.73762193309860924</v>
      </c>
      <c r="AF291" s="211">
        <f t="shared" si="205"/>
        <v>0.63224737122737928</v>
      </c>
      <c r="AG291" s="211">
        <f t="shared" si="205"/>
        <v>0.63224737122737928</v>
      </c>
      <c r="AH291" s="211">
        <f t="shared" si="205"/>
        <v>0.63224737122737928</v>
      </c>
      <c r="AI291" s="211">
        <f t="shared" si="205"/>
        <v>0.52687280935614944</v>
      </c>
      <c r="AJ291" s="211">
        <f t="shared" si="205"/>
        <v>0.52687280935614944</v>
      </c>
      <c r="AK291" s="211">
        <f t="shared" si="205"/>
        <v>0.52687280935614944</v>
      </c>
      <c r="AL291" s="211">
        <f t="shared" si="205"/>
        <v>0.42149824748491954</v>
      </c>
      <c r="AM291" s="211">
        <f t="shared" si="205"/>
        <v>0.42149824748491954</v>
      </c>
      <c r="AN291" s="211">
        <f t="shared" si="205"/>
        <v>0.42149824748491954</v>
      </c>
    </row>
    <row r="292" spans="2:40" ht="12" hidden="1" customHeight="1" outlineLevel="2">
      <c r="B292" s="245"/>
      <c r="C292" s="250" t="s">
        <v>777</v>
      </c>
      <c r="D292" s="250"/>
      <c r="E292" s="213"/>
      <c r="F292" s="213"/>
      <c r="G292" s="213"/>
      <c r="H292" s="213"/>
      <c r="I292" s="213"/>
      <c r="J292" s="213"/>
      <c r="K292" s="213"/>
      <c r="L292" s="213"/>
      <c r="M292" s="213"/>
      <c r="N292" s="213"/>
      <c r="O292" s="213"/>
      <c r="P292" s="213"/>
      <c r="Q292" s="213"/>
      <c r="R292" s="213"/>
      <c r="S292" s="213"/>
      <c r="T292" s="213"/>
      <c r="U292" s="213"/>
      <c r="V292" s="213"/>
      <c r="W292" s="213"/>
      <c r="X292" s="213"/>
      <c r="Y292" s="213"/>
      <c r="Z292" s="213"/>
      <c r="AA292" s="213"/>
      <c r="AB292" s="211"/>
      <c r="AC292" s="211">
        <f>INDEX($C$199:$AN$221,MATCH("New Customers 1MS",$C$199:$C$221,0),MATCH($C292,$C$199:$AN$199,0))</f>
        <v>10.898680185217568</v>
      </c>
      <c r="AD292" s="211">
        <f t="shared" ref="AD292:AN292" si="206">$AC$292*(E266)</f>
        <v>0.7629076129652298</v>
      </c>
      <c r="AE292" s="211">
        <f t="shared" si="206"/>
        <v>0.7629076129652298</v>
      </c>
      <c r="AF292" s="211">
        <f t="shared" si="206"/>
        <v>0.7629076129652298</v>
      </c>
      <c r="AG292" s="211">
        <f t="shared" si="206"/>
        <v>0.65392081111305411</v>
      </c>
      <c r="AH292" s="211">
        <f t="shared" si="206"/>
        <v>0.65392081111305411</v>
      </c>
      <c r="AI292" s="211">
        <f t="shared" si="206"/>
        <v>0.65392081111305411</v>
      </c>
      <c r="AJ292" s="211">
        <f t="shared" si="206"/>
        <v>0.54493400926087843</v>
      </c>
      <c r="AK292" s="211">
        <f t="shared" si="206"/>
        <v>0.54493400926087843</v>
      </c>
      <c r="AL292" s="211">
        <f t="shared" si="206"/>
        <v>0.54493400926087843</v>
      </c>
      <c r="AM292" s="211">
        <f t="shared" si="206"/>
        <v>0.43594720740870274</v>
      </c>
      <c r="AN292" s="211">
        <f t="shared" si="206"/>
        <v>0.43594720740870274</v>
      </c>
    </row>
    <row r="293" spans="2:40" ht="12" hidden="1" customHeight="1" outlineLevel="2">
      <c r="B293" s="245"/>
      <c r="C293" s="250" t="s">
        <v>778</v>
      </c>
      <c r="D293" s="250"/>
      <c r="E293" s="213"/>
      <c r="F293" s="213"/>
      <c r="G293" s="213"/>
      <c r="H293" s="213"/>
      <c r="I293" s="213"/>
      <c r="J293" s="213"/>
      <c r="K293" s="213"/>
      <c r="L293" s="213"/>
      <c r="M293" s="213"/>
      <c r="N293" s="213"/>
      <c r="O293" s="213"/>
      <c r="P293" s="213"/>
      <c r="Q293" s="213"/>
      <c r="R293" s="213"/>
      <c r="S293" s="213"/>
      <c r="T293" s="213"/>
      <c r="U293" s="213"/>
      <c r="V293" s="213"/>
      <c r="W293" s="213"/>
      <c r="X293" s="213"/>
      <c r="Y293" s="213"/>
      <c r="Z293" s="213"/>
      <c r="AA293" s="213"/>
      <c r="AB293" s="211"/>
      <c r="AC293" s="211"/>
      <c r="AD293" s="211">
        <f>INDEX($C$199:$AN$221,MATCH("New Customers 1MS",$C$199:$C$221,0),MATCH($C293,$C$199:$AN$199,0))</f>
        <v>22.825710719736463</v>
      </c>
      <c r="AE293" s="211">
        <f t="shared" ref="AE293:AN293" si="207">$AD$293*(E266)</f>
        <v>1.5977997503815526</v>
      </c>
      <c r="AF293" s="211">
        <f t="shared" si="207"/>
        <v>1.5977997503815526</v>
      </c>
      <c r="AG293" s="211">
        <f t="shared" si="207"/>
        <v>1.5977997503815526</v>
      </c>
      <c r="AH293" s="211">
        <f t="shared" si="207"/>
        <v>1.3695426431841877</v>
      </c>
      <c r="AI293" s="211">
        <f t="shared" si="207"/>
        <v>1.3695426431841877</v>
      </c>
      <c r="AJ293" s="211">
        <f t="shared" si="207"/>
        <v>1.3695426431841877</v>
      </c>
      <c r="AK293" s="211">
        <f t="shared" si="207"/>
        <v>1.1412855359868233</v>
      </c>
      <c r="AL293" s="211">
        <f t="shared" si="207"/>
        <v>1.1412855359868233</v>
      </c>
      <c r="AM293" s="211">
        <f t="shared" si="207"/>
        <v>1.1412855359868233</v>
      </c>
      <c r="AN293" s="211">
        <f t="shared" si="207"/>
        <v>0.91302842878945856</v>
      </c>
    </row>
    <row r="294" spans="2:40" ht="12" hidden="1" customHeight="1" outlineLevel="2">
      <c r="B294" s="245"/>
      <c r="C294" s="250" t="s">
        <v>779</v>
      </c>
      <c r="D294" s="250"/>
      <c r="E294" s="213"/>
      <c r="F294" s="213"/>
      <c r="G294" s="213"/>
      <c r="H294" s="213"/>
      <c r="I294" s="213"/>
      <c r="J294" s="213"/>
      <c r="K294" s="213"/>
      <c r="L294" s="213"/>
      <c r="M294" s="213"/>
      <c r="N294" s="213"/>
      <c r="O294" s="213"/>
      <c r="P294" s="213"/>
      <c r="Q294" s="213"/>
      <c r="R294" s="213"/>
      <c r="S294" s="213"/>
      <c r="T294" s="213"/>
      <c r="U294" s="213"/>
      <c r="V294" s="213"/>
      <c r="W294" s="213"/>
      <c r="X294" s="213"/>
      <c r="Y294" s="213"/>
      <c r="Z294" s="213"/>
      <c r="AA294" s="213"/>
      <c r="AB294" s="211"/>
      <c r="AC294" s="211"/>
      <c r="AD294" s="211"/>
      <c r="AE294" s="211">
        <f>INDEX($C$199:$AN$221,MATCH("New Customers 1MS",$C$199:$C$221,0),MATCH($C294,$C$199:$AN$199,0))</f>
        <v>21.224070066574704</v>
      </c>
      <c r="AF294" s="211">
        <f t="shared" ref="AF294:AN294" si="208">$AE$294*(E266)</f>
        <v>1.4856849046602294</v>
      </c>
      <c r="AG294" s="211">
        <f t="shared" si="208"/>
        <v>1.4856849046602294</v>
      </c>
      <c r="AH294" s="211">
        <f t="shared" si="208"/>
        <v>1.4856849046602294</v>
      </c>
      <c r="AI294" s="211">
        <f t="shared" si="208"/>
        <v>1.2734442039944822</v>
      </c>
      <c r="AJ294" s="211">
        <f t="shared" si="208"/>
        <v>1.2734442039944822</v>
      </c>
      <c r="AK294" s="211">
        <f t="shared" si="208"/>
        <v>1.2734442039944822</v>
      </c>
      <c r="AL294" s="211">
        <f t="shared" si="208"/>
        <v>1.0612035033287353</v>
      </c>
      <c r="AM294" s="211">
        <f t="shared" si="208"/>
        <v>1.0612035033287353</v>
      </c>
      <c r="AN294" s="211">
        <f t="shared" si="208"/>
        <v>1.0612035033287353</v>
      </c>
    </row>
    <row r="295" spans="2:40" ht="12" hidden="1" customHeight="1" outlineLevel="2">
      <c r="B295" s="245"/>
      <c r="C295" s="250" t="s">
        <v>780</v>
      </c>
      <c r="D295" s="250"/>
      <c r="E295" s="213"/>
      <c r="F295" s="213"/>
      <c r="G295" s="213"/>
      <c r="H295" s="213"/>
      <c r="I295" s="213"/>
      <c r="J295" s="213"/>
      <c r="K295" s="213"/>
      <c r="L295" s="213"/>
      <c r="M295" s="213"/>
      <c r="N295" s="213"/>
      <c r="O295" s="213"/>
      <c r="P295" s="213"/>
      <c r="Q295" s="213"/>
      <c r="R295" s="213"/>
      <c r="S295" s="213"/>
      <c r="T295" s="213"/>
      <c r="U295" s="213"/>
      <c r="V295" s="213"/>
      <c r="W295" s="213"/>
      <c r="X295" s="213"/>
      <c r="Y295" s="213"/>
      <c r="Z295" s="213"/>
      <c r="AA295" s="213"/>
      <c r="AB295" s="211"/>
      <c r="AC295" s="211"/>
      <c r="AD295" s="211"/>
      <c r="AE295" s="211"/>
      <c r="AF295" s="211">
        <f>INDEX($C$199:$AN$221,MATCH("New Customers 1MS",$C$199:$C$221,0),MATCH($C295,$C$199:$AN$199,0))</f>
        <v>11.109587370802831</v>
      </c>
      <c r="AG295" s="211">
        <f t="shared" ref="AG295:AN295" si="209">$AF$295*(E266)</f>
        <v>0.77767111595619831</v>
      </c>
      <c r="AH295" s="211">
        <f t="shared" si="209"/>
        <v>0.77767111595619831</v>
      </c>
      <c r="AI295" s="211">
        <f t="shared" si="209"/>
        <v>0.77767111595619831</v>
      </c>
      <c r="AJ295" s="211">
        <f t="shared" si="209"/>
        <v>0.66657524224816989</v>
      </c>
      <c r="AK295" s="211">
        <f t="shared" si="209"/>
        <v>0.66657524224816989</v>
      </c>
      <c r="AL295" s="211">
        <f t="shared" si="209"/>
        <v>0.66657524224816989</v>
      </c>
      <c r="AM295" s="211">
        <f t="shared" si="209"/>
        <v>0.55547936854014157</v>
      </c>
      <c r="AN295" s="211">
        <f t="shared" si="209"/>
        <v>0.55547936854014157</v>
      </c>
    </row>
    <row r="296" spans="2:40" ht="12" hidden="1" customHeight="1" outlineLevel="2">
      <c r="B296" s="245"/>
      <c r="C296" s="250" t="s">
        <v>781</v>
      </c>
      <c r="D296" s="250"/>
      <c r="E296" s="213"/>
      <c r="F296" s="213"/>
      <c r="G296" s="213"/>
      <c r="H296" s="213"/>
      <c r="I296" s="213"/>
      <c r="J296" s="213"/>
      <c r="K296" s="213"/>
      <c r="L296" s="213"/>
      <c r="M296" s="213"/>
      <c r="N296" s="213"/>
      <c r="O296" s="213"/>
      <c r="P296" s="213"/>
      <c r="Q296" s="213"/>
      <c r="R296" s="213"/>
      <c r="S296" s="213"/>
      <c r="T296" s="213"/>
      <c r="U296" s="213"/>
      <c r="V296" s="213"/>
      <c r="W296" s="213"/>
      <c r="X296" s="213"/>
      <c r="Y296" s="213"/>
      <c r="Z296" s="213"/>
      <c r="AA296" s="213"/>
      <c r="AB296" s="211"/>
      <c r="AC296" s="211"/>
      <c r="AD296" s="211"/>
      <c r="AE296" s="211"/>
      <c r="AF296" s="211"/>
      <c r="AG296" s="211">
        <f>INDEX($C$199:$AN$221,MATCH("New Customers 1MS",$C$199:$C$221,0),MATCH($C296,$C$199:$AN$199,0))</f>
        <v>10.981504590848353</v>
      </c>
      <c r="AH296" s="211">
        <f t="shared" ref="AH296:AN296" si="210">$AG$296*(E266)</f>
        <v>0.76870532135938474</v>
      </c>
      <c r="AI296" s="211">
        <f t="shared" si="210"/>
        <v>0.76870532135938474</v>
      </c>
      <c r="AJ296" s="211">
        <f t="shared" si="210"/>
        <v>0.76870532135938474</v>
      </c>
      <c r="AK296" s="211">
        <f t="shared" si="210"/>
        <v>0.65889027545090117</v>
      </c>
      <c r="AL296" s="211">
        <f t="shared" si="210"/>
        <v>0.65889027545090117</v>
      </c>
      <c r="AM296" s="211">
        <f t="shared" si="210"/>
        <v>0.65889027545090117</v>
      </c>
      <c r="AN296" s="211">
        <f t="shared" si="210"/>
        <v>0.54907522954241761</v>
      </c>
    </row>
    <row r="297" spans="2:40" ht="12" hidden="1" customHeight="1" outlineLevel="2">
      <c r="B297" s="245"/>
      <c r="C297" s="250" t="s">
        <v>782</v>
      </c>
      <c r="D297" s="250"/>
      <c r="E297" s="213"/>
      <c r="F297" s="213"/>
      <c r="G297" s="213"/>
      <c r="H297" s="213"/>
      <c r="I297" s="213"/>
      <c r="J297" s="213"/>
      <c r="K297" s="213"/>
      <c r="L297" s="213"/>
      <c r="M297" s="213"/>
      <c r="N297" s="213"/>
      <c r="O297" s="213"/>
      <c r="P297" s="213"/>
      <c r="Q297" s="213"/>
      <c r="R297" s="213"/>
      <c r="S297" s="213"/>
      <c r="T297" s="213"/>
      <c r="U297" s="213"/>
      <c r="V297" s="213"/>
      <c r="W297" s="213"/>
      <c r="X297" s="213"/>
      <c r="Y297" s="213"/>
      <c r="Z297" s="213"/>
      <c r="AA297" s="213"/>
      <c r="AB297" s="211"/>
      <c r="AC297" s="211"/>
      <c r="AD297" s="211"/>
      <c r="AE297" s="211"/>
      <c r="AF297" s="211"/>
      <c r="AG297" s="211"/>
      <c r="AH297" s="211">
        <f>INDEX($C$199:$AN$221,MATCH("New Customers 1MS",$C$199:$C$221,0),MATCH($C297,$C$199:$AN$199,0))</f>
        <v>33.83313745280514</v>
      </c>
      <c r="AI297" s="211">
        <f t="shared" ref="AI297:AN297" si="211">$AH$297*(E266)</f>
        <v>2.3683196216963602</v>
      </c>
      <c r="AJ297" s="211">
        <f t="shared" si="211"/>
        <v>2.3683196216963602</v>
      </c>
      <c r="AK297" s="211">
        <f t="shared" si="211"/>
        <v>2.3683196216963602</v>
      </c>
      <c r="AL297" s="211">
        <f t="shared" si="211"/>
        <v>2.0299882471683084</v>
      </c>
      <c r="AM297" s="211">
        <f t="shared" si="211"/>
        <v>2.0299882471683084</v>
      </c>
      <c r="AN297" s="211">
        <f t="shared" si="211"/>
        <v>2.0299882471683084</v>
      </c>
    </row>
    <row r="298" spans="2:40" ht="12" hidden="1" customHeight="1" outlineLevel="2">
      <c r="B298" s="245"/>
      <c r="C298" s="250" t="s">
        <v>783</v>
      </c>
      <c r="D298" s="250"/>
      <c r="E298" s="213"/>
      <c r="F298" s="213"/>
      <c r="G298" s="213"/>
      <c r="H298" s="213"/>
      <c r="I298" s="213"/>
      <c r="J298" s="213"/>
      <c r="K298" s="213"/>
      <c r="L298" s="213"/>
      <c r="M298" s="213"/>
      <c r="N298" s="213"/>
      <c r="O298" s="213"/>
      <c r="P298" s="213"/>
      <c r="Q298" s="213"/>
      <c r="R298" s="213"/>
      <c r="S298" s="213"/>
      <c r="T298" s="213"/>
      <c r="U298" s="213"/>
      <c r="V298" s="213"/>
      <c r="W298" s="213"/>
      <c r="X298" s="213"/>
      <c r="Y298" s="213"/>
      <c r="Z298" s="213"/>
      <c r="AA298" s="213"/>
      <c r="AB298" s="211"/>
      <c r="AC298" s="211"/>
      <c r="AD298" s="211"/>
      <c r="AE298" s="211"/>
      <c r="AF298" s="211"/>
      <c r="AG298" s="211"/>
      <c r="AH298" s="211"/>
      <c r="AI298" s="211">
        <f>INDEX($C$199:$AN$221,MATCH("New Customers 1MS",$C$199:$C$221,0),MATCH($C298,$C$199:$AN$199,0))</f>
        <v>12.803852263849404</v>
      </c>
      <c r="AJ298" s="211">
        <f>$AI$298*(E266)</f>
        <v>0.89626965846945839</v>
      </c>
      <c r="AK298" s="211">
        <f>$AI$298*(F266)</f>
        <v>0.89626965846945839</v>
      </c>
      <c r="AL298" s="211">
        <f>$AI$298*(G266)</f>
        <v>0.89626965846945839</v>
      </c>
      <c r="AM298" s="211">
        <f>$AI$298*(H266)</f>
        <v>0.76823113583096414</v>
      </c>
      <c r="AN298" s="211">
        <f>$AI$298*(I266)</f>
        <v>0.76823113583096414</v>
      </c>
    </row>
    <row r="299" spans="2:40" ht="12" hidden="1" customHeight="1" outlineLevel="2">
      <c r="B299" s="245"/>
      <c r="C299" s="250" t="s">
        <v>784</v>
      </c>
      <c r="D299" s="250"/>
      <c r="E299" s="213"/>
      <c r="F299" s="213"/>
      <c r="G299" s="213"/>
      <c r="H299" s="213"/>
      <c r="I299" s="213"/>
      <c r="J299" s="213"/>
      <c r="K299" s="213"/>
      <c r="L299" s="213"/>
      <c r="M299" s="213"/>
      <c r="N299" s="213"/>
      <c r="O299" s="213"/>
      <c r="P299" s="213"/>
      <c r="Q299" s="213"/>
      <c r="R299" s="213"/>
      <c r="S299" s="213"/>
      <c r="T299" s="213"/>
      <c r="U299" s="213"/>
      <c r="V299" s="213"/>
      <c r="W299" s="213"/>
      <c r="X299" s="213"/>
      <c r="Y299" s="213"/>
      <c r="Z299" s="213"/>
      <c r="AA299" s="213"/>
      <c r="AB299" s="211"/>
      <c r="AC299" s="211"/>
      <c r="AD299" s="211"/>
      <c r="AE299" s="211"/>
      <c r="AF299" s="211"/>
      <c r="AG299" s="211"/>
      <c r="AH299" s="211"/>
      <c r="AI299" s="211"/>
      <c r="AJ299" s="211">
        <f>INDEX($C$199:$AN$221,MATCH("New Customers 1MS",$C$199:$C$221,0),MATCH($C299,$C$199:$AN$199,0))</f>
        <v>13.72040020300536</v>
      </c>
      <c r="AK299" s="211">
        <f>$AJ$299*(E266)</f>
        <v>0.96042801421037527</v>
      </c>
      <c r="AL299" s="211">
        <f>$AJ$299*(F266)</f>
        <v>0.96042801421037527</v>
      </c>
      <c r="AM299" s="211">
        <f>$AJ$299*(G266)</f>
        <v>0.96042801421037527</v>
      </c>
      <c r="AN299" s="211">
        <f>$AJ$299*(H266)</f>
        <v>0.8232240121803216</v>
      </c>
    </row>
    <row r="300" spans="2:40" ht="12" hidden="1" customHeight="1" outlineLevel="2">
      <c r="B300" s="245"/>
      <c r="C300" s="250" t="s">
        <v>785</v>
      </c>
      <c r="D300" s="250"/>
      <c r="E300" s="213"/>
      <c r="F300" s="213"/>
      <c r="G300" s="213"/>
      <c r="H300" s="213"/>
      <c r="I300" s="213"/>
      <c r="J300" s="213"/>
      <c r="K300" s="213"/>
      <c r="L300" s="213"/>
      <c r="M300" s="213"/>
      <c r="N300" s="213"/>
      <c r="O300" s="213"/>
      <c r="P300" s="213"/>
      <c r="Q300" s="213"/>
      <c r="R300" s="213"/>
      <c r="S300" s="213"/>
      <c r="T300" s="213"/>
      <c r="U300" s="213"/>
      <c r="V300" s="213"/>
      <c r="W300" s="213"/>
      <c r="X300" s="213"/>
      <c r="Y300" s="213"/>
      <c r="Z300" s="213"/>
      <c r="AA300" s="213"/>
      <c r="AB300" s="211"/>
      <c r="AC300" s="211"/>
      <c r="AD300" s="211"/>
      <c r="AE300" s="211"/>
      <c r="AF300" s="211"/>
      <c r="AG300" s="211"/>
      <c r="AH300" s="211"/>
      <c r="AI300" s="211"/>
      <c r="AJ300" s="211"/>
      <c r="AK300" s="211">
        <f>INDEX($C$199:$AN$221,MATCH("New Customers 1MS",$C$199:$C$221,0),MATCH($C300,$C$199:$AN$199,0))</f>
        <v>47.9454256514096</v>
      </c>
      <c r="AL300" s="211">
        <f>$AK$300*(E266)</f>
        <v>3.3561797955986723</v>
      </c>
      <c r="AM300" s="211">
        <f>$AK$300*(F266)</f>
        <v>3.3561797955986723</v>
      </c>
      <c r="AN300" s="211">
        <f>$AK$300*(G266)</f>
        <v>3.3561797955986723</v>
      </c>
    </row>
    <row r="301" spans="2:40" ht="12" hidden="1" customHeight="1" outlineLevel="2">
      <c r="B301" s="245"/>
      <c r="C301" s="250" t="s">
        <v>786</v>
      </c>
      <c r="D301" s="250"/>
      <c r="E301" s="213"/>
      <c r="F301" s="213"/>
      <c r="G301" s="213"/>
      <c r="H301" s="213"/>
      <c r="I301" s="213"/>
      <c r="J301" s="213"/>
      <c r="K301" s="213"/>
      <c r="L301" s="213"/>
      <c r="M301" s="213"/>
      <c r="N301" s="213"/>
      <c r="O301" s="213"/>
      <c r="P301" s="213"/>
      <c r="Q301" s="213"/>
      <c r="R301" s="213"/>
      <c r="S301" s="213"/>
      <c r="T301" s="213"/>
      <c r="U301" s="213"/>
      <c r="V301" s="213"/>
      <c r="W301" s="213"/>
      <c r="X301" s="213"/>
      <c r="Y301" s="213"/>
      <c r="Z301" s="213"/>
      <c r="AA301" s="213"/>
      <c r="AB301" s="211"/>
      <c r="AC301" s="211"/>
      <c r="AD301" s="211"/>
      <c r="AE301" s="211"/>
      <c r="AF301" s="211"/>
      <c r="AG301" s="211"/>
      <c r="AH301" s="211"/>
      <c r="AI301" s="211"/>
      <c r="AJ301" s="211"/>
      <c r="AK301" s="211"/>
      <c r="AL301" s="211">
        <f>INDEX($C$199:$AN$221,MATCH("New Customers 1MS",$C$199:$C$221,0),MATCH($C301,$C$199:$AN$199,0))</f>
        <v>61.64411869466948</v>
      </c>
      <c r="AM301" s="211">
        <f>$AL$301*(E266)</f>
        <v>4.3150883086268639</v>
      </c>
      <c r="AN301" s="211">
        <f>$AL$301*(F266)</f>
        <v>4.3150883086268639</v>
      </c>
    </row>
    <row r="302" spans="2:40" ht="12" hidden="1" customHeight="1" outlineLevel="2">
      <c r="B302" s="245"/>
      <c r="C302" s="250" t="s">
        <v>787</v>
      </c>
      <c r="D302" s="250"/>
      <c r="E302" s="213"/>
      <c r="F302" s="213"/>
      <c r="G302" s="213"/>
      <c r="H302" s="213"/>
      <c r="I302" s="213"/>
      <c r="J302" s="213"/>
      <c r="K302" s="213"/>
      <c r="L302" s="213"/>
      <c r="M302" s="213"/>
      <c r="N302" s="213"/>
      <c r="O302" s="213"/>
      <c r="P302" s="213"/>
      <c r="Q302" s="213"/>
      <c r="R302" s="213"/>
      <c r="S302" s="213"/>
      <c r="T302" s="213"/>
      <c r="U302" s="213"/>
      <c r="V302" s="213"/>
      <c r="W302" s="213"/>
      <c r="X302" s="213"/>
      <c r="Y302" s="213"/>
      <c r="Z302" s="213"/>
      <c r="AA302" s="213"/>
      <c r="AB302" s="211"/>
      <c r="AC302" s="211"/>
      <c r="AD302" s="211"/>
      <c r="AE302" s="211"/>
      <c r="AF302" s="211"/>
      <c r="AG302" s="211"/>
      <c r="AH302" s="211"/>
      <c r="AI302" s="211"/>
      <c r="AJ302" s="211"/>
      <c r="AK302" s="211"/>
      <c r="AL302" s="211"/>
      <c r="AM302" s="211">
        <f>INDEX($C$199:$AN$221,MATCH("New Customers 1MS",$C$199:$C$221,0),MATCH($C302,$C$199:$AN$199,0))</f>
        <v>10.274019782444913</v>
      </c>
      <c r="AN302" s="211">
        <f>$AM$302*(E266)</f>
        <v>0.71918138477114402</v>
      </c>
    </row>
    <row r="303" spans="2:40" ht="12" hidden="1" customHeight="1" outlineLevel="2">
      <c r="B303" s="245"/>
      <c r="C303" s="250" t="s">
        <v>788</v>
      </c>
      <c r="D303" s="250"/>
      <c r="E303" s="213"/>
      <c r="F303" s="213"/>
      <c r="G303" s="213"/>
      <c r="H303" s="213"/>
      <c r="I303" s="213"/>
      <c r="J303" s="213"/>
      <c r="K303" s="213"/>
      <c r="L303" s="213"/>
      <c r="M303" s="213"/>
      <c r="N303" s="213"/>
      <c r="O303" s="213"/>
      <c r="P303" s="213"/>
      <c r="Q303" s="213"/>
      <c r="R303" s="213"/>
      <c r="S303" s="213"/>
      <c r="T303" s="213"/>
      <c r="U303" s="213"/>
      <c r="V303" s="213"/>
      <c r="W303" s="213"/>
      <c r="X303" s="213"/>
      <c r="Y303" s="213"/>
      <c r="Z303" s="213"/>
      <c r="AA303" s="213"/>
      <c r="AB303" s="211"/>
      <c r="AC303" s="211"/>
      <c r="AD303" s="211"/>
      <c r="AE303" s="211"/>
      <c r="AF303" s="211"/>
      <c r="AG303" s="211"/>
      <c r="AH303" s="211"/>
      <c r="AI303" s="211"/>
      <c r="AJ303" s="211"/>
      <c r="AK303" s="211"/>
      <c r="AL303" s="211"/>
      <c r="AM303" s="211"/>
      <c r="AN303" s="211">
        <f>INDEX($C$199:$AN$221,MATCH("New Customers 1MS",$C$199:$C$221,0),MATCH($C303,$C$199:$AN$199,0))</f>
        <v>13.698693043259885</v>
      </c>
    </row>
    <row r="304" spans="2:40" ht="12" hidden="1" customHeight="1" outlineLevel="2">
      <c r="B304" s="245"/>
      <c r="C304" s="250"/>
      <c r="D304" s="250"/>
      <c r="E304" s="213"/>
      <c r="F304" s="213"/>
      <c r="G304" s="213"/>
      <c r="H304" s="213"/>
      <c r="I304" s="213"/>
      <c r="J304" s="213"/>
      <c r="K304" s="213"/>
      <c r="L304" s="213"/>
      <c r="M304" s="213"/>
      <c r="N304" s="213"/>
      <c r="O304" s="213"/>
      <c r="P304" s="213"/>
      <c r="Q304" s="213"/>
      <c r="R304" s="213"/>
      <c r="S304" s="213"/>
      <c r="T304" s="213"/>
      <c r="U304" s="213"/>
      <c r="V304" s="213"/>
      <c r="W304" s="213"/>
      <c r="X304" s="213"/>
      <c r="Y304" s="213"/>
      <c r="Z304" s="213"/>
      <c r="AA304" s="213"/>
      <c r="AB304" s="211"/>
      <c r="AC304" s="211"/>
      <c r="AD304" s="211"/>
      <c r="AE304" s="211"/>
      <c r="AF304" s="211"/>
      <c r="AG304" s="211"/>
      <c r="AH304" s="211"/>
      <c r="AI304" s="211"/>
      <c r="AJ304" s="211"/>
      <c r="AK304" s="211"/>
      <c r="AL304" s="211"/>
      <c r="AM304" s="211"/>
      <c r="AN304" s="211"/>
    </row>
    <row r="305" spans="2:40 16380:16380" ht="12" hidden="1" customHeight="1" outlineLevel="2">
      <c r="B305" s="245"/>
      <c r="C305" s="249" t="s">
        <v>854</v>
      </c>
      <c r="D305" s="250"/>
      <c r="E305" s="213"/>
      <c r="F305" s="213"/>
      <c r="G305" s="213"/>
      <c r="H305" s="213"/>
      <c r="I305" s="213"/>
      <c r="J305" s="213"/>
      <c r="K305" s="213"/>
      <c r="L305" s="213"/>
      <c r="M305" s="213"/>
      <c r="N305" s="213"/>
      <c r="O305" s="213"/>
      <c r="P305" s="213"/>
      <c r="Q305" s="213"/>
      <c r="R305" s="213"/>
      <c r="S305" s="213"/>
      <c r="T305" s="213"/>
      <c r="U305" s="213"/>
      <c r="V305" s="213"/>
      <c r="W305" s="213"/>
      <c r="X305" s="213"/>
      <c r="Y305" s="213"/>
      <c r="Z305" s="213"/>
      <c r="AA305" s="213"/>
      <c r="AB305" s="213"/>
      <c r="AC305" s="211"/>
    </row>
    <row r="306" spans="2:40 16380:16380" ht="12" hidden="1" customHeight="1" outlineLevel="3">
      <c r="B306" s="239"/>
      <c r="C306" s="212" t="s">
        <v>850</v>
      </c>
      <c r="D306" s="212"/>
      <c r="E306" s="196" t="s">
        <v>753</v>
      </c>
      <c r="F306" s="196" t="s">
        <v>754</v>
      </c>
      <c r="G306" s="196" t="s">
        <v>755</v>
      </c>
      <c r="H306" s="196" t="s">
        <v>756</v>
      </c>
      <c r="I306" s="196" t="s">
        <v>757</v>
      </c>
      <c r="J306" s="196" t="s">
        <v>758</v>
      </c>
      <c r="K306" s="196" t="s">
        <v>759</v>
      </c>
      <c r="L306" s="196" t="s">
        <v>760</v>
      </c>
      <c r="M306" s="196" t="s">
        <v>761</v>
      </c>
      <c r="N306" s="196" t="s">
        <v>762</v>
      </c>
      <c r="O306" s="196" t="s">
        <v>763</v>
      </c>
      <c r="P306" s="196" t="s">
        <v>764</v>
      </c>
      <c r="Q306" s="196" t="s">
        <v>765</v>
      </c>
      <c r="R306" s="196" t="s">
        <v>766</v>
      </c>
      <c r="S306" s="196" t="s">
        <v>767</v>
      </c>
      <c r="T306" s="196" t="s">
        <v>768</v>
      </c>
      <c r="U306" s="196" t="s">
        <v>769</v>
      </c>
      <c r="V306" s="196" t="s">
        <v>770</v>
      </c>
      <c r="W306" s="196" t="s">
        <v>771</v>
      </c>
      <c r="X306" s="196" t="s">
        <v>772</v>
      </c>
      <c r="Y306" s="196" t="s">
        <v>773</v>
      </c>
      <c r="Z306" s="196" t="s">
        <v>774</v>
      </c>
      <c r="AA306" s="196" t="s">
        <v>775</v>
      </c>
      <c r="AB306" s="196" t="s">
        <v>776</v>
      </c>
      <c r="AC306" s="196" t="s">
        <v>777</v>
      </c>
      <c r="AD306" s="196" t="s">
        <v>778</v>
      </c>
      <c r="AE306" s="196" t="s">
        <v>779</v>
      </c>
      <c r="AF306" s="196" t="s">
        <v>780</v>
      </c>
      <c r="AG306" s="196" t="s">
        <v>781</v>
      </c>
      <c r="AH306" s="196" t="s">
        <v>782</v>
      </c>
      <c r="AI306" s="196" t="s">
        <v>783</v>
      </c>
      <c r="AJ306" s="196" t="s">
        <v>784</v>
      </c>
      <c r="AK306" s="196" t="s">
        <v>785</v>
      </c>
      <c r="AL306" s="196" t="s">
        <v>786</v>
      </c>
      <c r="AM306" s="196" t="s">
        <v>787</v>
      </c>
      <c r="AN306" s="196" t="s">
        <v>788</v>
      </c>
    </row>
    <row r="307" spans="2:40 16380:16380" ht="12" hidden="1" customHeight="1" outlineLevel="3">
      <c r="B307" s="239"/>
      <c r="C307" s="247" t="s">
        <v>851</v>
      </c>
      <c r="D307" s="212"/>
      <c r="E307" s="193">
        <v>0.86</v>
      </c>
      <c r="F307" s="192"/>
      <c r="G307" s="192"/>
      <c r="H307" s="193">
        <v>0.42</v>
      </c>
      <c r="I307" s="192"/>
      <c r="J307" s="192"/>
      <c r="K307" s="193">
        <v>0.26</v>
      </c>
      <c r="L307" s="192"/>
      <c r="M307" s="192"/>
      <c r="N307" s="193">
        <v>0.16</v>
      </c>
      <c r="O307" s="192"/>
      <c r="P307" s="192"/>
      <c r="Q307" s="193">
        <v>0.1</v>
      </c>
      <c r="R307" s="192"/>
      <c r="S307" s="192"/>
      <c r="T307" s="193">
        <v>0.06</v>
      </c>
      <c r="U307" s="192"/>
      <c r="V307" s="192"/>
      <c r="W307" s="193">
        <v>0.03</v>
      </c>
      <c r="X307" s="192"/>
      <c r="Y307" s="192"/>
      <c r="Z307" s="193">
        <v>0.01</v>
      </c>
      <c r="AA307" s="192"/>
      <c r="AB307" s="192"/>
      <c r="AC307" s="193">
        <v>0.01</v>
      </c>
      <c r="AD307" s="192"/>
      <c r="AE307" s="192"/>
      <c r="AF307" s="193">
        <v>0.01</v>
      </c>
      <c r="AG307" s="192"/>
      <c r="AH307" s="192"/>
      <c r="AI307" s="193">
        <v>0.01</v>
      </c>
      <c r="AJ307" s="192"/>
      <c r="AK307" s="192"/>
      <c r="AL307" s="193">
        <v>0.01</v>
      </c>
      <c r="AM307" s="192"/>
      <c r="AN307" s="192"/>
    </row>
    <row r="308" spans="2:40 16380:16380" ht="12" hidden="1" customHeight="1" outlineLevel="3">
      <c r="B308" s="245"/>
      <c r="C308" s="250" t="s">
        <v>753</v>
      </c>
      <c r="D308" s="250"/>
      <c r="E308" s="211">
        <f>INDEX($C$199:$AN$221, MATCH("New Customers 3MS", $C$199:$C$221, 0), MATCH($C308, $C$199:$AN$199, 0))</f>
        <v>0</v>
      </c>
      <c r="F308" s="211"/>
      <c r="G308" s="211"/>
      <c r="H308" s="211">
        <f>E308*(1-E307)</f>
        <v>0</v>
      </c>
      <c r="I308" s="211"/>
      <c r="J308" s="211"/>
      <c r="K308" s="211">
        <f>E308*(1-H307)</f>
        <v>0</v>
      </c>
      <c r="L308" s="211"/>
      <c r="M308" s="211"/>
      <c r="N308" s="211">
        <f>E308*(1-K307)</f>
        <v>0</v>
      </c>
      <c r="O308" s="211"/>
      <c r="P308" s="211"/>
      <c r="Q308" s="211">
        <f>E308*(1-N307)</f>
        <v>0</v>
      </c>
      <c r="R308" s="211"/>
      <c r="S308" s="211"/>
      <c r="T308" s="211">
        <f>E308*(1-Q307)</f>
        <v>0</v>
      </c>
      <c r="U308" s="211"/>
      <c r="V308" s="211"/>
      <c r="W308" s="211">
        <f>E308*(1-T307)</f>
        <v>0</v>
      </c>
      <c r="X308" s="211"/>
      <c r="Y308" s="211"/>
      <c r="Z308" s="211">
        <f>E308*(1-W307)</f>
        <v>0</v>
      </c>
      <c r="AA308" s="211"/>
      <c r="AB308" s="211"/>
      <c r="AC308" s="211">
        <f>E308*(1-Z307)</f>
        <v>0</v>
      </c>
      <c r="AD308" s="211"/>
      <c r="AE308" s="211"/>
      <c r="AF308" s="211">
        <f>E308*(1-AC307)</f>
        <v>0</v>
      </c>
      <c r="AG308" s="211"/>
      <c r="AH308" s="211"/>
      <c r="AI308" s="211">
        <f>E308*(1-AF307)</f>
        <v>0</v>
      </c>
      <c r="AJ308" s="211"/>
      <c r="AK308" s="211"/>
      <c r="AL308" s="211">
        <f>E308*(1-AI307)</f>
        <v>0</v>
      </c>
      <c r="AM308" s="211"/>
      <c r="AN308" s="211"/>
    </row>
    <row r="309" spans="2:40 16380:16380" ht="12" hidden="1" customHeight="1" outlineLevel="3">
      <c r="B309" s="245"/>
      <c r="C309" s="250" t="s">
        <v>754</v>
      </c>
      <c r="D309" s="250"/>
      <c r="E309" s="213"/>
      <c r="F309" s="211">
        <f>INDEX($C$199:$AN$221, MATCH("New Customers 3MS", $C$199:$C$221, 0), MATCH($C309, $C$199:$AN$199, 0))</f>
        <v>0</v>
      </c>
      <c r="G309" s="211"/>
      <c r="H309" s="211"/>
      <c r="I309" s="211">
        <f>F309*(E307)</f>
        <v>0</v>
      </c>
      <c r="J309" s="211"/>
      <c r="K309" s="211"/>
      <c r="L309" s="211">
        <f>F309*(H307)</f>
        <v>0</v>
      </c>
      <c r="M309" s="211"/>
      <c r="N309" s="211"/>
      <c r="O309" s="211">
        <f>F309*(K307)</f>
        <v>0</v>
      </c>
      <c r="P309" s="211"/>
      <c r="Q309" s="211"/>
      <c r="R309" s="211">
        <f>F309*(N307)</f>
        <v>0</v>
      </c>
      <c r="S309" s="211"/>
      <c r="T309" s="211"/>
      <c r="U309" s="211">
        <f>F309*(Q307)</f>
        <v>0</v>
      </c>
      <c r="V309" s="211"/>
      <c r="W309" s="211"/>
      <c r="X309" s="211">
        <f>F309*(T307)</f>
        <v>0</v>
      </c>
      <c r="Y309" s="211"/>
      <c r="Z309" s="211"/>
      <c r="AA309" s="211">
        <f>F309*(W307)</f>
        <v>0</v>
      </c>
      <c r="AB309" s="211"/>
      <c r="AC309" s="211"/>
      <c r="AD309" s="211">
        <f>F309*(Z307)</f>
        <v>0</v>
      </c>
      <c r="AE309" s="211"/>
      <c r="AF309" s="211"/>
      <c r="AG309" s="211">
        <f>F309*(AC307)</f>
        <v>0</v>
      </c>
      <c r="AH309" s="211"/>
      <c r="AI309" s="211"/>
      <c r="AJ309" s="211">
        <f>F309*(AF307)</f>
        <v>0</v>
      </c>
      <c r="AK309" s="211"/>
      <c r="AL309" s="211"/>
      <c r="AM309" s="211">
        <f>F309*(AI307)</f>
        <v>0</v>
      </c>
      <c r="AN309" s="211"/>
      <c r="XEZ309" s="211"/>
    </row>
    <row r="310" spans="2:40 16380:16380" ht="12" hidden="1" customHeight="1" outlineLevel="3">
      <c r="B310" s="245"/>
      <c r="C310" s="250" t="s">
        <v>755</v>
      </c>
      <c r="D310" s="250"/>
      <c r="E310" s="213"/>
      <c r="F310" s="213"/>
      <c r="G310" s="211">
        <f>INDEX($C$199:$AN$221, MATCH("New Customers 3MS", $C$199:$C$221, 0), MATCH($C310, $C$199:$AN$199, 0))</f>
        <v>0</v>
      </c>
      <c r="H310" s="211"/>
      <c r="I310" s="211"/>
      <c r="J310" s="211">
        <f>G310*(E307)</f>
        <v>0</v>
      </c>
      <c r="K310" s="211"/>
      <c r="L310" s="211"/>
      <c r="M310" s="211">
        <f>G310*(H307)</f>
        <v>0</v>
      </c>
      <c r="N310" s="211"/>
      <c r="O310" s="211"/>
      <c r="P310" s="211">
        <f>G310*(K307)</f>
        <v>0</v>
      </c>
      <c r="Q310" s="211"/>
      <c r="R310" s="211"/>
      <c r="S310" s="211">
        <f>G310*(N307)</f>
        <v>0</v>
      </c>
      <c r="T310" s="211"/>
      <c r="U310" s="211"/>
      <c r="V310" s="211">
        <f>G310*(Q307)</f>
        <v>0</v>
      </c>
      <c r="W310" s="211"/>
      <c r="X310" s="211"/>
      <c r="Y310" s="211">
        <f>G310*(T307)</f>
        <v>0</v>
      </c>
      <c r="Z310" s="211"/>
      <c r="AA310" s="211"/>
      <c r="AB310" s="211">
        <f>G310*(W307)</f>
        <v>0</v>
      </c>
      <c r="AC310" s="211"/>
      <c r="AD310" s="211"/>
      <c r="AE310" s="211">
        <f>G310*(Z307)</f>
        <v>0</v>
      </c>
      <c r="AF310" s="211"/>
      <c r="AG310" s="211"/>
      <c r="AH310" s="211">
        <f>G310*(AC307)</f>
        <v>0</v>
      </c>
      <c r="AI310" s="211"/>
      <c r="AJ310" s="211"/>
      <c r="AK310" s="211">
        <f>G310*(AF307)</f>
        <v>0</v>
      </c>
      <c r="AL310" s="211"/>
      <c r="AM310" s="211"/>
      <c r="AN310" s="211">
        <f>G310*(AI307)</f>
        <v>0</v>
      </c>
    </row>
    <row r="311" spans="2:40 16380:16380" ht="12" hidden="1" customHeight="1" outlineLevel="3">
      <c r="B311" s="245"/>
      <c r="C311" s="250" t="s">
        <v>756</v>
      </c>
      <c r="D311" s="250"/>
      <c r="E311" s="213"/>
      <c r="F311" s="213"/>
      <c r="G311" s="213"/>
      <c r="H311" s="211">
        <f>INDEX($C$199:$AN$221, MATCH("New Customers 3MS", $C$199:$C$221, 0), MATCH($C311, $C$199:$AN$199, 0))</f>
        <v>0</v>
      </c>
      <c r="I311" s="211"/>
      <c r="J311" s="211"/>
      <c r="K311" s="211">
        <f>H311*(E307)</f>
        <v>0</v>
      </c>
      <c r="L311" s="211"/>
      <c r="M311" s="211"/>
      <c r="N311" s="211">
        <f>H311*(H307)</f>
        <v>0</v>
      </c>
      <c r="O311" s="211"/>
      <c r="P311" s="211"/>
      <c r="Q311" s="211">
        <f>H311*(K307)</f>
        <v>0</v>
      </c>
      <c r="R311" s="211"/>
      <c r="S311" s="211"/>
      <c r="T311" s="211">
        <f>H311*(N307)</f>
        <v>0</v>
      </c>
      <c r="U311" s="211"/>
      <c r="V311" s="211"/>
      <c r="W311" s="211">
        <f>H311*(Q307)</f>
        <v>0</v>
      </c>
      <c r="X311" s="211"/>
      <c r="Y311" s="211"/>
      <c r="Z311" s="211">
        <f>H311*(T307)</f>
        <v>0</v>
      </c>
      <c r="AA311" s="211"/>
      <c r="AB311" s="211"/>
      <c r="AC311" s="211">
        <f>H311*(W307)</f>
        <v>0</v>
      </c>
      <c r="AD311" s="211"/>
      <c r="AE311" s="211"/>
      <c r="AF311" s="211">
        <f>H311*(Z307)</f>
        <v>0</v>
      </c>
      <c r="AG311" s="211"/>
      <c r="AH311" s="211"/>
      <c r="AI311" s="211">
        <f>H311*(AC307)</f>
        <v>0</v>
      </c>
      <c r="AJ311" s="211"/>
      <c r="AK311" s="211"/>
      <c r="AL311" s="211">
        <f>H311*(AF307)</f>
        <v>0</v>
      </c>
      <c r="AM311" s="211"/>
      <c r="AN311" s="211"/>
    </row>
    <row r="312" spans="2:40 16380:16380" ht="12" hidden="1" customHeight="1" outlineLevel="3">
      <c r="B312" s="245"/>
      <c r="C312" s="250" t="s">
        <v>757</v>
      </c>
      <c r="D312" s="250"/>
      <c r="E312" s="213"/>
      <c r="F312" s="213"/>
      <c r="G312" s="213"/>
      <c r="H312" s="213"/>
      <c r="I312" s="211">
        <f>INDEX($C$199:$AN$221, MATCH("New Customers 3MS", $C$199:$C$221, 0), MATCH($C312, $C$199:$AN$199, 0))</f>
        <v>0</v>
      </c>
      <c r="J312" s="211"/>
      <c r="K312" s="211"/>
      <c r="L312" s="211">
        <f>I312*(E307)</f>
        <v>0</v>
      </c>
      <c r="M312" s="211"/>
      <c r="N312" s="211"/>
      <c r="O312" s="211">
        <f>I312*(H307)</f>
        <v>0</v>
      </c>
      <c r="P312" s="211"/>
      <c r="Q312" s="211"/>
      <c r="R312" s="211">
        <f>I312*(K307)</f>
        <v>0</v>
      </c>
      <c r="S312" s="211"/>
      <c r="T312" s="211"/>
      <c r="U312" s="211">
        <f>I312*(N307)</f>
        <v>0</v>
      </c>
      <c r="V312" s="211"/>
      <c r="W312" s="211"/>
      <c r="X312" s="211">
        <f>I312*(Q307)</f>
        <v>0</v>
      </c>
      <c r="Y312" s="211"/>
      <c r="Z312" s="211"/>
      <c r="AA312" s="211">
        <f>I312*(T307)</f>
        <v>0</v>
      </c>
      <c r="AB312" s="211"/>
      <c r="AC312" s="211"/>
      <c r="AD312" s="211">
        <f>I312*(W307)</f>
        <v>0</v>
      </c>
      <c r="AE312" s="211"/>
      <c r="AF312" s="211"/>
      <c r="AG312" s="211">
        <f>I312*(Z307)</f>
        <v>0</v>
      </c>
      <c r="AH312" s="211"/>
      <c r="AI312" s="211"/>
      <c r="AJ312" s="211">
        <f>I312*(AC307)</f>
        <v>0</v>
      </c>
      <c r="AK312" s="211"/>
      <c r="AL312" s="211"/>
      <c r="AM312" s="211">
        <f>I312*(AF307)</f>
        <v>0</v>
      </c>
      <c r="AN312" s="211"/>
    </row>
    <row r="313" spans="2:40 16380:16380" ht="12" hidden="1" customHeight="1" outlineLevel="3">
      <c r="B313" s="245"/>
      <c r="C313" s="250" t="s">
        <v>758</v>
      </c>
      <c r="D313" s="250"/>
      <c r="E313" s="213"/>
      <c r="F313" s="213"/>
      <c r="G313" s="213"/>
      <c r="H313" s="213"/>
      <c r="I313" s="213"/>
      <c r="J313" s="211">
        <f>INDEX($C$199:$AN$221, MATCH("New Customers 3MS", $C$199:$C$221, 0), MATCH($C313, $C$199:$AN$199, 0))</f>
        <v>0</v>
      </c>
      <c r="K313" s="211"/>
      <c r="L313" s="211"/>
      <c r="M313" s="211">
        <f>J313*(E307)</f>
        <v>0</v>
      </c>
      <c r="N313" s="211"/>
      <c r="O313" s="211"/>
      <c r="P313" s="211">
        <f>J313*(H307)</f>
        <v>0</v>
      </c>
      <c r="Q313" s="211"/>
      <c r="R313" s="211"/>
      <c r="S313" s="211">
        <f>J313*(K307)</f>
        <v>0</v>
      </c>
      <c r="T313" s="211"/>
      <c r="U313" s="211"/>
      <c r="V313" s="211">
        <f>J313*(N307)</f>
        <v>0</v>
      </c>
      <c r="W313" s="211"/>
      <c r="X313" s="211"/>
      <c r="Y313" s="211">
        <f>J313*(Q307)</f>
        <v>0</v>
      </c>
      <c r="Z313" s="211"/>
      <c r="AA313" s="211"/>
      <c r="AB313" s="211">
        <f>J313*(T307)</f>
        <v>0</v>
      </c>
      <c r="AC313" s="211"/>
      <c r="AD313" s="211"/>
      <c r="AE313" s="211">
        <f>J313*(W307)</f>
        <v>0</v>
      </c>
      <c r="AF313" s="211"/>
      <c r="AG313" s="211"/>
      <c r="AH313" s="211">
        <f>J313*(Z307)</f>
        <v>0</v>
      </c>
      <c r="AI313" s="211"/>
      <c r="AJ313" s="211"/>
      <c r="AK313" s="211">
        <f>J313*(AC307)</f>
        <v>0</v>
      </c>
      <c r="AL313" s="211"/>
      <c r="AM313" s="211"/>
      <c r="AN313" s="211">
        <f>J313*(AF307)</f>
        <v>0</v>
      </c>
    </row>
    <row r="314" spans="2:40 16380:16380" ht="12" hidden="1" customHeight="1" outlineLevel="3">
      <c r="B314" s="245"/>
      <c r="C314" s="250" t="s">
        <v>759</v>
      </c>
      <c r="D314" s="250"/>
      <c r="E314" s="213"/>
      <c r="F314" s="213"/>
      <c r="G314" s="213"/>
      <c r="H314" s="213"/>
      <c r="I314" s="213"/>
      <c r="J314" s="213"/>
      <c r="K314" s="211">
        <f>INDEX($C$199:$AN$221, MATCH("New Customers 3MS", $C$199:$C$221, 0), MATCH($C314, $C$199:$AN$199, 0))</f>
        <v>0</v>
      </c>
      <c r="L314" s="211"/>
      <c r="M314" s="211"/>
      <c r="N314" s="211">
        <f>K314*(E307)</f>
        <v>0</v>
      </c>
      <c r="O314" s="211"/>
      <c r="P314" s="211"/>
      <c r="Q314" s="211">
        <f>K314*(H307)</f>
        <v>0</v>
      </c>
      <c r="R314" s="211"/>
      <c r="S314" s="211"/>
      <c r="T314" s="211">
        <f>K314*(K307)</f>
        <v>0</v>
      </c>
      <c r="U314" s="211"/>
      <c r="V314" s="211"/>
      <c r="W314" s="211">
        <f>K314*(N307)</f>
        <v>0</v>
      </c>
      <c r="X314" s="211"/>
      <c r="Y314" s="211"/>
      <c r="Z314" s="211">
        <f>K314*(Q307)</f>
        <v>0</v>
      </c>
      <c r="AA314" s="211"/>
      <c r="AB314" s="211"/>
      <c r="AC314" s="211">
        <f>K314*(T307)</f>
        <v>0</v>
      </c>
      <c r="AD314" s="211"/>
      <c r="AE314" s="211"/>
      <c r="AF314" s="211">
        <f>K314*(W307)</f>
        <v>0</v>
      </c>
      <c r="AG314" s="211"/>
      <c r="AH314" s="211"/>
      <c r="AI314" s="211">
        <f>K314*(Z307)</f>
        <v>0</v>
      </c>
      <c r="AJ314" s="211"/>
      <c r="AK314" s="211"/>
      <c r="AL314" s="211">
        <f>K314*(AC307)</f>
        <v>0</v>
      </c>
      <c r="AM314" s="211"/>
      <c r="AN314" s="211"/>
      <c r="XEZ314" s="211"/>
    </row>
    <row r="315" spans="2:40 16380:16380" ht="12" hidden="1" customHeight="1" outlineLevel="3">
      <c r="B315" s="245"/>
      <c r="C315" s="250" t="s">
        <v>760</v>
      </c>
      <c r="D315" s="250"/>
      <c r="E315" s="213"/>
      <c r="F315" s="213"/>
      <c r="G315" s="213"/>
      <c r="H315" s="213"/>
      <c r="I315" s="213"/>
      <c r="J315" s="213"/>
      <c r="K315" s="213"/>
      <c r="L315" s="211">
        <f>INDEX($C$199:$AN$221, MATCH("New Customers 3MS", $C$199:$C$221, 0), MATCH($C315, $C$199:$AN$199, 0))</f>
        <v>0</v>
      </c>
      <c r="M315" s="211"/>
      <c r="N315" s="211"/>
      <c r="O315" s="211">
        <f>L315*(E307)</f>
        <v>0</v>
      </c>
      <c r="P315" s="211"/>
      <c r="Q315" s="211"/>
      <c r="R315" s="211">
        <f>L315*(H307)</f>
        <v>0</v>
      </c>
      <c r="S315" s="211"/>
      <c r="T315" s="211"/>
      <c r="U315" s="211">
        <f>L315*(K307)</f>
        <v>0</v>
      </c>
      <c r="V315" s="211"/>
      <c r="W315" s="211"/>
      <c r="X315" s="211">
        <f>L315*(N307)</f>
        <v>0</v>
      </c>
      <c r="Y315" s="211"/>
      <c r="Z315" s="211"/>
      <c r="AA315" s="211">
        <f>L315*(Q307)</f>
        <v>0</v>
      </c>
      <c r="AB315" s="211"/>
      <c r="AC315" s="211"/>
      <c r="AD315" s="211">
        <f>L315*(T307)</f>
        <v>0</v>
      </c>
      <c r="AE315" s="211"/>
      <c r="AF315" s="211"/>
      <c r="AG315" s="211">
        <f>L315*(W307)</f>
        <v>0</v>
      </c>
      <c r="AH315" s="211"/>
      <c r="AI315" s="211"/>
      <c r="AJ315" s="211">
        <f>L315*(Z307)</f>
        <v>0</v>
      </c>
      <c r="AK315" s="211"/>
      <c r="AL315" s="211"/>
      <c r="AM315" s="211">
        <f>L315*(AC307)</f>
        <v>0</v>
      </c>
      <c r="AN315" s="211"/>
      <c r="XEZ315" s="211"/>
    </row>
    <row r="316" spans="2:40 16380:16380" ht="12" hidden="1" customHeight="1" outlineLevel="3">
      <c r="B316" s="245"/>
      <c r="C316" s="250" t="s">
        <v>761</v>
      </c>
      <c r="D316" s="250"/>
      <c r="E316" s="213"/>
      <c r="F316" s="213"/>
      <c r="G316" s="213"/>
      <c r="H316" s="213"/>
      <c r="I316" s="213"/>
      <c r="J316" s="213"/>
      <c r="K316" s="213"/>
      <c r="L316" s="213"/>
      <c r="M316" s="211">
        <f>INDEX($C$199:$AN$221, MATCH("New Customers 3MS", $C$199:$C$221, 0), MATCH($C316, $C$199:$AN$199, 0))</f>
        <v>0</v>
      </c>
      <c r="N316" s="211"/>
      <c r="O316" s="211"/>
      <c r="P316" s="211">
        <f>M316*(E307)</f>
        <v>0</v>
      </c>
      <c r="Q316" s="211"/>
      <c r="R316" s="211"/>
      <c r="S316" s="211">
        <f>M316*(H307)</f>
        <v>0</v>
      </c>
      <c r="T316" s="211"/>
      <c r="U316" s="211"/>
      <c r="V316" s="211">
        <f>M316*(K307)</f>
        <v>0</v>
      </c>
      <c r="W316" s="211"/>
      <c r="X316" s="211"/>
      <c r="Y316" s="211">
        <f>M316*(N307)</f>
        <v>0</v>
      </c>
      <c r="Z316" s="211"/>
      <c r="AA316" s="211"/>
      <c r="AB316" s="211">
        <f>M316*(Q307)</f>
        <v>0</v>
      </c>
      <c r="AC316" s="211"/>
      <c r="AD316" s="211"/>
      <c r="AE316" s="211">
        <f>M316*(T307)</f>
        <v>0</v>
      </c>
      <c r="AF316" s="211"/>
      <c r="AG316" s="211"/>
      <c r="AH316" s="211">
        <f>M316*(W307)</f>
        <v>0</v>
      </c>
      <c r="AI316" s="211"/>
      <c r="AJ316" s="211"/>
      <c r="AK316" s="211">
        <f>M316*(Z307)</f>
        <v>0</v>
      </c>
      <c r="AL316" s="211"/>
      <c r="AM316" s="211"/>
      <c r="AN316" s="211">
        <f>M316*(AC307)</f>
        <v>0</v>
      </c>
    </row>
    <row r="317" spans="2:40 16380:16380" ht="12" hidden="1" customHeight="1" outlineLevel="3">
      <c r="B317" s="245"/>
      <c r="C317" s="250" t="s">
        <v>762</v>
      </c>
      <c r="D317" s="250"/>
      <c r="E317" s="213"/>
      <c r="F317" s="213"/>
      <c r="G317" s="213"/>
      <c r="H317" s="213"/>
      <c r="I317" s="213"/>
      <c r="J317" s="213"/>
      <c r="K317" s="213"/>
      <c r="L317" s="213"/>
      <c r="M317" s="213"/>
      <c r="N317" s="211">
        <f>INDEX($C$199:$AN$221, MATCH("New Customers 3MS", $C$199:$C$221, 0), MATCH($C317, $C$199:$AN$199, 0))</f>
        <v>0</v>
      </c>
      <c r="O317" s="211"/>
      <c r="P317" s="211"/>
      <c r="Q317" s="211">
        <f>N317*(E307)</f>
        <v>0</v>
      </c>
      <c r="R317" s="211"/>
      <c r="S317" s="211"/>
      <c r="T317" s="211">
        <f>N317*(H307)</f>
        <v>0</v>
      </c>
      <c r="U317" s="211"/>
      <c r="V317" s="211"/>
      <c r="W317" s="211">
        <f>N317*(K307)</f>
        <v>0</v>
      </c>
      <c r="X317" s="211"/>
      <c r="Y317" s="211"/>
      <c r="Z317" s="211">
        <f>N317*(N307)</f>
        <v>0</v>
      </c>
      <c r="AA317" s="211"/>
      <c r="AB317" s="211"/>
      <c r="AC317" s="211">
        <f>N317*(Q307)</f>
        <v>0</v>
      </c>
      <c r="AD317" s="211"/>
      <c r="AE317" s="211"/>
      <c r="AF317" s="211">
        <f>N317*(T307)</f>
        <v>0</v>
      </c>
      <c r="AG317" s="211"/>
      <c r="AH317" s="211"/>
      <c r="AI317" s="211">
        <f>N317*(W307)</f>
        <v>0</v>
      </c>
      <c r="AJ317" s="211"/>
      <c r="AK317" s="211"/>
      <c r="AL317" s="211">
        <f>N317*(Z307)</f>
        <v>0</v>
      </c>
      <c r="AM317" s="211"/>
      <c r="AN317" s="211"/>
      <c r="XEZ317" s="211"/>
    </row>
    <row r="318" spans="2:40 16380:16380" ht="12" hidden="1" customHeight="1" outlineLevel="3">
      <c r="B318" s="245"/>
      <c r="C318" s="250" t="s">
        <v>763</v>
      </c>
      <c r="D318" s="250"/>
      <c r="E318" s="213"/>
      <c r="F318" s="213"/>
      <c r="G318" s="213"/>
      <c r="H318" s="213"/>
      <c r="I318" s="213"/>
      <c r="J318" s="213"/>
      <c r="K318" s="213"/>
      <c r="L318" s="213"/>
      <c r="M318" s="213"/>
      <c r="N318" s="213"/>
      <c r="O318" s="211">
        <f>INDEX($C$199:$AN$221, MATCH("New Customers 3MS", $C$199:$C$221, 0), MATCH($C318, $C$199:$AN$199, 0))</f>
        <v>0</v>
      </c>
      <c r="P318" s="211"/>
      <c r="Q318" s="211"/>
      <c r="R318" s="211">
        <f>O318*(E307)</f>
        <v>0</v>
      </c>
      <c r="S318" s="211"/>
      <c r="T318" s="211"/>
      <c r="U318" s="211">
        <f>O318*(H307)</f>
        <v>0</v>
      </c>
      <c r="V318" s="211"/>
      <c r="W318" s="211"/>
      <c r="X318" s="211">
        <f>O318*(K307)</f>
        <v>0</v>
      </c>
      <c r="Y318" s="211"/>
      <c r="Z318" s="211"/>
      <c r="AA318" s="211">
        <f>O318*(N307)</f>
        <v>0</v>
      </c>
      <c r="AB318" s="211"/>
      <c r="AC318" s="211"/>
      <c r="AD318" s="211">
        <f>O318*(Q307)</f>
        <v>0</v>
      </c>
      <c r="AE318" s="211"/>
      <c r="AF318" s="211"/>
      <c r="AG318" s="211">
        <f>O318*(T307)</f>
        <v>0</v>
      </c>
      <c r="AH318" s="211"/>
      <c r="AI318" s="211"/>
      <c r="AJ318" s="211">
        <f>O318*(W307)</f>
        <v>0</v>
      </c>
      <c r="AK318" s="211"/>
      <c r="AL318" s="211"/>
      <c r="AM318" s="211">
        <f>O318*(Z307)</f>
        <v>0</v>
      </c>
      <c r="AN318" s="211"/>
    </row>
    <row r="319" spans="2:40 16380:16380" ht="12" hidden="1" customHeight="1" outlineLevel="3">
      <c r="B319" s="245"/>
      <c r="C319" s="250" t="s">
        <v>764</v>
      </c>
      <c r="D319" s="250"/>
      <c r="E319" s="213"/>
      <c r="F319" s="213"/>
      <c r="G319" s="213"/>
      <c r="H319" s="213"/>
      <c r="I319" s="213"/>
      <c r="J319" s="213"/>
      <c r="K319" s="213"/>
      <c r="L319" s="213"/>
      <c r="M319" s="213"/>
      <c r="N319" s="213"/>
      <c r="O319" s="213"/>
      <c r="P319" s="211">
        <f>INDEX($C$199:$AN$221, MATCH("New Customers 3MS", $C$199:$C$221, 0), MATCH($C319, $C$199:$AN$199, 0))</f>
        <v>0</v>
      </c>
      <c r="Q319" s="211"/>
      <c r="R319" s="211"/>
      <c r="S319" s="211">
        <f>P319*(E307)</f>
        <v>0</v>
      </c>
      <c r="T319" s="211"/>
      <c r="U319" s="211"/>
      <c r="V319" s="211">
        <f>P319*(H307)</f>
        <v>0</v>
      </c>
      <c r="W319" s="211"/>
      <c r="X319" s="211"/>
      <c r="Y319" s="211">
        <f>P319*(K307)</f>
        <v>0</v>
      </c>
      <c r="Z319" s="211"/>
      <c r="AA319" s="211"/>
      <c r="AB319" s="211">
        <f>P319*(N307)</f>
        <v>0</v>
      </c>
      <c r="AC319" s="211"/>
      <c r="AD319" s="211"/>
      <c r="AE319" s="211">
        <f>P319*(Q307)</f>
        <v>0</v>
      </c>
      <c r="AF319" s="211"/>
      <c r="AG319" s="211"/>
      <c r="AH319" s="211">
        <f>P319*(T307)</f>
        <v>0</v>
      </c>
      <c r="AI319" s="211"/>
      <c r="AJ319" s="211"/>
      <c r="AK319" s="211">
        <f>P319*(W307)</f>
        <v>0</v>
      </c>
      <c r="AL319" s="211"/>
      <c r="AM319" s="211"/>
      <c r="AN319" s="211">
        <f>P319*(Z307)</f>
        <v>0</v>
      </c>
    </row>
    <row r="320" spans="2:40 16380:16380" ht="12" hidden="1" customHeight="1" outlineLevel="3">
      <c r="B320" s="245"/>
      <c r="C320" s="250" t="s">
        <v>765</v>
      </c>
      <c r="D320" s="250"/>
      <c r="E320" s="213"/>
      <c r="F320" s="213"/>
      <c r="G320" s="213"/>
      <c r="H320" s="213"/>
      <c r="I320" s="213"/>
      <c r="J320" s="213"/>
      <c r="K320" s="213"/>
      <c r="L320" s="213"/>
      <c r="M320" s="213"/>
      <c r="N320" s="213"/>
      <c r="O320" s="213"/>
      <c r="P320" s="213"/>
      <c r="Q320" s="211">
        <f>INDEX($C$199:$AN$221, MATCH("New Customers 3MS", $C$199:$C$221, 0), MATCH($C320, $C$199:$AN$199, 0))</f>
        <v>0</v>
      </c>
      <c r="R320" s="211"/>
      <c r="S320" s="211"/>
      <c r="T320" s="211">
        <f>Q320*(E307)</f>
        <v>0</v>
      </c>
      <c r="U320" s="211"/>
      <c r="V320" s="211"/>
      <c r="W320" s="211">
        <f>Q320*(H307)</f>
        <v>0</v>
      </c>
      <c r="X320" s="211"/>
      <c r="Y320" s="211"/>
      <c r="Z320" s="211">
        <f>Q320*(K307)</f>
        <v>0</v>
      </c>
      <c r="AA320" s="211"/>
      <c r="AB320" s="211"/>
      <c r="AC320" s="211">
        <f>Q320*(N307)</f>
        <v>0</v>
      </c>
      <c r="AD320" s="211"/>
      <c r="AE320" s="211"/>
      <c r="AF320" s="211">
        <f>Q320*(Q307)</f>
        <v>0</v>
      </c>
      <c r="AG320" s="211"/>
      <c r="AH320" s="211"/>
      <c r="AI320" s="211">
        <f>Q320*(T307)</f>
        <v>0</v>
      </c>
      <c r="AJ320" s="211"/>
      <c r="AK320" s="211"/>
      <c r="AL320" s="211">
        <f>Q320*(W307)</f>
        <v>0</v>
      </c>
      <c r="AM320" s="211"/>
      <c r="AN320" s="211"/>
    </row>
    <row r="321" spans="2:40 16380:16380" ht="12" hidden="1" customHeight="1" outlineLevel="3">
      <c r="B321" s="245"/>
      <c r="C321" s="250" t="s">
        <v>766</v>
      </c>
      <c r="D321" s="250"/>
      <c r="E321" s="213"/>
      <c r="F321" s="213"/>
      <c r="G321" s="213"/>
      <c r="H321" s="213"/>
      <c r="I321" s="213"/>
      <c r="J321" s="213"/>
      <c r="K321" s="213"/>
      <c r="L321" s="213"/>
      <c r="M321" s="213"/>
      <c r="N321" s="213"/>
      <c r="O321" s="213"/>
      <c r="P321" s="213"/>
      <c r="Q321" s="213"/>
      <c r="R321" s="211">
        <f>INDEX($C$199:$AN$221, MATCH("New Customers 3MS", $C$199:$C$221, 0), MATCH($C321, $C$199:$AN$199, 0))</f>
        <v>0</v>
      </c>
      <c r="S321" s="211"/>
      <c r="T321" s="211"/>
      <c r="U321" s="211">
        <f>R321*(E307)</f>
        <v>0</v>
      </c>
      <c r="V321" s="211"/>
      <c r="W321" s="211"/>
      <c r="X321" s="211">
        <f>R321*(H307)</f>
        <v>0</v>
      </c>
      <c r="Y321" s="211"/>
      <c r="Z321" s="211"/>
      <c r="AA321" s="211">
        <f>R321*(K307)</f>
        <v>0</v>
      </c>
      <c r="AB321" s="211"/>
      <c r="AC321" s="211"/>
      <c r="AD321" s="211">
        <f>R321*(N307)</f>
        <v>0</v>
      </c>
      <c r="AE321" s="211"/>
      <c r="AF321" s="211"/>
      <c r="AG321" s="211">
        <f>R321*(Q307)</f>
        <v>0</v>
      </c>
      <c r="AH321" s="211"/>
      <c r="AI321" s="211"/>
      <c r="AJ321" s="211">
        <f>R321*(T307)</f>
        <v>0</v>
      </c>
      <c r="AK321" s="211"/>
      <c r="AL321" s="211"/>
      <c r="AM321" s="211">
        <f>R321*(W307)</f>
        <v>0</v>
      </c>
      <c r="AN321" s="211"/>
      <c r="XEZ321" s="211"/>
    </row>
    <row r="322" spans="2:40 16380:16380" ht="12" hidden="1" customHeight="1" outlineLevel="3">
      <c r="B322" s="245"/>
      <c r="C322" s="250" t="s">
        <v>767</v>
      </c>
      <c r="D322" s="250"/>
      <c r="E322" s="213"/>
      <c r="F322" s="213"/>
      <c r="G322" s="213"/>
      <c r="H322" s="213"/>
      <c r="I322" s="213"/>
      <c r="J322" s="213"/>
      <c r="K322" s="213"/>
      <c r="L322" s="213"/>
      <c r="M322" s="213"/>
      <c r="N322" s="213"/>
      <c r="O322" s="213"/>
      <c r="P322" s="213"/>
      <c r="Q322" s="213"/>
      <c r="R322" s="213"/>
      <c r="S322" s="211">
        <f>INDEX($C$199:$AN$221, MATCH("New Customers 3MS", $C$199:$C$221, 0), MATCH($C322, $C$199:$AN$199, 0))</f>
        <v>0</v>
      </c>
      <c r="T322" s="211"/>
      <c r="U322" s="211"/>
      <c r="V322" s="211">
        <f>S322*(E307)</f>
        <v>0</v>
      </c>
      <c r="W322" s="211"/>
      <c r="X322" s="211"/>
      <c r="Y322" s="211">
        <f>S322*(H307)</f>
        <v>0</v>
      </c>
      <c r="Z322" s="211"/>
      <c r="AA322" s="211"/>
      <c r="AB322" s="211">
        <f>S322*(K307)</f>
        <v>0</v>
      </c>
      <c r="AC322" s="211"/>
      <c r="AD322" s="211"/>
      <c r="AE322" s="211">
        <f>S322*(N307)</f>
        <v>0</v>
      </c>
      <c r="AF322" s="211"/>
      <c r="AG322" s="211"/>
      <c r="AH322" s="211">
        <f>S322*(Q307)</f>
        <v>0</v>
      </c>
      <c r="AI322" s="211"/>
      <c r="AJ322" s="211"/>
      <c r="AK322" s="211">
        <f>S322*(T307)</f>
        <v>0</v>
      </c>
      <c r="AL322" s="211"/>
      <c r="AM322" s="211"/>
      <c r="AN322" s="211">
        <f>S322*(W307)</f>
        <v>0</v>
      </c>
    </row>
    <row r="323" spans="2:40 16380:16380" ht="12" hidden="1" customHeight="1" outlineLevel="3">
      <c r="B323" s="245"/>
      <c r="C323" s="250" t="s">
        <v>768</v>
      </c>
      <c r="D323" s="250"/>
      <c r="E323" s="213"/>
      <c r="F323" s="213"/>
      <c r="G323" s="213"/>
      <c r="H323" s="213"/>
      <c r="I323" s="213"/>
      <c r="J323" s="213"/>
      <c r="K323" s="213"/>
      <c r="L323" s="213"/>
      <c r="M323" s="213"/>
      <c r="N323" s="213"/>
      <c r="O323" s="213"/>
      <c r="P323" s="213"/>
      <c r="Q323" s="213"/>
      <c r="R323" s="213"/>
      <c r="S323" s="213"/>
      <c r="T323" s="211">
        <f>INDEX($C$199:$AN$221, MATCH("New Customers 3MS", $C$199:$C$221, 0), MATCH($C323, $C$199:$AN$199, 0))</f>
        <v>0</v>
      </c>
      <c r="U323" s="211"/>
      <c r="V323" s="211"/>
      <c r="W323" s="211">
        <f>T323*(E307)</f>
        <v>0</v>
      </c>
      <c r="X323" s="211"/>
      <c r="Y323" s="211"/>
      <c r="Z323" s="211">
        <f>T323*(H307)</f>
        <v>0</v>
      </c>
      <c r="AA323" s="211"/>
      <c r="AB323" s="211"/>
      <c r="AC323" s="211">
        <f>T323*(K307)</f>
        <v>0</v>
      </c>
      <c r="AD323" s="211"/>
      <c r="AE323" s="211"/>
      <c r="AF323" s="211">
        <f>T323*(N307)</f>
        <v>0</v>
      </c>
      <c r="AG323" s="211"/>
      <c r="AH323" s="211"/>
      <c r="AI323" s="211">
        <f>T323*(Q307)</f>
        <v>0</v>
      </c>
      <c r="AJ323" s="211"/>
      <c r="AK323" s="211"/>
      <c r="AL323" s="211">
        <f>T323*(T307)</f>
        <v>0</v>
      </c>
      <c r="AM323" s="211"/>
      <c r="AN323" s="211"/>
    </row>
    <row r="324" spans="2:40 16380:16380" ht="12" hidden="1" customHeight="1" outlineLevel="3">
      <c r="B324" s="245"/>
      <c r="C324" s="250" t="s">
        <v>769</v>
      </c>
      <c r="D324" s="250"/>
      <c r="E324" s="213"/>
      <c r="F324" s="213"/>
      <c r="G324" s="213"/>
      <c r="H324" s="213"/>
      <c r="I324" s="213"/>
      <c r="J324" s="213"/>
      <c r="K324" s="213"/>
      <c r="L324" s="213"/>
      <c r="M324" s="213"/>
      <c r="N324" s="213"/>
      <c r="O324" s="213"/>
      <c r="P324" s="213"/>
      <c r="Q324" s="213"/>
      <c r="R324" s="213"/>
      <c r="S324" s="213"/>
      <c r="T324" s="213"/>
      <c r="U324" s="211">
        <f>INDEX($C$199:$AN$221, MATCH("New Customers 3MS", $C$199:$C$221, 0), MATCH($C324, $C$199:$AN$199, 0))</f>
        <v>0</v>
      </c>
      <c r="V324" s="211"/>
      <c r="W324" s="211"/>
      <c r="X324" s="211">
        <f>U324*(E307)</f>
        <v>0</v>
      </c>
      <c r="Y324" s="211"/>
      <c r="Z324" s="211"/>
      <c r="AA324" s="211">
        <f>U324*(H307)</f>
        <v>0</v>
      </c>
      <c r="AB324" s="211"/>
      <c r="AC324" s="211"/>
      <c r="AD324" s="211">
        <f>U324*(K307)</f>
        <v>0</v>
      </c>
      <c r="AE324" s="211"/>
      <c r="AF324" s="211"/>
      <c r="AG324" s="211">
        <f>U324*(N307)</f>
        <v>0</v>
      </c>
      <c r="AH324" s="211"/>
      <c r="AI324" s="211"/>
      <c r="AJ324" s="211">
        <f>U324*(Q307)</f>
        <v>0</v>
      </c>
      <c r="AK324" s="211"/>
      <c r="AL324" s="211"/>
      <c r="AM324" s="211">
        <f>U324*(T307)</f>
        <v>0</v>
      </c>
      <c r="AN324" s="211"/>
    </row>
    <row r="325" spans="2:40 16380:16380" ht="12" hidden="1" customHeight="1" outlineLevel="3">
      <c r="B325" s="245"/>
      <c r="C325" s="250" t="s">
        <v>770</v>
      </c>
      <c r="D325" s="250"/>
      <c r="E325" s="213"/>
      <c r="F325" s="213"/>
      <c r="G325" s="213"/>
      <c r="H325" s="213"/>
      <c r="I325" s="213"/>
      <c r="J325" s="213"/>
      <c r="K325" s="213"/>
      <c r="L325" s="213"/>
      <c r="M325" s="213"/>
      <c r="N325" s="213"/>
      <c r="O325" s="213"/>
      <c r="P325" s="213"/>
      <c r="Q325" s="213"/>
      <c r="R325" s="213"/>
      <c r="S325" s="213"/>
      <c r="T325" s="213"/>
      <c r="U325" s="213"/>
      <c r="V325" s="211">
        <f>INDEX($C$199:$AN$221, MATCH("New Customers 3MS", $C$199:$C$221, 0), MATCH($C325, $C$199:$AN$199, 0))</f>
        <v>0</v>
      </c>
      <c r="W325" s="211"/>
      <c r="X325" s="211"/>
      <c r="Y325" s="211">
        <f>V325*(E307)</f>
        <v>0</v>
      </c>
      <c r="Z325" s="211"/>
      <c r="AA325" s="211"/>
      <c r="AB325" s="211">
        <f>V325*(H307)</f>
        <v>0</v>
      </c>
      <c r="AC325" s="211"/>
      <c r="AD325" s="211"/>
      <c r="AE325" s="211">
        <f>V325*(K307)</f>
        <v>0</v>
      </c>
      <c r="AF325" s="211"/>
      <c r="AG325" s="211"/>
      <c r="AH325" s="211">
        <f>V325*(N307)</f>
        <v>0</v>
      </c>
      <c r="AI325" s="211"/>
      <c r="AJ325" s="211"/>
      <c r="AK325" s="211">
        <f>V325*(Q307)</f>
        <v>0</v>
      </c>
      <c r="AL325" s="211"/>
      <c r="AM325" s="211"/>
      <c r="AN325" s="211">
        <f>V325*(T307)</f>
        <v>0</v>
      </c>
    </row>
    <row r="326" spans="2:40 16380:16380" ht="12" hidden="1" customHeight="1" outlineLevel="3">
      <c r="B326" s="245"/>
      <c r="C326" s="250" t="s">
        <v>771</v>
      </c>
      <c r="D326" s="250"/>
      <c r="E326" s="213"/>
      <c r="F326" s="213"/>
      <c r="G326" s="213"/>
      <c r="H326" s="213"/>
      <c r="I326" s="213"/>
      <c r="J326" s="213"/>
      <c r="K326" s="213"/>
      <c r="L326" s="213"/>
      <c r="M326" s="213"/>
      <c r="N326" s="213"/>
      <c r="O326" s="213"/>
      <c r="P326" s="213"/>
      <c r="Q326" s="213"/>
      <c r="R326" s="213"/>
      <c r="S326" s="213"/>
      <c r="T326" s="213"/>
      <c r="U326" s="213"/>
      <c r="V326" s="213"/>
      <c r="W326" s="211">
        <f>INDEX($C$199:$AN$221, MATCH("New Customers 3MS", $C$199:$C$221, 0), MATCH($C326, $C$199:$AN$199, 0))</f>
        <v>0</v>
      </c>
      <c r="X326" s="211"/>
      <c r="Y326" s="211"/>
      <c r="Z326" s="211">
        <f>W326*(E307)</f>
        <v>0</v>
      </c>
      <c r="AA326" s="211"/>
      <c r="AB326" s="211"/>
      <c r="AC326" s="211">
        <f>W326*(H307)</f>
        <v>0</v>
      </c>
      <c r="AD326" s="211"/>
      <c r="AE326" s="211"/>
      <c r="AF326" s="211">
        <f>W326*(K307)</f>
        <v>0</v>
      </c>
      <c r="AG326" s="211"/>
      <c r="AH326" s="211"/>
      <c r="AI326" s="211">
        <f>W326*(N307)</f>
        <v>0</v>
      </c>
      <c r="AJ326" s="211"/>
      <c r="AK326" s="211"/>
      <c r="AL326" s="211">
        <f>W326*(Q307)</f>
        <v>0</v>
      </c>
      <c r="AM326" s="211"/>
      <c r="AN326" s="211"/>
    </row>
    <row r="327" spans="2:40 16380:16380" ht="12" hidden="1" customHeight="1" outlineLevel="3">
      <c r="B327" s="245"/>
      <c r="C327" s="250" t="s">
        <v>772</v>
      </c>
      <c r="D327" s="250"/>
      <c r="E327" s="213"/>
      <c r="F327" s="213"/>
      <c r="G327" s="213"/>
      <c r="H327" s="213"/>
      <c r="I327" s="213"/>
      <c r="J327" s="213"/>
      <c r="K327" s="213"/>
      <c r="L327" s="213"/>
      <c r="M327" s="213"/>
      <c r="N327" s="213"/>
      <c r="O327" s="213"/>
      <c r="P327" s="213"/>
      <c r="Q327" s="213"/>
      <c r="R327" s="213"/>
      <c r="S327" s="213"/>
      <c r="T327" s="213"/>
      <c r="U327" s="213"/>
      <c r="V327" s="213"/>
      <c r="W327" s="213"/>
      <c r="X327" s="211">
        <f>INDEX($C$199:$AN$221, MATCH("New Customers 3MS", $C$199:$C$221, 0), MATCH($C327, $C$199:$AN$199, 0))</f>
        <v>0</v>
      </c>
      <c r="Y327" s="211"/>
      <c r="Z327" s="211"/>
      <c r="AA327" s="211">
        <f>X327*(E307)</f>
        <v>0</v>
      </c>
      <c r="AB327" s="211"/>
      <c r="AC327" s="211"/>
      <c r="AD327" s="211">
        <f>X327*(H307)</f>
        <v>0</v>
      </c>
      <c r="AE327" s="211"/>
      <c r="AF327" s="211"/>
      <c r="AG327" s="211">
        <f>X327*(K307)</f>
        <v>0</v>
      </c>
      <c r="AH327" s="211"/>
      <c r="AI327" s="211"/>
      <c r="AJ327" s="211">
        <f>X327*(N307)</f>
        <v>0</v>
      </c>
      <c r="AK327" s="211"/>
      <c r="AL327" s="211"/>
      <c r="AM327" s="211">
        <f>X327*(Q307)</f>
        <v>0</v>
      </c>
      <c r="AN327" s="211"/>
    </row>
    <row r="328" spans="2:40 16380:16380" ht="12" hidden="1" customHeight="1" outlineLevel="3">
      <c r="B328" s="245"/>
      <c r="C328" s="250" t="s">
        <v>773</v>
      </c>
      <c r="D328" s="250"/>
      <c r="E328" s="213"/>
      <c r="F328" s="213"/>
      <c r="G328" s="213"/>
      <c r="H328" s="213"/>
      <c r="I328" s="213"/>
      <c r="J328" s="213"/>
      <c r="K328" s="213"/>
      <c r="L328" s="213"/>
      <c r="M328" s="213"/>
      <c r="N328" s="213"/>
      <c r="O328" s="213"/>
      <c r="P328" s="213"/>
      <c r="Q328" s="213"/>
      <c r="R328" s="213"/>
      <c r="S328" s="213"/>
      <c r="T328" s="213"/>
      <c r="U328" s="213"/>
      <c r="V328" s="213"/>
      <c r="W328" s="213"/>
      <c r="X328" s="213"/>
      <c r="Y328" s="211">
        <f>INDEX($C$199:$AN$221, MATCH("New Customers 3MS", $C$199:$C$221, 0), MATCH($C328, $C$199:$AN$199, 0))</f>
        <v>0</v>
      </c>
      <c r="Z328" s="211"/>
      <c r="AA328" s="211"/>
      <c r="AB328" s="211">
        <f>Y328*(E307)</f>
        <v>0</v>
      </c>
      <c r="AC328" s="211"/>
      <c r="AD328" s="211"/>
      <c r="AE328" s="211">
        <f>Y328*(H307)</f>
        <v>0</v>
      </c>
      <c r="AF328" s="211"/>
      <c r="AG328" s="211"/>
      <c r="AH328" s="211">
        <f>Y328*(K307)</f>
        <v>0</v>
      </c>
      <c r="AI328" s="211"/>
      <c r="AJ328" s="211"/>
      <c r="AK328" s="211">
        <f>Y328*(N307)</f>
        <v>0</v>
      </c>
      <c r="AL328" s="211"/>
      <c r="AM328" s="211"/>
      <c r="AN328" s="211">
        <f>Y328*(Q307)</f>
        <v>0</v>
      </c>
    </row>
    <row r="329" spans="2:40 16380:16380" ht="12" hidden="1" customHeight="1" outlineLevel="3">
      <c r="B329" s="245"/>
      <c r="C329" s="250" t="s">
        <v>774</v>
      </c>
      <c r="D329" s="250"/>
      <c r="E329" s="213"/>
      <c r="F329" s="213"/>
      <c r="G329" s="213"/>
      <c r="H329" s="213"/>
      <c r="I329" s="213"/>
      <c r="J329" s="213"/>
      <c r="K329" s="213"/>
      <c r="L329" s="213"/>
      <c r="M329" s="213"/>
      <c r="N329" s="213"/>
      <c r="O329" s="213"/>
      <c r="P329" s="213"/>
      <c r="Q329" s="213"/>
      <c r="R329" s="213"/>
      <c r="S329" s="213"/>
      <c r="T329" s="213"/>
      <c r="U329" s="213"/>
      <c r="V329" s="213"/>
      <c r="W329" s="213"/>
      <c r="X329" s="213"/>
      <c r="Y329" s="213"/>
      <c r="Z329" s="211">
        <f>INDEX($C$199:$AN$221, MATCH("New Customers 3MS", $C$199:$C$221, 0), MATCH($C329, $C$199:$AN$199, 0))</f>
        <v>0</v>
      </c>
      <c r="AA329" s="211"/>
      <c r="AB329" s="211"/>
      <c r="AC329" s="211">
        <f>Z329*(E307)</f>
        <v>0</v>
      </c>
      <c r="AD329" s="211"/>
      <c r="AE329" s="211"/>
      <c r="AF329" s="211">
        <f>Z329*(H307)</f>
        <v>0</v>
      </c>
      <c r="AG329" s="211"/>
      <c r="AH329" s="211"/>
      <c r="AI329" s="211">
        <f>Z329*(K307)</f>
        <v>0</v>
      </c>
      <c r="AJ329" s="211"/>
      <c r="AK329" s="211"/>
      <c r="AL329" s="211">
        <f>Z329*(N307)</f>
        <v>0</v>
      </c>
      <c r="AM329" s="211"/>
      <c r="AN329" s="211"/>
    </row>
    <row r="330" spans="2:40 16380:16380" ht="12" hidden="1" customHeight="1" outlineLevel="3">
      <c r="B330" s="245"/>
      <c r="C330" s="250" t="s">
        <v>775</v>
      </c>
      <c r="D330" s="250"/>
      <c r="E330" s="213"/>
      <c r="F330" s="213"/>
      <c r="G330" s="213"/>
      <c r="H330" s="213"/>
      <c r="I330" s="213"/>
      <c r="J330" s="213"/>
      <c r="K330" s="213"/>
      <c r="L330" s="213"/>
      <c r="M330" s="213"/>
      <c r="N330" s="213"/>
      <c r="O330" s="213"/>
      <c r="P330" s="213"/>
      <c r="Q330" s="213"/>
      <c r="R330" s="213"/>
      <c r="S330" s="213"/>
      <c r="T330" s="213"/>
      <c r="U330" s="213"/>
      <c r="V330" s="213"/>
      <c r="W330" s="213"/>
      <c r="X330" s="213"/>
      <c r="Y330" s="213"/>
      <c r="Z330" s="213"/>
      <c r="AA330" s="211">
        <f>INDEX($C$199:$AN$221, MATCH("New Customers 3MS", $C$199:$C$221, 0), MATCH($C330, $C$199:$AN$199, 0))</f>
        <v>0</v>
      </c>
      <c r="AB330" s="211"/>
      <c r="AC330" s="211"/>
      <c r="AD330" s="211">
        <f>AA330*(E307)</f>
        <v>0</v>
      </c>
      <c r="AE330" s="211"/>
      <c r="AF330" s="211"/>
      <c r="AG330" s="211">
        <f>AA330*(H307)</f>
        <v>0</v>
      </c>
      <c r="AH330" s="211"/>
      <c r="AI330" s="211"/>
      <c r="AJ330" s="211">
        <f>AA330*(K307)</f>
        <v>0</v>
      </c>
      <c r="AK330" s="211"/>
      <c r="AL330" s="211"/>
      <c r="AM330" s="211">
        <f>AA330*(N307)</f>
        <v>0</v>
      </c>
      <c r="AN330" s="211"/>
    </row>
    <row r="331" spans="2:40 16380:16380" ht="12" hidden="1" customHeight="1" outlineLevel="3">
      <c r="B331" s="245"/>
      <c r="C331" s="250" t="s">
        <v>776</v>
      </c>
      <c r="D331" s="250"/>
      <c r="E331" s="213"/>
      <c r="F331" s="213"/>
      <c r="G331" s="213"/>
      <c r="H331" s="213"/>
      <c r="I331" s="213"/>
      <c r="J331" s="213"/>
      <c r="K331" s="213"/>
      <c r="L331" s="213"/>
      <c r="M331" s="213"/>
      <c r="N331" s="213"/>
      <c r="O331" s="213"/>
      <c r="P331" s="213"/>
      <c r="Q331" s="213"/>
      <c r="R331" s="213"/>
      <c r="S331" s="213"/>
      <c r="T331" s="213"/>
      <c r="U331" s="213"/>
      <c r="V331" s="213"/>
      <c r="W331" s="213"/>
      <c r="X331" s="213"/>
      <c r="Y331" s="213"/>
      <c r="Z331" s="213"/>
      <c r="AA331" s="213"/>
      <c r="AB331" s="211">
        <f>INDEX($C$199:$AN$221, MATCH("New Customers 3MS", $C$199:$C$221, 0), MATCH($C331, $C$199:$AN$199, 0))</f>
        <v>0</v>
      </c>
      <c r="AC331" s="211"/>
      <c r="AD331" s="211"/>
      <c r="AE331" s="211">
        <f>AB331*(E307)</f>
        <v>0</v>
      </c>
      <c r="AF331" s="211"/>
      <c r="AG331" s="211"/>
      <c r="AH331" s="211">
        <f>AB331*(H307)</f>
        <v>0</v>
      </c>
      <c r="AI331" s="211"/>
      <c r="AJ331" s="211"/>
      <c r="AK331" s="211">
        <f>AB331*($K$153)</f>
        <v>0</v>
      </c>
      <c r="AL331" s="211"/>
      <c r="AM331" s="211"/>
      <c r="AN331" s="211">
        <f>AB331*(N307)</f>
        <v>0</v>
      </c>
    </row>
    <row r="332" spans="2:40 16380:16380" ht="12" hidden="1" customHeight="1" outlineLevel="3">
      <c r="B332" s="245"/>
      <c r="C332" s="250" t="s">
        <v>777</v>
      </c>
      <c r="D332" s="250"/>
      <c r="E332" s="213"/>
      <c r="F332" s="213"/>
      <c r="G332" s="213"/>
      <c r="H332" s="213"/>
      <c r="I332" s="213"/>
      <c r="J332" s="213"/>
      <c r="K332" s="213"/>
      <c r="L332" s="213"/>
      <c r="M332" s="213"/>
      <c r="N332" s="213"/>
      <c r="O332" s="213"/>
      <c r="P332" s="213"/>
      <c r="Q332" s="213"/>
      <c r="R332" s="213"/>
      <c r="S332" s="213"/>
      <c r="T332" s="213"/>
      <c r="U332" s="213"/>
      <c r="V332" s="213"/>
      <c r="W332" s="213"/>
      <c r="X332" s="213"/>
      <c r="Y332" s="213"/>
      <c r="Z332" s="213"/>
      <c r="AA332" s="213"/>
      <c r="AB332" s="211"/>
      <c r="AC332" s="211">
        <f>INDEX($C$199:$AN$221, MATCH("New Customers 3MS", $C$199:$C$221, 0), MATCH($C332, $C$199:$AN$199, 0))</f>
        <v>0</v>
      </c>
      <c r="AD332" s="211"/>
      <c r="AE332" s="211"/>
      <c r="AF332" s="211">
        <f>AC332*($E$153)</f>
        <v>0</v>
      </c>
      <c r="AG332" s="211"/>
      <c r="AH332" s="211"/>
      <c r="AI332" s="211">
        <f>AB331*($H$153)</f>
        <v>0</v>
      </c>
      <c r="AJ332" s="211"/>
      <c r="AK332" s="211"/>
      <c r="AL332" s="211">
        <f>AC332*($K$153)</f>
        <v>0</v>
      </c>
      <c r="AM332" s="211"/>
      <c r="AN332" s="211"/>
    </row>
    <row r="333" spans="2:40 16380:16380" ht="12" hidden="1" customHeight="1" outlineLevel="3">
      <c r="B333" s="245"/>
      <c r="C333" s="250" t="s">
        <v>778</v>
      </c>
      <c r="D333" s="250"/>
      <c r="E333" s="213"/>
      <c r="F333" s="213"/>
      <c r="G333" s="213"/>
      <c r="H333" s="213"/>
      <c r="I333" s="213"/>
      <c r="J333" s="213"/>
      <c r="K333" s="213"/>
      <c r="L333" s="213"/>
      <c r="M333" s="213"/>
      <c r="N333" s="213"/>
      <c r="O333" s="213"/>
      <c r="P333" s="213"/>
      <c r="Q333" s="213"/>
      <c r="R333" s="213"/>
      <c r="S333" s="213"/>
      <c r="T333" s="213"/>
      <c r="U333" s="213"/>
      <c r="V333" s="213"/>
      <c r="W333" s="213"/>
      <c r="X333" s="213"/>
      <c r="Y333" s="213"/>
      <c r="Z333" s="213"/>
      <c r="AA333" s="213"/>
      <c r="AB333" s="211"/>
      <c r="AC333" s="211"/>
      <c r="AD333" s="211">
        <f>INDEX($C$199:$AN$221, MATCH("New Customers 3MS", $C$199:$C$221, 0), MATCH($C333, $C$199:$AN$199, 0))</f>
        <v>0</v>
      </c>
      <c r="AE333" s="211"/>
      <c r="AF333" s="211"/>
      <c r="AG333" s="211">
        <f>AD333*($E$153)</f>
        <v>0</v>
      </c>
      <c r="AH333" s="211"/>
      <c r="AI333" s="211"/>
      <c r="AJ333" s="211">
        <f>AB331*($H$153)</f>
        <v>0</v>
      </c>
      <c r="AK333" s="211"/>
      <c r="AL333" s="211"/>
      <c r="AM333" s="211">
        <f>AD333*($K$153)</f>
        <v>0</v>
      </c>
      <c r="AN333" s="211"/>
    </row>
    <row r="334" spans="2:40 16380:16380" ht="12" hidden="1" customHeight="1" outlineLevel="3">
      <c r="B334" s="245"/>
      <c r="C334" s="250" t="s">
        <v>779</v>
      </c>
      <c r="D334" s="250"/>
      <c r="E334" s="213"/>
      <c r="F334" s="213"/>
      <c r="G334" s="213"/>
      <c r="H334" s="213"/>
      <c r="I334" s="213"/>
      <c r="J334" s="213"/>
      <c r="K334" s="213"/>
      <c r="L334" s="213"/>
      <c r="M334" s="213"/>
      <c r="N334" s="213"/>
      <c r="O334" s="213"/>
      <c r="P334" s="213"/>
      <c r="Q334" s="213"/>
      <c r="R334" s="213"/>
      <c r="S334" s="213"/>
      <c r="T334" s="213"/>
      <c r="U334" s="213"/>
      <c r="V334" s="213"/>
      <c r="W334" s="213"/>
      <c r="X334" s="213"/>
      <c r="Y334" s="213"/>
      <c r="Z334" s="213"/>
      <c r="AA334" s="213"/>
      <c r="AB334" s="211"/>
      <c r="AC334" s="211"/>
      <c r="AD334" s="211"/>
      <c r="AE334" s="211">
        <f>INDEX($C$199:$AN$221, MATCH("New Customers 3MS", $C$199:$C$221, 0), MATCH($C334, $C$199:$AN$199, 0))</f>
        <v>0</v>
      </c>
      <c r="AF334" s="211"/>
      <c r="AG334" s="211"/>
      <c r="AH334" s="211">
        <f>AE334*($E$153)</f>
        <v>0</v>
      </c>
      <c r="AI334" s="211"/>
      <c r="AJ334" s="211"/>
      <c r="AK334" s="211">
        <f>AB331*($H$153)</f>
        <v>0</v>
      </c>
      <c r="AL334" s="211"/>
      <c r="AM334" s="211"/>
      <c r="AN334" s="211">
        <f>AE334*($K$153)</f>
        <v>0</v>
      </c>
    </row>
    <row r="335" spans="2:40 16380:16380" ht="12" hidden="1" customHeight="1" outlineLevel="3">
      <c r="B335" s="245"/>
      <c r="C335" s="250" t="s">
        <v>780</v>
      </c>
      <c r="D335" s="250"/>
      <c r="E335" s="213"/>
      <c r="F335" s="213"/>
      <c r="G335" s="213"/>
      <c r="H335" s="213"/>
      <c r="I335" s="213"/>
      <c r="J335" s="213"/>
      <c r="K335" s="213"/>
      <c r="L335" s="213"/>
      <c r="M335" s="213"/>
      <c r="N335" s="213"/>
      <c r="O335" s="213"/>
      <c r="P335" s="213"/>
      <c r="Q335" s="213"/>
      <c r="R335" s="213"/>
      <c r="S335" s="213"/>
      <c r="T335" s="213"/>
      <c r="U335" s="213"/>
      <c r="V335" s="213"/>
      <c r="W335" s="213"/>
      <c r="X335" s="213"/>
      <c r="Y335" s="213"/>
      <c r="Z335" s="213"/>
      <c r="AA335" s="213"/>
      <c r="AB335" s="211"/>
      <c r="AC335" s="211"/>
      <c r="AD335" s="211"/>
      <c r="AE335" s="211"/>
      <c r="AF335" s="211">
        <f>INDEX($C$199:$AN$221, MATCH("New Customers 3MS", $C$199:$C$221, 0), MATCH($C335, $C$199:$AN$199, 0))</f>
        <v>0</v>
      </c>
      <c r="AG335" s="211"/>
      <c r="AH335" s="211"/>
      <c r="AI335" s="211">
        <f>AF335*($E$153)</f>
        <v>0</v>
      </c>
      <c r="AJ335" s="211"/>
      <c r="AK335" s="211"/>
      <c r="AL335" s="211">
        <f>AB331*($H$153)</f>
        <v>0</v>
      </c>
      <c r="AM335" s="211"/>
      <c r="AN335" s="211"/>
    </row>
    <row r="336" spans="2:40 16380:16380" ht="12" hidden="1" customHeight="1" outlineLevel="3">
      <c r="B336" s="245"/>
      <c r="C336" s="250" t="s">
        <v>781</v>
      </c>
      <c r="D336" s="250"/>
      <c r="E336" s="213"/>
      <c r="F336" s="213"/>
      <c r="G336" s="213"/>
      <c r="H336" s="213"/>
      <c r="I336" s="213"/>
      <c r="J336" s="213"/>
      <c r="K336" s="213"/>
      <c r="L336" s="213"/>
      <c r="M336" s="213"/>
      <c r="N336" s="213"/>
      <c r="O336" s="213"/>
      <c r="P336" s="213"/>
      <c r="Q336" s="213"/>
      <c r="R336" s="213"/>
      <c r="S336" s="213"/>
      <c r="T336" s="213"/>
      <c r="U336" s="213"/>
      <c r="V336" s="213"/>
      <c r="W336" s="213"/>
      <c r="X336" s="213"/>
      <c r="Y336" s="213"/>
      <c r="Z336" s="213"/>
      <c r="AA336" s="213"/>
      <c r="AB336" s="211"/>
      <c r="AC336" s="211"/>
      <c r="AD336" s="211"/>
      <c r="AE336" s="211"/>
      <c r="AF336" s="211"/>
      <c r="AG336" s="211">
        <f>INDEX($C$199:$AN$221, MATCH("New Customers 3MS", $C$199:$C$221, 0), MATCH($C336, $C$199:$AN$199, 0))</f>
        <v>0</v>
      </c>
      <c r="AH336" s="211"/>
      <c r="AI336" s="211"/>
      <c r="AJ336" s="211">
        <f>AG336*($E$153)</f>
        <v>0</v>
      </c>
      <c r="AK336" s="211"/>
      <c r="AL336" s="211"/>
      <c r="AM336" s="211">
        <f>AB331*($H$153)</f>
        <v>0</v>
      </c>
      <c r="AN336" s="211"/>
    </row>
    <row r="337" spans="2:40" ht="12" hidden="1" customHeight="1" outlineLevel="3">
      <c r="B337" s="245"/>
      <c r="C337" s="250" t="s">
        <v>782</v>
      </c>
      <c r="D337" s="250"/>
      <c r="E337" s="213"/>
      <c r="F337" s="213"/>
      <c r="G337" s="213"/>
      <c r="H337" s="213"/>
      <c r="I337" s="213"/>
      <c r="J337" s="213"/>
      <c r="K337" s="213"/>
      <c r="L337" s="213"/>
      <c r="M337" s="213"/>
      <c r="N337" s="213"/>
      <c r="O337" s="213"/>
      <c r="P337" s="213"/>
      <c r="Q337" s="213"/>
      <c r="R337" s="213"/>
      <c r="S337" s="213"/>
      <c r="T337" s="213"/>
      <c r="U337" s="213"/>
      <c r="V337" s="213"/>
      <c r="W337" s="213"/>
      <c r="X337" s="213"/>
      <c r="Y337" s="213"/>
      <c r="Z337" s="213"/>
      <c r="AA337" s="213"/>
      <c r="AB337" s="211"/>
      <c r="AC337" s="211"/>
      <c r="AD337" s="211"/>
      <c r="AE337" s="211"/>
      <c r="AF337" s="211"/>
      <c r="AG337" s="211"/>
      <c r="AH337" s="211">
        <f>INDEX($C$199:$AN$221, MATCH("New Customers 3MS", $C$199:$C$221, 0), MATCH($C337, $C$199:$AN$199, 0))</f>
        <v>0</v>
      </c>
      <c r="AI337" s="211"/>
      <c r="AJ337" s="211"/>
      <c r="AK337" s="211">
        <f>AH337*($E$153)</f>
        <v>0</v>
      </c>
      <c r="AL337" s="211"/>
      <c r="AM337" s="211"/>
      <c r="AN337" s="211">
        <f>AB331*($H$153)</f>
        <v>0</v>
      </c>
    </row>
    <row r="338" spans="2:40" ht="12" hidden="1" customHeight="1" outlineLevel="3">
      <c r="B338" s="245"/>
      <c r="C338" s="250" t="s">
        <v>783</v>
      </c>
      <c r="D338" s="250"/>
      <c r="E338" s="213"/>
      <c r="F338" s="213"/>
      <c r="G338" s="213"/>
      <c r="H338" s="213"/>
      <c r="I338" s="213"/>
      <c r="J338" s="213"/>
      <c r="K338" s="213"/>
      <c r="L338" s="213"/>
      <c r="M338" s="213"/>
      <c r="N338" s="213"/>
      <c r="O338" s="213"/>
      <c r="P338" s="213"/>
      <c r="Q338" s="213"/>
      <c r="R338" s="213"/>
      <c r="S338" s="213"/>
      <c r="T338" s="213"/>
      <c r="U338" s="213"/>
      <c r="V338" s="213"/>
      <c r="W338" s="213"/>
      <c r="X338" s="213"/>
      <c r="Y338" s="213"/>
      <c r="Z338" s="213"/>
      <c r="AA338" s="213"/>
      <c r="AB338" s="211"/>
      <c r="AC338" s="211"/>
      <c r="AD338" s="211"/>
      <c r="AE338" s="211"/>
      <c r="AF338" s="211"/>
      <c r="AG338" s="211"/>
      <c r="AH338" s="211"/>
      <c r="AI338" s="211">
        <f>INDEX($C$199:$AN$221, MATCH("New Customers 3MS", $C$199:$C$221, 0), MATCH($C338, $C$199:$AN$199, 0))</f>
        <v>0</v>
      </c>
      <c r="AJ338" s="211"/>
      <c r="AK338" s="211"/>
      <c r="AL338" s="211">
        <f>AI338*($E$153)</f>
        <v>0</v>
      </c>
      <c r="AM338" s="211"/>
      <c r="AN338" s="211"/>
    </row>
    <row r="339" spans="2:40" ht="12" hidden="1" customHeight="1" outlineLevel="3">
      <c r="B339" s="245"/>
      <c r="C339" s="250" t="s">
        <v>784</v>
      </c>
      <c r="D339" s="250"/>
      <c r="E339" s="213"/>
      <c r="F339" s="213"/>
      <c r="G339" s="213"/>
      <c r="H339" s="213"/>
      <c r="I339" s="213"/>
      <c r="J339" s="213"/>
      <c r="K339" s="213"/>
      <c r="L339" s="213"/>
      <c r="M339" s="213"/>
      <c r="N339" s="213"/>
      <c r="O339" s="213"/>
      <c r="P339" s="213"/>
      <c r="Q339" s="213"/>
      <c r="R339" s="213"/>
      <c r="S339" s="213"/>
      <c r="T339" s="213"/>
      <c r="U339" s="213"/>
      <c r="V339" s="213"/>
      <c r="W339" s="213"/>
      <c r="X339" s="213"/>
      <c r="Y339" s="213"/>
      <c r="Z339" s="213"/>
      <c r="AA339" s="213"/>
      <c r="AB339" s="211"/>
      <c r="AC339" s="211"/>
      <c r="AD339" s="211"/>
      <c r="AE339" s="211"/>
      <c r="AF339" s="211"/>
      <c r="AG339" s="211"/>
      <c r="AH339" s="211"/>
      <c r="AI339" s="211"/>
      <c r="AJ339" s="211">
        <f>INDEX($C$199:$AN$221, MATCH("New Customers 3MS", $C$199:$C$221, 0), MATCH($C339, $C$199:$AN$199, 0))</f>
        <v>0</v>
      </c>
      <c r="AK339" s="211"/>
      <c r="AL339" s="211"/>
      <c r="AM339" s="211">
        <f>AJ339*($E$153)</f>
        <v>0</v>
      </c>
      <c r="AN339" s="211"/>
    </row>
    <row r="340" spans="2:40" ht="12" hidden="1" customHeight="1" outlineLevel="3">
      <c r="B340" s="245"/>
      <c r="C340" s="250" t="s">
        <v>785</v>
      </c>
      <c r="D340" s="250"/>
      <c r="E340" s="213"/>
      <c r="F340" s="213"/>
      <c r="G340" s="213"/>
      <c r="H340" s="213"/>
      <c r="I340" s="213"/>
      <c r="J340" s="213"/>
      <c r="K340" s="213"/>
      <c r="L340" s="213"/>
      <c r="M340" s="213"/>
      <c r="N340" s="213"/>
      <c r="O340" s="213"/>
      <c r="P340" s="213"/>
      <c r="Q340" s="213"/>
      <c r="R340" s="213"/>
      <c r="S340" s="213"/>
      <c r="T340" s="213"/>
      <c r="U340" s="213"/>
      <c r="V340" s="213"/>
      <c r="W340" s="213"/>
      <c r="X340" s="213"/>
      <c r="Y340" s="213"/>
      <c r="Z340" s="213"/>
      <c r="AA340" s="213"/>
      <c r="AB340" s="211"/>
      <c r="AC340" s="211"/>
      <c r="AD340" s="211"/>
      <c r="AE340" s="211"/>
      <c r="AF340" s="211"/>
      <c r="AG340" s="211"/>
      <c r="AH340" s="211"/>
      <c r="AI340" s="211"/>
      <c r="AJ340" s="211"/>
      <c r="AK340" s="211">
        <f>INDEX($C$199:$AN$221, MATCH("New Customers 3MS", $C$199:$C$221, 0), MATCH($C340, $C$199:$AN$199, 0))</f>
        <v>0</v>
      </c>
      <c r="AL340" s="211"/>
      <c r="AM340" s="211"/>
      <c r="AN340" s="211">
        <f>AK340*($E$153)</f>
        <v>0</v>
      </c>
    </row>
    <row r="341" spans="2:40" ht="12" hidden="1" customHeight="1" outlineLevel="3">
      <c r="B341" s="245"/>
      <c r="C341" s="250" t="s">
        <v>786</v>
      </c>
      <c r="D341" s="250"/>
      <c r="E341" s="213"/>
      <c r="F341" s="213"/>
      <c r="G341" s="213"/>
      <c r="H341" s="213"/>
      <c r="I341" s="213"/>
      <c r="J341" s="213"/>
      <c r="K341" s="213"/>
      <c r="L341" s="213"/>
      <c r="M341" s="213"/>
      <c r="N341" s="213"/>
      <c r="O341" s="213"/>
      <c r="P341" s="213"/>
      <c r="Q341" s="213"/>
      <c r="R341" s="213"/>
      <c r="S341" s="213"/>
      <c r="T341" s="213"/>
      <c r="U341" s="213"/>
      <c r="V341" s="213"/>
      <c r="W341" s="213"/>
      <c r="X341" s="213"/>
      <c r="Y341" s="213"/>
      <c r="Z341" s="213"/>
      <c r="AA341" s="213"/>
      <c r="AB341" s="211"/>
      <c r="AC341" s="211"/>
      <c r="AD341" s="211"/>
      <c r="AE341" s="211"/>
      <c r="AF341" s="211"/>
      <c r="AG341" s="211"/>
      <c r="AH341" s="211"/>
      <c r="AI341" s="211"/>
      <c r="AJ341" s="211"/>
      <c r="AK341" s="211"/>
      <c r="AL341" s="211">
        <f>INDEX($C$199:$AN$221, MATCH("New Customers 3MS", $C$199:$C$221, 0), MATCH($C341, $C$199:$AN$199, 0))</f>
        <v>0</v>
      </c>
      <c r="AM341" s="211"/>
      <c r="AN341" s="211"/>
    </row>
    <row r="342" spans="2:40" ht="12" hidden="1" customHeight="1" outlineLevel="3">
      <c r="B342" s="245"/>
      <c r="C342" s="250" t="s">
        <v>787</v>
      </c>
      <c r="D342" s="250"/>
      <c r="E342" s="213"/>
      <c r="F342" s="213"/>
      <c r="G342" s="213"/>
      <c r="H342" s="213"/>
      <c r="I342" s="213"/>
      <c r="J342" s="213"/>
      <c r="K342" s="213"/>
      <c r="L342" s="213"/>
      <c r="M342" s="213"/>
      <c r="N342" s="213"/>
      <c r="O342" s="213"/>
      <c r="P342" s="213"/>
      <c r="Q342" s="213"/>
      <c r="R342" s="213"/>
      <c r="S342" s="213"/>
      <c r="T342" s="213"/>
      <c r="U342" s="213"/>
      <c r="V342" s="213"/>
      <c r="W342" s="213"/>
      <c r="X342" s="213"/>
      <c r="Y342" s="213"/>
      <c r="Z342" s="213"/>
      <c r="AA342" s="213"/>
      <c r="AB342" s="211"/>
      <c r="AC342" s="211"/>
      <c r="AD342" s="211"/>
      <c r="AE342" s="211"/>
      <c r="AF342" s="211"/>
      <c r="AG342" s="211"/>
      <c r="AH342" s="211"/>
      <c r="AI342" s="211"/>
      <c r="AJ342" s="211"/>
      <c r="AK342" s="211"/>
      <c r="AL342" s="211"/>
      <c r="AM342" s="211">
        <f>INDEX($C$199:$AN$221, MATCH("New Customers 3MS", $C$199:$C$221, 0), MATCH($C342, $C$199:$AN$199, 0))</f>
        <v>0</v>
      </c>
      <c r="AN342" s="211"/>
    </row>
    <row r="343" spans="2:40" ht="12" hidden="1" customHeight="1" outlineLevel="3">
      <c r="B343" s="245"/>
      <c r="C343" s="250" t="s">
        <v>788</v>
      </c>
      <c r="D343" s="250"/>
      <c r="E343" s="213"/>
      <c r="F343" s="213"/>
      <c r="G343" s="213"/>
      <c r="H343" s="213"/>
      <c r="I343" s="213"/>
      <c r="J343" s="213"/>
      <c r="K343" s="213"/>
      <c r="L343" s="213"/>
      <c r="M343" s="213"/>
      <c r="N343" s="213"/>
      <c r="O343" s="213"/>
      <c r="P343" s="213"/>
      <c r="Q343" s="213"/>
      <c r="R343" s="213"/>
      <c r="S343" s="213"/>
      <c r="T343" s="213"/>
      <c r="U343" s="213"/>
      <c r="V343" s="213"/>
      <c r="W343" s="213"/>
      <c r="X343" s="213"/>
      <c r="Y343" s="213"/>
      <c r="Z343" s="213"/>
      <c r="AA343" s="213"/>
      <c r="AB343" s="211"/>
      <c r="AC343" s="211"/>
      <c r="AD343" s="211"/>
      <c r="AE343" s="211"/>
      <c r="AF343" s="211"/>
      <c r="AG343" s="211"/>
      <c r="AH343" s="211"/>
      <c r="AI343" s="211"/>
      <c r="AJ343" s="211"/>
      <c r="AK343" s="211"/>
      <c r="AL343" s="211"/>
      <c r="AM343" s="211"/>
      <c r="AN343" s="211">
        <f>INDEX($C$199:$AN$221, MATCH("New Customers 3MS", $C$199:$C$221, 0), MATCH($C343, $C$199:$AN$199, 0))</f>
        <v>0</v>
      </c>
    </row>
    <row r="344" spans="2:40" ht="12" hidden="1" customHeight="1" outlineLevel="2">
      <c r="B344" s="245"/>
      <c r="C344" s="250"/>
      <c r="D344" s="250"/>
      <c r="E344" s="213"/>
      <c r="F344" s="213"/>
      <c r="G344" s="213"/>
      <c r="H344" s="213"/>
      <c r="I344" s="213"/>
      <c r="J344" s="213"/>
      <c r="K344" s="213"/>
      <c r="L344" s="213"/>
      <c r="M344" s="213"/>
      <c r="N344" s="213"/>
      <c r="O344" s="213"/>
      <c r="P344" s="213"/>
      <c r="Q344" s="213"/>
      <c r="R344" s="213"/>
      <c r="S344" s="213"/>
      <c r="T344" s="213"/>
      <c r="U344" s="213"/>
      <c r="V344" s="213"/>
      <c r="W344" s="213"/>
      <c r="X344" s="213"/>
      <c r="Y344" s="213"/>
      <c r="Z344" s="213"/>
      <c r="AA344" s="213"/>
      <c r="AB344" s="211"/>
      <c r="AC344" s="211"/>
      <c r="AD344" s="211"/>
      <c r="AE344" s="211"/>
      <c r="AF344" s="211"/>
      <c r="AG344" s="211"/>
      <c r="AH344" s="211"/>
      <c r="AI344" s="211"/>
      <c r="AJ344" s="211"/>
      <c r="AK344" s="211"/>
      <c r="AL344" s="211"/>
      <c r="AM344" s="211"/>
      <c r="AN344" s="211"/>
    </row>
    <row r="345" spans="2:40" ht="12" customHeight="1" outlineLevel="1" collapsed="1">
      <c r="B345" s="239"/>
      <c r="C345" s="243" t="s">
        <v>855</v>
      </c>
      <c r="D345" s="212"/>
      <c r="E345" s="214"/>
      <c r="F345" s="214"/>
      <c r="G345" s="214"/>
      <c r="H345" s="214"/>
      <c r="I345" s="214"/>
      <c r="J345" s="214"/>
      <c r="K345" s="214"/>
      <c r="L345" s="214"/>
      <c r="M345" s="214"/>
      <c r="N345" s="214"/>
      <c r="O345" s="214"/>
      <c r="P345" s="214"/>
      <c r="Q345" s="214"/>
      <c r="R345" s="214"/>
      <c r="S345" s="214"/>
      <c r="T345" s="214"/>
      <c r="U345" s="214"/>
      <c r="V345" s="214"/>
      <c r="W345" s="214"/>
      <c r="X345" s="214"/>
      <c r="Y345" s="214"/>
      <c r="Z345" s="214"/>
      <c r="AA345" s="214"/>
      <c r="AB345" s="214"/>
      <c r="AC345" s="215"/>
    </row>
    <row r="346" spans="2:40" ht="12" customHeight="1" outlineLevel="1">
      <c r="B346" s="239"/>
      <c r="C346" s="214"/>
      <c r="D346" s="212"/>
      <c r="E346" s="214"/>
      <c r="F346" s="214"/>
      <c r="G346" s="214"/>
      <c r="H346" s="214"/>
      <c r="I346" s="214"/>
      <c r="J346" s="214"/>
      <c r="K346" s="214"/>
      <c r="L346" s="214"/>
      <c r="M346" s="214"/>
      <c r="N346" s="214"/>
      <c r="O346" s="214"/>
      <c r="P346" s="214"/>
      <c r="Q346" s="214"/>
      <c r="R346" s="214"/>
      <c r="S346" s="214"/>
      <c r="T346" s="214"/>
      <c r="U346" s="214"/>
      <c r="V346" s="214"/>
      <c r="W346" s="214"/>
      <c r="X346" s="214"/>
      <c r="Y346" s="214"/>
      <c r="Z346" s="214"/>
      <c r="AA346" s="214"/>
      <c r="AB346" s="214"/>
      <c r="AC346" s="214"/>
    </row>
    <row r="347" spans="2:40" s="207" customFormat="1">
      <c r="C347" s="248" t="s">
        <v>862</v>
      </c>
    </row>
    <row r="348" spans="2:40" ht="12" customHeight="1" outlineLevel="1">
      <c r="B348" s="237"/>
      <c r="C348" s="208"/>
      <c r="D348" s="208"/>
      <c r="E348" s="196" t="s">
        <v>753</v>
      </c>
      <c r="F348" s="196" t="s">
        <v>754</v>
      </c>
      <c r="G348" s="196" t="s">
        <v>755</v>
      </c>
      <c r="H348" s="196" t="s">
        <v>756</v>
      </c>
      <c r="I348" s="196" t="s">
        <v>757</v>
      </c>
      <c r="J348" s="196" t="s">
        <v>758</v>
      </c>
      <c r="K348" s="196" t="s">
        <v>759</v>
      </c>
      <c r="L348" s="196" t="s">
        <v>760</v>
      </c>
      <c r="M348" s="196" t="s">
        <v>761</v>
      </c>
      <c r="N348" s="196" t="s">
        <v>762</v>
      </c>
      <c r="O348" s="196" t="s">
        <v>763</v>
      </c>
      <c r="P348" s="196" t="s">
        <v>764</v>
      </c>
      <c r="Q348" s="196" t="s">
        <v>765</v>
      </c>
      <c r="R348" s="196" t="s">
        <v>766</v>
      </c>
      <c r="S348" s="196" t="s">
        <v>767</v>
      </c>
      <c r="T348" s="196" t="s">
        <v>768</v>
      </c>
      <c r="U348" s="196" t="s">
        <v>769</v>
      </c>
      <c r="V348" s="196" t="s">
        <v>770</v>
      </c>
      <c r="W348" s="196" t="s">
        <v>771</v>
      </c>
      <c r="X348" s="196" t="s">
        <v>772</v>
      </c>
      <c r="Y348" s="196" t="s">
        <v>773</v>
      </c>
      <c r="Z348" s="196" t="s">
        <v>774</v>
      </c>
      <c r="AA348" s="196" t="s">
        <v>775</v>
      </c>
      <c r="AB348" s="196" t="s">
        <v>776</v>
      </c>
      <c r="AC348" s="196" t="s">
        <v>777</v>
      </c>
      <c r="AD348" s="196" t="s">
        <v>778</v>
      </c>
      <c r="AE348" s="196" t="s">
        <v>779</v>
      </c>
      <c r="AF348" s="196" t="s">
        <v>780</v>
      </c>
      <c r="AG348" s="196" t="s">
        <v>781</v>
      </c>
      <c r="AH348" s="196" t="s">
        <v>782</v>
      </c>
      <c r="AI348" s="196" t="s">
        <v>783</v>
      </c>
      <c r="AJ348" s="196" t="s">
        <v>784</v>
      </c>
      <c r="AK348" s="196" t="s">
        <v>785</v>
      </c>
      <c r="AL348" s="196" t="s">
        <v>786</v>
      </c>
      <c r="AM348" s="196" t="s">
        <v>787</v>
      </c>
      <c r="AN348" s="196" t="s">
        <v>788</v>
      </c>
    </row>
    <row r="349" spans="2:40" ht="12" customHeight="1" outlineLevel="1">
      <c r="B349" s="239"/>
      <c r="C349" s="214" t="s">
        <v>821</v>
      </c>
      <c r="D349" s="214"/>
      <c r="E349" s="257"/>
      <c r="F349" s="257"/>
      <c r="G349" s="257"/>
      <c r="H349" s="257"/>
      <c r="I349" s="257"/>
      <c r="J349" s="257"/>
      <c r="K349" s="257"/>
      <c r="L349" s="257"/>
      <c r="M349" s="188">
        <f t="shared" ref="M349:AN349" si="212">M36*M41</f>
        <v>56000</v>
      </c>
      <c r="N349" s="188">
        <f t="shared" si="212"/>
        <v>52000</v>
      </c>
      <c r="O349" s="188">
        <f t="shared" si="212"/>
        <v>12000</v>
      </c>
      <c r="P349" s="188">
        <f t="shared" si="212"/>
        <v>16000</v>
      </c>
      <c r="Q349" s="188">
        <f t="shared" si="212"/>
        <v>16548.480000000003</v>
      </c>
      <c r="R349" s="188">
        <f t="shared" si="212"/>
        <v>34658.400000000001</v>
      </c>
      <c r="S349" s="188">
        <f t="shared" si="212"/>
        <v>32226.480000000007</v>
      </c>
      <c r="T349" s="188">
        <f t="shared" si="212"/>
        <v>16868.72</v>
      </c>
      <c r="U349" s="188">
        <f t="shared" si="212"/>
        <v>16674.240000000002</v>
      </c>
      <c r="V349" s="188">
        <f t="shared" si="212"/>
        <v>51372</v>
      </c>
      <c r="W349" s="188">
        <f t="shared" si="212"/>
        <v>19441.280000000002</v>
      </c>
      <c r="X349" s="188">
        <f t="shared" si="212"/>
        <v>20832.960000000003</v>
      </c>
      <c r="Y349" s="188">
        <f t="shared" si="212"/>
        <v>72800</v>
      </c>
      <c r="Z349" s="188">
        <f t="shared" si="212"/>
        <v>93600</v>
      </c>
      <c r="AA349" s="188">
        <f t="shared" si="212"/>
        <v>15600</v>
      </c>
      <c r="AB349" s="188">
        <f t="shared" si="212"/>
        <v>20800</v>
      </c>
      <c r="AC349" s="188">
        <f t="shared" si="212"/>
        <v>21513.024000000005</v>
      </c>
      <c r="AD349" s="188">
        <f t="shared" si="212"/>
        <v>45055.920000000006</v>
      </c>
      <c r="AE349" s="188">
        <f t="shared" si="212"/>
        <v>41894.424000000006</v>
      </c>
      <c r="AF349" s="188">
        <f t="shared" si="212"/>
        <v>21929.336000000003</v>
      </c>
      <c r="AG349" s="188">
        <f t="shared" si="212"/>
        <v>21676.512000000002</v>
      </c>
      <c r="AH349" s="188">
        <f t="shared" si="212"/>
        <v>66783.600000000006</v>
      </c>
      <c r="AI349" s="188">
        <f t="shared" si="212"/>
        <v>25273.664000000004</v>
      </c>
      <c r="AJ349" s="188">
        <f t="shared" si="212"/>
        <v>27082.848000000005</v>
      </c>
      <c r="AK349" s="188">
        <f t="shared" si="212"/>
        <v>94640</v>
      </c>
      <c r="AL349" s="188">
        <f t="shared" si="212"/>
        <v>121680</v>
      </c>
      <c r="AM349" s="188">
        <f t="shared" si="212"/>
        <v>20280</v>
      </c>
      <c r="AN349" s="188">
        <f t="shared" si="212"/>
        <v>27040</v>
      </c>
    </row>
    <row r="350" spans="2:40" ht="12" customHeight="1" outlineLevel="1">
      <c r="B350" s="239"/>
      <c r="C350" s="214" t="s">
        <v>827</v>
      </c>
      <c r="D350" s="214"/>
      <c r="E350" s="234"/>
      <c r="F350" s="234"/>
      <c r="G350" s="234"/>
      <c r="H350" s="234"/>
      <c r="I350" s="234"/>
      <c r="J350" s="234"/>
      <c r="K350" s="234"/>
      <c r="L350" s="234"/>
      <c r="M350" s="279">
        <v>20</v>
      </c>
      <c r="N350" s="279">
        <v>20</v>
      </c>
      <c r="O350" s="279">
        <v>20</v>
      </c>
      <c r="P350" s="279">
        <v>20</v>
      </c>
      <c r="Q350" s="279">
        <v>20</v>
      </c>
      <c r="R350" s="279">
        <v>20</v>
      </c>
      <c r="S350" s="279">
        <v>20</v>
      </c>
      <c r="T350" s="279">
        <v>20</v>
      </c>
      <c r="U350" s="279">
        <v>20</v>
      </c>
      <c r="V350" s="279">
        <v>20</v>
      </c>
      <c r="W350" s="279">
        <v>20</v>
      </c>
      <c r="X350" s="279">
        <v>20</v>
      </c>
      <c r="Y350" s="279">
        <v>20</v>
      </c>
      <c r="Z350" s="279">
        <v>20</v>
      </c>
      <c r="AA350" s="279">
        <v>20</v>
      </c>
      <c r="AB350" s="279">
        <v>20</v>
      </c>
      <c r="AC350" s="279">
        <v>20</v>
      </c>
      <c r="AD350" s="279">
        <v>20</v>
      </c>
      <c r="AE350" s="279">
        <v>20</v>
      </c>
      <c r="AF350" s="279">
        <v>20</v>
      </c>
      <c r="AG350" s="279">
        <v>20</v>
      </c>
      <c r="AH350" s="279">
        <v>20</v>
      </c>
      <c r="AI350" s="279">
        <v>20</v>
      </c>
      <c r="AJ350" s="279">
        <v>20</v>
      </c>
      <c r="AK350" s="279">
        <v>20</v>
      </c>
      <c r="AL350" s="279">
        <v>20</v>
      </c>
      <c r="AM350" s="279">
        <v>20</v>
      </c>
      <c r="AN350" s="279">
        <v>20</v>
      </c>
    </row>
    <row r="351" spans="2:40" ht="12" customHeight="1" outlineLevel="1">
      <c r="B351" s="239"/>
      <c r="C351" s="214" t="s">
        <v>829</v>
      </c>
      <c r="D351" s="214"/>
      <c r="E351" s="232"/>
      <c r="F351" s="232"/>
      <c r="G351" s="232"/>
      <c r="H351" s="232"/>
      <c r="I351" s="232"/>
      <c r="J351" s="232"/>
      <c r="K351" s="232"/>
      <c r="L351" s="232"/>
      <c r="M351" s="205">
        <f t="shared" ref="M351:AN351" si="213">M349/M350</f>
        <v>2800</v>
      </c>
      <c r="N351" s="205">
        <f t="shared" si="213"/>
        <v>2600</v>
      </c>
      <c r="O351" s="205">
        <f t="shared" si="213"/>
        <v>600</v>
      </c>
      <c r="P351" s="205">
        <f t="shared" si="213"/>
        <v>800</v>
      </c>
      <c r="Q351" s="205">
        <f t="shared" si="213"/>
        <v>827.42400000000021</v>
      </c>
      <c r="R351" s="205">
        <f t="shared" si="213"/>
        <v>1732.92</v>
      </c>
      <c r="S351" s="205">
        <f t="shared" si="213"/>
        <v>1611.3240000000003</v>
      </c>
      <c r="T351" s="205">
        <f t="shared" si="213"/>
        <v>843.43600000000004</v>
      </c>
      <c r="U351" s="205">
        <f t="shared" si="213"/>
        <v>833.7120000000001</v>
      </c>
      <c r="V351" s="205">
        <f t="shared" si="213"/>
        <v>2568.6</v>
      </c>
      <c r="W351" s="205">
        <f t="shared" si="213"/>
        <v>972.06400000000008</v>
      </c>
      <c r="X351" s="205">
        <f t="shared" si="213"/>
        <v>1041.6480000000001</v>
      </c>
      <c r="Y351" s="205">
        <f t="shared" si="213"/>
        <v>3640</v>
      </c>
      <c r="Z351" s="205">
        <f t="shared" si="213"/>
        <v>4680</v>
      </c>
      <c r="AA351" s="205">
        <f t="shared" si="213"/>
        <v>780</v>
      </c>
      <c r="AB351" s="205">
        <f t="shared" si="213"/>
        <v>1040</v>
      </c>
      <c r="AC351" s="205">
        <f t="shared" si="213"/>
        <v>1075.6512000000002</v>
      </c>
      <c r="AD351" s="205">
        <f t="shared" si="213"/>
        <v>2252.7960000000003</v>
      </c>
      <c r="AE351" s="205">
        <f t="shared" si="213"/>
        <v>2094.7212000000004</v>
      </c>
      <c r="AF351" s="205">
        <f t="shared" si="213"/>
        <v>1096.4668000000001</v>
      </c>
      <c r="AG351" s="205">
        <f t="shared" si="213"/>
        <v>1083.8256000000001</v>
      </c>
      <c r="AH351" s="205">
        <f t="shared" si="213"/>
        <v>3339.1800000000003</v>
      </c>
      <c r="AI351" s="205">
        <f t="shared" si="213"/>
        <v>1263.6832000000002</v>
      </c>
      <c r="AJ351" s="205">
        <f t="shared" si="213"/>
        <v>1354.1424000000002</v>
      </c>
      <c r="AK351" s="205">
        <f t="shared" si="213"/>
        <v>4732</v>
      </c>
      <c r="AL351" s="205">
        <f t="shared" si="213"/>
        <v>6084</v>
      </c>
      <c r="AM351" s="205">
        <f t="shared" si="213"/>
        <v>1014</v>
      </c>
      <c r="AN351" s="205">
        <f t="shared" si="213"/>
        <v>1352</v>
      </c>
    </row>
    <row r="352" spans="2:40" ht="12" customHeight="1" outlineLevel="1">
      <c r="B352" s="239"/>
      <c r="C352" s="214" t="s">
        <v>830</v>
      </c>
      <c r="D352" s="214"/>
      <c r="E352" s="256"/>
      <c r="F352" s="256"/>
      <c r="G352" s="256"/>
      <c r="H352" s="256"/>
      <c r="I352" s="256"/>
      <c r="J352" s="256"/>
      <c r="K352" s="256"/>
      <c r="L352" s="256"/>
      <c r="M352" s="280">
        <v>0.02</v>
      </c>
      <c r="N352" s="280">
        <v>0.02</v>
      </c>
      <c r="O352" s="280">
        <v>0.02</v>
      </c>
      <c r="P352" s="280">
        <v>0.02</v>
      </c>
      <c r="Q352" s="280">
        <v>0.02</v>
      </c>
      <c r="R352" s="280">
        <v>0.02</v>
      </c>
      <c r="S352" s="280">
        <v>0.02</v>
      </c>
      <c r="T352" s="280">
        <v>0.02</v>
      </c>
      <c r="U352" s="280">
        <v>0.02</v>
      </c>
      <c r="V352" s="280">
        <v>0.02</v>
      </c>
      <c r="W352" s="280">
        <v>0.02</v>
      </c>
      <c r="X352" s="280">
        <v>0.02</v>
      </c>
      <c r="Y352" s="280">
        <v>0.02</v>
      </c>
      <c r="Z352" s="280">
        <v>0.02</v>
      </c>
      <c r="AA352" s="280">
        <v>0.02</v>
      </c>
      <c r="AB352" s="280">
        <v>0.02</v>
      </c>
      <c r="AC352" s="280">
        <v>0.02</v>
      </c>
      <c r="AD352" s="280">
        <v>0.02</v>
      </c>
      <c r="AE352" s="280">
        <v>0.02</v>
      </c>
      <c r="AF352" s="280">
        <v>0.02</v>
      </c>
      <c r="AG352" s="280">
        <v>0.02</v>
      </c>
      <c r="AH352" s="280">
        <v>0.02</v>
      </c>
      <c r="AI352" s="280">
        <v>0.02</v>
      </c>
      <c r="AJ352" s="280">
        <v>0.02</v>
      </c>
      <c r="AK352" s="280">
        <v>0.02</v>
      </c>
      <c r="AL352" s="280">
        <v>0.02</v>
      </c>
      <c r="AM352" s="280">
        <v>0.02</v>
      </c>
      <c r="AN352" s="280">
        <v>0.02</v>
      </c>
    </row>
    <row r="353" spans="2:40" ht="12" customHeight="1" outlineLevel="1">
      <c r="B353" s="239"/>
      <c r="C353" s="214" t="s">
        <v>831</v>
      </c>
      <c r="D353" s="214"/>
      <c r="E353" s="232"/>
      <c r="F353" s="232"/>
      <c r="G353" s="232"/>
      <c r="H353" s="232"/>
      <c r="I353" s="232"/>
      <c r="J353" s="232"/>
      <c r="K353" s="232"/>
      <c r="L353" s="232"/>
      <c r="M353" s="205">
        <f t="shared" ref="M353:AN353" si="214">M351*M352</f>
        <v>56</v>
      </c>
      <c r="N353" s="205">
        <f t="shared" si="214"/>
        <v>52</v>
      </c>
      <c r="O353" s="205">
        <f t="shared" si="214"/>
        <v>12</v>
      </c>
      <c r="P353" s="205">
        <f t="shared" si="214"/>
        <v>16</v>
      </c>
      <c r="Q353" s="205">
        <f t="shared" si="214"/>
        <v>16.548480000000005</v>
      </c>
      <c r="R353" s="205">
        <f t="shared" si="214"/>
        <v>34.6584</v>
      </c>
      <c r="S353" s="205">
        <f t="shared" si="214"/>
        <v>32.226480000000009</v>
      </c>
      <c r="T353" s="205">
        <f t="shared" si="214"/>
        <v>16.86872</v>
      </c>
      <c r="U353" s="205">
        <f t="shared" si="214"/>
        <v>16.674240000000001</v>
      </c>
      <c r="V353" s="205">
        <f t="shared" si="214"/>
        <v>51.372</v>
      </c>
      <c r="W353" s="205">
        <f t="shared" si="214"/>
        <v>19.441280000000003</v>
      </c>
      <c r="X353" s="205">
        <f t="shared" si="214"/>
        <v>20.832960000000003</v>
      </c>
      <c r="Y353" s="205">
        <f t="shared" si="214"/>
        <v>72.8</v>
      </c>
      <c r="Z353" s="205">
        <f t="shared" si="214"/>
        <v>93.600000000000009</v>
      </c>
      <c r="AA353" s="205">
        <f t="shared" si="214"/>
        <v>15.6</v>
      </c>
      <c r="AB353" s="205">
        <f t="shared" si="214"/>
        <v>20.8</v>
      </c>
      <c r="AC353" s="205">
        <f t="shared" si="214"/>
        <v>21.513024000000005</v>
      </c>
      <c r="AD353" s="205">
        <f t="shared" si="214"/>
        <v>45.055920000000008</v>
      </c>
      <c r="AE353" s="205">
        <f t="shared" si="214"/>
        <v>41.894424000000008</v>
      </c>
      <c r="AF353" s="205">
        <f t="shared" si="214"/>
        <v>21.929336000000003</v>
      </c>
      <c r="AG353" s="205">
        <f t="shared" si="214"/>
        <v>21.676512000000002</v>
      </c>
      <c r="AH353" s="205">
        <f t="shared" si="214"/>
        <v>66.783600000000007</v>
      </c>
      <c r="AI353" s="205">
        <f t="shared" si="214"/>
        <v>25.273664000000004</v>
      </c>
      <c r="AJ353" s="205">
        <f t="shared" si="214"/>
        <v>27.082848000000006</v>
      </c>
      <c r="AK353" s="205">
        <f t="shared" si="214"/>
        <v>94.64</v>
      </c>
      <c r="AL353" s="205">
        <f t="shared" si="214"/>
        <v>121.68</v>
      </c>
      <c r="AM353" s="205">
        <f t="shared" si="214"/>
        <v>20.28</v>
      </c>
      <c r="AN353" s="205">
        <f t="shared" si="214"/>
        <v>27.04</v>
      </c>
    </row>
    <row r="354" spans="2:40" ht="12" customHeight="1" outlineLevel="1">
      <c r="B354" s="239"/>
      <c r="C354" s="214" t="s">
        <v>833</v>
      </c>
      <c r="D354" s="214"/>
      <c r="E354" s="232">
        <f>574+22</f>
        <v>596</v>
      </c>
      <c r="F354" s="232">
        <f>1694+28</f>
        <v>1722</v>
      </c>
      <c r="G354" s="232">
        <f>1771+24</f>
        <v>1795</v>
      </c>
      <c r="H354" s="232">
        <f>755+25</f>
        <v>780</v>
      </c>
      <c r="I354" s="232">
        <f>809+22</f>
        <v>831</v>
      </c>
      <c r="J354" s="232">
        <f>2151+51</f>
        <v>2202</v>
      </c>
      <c r="K354" s="232">
        <f>2751+51</f>
        <v>2802</v>
      </c>
      <c r="L354" s="232">
        <f>661+35</f>
        <v>696</v>
      </c>
      <c r="M354" s="205">
        <f t="shared" ref="M354:AN354" si="215">M351+M353</f>
        <v>2856</v>
      </c>
      <c r="N354" s="205">
        <f t="shared" si="215"/>
        <v>2652</v>
      </c>
      <c r="O354" s="205">
        <f t="shared" si="215"/>
        <v>612</v>
      </c>
      <c r="P354" s="205">
        <f t="shared" si="215"/>
        <v>816</v>
      </c>
      <c r="Q354" s="205">
        <f t="shared" si="215"/>
        <v>843.97248000000025</v>
      </c>
      <c r="R354" s="205">
        <f t="shared" si="215"/>
        <v>1767.5784000000001</v>
      </c>
      <c r="S354" s="205">
        <f t="shared" si="215"/>
        <v>1643.5504800000003</v>
      </c>
      <c r="T354" s="205">
        <f t="shared" si="215"/>
        <v>860.30472000000009</v>
      </c>
      <c r="U354" s="205">
        <f t="shared" si="215"/>
        <v>850.38624000000016</v>
      </c>
      <c r="V354" s="205">
        <f t="shared" si="215"/>
        <v>2619.9719999999998</v>
      </c>
      <c r="W354" s="205">
        <f t="shared" si="215"/>
        <v>991.50528000000008</v>
      </c>
      <c r="X354" s="205">
        <f t="shared" si="215"/>
        <v>1062.4809600000001</v>
      </c>
      <c r="Y354" s="205">
        <f t="shared" si="215"/>
        <v>3712.8</v>
      </c>
      <c r="Z354" s="205">
        <f t="shared" si="215"/>
        <v>4773.6000000000004</v>
      </c>
      <c r="AA354" s="205">
        <f t="shared" si="215"/>
        <v>795.6</v>
      </c>
      <c r="AB354" s="205">
        <f t="shared" si="215"/>
        <v>1060.8</v>
      </c>
      <c r="AC354" s="205">
        <f t="shared" si="215"/>
        <v>1097.1642240000003</v>
      </c>
      <c r="AD354" s="205">
        <f t="shared" si="215"/>
        <v>2297.8519200000001</v>
      </c>
      <c r="AE354" s="205">
        <f t="shared" si="215"/>
        <v>2136.6156240000005</v>
      </c>
      <c r="AF354" s="205">
        <f t="shared" si="215"/>
        <v>1118.3961360000001</v>
      </c>
      <c r="AG354" s="205">
        <f t="shared" si="215"/>
        <v>1105.5021120000001</v>
      </c>
      <c r="AH354" s="205">
        <f t="shared" si="215"/>
        <v>3405.9636000000005</v>
      </c>
      <c r="AI354" s="205">
        <f t="shared" si="215"/>
        <v>1288.9568640000002</v>
      </c>
      <c r="AJ354" s="205">
        <f t="shared" si="215"/>
        <v>1381.2252480000002</v>
      </c>
      <c r="AK354" s="205">
        <f t="shared" si="215"/>
        <v>4826.6400000000003</v>
      </c>
      <c r="AL354" s="205">
        <f t="shared" si="215"/>
        <v>6205.68</v>
      </c>
      <c r="AM354" s="205">
        <f t="shared" si="215"/>
        <v>1034.28</v>
      </c>
      <c r="AN354" s="205">
        <f t="shared" si="215"/>
        <v>1379.04</v>
      </c>
    </row>
    <row r="355" spans="2:40" ht="12" customHeight="1" outlineLevel="1">
      <c r="B355" s="239"/>
      <c r="C355" s="214" t="s">
        <v>834</v>
      </c>
      <c r="D355" s="214"/>
      <c r="E355" s="232">
        <v>22</v>
      </c>
      <c r="F355" s="232">
        <v>28</v>
      </c>
      <c r="G355" s="232">
        <v>24</v>
      </c>
      <c r="H355" s="232">
        <v>25</v>
      </c>
      <c r="I355" s="232">
        <v>22</v>
      </c>
      <c r="J355" s="232">
        <v>51</v>
      </c>
      <c r="K355" s="232">
        <v>51</v>
      </c>
      <c r="L355" s="232">
        <v>35</v>
      </c>
      <c r="M355" s="205">
        <f t="shared" ref="M355:AN355" si="216">M363+M364</f>
        <v>57.120000000000047</v>
      </c>
      <c r="N355" s="205">
        <f t="shared" si="216"/>
        <v>53.040000000000049</v>
      </c>
      <c r="O355" s="205">
        <f t="shared" si="216"/>
        <v>12.240000000000011</v>
      </c>
      <c r="P355" s="205">
        <f t="shared" si="216"/>
        <v>16.320000000000014</v>
      </c>
      <c r="Q355" s="205">
        <f t="shared" si="216"/>
        <v>16.879449600000019</v>
      </c>
      <c r="R355" s="205">
        <f t="shared" si="216"/>
        <v>35.351568000000036</v>
      </c>
      <c r="S355" s="205">
        <f t="shared" si="216"/>
        <v>32.871009600000036</v>
      </c>
      <c r="T355" s="205">
        <f t="shared" si="216"/>
        <v>17.206094400000016</v>
      </c>
      <c r="U355" s="205">
        <f t="shared" si="216"/>
        <v>17.00772480000002</v>
      </c>
      <c r="V355" s="205">
        <f t="shared" si="216"/>
        <v>52.399440000000041</v>
      </c>
      <c r="W355" s="205">
        <f t="shared" si="216"/>
        <v>19.830105600000021</v>
      </c>
      <c r="X355" s="205">
        <f t="shared" si="216"/>
        <v>21.249619200000019</v>
      </c>
      <c r="Y355" s="205">
        <f t="shared" si="216"/>
        <v>74.256000000000071</v>
      </c>
      <c r="Z355" s="205">
        <f t="shared" si="216"/>
        <v>95.472000000000094</v>
      </c>
      <c r="AA355" s="205">
        <f t="shared" si="216"/>
        <v>15.912000000000015</v>
      </c>
      <c r="AB355" s="205">
        <f t="shared" si="216"/>
        <v>21.216000000000019</v>
      </c>
      <c r="AC355" s="205">
        <f t="shared" si="216"/>
        <v>21.943284480000028</v>
      </c>
      <c r="AD355" s="205">
        <f t="shared" si="216"/>
        <v>45.957038400000044</v>
      </c>
      <c r="AE355" s="205">
        <f t="shared" si="216"/>
        <v>42.732312480000047</v>
      </c>
      <c r="AF355" s="205">
        <f t="shared" si="216"/>
        <v>22.367922720000021</v>
      </c>
      <c r="AG355" s="205">
        <f t="shared" si="216"/>
        <v>22.110042240000023</v>
      </c>
      <c r="AH355" s="205">
        <f t="shared" si="216"/>
        <v>68.119272000000066</v>
      </c>
      <c r="AI355" s="205">
        <f t="shared" si="216"/>
        <v>25.779137280000029</v>
      </c>
      <c r="AJ355" s="205">
        <f t="shared" si="216"/>
        <v>27.624504960000028</v>
      </c>
      <c r="AK355" s="205">
        <f t="shared" si="216"/>
        <v>96.532800000000094</v>
      </c>
      <c r="AL355" s="205">
        <f t="shared" si="216"/>
        <v>124.11360000000012</v>
      </c>
      <c r="AM355" s="205">
        <f t="shared" si="216"/>
        <v>20.685600000000019</v>
      </c>
      <c r="AN355" s="205">
        <f t="shared" si="216"/>
        <v>27.580800000000025</v>
      </c>
    </row>
    <row r="356" spans="2:40" ht="12" customHeight="1" outlineLevel="1">
      <c r="B356" s="239"/>
      <c r="C356" s="214" t="s">
        <v>835</v>
      </c>
      <c r="D356" s="214"/>
      <c r="E356" s="232"/>
      <c r="F356" s="232"/>
      <c r="G356" s="232"/>
      <c r="H356" s="232"/>
      <c r="I356" s="232"/>
      <c r="J356" s="232"/>
      <c r="K356" s="232"/>
      <c r="L356" s="232"/>
      <c r="M356" s="205"/>
      <c r="N356" s="205"/>
      <c r="O356" s="205"/>
      <c r="P356" s="205"/>
      <c r="Q356" s="205"/>
      <c r="R356" s="205"/>
      <c r="S356" s="205"/>
      <c r="T356" s="205"/>
      <c r="U356" s="205"/>
      <c r="V356" s="205"/>
      <c r="W356" s="205"/>
      <c r="X356" s="205"/>
      <c r="Y356" s="205"/>
      <c r="Z356" s="205"/>
      <c r="AA356" s="205"/>
      <c r="AB356" s="205"/>
      <c r="AC356" s="205"/>
      <c r="AD356" s="205"/>
      <c r="AE356" s="205"/>
      <c r="AF356" s="205"/>
      <c r="AG356" s="205"/>
      <c r="AH356" s="205"/>
      <c r="AI356" s="205"/>
      <c r="AJ356" s="205"/>
      <c r="AK356" s="205"/>
      <c r="AL356" s="205"/>
      <c r="AM356" s="205"/>
      <c r="AN356" s="205"/>
    </row>
    <row r="357" spans="2:40" ht="12" customHeight="1" outlineLevel="1">
      <c r="B357" s="239"/>
      <c r="C357" s="214" t="s">
        <v>836</v>
      </c>
      <c r="D357" s="214"/>
      <c r="E357" s="232"/>
      <c r="F357" s="232"/>
      <c r="G357" s="232"/>
      <c r="H357" s="232"/>
      <c r="I357" s="232"/>
      <c r="J357" s="232"/>
      <c r="K357" s="232"/>
      <c r="L357" s="232"/>
      <c r="M357" s="205"/>
      <c r="N357" s="205"/>
      <c r="O357" s="205"/>
      <c r="P357" s="205"/>
      <c r="Q357" s="205"/>
      <c r="R357" s="205"/>
      <c r="S357" s="205"/>
      <c r="T357" s="205"/>
      <c r="U357" s="205"/>
      <c r="V357" s="205"/>
      <c r="W357" s="205"/>
      <c r="X357" s="205"/>
      <c r="Y357" s="205"/>
      <c r="Z357" s="205"/>
      <c r="AA357" s="205"/>
      <c r="AB357" s="205"/>
      <c r="AC357" s="205"/>
      <c r="AD357" s="205"/>
      <c r="AE357" s="205"/>
      <c r="AF357" s="205"/>
      <c r="AG357" s="205"/>
      <c r="AH357" s="205"/>
      <c r="AI357" s="205"/>
      <c r="AJ357" s="205"/>
      <c r="AK357" s="205"/>
      <c r="AL357" s="205"/>
      <c r="AM357" s="205"/>
      <c r="AN357" s="205"/>
    </row>
    <row r="358" spans="2:40" ht="12" customHeight="1" outlineLevel="1">
      <c r="B358" s="239" t="s">
        <v>897</v>
      </c>
      <c r="C358" s="214" t="s">
        <v>837</v>
      </c>
      <c r="D358" s="214"/>
      <c r="E358" s="8">
        <f>1-(E355/E354)</f>
        <v>0.96308724832214765</v>
      </c>
      <c r="F358" s="8">
        <f t="shared" ref="F358:I358" si="217">1-(F355/F354)</f>
        <v>0.98373983739837401</v>
      </c>
      <c r="G358" s="8">
        <f t="shared" si="217"/>
        <v>0.98662952646239555</v>
      </c>
      <c r="H358" s="8">
        <f t="shared" si="217"/>
        <v>0.96794871794871795</v>
      </c>
      <c r="I358" s="8">
        <f t="shared" si="217"/>
        <v>0.97352587244283995</v>
      </c>
      <c r="J358" s="8">
        <f>2151/2202</f>
        <v>0.97683923705722076</v>
      </c>
      <c r="K358" s="8">
        <f>2751/2802</f>
        <v>0.9817987152034261</v>
      </c>
      <c r="L358" s="8">
        <f>661/696</f>
        <v>0.94971264367816088</v>
      </c>
      <c r="M358" s="281">
        <v>0.98</v>
      </c>
      <c r="N358" s="281">
        <v>0.98</v>
      </c>
      <c r="O358" s="281">
        <v>0.98</v>
      </c>
      <c r="P358" s="281">
        <v>0.98</v>
      </c>
      <c r="Q358" s="281">
        <v>0.98</v>
      </c>
      <c r="R358" s="281">
        <v>0.98</v>
      </c>
      <c r="S358" s="281">
        <v>0.98</v>
      </c>
      <c r="T358" s="281">
        <v>0.98</v>
      </c>
      <c r="U358" s="281">
        <v>0.98</v>
      </c>
      <c r="V358" s="281">
        <v>0.98</v>
      </c>
      <c r="W358" s="281">
        <v>0.98</v>
      </c>
      <c r="X358" s="281">
        <v>0.98</v>
      </c>
      <c r="Y358" s="281">
        <v>0.98</v>
      </c>
      <c r="Z358" s="281">
        <v>0.98</v>
      </c>
      <c r="AA358" s="281">
        <v>0.98</v>
      </c>
      <c r="AB358" s="281">
        <v>0.98</v>
      </c>
      <c r="AC358" s="281">
        <v>0.98</v>
      </c>
      <c r="AD358" s="281">
        <v>0.98</v>
      </c>
      <c r="AE358" s="281">
        <v>0.98</v>
      </c>
      <c r="AF358" s="281">
        <v>0.98</v>
      </c>
      <c r="AG358" s="281">
        <v>0.98</v>
      </c>
      <c r="AH358" s="281">
        <v>0.98</v>
      </c>
      <c r="AI358" s="281">
        <v>0.98</v>
      </c>
      <c r="AJ358" s="281">
        <v>0.98</v>
      </c>
      <c r="AK358" s="281">
        <v>0.98</v>
      </c>
      <c r="AL358" s="281">
        <v>0.98</v>
      </c>
      <c r="AM358" s="281">
        <v>0.98</v>
      </c>
      <c r="AN358" s="281">
        <v>0.98</v>
      </c>
    </row>
    <row r="359" spans="2:40" ht="12" customHeight="1" outlineLevel="1">
      <c r="B359" s="239"/>
      <c r="C359" s="214" t="s">
        <v>839</v>
      </c>
      <c r="D359" s="214"/>
      <c r="E359" s="8">
        <f>1-E358</f>
        <v>3.6912751677852351E-2</v>
      </c>
      <c r="F359" s="8">
        <f t="shared" ref="F359:I359" si="218">1-F358</f>
        <v>1.6260162601625994E-2</v>
      </c>
      <c r="G359" s="8">
        <f t="shared" si="218"/>
        <v>1.3370473537604455E-2</v>
      </c>
      <c r="H359" s="8">
        <f t="shared" si="218"/>
        <v>3.2051282051282048E-2</v>
      </c>
      <c r="I359" s="8">
        <f t="shared" si="218"/>
        <v>2.6474127557160054E-2</v>
      </c>
      <c r="J359" s="8">
        <f t="shared" ref="J359:AN359" si="219">1-J358</f>
        <v>2.3160762942779245E-2</v>
      </c>
      <c r="K359" s="8">
        <f t="shared" si="219"/>
        <v>1.8201284796573902E-2</v>
      </c>
      <c r="L359" s="8">
        <f t="shared" si="219"/>
        <v>5.0287356321839116E-2</v>
      </c>
      <c r="M359" s="281">
        <f t="shared" si="219"/>
        <v>2.0000000000000018E-2</v>
      </c>
      <c r="N359" s="281">
        <f t="shared" si="219"/>
        <v>2.0000000000000018E-2</v>
      </c>
      <c r="O359" s="281">
        <f t="shared" si="219"/>
        <v>2.0000000000000018E-2</v>
      </c>
      <c r="P359" s="281">
        <f t="shared" si="219"/>
        <v>2.0000000000000018E-2</v>
      </c>
      <c r="Q359" s="281">
        <f t="shared" si="219"/>
        <v>2.0000000000000018E-2</v>
      </c>
      <c r="R359" s="281">
        <f t="shared" si="219"/>
        <v>2.0000000000000018E-2</v>
      </c>
      <c r="S359" s="281">
        <f t="shared" si="219"/>
        <v>2.0000000000000018E-2</v>
      </c>
      <c r="T359" s="281">
        <f t="shared" si="219"/>
        <v>2.0000000000000018E-2</v>
      </c>
      <c r="U359" s="281">
        <f t="shared" si="219"/>
        <v>2.0000000000000018E-2</v>
      </c>
      <c r="V359" s="281">
        <f t="shared" si="219"/>
        <v>2.0000000000000018E-2</v>
      </c>
      <c r="W359" s="281">
        <f t="shared" si="219"/>
        <v>2.0000000000000018E-2</v>
      </c>
      <c r="X359" s="281">
        <f t="shared" si="219"/>
        <v>2.0000000000000018E-2</v>
      </c>
      <c r="Y359" s="281">
        <f t="shared" si="219"/>
        <v>2.0000000000000018E-2</v>
      </c>
      <c r="Z359" s="281">
        <f t="shared" si="219"/>
        <v>2.0000000000000018E-2</v>
      </c>
      <c r="AA359" s="281">
        <f t="shared" si="219"/>
        <v>2.0000000000000018E-2</v>
      </c>
      <c r="AB359" s="281">
        <f t="shared" si="219"/>
        <v>2.0000000000000018E-2</v>
      </c>
      <c r="AC359" s="281">
        <f t="shared" si="219"/>
        <v>2.0000000000000018E-2</v>
      </c>
      <c r="AD359" s="281">
        <f t="shared" si="219"/>
        <v>2.0000000000000018E-2</v>
      </c>
      <c r="AE359" s="281">
        <f t="shared" si="219"/>
        <v>2.0000000000000018E-2</v>
      </c>
      <c r="AF359" s="281">
        <f t="shared" si="219"/>
        <v>2.0000000000000018E-2</v>
      </c>
      <c r="AG359" s="281">
        <f t="shared" si="219"/>
        <v>2.0000000000000018E-2</v>
      </c>
      <c r="AH359" s="281">
        <f t="shared" si="219"/>
        <v>2.0000000000000018E-2</v>
      </c>
      <c r="AI359" s="281">
        <f t="shared" si="219"/>
        <v>2.0000000000000018E-2</v>
      </c>
      <c r="AJ359" s="281">
        <f t="shared" si="219"/>
        <v>2.0000000000000018E-2</v>
      </c>
      <c r="AK359" s="281">
        <f t="shared" si="219"/>
        <v>2.0000000000000018E-2</v>
      </c>
      <c r="AL359" s="281">
        <f t="shared" si="219"/>
        <v>2.0000000000000018E-2</v>
      </c>
      <c r="AM359" s="281">
        <f t="shared" si="219"/>
        <v>2.0000000000000018E-2</v>
      </c>
      <c r="AN359" s="281">
        <f t="shared" si="219"/>
        <v>2.0000000000000018E-2</v>
      </c>
    </row>
    <row r="360" spans="2:40" ht="12" customHeight="1" outlineLevel="1">
      <c r="B360" s="239"/>
      <c r="C360" s="214" t="s">
        <v>840</v>
      </c>
      <c r="D360" s="214"/>
      <c r="E360" s="8">
        <v>0</v>
      </c>
      <c r="F360" s="8">
        <v>0</v>
      </c>
      <c r="G360" s="8">
        <v>0</v>
      </c>
      <c r="H360" s="8">
        <v>0</v>
      </c>
      <c r="I360" s="8">
        <v>0</v>
      </c>
      <c r="J360" s="8">
        <v>0</v>
      </c>
      <c r="K360" s="8">
        <v>0</v>
      </c>
      <c r="L360" s="8">
        <v>0</v>
      </c>
      <c r="M360" s="281">
        <v>0</v>
      </c>
      <c r="N360" s="281">
        <v>0</v>
      </c>
      <c r="O360" s="281">
        <v>0</v>
      </c>
      <c r="P360" s="281">
        <v>0</v>
      </c>
      <c r="Q360" s="281">
        <v>0</v>
      </c>
      <c r="R360" s="281">
        <v>0</v>
      </c>
      <c r="S360" s="281">
        <v>0</v>
      </c>
      <c r="T360" s="281">
        <v>0</v>
      </c>
      <c r="U360" s="281">
        <v>0</v>
      </c>
      <c r="V360" s="281">
        <v>0</v>
      </c>
      <c r="W360" s="281">
        <v>0</v>
      </c>
      <c r="X360" s="281">
        <v>0</v>
      </c>
      <c r="Y360" s="281">
        <v>0</v>
      </c>
      <c r="Z360" s="281">
        <v>0</v>
      </c>
      <c r="AA360" s="281">
        <v>0</v>
      </c>
      <c r="AB360" s="281">
        <v>0</v>
      </c>
      <c r="AC360" s="281">
        <v>0</v>
      </c>
      <c r="AD360" s="281">
        <v>0</v>
      </c>
      <c r="AE360" s="281">
        <v>0</v>
      </c>
      <c r="AF360" s="281">
        <v>0</v>
      </c>
      <c r="AG360" s="281">
        <v>0</v>
      </c>
      <c r="AH360" s="281">
        <v>0</v>
      </c>
      <c r="AI360" s="281">
        <v>0</v>
      </c>
      <c r="AJ360" s="281">
        <v>0</v>
      </c>
      <c r="AK360" s="281">
        <v>0</v>
      </c>
      <c r="AL360" s="281">
        <v>0</v>
      </c>
      <c r="AM360" s="281">
        <v>0</v>
      </c>
      <c r="AN360" s="281">
        <v>0</v>
      </c>
    </row>
    <row r="361" spans="2:40" ht="12" customHeight="1" outlineLevel="1">
      <c r="B361" s="237"/>
      <c r="C361" s="208"/>
      <c r="D361" s="208"/>
      <c r="E361" s="216"/>
      <c r="F361" s="216"/>
      <c r="G361" s="216"/>
      <c r="H361" s="216"/>
      <c r="I361" s="216"/>
      <c r="J361" s="216"/>
      <c r="K361" s="216"/>
      <c r="L361" s="216"/>
      <c r="M361" s="216"/>
      <c r="N361" s="216"/>
      <c r="O361" s="216"/>
      <c r="P361" s="216"/>
      <c r="Q361" s="216"/>
      <c r="R361" s="216"/>
      <c r="S361" s="216"/>
      <c r="T361" s="216"/>
      <c r="U361" s="216"/>
      <c r="V361" s="216"/>
      <c r="W361" s="216"/>
      <c r="X361" s="216"/>
      <c r="Y361" s="216"/>
      <c r="Z361" s="216"/>
      <c r="AA361" s="216"/>
      <c r="AB361" s="216"/>
      <c r="AC361" s="216"/>
      <c r="AD361" s="216"/>
      <c r="AE361" s="216"/>
      <c r="AF361" s="216"/>
      <c r="AG361" s="216"/>
      <c r="AH361" s="216"/>
      <c r="AI361" s="216"/>
      <c r="AJ361" s="216"/>
      <c r="AK361" s="216"/>
      <c r="AL361" s="216"/>
      <c r="AM361" s="216"/>
      <c r="AN361" s="216"/>
    </row>
    <row r="362" spans="2:40" ht="12" customHeight="1" outlineLevel="1">
      <c r="B362" s="239"/>
      <c r="C362" s="214" t="s">
        <v>841</v>
      </c>
      <c r="D362" s="214"/>
      <c r="E362" s="209">
        <f>E354*E358</f>
        <v>574</v>
      </c>
      <c r="F362" s="209">
        <f>F354*F358</f>
        <v>1694</v>
      </c>
      <c r="G362" s="209">
        <f t="shared" ref="G362:I362" si="220">G354*G358</f>
        <v>1771</v>
      </c>
      <c r="H362" s="209">
        <f>H354*H358</f>
        <v>755</v>
      </c>
      <c r="I362" s="209">
        <f t="shared" si="220"/>
        <v>809</v>
      </c>
      <c r="J362" s="209">
        <f t="shared" ref="J362:AN362" si="221">J354*J358</f>
        <v>2151</v>
      </c>
      <c r="K362" s="209">
        <f t="shared" si="221"/>
        <v>2751</v>
      </c>
      <c r="L362" s="209">
        <f t="shared" si="221"/>
        <v>661</v>
      </c>
      <c r="M362" s="209">
        <f t="shared" si="221"/>
        <v>2798.88</v>
      </c>
      <c r="N362" s="209">
        <f t="shared" si="221"/>
        <v>2598.96</v>
      </c>
      <c r="O362" s="209">
        <f t="shared" si="221"/>
        <v>599.76</v>
      </c>
      <c r="P362" s="209">
        <f t="shared" si="221"/>
        <v>799.68</v>
      </c>
      <c r="Q362" s="209">
        <f t="shared" si="221"/>
        <v>827.0930304000002</v>
      </c>
      <c r="R362" s="209">
        <f t="shared" si="221"/>
        <v>1732.2268320000001</v>
      </c>
      <c r="S362" s="209">
        <f t="shared" si="221"/>
        <v>1610.6794704000004</v>
      </c>
      <c r="T362" s="209">
        <f t="shared" si="221"/>
        <v>843.0986256000001</v>
      </c>
      <c r="U362" s="209">
        <f t="shared" si="221"/>
        <v>833.37851520000015</v>
      </c>
      <c r="V362" s="209">
        <f t="shared" si="221"/>
        <v>2567.5725599999996</v>
      </c>
      <c r="W362" s="209">
        <f t="shared" si="221"/>
        <v>971.67517440000006</v>
      </c>
      <c r="X362" s="209">
        <f t="shared" si="221"/>
        <v>1041.2313408</v>
      </c>
      <c r="Y362" s="209">
        <f t="shared" si="221"/>
        <v>3638.5440000000003</v>
      </c>
      <c r="Z362" s="209">
        <f t="shared" si="221"/>
        <v>4678.1280000000006</v>
      </c>
      <c r="AA362" s="209">
        <f t="shared" si="221"/>
        <v>779.68799999999999</v>
      </c>
      <c r="AB362" s="209">
        <f t="shared" si="221"/>
        <v>1039.5839999999998</v>
      </c>
      <c r="AC362" s="209">
        <f t="shared" si="221"/>
        <v>1075.2209395200002</v>
      </c>
      <c r="AD362" s="209">
        <f t="shared" si="221"/>
        <v>2251.8948816000002</v>
      </c>
      <c r="AE362" s="209">
        <f t="shared" si="221"/>
        <v>2093.8833115200005</v>
      </c>
      <c r="AF362" s="209">
        <f t="shared" si="221"/>
        <v>1096.02821328</v>
      </c>
      <c r="AG362" s="209">
        <f t="shared" si="221"/>
        <v>1083.3920697600001</v>
      </c>
      <c r="AH362" s="209">
        <f t="shared" si="221"/>
        <v>3337.8443280000006</v>
      </c>
      <c r="AI362" s="209">
        <f t="shared" si="221"/>
        <v>1263.1777267200002</v>
      </c>
      <c r="AJ362" s="209">
        <f t="shared" si="221"/>
        <v>1353.6007430400002</v>
      </c>
      <c r="AK362" s="209">
        <f t="shared" si="221"/>
        <v>4730.1072000000004</v>
      </c>
      <c r="AL362" s="209">
        <f t="shared" si="221"/>
        <v>6081.5664000000006</v>
      </c>
      <c r="AM362" s="209">
        <f t="shared" si="221"/>
        <v>1013.5944</v>
      </c>
      <c r="AN362" s="209">
        <f t="shared" si="221"/>
        <v>1351.4592</v>
      </c>
    </row>
    <row r="363" spans="2:40" ht="12" customHeight="1" outlineLevel="1">
      <c r="B363" s="239"/>
      <c r="C363" s="214" t="s">
        <v>842</v>
      </c>
      <c r="D363" s="214"/>
      <c r="E363" s="209">
        <f>E354*E359</f>
        <v>22</v>
      </c>
      <c r="F363" s="209">
        <f t="shared" ref="F363:I363" si="222">F354*F359</f>
        <v>27.999999999999961</v>
      </c>
      <c r="G363" s="209">
        <f t="shared" si="222"/>
        <v>23.999999999999996</v>
      </c>
      <c r="H363" s="209">
        <f t="shared" si="222"/>
        <v>24.999999999999996</v>
      </c>
      <c r="I363" s="209">
        <f t="shared" si="222"/>
        <v>22.000000000000004</v>
      </c>
      <c r="J363" s="209">
        <f t="shared" ref="J363:AN363" si="223">J354*J359</f>
        <v>50.999999999999901</v>
      </c>
      <c r="K363" s="209">
        <f t="shared" si="223"/>
        <v>51.000000000000071</v>
      </c>
      <c r="L363" s="209">
        <f t="shared" si="223"/>
        <v>35.000000000000028</v>
      </c>
      <c r="M363" s="209">
        <f t="shared" si="223"/>
        <v>57.120000000000047</v>
      </c>
      <c r="N363" s="209">
        <f t="shared" si="223"/>
        <v>53.040000000000049</v>
      </c>
      <c r="O363" s="209">
        <f t="shared" si="223"/>
        <v>12.240000000000011</v>
      </c>
      <c r="P363" s="209">
        <f t="shared" si="223"/>
        <v>16.320000000000014</v>
      </c>
      <c r="Q363" s="209">
        <f t="shared" si="223"/>
        <v>16.879449600000019</v>
      </c>
      <c r="R363" s="209">
        <f t="shared" si="223"/>
        <v>35.351568000000036</v>
      </c>
      <c r="S363" s="209">
        <f t="shared" si="223"/>
        <v>32.871009600000036</v>
      </c>
      <c r="T363" s="209">
        <f t="shared" si="223"/>
        <v>17.206094400000016</v>
      </c>
      <c r="U363" s="209">
        <f t="shared" si="223"/>
        <v>17.00772480000002</v>
      </c>
      <c r="V363" s="209">
        <f t="shared" si="223"/>
        <v>52.399440000000041</v>
      </c>
      <c r="W363" s="209">
        <f t="shared" si="223"/>
        <v>19.830105600000021</v>
      </c>
      <c r="X363" s="209">
        <f t="shared" si="223"/>
        <v>21.249619200000019</v>
      </c>
      <c r="Y363" s="209">
        <f t="shared" si="223"/>
        <v>74.256000000000071</v>
      </c>
      <c r="Z363" s="209">
        <f t="shared" si="223"/>
        <v>95.472000000000094</v>
      </c>
      <c r="AA363" s="209">
        <f t="shared" si="223"/>
        <v>15.912000000000015</v>
      </c>
      <c r="AB363" s="209">
        <f t="shared" si="223"/>
        <v>21.216000000000019</v>
      </c>
      <c r="AC363" s="209">
        <f t="shared" si="223"/>
        <v>21.943284480000028</v>
      </c>
      <c r="AD363" s="209">
        <f t="shared" si="223"/>
        <v>45.957038400000044</v>
      </c>
      <c r="AE363" s="209">
        <f t="shared" si="223"/>
        <v>42.732312480000047</v>
      </c>
      <c r="AF363" s="209">
        <f t="shared" si="223"/>
        <v>22.367922720000021</v>
      </c>
      <c r="AG363" s="209">
        <f t="shared" si="223"/>
        <v>22.110042240000023</v>
      </c>
      <c r="AH363" s="209">
        <f t="shared" si="223"/>
        <v>68.119272000000066</v>
      </c>
      <c r="AI363" s="209">
        <f t="shared" si="223"/>
        <v>25.779137280000029</v>
      </c>
      <c r="AJ363" s="209">
        <f t="shared" si="223"/>
        <v>27.624504960000028</v>
      </c>
      <c r="AK363" s="209">
        <f t="shared" si="223"/>
        <v>96.532800000000094</v>
      </c>
      <c r="AL363" s="209">
        <f t="shared" si="223"/>
        <v>124.11360000000012</v>
      </c>
      <c r="AM363" s="209">
        <f t="shared" si="223"/>
        <v>20.685600000000019</v>
      </c>
      <c r="AN363" s="209">
        <f t="shared" si="223"/>
        <v>27.580800000000025</v>
      </c>
    </row>
    <row r="364" spans="2:40" ht="12" customHeight="1" outlineLevel="1">
      <c r="B364" s="239"/>
      <c r="C364" s="214" t="s">
        <v>843</v>
      </c>
      <c r="D364" s="214"/>
      <c r="E364" s="209">
        <f>E354*E360</f>
        <v>0</v>
      </c>
      <c r="F364" s="209">
        <f t="shared" ref="F364:I364" si="224">F354*F360</f>
        <v>0</v>
      </c>
      <c r="G364" s="209">
        <f t="shared" si="224"/>
        <v>0</v>
      </c>
      <c r="H364" s="209">
        <f t="shared" si="224"/>
        <v>0</v>
      </c>
      <c r="I364" s="209">
        <f t="shared" si="224"/>
        <v>0</v>
      </c>
      <c r="J364" s="209">
        <f t="shared" ref="J364:AN364" si="225">J354*J360</f>
        <v>0</v>
      </c>
      <c r="K364" s="209">
        <f t="shared" si="225"/>
        <v>0</v>
      </c>
      <c r="L364" s="209">
        <f t="shared" si="225"/>
        <v>0</v>
      </c>
      <c r="M364" s="209">
        <f t="shared" si="225"/>
        <v>0</v>
      </c>
      <c r="N364" s="209">
        <f t="shared" si="225"/>
        <v>0</v>
      </c>
      <c r="O364" s="209">
        <f t="shared" si="225"/>
        <v>0</v>
      </c>
      <c r="P364" s="209">
        <f t="shared" si="225"/>
        <v>0</v>
      </c>
      <c r="Q364" s="209">
        <f t="shared" si="225"/>
        <v>0</v>
      </c>
      <c r="R364" s="209">
        <f t="shared" si="225"/>
        <v>0</v>
      </c>
      <c r="S364" s="209">
        <f t="shared" si="225"/>
        <v>0</v>
      </c>
      <c r="T364" s="209">
        <f t="shared" si="225"/>
        <v>0</v>
      </c>
      <c r="U364" s="209">
        <f t="shared" si="225"/>
        <v>0</v>
      </c>
      <c r="V364" s="209">
        <f t="shared" si="225"/>
        <v>0</v>
      </c>
      <c r="W364" s="209">
        <f t="shared" si="225"/>
        <v>0</v>
      </c>
      <c r="X364" s="209">
        <f t="shared" si="225"/>
        <v>0</v>
      </c>
      <c r="Y364" s="209">
        <f t="shared" si="225"/>
        <v>0</v>
      </c>
      <c r="Z364" s="209">
        <f t="shared" si="225"/>
        <v>0</v>
      </c>
      <c r="AA364" s="209">
        <f t="shared" si="225"/>
        <v>0</v>
      </c>
      <c r="AB364" s="209">
        <f t="shared" si="225"/>
        <v>0</v>
      </c>
      <c r="AC364" s="209">
        <f t="shared" si="225"/>
        <v>0</v>
      </c>
      <c r="AD364" s="209">
        <f t="shared" si="225"/>
        <v>0</v>
      </c>
      <c r="AE364" s="209">
        <f t="shared" si="225"/>
        <v>0</v>
      </c>
      <c r="AF364" s="209">
        <f t="shared" si="225"/>
        <v>0</v>
      </c>
      <c r="AG364" s="209">
        <f t="shared" si="225"/>
        <v>0</v>
      </c>
      <c r="AH364" s="209">
        <f t="shared" si="225"/>
        <v>0</v>
      </c>
      <c r="AI364" s="209">
        <f t="shared" si="225"/>
        <v>0</v>
      </c>
      <c r="AJ364" s="209">
        <f t="shared" si="225"/>
        <v>0</v>
      </c>
      <c r="AK364" s="209">
        <f t="shared" si="225"/>
        <v>0</v>
      </c>
      <c r="AL364" s="209">
        <f t="shared" si="225"/>
        <v>0</v>
      </c>
      <c r="AM364" s="209">
        <f t="shared" si="225"/>
        <v>0</v>
      </c>
      <c r="AN364" s="209">
        <f t="shared" si="225"/>
        <v>0</v>
      </c>
    </row>
    <row r="365" spans="2:40" ht="12" customHeight="1" outlineLevel="1">
      <c r="B365" s="239"/>
      <c r="C365" s="214" t="s">
        <v>844</v>
      </c>
      <c r="D365" s="214"/>
      <c r="E365" s="209">
        <f>IF((SUM(E375:E411)-E362)&lt;2,ROUNDUP(SUM(E375:E411),0)-E362,ROUNDDOWN(SUM(E375:E411),0)-E362)</f>
        <v>418</v>
      </c>
      <c r="F365" s="209">
        <f t="shared" ref="F365:I365" si="226">IF((SUM(F375:F411)-F362)&lt;2,ROUNDUP(SUM(F375:F411),0)-F362,ROUNDDOWN(SUM(F375:F411),0)-F362)</f>
        <v>520</v>
      </c>
      <c r="G365" s="209">
        <f t="shared" si="226"/>
        <v>1498</v>
      </c>
      <c r="H365" s="209">
        <f>IF((SUM(H375:H411)-H362)&lt;2,ROUNDUP(SUM(H375:H411),0)-H362,ROUNDDOWN(SUM(H375:H411),0)-H362)</f>
        <v>3097</v>
      </c>
      <c r="I365" s="209">
        <f t="shared" si="226"/>
        <v>303</v>
      </c>
      <c r="J365" s="209">
        <f t="shared" ref="J365:AN365" si="227">IF((SUM(J375:J411)-J362)&lt;2,ROUNDUP(SUM(J375:J411),0)-J362,ROUNDDOWN(SUM(J375:J411),0)-J362)</f>
        <v>272</v>
      </c>
      <c r="K365" s="209">
        <f t="shared" si="227"/>
        <v>245</v>
      </c>
      <c r="L365" s="209">
        <f t="shared" si="227"/>
        <v>220</v>
      </c>
      <c r="M365" s="209">
        <f t="shared" si="227"/>
        <v>198.11999999999989</v>
      </c>
      <c r="N365" s="209">
        <f t="shared" si="227"/>
        <v>178.03999999999996</v>
      </c>
      <c r="O365" s="209">
        <f t="shared" si="227"/>
        <v>160.24</v>
      </c>
      <c r="P365" s="209">
        <f t="shared" si="227"/>
        <v>144.32000000000005</v>
      </c>
      <c r="Q365" s="209">
        <f t="shared" si="227"/>
        <v>129.9069695999998</v>
      </c>
      <c r="R365" s="209">
        <f t="shared" si="227"/>
        <v>116.77316799999994</v>
      </c>
      <c r="S365" s="209">
        <f t="shared" si="227"/>
        <v>105.32052959999965</v>
      </c>
      <c r="T365" s="209">
        <f t="shared" si="227"/>
        <v>94.901374399999895</v>
      </c>
      <c r="U365" s="209">
        <f t="shared" si="227"/>
        <v>84.621484799999848</v>
      </c>
      <c r="V365" s="209">
        <f t="shared" si="227"/>
        <v>76.427440000000388</v>
      </c>
      <c r="W365" s="209">
        <f t="shared" si="227"/>
        <v>68.32482559999994</v>
      </c>
      <c r="X365" s="209">
        <f t="shared" si="227"/>
        <v>61.768659200000002</v>
      </c>
      <c r="Y365" s="209">
        <f t="shared" si="227"/>
        <v>55.455999999999676</v>
      </c>
      <c r="Z365" s="209">
        <f t="shared" si="227"/>
        <v>49.871999999999389</v>
      </c>
      <c r="AA365" s="209">
        <f t="shared" si="227"/>
        <v>45.312000000000012</v>
      </c>
      <c r="AB365" s="209">
        <f t="shared" si="227"/>
        <v>40.416000000000167</v>
      </c>
      <c r="AC365" s="209">
        <f t="shared" si="227"/>
        <v>36.779060479999771</v>
      </c>
      <c r="AD365" s="209">
        <f t="shared" si="227"/>
        <v>33.10511839999981</v>
      </c>
      <c r="AE365" s="209">
        <f t="shared" si="227"/>
        <v>29.116688479999539</v>
      </c>
      <c r="AF365" s="209">
        <f t="shared" si="227"/>
        <v>25.971786719999955</v>
      </c>
      <c r="AG365" s="209">
        <f t="shared" si="227"/>
        <v>23.60793023999986</v>
      </c>
      <c r="AH365" s="209">
        <f t="shared" si="227"/>
        <v>21.155671999999413</v>
      </c>
      <c r="AI365" s="209">
        <f t="shared" si="227"/>
        <v>18.822273279999763</v>
      </c>
      <c r="AJ365" s="209">
        <f t="shared" si="227"/>
        <v>17.399256959999775</v>
      </c>
      <c r="AK365" s="209">
        <f t="shared" si="227"/>
        <v>14.892799999999625</v>
      </c>
      <c r="AL365" s="209">
        <f t="shared" si="227"/>
        <v>13.433599999999387</v>
      </c>
      <c r="AM365" s="209">
        <f t="shared" si="227"/>
        <v>12.405600000000049</v>
      </c>
      <c r="AN365" s="209">
        <f t="shared" si="227"/>
        <v>11.54079999999999</v>
      </c>
    </row>
    <row r="366" spans="2:40" ht="12" customHeight="1" outlineLevel="1">
      <c r="B366" s="239"/>
      <c r="C366" s="214" t="s">
        <v>845</v>
      </c>
      <c r="D366" s="214"/>
      <c r="E366" s="209">
        <f>IF((SUM(E416:E452)-E363)&lt;2,ROUNDUP(SUM(E416:E452),0)-E363,ROUNDDOWN(SUM(E416:E452),0)-E363)</f>
        <v>322</v>
      </c>
      <c r="F366" s="209">
        <f t="shared" ref="F366:I366" si="228">IF((SUM(F416:F452)-F363)&lt;2,ROUNDUP(SUM(F416:F452),0)-F363,ROUNDDOWN(SUM(F416:F452),0)-F363)</f>
        <v>379.00000000000006</v>
      </c>
      <c r="G366" s="209">
        <f t="shared" si="228"/>
        <v>482</v>
      </c>
      <c r="H366" s="209">
        <f t="shared" si="228"/>
        <v>365</v>
      </c>
      <c r="I366" s="209">
        <f t="shared" si="228"/>
        <v>308</v>
      </c>
      <c r="J366" s="209">
        <f t="shared" ref="J366:AN366" si="229">IF((SUM(J416:J452)-J363)&lt;2,ROUNDUP(SUM(J416:J452),0)-J363,ROUNDDOWN(SUM(J416:J452),0)-J363)</f>
        <v>279.00000000000011</v>
      </c>
      <c r="K366" s="209">
        <f t="shared" si="229"/>
        <v>252.99999999999994</v>
      </c>
      <c r="L366" s="209">
        <f t="shared" si="229"/>
        <v>229.99999999999997</v>
      </c>
      <c r="M366" s="209">
        <f t="shared" si="229"/>
        <v>208.87999999999994</v>
      </c>
      <c r="N366" s="209">
        <f t="shared" si="229"/>
        <v>190.95999999999995</v>
      </c>
      <c r="O366" s="209">
        <f t="shared" si="229"/>
        <v>173.76</v>
      </c>
      <c r="P366" s="209">
        <f t="shared" si="229"/>
        <v>157.67999999999998</v>
      </c>
      <c r="Q366" s="209">
        <f t="shared" si="229"/>
        <v>143.12055039999998</v>
      </c>
      <c r="R366" s="209">
        <f t="shared" si="229"/>
        <v>130.64843199999996</v>
      </c>
      <c r="S366" s="209">
        <f t="shared" si="229"/>
        <v>119.12899039999996</v>
      </c>
      <c r="T366" s="209">
        <f t="shared" si="229"/>
        <v>108.79390559999999</v>
      </c>
      <c r="U366" s="209">
        <f t="shared" si="229"/>
        <v>98.99227519999998</v>
      </c>
      <c r="V366" s="209">
        <f t="shared" si="229"/>
        <v>90.600559999999959</v>
      </c>
      <c r="W366" s="209">
        <f t="shared" si="229"/>
        <v>83.169894399999976</v>
      </c>
      <c r="X366" s="209">
        <f t="shared" si="229"/>
        <v>76.750380799999988</v>
      </c>
      <c r="Y366" s="209">
        <f t="shared" si="229"/>
        <v>69.743999999999929</v>
      </c>
      <c r="Z366" s="209">
        <f t="shared" si="229"/>
        <v>66.527999999999906</v>
      </c>
      <c r="AA366" s="209">
        <f t="shared" si="229"/>
        <v>64.08799999999998</v>
      </c>
      <c r="AB366" s="209">
        <f t="shared" si="229"/>
        <v>58.783999999999978</v>
      </c>
      <c r="AC366" s="209">
        <f t="shared" si="229"/>
        <v>55.056715519999969</v>
      </c>
      <c r="AD366" s="209">
        <f t="shared" si="229"/>
        <v>51.042961599999956</v>
      </c>
      <c r="AE366" s="209">
        <f t="shared" si="229"/>
        <v>47.267687519999953</v>
      </c>
      <c r="AF366" s="209">
        <f t="shared" si="229"/>
        <v>42.632077279999976</v>
      </c>
      <c r="AG366" s="209">
        <f t="shared" si="229"/>
        <v>38.889957759999973</v>
      </c>
      <c r="AH366" s="209">
        <f t="shared" si="229"/>
        <v>35.880727999999934</v>
      </c>
      <c r="AI366" s="209">
        <f t="shared" si="229"/>
        <v>34.220862719999971</v>
      </c>
      <c r="AJ366" s="209">
        <f t="shared" si="229"/>
        <v>29.375495039999972</v>
      </c>
      <c r="AK366" s="209">
        <f t="shared" si="229"/>
        <v>27.467199999999906</v>
      </c>
      <c r="AL366" s="209">
        <f t="shared" si="229"/>
        <v>29.886399999999881</v>
      </c>
      <c r="AM366" s="209">
        <f t="shared" si="229"/>
        <v>28.314399999999981</v>
      </c>
      <c r="AN366" s="209">
        <f t="shared" si="229"/>
        <v>21.419199999999975</v>
      </c>
    </row>
    <row r="367" spans="2:40" ht="12" customHeight="1" outlineLevel="1">
      <c r="B367" s="239"/>
      <c r="C367" s="214" t="s">
        <v>846</v>
      </c>
      <c r="D367" s="214"/>
      <c r="E367" s="209">
        <f t="shared" ref="E367:I367" si="230">IF((SUM(E457:E480)-E364)&lt;1,ROUNDUP(SUM(E457:E480),0)-E364,ROUNDDOWN(SUM(E457:E480),0)-E364)</f>
        <v>0</v>
      </c>
      <c r="F367" s="209">
        <f t="shared" si="230"/>
        <v>0</v>
      </c>
      <c r="G367" s="209">
        <f t="shared" si="230"/>
        <v>0</v>
      </c>
      <c r="H367" s="209">
        <f t="shared" si="230"/>
        <v>0</v>
      </c>
      <c r="I367" s="209">
        <f t="shared" si="230"/>
        <v>0</v>
      </c>
      <c r="J367" s="209">
        <f t="shared" ref="J367:AN367" si="231">IF((SUM(J457:J480)-J364)&lt;1,ROUNDUP(SUM(J457:J480),0)-J364,ROUNDDOWN(SUM(J457:J480),0)-J364)</f>
        <v>0</v>
      </c>
      <c r="K367" s="209">
        <f t="shared" si="231"/>
        <v>0</v>
      </c>
      <c r="L367" s="209">
        <f t="shared" si="231"/>
        <v>0</v>
      </c>
      <c r="M367" s="209">
        <f t="shared" si="231"/>
        <v>0</v>
      </c>
      <c r="N367" s="209">
        <f t="shared" si="231"/>
        <v>0</v>
      </c>
      <c r="O367" s="209">
        <f t="shared" si="231"/>
        <v>0</v>
      </c>
      <c r="P367" s="209">
        <f t="shared" si="231"/>
        <v>0</v>
      </c>
      <c r="Q367" s="209">
        <f t="shared" si="231"/>
        <v>0</v>
      </c>
      <c r="R367" s="209">
        <f t="shared" si="231"/>
        <v>0</v>
      </c>
      <c r="S367" s="209">
        <f t="shared" si="231"/>
        <v>0</v>
      </c>
      <c r="T367" s="209">
        <f t="shared" si="231"/>
        <v>0</v>
      </c>
      <c r="U367" s="209">
        <f t="shared" si="231"/>
        <v>0</v>
      </c>
      <c r="V367" s="209">
        <f t="shared" si="231"/>
        <v>0</v>
      </c>
      <c r="W367" s="209">
        <f t="shared" si="231"/>
        <v>0</v>
      </c>
      <c r="X367" s="209">
        <f t="shared" si="231"/>
        <v>0</v>
      </c>
      <c r="Y367" s="209">
        <f t="shared" si="231"/>
        <v>0</v>
      </c>
      <c r="Z367" s="209">
        <f t="shared" si="231"/>
        <v>0</v>
      </c>
      <c r="AA367" s="209">
        <f t="shared" si="231"/>
        <v>0</v>
      </c>
      <c r="AB367" s="209">
        <f t="shared" si="231"/>
        <v>0</v>
      </c>
      <c r="AC367" s="209">
        <f t="shared" si="231"/>
        <v>0</v>
      </c>
      <c r="AD367" s="209">
        <f t="shared" si="231"/>
        <v>0</v>
      </c>
      <c r="AE367" s="209">
        <f t="shared" si="231"/>
        <v>0</v>
      </c>
      <c r="AF367" s="209">
        <f t="shared" si="231"/>
        <v>0</v>
      </c>
      <c r="AG367" s="209">
        <f t="shared" si="231"/>
        <v>0</v>
      </c>
      <c r="AH367" s="209">
        <f t="shared" si="231"/>
        <v>0</v>
      </c>
      <c r="AI367" s="209">
        <f t="shared" si="231"/>
        <v>0</v>
      </c>
      <c r="AJ367" s="209">
        <f t="shared" si="231"/>
        <v>0</v>
      </c>
      <c r="AK367" s="209">
        <f t="shared" si="231"/>
        <v>0</v>
      </c>
      <c r="AL367" s="209">
        <f t="shared" si="231"/>
        <v>0</v>
      </c>
      <c r="AM367" s="209">
        <f t="shared" si="231"/>
        <v>0</v>
      </c>
      <c r="AN367" s="209">
        <f t="shared" si="231"/>
        <v>0</v>
      </c>
    </row>
    <row r="368" spans="2:40" ht="12" customHeight="1" outlineLevel="1">
      <c r="B368" s="237"/>
      <c r="C368" s="214" t="s">
        <v>833</v>
      </c>
      <c r="D368" s="214"/>
      <c r="E368" s="210">
        <f>SUM(E362:E364)</f>
        <v>596</v>
      </c>
      <c r="F368" s="210">
        <f>SUM(F362:F364)</f>
        <v>1722</v>
      </c>
      <c r="G368" s="210">
        <f t="shared" ref="G368:I368" si="232">SUM(G362:G364)</f>
        <v>1795</v>
      </c>
      <c r="H368" s="210">
        <f t="shared" si="232"/>
        <v>780</v>
      </c>
      <c r="I368" s="210">
        <f t="shared" si="232"/>
        <v>831</v>
      </c>
      <c r="J368" s="210">
        <f t="shared" ref="J368:AN368" si="233">SUM(J362:J364)</f>
        <v>2202</v>
      </c>
      <c r="K368" s="210">
        <f t="shared" si="233"/>
        <v>2802</v>
      </c>
      <c r="L368" s="210">
        <f t="shared" si="233"/>
        <v>696</v>
      </c>
      <c r="M368" s="210">
        <f t="shared" si="233"/>
        <v>2856</v>
      </c>
      <c r="N368" s="210">
        <f t="shared" si="233"/>
        <v>2652</v>
      </c>
      <c r="O368" s="210">
        <f t="shared" si="233"/>
        <v>612</v>
      </c>
      <c r="P368" s="210">
        <f t="shared" si="233"/>
        <v>816</v>
      </c>
      <c r="Q368" s="210">
        <f t="shared" si="233"/>
        <v>843.97248000000025</v>
      </c>
      <c r="R368" s="210">
        <f t="shared" si="233"/>
        <v>1767.5784000000001</v>
      </c>
      <c r="S368" s="210">
        <f t="shared" si="233"/>
        <v>1643.5504800000003</v>
      </c>
      <c r="T368" s="210">
        <f t="shared" si="233"/>
        <v>860.30472000000009</v>
      </c>
      <c r="U368" s="210">
        <f t="shared" si="233"/>
        <v>850.38624000000016</v>
      </c>
      <c r="V368" s="210">
        <f t="shared" si="233"/>
        <v>2619.9719999999998</v>
      </c>
      <c r="W368" s="210">
        <f t="shared" si="233"/>
        <v>991.50528000000008</v>
      </c>
      <c r="X368" s="210">
        <f t="shared" si="233"/>
        <v>1062.4809600000001</v>
      </c>
      <c r="Y368" s="210">
        <f t="shared" si="233"/>
        <v>3712.8</v>
      </c>
      <c r="Z368" s="210">
        <f t="shared" si="233"/>
        <v>4773.6000000000004</v>
      </c>
      <c r="AA368" s="210">
        <f t="shared" si="233"/>
        <v>795.6</v>
      </c>
      <c r="AB368" s="210">
        <f t="shared" si="233"/>
        <v>1060.8</v>
      </c>
      <c r="AC368" s="210">
        <f t="shared" si="233"/>
        <v>1097.1642240000003</v>
      </c>
      <c r="AD368" s="210">
        <f t="shared" si="233"/>
        <v>2297.8519200000001</v>
      </c>
      <c r="AE368" s="210">
        <f t="shared" si="233"/>
        <v>2136.6156240000005</v>
      </c>
      <c r="AF368" s="210">
        <f t="shared" si="233"/>
        <v>1118.3961360000001</v>
      </c>
      <c r="AG368" s="210">
        <f t="shared" si="233"/>
        <v>1105.5021120000001</v>
      </c>
      <c r="AH368" s="210">
        <f t="shared" si="233"/>
        <v>3405.9636000000005</v>
      </c>
      <c r="AI368" s="210">
        <f t="shared" si="233"/>
        <v>1288.9568640000002</v>
      </c>
      <c r="AJ368" s="210">
        <f t="shared" si="233"/>
        <v>1381.2252480000002</v>
      </c>
      <c r="AK368" s="210">
        <f t="shared" si="233"/>
        <v>4826.6400000000003</v>
      </c>
      <c r="AL368" s="210">
        <f t="shared" si="233"/>
        <v>6205.68</v>
      </c>
      <c r="AM368" s="210">
        <f t="shared" si="233"/>
        <v>1034.28</v>
      </c>
      <c r="AN368" s="210">
        <f t="shared" si="233"/>
        <v>1379.04</v>
      </c>
    </row>
    <row r="369" spans="2:40" ht="12" customHeight="1" outlineLevel="1">
      <c r="B369" s="237"/>
      <c r="C369" s="214" t="s">
        <v>847</v>
      </c>
      <c r="D369" s="214"/>
      <c r="E369" s="210">
        <f t="shared" ref="E369:I369" si="234">SUM(E365:E367)</f>
        <v>740</v>
      </c>
      <c r="F369" s="210">
        <f t="shared" si="234"/>
        <v>899</v>
      </c>
      <c r="G369" s="210">
        <f t="shared" si="234"/>
        <v>1980</v>
      </c>
      <c r="H369" s="210">
        <f t="shared" si="234"/>
        <v>3462</v>
      </c>
      <c r="I369" s="210">
        <f t="shared" si="234"/>
        <v>611</v>
      </c>
      <c r="J369" s="210">
        <f t="shared" ref="J369:AN369" si="235">SUM(J365:J367)</f>
        <v>551.00000000000011</v>
      </c>
      <c r="K369" s="210">
        <f t="shared" si="235"/>
        <v>497.99999999999994</v>
      </c>
      <c r="L369" s="210">
        <f t="shared" si="235"/>
        <v>450</v>
      </c>
      <c r="M369" s="210">
        <f t="shared" si="235"/>
        <v>406.99999999999983</v>
      </c>
      <c r="N369" s="210">
        <f t="shared" si="235"/>
        <v>368.99999999999989</v>
      </c>
      <c r="O369" s="210">
        <f t="shared" si="235"/>
        <v>334</v>
      </c>
      <c r="P369" s="210">
        <f t="shared" si="235"/>
        <v>302</v>
      </c>
      <c r="Q369" s="210">
        <f t="shared" si="235"/>
        <v>273.02751999999975</v>
      </c>
      <c r="R369" s="210">
        <f t="shared" si="235"/>
        <v>247.4215999999999</v>
      </c>
      <c r="S369" s="210">
        <f t="shared" si="235"/>
        <v>224.44951999999961</v>
      </c>
      <c r="T369" s="210">
        <f t="shared" si="235"/>
        <v>203.69527999999988</v>
      </c>
      <c r="U369" s="210">
        <f t="shared" si="235"/>
        <v>183.61375999999984</v>
      </c>
      <c r="V369" s="210">
        <f t="shared" si="235"/>
        <v>167.02800000000036</v>
      </c>
      <c r="W369" s="210">
        <f t="shared" si="235"/>
        <v>151.49471999999992</v>
      </c>
      <c r="X369" s="210">
        <f t="shared" si="235"/>
        <v>138.51903999999999</v>
      </c>
      <c r="Y369" s="210">
        <f t="shared" si="235"/>
        <v>125.1999999999996</v>
      </c>
      <c r="Z369" s="210">
        <f t="shared" si="235"/>
        <v>116.3999999999993</v>
      </c>
      <c r="AA369" s="210">
        <f t="shared" si="235"/>
        <v>109.39999999999999</v>
      </c>
      <c r="AB369" s="210">
        <f t="shared" si="235"/>
        <v>99.200000000000145</v>
      </c>
      <c r="AC369" s="210">
        <f t="shared" si="235"/>
        <v>91.83577599999974</v>
      </c>
      <c r="AD369" s="210">
        <f t="shared" si="235"/>
        <v>84.148079999999766</v>
      </c>
      <c r="AE369" s="210">
        <f t="shared" si="235"/>
        <v>76.384375999999492</v>
      </c>
      <c r="AF369" s="210">
        <f t="shared" si="235"/>
        <v>68.60386399999993</v>
      </c>
      <c r="AG369" s="210">
        <f t="shared" si="235"/>
        <v>62.497887999999833</v>
      </c>
      <c r="AH369" s="210">
        <f t="shared" si="235"/>
        <v>57.036399999999347</v>
      </c>
      <c r="AI369" s="210">
        <f t="shared" si="235"/>
        <v>53.043135999999734</v>
      </c>
      <c r="AJ369" s="210">
        <f t="shared" si="235"/>
        <v>46.774751999999751</v>
      </c>
      <c r="AK369" s="210">
        <f t="shared" si="235"/>
        <v>42.35999999999953</v>
      </c>
      <c r="AL369" s="210">
        <f t="shared" si="235"/>
        <v>43.319999999999268</v>
      </c>
      <c r="AM369" s="210">
        <f t="shared" si="235"/>
        <v>40.720000000000027</v>
      </c>
      <c r="AN369" s="210">
        <f t="shared" si="235"/>
        <v>32.959999999999965</v>
      </c>
    </row>
    <row r="370" spans="2:40" ht="12" customHeight="1" outlineLevel="1">
      <c r="B370" s="237"/>
      <c r="C370" s="252" t="s">
        <v>848</v>
      </c>
      <c r="D370" s="214"/>
      <c r="E370" s="205">
        <f>SUM(E368:E369)</f>
        <v>1336</v>
      </c>
      <c r="F370" s="205">
        <f t="shared" ref="F370:I370" si="236">SUM(F368:F369)</f>
        <v>2621</v>
      </c>
      <c r="G370" s="205">
        <f t="shared" si="236"/>
        <v>3775</v>
      </c>
      <c r="H370" s="205">
        <f t="shared" si="236"/>
        <v>4242</v>
      </c>
      <c r="I370" s="205">
        <f t="shared" si="236"/>
        <v>1442</v>
      </c>
      <c r="J370" s="205">
        <f t="shared" ref="J370:AN370" si="237">SUM(J368:J369)</f>
        <v>2753</v>
      </c>
      <c r="K370" s="205">
        <f t="shared" si="237"/>
        <v>3300</v>
      </c>
      <c r="L370" s="205">
        <f t="shared" si="237"/>
        <v>1146</v>
      </c>
      <c r="M370" s="205">
        <f t="shared" si="237"/>
        <v>3263</v>
      </c>
      <c r="N370" s="205">
        <f t="shared" si="237"/>
        <v>3021</v>
      </c>
      <c r="O370" s="205">
        <f t="shared" si="237"/>
        <v>946</v>
      </c>
      <c r="P370" s="205">
        <f t="shared" si="237"/>
        <v>1118</v>
      </c>
      <c r="Q370" s="205">
        <f t="shared" si="237"/>
        <v>1117</v>
      </c>
      <c r="R370" s="205">
        <f t="shared" si="237"/>
        <v>2015</v>
      </c>
      <c r="S370" s="205">
        <f t="shared" si="237"/>
        <v>1868</v>
      </c>
      <c r="T370" s="205">
        <f t="shared" si="237"/>
        <v>1064</v>
      </c>
      <c r="U370" s="205">
        <f t="shared" si="237"/>
        <v>1034</v>
      </c>
      <c r="V370" s="205">
        <f t="shared" si="237"/>
        <v>2787</v>
      </c>
      <c r="W370" s="205">
        <f t="shared" si="237"/>
        <v>1143</v>
      </c>
      <c r="X370" s="205">
        <f t="shared" si="237"/>
        <v>1201</v>
      </c>
      <c r="Y370" s="205">
        <f t="shared" si="237"/>
        <v>3838</v>
      </c>
      <c r="Z370" s="205">
        <f t="shared" si="237"/>
        <v>4890</v>
      </c>
      <c r="AA370" s="205">
        <f t="shared" si="237"/>
        <v>905</v>
      </c>
      <c r="AB370" s="205">
        <f t="shared" si="237"/>
        <v>1160</v>
      </c>
      <c r="AC370" s="205">
        <f t="shared" si="237"/>
        <v>1189</v>
      </c>
      <c r="AD370" s="205">
        <f t="shared" si="237"/>
        <v>2382</v>
      </c>
      <c r="AE370" s="205">
        <f t="shared" si="237"/>
        <v>2213</v>
      </c>
      <c r="AF370" s="205">
        <f t="shared" si="237"/>
        <v>1187</v>
      </c>
      <c r="AG370" s="205">
        <f t="shared" si="237"/>
        <v>1168</v>
      </c>
      <c r="AH370" s="205">
        <f t="shared" si="237"/>
        <v>3463</v>
      </c>
      <c r="AI370" s="205">
        <f t="shared" si="237"/>
        <v>1342</v>
      </c>
      <c r="AJ370" s="205">
        <f t="shared" si="237"/>
        <v>1428</v>
      </c>
      <c r="AK370" s="205">
        <f t="shared" si="237"/>
        <v>4869</v>
      </c>
      <c r="AL370" s="205">
        <f t="shared" si="237"/>
        <v>6249</v>
      </c>
      <c r="AM370" s="205">
        <f t="shared" si="237"/>
        <v>1075</v>
      </c>
      <c r="AN370" s="205">
        <f t="shared" si="237"/>
        <v>1412</v>
      </c>
    </row>
    <row r="371" spans="2:40" ht="12" customHeight="1" outlineLevel="1">
      <c r="B371" s="239"/>
      <c r="C371" s="214"/>
      <c r="D371" s="214"/>
      <c r="E371" s="211"/>
      <c r="F371" s="211"/>
      <c r="G371" s="211"/>
      <c r="H371" s="211"/>
      <c r="I371" s="211"/>
      <c r="J371" s="211"/>
      <c r="K371" s="211"/>
      <c r="L371" s="211"/>
      <c r="M371" s="211"/>
      <c r="N371" s="211"/>
      <c r="O371" s="211"/>
      <c r="P371" s="211"/>
      <c r="Q371" s="211"/>
      <c r="R371" s="211"/>
      <c r="S371" s="211"/>
      <c r="T371" s="211"/>
      <c r="U371" s="211"/>
      <c r="V371" s="211"/>
      <c r="W371" s="211"/>
      <c r="X371" s="211"/>
      <c r="Y371" s="211"/>
      <c r="Z371" s="211"/>
      <c r="AA371" s="211"/>
      <c r="AB371" s="211"/>
      <c r="AC371" s="211"/>
      <c r="AD371" s="211"/>
      <c r="AE371" s="211"/>
      <c r="AF371" s="211"/>
      <c r="AG371" s="211"/>
      <c r="AH371" s="211"/>
      <c r="AI371" s="211"/>
      <c r="AJ371" s="211"/>
      <c r="AK371" s="211"/>
      <c r="AL371" s="211"/>
      <c r="AM371" s="211"/>
      <c r="AN371" s="211"/>
    </row>
    <row r="372" spans="2:40" ht="12" hidden="1" customHeight="1" outlineLevel="2">
      <c r="B372" s="239"/>
      <c r="C372" s="243" t="s">
        <v>849</v>
      </c>
      <c r="D372" s="214"/>
      <c r="O372" s="212"/>
      <c r="P372" s="212"/>
      <c r="Q372" s="212"/>
      <c r="R372" s="212"/>
      <c r="S372" s="212"/>
      <c r="T372" s="212"/>
      <c r="U372" s="212"/>
      <c r="V372" s="212"/>
      <c r="W372" s="212"/>
      <c r="X372" s="212"/>
      <c r="Y372" s="212"/>
      <c r="Z372" s="212"/>
      <c r="AA372" s="212"/>
      <c r="AB372" s="212"/>
      <c r="AC372" s="212"/>
      <c r="AD372" s="212"/>
      <c r="AE372" s="212"/>
      <c r="AF372" s="212"/>
      <c r="AG372" s="212"/>
      <c r="AH372" s="212"/>
      <c r="AI372" s="212"/>
      <c r="AJ372" s="212"/>
      <c r="AK372" s="212"/>
      <c r="AL372" s="212"/>
      <c r="AM372" s="212"/>
      <c r="AN372" s="212"/>
    </row>
    <row r="373" spans="2:40" ht="12" hidden="1" customHeight="1" outlineLevel="2">
      <c r="B373" s="239"/>
      <c r="C373" s="214" t="s">
        <v>850</v>
      </c>
      <c r="D373" s="214"/>
      <c r="E373" s="196" t="s">
        <v>753</v>
      </c>
      <c r="F373" s="196" t="s">
        <v>754</v>
      </c>
      <c r="G373" s="196" t="s">
        <v>755</v>
      </c>
      <c r="H373" s="196" t="s">
        <v>756</v>
      </c>
      <c r="I373" s="196" t="s">
        <v>757</v>
      </c>
      <c r="J373" s="196" t="s">
        <v>758</v>
      </c>
      <c r="K373" s="196" t="s">
        <v>759</v>
      </c>
      <c r="L373" s="196" t="s">
        <v>760</v>
      </c>
      <c r="M373" s="196" t="s">
        <v>761</v>
      </c>
      <c r="N373" s="196" t="s">
        <v>762</v>
      </c>
      <c r="O373" s="196" t="s">
        <v>763</v>
      </c>
      <c r="P373" s="196" t="s">
        <v>764</v>
      </c>
      <c r="Q373" s="196" t="s">
        <v>765</v>
      </c>
      <c r="R373" s="196" t="s">
        <v>766</v>
      </c>
      <c r="S373" s="196" t="s">
        <v>767</v>
      </c>
      <c r="T373" s="196" t="s">
        <v>768</v>
      </c>
      <c r="U373" s="196" t="s">
        <v>769</v>
      </c>
      <c r="V373" s="196" t="s">
        <v>770</v>
      </c>
      <c r="W373" s="196" t="s">
        <v>771</v>
      </c>
      <c r="X373" s="196" t="s">
        <v>772</v>
      </c>
      <c r="Y373" s="196" t="s">
        <v>773</v>
      </c>
      <c r="Z373" s="196" t="s">
        <v>774</v>
      </c>
      <c r="AA373" s="196" t="s">
        <v>775</v>
      </c>
      <c r="AB373" s="196" t="s">
        <v>776</v>
      </c>
      <c r="AC373" s="196" t="s">
        <v>777</v>
      </c>
      <c r="AD373" s="196" t="s">
        <v>778</v>
      </c>
      <c r="AE373" s="196" t="s">
        <v>779</v>
      </c>
      <c r="AF373" s="196" t="s">
        <v>780</v>
      </c>
      <c r="AG373" s="196" t="s">
        <v>781</v>
      </c>
      <c r="AH373" s="196" t="s">
        <v>782</v>
      </c>
      <c r="AI373" s="196" t="s">
        <v>783</v>
      </c>
      <c r="AJ373" s="196" t="s">
        <v>784</v>
      </c>
      <c r="AK373" s="196" t="s">
        <v>785</v>
      </c>
      <c r="AL373" s="196" t="s">
        <v>786</v>
      </c>
      <c r="AM373" s="196" t="s">
        <v>787</v>
      </c>
      <c r="AN373" s="196" t="s">
        <v>788</v>
      </c>
    </row>
    <row r="374" spans="2:40" ht="12" hidden="1" customHeight="1" outlineLevel="2">
      <c r="B374" s="239"/>
      <c r="C374" s="246" t="s">
        <v>851</v>
      </c>
      <c r="D374" s="214"/>
      <c r="E374" s="193">
        <v>0</v>
      </c>
      <c r="F374" s="193">
        <v>0</v>
      </c>
      <c r="G374" s="193">
        <v>0</v>
      </c>
      <c r="H374" s="193">
        <v>0</v>
      </c>
      <c r="I374" s="193">
        <v>0</v>
      </c>
      <c r="J374" s="193">
        <v>0</v>
      </c>
      <c r="K374" s="193">
        <v>0</v>
      </c>
      <c r="L374" s="193">
        <v>0</v>
      </c>
      <c r="M374" s="193">
        <v>0</v>
      </c>
      <c r="N374" s="193">
        <v>0</v>
      </c>
      <c r="O374" s="193">
        <v>0</v>
      </c>
      <c r="P374" s="193">
        <v>0</v>
      </c>
      <c r="Q374" s="193">
        <v>0</v>
      </c>
      <c r="R374" s="193">
        <v>0</v>
      </c>
      <c r="S374" s="193">
        <v>0</v>
      </c>
      <c r="T374" s="193">
        <v>0</v>
      </c>
      <c r="U374" s="193">
        <v>0</v>
      </c>
      <c r="V374" s="193">
        <v>0</v>
      </c>
      <c r="W374" s="193">
        <v>0</v>
      </c>
      <c r="X374" s="193">
        <v>0</v>
      </c>
      <c r="Y374" s="193">
        <v>0</v>
      </c>
      <c r="Z374" s="193">
        <v>0</v>
      </c>
      <c r="AA374" s="193">
        <v>0</v>
      </c>
      <c r="AB374" s="193">
        <v>0</v>
      </c>
      <c r="AC374" s="193">
        <v>0</v>
      </c>
      <c r="AD374" s="193">
        <v>0</v>
      </c>
      <c r="AE374" s="193">
        <v>0</v>
      </c>
      <c r="AF374" s="193">
        <v>0</v>
      </c>
      <c r="AG374" s="193">
        <v>0</v>
      </c>
      <c r="AH374" s="193">
        <v>0</v>
      </c>
      <c r="AI374" s="193">
        <v>0</v>
      </c>
      <c r="AJ374" s="193">
        <f t="shared" ref="AJ374:AN374" si="238">AI374</f>
        <v>0</v>
      </c>
      <c r="AK374" s="193">
        <f t="shared" si="238"/>
        <v>0</v>
      </c>
      <c r="AL374" s="193">
        <f t="shared" si="238"/>
        <v>0</v>
      </c>
      <c r="AM374" s="193">
        <f t="shared" si="238"/>
        <v>0</v>
      </c>
      <c r="AN374" s="193">
        <f t="shared" si="238"/>
        <v>0</v>
      </c>
    </row>
    <row r="375" spans="2:40" ht="12" hidden="1" customHeight="1" outlineLevel="2">
      <c r="B375" s="239"/>
      <c r="C375" s="213" t="s">
        <v>861</v>
      </c>
      <c r="D375" s="214"/>
      <c r="E375" s="211">
        <v>418</v>
      </c>
      <c r="F375" s="211">
        <v>520</v>
      </c>
      <c r="G375" s="211">
        <v>1498</v>
      </c>
      <c r="H375" s="211">
        <v>3097</v>
      </c>
      <c r="I375" s="211">
        <v>303</v>
      </c>
      <c r="J375" s="211">
        <f t="shared" ref="J375:AN375" si="239">I375*90%</f>
        <v>272.7</v>
      </c>
      <c r="K375" s="211">
        <f t="shared" si="239"/>
        <v>245.43</v>
      </c>
      <c r="L375" s="211">
        <f t="shared" si="239"/>
        <v>220.887</v>
      </c>
      <c r="M375" s="211">
        <f t="shared" si="239"/>
        <v>198.79830000000001</v>
      </c>
      <c r="N375" s="211">
        <f t="shared" si="239"/>
        <v>178.91847000000001</v>
      </c>
      <c r="O375" s="211">
        <f t="shared" si="239"/>
        <v>161.02662300000003</v>
      </c>
      <c r="P375" s="211">
        <f t="shared" si="239"/>
        <v>144.92396070000004</v>
      </c>
      <c r="Q375" s="211">
        <f t="shared" si="239"/>
        <v>130.43156463000003</v>
      </c>
      <c r="R375" s="211">
        <f t="shared" si="239"/>
        <v>117.38840816700002</v>
      </c>
      <c r="S375" s="211">
        <f t="shared" si="239"/>
        <v>105.64956735030002</v>
      </c>
      <c r="T375" s="211">
        <f t="shared" si="239"/>
        <v>95.084610615270023</v>
      </c>
      <c r="U375" s="211">
        <f t="shared" si="239"/>
        <v>85.576149553743022</v>
      </c>
      <c r="V375" s="211">
        <f t="shared" si="239"/>
        <v>77.018534598368717</v>
      </c>
      <c r="W375" s="211">
        <f t="shared" si="239"/>
        <v>69.316681138531848</v>
      </c>
      <c r="X375" s="211">
        <f t="shared" si="239"/>
        <v>62.385013024678663</v>
      </c>
      <c r="Y375" s="211">
        <f t="shared" si="239"/>
        <v>56.146511722210796</v>
      </c>
      <c r="Z375" s="211">
        <f t="shared" si="239"/>
        <v>50.531860549989716</v>
      </c>
      <c r="AA375" s="211">
        <f t="shared" si="239"/>
        <v>45.478674494990749</v>
      </c>
      <c r="AB375" s="211">
        <f t="shared" si="239"/>
        <v>40.930807045491676</v>
      </c>
      <c r="AC375" s="211">
        <f t="shared" si="239"/>
        <v>36.83772634094251</v>
      </c>
      <c r="AD375" s="211">
        <f t="shared" si="239"/>
        <v>33.153953706848263</v>
      </c>
      <c r="AE375" s="211">
        <f t="shared" si="239"/>
        <v>29.838558336163437</v>
      </c>
      <c r="AF375" s="211">
        <f t="shared" si="239"/>
        <v>26.854702502547095</v>
      </c>
      <c r="AG375" s="211">
        <f t="shared" si="239"/>
        <v>24.169232252292385</v>
      </c>
      <c r="AH375" s="211">
        <f t="shared" si="239"/>
        <v>21.752309027063149</v>
      </c>
      <c r="AI375" s="211">
        <f t="shared" si="239"/>
        <v>19.577078124356834</v>
      </c>
      <c r="AJ375" s="211">
        <f t="shared" si="239"/>
        <v>17.619370311921152</v>
      </c>
      <c r="AK375" s="211">
        <f t="shared" si="239"/>
        <v>15.857433280729037</v>
      </c>
      <c r="AL375" s="211">
        <f t="shared" si="239"/>
        <v>14.271689952656134</v>
      </c>
      <c r="AM375" s="211">
        <f t="shared" si="239"/>
        <v>12.84452095739052</v>
      </c>
      <c r="AN375" s="211">
        <f t="shared" si="239"/>
        <v>11.560068861651468</v>
      </c>
    </row>
    <row r="376" spans="2:40" ht="12" hidden="1" customHeight="1" outlineLevel="2">
      <c r="B376" s="245"/>
      <c r="C376" s="213" t="s">
        <v>753</v>
      </c>
      <c r="D376" s="213"/>
      <c r="E376" s="211">
        <f>INDEX($C$348:$AN$370,MATCH("New Customers One-Time",$C$348:$C$370,0),MATCH($C376,$C$348:$AN$348,0))</f>
        <v>574</v>
      </c>
      <c r="F376" s="211">
        <f t="shared" ref="F376:AN376" si="240">$E376*(E374)</f>
        <v>0</v>
      </c>
      <c r="G376" s="211">
        <f t="shared" si="240"/>
        <v>0</v>
      </c>
      <c r="H376" s="211">
        <f t="shared" si="240"/>
        <v>0</v>
      </c>
      <c r="I376" s="211">
        <f t="shared" si="240"/>
        <v>0</v>
      </c>
      <c r="J376" s="211">
        <f t="shared" si="240"/>
        <v>0</v>
      </c>
      <c r="K376" s="211">
        <f t="shared" si="240"/>
        <v>0</v>
      </c>
      <c r="L376" s="211">
        <f t="shared" si="240"/>
        <v>0</v>
      </c>
      <c r="M376" s="211">
        <f t="shared" si="240"/>
        <v>0</v>
      </c>
      <c r="N376" s="211">
        <f t="shared" si="240"/>
        <v>0</v>
      </c>
      <c r="O376" s="211">
        <f t="shared" si="240"/>
        <v>0</v>
      </c>
      <c r="P376" s="211">
        <f t="shared" si="240"/>
        <v>0</v>
      </c>
      <c r="Q376" s="211">
        <f t="shared" si="240"/>
        <v>0</v>
      </c>
      <c r="R376" s="211">
        <f t="shared" si="240"/>
        <v>0</v>
      </c>
      <c r="S376" s="211">
        <f t="shared" si="240"/>
        <v>0</v>
      </c>
      <c r="T376" s="211">
        <f t="shared" si="240"/>
        <v>0</v>
      </c>
      <c r="U376" s="211">
        <f t="shared" si="240"/>
        <v>0</v>
      </c>
      <c r="V376" s="211">
        <f t="shared" si="240"/>
        <v>0</v>
      </c>
      <c r="W376" s="211">
        <f t="shared" si="240"/>
        <v>0</v>
      </c>
      <c r="X376" s="211">
        <f t="shared" si="240"/>
        <v>0</v>
      </c>
      <c r="Y376" s="211">
        <f t="shared" si="240"/>
        <v>0</v>
      </c>
      <c r="Z376" s="211">
        <f t="shared" si="240"/>
        <v>0</v>
      </c>
      <c r="AA376" s="211">
        <f t="shared" si="240"/>
        <v>0</v>
      </c>
      <c r="AB376" s="211">
        <f t="shared" si="240"/>
        <v>0</v>
      </c>
      <c r="AC376" s="211">
        <f t="shared" si="240"/>
        <v>0</v>
      </c>
      <c r="AD376" s="211">
        <f t="shared" si="240"/>
        <v>0</v>
      </c>
      <c r="AE376" s="211">
        <f t="shared" si="240"/>
        <v>0</v>
      </c>
      <c r="AF376" s="211">
        <f t="shared" si="240"/>
        <v>0</v>
      </c>
      <c r="AG376" s="211">
        <f t="shared" si="240"/>
        <v>0</v>
      </c>
      <c r="AH376" s="211">
        <f t="shared" si="240"/>
        <v>0</v>
      </c>
      <c r="AI376" s="211">
        <f t="shared" si="240"/>
        <v>0</v>
      </c>
      <c r="AJ376" s="211">
        <f t="shared" si="240"/>
        <v>0</v>
      </c>
      <c r="AK376" s="211">
        <f t="shared" si="240"/>
        <v>0</v>
      </c>
      <c r="AL376" s="211">
        <f t="shared" si="240"/>
        <v>0</v>
      </c>
      <c r="AM376" s="211">
        <f t="shared" si="240"/>
        <v>0</v>
      </c>
      <c r="AN376" s="211">
        <f t="shared" si="240"/>
        <v>0</v>
      </c>
    </row>
    <row r="377" spans="2:40" ht="12" hidden="1" customHeight="1" outlineLevel="2">
      <c r="B377" s="245"/>
      <c r="C377" s="213" t="s">
        <v>754</v>
      </c>
      <c r="D377" s="213"/>
      <c r="E377" s="213"/>
      <c r="F377" s="211">
        <f>INDEX($C$348:$AN$370,MATCH("New Customers One-Time",$C$348:$C$370,0),MATCH($C377,$C$348:$AN$348,0))</f>
        <v>1694</v>
      </c>
      <c r="G377" s="211">
        <f t="shared" ref="G377:AN377" si="241">$F377*(E374)</f>
        <v>0</v>
      </c>
      <c r="H377" s="211">
        <f t="shared" si="241"/>
        <v>0</v>
      </c>
      <c r="I377" s="211">
        <f t="shared" si="241"/>
        <v>0</v>
      </c>
      <c r="J377" s="211">
        <f t="shared" si="241"/>
        <v>0</v>
      </c>
      <c r="K377" s="211">
        <f t="shared" si="241"/>
        <v>0</v>
      </c>
      <c r="L377" s="211">
        <f t="shared" si="241"/>
        <v>0</v>
      </c>
      <c r="M377" s="211">
        <f t="shared" si="241"/>
        <v>0</v>
      </c>
      <c r="N377" s="211">
        <f t="shared" si="241"/>
        <v>0</v>
      </c>
      <c r="O377" s="211">
        <f t="shared" si="241"/>
        <v>0</v>
      </c>
      <c r="P377" s="211">
        <f t="shared" si="241"/>
        <v>0</v>
      </c>
      <c r="Q377" s="211">
        <f t="shared" si="241"/>
        <v>0</v>
      </c>
      <c r="R377" s="211">
        <f t="shared" si="241"/>
        <v>0</v>
      </c>
      <c r="S377" s="211">
        <f t="shared" si="241"/>
        <v>0</v>
      </c>
      <c r="T377" s="211">
        <f t="shared" si="241"/>
        <v>0</v>
      </c>
      <c r="U377" s="211">
        <f t="shared" si="241"/>
        <v>0</v>
      </c>
      <c r="V377" s="211">
        <f t="shared" si="241"/>
        <v>0</v>
      </c>
      <c r="W377" s="211">
        <f t="shared" si="241"/>
        <v>0</v>
      </c>
      <c r="X377" s="211">
        <f t="shared" si="241"/>
        <v>0</v>
      </c>
      <c r="Y377" s="211">
        <f t="shared" si="241"/>
        <v>0</v>
      </c>
      <c r="Z377" s="211">
        <f t="shared" si="241"/>
        <v>0</v>
      </c>
      <c r="AA377" s="211">
        <f t="shared" si="241"/>
        <v>0</v>
      </c>
      <c r="AB377" s="211">
        <f t="shared" si="241"/>
        <v>0</v>
      </c>
      <c r="AC377" s="211">
        <f t="shared" si="241"/>
        <v>0</v>
      </c>
      <c r="AD377" s="211">
        <f t="shared" si="241"/>
        <v>0</v>
      </c>
      <c r="AE377" s="211">
        <f t="shared" si="241"/>
        <v>0</v>
      </c>
      <c r="AF377" s="211">
        <f t="shared" si="241"/>
        <v>0</v>
      </c>
      <c r="AG377" s="211">
        <f t="shared" si="241"/>
        <v>0</v>
      </c>
      <c r="AH377" s="211">
        <f t="shared" si="241"/>
        <v>0</v>
      </c>
      <c r="AI377" s="211">
        <f t="shared" si="241"/>
        <v>0</v>
      </c>
      <c r="AJ377" s="211">
        <f t="shared" si="241"/>
        <v>0</v>
      </c>
      <c r="AK377" s="211">
        <f t="shared" si="241"/>
        <v>0</v>
      </c>
      <c r="AL377" s="211">
        <f t="shared" si="241"/>
        <v>0</v>
      </c>
      <c r="AM377" s="211">
        <f t="shared" si="241"/>
        <v>0</v>
      </c>
      <c r="AN377" s="211">
        <f t="shared" si="241"/>
        <v>0</v>
      </c>
    </row>
    <row r="378" spans="2:40" ht="12" hidden="1" customHeight="1" outlineLevel="2">
      <c r="B378" s="245"/>
      <c r="C378" s="213" t="s">
        <v>755</v>
      </c>
      <c r="D378" s="213"/>
      <c r="E378" s="213"/>
      <c r="G378" s="211">
        <f>INDEX($C$348:$AN$370,MATCH("New Customers One-Time",$C$348:$C$370,0),MATCH($C378,$C$348:$AN$348,0))</f>
        <v>1771</v>
      </c>
      <c r="H378" s="211">
        <f t="shared" ref="H378:AN378" si="242">$G378*(E374)</f>
        <v>0</v>
      </c>
      <c r="I378" s="211">
        <f t="shared" si="242"/>
        <v>0</v>
      </c>
      <c r="J378" s="211">
        <f t="shared" si="242"/>
        <v>0</v>
      </c>
      <c r="K378" s="211">
        <f t="shared" si="242"/>
        <v>0</v>
      </c>
      <c r="L378" s="211">
        <f t="shared" si="242"/>
        <v>0</v>
      </c>
      <c r="M378" s="211">
        <f t="shared" si="242"/>
        <v>0</v>
      </c>
      <c r="N378" s="211">
        <f t="shared" si="242"/>
        <v>0</v>
      </c>
      <c r="O378" s="211">
        <f t="shared" si="242"/>
        <v>0</v>
      </c>
      <c r="P378" s="211">
        <f t="shared" si="242"/>
        <v>0</v>
      </c>
      <c r="Q378" s="211">
        <f t="shared" si="242"/>
        <v>0</v>
      </c>
      <c r="R378" s="211">
        <f t="shared" si="242"/>
        <v>0</v>
      </c>
      <c r="S378" s="211">
        <f t="shared" si="242"/>
        <v>0</v>
      </c>
      <c r="T378" s="211">
        <f t="shared" si="242"/>
        <v>0</v>
      </c>
      <c r="U378" s="211">
        <f t="shared" si="242"/>
        <v>0</v>
      </c>
      <c r="V378" s="211">
        <f t="shared" si="242"/>
        <v>0</v>
      </c>
      <c r="W378" s="211">
        <f t="shared" si="242"/>
        <v>0</v>
      </c>
      <c r="X378" s="211">
        <f t="shared" si="242"/>
        <v>0</v>
      </c>
      <c r="Y378" s="211">
        <f t="shared" si="242"/>
        <v>0</v>
      </c>
      <c r="Z378" s="211">
        <f t="shared" si="242"/>
        <v>0</v>
      </c>
      <c r="AA378" s="211">
        <f t="shared" si="242"/>
        <v>0</v>
      </c>
      <c r="AB378" s="211">
        <f t="shared" si="242"/>
        <v>0</v>
      </c>
      <c r="AC378" s="211">
        <f t="shared" si="242"/>
        <v>0</v>
      </c>
      <c r="AD378" s="211">
        <f t="shared" si="242"/>
        <v>0</v>
      </c>
      <c r="AE378" s="211">
        <f t="shared" si="242"/>
        <v>0</v>
      </c>
      <c r="AF378" s="211">
        <f t="shared" si="242"/>
        <v>0</v>
      </c>
      <c r="AG378" s="211">
        <f t="shared" si="242"/>
        <v>0</v>
      </c>
      <c r="AH378" s="211">
        <f t="shared" si="242"/>
        <v>0</v>
      </c>
      <c r="AI378" s="211">
        <f t="shared" si="242"/>
        <v>0</v>
      </c>
      <c r="AJ378" s="211">
        <f t="shared" si="242"/>
        <v>0</v>
      </c>
      <c r="AK378" s="211">
        <f t="shared" si="242"/>
        <v>0</v>
      </c>
      <c r="AL378" s="211">
        <f t="shared" si="242"/>
        <v>0</v>
      </c>
      <c r="AM378" s="211">
        <f t="shared" si="242"/>
        <v>0</v>
      </c>
      <c r="AN378" s="211">
        <f t="shared" si="242"/>
        <v>0</v>
      </c>
    </row>
    <row r="379" spans="2:40" ht="12" hidden="1" customHeight="1" outlineLevel="2">
      <c r="B379" s="245"/>
      <c r="C379" s="213" t="s">
        <v>756</v>
      </c>
      <c r="D379" s="213"/>
      <c r="E379" s="213"/>
      <c r="F379" s="213"/>
      <c r="G379" s="213"/>
      <c r="H379" s="211">
        <f>INDEX($C$348:$AN$370,MATCH("New Customers One-Time",$C$348:$C$370,0),MATCH($C379,$C$348:$AN$348,0))</f>
        <v>755</v>
      </c>
      <c r="I379" s="211">
        <f t="shared" ref="I379:AN379" si="243">$H379*(E374)</f>
        <v>0</v>
      </c>
      <c r="J379" s="211">
        <f t="shared" si="243"/>
        <v>0</v>
      </c>
      <c r="K379" s="211">
        <f t="shared" si="243"/>
        <v>0</v>
      </c>
      <c r="L379" s="211">
        <f t="shared" si="243"/>
        <v>0</v>
      </c>
      <c r="M379" s="211">
        <f t="shared" si="243"/>
        <v>0</v>
      </c>
      <c r="N379" s="211">
        <f t="shared" si="243"/>
        <v>0</v>
      </c>
      <c r="O379" s="211">
        <f t="shared" si="243"/>
        <v>0</v>
      </c>
      <c r="P379" s="211">
        <f t="shared" si="243"/>
        <v>0</v>
      </c>
      <c r="Q379" s="211">
        <f t="shared" si="243"/>
        <v>0</v>
      </c>
      <c r="R379" s="211">
        <f t="shared" si="243"/>
        <v>0</v>
      </c>
      <c r="S379" s="211">
        <f t="shared" si="243"/>
        <v>0</v>
      </c>
      <c r="T379" s="211">
        <f t="shared" si="243"/>
        <v>0</v>
      </c>
      <c r="U379" s="211">
        <f t="shared" si="243"/>
        <v>0</v>
      </c>
      <c r="V379" s="211">
        <f t="shared" si="243"/>
        <v>0</v>
      </c>
      <c r="W379" s="211">
        <f t="shared" si="243"/>
        <v>0</v>
      </c>
      <c r="X379" s="211">
        <f t="shared" si="243"/>
        <v>0</v>
      </c>
      <c r="Y379" s="211">
        <f t="shared" si="243"/>
        <v>0</v>
      </c>
      <c r="Z379" s="211">
        <f t="shared" si="243"/>
        <v>0</v>
      </c>
      <c r="AA379" s="211">
        <f t="shared" si="243"/>
        <v>0</v>
      </c>
      <c r="AB379" s="211">
        <f t="shared" si="243"/>
        <v>0</v>
      </c>
      <c r="AC379" s="211">
        <f t="shared" si="243"/>
        <v>0</v>
      </c>
      <c r="AD379" s="211">
        <f t="shared" si="243"/>
        <v>0</v>
      </c>
      <c r="AE379" s="211">
        <f t="shared" si="243"/>
        <v>0</v>
      </c>
      <c r="AF379" s="211">
        <f t="shared" si="243"/>
        <v>0</v>
      </c>
      <c r="AG379" s="211">
        <f t="shared" si="243"/>
        <v>0</v>
      </c>
      <c r="AH379" s="211">
        <f t="shared" si="243"/>
        <v>0</v>
      </c>
      <c r="AI379" s="211">
        <f t="shared" si="243"/>
        <v>0</v>
      </c>
      <c r="AJ379" s="211">
        <f t="shared" si="243"/>
        <v>0</v>
      </c>
      <c r="AK379" s="211">
        <f t="shared" si="243"/>
        <v>0</v>
      </c>
      <c r="AL379" s="211">
        <f t="shared" si="243"/>
        <v>0</v>
      </c>
      <c r="AM379" s="211">
        <f t="shared" si="243"/>
        <v>0</v>
      </c>
      <c r="AN379" s="211">
        <f t="shared" si="243"/>
        <v>0</v>
      </c>
    </row>
    <row r="380" spans="2:40" ht="12" hidden="1" customHeight="1" outlineLevel="2">
      <c r="B380" s="245"/>
      <c r="C380" s="213" t="s">
        <v>757</v>
      </c>
      <c r="D380" s="213"/>
      <c r="E380" s="213"/>
      <c r="F380" s="213"/>
      <c r="G380" s="213"/>
      <c r="H380" s="213"/>
      <c r="I380" s="211">
        <f>INDEX($C$348:$AN$370,MATCH("New Customers One-Time",$C$348:$C$370,0),MATCH($C380,$C$348:$AN$348,0))</f>
        <v>809</v>
      </c>
      <c r="J380" s="211">
        <f t="shared" ref="J380:AN380" si="244">$I380*(E374)</f>
        <v>0</v>
      </c>
      <c r="K380" s="211">
        <f t="shared" si="244"/>
        <v>0</v>
      </c>
      <c r="L380" s="211">
        <f t="shared" si="244"/>
        <v>0</v>
      </c>
      <c r="M380" s="211">
        <f t="shared" si="244"/>
        <v>0</v>
      </c>
      <c r="N380" s="211">
        <f t="shared" si="244"/>
        <v>0</v>
      </c>
      <c r="O380" s="211">
        <f t="shared" si="244"/>
        <v>0</v>
      </c>
      <c r="P380" s="211">
        <f t="shared" si="244"/>
        <v>0</v>
      </c>
      <c r="Q380" s="211">
        <f t="shared" si="244"/>
        <v>0</v>
      </c>
      <c r="R380" s="211">
        <f t="shared" si="244"/>
        <v>0</v>
      </c>
      <c r="S380" s="211">
        <f t="shared" si="244"/>
        <v>0</v>
      </c>
      <c r="T380" s="211">
        <f t="shared" si="244"/>
        <v>0</v>
      </c>
      <c r="U380" s="211">
        <f t="shared" si="244"/>
        <v>0</v>
      </c>
      <c r="V380" s="211">
        <f t="shared" si="244"/>
        <v>0</v>
      </c>
      <c r="W380" s="211">
        <f t="shared" si="244"/>
        <v>0</v>
      </c>
      <c r="X380" s="211">
        <f t="shared" si="244"/>
        <v>0</v>
      </c>
      <c r="Y380" s="211">
        <f t="shared" si="244"/>
        <v>0</v>
      </c>
      <c r="Z380" s="211">
        <f t="shared" si="244"/>
        <v>0</v>
      </c>
      <c r="AA380" s="211">
        <f t="shared" si="244"/>
        <v>0</v>
      </c>
      <c r="AB380" s="211">
        <f t="shared" si="244"/>
        <v>0</v>
      </c>
      <c r="AC380" s="211">
        <f t="shared" si="244"/>
        <v>0</v>
      </c>
      <c r="AD380" s="211">
        <f t="shared" si="244"/>
        <v>0</v>
      </c>
      <c r="AE380" s="211">
        <f t="shared" si="244"/>
        <v>0</v>
      </c>
      <c r="AF380" s="211">
        <f t="shared" si="244"/>
        <v>0</v>
      </c>
      <c r="AG380" s="211">
        <f t="shared" si="244"/>
        <v>0</v>
      </c>
      <c r="AH380" s="211">
        <f t="shared" si="244"/>
        <v>0</v>
      </c>
      <c r="AI380" s="211">
        <f t="shared" si="244"/>
        <v>0</v>
      </c>
      <c r="AJ380" s="211">
        <f t="shared" si="244"/>
        <v>0</v>
      </c>
      <c r="AK380" s="211">
        <f t="shared" si="244"/>
        <v>0</v>
      </c>
      <c r="AL380" s="211">
        <f t="shared" si="244"/>
        <v>0</v>
      </c>
      <c r="AM380" s="211">
        <f t="shared" si="244"/>
        <v>0</v>
      </c>
      <c r="AN380" s="211">
        <f t="shared" si="244"/>
        <v>0</v>
      </c>
    </row>
    <row r="381" spans="2:40" ht="12" hidden="1" customHeight="1" outlineLevel="2">
      <c r="B381" s="245"/>
      <c r="C381" s="213" t="s">
        <v>758</v>
      </c>
      <c r="D381" s="213"/>
      <c r="E381" s="213"/>
      <c r="F381" s="213"/>
      <c r="G381" s="213"/>
      <c r="H381" s="213"/>
      <c r="I381" s="213"/>
      <c r="J381" s="211">
        <f>INDEX($C$348:$AN$370,MATCH("New Customers One-Time",$C$348:$C$370,0),MATCH($C381,$C$348:$AN$348,0))</f>
        <v>2151</v>
      </c>
      <c r="K381" s="211">
        <f t="shared" ref="K381:AN381" si="245">$J381*(E374)</f>
        <v>0</v>
      </c>
      <c r="L381" s="211">
        <f t="shared" si="245"/>
        <v>0</v>
      </c>
      <c r="M381" s="211">
        <f t="shared" si="245"/>
        <v>0</v>
      </c>
      <c r="N381" s="211">
        <f t="shared" si="245"/>
        <v>0</v>
      </c>
      <c r="O381" s="211">
        <f t="shared" si="245"/>
        <v>0</v>
      </c>
      <c r="P381" s="211">
        <f t="shared" si="245"/>
        <v>0</v>
      </c>
      <c r="Q381" s="211">
        <f t="shared" si="245"/>
        <v>0</v>
      </c>
      <c r="R381" s="211">
        <f t="shared" si="245"/>
        <v>0</v>
      </c>
      <c r="S381" s="211">
        <f t="shared" si="245"/>
        <v>0</v>
      </c>
      <c r="T381" s="211">
        <f t="shared" si="245"/>
        <v>0</v>
      </c>
      <c r="U381" s="211">
        <f t="shared" si="245"/>
        <v>0</v>
      </c>
      <c r="V381" s="211">
        <f t="shared" si="245"/>
        <v>0</v>
      </c>
      <c r="W381" s="211">
        <f t="shared" si="245"/>
        <v>0</v>
      </c>
      <c r="X381" s="211">
        <f t="shared" si="245"/>
        <v>0</v>
      </c>
      <c r="Y381" s="211">
        <f t="shared" si="245"/>
        <v>0</v>
      </c>
      <c r="Z381" s="211">
        <f t="shared" si="245"/>
        <v>0</v>
      </c>
      <c r="AA381" s="211">
        <f t="shared" si="245"/>
        <v>0</v>
      </c>
      <c r="AB381" s="211">
        <f t="shared" si="245"/>
        <v>0</v>
      </c>
      <c r="AC381" s="211">
        <f t="shared" si="245"/>
        <v>0</v>
      </c>
      <c r="AD381" s="211">
        <f t="shared" si="245"/>
        <v>0</v>
      </c>
      <c r="AE381" s="211">
        <f t="shared" si="245"/>
        <v>0</v>
      </c>
      <c r="AF381" s="211">
        <f t="shared" si="245"/>
        <v>0</v>
      </c>
      <c r="AG381" s="211">
        <f t="shared" si="245"/>
        <v>0</v>
      </c>
      <c r="AH381" s="211">
        <f t="shared" si="245"/>
        <v>0</v>
      </c>
      <c r="AI381" s="211">
        <f t="shared" si="245"/>
        <v>0</v>
      </c>
      <c r="AJ381" s="211">
        <f t="shared" si="245"/>
        <v>0</v>
      </c>
      <c r="AK381" s="211">
        <f t="shared" si="245"/>
        <v>0</v>
      </c>
      <c r="AL381" s="211">
        <f t="shared" si="245"/>
        <v>0</v>
      </c>
      <c r="AM381" s="211">
        <f t="shared" si="245"/>
        <v>0</v>
      </c>
      <c r="AN381" s="211">
        <f t="shared" si="245"/>
        <v>0</v>
      </c>
    </row>
    <row r="382" spans="2:40" ht="12" hidden="1" customHeight="1" outlineLevel="2">
      <c r="B382" s="245"/>
      <c r="C382" s="213" t="s">
        <v>759</v>
      </c>
      <c r="D382" s="213"/>
      <c r="E382" s="213"/>
      <c r="F382" s="213"/>
      <c r="G382" s="213"/>
      <c r="H382" s="213"/>
      <c r="I382" s="213"/>
      <c r="J382" s="213"/>
      <c r="K382" s="211">
        <f>INDEX($C$348:$AN$370,MATCH("New Customers One-Time",$C$348:$C$370,0),MATCH($C382,$C$348:$AN$348,0))</f>
        <v>2751</v>
      </c>
      <c r="L382" s="211">
        <f t="shared" ref="L382:AN382" si="246">$K382*(E374)</f>
        <v>0</v>
      </c>
      <c r="M382" s="211">
        <f t="shared" si="246"/>
        <v>0</v>
      </c>
      <c r="N382" s="211">
        <f t="shared" si="246"/>
        <v>0</v>
      </c>
      <c r="O382" s="211">
        <f t="shared" si="246"/>
        <v>0</v>
      </c>
      <c r="P382" s="211">
        <f t="shared" si="246"/>
        <v>0</v>
      </c>
      <c r="Q382" s="211">
        <f t="shared" si="246"/>
        <v>0</v>
      </c>
      <c r="R382" s="211">
        <f t="shared" si="246"/>
        <v>0</v>
      </c>
      <c r="S382" s="211">
        <f t="shared" si="246"/>
        <v>0</v>
      </c>
      <c r="T382" s="211">
        <f t="shared" si="246"/>
        <v>0</v>
      </c>
      <c r="U382" s="211">
        <f t="shared" si="246"/>
        <v>0</v>
      </c>
      <c r="V382" s="211">
        <f t="shared" si="246"/>
        <v>0</v>
      </c>
      <c r="W382" s="211">
        <f t="shared" si="246"/>
        <v>0</v>
      </c>
      <c r="X382" s="211">
        <f t="shared" si="246"/>
        <v>0</v>
      </c>
      <c r="Y382" s="211">
        <f t="shared" si="246"/>
        <v>0</v>
      </c>
      <c r="Z382" s="211">
        <f t="shared" si="246"/>
        <v>0</v>
      </c>
      <c r="AA382" s="211">
        <f t="shared" si="246"/>
        <v>0</v>
      </c>
      <c r="AB382" s="211">
        <f t="shared" si="246"/>
        <v>0</v>
      </c>
      <c r="AC382" s="211">
        <f t="shared" si="246"/>
        <v>0</v>
      </c>
      <c r="AD382" s="211">
        <f t="shared" si="246"/>
        <v>0</v>
      </c>
      <c r="AE382" s="211">
        <f t="shared" si="246"/>
        <v>0</v>
      </c>
      <c r="AF382" s="211">
        <f t="shared" si="246"/>
        <v>0</v>
      </c>
      <c r="AG382" s="211">
        <f t="shared" si="246"/>
        <v>0</v>
      </c>
      <c r="AH382" s="211">
        <f t="shared" si="246"/>
        <v>0</v>
      </c>
      <c r="AI382" s="211">
        <f t="shared" si="246"/>
        <v>0</v>
      </c>
      <c r="AJ382" s="211">
        <f t="shared" si="246"/>
        <v>0</v>
      </c>
      <c r="AK382" s="211">
        <f t="shared" si="246"/>
        <v>0</v>
      </c>
      <c r="AL382" s="211">
        <f t="shared" si="246"/>
        <v>0</v>
      </c>
      <c r="AM382" s="211">
        <f t="shared" si="246"/>
        <v>0</v>
      </c>
      <c r="AN382" s="211">
        <f t="shared" si="246"/>
        <v>0</v>
      </c>
    </row>
    <row r="383" spans="2:40" ht="12" hidden="1" customHeight="1" outlineLevel="2">
      <c r="B383" s="245"/>
      <c r="C383" s="213" t="s">
        <v>760</v>
      </c>
      <c r="D383" s="213"/>
      <c r="E383" s="213"/>
      <c r="F383" s="213"/>
      <c r="G383" s="213"/>
      <c r="H383" s="213"/>
      <c r="I383" s="213"/>
      <c r="J383" s="213"/>
      <c r="K383" s="213"/>
      <c r="L383" s="211">
        <f>INDEX($C$348:$AN$370,MATCH("New Customers One-Time",$C$348:$C$370,0),MATCH($C383,$C$348:$AN$348,0))</f>
        <v>661</v>
      </c>
      <c r="M383" s="211">
        <f t="shared" ref="M383:AN383" si="247">$L383*(E374)</f>
        <v>0</v>
      </c>
      <c r="N383" s="211">
        <f t="shared" si="247"/>
        <v>0</v>
      </c>
      <c r="O383" s="211">
        <f t="shared" si="247"/>
        <v>0</v>
      </c>
      <c r="P383" s="211">
        <f t="shared" si="247"/>
        <v>0</v>
      </c>
      <c r="Q383" s="211">
        <f t="shared" si="247"/>
        <v>0</v>
      </c>
      <c r="R383" s="211">
        <f t="shared" si="247"/>
        <v>0</v>
      </c>
      <c r="S383" s="211">
        <f t="shared" si="247"/>
        <v>0</v>
      </c>
      <c r="T383" s="211">
        <f t="shared" si="247"/>
        <v>0</v>
      </c>
      <c r="U383" s="211">
        <f t="shared" si="247"/>
        <v>0</v>
      </c>
      <c r="V383" s="211">
        <f t="shared" si="247"/>
        <v>0</v>
      </c>
      <c r="W383" s="211">
        <f t="shared" si="247"/>
        <v>0</v>
      </c>
      <c r="X383" s="211">
        <f t="shared" si="247"/>
        <v>0</v>
      </c>
      <c r="Y383" s="211">
        <f t="shared" si="247"/>
        <v>0</v>
      </c>
      <c r="Z383" s="211">
        <f t="shared" si="247"/>
        <v>0</v>
      </c>
      <c r="AA383" s="211">
        <f t="shared" si="247"/>
        <v>0</v>
      </c>
      <c r="AB383" s="211">
        <f t="shared" si="247"/>
        <v>0</v>
      </c>
      <c r="AC383" s="211">
        <f t="shared" si="247"/>
        <v>0</v>
      </c>
      <c r="AD383" s="211">
        <f t="shared" si="247"/>
        <v>0</v>
      </c>
      <c r="AE383" s="211">
        <f t="shared" si="247"/>
        <v>0</v>
      </c>
      <c r="AF383" s="211">
        <f t="shared" si="247"/>
        <v>0</v>
      </c>
      <c r="AG383" s="211">
        <f t="shared" si="247"/>
        <v>0</v>
      </c>
      <c r="AH383" s="211">
        <f t="shared" si="247"/>
        <v>0</v>
      </c>
      <c r="AI383" s="211">
        <f t="shared" si="247"/>
        <v>0</v>
      </c>
      <c r="AJ383" s="211">
        <f t="shared" si="247"/>
        <v>0</v>
      </c>
      <c r="AK383" s="211">
        <f t="shared" si="247"/>
        <v>0</v>
      </c>
      <c r="AL383" s="211">
        <f t="shared" si="247"/>
        <v>0</v>
      </c>
      <c r="AM383" s="211">
        <f t="shared" si="247"/>
        <v>0</v>
      </c>
      <c r="AN383" s="211">
        <f t="shared" si="247"/>
        <v>0</v>
      </c>
    </row>
    <row r="384" spans="2:40" ht="12" hidden="1" customHeight="1" outlineLevel="2">
      <c r="B384" s="245"/>
      <c r="C384" s="213" t="s">
        <v>761</v>
      </c>
      <c r="D384" s="213"/>
      <c r="E384" s="213"/>
      <c r="F384" s="213"/>
      <c r="G384" s="213"/>
      <c r="H384" s="213"/>
      <c r="I384" s="213"/>
      <c r="J384" s="213"/>
      <c r="K384" s="213"/>
      <c r="L384" s="213"/>
      <c r="M384" s="211">
        <f>INDEX($C$348:$AN$370,MATCH("New Customers One-Time",$C$348:$C$370,0),MATCH($C384,$C$348:$AN$348,0))</f>
        <v>2798.88</v>
      </c>
      <c r="N384" s="211">
        <f t="shared" ref="N384:AN384" si="248">$M384*(E374)</f>
        <v>0</v>
      </c>
      <c r="O384" s="211">
        <f t="shared" si="248"/>
        <v>0</v>
      </c>
      <c r="P384" s="211">
        <f t="shared" si="248"/>
        <v>0</v>
      </c>
      <c r="Q384" s="211">
        <f t="shared" si="248"/>
        <v>0</v>
      </c>
      <c r="R384" s="211">
        <f t="shared" si="248"/>
        <v>0</v>
      </c>
      <c r="S384" s="211">
        <f t="shared" si="248"/>
        <v>0</v>
      </c>
      <c r="T384" s="211">
        <f t="shared" si="248"/>
        <v>0</v>
      </c>
      <c r="U384" s="211">
        <f t="shared" si="248"/>
        <v>0</v>
      </c>
      <c r="V384" s="211">
        <f t="shared" si="248"/>
        <v>0</v>
      </c>
      <c r="W384" s="211">
        <f t="shared" si="248"/>
        <v>0</v>
      </c>
      <c r="X384" s="211">
        <f t="shared" si="248"/>
        <v>0</v>
      </c>
      <c r="Y384" s="211">
        <f t="shared" si="248"/>
        <v>0</v>
      </c>
      <c r="Z384" s="211">
        <f t="shared" si="248"/>
        <v>0</v>
      </c>
      <c r="AA384" s="211">
        <f t="shared" si="248"/>
        <v>0</v>
      </c>
      <c r="AB384" s="211">
        <f t="shared" si="248"/>
        <v>0</v>
      </c>
      <c r="AC384" s="211">
        <f t="shared" si="248"/>
        <v>0</v>
      </c>
      <c r="AD384" s="211">
        <f t="shared" si="248"/>
        <v>0</v>
      </c>
      <c r="AE384" s="211">
        <f t="shared" si="248"/>
        <v>0</v>
      </c>
      <c r="AF384" s="211">
        <f t="shared" si="248"/>
        <v>0</v>
      </c>
      <c r="AG384" s="211">
        <f t="shared" si="248"/>
        <v>0</v>
      </c>
      <c r="AH384" s="211">
        <f t="shared" si="248"/>
        <v>0</v>
      </c>
      <c r="AI384" s="211">
        <f t="shared" si="248"/>
        <v>0</v>
      </c>
      <c r="AJ384" s="211">
        <f t="shared" si="248"/>
        <v>0</v>
      </c>
      <c r="AK384" s="211">
        <f t="shared" si="248"/>
        <v>0</v>
      </c>
      <c r="AL384" s="211">
        <f t="shared" si="248"/>
        <v>0</v>
      </c>
      <c r="AM384" s="211">
        <f t="shared" si="248"/>
        <v>0</v>
      </c>
      <c r="AN384" s="211">
        <f t="shared" si="248"/>
        <v>0</v>
      </c>
    </row>
    <row r="385" spans="2:40" ht="12" hidden="1" customHeight="1" outlineLevel="2">
      <c r="B385" s="245"/>
      <c r="C385" s="213" t="s">
        <v>762</v>
      </c>
      <c r="D385" s="213"/>
      <c r="E385" s="213"/>
      <c r="F385" s="213"/>
      <c r="G385" s="213"/>
      <c r="H385" s="213"/>
      <c r="I385" s="213"/>
      <c r="J385" s="213"/>
      <c r="K385" s="213"/>
      <c r="L385" s="213"/>
      <c r="M385" s="213"/>
      <c r="N385" s="211">
        <f>INDEX($C$348:$AN$370,MATCH("New Customers One-Time",$C$348:$C$370,0),MATCH($C385,$C$348:$AN$348,0))</f>
        <v>2598.96</v>
      </c>
      <c r="O385" s="211">
        <f t="shared" ref="O385:AN385" si="249">$N385*(E374)</f>
        <v>0</v>
      </c>
      <c r="P385" s="211">
        <f t="shared" si="249"/>
        <v>0</v>
      </c>
      <c r="Q385" s="211">
        <f t="shared" si="249"/>
        <v>0</v>
      </c>
      <c r="R385" s="211">
        <f t="shared" si="249"/>
        <v>0</v>
      </c>
      <c r="S385" s="211">
        <f t="shared" si="249"/>
        <v>0</v>
      </c>
      <c r="T385" s="211">
        <f t="shared" si="249"/>
        <v>0</v>
      </c>
      <c r="U385" s="211">
        <f t="shared" si="249"/>
        <v>0</v>
      </c>
      <c r="V385" s="211">
        <f t="shared" si="249"/>
        <v>0</v>
      </c>
      <c r="W385" s="211">
        <f t="shared" si="249"/>
        <v>0</v>
      </c>
      <c r="X385" s="211">
        <f t="shared" si="249"/>
        <v>0</v>
      </c>
      <c r="Y385" s="211">
        <f t="shared" si="249"/>
        <v>0</v>
      </c>
      <c r="Z385" s="211">
        <f t="shared" si="249"/>
        <v>0</v>
      </c>
      <c r="AA385" s="211">
        <f t="shared" si="249"/>
        <v>0</v>
      </c>
      <c r="AB385" s="211">
        <f t="shared" si="249"/>
        <v>0</v>
      </c>
      <c r="AC385" s="211">
        <f t="shared" si="249"/>
        <v>0</v>
      </c>
      <c r="AD385" s="211">
        <f t="shared" si="249"/>
        <v>0</v>
      </c>
      <c r="AE385" s="211">
        <f t="shared" si="249"/>
        <v>0</v>
      </c>
      <c r="AF385" s="211">
        <f t="shared" si="249"/>
        <v>0</v>
      </c>
      <c r="AG385" s="211">
        <f t="shared" si="249"/>
        <v>0</v>
      </c>
      <c r="AH385" s="211">
        <f t="shared" si="249"/>
        <v>0</v>
      </c>
      <c r="AI385" s="211">
        <f t="shared" si="249"/>
        <v>0</v>
      </c>
      <c r="AJ385" s="211">
        <f t="shared" si="249"/>
        <v>0</v>
      </c>
      <c r="AK385" s="211">
        <f t="shared" si="249"/>
        <v>0</v>
      </c>
      <c r="AL385" s="211">
        <f t="shared" si="249"/>
        <v>0</v>
      </c>
      <c r="AM385" s="211">
        <f t="shared" si="249"/>
        <v>0</v>
      </c>
      <c r="AN385" s="211">
        <f t="shared" si="249"/>
        <v>0</v>
      </c>
    </row>
    <row r="386" spans="2:40" ht="12" hidden="1" customHeight="1" outlineLevel="2">
      <c r="B386" s="245"/>
      <c r="C386" s="213" t="s">
        <v>763</v>
      </c>
      <c r="D386" s="213"/>
      <c r="E386" s="213"/>
      <c r="F386" s="213"/>
      <c r="G386" s="213"/>
      <c r="H386" s="213"/>
      <c r="I386" s="213"/>
      <c r="J386" s="213"/>
      <c r="K386" s="213"/>
      <c r="L386" s="213"/>
      <c r="M386" s="213"/>
      <c r="N386" s="213"/>
      <c r="O386" s="211">
        <f>INDEX($C$348:$AN$370,MATCH("New Customers One-Time",$C$348:$C$370,0),MATCH($C386,$C$348:$AN$348,0))</f>
        <v>599.76</v>
      </c>
      <c r="P386" s="211">
        <f t="shared" ref="P386:AN386" si="250">$O386*(E374)</f>
        <v>0</v>
      </c>
      <c r="Q386" s="211">
        <f t="shared" si="250"/>
        <v>0</v>
      </c>
      <c r="R386" s="211">
        <f t="shared" si="250"/>
        <v>0</v>
      </c>
      <c r="S386" s="211">
        <f t="shared" si="250"/>
        <v>0</v>
      </c>
      <c r="T386" s="211">
        <f t="shared" si="250"/>
        <v>0</v>
      </c>
      <c r="U386" s="211">
        <f t="shared" si="250"/>
        <v>0</v>
      </c>
      <c r="V386" s="211">
        <f t="shared" si="250"/>
        <v>0</v>
      </c>
      <c r="W386" s="211">
        <f t="shared" si="250"/>
        <v>0</v>
      </c>
      <c r="X386" s="211">
        <f t="shared" si="250"/>
        <v>0</v>
      </c>
      <c r="Y386" s="211">
        <f t="shared" si="250"/>
        <v>0</v>
      </c>
      <c r="Z386" s="211">
        <f t="shared" si="250"/>
        <v>0</v>
      </c>
      <c r="AA386" s="211">
        <f t="shared" si="250"/>
        <v>0</v>
      </c>
      <c r="AB386" s="211">
        <f t="shared" si="250"/>
        <v>0</v>
      </c>
      <c r="AC386" s="211">
        <f t="shared" si="250"/>
        <v>0</v>
      </c>
      <c r="AD386" s="211">
        <f t="shared" si="250"/>
        <v>0</v>
      </c>
      <c r="AE386" s="211">
        <f t="shared" si="250"/>
        <v>0</v>
      </c>
      <c r="AF386" s="211">
        <f t="shared" si="250"/>
        <v>0</v>
      </c>
      <c r="AG386" s="211">
        <f t="shared" si="250"/>
        <v>0</v>
      </c>
      <c r="AH386" s="211">
        <f t="shared" si="250"/>
        <v>0</v>
      </c>
      <c r="AI386" s="211">
        <f t="shared" si="250"/>
        <v>0</v>
      </c>
      <c r="AJ386" s="211">
        <f t="shared" si="250"/>
        <v>0</v>
      </c>
      <c r="AK386" s="211">
        <f t="shared" si="250"/>
        <v>0</v>
      </c>
      <c r="AL386" s="211">
        <f t="shared" si="250"/>
        <v>0</v>
      </c>
      <c r="AM386" s="211">
        <f t="shared" si="250"/>
        <v>0</v>
      </c>
      <c r="AN386" s="211">
        <f t="shared" si="250"/>
        <v>0</v>
      </c>
    </row>
    <row r="387" spans="2:40" ht="12" hidden="1" customHeight="1" outlineLevel="2">
      <c r="B387" s="245"/>
      <c r="C387" s="213" t="s">
        <v>764</v>
      </c>
      <c r="D387" s="213"/>
      <c r="E387" s="213"/>
      <c r="F387" s="213"/>
      <c r="G387" s="213"/>
      <c r="H387" s="213"/>
      <c r="I387" s="213"/>
      <c r="J387" s="213"/>
      <c r="K387" s="213"/>
      <c r="L387" s="213"/>
      <c r="M387" s="213"/>
      <c r="N387" s="213"/>
      <c r="O387" s="213"/>
      <c r="P387" s="211">
        <f>INDEX($C$348:$AN$370,MATCH("New Customers One-Time",$C$348:$C$370,0),MATCH($C387,$C$348:$AN$348,0))</f>
        <v>799.68</v>
      </c>
      <c r="Q387" s="211">
        <f t="shared" ref="Q387:AN387" si="251">$P387*(E374)</f>
        <v>0</v>
      </c>
      <c r="R387" s="211">
        <f t="shared" si="251"/>
        <v>0</v>
      </c>
      <c r="S387" s="211">
        <f t="shared" si="251"/>
        <v>0</v>
      </c>
      <c r="T387" s="211">
        <f t="shared" si="251"/>
        <v>0</v>
      </c>
      <c r="U387" s="211">
        <f t="shared" si="251"/>
        <v>0</v>
      </c>
      <c r="V387" s="211">
        <f t="shared" si="251"/>
        <v>0</v>
      </c>
      <c r="W387" s="211">
        <f t="shared" si="251"/>
        <v>0</v>
      </c>
      <c r="X387" s="211">
        <f t="shared" si="251"/>
        <v>0</v>
      </c>
      <c r="Y387" s="211">
        <f t="shared" si="251"/>
        <v>0</v>
      </c>
      <c r="Z387" s="211">
        <f t="shared" si="251"/>
        <v>0</v>
      </c>
      <c r="AA387" s="211">
        <f t="shared" si="251"/>
        <v>0</v>
      </c>
      <c r="AB387" s="211">
        <f t="shared" si="251"/>
        <v>0</v>
      </c>
      <c r="AC387" s="211">
        <f t="shared" si="251"/>
        <v>0</v>
      </c>
      <c r="AD387" s="211">
        <f t="shared" si="251"/>
        <v>0</v>
      </c>
      <c r="AE387" s="211">
        <f t="shared" si="251"/>
        <v>0</v>
      </c>
      <c r="AF387" s="211">
        <f t="shared" si="251"/>
        <v>0</v>
      </c>
      <c r="AG387" s="211">
        <f t="shared" si="251"/>
        <v>0</v>
      </c>
      <c r="AH387" s="211">
        <f t="shared" si="251"/>
        <v>0</v>
      </c>
      <c r="AI387" s="211">
        <f t="shared" si="251"/>
        <v>0</v>
      </c>
      <c r="AJ387" s="211">
        <f t="shared" si="251"/>
        <v>0</v>
      </c>
      <c r="AK387" s="211">
        <f t="shared" si="251"/>
        <v>0</v>
      </c>
      <c r="AL387" s="211">
        <f t="shared" si="251"/>
        <v>0</v>
      </c>
      <c r="AM387" s="211">
        <f t="shared" si="251"/>
        <v>0</v>
      </c>
      <c r="AN387" s="211">
        <f t="shared" si="251"/>
        <v>0</v>
      </c>
    </row>
    <row r="388" spans="2:40" ht="12" hidden="1" customHeight="1" outlineLevel="2">
      <c r="B388" s="245"/>
      <c r="C388" s="213" t="s">
        <v>765</v>
      </c>
      <c r="D388" s="213"/>
      <c r="E388" s="213"/>
      <c r="F388" s="213"/>
      <c r="G388" s="213"/>
      <c r="H388" s="213"/>
      <c r="I388" s="213"/>
      <c r="J388" s="213"/>
      <c r="K388" s="213"/>
      <c r="L388" s="213"/>
      <c r="M388" s="213"/>
      <c r="N388" s="213"/>
      <c r="O388" s="213"/>
      <c r="P388" s="213"/>
      <c r="Q388" s="211">
        <f>INDEX($C$348:$AN$370,MATCH("New Customers One-Time",$C$348:$C$370,0),MATCH($C388,$C$348:$AN$348,0))</f>
        <v>827.0930304000002</v>
      </c>
      <c r="R388" s="211">
        <f t="shared" ref="R388:AN388" si="252">$Q388*(E374)</f>
        <v>0</v>
      </c>
      <c r="S388" s="211">
        <f t="shared" si="252"/>
        <v>0</v>
      </c>
      <c r="T388" s="211">
        <f t="shared" si="252"/>
        <v>0</v>
      </c>
      <c r="U388" s="211">
        <f t="shared" si="252"/>
        <v>0</v>
      </c>
      <c r="V388" s="211">
        <f t="shared" si="252"/>
        <v>0</v>
      </c>
      <c r="W388" s="211">
        <f t="shared" si="252"/>
        <v>0</v>
      </c>
      <c r="X388" s="211">
        <f t="shared" si="252"/>
        <v>0</v>
      </c>
      <c r="Y388" s="211">
        <f t="shared" si="252"/>
        <v>0</v>
      </c>
      <c r="Z388" s="211">
        <f t="shared" si="252"/>
        <v>0</v>
      </c>
      <c r="AA388" s="211">
        <f t="shared" si="252"/>
        <v>0</v>
      </c>
      <c r="AB388" s="211">
        <f t="shared" si="252"/>
        <v>0</v>
      </c>
      <c r="AC388" s="211">
        <f t="shared" si="252"/>
        <v>0</v>
      </c>
      <c r="AD388" s="211">
        <f t="shared" si="252"/>
        <v>0</v>
      </c>
      <c r="AE388" s="211">
        <f t="shared" si="252"/>
        <v>0</v>
      </c>
      <c r="AF388" s="211">
        <f t="shared" si="252"/>
        <v>0</v>
      </c>
      <c r="AG388" s="211">
        <f t="shared" si="252"/>
        <v>0</v>
      </c>
      <c r="AH388" s="211">
        <f t="shared" si="252"/>
        <v>0</v>
      </c>
      <c r="AI388" s="211">
        <f t="shared" si="252"/>
        <v>0</v>
      </c>
      <c r="AJ388" s="211">
        <f t="shared" si="252"/>
        <v>0</v>
      </c>
      <c r="AK388" s="211">
        <f t="shared" si="252"/>
        <v>0</v>
      </c>
      <c r="AL388" s="211">
        <f t="shared" si="252"/>
        <v>0</v>
      </c>
      <c r="AM388" s="211">
        <f t="shared" si="252"/>
        <v>0</v>
      </c>
      <c r="AN388" s="211">
        <f t="shared" si="252"/>
        <v>0</v>
      </c>
    </row>
    <row r="389" spans="2:40" ht="12" hidden="1" customHeight="1" outlineLevel="2">
      <c r="B389" s="245"/>
      <c r="C389" s="213" t="s">
        <v>766</v>
      </c>
      <c r="D389" s="213"/>
      <c r="E389" s="213"/>
      <c r="F389" s="213"/>
      <c r="G389" s="213"/>
      <c r="H389" s="213"/>
      <c r="I389" s="213"/>
      <c r="J389" s="213"/>
      <c r="K389" s="213"/>
      <c r="L389" s="213"/>
      <c r="M389" s="213"/>
      <c r="N389" s="213"/>
      <c r="O389" s="213"/>
      <c r="P389" s="213"/>
      <c r="Q389" s="213"/>
      <c r="R389" s="211">
        <f>INDEX($C$348:$AN$370,MATCH("New Customers One-Time",$C$348:$C$370,0),MATCH($C389,$C$348:$AN$348,0))</f>
        <v>1732.2268320000001</v>
      </c>
      <c r="S389" s="211">
        <f t="shared" ref="S389:AN389" si="253">$R389*(E374)</f>
        <v>0</v>
      </c>
      <c r="T389" s="211">
        <f t="shared" si="253"/>
        <v>0</v>
      </c>
      <c r="U389" s="211">
        <f t="shared" si="253"/>
        <v>0</v>
      </c>
      <c r="V389" s="211">
        <f t="shared" si="253"/>
        <v>0</v>
      </c>
      <c r="W389" s="211">
        <f t="shared" si="253"/>
        <v>0</v>
      </c>
      <c r="X389" s="211">
        <f t="shared" si="253"/>
        <v>0</v>
      </c>
      <c r="Y389" s="211">
        <f t="shared" si="253"/>
        <v>0</v>
      </c>
      <c r="Z389" s="211">
        <f t="shared" si="253"/>
        <v>0</v>
      </c>
      <c r="AA389" s="211">
        <f t="shared" si="253"/>
        <v>0</v>
      </c>
      <c r="AB389" s="211">
        <f t="shared" si="253"/>
        <v>0</v>
      </c>
      <c r="AC389" s="211">
        <f t="shared" si="253"/>
        <v>0</v>
      </c>
      <c r="AD389" s="211">
        <f t="shared" si="253"/>
        <v>0</v>
      </c>
      <c r="AE389" s="211">
        <f t="shared" si="253"/>
        <v>0</v>
      </c>
      <c r="AF389" s="211">
        <f t="shared" si="253"/>
        <v>0</v>
      </c>
      <c r="AG389" s="211">
        <f t="shared" si="253"/>
        <v>0</v>
      </c>
      <c r="AH389" s="211">
        <f t="shared" si="253"/>
        <v>0</v>
      </c>
      <c r="AI389" s="211">
        <f t="shared" si="253"/>
        <v>0</v>
      </c>
      <c r="AJ389" s="211">
        <f t="shared" si="253"/>
        <v>0</v>
      </c>
      <c r="AK389" s="211">
        <f t="shared" si="253"/>
        <v>0</v>
      </c>
      <c r="AL389" s="211">
        <f t="shared" si="253"/>
        <v>0</v>
      </c>
      <c r="AM389" s="211">
        <f t="shared" si="253"/>
        <v>0</v>
      </c>
      <c r="AN389" s="211">
        <f t="shared" si="253"/>
        <v>0</v>
      </c>
    </row>
    <row r="390" spans="2:40" ht="12" hidden="1" customHeight="1" outlineLevel="2">
      <c r="B390" s="245"/>
      <c r="C390" s="213" t="s">
        <v>767</v>
      </c>
      <c r="D390" s="213"/>
      <c r="E390" s="213"/>
      <c r="F390" s="213"/>
      <c r="G390" s="213"/>
      <c r="H390" s="213"/>
      <c r="I390" s="213"/>
      <c r="J390" s="213"/>
      <c r="K390" s="213"/>
      <c r="L390" s="213"/>
      <c r="M390" s="213"/>
      <c r="N390" s="213"/>
      <c r="O390" s="213"/>
      <c r="P390" s="213"/>
      <c r="Q390" s="213"/>
      <c r="R390" s="213"/>
      <c r="S390" s="211">
        <f>INDEX($C$348:$AN$370,MATCH("New Customers One-Time",$C$348:$C$370,0),MATCH($C390,$C$348:$AN$348,0))</f>
        <v>1610.6794704000004</v>
      </c>
      <c r="T390" s="211">
        <f t="shared" ref="T390:AN390" si="254">$S390*(E374)</f>
        <v>0</v>
      </c>
      <c r="U390" s="211">
        <f t="shared" si="254"/>
        <v>0</v>
      </c>
      <c r="V390" s="211">
        <f t="shared" si="254"/>
        <v>0</v>
      </c>
      <c r="W390" s="211">
        <f t="shared" si="254"/>
        <v>0</v>
      </c>
      <c r="X390" s="211">
        <f t="shared" si="254"/>
        <v>0</v>
      </c>
      <c r="Y390" s="211">
        <f t="shared" si="254"/>
        <v>0</v>
      </c>
      <c r="Z390" s="211">
        <f t="shared" si="254"/>
        <v>0</v>
      </c>
      <c r="AA390" s="211">
        <f t="shared" si="254"/>
        <v>0</v>
      </c>
      <c r="AB390" s="211">
        <f t="shared" si="254"/>
        <v>0</v>
      </c>
      <c r="AC390" s="211">
        <f t="shared" si="254"/>
        <v>0</v>
      </c>
      <c r="AD390" s="211">
        <f t="shared" si="254"/>
        <v>0</v>
      </c>
      <c r="AE390" s="211">
        <f t="shared" si="254"/>
        <v>0</v>
      </c>
      <c r="AF390" s="211">
        <f t="shared" si="254"/>
        <v>0</v>
      </c>
      <c r="AG390" s="211">
        <f t="shared" si="254"/>
        <v>0</v>
      </c>
      <c r="AH390" s="211">
        <f t="shared" si="254"/>
        <v>0</v>
      </c>
      <c r="AI390" s="211">
        <f t="shared" si="254"/>
        <v>0</v>
      </c>
      <c r="AJ390" s="211">
        <f t="shared" si="254"/>
        <v>0</v>
      </c>
      <c r="AK390" s="211">
        <f t="shared" si="254"/>
        <v>0</v>
      </c>
      <c r="AL390" s="211">
        <f t="shared" si="254"/>
        <v>0</v>
      </c>
      <c r="AM390" s="211">
        <f t="shared" si="254"/>
        <v>0</v>
      </c>
      <c r="AN390" s="211">
        <f t="shared" si="254"/>
        <v>0</v>
      </c>
    </row>
    <row r="391" spans="2:40" ht="12" hidden="1" customHeight="1" outlineLevel="2">
      <c r="B391" s="245"/>
      <c r="C391" s="213" t="s">
        <v>768</v>
      </c>
      <c r="D391" s="213"/>
      <c r="E391" s="213"/>
      <c r="F391" s="213"/>
      <c r="G391" s="213"/>
      <c r="H391" s="213"/>
      <c r="I391" s="213"/>
      <c r="J391" s="213"/>
      <c r="K391" s="213"/>
      <c r="L391" s="213"/>
      <c r="M391" s="213"/>
      <c r="N391" s="213"/>
      <c r="O391" s="213"/>
      <c r="P391" s="213"/>
      <c r="Q391" s="213"/>
      <c r="R391" s="213"/>
      <c r="S391" s="213"/>
      <c r="T391" s="211">
        <f>INDEX($C$348:$AN$370,MATCH("New Customers One-Time",$C$348:$C$370,0),MATCH($C391,$C$348:$AN$348,0))</f>
        <v>843.0986256000001</v>
      </c>
      <c r="U391" s="211">
        <f t="shared" ref="U391:AN391" si="255">$T391*(E374)</f>
        <v>0</v>
      </c>
      <c r="V391" s="211">
        <f t="shared" si="255"/>
        <v>0</v>
      </c>
      <c r="W391" s="211">
        <f t="shared" si="255"/>
        <v>0</v>
      </c>
      <c r="X391" s="211">
        <f t="shared" si="255"/>
        <v>0</v>
      </c>
      <c r="Y391" s="211">
        <f t="shared" si="255"/>
        <v>0</v>
      </c>
      <c r="Z391" s="211">
        <f t="shared" si="255"/>
        <v>0</v>
      </c>
      <c r="AA391" s="211">
        <f t="shared" si="255"/>
        <v>0</v>
      </c>
      <c r="AB391" s="211">
        <f t="shared" si="255"/>
        <v>0</v>
      </c>
      <c r="AC391" s="211">
        <f t="shared" si="255"/>
        <v>0</v>
      </c>
      <c r="AD391" s="211">
        <f t="shared" si="255"/>
        <v>0</v>
      </c>
      <c r="AE391" s="211">
        <f t="shared" si="255"/>
        <v>0</v>
      </c>
      <c r="AF391" s="211">
        <f t="shared" si="255"/>
        <v>0</v>
      </c>
      <c r="AG391" s="211">
        <f t="shared" si="255"/>
        <v>0</v>
      </c>
      <c r="AH391" s="211">
        <f t="shared" si="255"/>
        <v>0</v>
      </c>
      <c r="AI391" s="211">
        <f t="shared" si="255"/>
        <v>0</v>
      </c>
      <c r="AJ391" s="211">
        <f t="shared" si="255"/>
        <v>0</v>
      </c>
      <c r="AK391" s="211">
        <f t="shared" si="255"/>
        <v>0</v>
      </c>
      <c r="AL391" s="211">
        <f t="shared" si="255"/>
        <v>0</v>
      </c>
      <c r="AM391" s="211">
        <f t="shared" si="255"/>
        <v>0</v>
      </c>
      <c r="AN391" s="211">
        <f t="shared" si="255"/>
        <v>0</v>
      </c>
    </row>
    <row r="392" spans="2:40" ht="12" hidden="1" customHeight="1" outlineLevel="2">
      <c r="B392" s="245"/>
      <c r="C392" s="213" t="s">
        <v>769</v>
      </c>
      <c r="D392" s="213"/>
      <c r="E392" s="213"/>
      <c r="F392" s="213"/>
      <c r="G392" s="213"/>
      <c r="H392" s="213"/>
      <c r="I392" s="213"/>
      <c r="J392" s="213"/>
      <c r="K392" s="213"/>
      <c r="L392" s="213"/>
      <c r="M392" s="213"/>
      <c r="N392" s="213"/>
      <c r="O392" s="213"/>
      <c r="P392" s="213"/>
      <c r="Q392" s="213"/>
      <c r="R392" s="213"/>
      <c r="S392" s="213"/>
      <c r="T392" s="213"/>
      <c r="U392" s="211">
        <f>INDEX($C$348:$AN$370,MATCH("New Customers One-Time",$C$348:$C$370,0),MATCH($C392,$C$348:$AN$348,0))</f>
        <v>833.37851520000015</v>
      </c>
      <c r="V392" s="211">
        <f t="shared" ref="V392:AN392" si="256">$U392*(E374)</f>
        <v>0</v>
      </c>
      <c r="W392" s="211">
        <f t="shared" si="256"/>
        <v>0</v>
      </c>
      <c r="X392" s="211">
        <f t="shared" si="256"/>
        <v>0</v>
      </c>
      <c r="Y392" s="211">
        <f t="shared" si="256"/>
        <v>0</v>
      </c>
      <c r="Z392" s="211">
        <f t="shared" si="256"/>
        <v>0</v>
      </c>
      <c r="AA392" s="211">
        <f t="shared" si="256"/>
        <v>0</v>
      </c>
      <c r="AB392" s="211">
        <f t="shared" si="256"/>
        <v>0</v>
      </c>
      <c r="AC392" s="211">
        <f t="shared" si="256"/>
        <v>0</v>
      </c>
      <c r="AD392" s="211">
        <f t="shared" si="256"/>
        <v>0</v>
      </c>
      <c r="AE392" s="211">
        <f t="shared" si="256"/>
        <v>0</v>
      </c>
      <c r="AF392" s="211">
        <f t="shared" si="256"/>
        <v>0</v>
      </c>
      <c r="AG392" s="211">
        <f t="shared" si="256"/>
        <v>0</v>
      </c>
      <c r="AH392" s="211">
        <f t="shared" si="256"/>
        <v>0</v>
      </c>
      <c r="AI392" s="211">
        <f t="shared" si="256"/>
        <v>0</v>
      </c>
      <c r="AJ392" s="211">
        <f t="shared" si="256"/>
        <v>0</v>
      </c>
      <c r="AK392" s="211">
        <f t="shared" si="256"/>
        <v>0</v>
      </c>
      <c r="AL392" s="211">
        <f t="shared" si="256"/>
        <v>0</v>
      </c>
      <c r="AM392" s="211">
        <f t="shared" si="256"/>
        <v>0</v>
      </c>
      <c r="AN392" s="211">
        <f t="shared" si="256"/>
        <v>0</v>
      </c>
    </row>
    <row r="393" spans="2:40" ht="12" hidden="1" customHeight="1" outlineLevel="2">
      <c r="B393" s="245"/>
      <c r="C393" s="213" t="s">
        <v>770</v>
      </c>
      <c r="D393" s="213"/>
      <c r="E393" s="213"/>
      <c r="F393" s="213"/>
      <c r="G393" s="213"/>
      <c r="H393" s="213"/>
      <c r="I393" s="213"/>
      <c r="J393" s="213"/>
      <c r="K393" s="213"/>
      <c r="L393" s="213"/>
      <c r="M393" s="213"/>
      <c r="N393" s="213"/>
      <c r="O393" s="213"/>
      <c r="P393" s="213"/>
      <c r="Q393" s="213"/>
      <c r="R393" s="213"/>
      <c r="S393" s="213"/>
      <c r="T393" s="213"/>
      <c r="U393" s="213"/>
      <c r="V393" s="211">
        <f>INDEX($C$348:$AN$370,MATCH("New Customers One-Time",$C$348:$C$370,0),MATCH($C393,$C$348:$AN$348,0))</f>
        <v>2567.5725599999996</v>
      </c>
      <c r="W393" s="211">
        <f t="shared" ref="W393:AN393" si="257">$V393*(E374)</f>
        <v>0</v>
      </c>
      <c r="X393" s="211">
        <f t="shared" si="257"/>
        <v>0</v>
      </c>
      <c r="Y393" s="211">
        <f t="shared" si="257"/>
        <v>0</v>
      </c>
      <c r="Z393" s="211">
        <f t="shared" si="257"/>
        <v>0</v>
      </c>
      <c r="AA393" s="211">
        <f t="shared" si="257"/>
        <v>0</v>
      </c>
      <c r="AB393" s="211">
        <f t="shared" si="257"/>
        <v>0</v>
      </c>
      <c r="AC393" s="211">
        <f t="shared" si="257"/>
        <v>0</v>
      </c>
      <c r="AD393" s="211">
        <f t="shared" si="257"/>
        <v>0</v>
      </c>
      <c r="AE393" s="211">
        <f t="shared" si="257"/>
        <v>0</v>
      </c>
      <c r="AF393" s="211">
        <f t="shared" si="257"/>
        <v>0</v>
      </c>
      <c r="AG393" s="211">
        <f t="shared" si="257"/>
        <v>0</v>
      </c>
      <c r="AH393" s="211">
        <f t="shared" si="257"/>
        <v>0</v>
      </c>
      <c r="AI393" s="211">
        <f t="shared" si="257"/>
        <v>0</v>
      </c>
      <c r="AJ393" s="211">
        <f t="shared" si="257"/>
        <v>0</v>
      </c>
      <c r="AK393" s="211">
        <f t="shared" si="257"/>
        <v>0</v>
      </c>
      <c r="AL393" s="211">
        <f t="shared" si="257"/>
        <v>0</v>
      </c>
      <c r="AM393" s="211">
        <f t="shared" si="257"/>
        <v>0</v>
      </c>
      <c r="AN393" s="211">
        <f t="shared" si="257"/>
        <v>0</v>
      </c>
    </row>
    <row r="394" spans="2:40" ht="12" hidden="1" customHeight="1" outlineLevel="2">
      <c r="B394" s="245"/>
      <c r="C394" s="213" t="s">
        <v>771</v>
      </c>
      <c r="D394" s="213"/>
      <c r="E394" s="213"/>
      <c r="F394" s="213"/>
      <c r="G394" s="213"/>
      <c r="H394" s="213"/>
      <c r="I394" s="213"/>
      <c r="J394" s="213"/>
      <c r="K394" s="213"/>
      <c r="L394" s="213"/>
      <c r="M394" s="213"/>
      <c r="N394" s="213"/>
      <c r="O394" s="213"/>
      <c r="P394" s="213"/>
      <c r="Q394" s="213"/>
      <c r="R394" s="213"/>
      <c r="S394" s="213"/>
      <c r="T394" s="213"/>
      <c r="U394" s="213"/>
      <c r="V394" s="213"/>
      <c r="W394" s="211">
        <f>INDEX($C$348:$AN$370,MATCH("New Customers One-Time",$C$348:$C$370,0),MATCH($C394,$C$348:$AN$348,0))</f>
        <v>971.67517440000006</v>
      </c>
      <c r="X394" s="211">
        <f t="shared" ref="X394:AN394" si="258">$W394*(E374)</f>
        <v>0</v>
      </c>
      <c r="Y394" s="211">
        <f t="shared" si="258"/>
        <v>0</v>
      </c>
      <c r="Z394" s="211">
        <f t="shared" si="258"/>
        <v>0</v>
      </c>
      <c r="AA394" s="211">
        <f t="shared" si="258"/>
        <v>0</v>
      </c>
      <c r="AB394" s="211">
        <f t="shared" si="258"/>
        <v>0</v>
      </c>
      <c r="AC394" s="211">
        <f t="shared" si="258"/>
        <v>0</v>
      </c>
      <c r="AD394" s="211">
        <f t="shared" si="258"/>
        <v>0</v>
      </c>
      <c r="AE394" s="211">
        <f t="shared" si="258"/>
        <v>0</v>
      </c>
      <c r="AF394" s="211">
        <f t="shared" si="258"/>
        <v>0</v>
      </c>
      <c r="AG394" s="211">
        <f t="shared" si="258"/>
        <v>0</v>
      </c>
      <c r="AH394" s="211">
        <f t="shared" si="258"/>
        <v>0</v>
      </c>
      <c r="AI394" s="211">
        <f t="shared" si="258"/>
        <v>0</v>
      </c>
      <c r="AJ394" s="211">
        <f t="shared" si="258"/>
        <v>0</v>
      </c>
      <c r="AK394" s="211">
        <f t="shared" si="258"/>
        <v>0</v>
      </c>
      <c r="AL394" s="211">
        <f t="shared" si="258"/>
        <v>0</v>
      </c>
      <c r="AM394" s="211">
        <f t="shared" si="258"/>
        <v>0</v>
      </c>
      <c r="AN394" s="211">
        <f t="shared" si="258"/>
        <v>0</v>
      </c>
    </row>
    <row r="395" spans="2:40" ht="12" hidden="1" customHeight="1" outlineLevel="2">
      <c r="B395" s="245"/>
      <c r="C395" s="213" t="s">
        <v>772</v>
      </c>
      <c r="D395" s="213"/>
      <c r="E395" s="213"/>
      <c r="F395" s="213"/>
      <c r="G395" s="213"/>
      <c r="H395" s="213"/>
      <c r="I395" s="213"/>
      <c r="J395" s="213"/>
      <c r="K395" s="213"/>
      <c r="L395" s="213"/>
      <c r="M395" s="213"/>
      <c r="N395" s="213"/>
      <c r="O395" s="213"/>
      <c r="P395" s="213"/>
      <c r="Q395" s="213"/>
      <c r="R395" s="213"/>
      <c r="S395" s="213"/>
      <c r="T395" s="213"/>
      <c r="U395" s="213"/>
      <c r="V395" s="213"/>
      <c r="W395" s="213"/>
      <c r="X395" s="211">
        <f>INDEX($C$348:$AN$370,MATCH("New Customers One-Time",$C$348:$C$370,0),MATCH($C395,$C$348:$AN$348,0))</f>
        <v>1041.2313408</v>
      </c>
      <c r="Y395" s="211">
        <f t="shared" ref="Y395:AN395" si="259">$X395*(E374)</f>
        <v>0</v>
      </c>
      <c r="Z395" s="211">
        <f t="shared" si="259"/>
        <v>0</v>
      </c>
      <c r="AA395" s="211">
        <f t="shared" si="259"/>
        <v>0</v>
      </c>
      <c r="AB395" s="211">
        <f t="shared" si="259"/>
        <v>0</v>
      </c>
      <c r="AC395" s="211">
        <f t="shared" si="259"/>
        <v>0</v>
      </c>
      <c r="AD395" s="211">
        <f t="shared" si="259"/>
        <v>0</v>
      </c>
      <c r="AE395" s="211">
        <f t="shared" si="259"/>
        <v>0</v>
      </c>
      <c r="AF395" s="211">
        <f t="shared" si="259"/>
        <v>0</v>
      </c>
      <c r="AG395" s="211">
        <f t="shared" si="259"/>
        <v>0</v>
      </c>
      <c r="AH395" s="211">
        <f t="shared" si="259"/>
        <v>0</v>
      </c>
      <c r="AI395" s="211">
        <f t="shared" si="259"/>
        <v>0</v>
      </c>
      <c r="AJ395" s="211">
        <f t="shared" si="259"/>
        <v>0</v>
      </c>
      <c r="AK395" s="211">
        <f t="shared" si="259"/>
        <v>0</v>
      </c>
      <c r="AL395" s="211">
        <f t="shared" si="259"/>
        <v>0</v>
      </c>
      <c r="AM395" s="211">
        <f t="shared" si="259"/>
        <v>0</v>
      </c>
      <c r="AN395" s="211">
        <f t="shared" si="259"/>
        <v>0</v>
      </c>
    </row>
    <row r="396" spans="2:40" ht="12" hidden="1" customHeight="1" outlineLevel="2">
      <c r="B396" s="245"/>
      <c r="C396" s="213" t="s">
        <v>773</v>
      </c>
      <c r="D396" s="213"/>
      <c r="E396" s="213"/>
      <c r="F396" s="213"/>
      <c r="G396" s="213"/>
      <c r="H396" s="213"/>
      <c r="I396" s="213"/>
      <c r="J396" s="213"/>
      <c r="K396" s="213"/>
      <c r="L396" s="213"/>
      <c r="M396" s="213"/>
      <c r="N396" s="213"/>
      <c r="O396" s="213"/>
      <c r="P396" s="213"/>
      <c r="Q396" s="213"/>
      <c r="R396" s="213"/>
      <c r="S396" s="213"/>
      <c r="T396" s="213"/>
      <c r="U396" s="213"/>
      <c r="V396" s="213"/>
      <c r="W396" s="213"/>
      <c r="X396" s="213"/>
      <c r="Y396" s="211">
        <f>INDEX($C$348:$AN$370,MATCH("New Customers One-Time",$C$348:$C$370,0),MATCH($C396,$C$348:$AN$348,0))</f>
        <v>3638.5440000000003</v>
      </c>
      <c r="Z396" s="211">
        <f t="shared" ref="Z396:AN396" si="260">$Y396*(E374)</f>
        <v>0</v>
      </c>
      <c r="AA396" s="211">
        <f t="shared" si="260"/>
        <v>0</v>
      </c>
      <c r="AB396" s="211">
        <f t="shared" si="260"/>
        <v>0</v>
      </c>
      <c r="AC396" s="211">
        <f t="shared" si="260"/>
        <v>0</v>
      </c>
      <c r="AD396" s="211">
        <f t="shared" si="260"/>
        <v>0</v>
      </c>
      <c r="AE396" s="211">
        <f t="shared" si="260"/>
        <v>0</v>
      </c>
      <c r="AF396" s="211">
        <f t="shared" si="260"/>
        <v>0</v>
      </c>
      <c r="AG396" s="211">
        <f t="shared" si="260"/>
        <v>0</v>
      </c>
      <c r="AH396" s="211">
        <f t="shared" si="260"/>
        <v>0</v>
      </c>
      <c r="AI396" s="211">
        <f t="shared" si="260"/>
        <v>0</v>
      </c>
      <c r="AJ396" s="211">
        <f t="shared" si="260"/>
        <v>0</v>
      </c>
      <c r="AK396" s="211">
        <f t="shared" si="260"/>
        <v>0</v>
      </c>
      <c r="AL396" s="211">
        <f t="shared" si="260"/>
        <v>0</v>
      </c>
      <c r="AM396" s="211">
        <f t="shared" si="260"/>
        <v>0</v>
      </c>
      <c r="AN396" s="211">
        <f t="shared" si="260"/>
        <v>0</v>
      </c>
    </row>
    <row r="397" spans="2:40" ht="12" hidden="1" customHeight="1" outlineLevel="2">
      <c r="B397" s="245"/>
      <c r="C397" s="213" t="s">
        <v>774</v>
      </c>
      <c r="D397" s="213"/>
      <c r="E397" s="213"/>
      <c r="F397" s="213"/>
      <c r="G397" s="213"/>
      <c r="H397" s="213"/>
      <c r="I397" s="213"/>
      <c r="J397" s="213"/>
      <c r="K397" s="213"/>
      <c r="L397" s="213"/>
      <c r="M397" s="213"/>
      <c r="N397" s="213"/>
      <c r="O397" s="213"/>
      <c r="P397" s="213"/>
      <c r="Q397" s="213"/>
      <c r="R397" s="213"/>
      <c r="S397" s="213"/>
      <c r="T397" s="213"/>
      <c r="U397" s="213"/>
      <c r="V397" s="213"/>
      <c r="W397" s="213"/>
      <c r="X397" s="213"/>
      <c r="Y397" s="213"/>
      <c r="Z397" s="211">
        <f>INDEX($C$348:$AN$370,MATCH("New Customers One-Time",$C$348:$C$370,0),MATCH($C397,$C$348:$AN$348,0))</f>
        <v>4678.1280000000006</v>
      </c>
      <c r="AA397" s="211">
        <f t="shared" ref="AA397:AN397" si="261">$Z397*(E374)</f>
        <v>0</v>
      </c>
      <c r="AB397" s="211">
        <f t="shared" si="261"/>
        <v>0</v>
      </c>
      <c r="AC397" s="211">
        <f t="shared" si="261"/>
        <v>0</v>
      </c>
      <c r="AD397" s="211">
        <f t="shared" si="261"/>
        <v>0</v>
      </c>
      <c r="AE397" s="211">
        <f t="shared" si="261"/>
        <v>0</v>
      </c>
      <c r="AF397" s="211">
        <f t="shared" si="261"/>
        <v>0</v>
      </c>
      <c r="AG397" s="211">
        <f t="shared" si="261"/>
        <v>0</v>
      </c>
      <c r="AH397" s="211">
        <f t="shared" si="261"/>
        <v>0</v>
      </c>
      <c r="AI397" s="211">
        <f t="shared" si="261"/>
        <v>0</v>
      </c>
      <c r="AJ397" s="211">
        <f t="shared" si="261"/>
        <v>0</v>
      </c>
      <c r="AK397" s="211">
        <f t="shared" si="261"/>
        <v>0</v>
      </c>
      <c r="AL397" s="211">
        <f t="shared" si="261"/>
        <v>0</v>
      </c>
      <c r="AM397" s="211">
        <f t="shared" si="261"/>
        <v>0</v>
      </c>
      <c r="AN397" s="211">
        <f t="shared" si="261"/>
        <v>0</v>
      </c>
    </row>
    <row r="398" spans="2:40" ht="12" hidden="1" customHeight="1" outlineLevel="2">
      <c r="B398" s="245"/>
      <c r="C398" s="213" t="s">
        <v>775</v>
      </c>
      <c r="D398" s="213"/>
      <c r="E398" s="213"/>
      <c r="F398" s="213"/>
      <c r="G398" s="213"/>
      <c r="H398" s="213"/>
      <c r="I398" s="213"/>
      <c r="J398" s="213"/>
      <c r="K398" s="213"/>
      <c r="L398" s="213"/>
      <c r="M398" s="213"/>
      <c r="N398" s="213"/>
      <c r="O398" s="213"/>
      <c r="P398" s="213"/>
      <c r="Q398" s="213"/>
      <c r="R398" s="213"/>
      <c r="S398" s="213"/>
      <c r="T398" s="213"/>
      <c r="U398" s="213"/>
      <c r="V398" s="213"/>
      <c r="W398" s="213"/>
      <c r="X398" s="213"/>
      <c r="Y398" s="213"/>
      <c r="Z398" s="213"/>
      <c r="AA398" s="211">
        <f>INDEX($C$348:$AN$370,MATCH("New Customers One-Time",$C$348:$C$370,0),MATCH($C398,$C$348:$AN$348,0))</f>
        <v>779.68799999999999</v>
      </c>
      <c r="AB398" s="211">
        <f t="shared" ref="AB398:AN398" si="262">$AA398*(E374)</f>
        <v>0</v>
      </c>
      <c r="AC398" s="211">
        <f t="shared" si="262"/>
        <v>0</v>
      </c>
      <c r="AD398" s="211">
        <f t="shared" si="262"/>
        <v>0</v>
      </c>
      <c r="AE398" s="211">
        <f t="shared" si="262"/>
        <v>0</v>
      </c>
      <c r="AF398" s="211">
        <f t="shared" si="262"/>
        <v>0</v>
      </c>
      <c r="AG398" s="211">
        <f t="shared" si="262"/>
        <v>0</v>
      </c>
      <c r="AH398" s="211">
        <f t="shared" si="262"/>
        <v>0</v>
      </c>
      <c r="AI398" s="211">
        <f t="shared" si="262"/>
        <v>0</v>
      </c>
      <c r="AJ398" s="211">
        <f t="shared" si="262"/>
        <v>0</v>
      </c>
      <c r="AK398" s="211">
        <f t="shared" si="262"/>
        <v>0</v>
      </c>
      <c r="AL398" s="211">
        <f t="shared" si="262"/>
        <v>0</v>
      </c>
      <c r="AM398" s="211">
        <f t="shared" si="262"/>
        <v>0</v>
      </c>
      <c r="AN398" s="211">
        <f t="shared" si="262"/>
        <v>0</v>
      </c>
    </row>
    <row r="399" spans="2:40" ht="12" hidden="1" customHeight="1" outlineLevel="2">
      <c r="B399" s="245"/>
      <c r="C399" s="213" t="s">
        <v>776</v>
      </c>
      <c r="D399" s="213"/>
      <c r="E399" s="213"/>
      <c r="F399" s="213"/>
      <c r="G399" s="213"/>
      <c r="H399" s="213"/>
      <c r="I399" s="213"/>
      <c r="J399" s="213"/>
      <c r="K399" s="213"/>
      <c r="L399" s="213"/>
      <c r="M399" s="213"/>
      <c r="N399" s="213"/>
      <c r="O399" s="213"/>
      <c r="P399" s="213"/>
      <c r="Q399" s="213"/>
      <c r="R399" s="213"/>
      <c r="S399" s="213"/>
      <c r="T399" s="213"/>
      <c r="U399" s="213"/>
      <c r="V399" s="213"/>
      <c r="W399" s="213"/>
      <c r="X399" s="213"/>
      <c r="Y399" s="213"/>
      <c r="Z399" s="213"/>
      <c r="AA399" s="213"/>
      <c r="AB399" s="211">
        <f>INDEX($C$348:$AN$370,MATCH("New Customers One-Time",$C$348:$C$370,0),MATCH($C399,$C$348:$AN$348,0))</f>
        <v>1039.5839999999998</v>
      </c>
      <c r="AC399" s="211">
        <f t="shared" ref="AC399:AN399" si="263">$AB399*(E374)</f>
        <v>0</v>
      </c>
      <c r="AD399" s="211">
        <f t="shared" si="263"/>
        <v>0</v>
      </c>
      <c r="AE399" s="211">
        <f t="shared" si="263"/>
        <v>0</v>
      </c>
      <c r="AF399" s="211">
        <f t="shared" si="263"/>
        <v>0</v>
      </c>
      <c r="AG399" s="211">
        <f t="shared" si="263"/>
        <v>0</v>
      </c>
      <c r="AH399" s="211">
        <f t="shared" si="263"/>
        <v>0</v>
      </c>
      <c r="AI399" s="211">
        <f t="shared" si="263"/>
        <v>0</v>
      </c>
      <c r="AJ399" s="211">
        <f t="shared" si="263"/>
        <v>0</v>
      </c>
      <c r="AK399" s="211">
        <f t="shared" si="263"/>
        <v>0</v>
      </c>
      <c r="AL399" s="211">
        <f t="shared" si="263"/>
        <v>0</v>
      </c>
      <c r="AM399" s="211">
        <f t="shared" si="263"/>
        <v>0</v>
      </c>
      <c r="AN399" s="211">
        <f t="shared" si="263"/>
        <v>0</v>
      </c>
    </row>
    <row r="400" spans="2:40" ht="12" hidden="1" customHeight="1" outlineLevel="2">
      <c r="B400" s="245"/>
      <c r="C400" s="213" t="s">
        <v>777</v>
      </c>
      <c r="D400" s="213"/>
      <c r="E400" s="213"/>
      <c r="F400" s="213"/>
      <c r="G400" s="213"/>
      <c r="H400" s="213"/>
      <c r="I400" s="213"/>
      <c r="J400" s="213"/>
      <c r="K400" s="213"/>
      <c r="L400" s="213"/>
      <c r="M400" s="213"/>
      <c r="N400" s="213"/>
      <c r="O400" s="213"/>
      <c r="P400" s="213"/>
      <c r="Q400" s="213"/>
      <c r="R400" s="213"/>
      <c r="S400" s="213"/>
      <c r="T400" s="213"/>
      <c r="U400" s="213"/>
      <c r="V400" s="213"/>
      <c r="W400" s="213"/>
      <c r="X400" s="213"/>
      <c r="Y400" s="213"/>
      <c r="Z400" s="213"/>
      <c r="AA400" s="213"/>
      <c r="AB400" s="211"/>
      <c r="AC400" s="211">
        <f>INDEX($C$348:$AN$370,MATCH("New Customers One-Time",$C$348:$C$370,0),MATCH($C400,$C$348:$AN$348,0))</f>
        <v>1075.2209395200002</v>
      </c>
      <c r="AD400" s="211">
        <f t="shared" ref="AD400:AN400" si="264">$AC400*(E374)</f>
        <v>0</v>
      </c>
      <c r="AE400" s="211">
        <f t="shared" si="264"/>
        <v>0</v>
      </c>
      <c r="AF400" s="211">
        <f t="shared" si="264"/>
        <v>0</v>
      </c>
      <c r="AG400" s="211">
        <f t="shared" si="264"/>
        <v>0</v>
      </c>
      <c r="AH400" s="211">
        <f t="shared" si="264"/>
        <v>0</v>
      </c>
      <c r="AI400" s="211">
        <f t="shared" si="264"/>
        <v>0</v>
      </c>
      <c r="AJ400" s="211">
        <f t="shared" si="264"/>
        <v>0</v>
      </c>
      <c r="AK400" s="211">
        <f t="shared" si="264"/>
        <v>0</v>
      </c>
      <c r="AL400" s="211">
        <f t="shared" si="264"/>
        <v>0</v>
      </c>
      <c r="AM400" s="211">
        <f t="shared" si="264"/>
        <v>0</v>
      </c>
      <c r="AN400" s="211">
        <f t="shared" si="264"/>
        <v>0</v>
      </c>
    </row>
    <row r="401" spans="2:40" ht="12" hidden="1" customHeight="1" outlineLevel="2">
      <c r="B401" s="245"/>
      <c r="C401" s="213" t="s">
        <v>778</v>
      </c>
      <c r="D401" s="213"/>
      <c r="E401" s="213"/>
      <c r="F401" s="213"/>
      <c r="G401" s="213"/>
      <c r="H401" s="213"/>
      <c r="I401" s="213"/>
      <c r="J401" s="213"/>
      <c r="K401" s="213"/>
      <c r="L401" s="213"/>
      <c r="M401" s="213"/>
      <c r="N401" s="213"/>
      <c r="O401" s="213"/>
      <c r="P401" s="213"/>
      <c r="Q401" s="213"/>
      <c r="R401" s="213"/>
      <c r="S401" s="213"/>
      <c r="T401" s="213"/>
      <c r="U401" s="213"/>
      <c r="V401" s="213"/>
      <c r="W401" s="213"/>
      <c r="X401" s="213"/>
      <c r="Y401" s="213"/>
      <c r="Z401" s="213"/>
      <c r="AA401" s="213"/>
      <c r="AB401" s="211"/>
      <c r="AC401" s="211"/>
      <c r="AD401" s="211">
        <f>INDEX($C$348:$AN$370,MATCH("New Customers One-Time",$C$348:$C$370,0),MATCH($C401,$C$348:$AN$348,0))</f>
        <v>2251.8948816000002</v>
      </c>
      <c r="AE401" s="211">
        <f t="shared" ref="AE401:AN401" si="265">$AD401*(E374)</f>
        <v>0</v>
      </c>
      <c r="AF401" s="211">
        <f t="shared" si="265"/>
        <v>0</v>
      </c>
      <c r="AG401" s="211">
        <f t="shared" si="265"/>
        <v>0</v>
      </c>
      <c r="AH401" s="211">
        <f t="shared" si="265"/>
        <v>0</v>
      </c>
      <c r="AI401" s="211">
        <f t="shared" si="265"/>
        <v>0</v>
      </c>
      <c r="AJ401" s="211">
        <f t="shared" si="265"/>
        <v>0</v>
      </c>
      <c r="AK401" s="211">
        <f t="shared" si="265"/>
        <v>0</v>
      </c>
      <c r="AL401" s="211">
        <f t="shared" si="265"/>
        <v>0</v>
      </c>
      <c r="AM401" s="211">
        <f t="shared" si="265"/>
        <v>0</v>
      </c>
      <c r="AN401" s="211">
        <f t="shared" si="265"/>
        <v>0</v>
      </c>
    </row>
    <row r="402" spans="2:40" ht="12" hidden="1" customHeight="1" outlineLevel="2">
      <c r="B402" s="245"/>
      <c r="C402" s="213" t="s">
        <v>779</v>
      </c>
      <c r="D402" s="213"/>
      <c r="E402" s="213"/>
      <c r="F402" s="213"/>
      <c r="G402" s="213"/>
      <c r="H402" s="213"/>
      <c r="I402" s="213"/>
      <c r="J402" s="213"/>
      <c r="K402" s="213"/>
      <c r="L402" s="213"/>
      <c r="M402" s="213"/>
      <c r="N402" s="213"/>
      <c r="O402" s="213"/>
      <c r="P402" s="213"/>
      <c r="Q402" s="213"/>
      <c r="R402" s="213"/>
      <c r="S402" s="213"/>
      <c r="T402" s="213"/>
      <c r="U402" s="213"/>
      <c r="V402" s="213"/>
      <c r="W402" s="213"/>
      <c r="X402" s="213"/>
      <c r="Y402" s="213"/>
      <c r="Z402" s="213"/>
      <c r="AA402" s="213"/>
      <c r="AB402" s="211"/>
      <c r="AC402" s="211"/>
      <c r="AD402" s="211"/>
      <c r="AE402" s="211">
        <f>INDEX($C$348:$AN$370,MATCH("New Customers One-Time",$C$348:$C$370,0),MATCH($C402,$C$348:$AN$348,0))</f>
        <v>2093.8833115200005</v>
      </c>
      <c r="AF402" s="211">
        <f t="shared" ref="AF402:AN402" si="266">$AE402*(E374)</f>
        <v>0</v>
      </c>
      <c r="AG402" s="211">
        <f t="shared" si="266"/>
        <v>0</v>
      </c>
      <c r="AH402" s="211">
        <f t="shared" si="266"/>
        <v>0</v>
      </c>
      <c r="AI402" s="211">
        <f t="shared" si="266"/>
        <v>0</v>
      </c>
      <c r="AJ402" s="211">
        <f t="shared" si="266"/>
        <v>0</v>
      </c>
      <c r="AK402" s="211">
        <f t="shared" si="266"/>
        <v>0</v>
      </c>
      <c r="AL402" s="211">
        <f t="shared" si="266"/>
        <v>0</v>
      </c>
      <c r="AM402" s="211">
        <f t="shared" si="266"/>
        <v>0</v>
      </c>
      <c r="AN402" s="211">
        <f t="shared" si="266"/>
        <v>0</v>
      </c>
    </row>
    <row r="403" spans="2:40" ht="12" hidden="1" customHeight="1" outlineLevel="2">
      <c r="B403" s="245"/>
      <c r="C403" s="213" t="s">
        <v>780</v>
      </c>
      <c r="D403" s="213"/>
      <c r="E403" s="213"/>
      <c r="F403" s="213"/>
      <c r="G403" s="213"/>
      <c r="H403" s="213"/>
      <c r="I403" s="213"/>
      <c r="J403" s="213"/>
      <c r="K403" s="213"/>
      <c r="L403" s="213"/>
      <c r="M403" s="213"/>
      <c r="N403" s="213"/>
      <c r="O403" s="213"/>
      <c r="P403" s="213"/>
      <c r="Q403" s="213"/>
      <c r="R403" s="213"/>
      <c r="S403" s="213"/>
      <c r="T403" s="213"/>
      <c r="U403" s="213"/>
      <c r="V403" s="213"/>
      <c r="W403" s="213"/>
      <c r="X403" s="213"/>
      <c r="Y403" s="213"/>
      <c r="Z403" s="213"/>
      <c r="AA403" s="213"/>
      <c r="AB403" s="211"/>
      <c r="AC403" s="211"/>
      <c r="AD403" s="211"/>
      <c r="AE403" s="211"/>
      <c r="AF403" s="211">
        <f>INDEX($C$348:$AN$370,MATCH("New Customers One-Time",$C$348:$C$370,0),MATCH($C403,$C$348:$AN$348,0))</f>
        <v>1096.02821328</v>
      </c>
      <c r="AG403" s="211">
        <f t="shared" ref="AG403:AN403" si="267">$AF403*(E374)</f>
        <v>0</v>
      </c>
      <c r="AH403" s="211">
        <f t="shared" si="267"/>
        <v>0</v>
      </c>
      <c r="AI403" s="211">
        <f t="shared" si="267"/>
        <v>0</v>
      </c>
      <c r="AJ403" s="211">
        <f t="shared" si="267"/>
        <v>0</v>
      </c>
      <c r="AK403" s="211">
        <f t="shared" si="267"/>
        <v>0</v>
      </c>
      <c r="AL403" s="211">
        <f t="shared" si="267"/>
        <v>0</v>
      </c>
      <c r="AM403" s="211">
        <f t="shared" si="267"/>
        <v>0</v>
      </c>
      <c r="AN403" s="211">
        <f t="shared" si="267"/>
        <v>0</v>
      </c>
    </row>
    <row r="404" spans="2:40" ht="12" hidden="1" customHeight="1" outlineLevel="2">
      <c r="B404" s="245"/>
      <c r="C404" s="213" t="s">
        <v>781</v>
      </c>
      <c r="D404" s="213"/>
      <c r="E404" s="213"/>
      <c r="F404" s="213"/>
      <c r="G404" s="213"/>
      <c r="H404" s="213"/>
      <c r="I404" s="213"/>
      <c r="J404" s="213"/>
      <c r="K404" s="213"/>
      <c r="L404" s="213"/>
      <c r="M404" s="213"/>
      <c r="N404" s="213"/>
      <c r="O404" s="213"/>
      <c r="P404" s="213"/>
      <c r="Q404" s="213"/>
      <c r="R404" s="213"/>
      <c r="S404" s="213"/>
      <c r="T404" s="213"/>
      <c r="U404" s="213"/>
      <c r="V404" s="213"/>
      <c r="W404" s="213"/>
      <c r="X404" s="213"/>
      <c r="Y404" s="213"/>
      <c r="Z404" s="213"/>
      <c r="AA404" s="213"/>
      <c r="AB404" s="211"/>
      <c r="AC404" s="211"/>
      <c r="AD404" s="211"/>
      <c r="AE404" s="211"/>
      <c r="AF404" s="211"/>
      <c r="AG404" s="211">
        <f>INDEX($C$348:$AN$370,MATCH("New Customers One-Time",$C$348:$C$370,0),MATCH($C404,$C$348:$AN$348,0))</f>
        <v>1083.3920697600001</v>
      </c>
      <c r="AH404" s="211">
        <f t="shared" ref="AH404:AN404" si="268">$AG404*(E374)</f>
        <v>0</v>
      </c>
      <c r="AI404" s="211">
        <f t="shared" si="268"/>
        <v>0</v>
      </c>
      <c r="AJ404" s="211">
        <f t="shared" si="268"/>
        <v>0</v>
      </c>
      <c r="AK404" s="211">
        <f t="shared" si="268"/>
        <v>0</v>
      </c>
      <c r="AL404" s="211">
        <f t="shared" si="268"/>
        <v>0</v>
      </c>
      <c r="AM404" s="211">
        <f t="shared" si="268"/>
        <v>0</v>
      </c>
      <c r="AN404" s="211">
        <f t="shared" si="268"/>
        <v>0</v>
      </c>
    </row>
    <row r="405" spans="2:40" ht="12" hidden="1" customHeight="1" outlineLevel="2">
      <c r="B405" s="245"/>
      <c r="C405" s="213" t="s">
        <v>782</v>
      </c>
      <c r="D405" s="213"/>
      <c r="E405" s="213"/>
      <c r="F405" s="213"/>
      <c r="G405" s="213"/>
      <c r="H405" s="213"/>
      <c r="I405" s="213"/>
      <c r="J405" s="213"/>
      <c r="K405" s="213"/>
      <c r="L405" s="213"/>
      <c r="M405" s="213"/>
      <c r="N405" s="213"/>
      <c r="O405" s="213"/>
      <c r="P405" s="213"/>
      <c r="Q405" s="213"/>
      <c r="R405" s="213"/>
      <c r="S405" s="213"/>
      <c r="T405" s="213"/>
      <c r="U405" s="213"/>
      <c r="V405" s="213"/>
      <c r="W405" s="213"/>
      <c r="X405" s="213"/>
      <c r="Y405" s="213"/>
      <c r="Z405" s="213"/>
      <c r="AA405" s="213"/>
      <c r="AB405" s="211"/>
      <c r="AC405" s="211"/>
      <c r="AD405" s="211"/>
      <c r="AE405" s="211"/>
      <c r="AF405" s="211"/>
      <c r="AG405" s="211"/>
      <c r="AH405" s="211">
        <f>INDEX($C$348:$AN$370,MATCH("New Customers One-Time",$C$348:$C$370,0),MATCH($C405,$C$348:$AN$348,0))</f>
        <v>3337.8443280000006</v>
      </c>
      <c r="AI405" s="211">
        <f t="shared" ref="AI405:AN405" si="269">$AH405*(E374)</f>
        <v>0</v>
      </c>
      <c r="AJ405" s="211">
        <f t="shared" si="269"/>
        <v>0</v>
      </c>
      <c r="AK405" s="211">
        <f t="shared" si="269"/>
        <v>0</v>
      </c>
      <c r="AL405" s="211">
        <f t="shared" si="269"/>
        <v>0</v>
      </c>
      <c r="AM405" s="211">
        <f t="shared" si="269"/>
        <v>0</v>
      </c>
      <c r="AN405" s="211">
        <f t="shared" si="269"/>
        <v>0</v>
      </c>
    </row>
    <row r="406" spans="2:40" ht="12" hidden="1" customHeight="1" outlineLevel="2">
      <c r="B406" s="245"/>
      <c r="C406" s="213" t="s">
        <v>783</v>
      </c>
      <c r="D406" s="213"/>
      <c r="E406" s="213"/>
      <c r="F406" s="213"/>
      <c r="G406" s="213"/>
      <c r="H406" s="213"/>
      <c r="I406" s="213"/>
      <c r="J406" s="213"/>
      <c r="K406" s="213"/>
      <c r="L406" s="213"/>
      <c r="M406" s="213"/>
      <c r="N406" s="213"/>
      <c r="O406" s="213"/>
      <c r="P406" s="213"/>
      <c r="Q406" s="213"/>
      <c r="R406" s="213"/>
      <c r="S406" s="213"/>
      <c r="T406" s="213"/>
      <c r="U406" s="213"/>
      <c r="V406" s="213"/>
      <c r="W406" s="213"/>
      <c r="X406" s="213"/>
      <c r="Y406" s="213"/>
      <c r="Z406" s="213"/>
      <c r="AA406" s="213"/>
      <c r="AB406" s="211"/>
      <c r="AC406" s="211"/>
      <c r="AD406" s="211"/>
      <c r="AE406" s="211"/>
      <c r="AF406" s="211"/>
      <c r="AG406" s="211"/>
      <c r="AH406" s="211"/>
      <c r="AI406" s="211">
        <f>INDEX($C$348:$AN$370,MATCH("New Customers One-Time",$C$348:$C$370,0),MATCH($C406,$C$348:$AN$348,0))</f>
        <v>1263.1777267200002</v>
      </c>
      <c r="AJ406" s="211">
        <f>$AI406*(E374)</f>
        <v>0</v>
      </c>
      <c r="AK406" s="211">
        <f>$AI406*(F374)</f>
        <v>0</v>
      </c>
      <c r="AL406" s="211">
        <f>$AI406*(G374)</f>
        <v>0</v>
      </c>
      <c r="AM406" s="211">
        <f>$AI406*(H374)</f>
        <v>0</v>
      </c>
      <c r="AN406" s="211">
        <f>$AI406*(I374)</f>
        <v>0</v>
      </c>
    </row>
    <row r="407" spans="2:40" ht="12" hidden="1" customHeight="1" outlineLevel="2">
      <c r="B407" s="245"/>
      <c r="C407" s="213" t="s">
        <v>784</v>
      </c>
      <c r="D407" s="213"/>
      <c r="E407" s="213"/>
      <c r="F407" s="213"/>
      <c r="G407" s="213"/>
      <c r="H407" s="213"/>
      <c r="I407" s="213"/>
      <c r="J407" s="213"/>
      <c r="K407" s="213"/>
      <c r="L407" s="213"/>
      <c r="M407" s="213"/>
      <c r="N407" s="213"/>
      <c r="O407" s="213"/>
      <c r="P407" s="213"/>
      <c r="Q407" s="213"/>
      <c r="R407" s="213"/>
      <c r="S407" s="213"/>
      <c r="T407" s="213"/>
      <c r="U407" s="213"/>
      <c r="V407" s="213"/>
      <c r="W407" s="213"/>
      <c r="X407" s="213"/>
      <c r="Y407" s="213"/>
      <c r="Z407" s="213"/>
      <c r="AA407" s="213"/>
      <c r="AB407" s="211"/>
      <c r="AC407" s="211"/>
      <c r="AD407" s="211"/>
      <c r="AE407" s="211"/>
      <c r="AF407" s="211"/>
      <c r="AG407" s="211"/>
      <c r="AH407" s="211"/>
      <c r="AI407" s="211"/>
      <c r="AJ407" s="211">
        <f>INDEX($C$348:$AN$370,MATCH("New Customers One-Time",$C$348:$C$370,0),MATCH($C407,$C$348:$AN$348,0))</f>
        <v>1353.6007430400002</v>
      </c>
      <c r="AK407" s="211">
        <f>$AJ407*(E374)</f>
        <v>0</v>
      </c>
      <c r="AL407" s="211">
        <f>$AJ407*(F374)</f>
        <v>0</v>
      </c>
      <c r="AM407" s="211">
        <f>$AJ407*(G374)</f>
        <v>0</v>
      </c>
      <c r="AN407" s="211">
        <f>$AJ407*(H374)</f>
        <v>0</v>
      </c>
    </row>
    <row r="408" spans="2:40" ht="12" hidden="1" customHeight="1" outlineLevel="2">
      <c r="B408" s="245"/>
      <c r="C408" s="213" t="s">
        <v>785</v>
      </c>
      <c r="D408" s="213"/>
      <c r="E408" s="213"/>
      <c r="F408" s="213"/>
      <c r="G408" s="213"/>
      <c r="H408" s="213"/>
      <c r="I408" s="213"/>
      <c r="J408" s="213"/>
      <c r="K408" s="213"/>
      <c r="L408" s="213"/>
      <c r="M408" s="213"/>
      <c r="N408" s="213"/>
      <c r="O408" s="213"/>
      <c r="P408" s="213"/>
      <c r="Q408" s="213"/>
      <c r="R408" s="213"/>
      <c r="S408" s="213"/>
      <c r="T408" s="213"/>
      <c r="U408" s="213"/>
      <c r="V408" s="213"/>
      <c r="W408" s="213"/>
      <c r="X408" s="213"/>
      <c r="Y408" s="213"/>
      <c r="Z408" s="213"/>
      <c r="AA408" s="213"/>
      <c r="AB408" s="211"/>
      <c r="AC408" s="211"/>
      <c r="AD408" s="211"/>
      <c r="AE408" s="211"/>
      <c r="AF408" s="211"/>
      <c r="AG408" s="211"/>
      <c r="AH408" s="211"/>
      <c r="AI408" s="211"/>
      <c r="AJ408" s="211"/>
      <c r="AK408" s="211">
        <f>INDEX($C$348:$AN$370,MATCH("New Customers One-Time",$C$348:$C$370,0),MATCH($C408,$C$348:$AN$348,0))</f>
        <v>4730.1072000000004</v>
      </c>
      <c r="AL408" s="211">
        <f>$AK408*(E374)</f>
        <v>0</v>
      </c>
      <c r="AM408" s="211">
        <f>$AK408*(F374)</f>
        <v>0</v>
      </c>
      <c r="AN408" s="211">
        <f>$AK408*(G374)</f>
        <v>0</v>
      </c>
    </row>
    <row r="409" spans="2:40" ht="12" hidden="1" customHeight="1" outlineLevel="2">
      <c r="B409" s="245"/>
      <c r="C409" s="213" t="s">
        <v>786</v>
      </c>
      <c r="D409" s="213"/>
      <c r="E409" s="213"/>
      <c r="F409" s="213"/>
      <c r="G409" s="213"/>
      <c r="H409" s="213"/>
      <c r="I409" s="213"/>
      <c r="J409" s="213"/>
      <c r="K409" s="213"/>
      <c r="L409" s="213"/>
      <c r="M409" s="213"/>
      <c r="N409" s="213"/>
      <c r="O409" s="213"/>
      <c r="P409" s="213"/>
      <c r="Q409" s="213"/>
      <c r="R409" s="213"/>
      <c r="S409" s="213"/>
      <c r="T409" s="213"/>
      <c r="U409" s="213"/>
      <c r="V409" s="213"/>
      <c r="W409" s="213"/>
      <c r="X409" s="213"/>
      <c r="Y409" s="213"/>
      <c r="Z409" s="213"/>
      <c r="AA409" s="213"/>
      <c r="AB409" s="211"/>
      <c r="AC409" s="211"/>
      <c r="AD409" s="211"/>
      <c r="AE409" s="211"/>
      <c r="AF409" s="211"/>
      <c r="AG409" s="211"/>
      <c r="AH409" s="211"/>
      <c r="AI409" s="211"/>
      <c r="AJ409" s="211"/>
      <c r="AK409" s="211"/>
      <c r="AL409" s="211">
        <f>INDEX($C$348:$AN$370,MATCH("New Customers One-Time",$C$348:$C$370,0),MATCH($C409,$C$348:$AN$348,0))</f>
        <v>6081.5664000000006</v>
      </c>
      <c r="AM409" s="211">
        <f>$AL409*(E374)</f>
        <v>0</v>
      </c>
      <c r="AN409" s="211">
        <f>$AL409*(F374)</f>
        <v>0</v>
      </c>
    </row>
    <row r="410" spans="2:40" ht="12" hidden="1" customHeight="1" outlineLevel="2">
      <c r="B410" s="245"/>
      <c r="C410" s="213" t="s">
        <v>787</v>
      </c>
      <c r="D410" s="213"/>
      <c r="E410" s="213"/>
      <c r="F410" s="213"/>
      <c r="G410" s="213"/>
      <c r="H410" s="213"/>
      <c r="I410" s="213"/>
      <c r="J410" s="213"/>
      <c r="K410" s="213"/>
      <c r="L410" s="213"/>
      <c r="M410" s="213"/>
      <c r="N410" s="213"/>
      <c r="O410" s="213"/>
      <c r="P410" s="213"/>
      <c r="Q410" s="213"/>
      <c r="R410" s="213"/>
      <c r="S410" s="213"/>
      <c r="T410" s="213"/>
      <c r="U410" s="213"/>
      <c r="V410" s="213"/>
      <c r="W410" s="213"/>
      <c r="X410" s="213"/>
      <c r="Y410" s="213"/>
      <c r="Z410" s="213"/>
      <c r="AA410" s="213"/>
      <c r="AB410" s="211"/>
      <c r="AC410" s="211"/>
      <c r="AD410" s="211"/>
      <c r="AE410" s="211"/>
      <c r="AF410" s="211"/>
      <c r="AG410" s="211"/>
      <c r="AH410" s="211"/>
      <c r="AI410" s="211"/>
      <c r="AJ410" s="211"/>
      <c r="AK410" s="211"/>
      <c r="AL410" s="211"/>
      <c r="AM410" s="211">
        <f>INDEX($C$348:$AN$370,MATCH("New Customers One-Time",$C$348:$C$370,0),MATCH($C410,$C$348:$AN$348,0))</f>
        <v>1013.5944</v>
      </c>
      <c r="AN410" s="211">
        <f>$AM410*(E374)</f>
        <v>0</v>
      </c>
    </row>
    <row r="411" spans="2:40" ht="12" hidden="1" customHeight="1" outlineLevel="2">
      <c r="B411" s="245"/>
      <c r="C411" s="213" t="s">
        <v>788</v>
      </c>
      <c r="D411" s="213"/>
      <c r="E411" s="213"/>
      <c r="F411" s="213"/>
      <c r="G411" s="213"/>
      <c r="H411" s="213"/>
      <c r="I411" s="213"/>
      <c r="J411" s="213"/>
      <c r="K411" s="213"/>
      <c r="L411" s="213"/>
      <c r="M411" s="213"/>
      <c r="N411" s="213"/>
      <c r="O411" s="213"/>
      <c r="P411" s="213"/>
      <c r="Q411" s="213"/>
      <c r="R411" s="213"/>
      <c r="S411" s="213"/>
      <c r="T411" s="213"/>
      <c r="U411" s="213"/>
      <c r="V411" s="213"/>
      <c r="W411" s="213"/>
      <c r="X411" s="213"/>
      <c r="Y411" s="213"/>
      <c r="Z411" s="213"/>
      <c r="AA411" s="213"/>
      <c r="AB411" s="211"/>
      <c r="AC411" s="211"/>
      <c r="AD411" s="211"/>
      <c r="AE411" s="211"/>
      <c r="AF411" s="211"/>
      <c r="AG411" s="211"/>
      <c r="AH411" s="211"/>
      <c r="AI411" s="211"/>
      <c r="AJ411" s="211"/>
      <c r="AK411" s="211"/>
      <c r="AL411" s="211"/>
      <c r="AM411" s="211"/>
      <c r="AN411" s="211">
        <f>INDEX($C$348:$AN$370,MATCH("New Customers One-Time",$C$348:$C$370,0),MATCH($C411,$C$348:$AN$348,0))</f>
        <v>1351.4592</v>
      </c>
    </row>
    <row r="412" spans="2:40" ht="12" hidden="1" customHeight="1" outlineLevel="2">
      <c r="B412" s="245"/>
      <c r="C412" s="213"/>
      <c r="D412" s="213"/>
      <c r="E412" s="213"/>
      <c r="F412" s="213"/>
      <c r="G412" s="213"/>
      <c r="H412" s="213"/>
      <c r="I412" s="213"/>
      <c r="J412" s="213"/>
      <c r="K412" s="213"/>
      <c r="L412" s="213"/>
      <c r="M412" s="213"/>
      <c r="N412" s="213"/>
      <c r="O412" s="213"/>
      <c r="P412" s="213"/>
      <c r="Q412" s="213"/>
      <c r="R412" s="213"/>
      <c r="S412" s="213"/>
      <c r="T412" s="213"/>
      <c r="U412" s="213"/>
      <c r="V412" s="213"/>
      <c r="W412" s="213"/>
      <c r="X412" s="213"/>
      <c r="Y412" s="213"/>
      <c r="Z412" s="213"/>
      <c r="AA412" s="213"/>
      <c r="AB412" s="211"/>
      <c r="AC412" s="211"/>
      <c r="AD412" s="211"/>
      <c r="AE412" s="211"/>
      <c r="AF412" s="211"/>
      <c r="AG412" s="211"/>
      <c r="AH412" s="211"/>
      <c r="AI412" s="211"/>
      <c r="AJ412" s="211"/>
      <c r="AK412" s="211"/>
      <c r="AL412" s="211"/>
      <c r="AM412" s="211"/>
      <c r="AN412" s="211"/>
    </row>
    <row r="413" spans="2:40" ht="12" hidden="1" customHeight="1" outlineLevel="2">
      <c r="B413" s="245"/>
      <c r="C413" s="243" t="s">
        <v>853</v>
      </c>
      <c r="D413" s="213"/>
      <c r="E413" s="213"/>
      <c r="F413" s="213"/>
      <c r="G413" s="213"/>
      <c r="H413" s="213"/>
      <c r="I413" s="213"/>
      <c r="J413" s="213"/>
      <c r="K413" s="213"/>
      <c r="L413" s="213"/>
      <c r="M413" s="213"/>
      <c r="N413" s="213"/>
      <c r="O413" s="213"/>
      <c r="P413" s="213"/>
      <c r="Q413" s="213"/>
      <c r="R413" s="213"/>
      <c r="S413" s="213"/>
      <c r="T413" s="213"/>
      <c r="U413" s="213"/>
      <c r="V413" s="213"/>
      <c r="W413" s="213"/>
      <c r="X413" s="213"/>
      <c r="Y413" s="213"/>
      <c r="Z413" s="213"/>
      <c r="AA413" s="213"/>
      <c r="AB413" s="213"/>
      <c r="AC413" s="211"/>
    </row>
    <row r="414" spans="2:40" ht="12" hidden="1" customHeight="1" outlineLevel="2">
      <c r="B414" s="239"/>
      <c r="C414" s="214" t="s">
        <v>850</v>
      </c>
      <c r="D414" s="214"/>
      <c r="E414" s="196" t="s">
        <v>753</v>
      </c>
      <c r="F414" s="196" t="s">
        <v>754</v>
      </c>
      <c r="G414" s="196" t="s">
        <v>755</v>
      </c>
      <c r="H414" s="196" t="s">
        <v>756</v>
      </c>
      <c r="I414" s="196" t="s">
        <v>757</v>
      </c>
      <c r="J414" s="196" t="s">
        <v>758</v>
      </c>
      <c r="K414" s="196" t="s">
        <v>759</v>
      </c>
      <c r="L414" s="196" t="s">
        <v>760</v>
      </c>
      <c r="M414" s="196" t="s">
        <v>761</v>
      </c>
      <c r="N414" s="196" t="s">
        <v>762</v>
      </c>
      <c r="O414" s="196" t="s">
        <v>763</v>
      </c>
      <c r="P414" s="196" t="s">
        <v>764</v>
      </c>
      <c r="Q414" s="196" t="s">
        <v>765</v>
      </c>
      <c r="R414" s="196" t="s">
        <v>766</v>
      </c>
      <c r="S414" s="196" t="s">
        <v>767</v>
      </c>
      <c r="T414" s="196" t="s">
        <v>768</v>
      </c>
      <c r="U414" s="196" t="s">
        <v>769</v>
      </c>
      <c r="V414" s="196" t="s">
        <v>770</v>
      </c>
      <c r="W414" s="196" t="s">
        <v>771</v>
      </c>
      <c r="X414" s="196" t="s">
        <v>772</v>
      </c>
      <c r="Y414" s="196" t="s">
        <v>773</v>
      </c>
      <c r="Z414" s="196" t="s">
        <v>774</v>
      </c>
      <c r="AA414" s="196" t="s">
        <v>775</v>
      </c>
      <c r="AB414" s="196" t="s">
        <v>776</v>
      </c>
      <c r="AC414" s="196" t="s">
        <v>777</v>
      </c>
      <c r="AD414" s="196" t="s">
        <v>778</v>
      </c>
      <c r="AE414" s="196" t="s">
        <v>779</v>
      </c>
      <c r="AF414" s="196" t="s">
        <v>780</v>
      </c>
      <c r="AG414" s="196" t="s">
        <v>781</v>
      </c>
      <c r="AH414" s="196" t="s">
        <v>782</v>
      </c>
      <c r="AI414" s="196" t="s">
        <v>783</v>
      </c>
      <c r="AJ414" s="196" t="s">
        <v>784</v>
      </c>
      <c r="AK414" s="196" t="s">
        <v>785</v>
      </c>
      <c r="AL414" s="196" t="s">
        <v>786</v>
      </c>
      <c r="AM414" s="196" t="s">
        <v>787</v>
      </c>
      <c r="AN414" s="196" t="s">
        <v>788</v>
      </c>
    </row>
    <row r="415" spans="2:40" ht="12" hidden="1" customHeight="1" outlineLevel="2">
      <c r="B415" s="239"/>
      <c r="C415" s="247" t="s">
        <v>851</v>
      </c>
      <c r="D415" s="214"/>
      <c r="E415" s="193">
        <v>0.04</v>
      </c>
      <c r="F415" s="193">
        <v>0.04</v>
      </c>
      <c r="G415" s="193">
        <v>0.04</v>
      </c>
      <c r="H415" s="193">
        <v>0.04</v>
      </c>
      <c r="I415" s="193">
        <v>0.03</v>
      </c>
      <c r="J415" s="193">
        <v>0.03</v>
      </c>
      <c r="K415" s="193">
        <v>0.03</v>
      </c>
      <c r="L415" s="193">
        <v>0.03</v>
      </c>
      <c r="M415" s="193">
        <v>0.02</v>
      </c>
      <c r="N415" s="193">
        <v>0.02</v>
      </c>
      <c r="O415" s="193">
        <v>0.02</v>
      </c>
      <c r="P415" s="193">
        <v>0.03</v>
      </c>
      <c r="Q415" s="193">
        <v>0.03</v>
      </c>
      <c r="R415" s="193">
        <v>0.01</v>
      </c>
      <c r="S415" s="193">
        <v>0.01</v>
      </c>
      <c r="T415" s="193">
        <v>0.01</v>
      </c>
      <c r="U415" s="193">
        <v>0.01</v>
      </c>
      <c r="V415" s="193">
        <v>0.01</v>
      </c>
      <c r="W415" s="193">
        <v>0.01</v>
      </c>
      <c r="X415" s="193">
        <v>0.01</v>
      </c>
      <c r="Y415" s="193">
        <v>0.01</v>
      </c>
      <c r="Z415" s="193">
        <v>0.01</v>
      </c>
      <c r="AA415" s="193">
        <v>0.01</v>
      </c>
      <c r="AB415" s="193">
        <v>0.01</v>
      </c>
      <c r="AC415" s="193">
        <v>0.01</v>
      </c>
      <c r="AD415" s="193">
        <v>0.01</v>
      </c>
      <c r="AE415" s="193">
        <v>0.01</v>
      </c>
      <c r="AF415" s="193">
        <v>0.01</v>
      </c>
      <c r="AG415" s="193">
        <v>0.01</v>
      </c>
      <c r="AH415" s="193">
        <v>0.01</v>
      </c>
      <c r="AI415" s="193">
        <v>0.01</v>
      </c>
      <c r="AJ415" s="193">
        <v>0.01</v>
      </c>
      <c r="AK415" s="193">
        <v>0.01</v>
      </c>
      <c r="AL415" s="193">
        <v>0.01</v>
      </c>
      <c r="AM415" s="193">
        <v>0.01</v>
      </c>
      <c r="AN415" s="193">
        <v>0.01</v>
      </c>
    </row>
    <row r="416" spans="2:40" s="214" customFormat="1" ht="12" hidden="1" customHeight="1" outlineLevel="2">
      <c r="C416" s="213" t="s">
        <v>861</v>
      </c>
      <c r="E416" s="211">
        <v>322</v>
      </c>
      <c r="F416" s="211">
        <v>379</v>
      </c>
      <c r="G416" s="211">
        <v>480</v>
      </c>
      <c r="H416" s="211">
        <v>363</v>
      </c>
      <c r="I416" s="211">
        <v>305</v>
      </c>
      <c r="J416" s="211">
        <f t="shared" ref="J416:AN416" si="270">I416*0.9</f>
        <v>274.5</v>
      </c>
      <c r="K416" s="211">
        <f t="shared" si="270"/>
        <v>247.05</v>
      </c>
      <c r="L416" s="211">
        <f t="shared" si="270"/>
        <v>222.34500000000003</v>
      </c>
      <c r="M416" s="211">
        <f t="shared" si="270"/>
        <v>200.11050000000003</v>
      </c>
      <c r="N416" s="211">
        <f t="shared" si="270"/>
        <v>180.09945000000002</v>
      </c>
      <c r="O416" s="211">
        <f t="shared" si="270"/>
        <v>162.08950500000003</v>
      </c>
      <c r="P416" s="211">
        <f t="shared" si="270"/>
        <v>145.88055450000004</v>
      </c>
      <c r="Q416" s="211">
        <f t="shared" si="270"/>
        <v>131.29249905000003</v>
      </c>
      <c r="R416" s="211">
        <f t="shared" si="270"/>
        <v>118.16324914500004</v>
      </c>
      <c r="S416" s="211">
        <f t="shared" si="270"/>
        <v>106.34692423050004</v>
      </c>
      <c r="T416" s="211">
        <f t="shared" si="270"/>
        <v>95.712231807450038</v>
      </c>
      <c r="U416" s="211">
        <f t="shared" si="270"/>
        <v>86.14100862670503</v>
      </c>
      <c r="V416" s="211">
        <f t="shared" si="270"/>
        <v>77.526907764034533</v>
      </c>
      <c r="W416" s="211">
        <f t="shared" si="270"/>
        <v>69.774216987631078</v>
      </c>
      <c r="X416" s="211">
        <f t="shared" si="270"/>
        <v>62.796795288867969</v>
      </c>
      <c r="Y416" s="211">
        <f t="shared" si="270"/>
        <v>56.517115759981174</v>
      </c>
      <c r="Z416" s="211">
        <f t="shared" si="270"/>
        <v>50.86540418398306</v>
      </c>
      <c r="AA416" s="211">
        <f t="shared" si="270"/>
        <v>45.778863765584752</v>
      </c>
      <c r="AB416" s="211">
        <f t="shared" si="270"/>
        <v>41.200977389026278</v>
      </c>
      <c r="AC416" s="211">
        <f t="shared" si="270"/>
        <v>37.080879650123649</v>
      </c>
      <c r="AD416" s="211">
        <f t="shared" si="270"/>
        <v>33.372791685111288</v>
      </c>
      <c r="AE416" s="211">
        <f t="shared" si="270"/>
        <v>30.035512516600161</v>
      </c>
      <c r="AF416" s="211">
        <f t="shared" si="270"/>
        <v>27.031961264940144</v>
      </c>
      <c r="AG416" s="211">
        <f t="shared" si="270"/>
        <v>24.32876513844613</v>
      </c>
      <c r="AH416" s="211">
        <f t="shared" si="270"/>
        <v>21.895888624601518</v>
      </c>
      <c r="AI416" s="211">
        <f t="shared" si="270"/>
        <v>19.706299762141366</v>
      </c>
      <c r="AJ416" s="211">
        <f t="shared" si="270"/>
        <v>17.735669785927229</v>
      </c>
      <c r="AK416" s="211">
        <f t="shared" si="270"/>
        <v>15.962102807334507</v>
      </c>
      <c r="AL416" s="211">
        <f t="shared" si="270"/>
        <v>14.365892526601057</v>
      </c>
      <c r="AM416" s="211">
        <f t="shared" si="270"/>
        <v>12.929303273940951</v>
      </c>
      <c r="AN416" s="211">
        <f t="shared" si="270"/>
        <v>11.636372946546857</v>
      </c>
    </row>
    <row r="417" spans="2:40" ht="12" hidden="1" customHeight="1" outlineLevel="2">
      <c r="B417" s="245"/>
      <c r="C417" s="213" t="s">
        <v>753</v>
      </c>
      <c r="D417" s="213"/>
      <c r="E417" s="211">
        <f>INDEX($C$348:$AN$370,MATCH("New Customers 1MS",$C$348:$C$370,0),MATCH($C417,$C$348:$AN$348,0))</f>
        <v>22</v>
      </c>
      <c r="F417" s="211">
        <f t="shared" ref="F417:AN417" si="271">$E417*(E415)</f>
        <v>0.88</v>
      </c>
      <c r="G417" s="211">
        <f t="shared" si="271"/>
        <v>0.88</v>
      </c>
      <c r="H417" s="211">
        <f t="shared" si="271"/>
        <v>0.88</v>
      </c>
      <c r="I417" s="211">
        <f t="shared" si="271"/>
        <v>0.88</v>
      </c>
      <c r="J417" s="211">
        <f t="shared" si="271"/>
        <v>0.65999999999999992</v>
      </c>
      <c r="K417" s="211">
        <f t="shared" si="271"/>
        <v>0.65999999999999992</v>
      </c>
      <c r="L417" s="211">
        <f t="shared" si="271"/>
        <v>0.65999999999999992</v>
      </c>
      <c r="M417" s="211">
        <f t="shared" si="271"/>
        <v>0.65999999999999992</v>
      </c>
      <c r="N417" s="211">
        <f t="shared" si="271"/>
        <v>0.44</v>
      </c>
      <c r="O417" s="211">
        <f t="shared" si="271"/>
        <v>0.44</v>
      </c>
      <c r="P417" s="211">
        <f t="shared" si="271"/>
        <v>0.44</v>
      </c>
      <c r="Q417" s="211">
        <f t="shared" si="271"/>
        <v>0.65999999999999992</v>
      </c>
      <c r="R417" s="211">
        <f t="shared" si="271"/>
        <v>0.65999999999999992</v>
      </c>
      <c r="S417" s="211">
        <f t="shared" si="271"/>
        <v>0.22</v>
      </c>
      <c r="T417" s="211">
        <f t="shared" si="271"/>
        <v>0.22</v>
      </c>
      <c r="U417" s="211">
        <f t="shared" si="271"/>
        <v>0.22</v>
      </c>
      <c r="V417" s="211">
        <f t="shared" si="271"/>
        <v>0.22</v>
      </c>
      <c r="W417" s="211">
        <f t="shared" si="271"/>
        <v>0.22</v>
      </c>
      <c r="X417" s="211">
        <f t="shared" si="271"/>
        <v>0.22</v>
      </c>
      <c r="Y417" s="211">
        <f t="shared" si="271"/>
        <v>0.22</v>
      </c>
      <c r="Z417" s="211">
        <f t="shared" si="271"/>
        <v>0.22</v>
      </c>
      <c r="AA417" s="211">
        <f t="shared" si="271"/>
        <v>0.22</v>
      </c>
      <c r="AB417" s="211">
        <f t="shared" si="271"/>
        <v>0.22</v>
      </c>
      <c r="AC417" s="211">
        <f t="shared" si="271"/>
        <v>0.22</v>
      </c>
      <c r="AD417" s="211">
        <f t="shared" si="271"/>
        <v>0.22</v>
      </c>
      <c r="AE417" s="211">
        <f t="shared" si="271"/>
        <v>0.22</v>
      </c>
      <c r="AF417" s="211">
        <f t="shared" si="271"/>
        <v>0.22</v>
      </c>
      <c r="AG417" s="211">
        <f t="shared" si="271"/>
        <v>0.22</v>
      </c>
      <c r="AH417" s="211">
        <f t="shared" si="271"/>
        <v>0.22</v>
      </c>
      <c r="AI417" s="211">
        <f t="shared" si="271"/>
        <v>0.22</v>
      </c>
      <c r="AJ417" s="211">
        <f t="shared" si="271"/>
        <v>0.22</v>
      </c>
      <c r="AK417" s="211">
        <f t="shared" si="271"/>
        <v>0.22</v>
      </c>
      <c r="AL417" s="211">
        <f t="shared" si="271"/>
        <v>0.22</v>
      </c>
      <c r="AM417" s="211">
        <f t="shared" si="271"/>
        <v>0.22</v>
      </c>
      <c r="AN417" s="211">
        <f t="shared" si="271"/>
        <v>0.22</v>
      </c>
    </row>
    <row r="418" spans="2:40" ht="12" hidden="1" customHeight="1" outlineLevel="2">
      <c r="B418" s="245"/>
      <c r="C418" s="213" t="s">
        <v>754</v>
      </c>
      <c r="D418" s="213"/>
      <c r="E418" s="213"/>
      <c r="F418" s="211">
        <f>INDEX($C$348:$AN$370,MATCH("New Customers 1MS",$C$348:$C$370,0),MATCH($C418,$C$348:$AN$348,0))</f>
        <v>27.999999999999961</v>
      </c>
      <c r="G418" s="211">
        <f t="shared" ref="G418:AN418" si="272">$F418*(E415)</f>
        <v>1.1199999999999986</v>
      </c>
      <c r="H418" s="211">
        <f t="shared" si="272"/>
        <v>1.1199999999999986</v>
      </c>
      <c r="I418" s="211">
        <f t="shared" si="272"/>
        <v>1.1199999999999986</v>
      </c>
      <c r="J418" s="211">
        <f t="shared" si="272"/>
        <v>1.1199999999999986</v>
      </c>
      <c r="K418" s="211">
        <f t="shared" si="272"/>
        <v>0.83999999999999875</v>
      </c>
      <c r="L418" s="211">
        <f t="shared" si="272"/>
        <v>0.83999999999999875</v>
      </c>
      <c r="M418" s="211">
        <f t="shared" si="272"/>
        <v>0.83999999999999875</v>
      </c>
      <c r="N418" s="211">
        <f t="shared" si="272"/>
        <v>0.83999999999999875</v>
      </c>
      <c r="O418" s="211">
        <f t="shared" si="272"/>
        <v>0.55999999999999928</v>
      </c>
      <c r="P418" s="211">
        <f t="shared" si="272"/>
        <v>0.55999999999999928</v>
      </c>
      <c r="Q418" s="211">
        <f t="shared" si="272"/>
        <v>0.55999999999999928</v>
      </c>
      <c r="R418" s="211">
        <f t="shared" si="272"/>
        <v>0.83999999999999875</v>
      </c>
      <c r="S418" s="211">
        <f t="shared" si="272"/>
        <v>0.83999999999999875</v>
      </c>
      <c r="T418" s="211">
        <f t="shared" si="272"/>
        <v>0.27999999999999964</v>
      </c>
      <c r="U418" s="211">
        <f t="shared" si="272"/>
        <v>0.27999999999999964</v>
      </c>
      <c r="V418" s="211">
        <f t="shared" si="272"/>
        <v>0.27999999999999964</v>
      </c>
      <c r="W418" s="211">
        <f t="shared" si="272"/>
        <v>0.27999999999999964</v>
      </c>
      <c r="X418" s="211">
        <f t="shared" si="272"/>
        <v>0.27999999999999964</v>
      </c>
      <c r="Y418" s="211">
        <f t="shared" si="272"/>
        <v>0.27999999999999964</v>
      </c>
      <c r="Z418" s="211">
        <f t="shared" si="272"/>
        <v>0.27999999999999964</v>
      </c>
      <c r="AA418" s="211">
        <f t="shared" si="272"/>
        <v>0.27999999999999964</v>
      </c>
      <c r="AB418" s="211">
        <f t="shared" si="272"/>
        <v>0.27999999999999964</v>
      </c>
      <c r="AC418" s="211">
        <f t="shared" si="272"/>
        <v>0.27999999999999964</v>
      </c>
      <c r="AD418" s="211">
        <f t="shared" si="272"/>
        <v>0.27999999999999964</v>
      </c>
      <c r="AE418" s="211">
        <f t="shared" si="272"/>
        <v>0.27999999999999964</v>
      </c>
      <c r="AF418" s="211">
        <f t="shared" si="272"/>
        <v>0.27999999999999964</v>
      </c>
      <c r="AG418" s="211">
        <f t="shared" si="272"/>
        <v>0.27999999999999964</v>
      </c>
      <c r="AH418" s="211">
        <f t="shared" si="272"/>
        <v>0.27999999999999964</v>
      </c>
      <c r="AI418" s="211">
        <f t="shared" si="272"/>
        <v>0.27999999999999964</v>
      </c>
      <c r="AJ418" s="211">
        <f t="shared" si="272"/>
        <v>0.27999999999999964</v>
      </c>
      <c r="AK418" s="211">
        <f t="shared" si="272"/>
        <v>0.27999999999999964</v>
      </c>
      <c r="AL418" s="211">
        <f t="shared" si="272"/>
        <v>0.27999999999999964</v>
      </c>
      <c r="AM418" s="211">
        <f t="shared" si="272"/>
        <v>0.27999999999999964</v>
      </c>
      <c r="AN418" s="211">
        <f t="shared" si="272"/>
        <v>0.27999999999999964</v>
      </c>
    </row>
    <row r="419" spans="2:40" ht="12" hidden="1" customHeight="1" outlineLevel="2">
      <c r="B419" s="245"/>
      <c r="C419" s="213" t="s">
        <v>755</v>
      </c>
      <c r="D419" s="213"/>
      <c r="E419" s="213"/>
      <c r="G419" s="211">
        <f>INDEX($C$348:$AN$370,MATCH("New Customers 1MS",$C$348:$C$370,0),MATCH($C419,$C$348:$AN$348,0))</f>
        <v>23.999999999999996</v>
      </c>
      <c r="H419" s="211">
        <f>G419*(E415)</f>
        <v>0.95999999999999985</v>
      </c>
      <c r="I419" s="211">
        <f>G419*(F415)</f>
        <v>0.95999999999999985</v>
      </c>
      <c r="J419" s="211">
        <f>G419*(G415)</f>
        <v>0.95999999999999985</v>
      </c>
      <c r="K419" s="211">
        <f>G419*(H415)</f>
        <v>0.95999999999999985</v>
      </c>
      <c r="L419" s="211">
        <f>G419*(I415)</f>
        <v>0.71999999999999986</v>
      </c>
      <c r="M419" s="211">
        <f>G419*(J415)</f>
        <v>0.71999999999999986</v>
      </c>
      <c r="N419" s="211">
        <f>G419*(K415)</f>
        <v>0.71999999999999986</v>
      </c>
      <c r="O419" s="211">
        <f>G419*(L415)</f>
        <v>0.71999999999999986</v>
      </c>
      <c r="P419" s="211">
        <f>G419*(M415)</f>
        <v>0.47999999999999993</v>
      </c>
      <c r="Q419" s="211">
        <f>G419*(N415)</f>
        <v>0.47999999999999993</v>
      </c>
      <c r="R419" s="211">
        <f>G419*(O415)</f>
        <v>0.47999999999999993</v>
      </c>
      <c r="S419" s="211">
        <f>G419*(P415)</f>
        <v>0.71999999999999986</v>
      </c>
      <c r="T419" s="211">
        <f>G419*(Q415)</f>
        <v>0.71999999999999986</v>
      </c>
      <c r="U419" s="211">
        <f>G419*(R415)</f>
        <v>0.23999999999999996</v>
      </c>
      <c r="V419" s="211">
        <f>G419*(S415)</f>
        <v>0.23999999999999996</v>
      </c>
      <c r="W419" s="211">
        <f>G419*(T415)</f>
        <v>0.23999999999999996</v>
      </c>
      <c r="X419" s="211">
        <f>G419*(U415)</f>
        <v>0.23999999999999996</v>
      </c>
      <c r="Y419" s="211">
        <f>G419*(V415)</f>
        <v>0.23999999999999996</v>
      </c>
      <c r="Z419" s="211">
        <f>G419*(W415)</f>
        <v>0.23999999999999996</v>
      </c>
      <c r="AA419" s="211">
        <f>G419*(X415)</f>
        <v>0.23999999999999996</v>
      </c>
      <c r="AB419" s="211">
        <f>G419*(Y415)</f>
        <v>0.23999999999999996</v>
      </c>
      <c r="AC419" s="211">
        <f>G419*(Z415)</f>
        <v>0.23999999999999996</v>
      </c>
      <c r="AD419" s="211">
        <f>G419*(AA415)</f>
        <v>0.23999999999999996</v>
      </c>
      <c r="AE419" s="211">
        <f>G419*(AB415)</f>
        <v>0.23999999999999996</v>
      </c>
      <c r="AF419" s="211">
        <f>G419*(AC415)</f>
        <v>0.23999999999999996</v>
      </c>
      <c r="AG419" s="211">
        <f>G419*(AD415)</f>
        <v>0.23999999999999996</v>
      </c>
      <c r="AH419" s="211">
        <f>G419*(AE415)</f>
        <v>0.23999999999999996</v>
      </c>
      <c r="AI419" s="211">
        <f>G419*(AF415)</f>
        <v>0.23999999999999996</v>
      </c>
      <c r="AJ419" s="211">
        <f>G419*(AG415)</f>
        <v>0.23999999999999996</v>
      </c>
      <c r="AK419" s="211">
        <f>G419*(AH415)</f>
        <v>0.23999999999999996</v>
      </c>
      <c r="AL419" s="211">
        <f>G419*(AI415)</f>
        <v>0.23999999999999996</v>
      </c>
      <c r="AM419" s="211">
        <f>G419*(AJ415)</f>
        <v>0.23999999999999996</v>
      </c>
      <c r="AN419" s="211">
        <f>G419*(AK415)</f>
        <v>0.23999999999999996</v>
      </c>
    </row>
    <row r="420" spans="2:40" ht="12" hidden="1" customHeight="1" outlineLevel="2">
      <c r="B420" s="245"/>
      <c r="C420" s="213" t="s">
        <v>756</v>
      </c>
      <c r="D420" s="213"/>
      <c r="E420" s="213"/>
      <c r="F420" s="213"/>
      <c r="G420" s="213"/>
      <c r="H420" s="211">
        <f>INDEX($C$348:$AN$370,MATCH("New Customers 1MS",$C$348:$C$370,0),MATCH($C420,$C$348:$AN$348,0))</f>
        <v>24.999999999999996</v>
      </c>
      <c r="I420" s="211">
        <f>H420*(E415)</f>
        <v>0.99999999999999989</v>
      </c>
      <c r="J420" s="211">
        <f>H420*(F415)</f>
        <v>0.99999999999999989</v>
      </c>
      <c r="K420" s="211">
        <f>H420*(G415)</f>
        <v>0.99999999999999989</v>
      </c>
      <c r="L420" s="211">
        <f>H420*(H415)</f>
        <v>0.99999999999999989</v>
      </c>
      <c r="M420" s="211">
        <f>H420*(I415)</f>
        <v>0.74999999999999989</v>
      </c>
      <c r="N420" s="211">
        <f>H420*(J415)</f>
        <v>0.74999999999999989</v>
      </c>
      <c r="O420" s="211">
        <f>H420*(K415)</f>
        <v>0.74999999999999989</v>
      </c>
      <c r="P420" s="211">
        <f>H420*(L415)</f>
        <v>0.74999999999999989</v>
      </c>
      <c r="Q420" s="211">
        <f>H420*(M415)</f>
        <v>0.49999999999999994</v>
      </c>
      <c r="R420" s="211">
        <f>H420*(N415)</f>
        <v>0.49999999999999994</v>
      </c>
      <c r="S420" s="211">
        <f>H420*(O415)</f>
        <v>0.49999999999999994</v>
      </c>
      <c r="T420" s="211">
        <f>H420*(P415)</f>
        <v>0.74999999999999989</v>
      </c>
      <c r="U420" s="211">
        <f>H420*(Q415)</f>
        <v>0.74999999999999989</v>
      </c>
      <c r="V420" s="211">
        <f>H420*(R415)</f>
        <v>0.24999999999999997</v>
      </c>
      <c r="W420" s="211">
        <f>H420*(S415)</f>
        <v>0.24999999999999997</v>
      </c>
      <c r="X420" s="211">
        <f>H420*(T415)</f>
        <v>0.24999999999999997</v>
      </c>
      <c r="Y420" s="211">
        <f>H420*(U415)</f>
        <v>0.24999999999999997</v>
      </c>
      <c r="Z420" s="211">
        <f>H420*(V415)</f>
        <v>0.24999999999999997</v>
      </c>
      <c r="AA420" s="211">
        <f>H420*(W415)</f>
        <v>0.24999999999999997</v>
      </c>
      <c r="AB420" s="211">
        <f>H420*(X415)</f>
        <v>0.24999999999999997</v>
      </c>
      <c r="AC420" s="211">
        <f>H420*(Y415)</f>
        <v>0.24999999999999997</v>
      </c>
      <c r="AD420" s="211">
        <f>H420*(Z415)</f>
        <v>0.24999999999999997</v>
      </c>
      <c r="AE420" s="211">
        <f>H420*(AA415)</f>
        <v>0.24999999999999997</v>
      </c>
      <c r="AF420" s="211">
        <f>H420*(AB415)</f>
        <v>0.24999999999999997</v>
      </c>
      <c r="AG420" s="211">
        <f>H420*(AC415)</f>
        <v>0.24999999999999997</v>
      </c>
      <c r="AH420" s="211">
        <f>H420*(AD415)</f>
        <v>0.24999999999999997</v>
      </c>
      <c r="AI420" s="211">
        <f>H420*(AE415)</f>
        <v>0.24999999999999997</v>
      </c>
      <c r="AJ420" s="211">
        <f>H420*(AF415)</f>
        <v>0.24999999999999997</v>
      </c>
      <c r="AK420" s="211">
        <f>H420*(AG415)</f>
        <v>0.24999999999999997</v>
      </c>
      <c r="AL420" s="211">
        <f>H420*(AH415)</f>
        <v>0.24999999999999997</v>
      </c>
      <c r="AM420" s="211">
        <f>H420*(AI415)</f>
        <v>0.24999999999999997</v>
      </c>
      <c r="AN420" s="211">
        <f>H420*(AJ415)</f>
        <v>0.24999999999999997</v>
      </c>
    </row>
    <row r="421" spans="2:40" ht="12" hidden="1" customHeight="1" outlineLevel="2">
      <c r="B421" s="245"/>
      <c r="C421" s="213" t="s">
        <v>757</v>
      </c>
      <c r="D421" s="213"/>
      <c r="E421" s="213"/>
      <c r="F421" s="213"/>
      <c r="G421" s="213"/>
      <c r="H421" s="213"/>
      <c r="I421" s="211">
        <f>INDEX($C$348:$AN$370,MATCH("New Customers 1MS",$C$348:$C$370,0),MATCH($C421,$C$348:$AN$348,0))</f>
        <v>22.000000000000004</v>
      </c>
      <c r="J421" s="211">
        <f>I421*(E415)</f>
        <v>0.88000000000000012</v>
      </c>
      <c r="K421" s="211">
        <f>I421*(F415)</f>
        <v>0.88000000000000012</v>
      </c>
      <c r="L421" s="211">
        <f>I421*(G415)</f>
        <v>0.88000000000000012</v>
      </c>
      <c r="M421" s="211">
        <f>I421*(H415)</f>
        <v>0.88000000000000012</v>
      </c>
      <c r="N421" s="211">
        <f>I421*(I415)</f>
        <v>0.66</v>
      </c>
      <c r="O421" s="211">
        <f>I421*(J415)</f>
        <v>0.66</v>
      </c>
      <c r="P421" s="211">
        <f>I421*(K415)</f>
        <v>0.66</v>
      </c>
      <c r="Q421" s="211">
        <f>I421*(L415)</f>
        <v>0.66</v>
      </c>
      <c r="R421" s="211">
        <f>I421*(M415)</f>
        <v>0.44000000000000006</v>
      </c>
      <c r="S421" s="211">
        <f>I421*(N415)</f>
        <v>0.44000000000000006</v>
      </c>
      <c r="T421" s="211">
        <f>I421*(O415)</f>
        <v>0.44000000000000006</v>
      </c>
      <c r="U421" s="211">
        <f>I421*(P415)</f>
        <v>0.66</v>
      </c>
      <c r="V421" s="211">
        <f>I421*(Q415)</f>
        <v>0.66</v>
      </c>
      <c r="W421" s="211">
        <f>I421*(R415)</f>
        <v>0.22000000000000003</v>
      </c>
      <c r="X421" s="211">
        <f>I421*(S415)</f>
        <v>0.22000000000000003</v>
      </c>
      <c r="Y421" s="211">
        <f>I421*(T415)</f>
        <v>0.22000000000000003</v>
      </c>
      <c r="Z421" s="211">
        <f>I421*(U415)</f>
        <v>0.22000000000000003</v>
      </c>
      <c r="AA421" s="211">
        <f>I421*(V415)</f>
        <v>0.22000000000000003</v>
      </c>
      <c r="AB421" s="211">
        <f>I421*(W415)</f>
        <v>0.22000000000000003</v>
      </c>
      <c r="AC421" s="211">
        <f>I421*(X415)</f>
        <v>0.22000000000000003</v>
      </c>
      <c r="AD421" s="211">
        <f>I421*(Y415)</f>
        <v>0.22000000000000003</v>
      </c>
      <c r="AE421" s="211">
        <f>I421*(Z415)</f>
        <v>0.22000000000000003</v>
      </c>
      <c r="AF421" s="211">
        <f>I421*(AA415)</f>
        <v>0.22000000000000003</v>
      </c>
      <c r="AG421" s="211">
        <f>I421*(AB415)</f>
        <v>0.22000000000000003</v>
      </c>
      <c r="AH421" s="211">
        <f>I421*(AC415)</f>
        <v>0.22000000000000003</v>
      </c>
      <c r="AI421" s="211">
        <f>I421*(AD415)</f>
        <v>0.22000000000000003</v>
      </c>
      <c r="AJ421" s="211">
        <f>I421*(AE415)</f>
        <v>0.22000000000000003</v>
      </c>
      <c r="AK421" s="211">
        <f>I421*(AF415)</f>
        <v>0.22000000000000003</v>
      </c>
      <c r="AL421" s="211">
        <f>I421*(AG415)</f>
        <v>0.22000000000000003</v>
      </c>
      <c r="AM421" s="211">
        <f>I421*(AH415)</f>
        <v>0.22000000000000003</v>
      </c>
      <c r="AN421" s="211">
        <f>I421*(AI415)</f>
        <v>0.22000000000000003</v>
      </c>
    </row>
    <row r="422" spans="2:40" ht="12" hidden="1" customHeight="1" outlineLevel="2">
      <c r="B422" s="245"/>
      <c r="C422" s="213" t="s">
        <v>758</v>
      </c>
      <c r="D422" s="213"/>
      <c r="E422" s="213"/>
      <c r="F422" s="213"/>
      <c r="G422" s="213"/>
      <c r="H422" s="213"/>
      <c r="I422" s="213"/>
      <c r="J422" s="211">
        <f>INDEX($C$348:$AN$370,MATCH("New Customers 1MS",$C$348:$C$370,0),MATCH($C422,$C$348:$AN$348,0))</f>
        <v>50.999999999999901</v>
      </c>
      <c r="K422" s="211">
        <f>J422*(E415)</f>
        <v>2.039999999999996</v>
      </c>
      <c r="L422" s="211">
        <f>J422*(F415)</f>
        <v>2.039999999999996</v>
      </c>
      <c r="M422" s="211">
        <f>J422*(G415)</f>
        <v>2.039999999999996</v>
      </c>
      <c r="N422" s="211">
        <f>J422*(H415)</f>
        <v>2.039999999999996</v>
      </c>
      <c r="O422" s="211">
        <f>J422*(I415)</f>
        <v>1.5299999999999969</v>
      </c>
      <c r="P422" s="211">
        <f>J422*(J415)</f>
        <v>1.5299999999999969</v>
      </c>
      <c r="Q422" s="211">
        <f>J422*(K415)</f>
        <v>1.5299999999999969</v>
      </c>
      <c r="R422" s="211">
        <f>J422*(L415)</f>
        <v>1.5299999999999969</v>
      </c>
      <c r="S422" s="211">
        <f>J422*(M415)</f>
        <v>1.019999999999998</v>
      </c>
      <c r="T422" s="211">
        <f>J422*(N415)</f>
        <v>1.019999999999998</v>
      </c>
      <c r="U422" s="211">
        <f>J422*(O415)</f>
        <v>1.019999999999998</v>
      </c>
      <c r="V422" s="211">
        <f>J422*(P415)</f>
        <v>1.5299999999999969</v>
      </c>
      <c r="W422" s="211">
        <f>J422*(Q415)</f>
        <v>1.5299999999999969</v>
      </c>
      <c r="X422" s="211">
        <f>J422*(R415)</f>
        <v>0.50999999999999901</v>
      </c>
      <c r="Y422" s="211">
        <f>J422*(S415)</f>
        <v>0.50999999999999901</v>
      </c>
      <c r="Z422" s="211">
        <f>J422*(T415)</f>
        <v>0.50999999999999901</v>
      </c>
      <c r="AA422" s="211">
        <f>J422*(U415)</f>
        <v>0.50999999999999901</v>
      </c>
      <c r="AB422" s="211">
        <f>J422*(V415)</f>
        <v>0.50999999999999901</v>
      </c>
      <c r="AC422" s="211">
        <f>J422*(W415)</f>
        <v>0.50999999999999901</v>
      </c>
      <c r="AD422" s="211">
        <f>J422*(X415)</f>
        <v>0.50999999999999901</v>
      </c>
      <c r="AE422" s="211">
        <f>J422*(Y415)</f>
        <v>0.50999999999999901</v>
      </c>
      <c r="AF422" s="211">
        <f>J422*(Z415)</f>
        <v>0.50999999999999901</v>
      </c>
      <c r="AG422" s="211">
        <f>J422*(AA415)</f>
        <v>0.50999999999999901</v>
      </c>
      <c r="AH422" s="211">
        <f>J422*(AB415)</f>
        <v>0.50999999999999901</v>
      </c>
      <c r="AI422" s="211">
        <f>J422*(AC415)</f>
        <v>0.50999999999999901</v>
      </c>
      <c r="AJ422" s="211">
        <f>J422*(AD415)</f>
        <v>0.50999999999999901</v>
      </c>
      <c r="AK422" s="211">
        <f>J422*(AE415)</f>
        <v>0.50999999999999901</v>
      </c>
      <c r="AL422" s="211">
        <f>J422*(AF415)</f>
        <v>0.50999999999999901</v>
      </c>
      <c r="AM422" s="211">
        <f>J422*(AG415)</f>
        <v>0.50999999999999901</v>
      </c>
      <c r="AN422" s="211">
        <f>J422*(AH415)</f>
        <v>0.50999999999999901</v>
      </c>
    </row>
    <row r="423" spans="2:40" ht="12" hidden="1" customHeight="1" outlineLevel="2">
      <c r="B423" s="245"/>
      <c r="C423" s="213" t="s">
        <v>759</v>
      </c>
      <c r="D423" s="213"/>
      <c r="E423" s="213"/>
      <c r="F423" s="213"/>
      <c r="G423" s="213"/>
      <c r="H423" s="213"/>
      <c r="I423" s="213"/>
      <c r="J423" s="213"/>
      <c r="K423" s="211">
        <f>INDEX($C$348:$AN$370,MATCH("New Customers 1MS",$C$348:$C$370,0),MATCH($C423,$C$348:$AN$348,0))</f>
        <v>51.000000000000071</v>
      </c>
      <c r="L423" s="211">
        <f>K423*(E415)</f>
        <v>2.0400000000000027</v>
      </c>
      <c r="M423" s="211">
        <f>K423*(F415)</f>
        <v>2.0400000000000027</v>
      </c>
      <c r="N423" s="211">
        <f>K423*(G415)</f>
        <v>2.0400000000000027</v>
      </c>
      <c r="O423" s="211">
        <f>K423*(H415)</f>
        <v>2.0400000000000027</v>
      </c>
      <c r="P423" s="211">
        <f>K423*(I415)</f>
        <v>1.530000000000002</v>
      </c>
      <c r="Q423" s="211">
        <f>K423*(J415)</f>
        <v>1.530000000000002</v>
      </c>
      <c r="R423" s="211">
        <f>K423*(K415)</f>
        <v>1.530000000000002</v>
      </c>
      <c r="S423" s="211">
        <f>K423*(L415)</f>
        <v>1.530000000000002</v>
      </c>
      <c r="T423" s="211">
        <f>K423*(M415)</f>
        <v>1.0200000000000014</v>
      </c>
      <c r="U423" s="211">
        <f>K423*(N415)</f>
        <v>1.0200000000000014</v>
      </c>
      <c r="V423" s="211">
        <f>K423*(O415)</f>
        <v>1.0200000000000014</v>
      </c>
      <c r="W423" s="211">
        <f>K423*(P415)</f>
        <v>1.530000000000002</v>
      </c>
      <c r="X423" s="211">
        <f>K423*(Q415)</f>
        <v>1.530000000000002</v>
      </c>
      <c r="Y423" s="211">
        <f>K423*(R415)</f>
        <v>0.51000000000000068</v>
      </c>
      <c r="Z423" s="211">
        <f>K423*(S415)</f>
        <v>0.51000000000000068</v>
      </c>
      <c r="AA423" s="211">
        <f>K423*(T415)</f>
        <v>0.51000000000000068</v>
      </c>
      <c r="AB423" s="211">
        <f>K423*(U415)</f>
        <v>0.51000000000000068</v>
      </c>
      <c r="AC423" s="211">
        <f>K423*(V415)</f>
        <v>0.51000000000000068</v>
      </c>
      <c r="AD423" s="211">
        <f>K423*(W415)</f>
        <v>0.51000000000000068</v>
      </c>
      <c r="AE423" s="211">
        <f>K423*(X415)</f>
        <v>0.51000000000000068</v>
      </c>
      <c r="AF423" s="211">
        <f>K423*(Y415)</f>
        <v>0.51000000000000068</v>
      </c>
      <c r="AG423" s="211">
        <f>K423*(Z415)</f>
        <v>0.51000000000000068</v>
      </c>
      <c r="AH423" s="211">
        <f>K423*(AA415)</f>
        <v>0.51000000000000068</v>
      </c>
      <c r="AI423" s="211">
        <f>K423*(AB415)</f>
        <v>0.51000000000000068</v>
      </c>
      <c r="AJ423" s="211">
        <f>K423*(AC415)</f>
        <v>0.51000000000000068</v>
      </c>
      <c r="AK423" s="211">
        <f>K423*(AD415)</f>
        <v>0.51000000000000068</v>
      </c>
      <c r="AL423" s="211">
        <f>K423*(AE415)</f>
        <v>0.51000000000000068</v>
      </c>
      <c r="AM423" s="211">
        <f>K423*(AF415)</f>
        <v>0.51000000000000068</v>
      </c>
      <c r="AN423" s="211">
        <f>K423*(AG415)</f>
        <v>0.51000000000000068</v>
      </c>
    </row>
    <row r="424" spans="2:40" ht="12" hidden="1" customHeight="1" outlineLevel="2">
      <c r="B424" s="245"/>
      <c r="C424" s="213" t="s">
        <v>760</v>
      </c>
      <c r="D424" s="213"/>
      <c r="E424" s="213"/>
      <c r="F424" s="213"/>
      <c r="G424" s="213"/>
      <c r="H424" s="213"/>
      <c r="I424" s="213"/>
      <c r="J424" s="213"/>
      <c r="K424" s="213"/>
      <c r="L424" s="211">
        <f>INDEX($C$348:$AN$370,MATCH("New Customers 1MS",$C$348:$C$370,0),MATCH($C424,$C$348:$AN$348,0))</f>
        <v>35.000000000000028</v>
      </c>
      <c r="M424" s="211">
        <f>L424*(E415)</f>
        <v>1.4000000000000012</v>
      </c>
      <c r="N424" s="211">
        <f>L424*(F415)</f>
        <v>1.4000000000000012</v>
      </c>
      <c r="O424" s="211">
        <f>L424*(G415)</f>
        <v>1.4000000000000012</v>
      </c>
      <c r="P424" s="211">
        <f>L424*(H415)</f>
        <v>1.4000000000000012</v>
      </c>
      <c r="Q424" s="211">
        <f>L424*(I415)</f>
        <v>1.0500000000000007</v>
      </c>
      <c r="R424" s="211">
        <f>L424*(J415)</f>
        <v>1.0500000000000007</v>
      </c>
      <c r="S424" s="211">
        <f>L424*(K415)</f>
        <v>1.0500000000000007</v>
      </c>
      <c r="T424" s="211">
        <f>L424*(L415)</f>
        <v>1.0500000000000007</v>
      </c>
      <c r="U424" s="211">
        <f>L424*(M415)</f>
        <v>0.70000000000000062</v>
      </c>
      <c r="V424" s="211">
        <f>L424*(N415)</f>
        <v>0.70000000000000062</v>
      </c>
      <c r="W424" s="211">
        <f>L424*(O415)</f>
        <v>0.70000000000000062</v>
      </c>
      <c r="X424" s="211">
        <f>L424*(P415)</f>
        <v>1.0500000000000007</v>
      </c>
      <c r="Y424" s="211">
        <f>L424*(Q415)</f>
        <v>1.0500000000000007</v>
      </c>
      <c r="Z424" s="211">
        <f>L424*(R415)</f>
        <v>0.35000000000000031</v>
      </c>
      <c r="AA424" s="211">
        <f>L424*(S415)</f>
        <v>0.35000000000000031</v>
      </c>
      <c r="AB424" s="211">
        <f>L424*(T415)</f>
        <v>0.35000000000000031</v>
      </c>
      <c r="AC424" s="211">
        <f>L424*(U415)</f>
        <v>0.35000000000000031</v>
      </c>
      <c r="AD424" s="211">
        <f>L424*(V415)</f>
        <v>0.35000000000000031</v>
      </c>
      <c r="AE424" s="211">
        <f>L424*(W415)</f>
        <v>0.35000000000000031</v>
      </c>
      <c r="AF424" s="211">
        <f>L424*(X415)</f>
        <v>0.35000000000000031</v>
      </c>
      <c r="AG424" s="211">
        <f>L424*(Y415)</f>
        <v>0.35000000000000031</v>
      </c>
      <c r="AH424" s="211">
        <f>L424*(Z415)</f>
        <v>0.35000000000000031</v>
      </c>
      <c r="AI424" s="211">
        <f>L424*(AA415)</f>
        <v>0.35000000000000031</v>
      </c>
      <c r="AJ424" s="211">
        <f>L424*(AB415)</f>
        <v>0.35000000000000031</v>
      </c>
      <c r="AK424" s="211">
        <f>L424*(AC415)</f>
        <v>0.35000000000000031</v>
      </c>
      <c r="AL424" s="211">
        <f>L424*(AD415)</f>
        <v>0.35000000000000031</v>
      </c>
      <c r="AM424" s="211">
        <f>L424*(AE415)</f>
        <v>0.35000000000000031</v>
      </c>
      <c r="AN424" s="211">
        <f>L424*(AF415)</f>
        <v>0.35000000000000031</v>
      </c>
    </row>
    <row r="425" spans="2:40" ht="12" hidden="1" customHeight="1" outlineLevel="2">
      <c r="B425" s="245"/>
      <c r="C425" s="213" t="s">
        <v>761</v>
      </c>
      <c r="D425" s="213"/>
      <c r="E425" s="213"/>
      <c r="F425" s="213"/>
      <c r="G425" s="213"/>
      <c r="H425" s="213"/>
      <c r="I425" s="213"/>
      <c r="J425" s="213"/>
      <c r="K425" s="213"/>
      <c r="L425" s="213"/>
      <c r="M425" s="211">
        <f>INDEX($C$348:$AN$370,MATCH("New Customers 1MS",$C$348:$C$370,0),MATCH($C425,$C$348:$AN$348,0))</f>
        <v>57.120000000000047</v>
      </c>
      <c r="N425" s="211">
        <f>M425*(E415)</f>
        <v>2.2848000000000019</v>
      </c>
      <c r="O425" s="211">
        <f>M425*(F415)</f>
        <v>2.2848000000000019</v>
      </c>
      <c r="P425" s="211">
        <f>M425*(G415)</f>
        <v>2.2848000000000019</v>
      </c>
      <c r="Q425" s="211">
        <f>M425*(H415)</f>
        <v>2.2848000000000019</v>
      </c>
      <c r="R425" s="211">
        <f>M425*(I415)</f>
        <v>1.7136000000000013</v>
      </c>
      <c r="S425" s="211">
        <f>M425*(J415)</f>
        <v>1.7136000000000013</v>
      </c>
      <c r="T425" s="211">
        <f>M425*(K415)</f>
        <v>1.7136000000000013</v>
      </c>
      <c r="U425" s="211">
        <f>M425*(L415)</f>
        <v>1.7136000000000013</v>
      </c>
      <c r="V425" s="211">
        <f>M425*(M415)</f>
        <v>1.142400000000001</v>
      </c>
      <c r="W425" s="211">
        <f>M425*(N415)</f>
        <v>1.142400000000001</v>
      </c>
      <c r="X425" s="211">
        <f>M425*(O415)</f>
        <v>1.142400000000001</v>
      </c>
      <c r="Y425" s="211">
        <f>M425*(P415)</f>
        <v>1.7136000000000013</v>
      </c>
      <c r="Z425" s="211">
        <f>M425*(Q415)</f>
        <v>1.7136000000000013</v>
      </c>
      <c r="AA425" s="211">
        <f>M425*(R415)</f>
        <v>0.57120000000000049</v>
      </c>
      <c r="AB425" s="211">
        <f>M425*(S415)</f>
        <v>0.57120000000000049</v>
      </c>
      <c r="AC425" s="211">
        <f>M425*(T415)</f>
        <v>0.57120000000000049</v>
      </c>
      <c r="AD425" s="211">
        <f>M425*(U415)</f>
        <v>0.57120000000000049</v>
      </c>
      <c r="AE425" s="211">
        <f>M425*(V415)</f>
        <v>0.57120000000000049</v>
      </c>
      <c r="AF425" s="211">
        <f>M425*(W415)</f>
        <v>0.57120000000000049</v>
      </c>
      <c r="AG425" s="211">
        <f>M425*(X415)</f>
        <v>0.57120000000000049</v>
      </c>
      <c r="AH425" s="211">
        <f>M425*(Y415)</f>
        <v>0.57120000000000049</v>
      </c>
      <c r="AI425" s="211">
        <f>M425*(Z415)</f>
        <v>0.57120000000000049</v>
      </c>
      <c r="AJ425" s="211">
        <f>M425*(AA415)</f>
        <v>0.57120000000000049</v>
      </c>
      <c r="AK425" s="211">
        <f>M425*(AB415)</f>
        <v>0.57120000000000049</v>
      </c>
      <c r="AL425" s="211">
        <f>M425*(AC415)</f>
        <v>0.57120000000000049</v>
      </c>
      <c r="AM425" s="211">
        <f>M425*(AD415)</f>
        <v>0.57120000000000049</v>
      </c>
      <c r="AN425" s="211">
        <f>M425*(AE415)</f>
        <v>0.57120000000000049</v>
      </c>
    </row>
    <row r="426" spans="2:40" ht="12" hidden="1" customHeight="1" outlineLevel="2">
      <c r="B426" s="245"/>
      <c r="C426" s="213" t="s">
        <v>762</v>
      </c>
      <c r="D426" s="213"/>
      <c r="E426" s="213"/>
      <c r="F426" s="213"/>
      <c r="G426" s="213"/>
      <c r="H426" s="213"/>
      <c r="I426" s="213"/>
      <c r="J426" s="213"/>
      <c r="K426" s="213"/>
      <c r="L426" s="213"/>
      <c r="M426" s="213"/>
      <c r="N426" s="211">
        <f>INDEX($C$348:$AN$370,MATCH("New Customers 1MS",$C$348:$C$370,0),MATCH($C426,$C$348:$AN$348,0))</f>
        <v>53.040000000000049</v>
      </c>
      <c r="O426" s="211">
        <f>N426*(E415)</f>
        <v>2.1216000000000022</v>
      </c>
      <c r="P426" s="211">
        <f>N426*(F415)</f>
        <v>2.1216000000000022</v>
      </c>
      <c r="Q426" s="211">
        <f>N426*(G415)</f>
        <v>2.1216000000000022</v>
      </c>
      <c r="R426" s="211">
        <f>N426*(H415)</f>
        <v>2.1216000000000022</v>
      </c>
      <c r="S426" s="211">
        <f>N426*(I415)</f>
        <v>1.5912000000000015</v>
      </c>
      <c r="T426" s="211">
        <f>N426*(J415)</f>
        <v>1.5912000000000015</v>
      </c>
      <c r="U426" s="211">
        <f>N426*(K415)</f>
        <v>1.5912000000000015</v>
      </c>
      <c r="V426" s="211">
        <f>N426*(L415)</f>
        <v>1.5912000000000015</v>
      </c>
      <c r="W426" s="211">
        <f>N426*(M415)</f>
        <v>1.0608000000000011</v>
      </c>
      <c r="X426" s="211">
        <f>N426*(N415)</f>
        <v>1.0608000000000011</v>
      </c>
      <c r="Y426" s="211">
        <f>N426*(O415)</f>
        <v>1.0608000000000011</v>
      </c>
      <c r="Z426" s="211">
        <f>N426*(P415)</f>
        <v>1.5912000000000015</v>
      </c>
      <c r="AA426" s="211">
        <f>N426*(Q415)</f>
        <v>1.5912000000000015</v>
      </c>
      <c r="AB426" s="211">
        <f>N426*(R415)</f>
        <v>0.53040000000000054</v>
      </c>
      <c r="AC426" s="211">
        <f>N426*(S415)</f>
        <v>0.53040000000000054</v>
      </c>
      <c r="AD426" s="211">
        <f>N426*(T415)</f>
        <v>0.53040000000000054</v>
      </c>
      <c r="AE426" s="211">
        <f>N426*(U415)</f>
        <v>0.53040000000000054</v>
      </c>
      <c r="AF426" s="211">
        <f>N426*(V415)</f>
        <v>0.53040000000000054</v>
      </c>
      <c r="AG426" s="211">
        <f>N426*(W415)</f>
        <v>0.53040000000000054</v>
      </c>
      <c r="AH426" s="211">
        <f>N426*(X415)</f>
        <v>0.53040000000000054</v>
      </c>
      <c r="AI426" s="211">
        <f>N426*(Y415)</f>
        <v>0.53040000000000054</v>
      </c>
      <c r="AJ426" s="211">
        <f>N426*(Z415)</f>
        <v>0.53040000000000054</v>
      </c>
      <c r="AK426" s="211">
        <f>N426*(AA415)</f>
        <v>0.53040000000000054</v>
      </c>
      <c r="AL426" s="211">
        <f>N426*(AB415)</f>
        <v>0.53040000000000054</v>
      </c>
      <c r="AM426" s="211">
        <f>N426*(AC415)</f>
        <v>0.53040000000000054</v>
      </c>
      <c r="AN426" s="211">
        <f>N426*(AD415)</f>
        <v>0.53040000000000054</v>
      </c>
    </row>
    <row r="427" spans="2:40" ht="12" hidden="1" customHeight="1" outlineLevel="2">
      <c r="B427" s="245"/>
      <c r="C427" s="213" t="s">
        <v>763</v>
      </c>
      <c r="D427" s="213"/>
      <c r="E427" s="213"/>
      <c r="F427" s="213"/>
      <c r="G427" s="213"/>
      <c r="H427" s="213"/>
      <c r="I427" s="213"/>
      <c r="J427" s="213"/>
      <c r="K427" s="213"/>
      <c r="L427" s="213"/>
      <c r="M427" s="213"/>
      <c r="N427" s="213"/>
      <c r="O427" s="211">
        <f>INDEX($C$348:$AN$370,MATCH("New Customers 1MS",$C$348:$C$370,0),MATCH($C427,$C$348:$AN$348,0))</f>
        <v>12.240000000000011</v>
      </c>
      <c r="P427" s="211">
        <f>O427*(E415)</f>
        <v>0.48960000000000042</v>
      </c>
      <c r="Q427" s="211">
        <f>O427*(F415)</f>
        <v>0.48960000000000042</v>
      </c>
      <c r="R427" s="211">
        <f>O427*(G415)</f>
        <v>0.48960000000000042</v>
      </c>
      <c r="S427" s="211">
        <f>O427*(H415)</f>
        <v>0.48960000000000042</v>
      </c>
      <c r="T427" s="211">
        <f>O427*(I415)</f>
        <v>0.3672000000000003</v>
      </c>
      <c r="U427" s="211">
        <f>O427*(J415)</f>
        <v>0.3672000000000003</v>
      </c>
      <c r="V427" s="211">
        <f>O427*(K415)</f>
        <v>0.3672000000000003</v>
      </c>
      <c r="W427" s="211">
        <f>O427*(L415)</f>
        <v>0.3672000000000003</v>
      </c>
      <c r="X427" s="211">
        <f>O427*(M415)</f>
        <v>0.24480000000000021</v>
      </c>
      <c r="Y427" s="211">
        <f>O427*(N415)</f>
        <v>0.24480000000000021</v>
      </c>
      <c r="Z427" s="211">
        <f>O427*(O415)</f>
        <v>0.24480000000000021</v>
      </c>
      <c r="AA427" s="211">
        <f>O427*(P415)</f>
        <v>0.3672000000000003</v>
      </c>
      <c r="AB427" s="211">
        <f>O427*(Q415)</f>
        <v>0.3672000000000003</v>
      </c>
      <c r="AC427" s="211">
        <f>O427*(R415)</f>
        <v>0.12240000000000011</v>
      </c>
      <c r="AD427" s="211">
        <f>O427*(S415)</f>
        <v>0.12240000000000011</v>
      </c>
      <c r="AE427" s="211">
        <f>O427*(T415)</f>
        <v>0.12240000000000011</v>
      </c>
      <c r="AF427" s="211">
        <f>O427*(U415)</f>
        <v>0.12240000000000011</v>
      </c>
      <c r="AG427" s="211">
        <f>O427*(V415)</f>
        <v>0.12240000000000011</v>
      </c>
      <c r="AH427" s="211">
        <f>O427*(W415)</f>
        <v>0.12240000000000011</v>
      </c>
      <c r="AI427" s="211">
        <f>O427*(X415)</f>
        <v>0.12240000000000011</v>
      </c>
      <c r="AJ427" s="211">
        <f>O427*(Y415)</f>
        <v>0.12240000000000011</v>
      </c>
      <c r="AK427" s="211">
        <f>O427*(Z415)</f>
        <v>0.12240000000000011</v>
      </c>
      <c r="AL427" s="211">
        <f>O427*(AA415)</f>
        <v>0.12240000000000011</v>
      </c>
      <c r="AM427" s="211">
        <f>O427*(AB415)</f>
        <v>0.12240000000000011</v>
      </c>
      <c r="AN427" s="211">
        <f>O427*(AC415)</f>
        <v>0.12240000000000011</v>
      </c>
    </row>
    <row r="428" spans="2:40" ht="12" hidden="1" customHeight="1" outlineLevel="2">
      <c r="B428" s="245"/>
      <c r="C428" s="213" t="s">
        <v>764</v>
      </c>
      <c r="D428" s="213"/>
      <c r="E428" s="213"/>
      <c r="F428" s="213"/>
      <c r="G428" s="213"/>
      <c r="H428" s="213"/>
      <c r="I428" s="213"/>
      <c r="J428" s="213"/>
      <c r="K428" s="213"/>
      <c r="L428" s="213"/>
      <c r="M428" s="213"/>
      <c r="N428" s="213"/>
      <c r="O428" s="213"/>
      <c r="P428" s="211">
        <f>INDEX($C$348:$AN$370,MATCH("New Customers 1MS",$C$348:$C$370,0),MATCH($C428,$C$348:$AN$348,0))</f>
        <v>16.320000000000014</v>
      </c>
      <c r="Q428" s="211">
        <f>P428*(E415)</f>
        <v>0.6528000000000006</v>
      </c>
      <c r="R428" s="211">
        <f>P428*(F415)</f>
        <v>0.6528000000000006</v>
      </c>
      <c r="S428" s="211">
        <f>P428*(G415)</f>
        <v>0.6528000000000006</v>
      </c>
      <c r="T428" s="211">
        <f>P428*(H415)</f>
        <v>0.6528000000000006</v>
      </c>
      <c r="U428" s="211">
        <f>P428*(I415)</f>
        <v>0.48960000000000042</v>
      </c>
      <c r="V428" s="211">
        <f>P428*(J415)</f>
        <v>0.48960000000000042</v>
      </c>
      <c r="W428" s="211">
        <f>P428*(K415)</f>
        <v>0.48960000000000042</v>
      </c>
      <c r="X428" s="211">
        <f>P428*(L415)</f>
        <v>0.48960000000000042</v>
      </c>
      <c r="Y428" s="211">
        <f>P428*(M415)</f>
        <v>0.3264000000000003</v>
      </c>
      <c r="Z428" s="211">
        <f>P428*(N415)</f>
        <v>0.3264000000000003</v>
      </c>
      <c r="AA428" s="211">
        <f>P428*(O415)</f>
        <v>0.3264000000000003</v>
      </c>
      <c r="AB428" s="211">
        <f>P428*(P415)</f>
        <v>0.48960000000000042</v>
      </c>
      <c r="AC428" s="211">
        <f>P428*(Q415)</f>
        <v>0.48960000000000042</v>
      </c>
      <c r="AD428" s="211">
        <f>P428*(R415)</f>
        <v>0.16320000000000015</v>
      </c>
      <c r="AE428" s="211">
        <f>P428*(S415)</f>
        <v>0.16320000000000015</v>
      </c>
      <c r="AF428" s="211">
        <f>P428*(T415)</f>
        <v>0.16320000000000015</v>
      </c>
      <c r="AG428" s="211">
        <f>P428*(U415)</f>
        <v>0.16320000000000015</v>
      </c>
      <c r="AH428" s="211">
        <f>P428*(V415)</f>
        <v>0.16320000000000015</v>
      </c>
      <c r="AI428" s="211">
        <f>P428*(W415)</f>
        <v>0.16320000000000015</v>
      </c>
      <c r="AJ428" s="211">
        <f>P428*(X415)</f>
        <v>0.16320000000000015</v>
      </c>
      <c r="AK428" s="211">
        <f>P428*(Y415)</f>
        <v>0.16320000000000015</v>
      </c>
      <c r="AL428" s="211">
        <f>P428*(Z415)</f>
        <v>0.16320000000000015</v>
      </c>
      <c r="AM428" s="211">
        <f>P428*(AA415)</f>
        <v>0.16320000000000015</v>
      </c>
      <c r="AN428" s="211">
        <f>P428*(AB415)</f>
        <v>0.16320000000000015</v>
      </c>
    </row>
    <row r="429" spans="2:40" ht="12" hidden="1" customHeight="1" outlineLevel="2">
      <c r="B429" s="245"/>
      <c r="C429" s="213" t="s">
        <v>765</v>
      </c>
      <c r="D429" s="213"/>
      <c r="E429" s="213"/>
      <c r="F429" s="213"/>
      <c r="G429" s="213"/>
      <c r="H429" s="213"/>
      <c r="I429" s="213"/>
      <c r="J429" s="213"/>
      <c r="K429" s="213"/>
      <c r="L429" s="213"/>
      <c r="M429" s="213"/>
      <c r="N429" s="213"/>
      <c r="O429" s="213"/>
      <c r="P429" s="213"/>
      <c r="Q429" s="211">
        <f>INDEX($C$348:$AN$370,MATCH("New Customers 1MS",$C$348:$C$370,0),MATCH($C429,$C$348:$AN$348,0))</f>
        <v>16.879449600000019</v>
      </c>
      <c r="R429" s="211">
        <f>Q429*(E415)</f>
        <v>0.67517798400000073</v>
      </c>
      <c r="S429" s="211">
        <f>Q429*(F415)</f>
        <v>0.67517798400000073</v>
      </c>
      <c r="T429" s="211">
        <f>Q429*(G415)</f>
        <v>0.67517798400000073</v>
      </c>
      <c r="U429" s="211">
        <f>Q429*(H415)</f>
        <v>0.67517798400000073</v>
      </c>
      <c r="V429" s="211">
        <f>Q429*(I415)</f>
        <v>0.50638348800000055</v>
      </c>
      <c r="W429" s="211">
        <f>Q429*(J415)</f>
        <v>0.50638348800000055</v>
      </c>
      <c r="X429" s="211">
        <f>Q429*(K415)</f>
        <v>0.50638348800000055</v>
      </c>
      <c r="Y429" s="211">
        <f>Q429*(L415)</f>
        <v>0.50638348800000055</v>
      </c>
      <c r="Z429" s="211">
        <f>Q429*(M415)</f>
        <v>0.33758899200000037</v>
      </c>
      <c r="AA429" s="211">
        <f>Q429*(N415)</f>
        <v>0.33758899200000037</v>
      </c>
      <c r="AB429" s="211">
        <f>Q429*(O415)</f>
        <v>0.33758899200000037</v>
      </c>
      <c r="AC429" s="211">
        <f>Q429*(P415)</f>
        <v>0.50638348800000055</v>
      </c>
      <c r="AD429" s="211">
        <f>Q429*(Q415)</f>
        <v>0.50638348800000055</v>
      </c>
      <c r="AE429" s="211">
        <f>Q429*(R415)</f>
        <v>0.16879449600000018</v>
      </c>
      <c r="AF429" s="211">
        <f>Q429*(S415)</f>
        <v>0.16879449600000018</v>
      </c>
      <c r="AG429" s="211">
        <f>Q429*(T415)</f>
        <v>0.16879449600000018</v>
      </c>
      <c r="AH429" s="211">
        <f>Q429*(U415)</f>
        <v>0.16879449600000018</v>
      </c>
      <c r="AI429" s="211">
        <f>Q429*(V415)</f>
        <v>0.16879449600000018</v>
      </c>
      <c r="AJ429" s="211">
        <f>Q429*(W415)</f>
        <v>0.16879449600000018</v>
      </c>
      <c r="AK429" s="211">
        <f>Q429*(X415)</f>
        <v>0.16879449600000018</v>
      </c>
      <c r="AL429" s="211">
        <f>Q429*(Y415)</f>
        <v>0.16879449600000018</v>
      </c>
      <c r="AM429" s="211">
        <f>Q429*(Z415)</f>
        <v>0.16879449600000018</v>
      </c>
      <c r="AN429" s="211">
        <f>Q429*(AA415)</f>
        <v>0.16879449600000018</v>
      </c>
    </row>
    <row r="430" spans="2:40" ht="12" hidden="1" customHeight="1" outlineLevel="2">
      <c r="B430" s="245"/>
      <c r="C430" s="213" t="s">
        <v>766</v>
      </c>
      <c r="D430" s="213"/>
      <c r="E430" s="213"/>
      <c r="F430" s="213"/>
      <c r="G430" s="213"/>
      <c r="H430" s="213"/>
      <c r="I430" s="213"/>
      <c r="J430" s="213"/>
      <c r="K430" s="213"/>
      <c r="L430" s="213"/>
      <c r="M430" s="213"/>
      <c r="N430" s="213"/>
      <c r="O430" s="213"/>
      <c r="P430" s="213"/>
      <c r="Q430" s="213"/>
      <c r="R430" s="211">
        <f>INDEX($C$348:$AN$370,MATCH("New Customers 1MS",$C$348:$C$370,0),MATCH($C430,$C$348:$AN$348,0))</f>
        <v>35.351568000000036</v>
      </c>
      <c r="S430" s="211">
        <f>R430*(E415)</f>
        <v>1.4140627200000015</v>
      </c>
      <c r="T430" s="211">
        <f>R430*(F415)</f>
        <v>1.4140627200000015</v>
      </c>
      <c r="U430" s="211">
        <f>R430*(G415)</f>
        <v>1.4140627200000015</v>
      </c>
      <c r="V430" s="211">
        <f>R430*(H415)</f>
        <v>1.4140627200000015</v>
      </c>
      <c r="W430" s="211">
        <f>R430*(I415)</f>
        <v>1.060547040000001</v>
      </c>
      <c r="X430" s="211">
        <f>R430*(J415)</f>
        <v>1.060547040000001</v>
      </c>
      <c r="Y430" s="211">
        <f>R430*(K415)</f>
        <v>1.060547040000001</v>
      </c>
      <c r="Z430" s="211">
        <f>R430*(L415)</f>
        <v>1.060547040000001</v>
      </c>
      <c r="AA430" s="211">
        <f>R430*(M415)</f>
        <v>0.70703136000000077</v>
      </c>
      <c r="AB430" s="211">
        <f>R430*(N415)</f>
        <v>0.70703136000000077</v>
      </c>
      <c r="AC430" s="211">
        <f>R430*(O415)</f>
        <v>0.70703136000000077</v>
      </c>
      <c r="AD430" s="211">
        <f>R430*(P415)</f>
        <v>1.060547040000001</v>
      </c>
      <c r="AE430" s="211">
        <f>R430*(Q415)</f>
        <v>1.060547040000001</v>
      </c>
      <c r="AF430" s="211">
        <f>R430*(R415)</f>
        <v>0.35351568000000039</v>
      </c>
      <c r="AG430" s="211">
        <f>R430*(S415)</f>
        <v>0.35351568000000039</v>
      </c>
      <c r="AH430" s="211">
        <f>R430*(T415)</f>
        <v>0.35351568000000039</v>
      </c>
      <c r="AI430" s="211">
        <f>R430*(U415)</f>
        <v>0.35351568000000039</v>
      </c>
      <c r="AJ430" s="211">
        <f>R430*(V415)</f>
        <v>0.35351568000000039</v>
      </c>
      <c r="AK430" s="211">
        <f>R430*(W415)</f>
        <v>0.35351568000000039</v>
      </c>
      <c r="AL430" s="211">
        <f>R430*(X415)</f>
        <v>0.35351568000000039</v>
      </c>
      <c r="AM430" s="211">
        <f>R430*(Y415)</f>
        <v>0.35351568000000039</v>
      </c>
      <c r="AN430" s="211">
        <f>R430*(Z415)</f>
        <v>0.35351568000000039</v>
      </c>
    </row>
    <row r="431" spans="2:40" ht="12" hidden="1" customHeight="1" outlineLevel="2">
      <c r="B431" s="245"/>
      <c r="C431" s="213" t="s">
        <v>767</v>
      </c>
      <c r="D431" s="213"/>
      <c r="E431" s="213"/>
      <c r="F431" s="213"/>
      <c r="G431" s="213"/>
      <c r="H431" s="213"/>
      <c r="I431" s="213"/>
      <c r="J431" s="213"/>
      <c r="K431" s="213"/>
      <c r="L431" s="213"/>
      <c r="M431" s="213"/>
      <c r="N431" s="213"/>
      <c r="O431" s="213"/>
      <c r="P431" s="213"/>
      <c r="Q431" s="213"/>
      <c r="R431" s="213"/>
      <c r="S431" s="211">
        <f>INDEX($C$348:$AN$370,MATCH("New Customers 1MS",$C$348:$C$370,0),MATCH($C431,$C$348:$AN$348,0))</f>
        <v>32.871009600000036</v>
      </c>
      <c r="T431" s="211">
        <f>S431*(E415)</f>
        <v>1.3148403840000016</v>
      </c>
      <c r="U431" s="211">
        <f>S431*(F415)</f>
        <v>1.3148403840000016</v>
      </c>
      <c r="V431" s="211">
        <f>S431*(G415)</f>
        <v>1.3148403840000016</v>
      </c>
      <c r="W431" s="211">
        <f>S431*(H415)</f>
        <v>1.3148403840000016</v>
      </c>
      <c r="X431" s="211">
        <f>S431*(I415)</f>
        <v>0.98613028800000102</v>
      </c>
      <c r="Y431" s="211">
        <f>S431*(J415)</f>
        <v>0.98613028800000102</v>
      </c>
      <c r="Z431" s="211">
        <f>S431*(K415)</f>
        <v>0.98613028800000102</v>
      </c>
      <c r="AA431" s="211">
        <f>S431*(L415)</f>
        <v>0.98613028800000102</v>
      </c>
      <c r="AB431" s="211">
        <f>S431*(M415)</f>
        <v>0.65742019200000079</v>
      </c>
      <c r="AC431" s="211">
        <f>S431*(N415)</f>
        <v>0.65742019200000079</v>
      </c>
      <c r="AD431" s="211">
        <f>S431*(O415)</f>
        <v>0.65742019200000079</v>
      </c>
      <c r="AE431" s="211">
        <f>S431*(P415)</f>
        <v>0.98613028800000102</v>
      </c>
      <c r="AF431" s="211">
        <f>S431*(Q415)</f>
        <v>0.98613028800000102</v>
      </c>
      <c r="AG431" s="211">
        <f>S431*(R415)</f>
        <v>0.3287100960000004</v>
      </c>
      <c r="AH431" s="211">
        <f>S431*(S415)</f>
        <v>0.3287100960000004</v>
      </c>
      <c r="AI431" s="211">
        <f>S431*(T415)</f>
        <v>0.3287100960000004</v>
      </c>
      <c r="AJ431" s="211">
        <f>S431*(U415)</f>
        <v>0.3287100960000004</v>
      </c>
      <c r="AK431" s="211">
        <f>S431*(V415)</f>
        <v>0.3287100960000004</v>
      </c>
      <c r="AL431" s="211">
        <f>S431*(W415)</f>
        <v>0.3287100960000004</v>
      </c>
      <c r="AM431" s="211">
        <f>S431*(X415)</f>
        <v>0.3287100960000004</v>
      </c>
      <c r="AN431" s="211">
        <f>S431*(Y415)</f>
        <v>0.3287100960000004</v>
      </c>
    </row>
    <row r="432" spans="2:40" ht="12" hidden="1" customHeight="1" outlineLevel="2">
      <c r="B432" s="245"/>
      <c r="C432" s="213" t="s">
        <v>768</v>
      </c>
      <c r="D432" s="213"/>
      <c r="E432" s="213"/>
      <c r="F432" s="213"/>
      <c r="G432" s="213"/>
      <c r="H432" s="213"/>
      <c r="I432" s="213"/>
      <c r="J432" s="213"/>
      <c r="K432" s="213"/>
      <c r="L432" s="213"/>
      <c r="M432" s="213"/>
      <c r="N432" s="213"/>
      <c r="O432" s="213"/>
      <c r="P432" s="213"/>
      <c r="Q432" s="213"/>
      <c r="R432" s="213"/>
      <c r="S432" s="213"/>
      <c r="T432" s="211">
        <f>INDEX($C$348:$AN$370,MATCH("New Customers 1MS",$C$348:$C$370,0),MATCH($C432,$C$348:$AN$348,0))</f>
        <v>17.206094400000016</v>
      </c>
      <c r="U432" s="211">
        <f>T432*(E415)</f>
        <v>0.68824377600000064</v>
      </c>
      <c r="V432" s="211">
        <f>T432*(F415)</f>
        <v>0.68824377600000064</v>
      </c>
      <c r="W432" s="211">
        <f>T432*(G415)</f>
        <v>0.68824377600000064</v>
      </c>
      <c r="X432" s="211">
        <f>T432*(H415)</f>
        <v>0.68824377600000064</v>
      </c>
      <c r="Y432" s="211">
        <f>T432*(I415)</f>
        <v>0.51618283200000048</v>
      </c>
      <c r="Z432" s="211">
        <f>T432*(J415)</f>
        <v>0.51618283200000048</v>
      </c>
      <c r="AA432" s="211">
        <f>T432*(K415)</f>
        <v>0.51618283200000048</v>
      </c>
      <c r="AB432" s="211">
        <f>T432*(L415)</f>
        <v>0.51618283200000048</v>
      </c>
      <c r="AC432" s="211">
        <f>T432*(M415)</f>
        <v>0.34412188800000032</v>
      </c>
      <c r="AD432" s="211">
        <f>T432*(N415)</f>
        <v>0.34412188800000032</v>
      </c>
      <c r="AE432" s="211">
        <f>T432*(O415)</f>
        <v>0.34412188800000032</v>
      </c>
      <c r="AF432" s="211">
        <f>T432*(P415)</f>
        <v>0.51618283200000048</v>
      </c>
      <c r="AG432" s="211">
        <f>T432*(Q415)</f>
        <v>0.51618283200000048</v>
      </c>
      <c r="AH432" s="211">
        <f>T432*(R415)</f>
        <v>0.17206094400000016</v>
      </c>
      <c r="AI432" s="211">
        <f>T432*(S415)</f>
        <v>0.17206094400000016</v>
      </c>
      <c r="AJ432" s="211">
        <f>T432*(T415)</f>
        <v>0.17206094400000016</v>
      </c>
      <c r="AK432" s="211">
        <f>T432*(U415)</f>
        <v>0.17206094400000016</v>
      </c>
      <c r="AL432" s="211">
        <f>T432*(V415)</f>
        <v>0.17206094400000016</v>
      </c>
      <c r="AM432" s="211">
        <f>T432*(W415)</f>
        <v>0.17206094400000016</v>
      </c>
      <c r="AN432" s="211">
        <f>T432*(X415)</f>
        <v>0.17206094400000016</v>
      </c>
    </row>
    <row r="433" spans="2:40" ht="12" hidden="1" customHeight="1" outlineLevel="2">
      <c r="B433" s="245"/>
      <c r="C433" s="213" t="s">
        <v>769</v>
      </c>
      <c r="D433" s="213"/>
      <c r="E433" s="213"/>
      <c r="F433" s="213"/>
      <c r="G433" s="213"/>
      <c r="H433" s="213"/>
      <c r="I433" s="213"/>
      <c r="J433" s="213"/>
      <c r="K433" s="213"/>
      <c r="L433" s="213"/>
      <c r="M433" s="213"/>
      <c r="N433" s="213"/>
      <c r="O433" s="213"/>
      <c r="P433" s="213"/>
      <c r="Q433" s="213"/>
      <c r="R433" s="213"/>
      <c r="S433" s="213"/>
      <c r="T433" s="213"/>
      <c r="U433" s="211">
        <f>INDEX($C$348:$AN$370,MATCH("New Customers 1MS",$C$348:$C$370,0),MATCH($C433,$C$348:$AN$348,0))</f>
        <v>17.00772480000002</v>
      </c>
      <c r="V433" s="211">
        <f>U433*(E415)</f>
        <v>0.68030899200000083</v>
      </c>
      <c r="W433" s="211">
        <f>U433*(F415)</f>
        <v>0.68030899200000083</v>
      </c>
      <c r="X433" s="211">
        <f>U433*(G415)</f>
        <v>0.68030899200000083</v>
      </c>
      <c r="Y433" s="211">
        <f>U433*(H415)</f>
        <v>0.68030899200000083</v>
      </c>
      <c r="Z433" s="211">
        <f>U433*(I415)</f>
        <v>0.5102317440000006</v>
      </c>
      <c r="AA433" s="211">
        <f>U433*(J415)</f>
        <v>0.5102317440000006</v>
      </c>
      <c r="AB433" s="211">
        <f>U433*(K415)</f>
        <v>0.5102317440000006</v>
      </c>
      <c r="AC433" s="211">
        <f>U433*(L415)</f>
        <v>0.5102317440000006</v>
      </c>
      <c r="AD433" s="211">
        <f>U433*(M415)</f>
        <v>0.34015449600000042</v>
      </c>
      <c r="AE433" s="211">
        <f>U433*(N415)</f>
        <v>0.34015449600000042</v>
      </c>
      <c r="AF433" s="211">
        <f>U433*(O415)</f>
        <v>0.34015449600000042</v>
      </c>
      <c r="AG433" s="211">
        <f>U433*(P415)</f>
        <v>0.5102317440000006</v>
      </c>
      <c r="AH433" s="211">
        <f>U433*(Q415)</f>
        <v>0.5102317440000006</v>
      </c>
      <c r="AI433" s="211">
        <f>U433*(R415)</f>
        <v>0.17007724800000021</v>
      </c>
      <c r="AJ433" s="211">
        <f>U433*(S415)</f>
        <v>0.17007724800000021</v>
      </c>
      <c r="AK433" s="211">
        <f>U433*(T415)</f>
        <v>0.17007724800000021</v>
      </c>
      <c r="AL433" s="211">
        <f>U433*(U415)</f>
        <v>0.17007724800000021</v>
      </c>
      <c r="AM433" s="211">
        <f>U433*(V415)</f>
        <v>0.17007724800000021</v>
      </c>
      <c r="AN433" s="211">
        <f>U433*(W415)</f>
        <v>0.17007724800000021</v>
      </c>
    </row>
    <row r="434" spans="2:40" ht="12" hidden="1" customHeight="1" outlineLevel="2">
      <c r="B434" s="245"/>
      <c r="C434" s="213" t="s">
        <v>770</v>
      </c>
      <c r="D434" s="213"/>
      <c r="E434" s="213"/>
      <c r="F434" s="213"/>
      <c r="G434" s="213"/>
      <c r="H434" s="213"/>
      <c r="I434" s="213"/>
      <c r="J434" s="213"/>
      <c r="K434" s="213"/>
      <c r="L434" s="213"/>
      <c r="M434" s="213"/>
      <c r="N434" s="213"/>
      <c r="O434" s="213"/>
      <c r="P434" s="213"/>
      <c r="Q434" s="213"/>
      <c r="R434" s="213"/>
      <c r="S434" s="213"/>
      <c r="T434" s="213"/>
      <c r="U434" s="213"/>
      <c r="V434" s="211">
        <f>INDEX($C$348:$AN$370,MATCH("New Customers 1MS",$C$348:$C$370,0),MATCH($C434,$C$348:$AN$348,0))</f>
        <v>52.399440000000041</v>
      </c>
      <c r="W434" s="211">
        <f>V434*(E415)</f>
        <v>2.0959776000000017</v>
      </c>
      <c r="X434" s="211">
        <f>V434*(F415)</f>
        <v>2.0959776000000017</v>
      </c>
      <c r="Y434" s="211">
        <f>V434*(G415)</f>
        <v>2.0959776000000017</v>
      </c>
      <c r="Z434" s="211">
        <f>V434*(H415)</f>
        <v>2.0959776000000017</v>
      </c>
      <c r="AA434" s="211">
        <f>V434*(I415)</f>
        <v>1.5719832000000011</v>
      </c>
      <c r="AB434" s="211">
        <f>V434*(J415)</f>
        <v>1.5719832000000011</v>
      </c>
      <c r="AC434" s="211">
        <f>V434*(K415)</f>
        <v>1.5719832000000011</v>
      </c>
      <c r="AD434" s="211">
        <f>V434*(L415)</f>
        <v>1.5719832000000011</v>
      </c>
      <c r="AE434" s="211">
        <f>V434*(M415)</f>
        <v>1.0479888000000008</v>
      </c>
      <c r="AF434" s="211">
        <f>V434*(N415)</f>
        <v>1.0479888000000008</v>
      </c>
      <c r="AG434" s="211">
        <f>V434*(O415)</f>
        <v>1.0479888000000008</v>
      </c>
      <c r="AH434" s="211">
        <f>V434*(P415)</f>
        <v>1.5719832000000011</v>
      </c>
      <c r="AI434" s="211">
        <f>V434*(Q415)</f>
        <v>1.5719832000000011</v>
      </c>
      <c r="AJ434" s="211">
        <f>V434*(R415)</f>
        <v>0.52399440000000042</v>
      </c>
      <c r="AK434" s="211">
        <f>V434*(S415)</f>
        <v>0.52399440000000042</v>
      </c>
      <c r="AL434" s="211">
        <f>V434*(T415)</f>
        <v>0.52399440000000042</v>
      </c>
      <c r="AM434" s="211">
        <f>V434*(U415)</f>
        <v>0.52399440000000042</v>
      </c>
      <c r="AN434" s="211">
        <f>V434*(V415)</f>
        <v>0.52399440000000042</v>
      </c>
    </row>
    <row r="435" spans="2:40" ht="12" hidden="1" customHeight="1" outlineLevel="2">
      <c r="B435" s="245"/>
      <c r="C435" s="213" t="s">
        <v>771</v>
      </c>
      <c r="D435" s="213"/>
      <c r="E435" s="213"/>
      <c r="F435" s="213"/>
      <c r="G435" s="213"/>
      <c r="H435" s="213"/>
      <c r="I435" s="213"/>
      <c r="J435" s="213"/>
      <c r="K435" s="213"/>
      <c r="L435" s="213"/>
      <c r="M435" s="213"/>
      <c r="N435" s="213"/>
      <c r="O435" s="213"/>
      <c r="P435" s="213"/>
      <c r="Q435" s="213"/>
      <c r="R435" s="213"/>
      <c r="S435" s="213"/>
      <c r="T435" s="213"/>
      <c r="U435" s="213"/>
      <c r="V435" s="213"/>
      <c r="W435" s="211">
        <f>INDEX($C$348:$AN$370,MATCH("New Customers 1MS",$C$348:$C$370,0),MATCH($C435,$C$348:$AN$348,0))</f>
        <v>19.830105600000021</v>
      </c>
      <c r="X435" s="211">
        <f>W435*(E415)</f>
        <v>0.7932042240000009</v>
      </c>
      <c r="Y435" s="211">
        <f>W435*(F415)</f>
        <v>0.7932042240000009</v>
      </c>
      <c r="Z435" s="211">
        <f>W435*(G415)</f>
        <v>0.7932042240000009</v>
      </c>
      <c r="AA435" s="211">
        <f>W435*(H415)</f>
        <v>0.7932042240000009</v>
      </c>
      <c r="AB435" s="211">
        <f>W435*(I415)</f>
        <v>0.59490316800000065</v>
      </c>
      <c r="AC435" s="211">
        <f>W435*(J415)</f>
        <v>0.59490316800000065</v>
      </c>
      <c r="AD435" s="211">
        <f>W435*(K415)</f>
        <v>0.59490316800000065</v>
      </c>
      <c r="AE435" s="211">
        <f>W435*(L415)</f>
        <v>0.59490316800000065</v>
      </c>
      <c r="AF435" s="211">
        <f>W435*(M415)</f>
        <v>0.39660211200000045</v>
      </c>
      <c r="AG435" s="211">
        <f>W435*(N415)</f>
        <v>0.39660211200000045</v>
      </c>
      <c r="AH435" s="211">
        <f>W435*(O415)</f>
        <v>0.39660211200000045</v>
      </c>
      <c r="AI435" s="211">
        <f>W435*(P415)</f>
        <v>0.59490316800000065</v>
      </c>
      <c r="AJ435" s="211">
        <f>W435*(Q415)</f>
        <v>0.59490316800000065</v>
      </c>
      <c r="AK435" s="211">
        <f>W435*(R415)</f>
        <v>0.19830105600000023</v>
      </c>
      <c r="AL435" s="211">
        <f>W435*(S415)</f>
        <v>0.19830105600000023</v>
      </c>
      <c r="AM435" s="211">
        <f>W435*(T415)</f>
        <v>0.19830105600000023</v>
      </c>
      <c r="AN435" s="211">
        <f>W435*(U415)</f>
        <v>0.19830105600000023</v>
      </c>
    </row>
    <row r="436" spans="2:40" ht="12" hidden="1" customHeight="1" outlineLevel="2">
      <c r="B436" s="245"/>
      <c r="C436" s="213" t="s">
        <v>772</v>
      </c>
      <c r="D436" s="213"/>
      <c r="E436" s="213"/>
      <c r="F436" s="213"/>
      <c r="G436" s="213"/>
      <c r="H436" s="213"/>
      <c r="I436" s="213"/>
      <c r="J436" s="213"/>
      <c r="K436" s="213"/>
      <c r="L436" s="213"/>
      <c r="M436" s="213"/>
      <c r="N436" s="213"/>
      <c r="O436" s="213"/>
      <c r="P436" s="213"/>
      <c r="Q436" s="213"/>
      <c r="R436" s="213"/>
      <c r="S436" s="213"/>
      <c r="T436" s="213"/>
      <c r="U436" s="213"/>
      <c r="V436" s="213"/>
      <c r="W436" s="213"/>
      <c r="X436" s="211">
        <f>INDEX($C$348:$AN$370,MATCH("New Customers 1MS",$C$348:$C$370,0),MATCH($C436,$C$348:$AN$348,0))</f>
        <v>21.249619200000019</v>
      </c>
      <c r="Y436" s="211">
        <f>X436*(E415)</f>
        <v>0.84998476800000078</v>
      </c>
      <c r="Z436" s="211">
        <f>X436*(F415)</f>
        <v>0.84998476800000078</v>
      </c>
      <c r="AA436" s="211">
        <f>X436*(G415)</f>
        <v>0.84998476800000078</v>
      </c>
      <c r="AB436" s="211">
        <f>X436*(H415)</f>
        <v>0.84998476800000078</v>
      </c>
      <c r="AC436" s="211">
        <f>X436*(I415)</f>
        <v>0.63748857600000053</v>
      </c>
      <c r="AD436" s="211">
        <f>X436*(J415)</f>
        <v>0.63748857600000053</v>
      </c>
      <c r="AE436" s="211">
        <f>X436*(K415)</f>
        <v>0.63748857600000053</v>
      </c>
      <c r="AF436" s="211">
        <f>X436*(L415)</f>
        <v>0.63748857600000053</v>
      </c>
      <c r="AG436" s="211">
        <f>X436*(M415)</f>
        <v>0.42499238400000039</v>
      </c>
      <c r="AH436" s="211">
        <f>X436*(N415)</f>
        <v>0.42499238400000039</v>
      </c>
      <c r="AI436" s="211">
        <f>X436*(O415)</f>
        <v>0.42499238400000039</v>
      </c>
      <c r="AJ436" s="211">
        <f>X436*(P415)</f>
        <v>0.63748857600000053</v>
      </c>
      <c r="AK436" s="211">
        <f>X436*(Q415)</f>
        <v>0.63748857600000053</v>
      </c>
      <c r="AL436" s="211">
        <f>X436*(R415)</f>
        <v>0.21249619200000019</v>
      </c>
      <c r="AM436" s="211">
        <f>X436*(S415)</f>
        <v>0.21249619200000019</v>
      </c>
      <c r="AN436" s="211">
        <f>X436*(T415)</f>
        <v>0.21249619200000019</v>
      </c>
    </row>
    <row r="437" spans="2:40" ht="12" hidden="1" customHeight="1" outlineLevel="2">
      <c r="B437" s="245"/>
      <c r="C437" s="213" t="s">
        <v>773</v>
      </c>
      <c r="D437" s="213"/>
      <c r="E437" s="213"/>
      <c r="F437" s="213"/>
      <c r="G437" s="213"/>
      <c r="H437" s="213"/>
      <c r="I437" s="213"/>
      <c r="J437" s="213"/>
      <c r="K437" s="213"/>
      <c r="L437" s="213"/>
      <c r="M437" s="213"/>
      <c r="N437" s="213"/>
      <c r="O437" s="213"/>
      <c r="P437" s="213"/>
      <c r="Q437" s="213"/>
      <c r="R437" s="213"/>
      <c r="S437" s="213"/>
      <c r="T437" s="213"/>
      <c r="U437" s="213"/>
      <c r="V437" s="213"/>
      <c r="W437" s="213"/>
      <c r="X437" s="213"/>
      <c r="Y437" s="211">
        <f>INDEX($C$348:$AN$370,MATCH("New Customers 1MS",$C$348:$C$370,0),MATCH($C437,$C$348:$AN$348,0))</f>
        <v>74.256000000000071</v>
      </c>
      <c r="Z437" s="211">
        <f>Y437*(E415)</f>
        <v>2.9702400000000031</v>
      </c>
      <c r="AA437" s="211">
        <f>Y437*(F415)</f>
        <v>2.9702400000000031</v>
      </c>
      <c r="AB437" s="211">
        <f>Y437*(G415)</f>
        <v>2.9702400000000031</v>
      </c>
      <c r="AC437" s="211">
        <f>Y437*(H415)</f>
        <v>2.9702400000000031</v>
      </c>
      <c r="AD437" s="211">
        <f>Y437*(I415)</f>
        <v>2.2276800000000021</v>
      </c>
      <c r="AE437" s="211">
        <f>Y437*(J415)</f>
        <v>2.2276800000000021</v>
      </c>
      <c r="AF437" s="211">
        <f>Y437*(K415)</f>
        <v>2.2276800000000021</v>
      </c>
      <c r="AG437" s="211">
        <f>Y437*(L415)</f>
        <v>2.2276800000000021</v>
      </c>
      <c r="AH437" s="211">
        <f>Y437*(M415)</f>
        <v>1.4851200000000015</v>
      </c>
      <c r="AI437" s="211">
        <f>Y437*(N415)</f>
        <v>1.4851200000000015</v>
      </c>
      <c r="AJ437" s="211">
        <f>Y437*(O415)</f>
        <v>1.4851200000000015</v>
      </c>
      <c r="AK437" s="211">
        <f>Y437*(P415)</f>
        <v>2.2276800000000021</v>
      </c>
      <c r="AL437" s="211">
        <f>Y437*(Q415)</f>
        <v>2.2276800000000021</v>
      </c>
      <c r="AM437" s="211">
        <f>Y437*(R415)</f>
        <v>0.74256000000000077</v>
      </c>
      <c r="AN437" s="211">
        <f>Y437*(S415)</f>
        <v>0.74256000000000077</v>
      </c>
    </row>
    <row r="438" spans="2:40" ht="12" hidden="1" customHeight="1" outlineLevel="2">
      <c r="B438" s="245"/>
      <c r="C438" s="213" t="s">
        <v>774</v>
      </c>
      <c r="D438" s="213"/>
      <c r="E438" s="213"/>
      <c r="F438" s="213"/>
      <c r="G438" s="213"/>
      <c r="H438" s="213"/>
      <c r="I438" s="213"/>
      <c r="J438" s="213"/>
      <c r="K438" s="213"/>
      <c r="L438" s="213"/>
      <c r="M438" s="213"/>
      <c r="N438" s="213"/>
      <c r="O438" s="213"/>
      <c r="P438" s="213"/>
      <c r="Q438" s="213"/>
      <c r="R438" s="213"/>
      <c r="S438" s="213"/>
      <c r="T438" s="213"/>
      <c r="U438" s="213"/>
      <c r="V438" s="213"/>
      <c r="W438" s="213"/>
      <c r="X438" s="213"/>
      <c r="Y438" s="213"/>
      <c r="Z438" s="211">
        <f>INDEX($C$348:$AN$370,MATCH("New Customers 1MS",$C$348:$C$370,0),MATCH($C438,$C$348:$AN$348,0))</f>
        <v>95.472000000000094</v>
      </c>
      <c r="AA438" s="211">
        <f>Z438*(E415)</f>
        <v>3.8188800000000036</v>
      </c>
      <c r="AB438" s="211">
        <f>Z438*(F415)</f>
        <v>3.8188800000000036</v>
      </c>
      <c r="AC438" s="211">
        <f>Z438*(G415)</f>
        <v>3.8188800000000036</v>
      </c>
      <c r="AD438" s="211">
        <f>Z438*(H415)</f>
        <v>3.8188800000000036</v>
      </c>
      <c r="AE438" s="211">
        <f>Z438*(I415)</f>
        <v>2.8641600000000027</v>
      </c>
      <c r="AF438" s="211">
        <f>Z438*(J415)</f>
        <v>2.8641600000000027</v>
      </c>
      <c r="AG438" s="211">
        <f>Z438*(K415)</f>
        <v>2.8641600000000027</v>
      </c>
      <c r="AH438" s="211">
        <f>Z438*(L415)</f>
        <v>2.8641600000000027</v>
      </c>
      <c r="AI438" s="211">
        <f>Z438*(M415)</f>
        <v>1.9094400000000018</v>
      </c>
      <c r="AJ438" s="211">
        <f>Z438*(N415)</f>
        <v>1.9094400000000018</v>
      </c>
      <c r="AK438" s="211">
        <f>Z438*(O415)</f>
        <v>1.9094400000000018</v>
      </c>
      <c r="AL438" s="211">
        <f>Z438*(P415)</f>
        <v>2.8641600000000027</v>
      </c>
      <c r="AM438" s="211">
        <f>Z438*(Q415)</f>
        <v>2.8641600000000027</v>
      </c>
      <c r="AN438" s="211">
        <f>Z438*(R415)</f>
        <v>0.9547200000000009</v>
      </c>
    </row>
    <row r="439" spans="2:40" ht="12" hidden="1" customHeight="1" outlineLevel="2">
      <c r="B439" s="245"/>
      <c r="C439" s="213" t="s">
        <v>775</v>
      </c>
      <c r="D439" s="213"/>
      <c r="E439" s="213"/>
      <c r="F439" s="213"/>
      <c r="G439" s="213"/>
      <c r="H439" s="213"/>
      <c r="I439" s="213"/>
      <c r="J439" s="213"/>
      <c r="K439" s="213"/>
      <c r="L439" s="213"/>
      <c r="M439" s="213"/>
      <c r="N439" s="213"/>
      <c r="O439" s="213"/>
      <c r="P439" s="213"/>
      <c r="Q439" s="213"/>
      <c r="R439" s="213"/>
      <c r="S439" s="213"/>
      <c r="T439" s="213"/>
      <c r="U439" s="213"/>
      <c r="V439" s="213"/>
      <c r="W439" s="213"/>
      <c r="X439" s="213"/>
      <c r="Y439" s="213"/>
      <c r="Z439" s="213"/>
      <c r="AA439" s="211">
        <f>INDEX($C$348:$AN$370,MATCH("New Customers 1MS",$C$348:$C$370,0),MATCH($C439,$C$348:$AN$348,0))</f>
        <v>15.912000000000015</v>
      </c>
      <c r="AB439" s="211">
        <f>AA439*(E415)</f>
        <v>0.6364800000000006</v>
      </c>
      <c r="AC439" s="211">
        <f>AA439*(F415)</f>
        <v>0.6364800000000006</v>
      </c>
      <c r="AD439" s="211">
        <f>AA439*(G415)</f>
        <v>0.6364800000000006</v>
      </c>
      <c r="AE439" s="211">
        <f>AA439*(H415)</f>
        <v>0.6364800000000006</v>
      </c>
      <c r="AF439" s="211">
        <f>AA439*(I415)</f>
        <v>0.47736000000000045</v>
      </c>
      <c r="AG439" s="211">
        <f>AA439*(J415)</f>
        <v>0.47736000000000045</v>
      </c>
      <c r="AH439" s="211">
        <f>AA439*(K415)</f>
        <v>0.47736000000000045</v>
      </c>
      <c r="AI439" s="211">
        <f>AA439*(L415)</f>
        <v>0.47736000000000045</v>
      </c>
      <c r="AJ439" s="211">
        <f>AA439*(M415)</f>
        <v>0.3182400000000003</v>
      </c>
      <c r="AK439" s="211">
        <f>AA439*(N415)</f>
        <v>0.3182400000000003</v>
      </c>
      <c r="AL439" s="211">
        <f>AA439*(O415)</f>
        <v>0.3182400000000003</v>
      </c>
      <c r="AM439" s="211">
        <f>AA439*(P415)</f>
        <v>0.47736000000000045</v>
      </c>
      <c r="AN439" s="211">
        <f>AA439*(Q415)</f>
        <v>0.47736000000000045</v>
      </c>
    </row>
    <row r="440" spans="2:40" ht="12" hidden="1" customHeight="1" outlineLevel="2">
      <c r="B440" s="245"/>
      <c r="C440" s="213" t="s">
        <v>776</v>
      </c>
      <c r="D440" s="213"/>
      <c r="E440" s="213"/>
      <c r="F440" s="213"/>
      <c r="G440" s="213"/>
      <c r="H440" s="213"/>
      <c r="I440" s="213"/>
      <c r="J440" s="213"/>
      <c r="K440" s="213"/>
      <c r="L440" s="213"/>
      <c r="M440" s="213"/>
      <c r="N440" s="213"/>
      <c r="O440" s="213"/>
      <c r="P440" s="213"/>
      <c r="Q440" s="213"/>
      <c r="R440" s="213"/>
      <c r="S440" s="213"/>
      <c r="T440" s="213"/>
      <c r="U440" s="213"/>
      <c r="V440" s="213"/>
      <c r="W440" s="213"/>
      <c r="X440" s="213"/>
      <c r="Y440" s="213"/>
      <c r="Z440" s="213"/>
      <c r="AA440" s="213"/>
      <c r="AB440" s="211">
        <f>INDEX($C$348:$AN$370,MATCH("New Customers 1MS",$C$348:$C$370,0),MATCH($C440,$C$348:$AN$348,0))</f>
        <v>21.216000000000019</v>
      </c>
      <c r="AC440" s="211">
        <f>AB440*(E415)</f>
        <v>0.84864000000000073</v>
      </c>
      <c r="AD440" s="211">
        <f>AB440*(F415)</f>
        <v>0.84864000000000073</v>
      </c>
      <c r="AE440" s="211">
        <f>AB440*(G415)</f>
        <v>0.84864000000000073</v>
      </c>
      <c r="AF440" s="211">
        <f>AB440*(H415)</f>
        <v>0.84864000000000073</v>
      </c>
      <c r="AG440" s="211">
        <f>AB440*(I415)</f>
        <v>0.63648000000000049</v>
      </c>
      <c r="AH440" s="211">
        <f>AB440*(J415)</f>
        <v>0.63648000000000049</v>
      </c>
      <c r="AI440" s="211">
        <f>AB440*(K415)</f>
        <v>0.63648000000000049</v>
      </c>
      <c r="AJ440" s="211">
        <f>AB440*(L415)</f>
        <v>0.63648000000000049</v>
      </c>
      <c r="AK440" s="211">
        <f>AB440*(M415)</f>
        <v>0.42432000000000036</v>
      </c>
      <c r="AL440" s="211">
        <f>AB440*(N415)</f>
        <v>0.42432000000000036</v>
      </c>
      <c r="AM440" s="211">
        <f>AB440*(O415)</f>
        <v>0.42432000000000036</v>
      </c>
      <c r="AN440" s="211">
        <f>AB440*(P415)</f>
        <v>0.63648000000000049</v>
      </c>
    </row>
    <row r="441" spans="2:40" ht="12" hidden="1" customHeight="1" outlineLevel="2">
      <c r="B441" s="245"/>
      <c r="C441" s="213" t="s">
        <v>777</v>
      </c>
      <c r="D441" s="213"/>
      <c r="E441" s="213"/>
      <c r="F441" s="213"/>
      <c r="G441" s="213"/>
      <c r="H441" s="213"/>
      <c r="I441" s="213"/>
      <c r="J441" s="213"/>
      <c r="K441" s="213"/>
      <c r="L441" s="213"/>
      <c r="M441" s="213"/>
      <c r="N441" s="213"/>
      <c r="O441" s="213"/>
      <c r="P441" s="213"/>
      <c r="Q441" s="213"/>
      <c r="R441" s="213"/>
      <c r="S441" s="213"/>
      <c r="T441" s="213"/>
      <c r="U441" s="213"/>
      <c r="V441" s="213"/>
      <c r="W441" s="213"/>
      <c r="X441" s="213"/>
      <c r="Y441" s="213"/>
      <c r="Z441" s="213"/>
      <c r="AA441" s="213"/>
      <c r="AB441" s="211"/>
      <c r="AC441" s="211">
        <f>INDEX($C$348:$AN$370,MATCH("New Customers 1MS",$C$348:$C$370,0),MATCH($C441,$C$348:$AN$348,0))</f>
        <v>21.943284480000028</v>
      </c>
      <c r="AD441" s="211">
        <f>AC441*(E415)</f>
        <v>0.87773137920000111</v>
      </c>
      <c r="AE441" s="211">
        <f>AC441*($F$70)</f>
        <v>0</v>
      </c>
      <c r="AF441" s="211">
        <f>AC441*($G$70)</f>
        <v>0</v>
      </c>
      <c r="AG441" s="211">
        <f>AC441*($H$70)</f>
        <v>0</v>
      </c>
      <c r="AH441" s="211">
        <f>AC441*($I$70)</f>
        <v>0</v>
      </c>
      <c r="AI441" s="211">
        <f>AC441*($J$70)</f>
        <v>0</v>
      </c>
      <c r="AJ441" s="211">
        <f>AC441*($K$70)</f>
        <v>0</v>
      </c>
      <c r="AK441" s="211">
        <f>AC441*($L$70)</f>
        <v>0</v>
      </c>
      <c r="AL441" s="211">
        <f>AC441*($M$70)</f>
        <v>0</v>
      </c>
      <c r="AM441" s="211">
        <f>AC441*($N$70)</f>
        <v>0</v>
      </c>
      <c r="AN441" s="211">
        <f>AC441*(O415)</f>
        <v>0.43886568960000055</v>
      </c>
    </row>
    <row r="442" spans="2:40" ht="12" hidden="1" customHeight="1" outlineLevel="2">
      <c r="B442" s="245"/>
      <c r="C442" s="213" t="s">
        <v>778</v>
      </c>
      <c r="D442" s="213"/>
      <c r="E442" s="213"/>
      <c r="F442" s="213"/>
      <c r="G442" s="213"/>
      <c r="H442" s="213"/>
      <c r="I442" s="213"/>
      <c r="J442" s="213"/>
      <c r="K442" s="213"/>
      <c r="L442" s="213"/>
      <c r="M442" s="213"/>
      <c r="N442" s="213"/>
      <c r="O442" s="213"/>
      <c r="P442" s="213"/>
      <c r="Q442" s="213"/>
      <c r="R442" s="213"/>
      <c r="S442" s="213"/>
      <c r="T442" s="213"/>
      <c r="U442" s="213"/>
      <c r="V442" s="213"/>
      <c r="W442" s="213"/>
      <c r="X442" s="213"/>
      <c r="Y442" s="213"/>
      <c r="Z442" s="213"/>
      <c r="AA442" s="213"/>
      <c r="AB442" s="211"/>
      <c r="AC442" s="211"/>
      <c r="AD442" s="211">
        <f>INDEX($C$348:$AN$370,MATCH("New Customers 1MS",$C$348:$C$370,0),MATCH($C442,$C$348:$AN$348,0))</f>
        <v>45.957038400000044</v>
      </c>
      <c r="AE442" s="211">
        <f>AD442*(E415)</f>
        <v>1.8382815360000018</v>
      </c>
      <c r="AF442" s="211">
        <f>AD442*($F$70)</f>
        <v>0</v>
      </c>
      <c r="AG442" s="211">
        <f>AD442*($G$70)</f>
        <v>0</v>
      </c>
      <c r="AH442" s="211">
        <f>AD442*($H$70)</f>
        <v>0</v>
      </c>
      <c r="AI442" s="211">
        <f>AD442*($I$70)</f>
        <v>0</v>
      </c>
      <c r="AJ442" s="211">
        <f>AD442*($J$70)</f>
        <v>0</v>
      </c>
      <c r="AK442" s="211">
        <f>AD442*($K$70)</f>
        <v>0</v>
      </c>
      <c r="AL442" s="211">
        <f>AD442*($L$70)</f>
        <v>0</v>
      </c>
      <c r="AM442" s="211">
        <f>AD442*($M$70)</f>
        <v>0</v>
      </c>
      <c r="AN442" s="211">
        <f>AD442*($N$70)</f>
        <v>0</v>
      </c>
    </row>
    <row r="443" spans="2:40" ht="12" hidden="1" customHeight="1" outlineLevel="2">
      <c r="B443" s="245"/>
      <c r="C443" s="213" t="s">
        <v>779</v>
      </c>
      <c r="D443" s="213"/>
      <c r="E443" s="213"/>
      <c r="F443" s="213"/>
      <c r="G443" s="213"/>
      <c r="H443" s="213"/>
      <c r="I443" s="213"/>
      <c r="J443" s="213"/>
      <c r="K443" s="213"/>
      <c r="L443" s="213"/>
      <c r="M443" s="213"/>
      <c r="N443" s="213"/>
      <c r="O443" s="213"/>
      <c r="P443" s="213"/>
      <c r="Q443" s="213"/>
      <c r="R443" s="213"/>
      <c r="S443" s="213"/>
      <c r="T443" s="213"/>
      <c r="U443" s="213"/>
      <c r="V443" s="213"/>
      <c r="W443" s="213"/>
      <c r="X443" s="213"/>
      <c r="Y443" s="213"/>
      <c r="Z443" s="213"/>
      <c r="AA443" s="213"/>
      <c r="AB443" s="211"/>
      <c r="AC443" s="211"/>
      <c r="AD443" s="211"/>
      <c r="AE443" s="211">
        <f>INDEX($C$348:$AN$370,MATCH("New Customers 1MS",$C$348:$C$370,0),MATCH($C443,$C$348:$AN$348,0))</f>
        <v>42.732312480000047</v>
      </c>
      <c r="AF443" s="211">
        <f>AE443*(E415)</f>
        <v>1.7092924992000018</v>
      </c>
      <c r="AG443" s="211">
        <f>AE443*($F$70)</f>
        <v>0</v>
      </c>
      <c r="AH443" s="211">
        <f>AE443*($G$70)</f>
        <v>0</v>
      </c>
      <c r="AI443" s="211">
        <f>AE443*($H$70)</f>
        <v>0</v>
      </c>
      <c r="AJ443" s="211">
        <f>AE443*($I$70)</f>
        <v>0</v>
      </c>
      <c r="AK443" s="211">
        <f>AE443*($J$70)</f>
        <v>0</v>
      </c>
      <c r="AL443" s="211">
        <f>AE443*($K$70)</f>
        <v>0</v>
      </c>
      <c r="AM443" s="211">
        <f>AE443*($L$70)</f>
        <v>0</v>
      </c>
      <c r="AN443" s="211">
        <f>AE443*($M$70)</f>
        <v>0</v>
      </c>
    </row>
    <row r="444" spans="2:40" ht="12" hidden="1" customHeight="1" outlineLevel="2">
      <c r="B444" s="245"/>
      <c r="C444" s="213" t="s">
        <v>780</v>
      </c>
      <c r="D444" s="213"/>
      <c r="E444" s="213"/>
      <c r="F444" s="213"/>
      <c r="G444" s="213"/>
      <c r="H444" s="213"/>
      <c r="I444" s="213"/>
      <c r="J444" s="213"/>
      <c r="K444" s="213"/>
      <c r="L444" s="213"/>
      <c r="M444" s="213"/>
      <c r="N444" s="213"/>
      <c r="O444" s="213"/>
      <c r="P444" s="213"/>
      <c r="Q444" s="213"/>
      <c r="R444" s="213"/>
      <c r="S444" s="213"/>
      <c r="T444" s="213"/>
      <c r="U444" s="213"/>
      <c r="V444" s="213"/>
      <c r="W444" s="213"/>
      <c r="X444" s="213"/>
      <c r="Y444" s="213"/>
      <c r="Z444" s="213"/>
      <c r="AA444" s="213"/>
      <c r="AB444" s="211"/>
      <c r="AC444" s="211"/>
      <c r="AD444" s="211"/>
      <c r="AE444" s="211"/>
      <c r="AF444" s="211">
        <f>INDEX($C$348:$AN$370,MATCH("New Customers 1MS",$C$348:$C$370,0),MATCH($C444,$C$348:$AN$348,0))</f>
        <v>22.367922720000021</v>
      </c>
      <c r="AG444" s="211">
        <f>AF444*(E415)</f>
        <v>0.89471690880000088</v>
      </c>
      <c r="AH444" s="211">
        <f>AF444*($F$70)</f>
        <v>0</v>
      </c>
      <c r="AI444" s="211">
        <f>AF444*($G$70)</f>
        <v>0</v>
      </c>
      <c r="AJ444" s="211">
        <f>AF444*($H$70)</f>
        <v>0</v>
      </c>
      <c r="AK444" s="211">
        <f>AF444*($I$70)</f>
        <v>0</v>
      </c>
      <c r="AL444" s="211">
        <f>AF444*($J$70)</f>
        <v>0</v>
      </c>
      <c r="AM444" s="211">
        <f>AF444*($K$70)</f>
        <v>0</v>
      </c>
      <c r="AN444" s="211">
        <f>AF444*($L$70)</f>
        <v>0</v>
      </c>
    </row>
    <row r="445" spans="2:40" ht="12" hidden="1" customHeight="1" outlineLevel="2">
      <c r="B445" s="245"/>
      <c r="C445" s="213" t="s">
        <v>781</v>
      </c>
      <c r="D445" s="213"/>
      <c r="E445" s="213"/>
      <c r="F445" s="213"/>
      <c r="G445" s="213"/>
      <c r="H445" s="213"/>
      <c r="I445" s="213"/>
      <c r="J445" s="213"/>
      <c r="K445" s="213"/>
      <c r="L445" s="213"/>
      <c r="M445" s="213"/>
      <c r="N445" s="213"/>
      <c r="O445" s="213"/>
      <c r="P445" s="213"/>
      <c r="Q445" s="213"/>
      <c r="R445" s="213"/>
      <c r="S445" s="213"/>
      <c r="T445" s="213"/>
      <c r="U445" s="213"/>
      <c r="V445" s="213"/>
      <c r="W445" s="213"/>
      <c r="X445" s="213"/>
      <c r="Y445" s="213"/>
      <c r="Z445" s="213"/>
      <c r="AA445" s="213"/>
      <c r="AB445" s="211"/>
      <c r="AC445" s="211"/>
      <c r="AD445" s="211"/>
      <c r="AE445" s="211"/>
      <c r="AF445" s="211"/>
      <c r="AG445" s="211">
        <f>INDEX($C$348:$AN$370,MATCH("New Customers 1MS",$C$348:$C$370,0),MATCH($C445,$C$348:$AN$348,0))</f>
        <v>22.110042240000023</v>
      </c>
      <c r="AH445" s="211">
        <f>AG445*(E415)</f>
        <v>0.88440168960000098</v>
      </c>
      <c r="AI445" s="211">
        <f>AG445*($F$70)</f>
        <v>0</v>
      </c>
      <c r="AJ445" s="211">
        <f>AG445*($G$70)</f>
        <v>0</v>
      </c>
      <c r="AK445" s="211">
        <f>AG445*($H$70)</f>
        <v>0</v>
      </c>
      <c r="AL445" s="211">
        <f>AG445*($I$70)</f>
        <v>0</v>
      </c>
      <c r="AM445" s="211">
        <f>AG445*($J$70)</f>
        <v>0</v>
      </c>
      <c r="AN445" s="211">
        <f>AG445*($K$70)</f>
        <v>0</v>
      </c>
    </row>
    <row r="446" spans="2:40" ht="12" hidden="1" customHeight="1" outlineLevel="2">
      <c r="B446" s="245"/>
      <c r="C446" s="213" t="s">
        <v>782</v>
      </c>
      <c r="D446" s="213"/>
      <c r="E446" s="213"/>
      <c r="F446" s="213"/>
      <c r="G446" s="213"/>
      <c r="H446" s="213"/>
      <c r="I446" s="213"/>
      <c r="J446" s="213"/>
      <c r="K446" s="213"/>
      <c r="L446" s="213"/>
      <c r="M446" s="213"/>
      <c r="N446" s="213"/>
      <c r="O446" s="213"/>
      <c r="P446" s="213"/>
      <c r="Q446" s="213"/>
      <c r="R446" s="213"/>
      <c r="S446" s="213"/>
      <c r="T446" s="213"/>
      <c r="U446" s="213"/>
      <c r="V446" s="213"/>
      <c r="W446" s="213"/>
      <c r="X446" s="213"/>
      <c r="Y446" s="213"/>
      <c r="Z446" s="213"/>
      <c r="AA446" s="213"/>
      <c r="AB446" s="211"/>
      <c r="AC446" s="211"/>
      <c r="AD446" s="211"/>
      <c r="AE446" s="211"/>
      <c r="AF446" s="211"/>
      <c r="AG446" s="211"/>
      <c r="AH446" s="211">
        <f>INDEX($C$348:$AN$370,MATCH("New Customers 1MS",$C$348:$C$370,0),MATCH($C446,$C$348:$AN$348,0))</f>
        <v>68.119272000000066</v>
      </c>
      <c r="AI446" s="211">
        <f>AH446*(E415)</f>
        <v>2.7247708800000026</v>
      </c>
      <c r="AJ446" s="211">
        <f>AH446*($F$70)</f>
        <v>0</v>
      </c>
      <c r="AK446" s="211">
        <f>AH446*($G$70)</f>
        <v>0</v>
      </c>
      <c r="AL446" s="211">
        <f>AH446*($H$70)</f>
        <v>0</v>
      </c>
      <c r="AM446" s="211">
        <f>AH446*($I$70)</f>
        <v>0</v>
      </c>
      <c r="AN446" s="211">
        <f>AH446*($J$70)</f>
        <v>0</v>
      </c>
    </row>
    <row r="447" spans="2:40" ht="12" hidden="1" customHeight="1" outlineLevel="2">
      <c r="B447" s="245"/>
      <c r="C447" s="213" t="s">
        <v>783</v>
      </c>
      <c r="D447" s="213"/>
      <c r="E447" s="213"/>
      <c r="F447" s="213"/>
      <c r="G447" s="213"/>
      <c r="H447" s="213"/>
      <c r="I447" s="213"/>
      <c r="J447" s="213"/>
      <c r="K447" s="213"/>
      <c r="L447" s="213"/>
      <c r="M447" s="213"/>
      <c r="N447" s="213"/>
      <c r="O447" s="213"/>
      <c r="P447" s="213"/>
      <c r="Q447" s="213"/>
      <c r="R447" s="213"/>
      <c r="S447" s="213"/>
      <c r="T447" s="213"/>
      <c r="U447" s="213"/>
      <c r="V447" s="213"/>
      <c r="W447" s="213"/>
      <c r="X447" s="213"/>
      <c r="Y447" s="213"/>
      <c r="Z447" s="213"/>
      <c r="AA447" s="213"/>
      <c r="AB447" s="211"/>
      <c r="AC447" s="211"/>
      <c r="AD447" s="211"/>
      <c r="AE447" s="211"/>
      <c r="AF447" s="211"/>
      <c r="AG447" s="211"/>
      <c r="AH447" s="211"/>
      <c r="AI447" s="211">
        <f>INDEX($C$348:$AN$370,MATCH("New Customers 1MS",$C$348:$C$370,0),MATCH($C447,$C$348:$AN$348,0))</f>
        <v>25.779137280000029</v>
      </c>
      <c r="AJ447" s="211">
        <f>AI447*(E415)</f>
        <v>1.0311654912000012</v>
      </c>
      <c r="AK447" s="211">
        <f>AI447*($F$70)</f>
        <v>0</v>
      </c>
      <c r="AL447" s="211">
        <f>AI447*($G$70)</f>
        <v>0</v>
      </c>
      <c r="AM447" s="211">
        <f>AI447*($H$70)</f>
        <v>0</v>
      </c>
      <c r="AN447" s="211">
        <f>AI447*($I$70)</f>
        <v>0</v>
      </c>
    </row>
    <row r="448" spans="2:40" ht="12" hidden="1" customHeight="1" outlineLevel="2">
      <c r="B448" s="245"/>
      <c r="C448" s="213" t="s">
        <v>784</v>
      </c>
      <c r="D448" s="213"/>
      <c r="E448" s="213"/>
      <c r="F448" s="213"/>
      <c r="G448" s="213"/>
      <c r="H448" s="213"/>
      <c r="I448" s="213"/>
      <c r="J448" s="213"/>
      <c r="K448" s="213"/>
      <c r="L448" s="213"/>
      <c r="M448" s="213"/>
      <c r="N448" s="213"/>
      <c r="O448" s="213"/>
      <c r="P448" s="213"/>
      <c r="Q448" s="213"/>
      <c r="R448" s="213"/>
      <c r="S448" s="213"/>
      <c r="T448" s="213"/>
      <c r="U448" s="213"/>
      <c r="V448" s="213"/>
      <c r="W448" s="213"/>
      <c r="X448" s="213"/>
      <c r="Y448" s="213"/>
      <c r="Z448" s="213"/>
      <c r="AA448" s="213"/>
      <c r="AB448" s="211"/>
      <c r="AC448" s="211"/>
      <c r="AD448" s="211"/>
      <c r="AE448" s="211"/>
      <c r="AF448" s="211"/>
      <c r="AG448" s="211"/>
      <c r="AH448" s="211"/>
      <c r="AI448" s="211"/>
      <c r="AJ448" s="211">
        <f>INDEX($C$348:$AN$370,MATCH("New Customers 1MS",$C$348:$C$370,0),MATCH($C448,$C$348:$AN$348,0))</f>
        <v>27.624504960000028</v>
      </c>
      <c r="AK448" s="211">
        <f>AJ448*(E415)</f>
        <v>1.1049801984000012</v>
      </c>
      <c r="AL448" s="211">
        <f>AJ448*($F$70)</f>
        <v>0</v>
      </c>
      <c r="AM448" s="211">
        <f>AJ448*($G$70)</f>
        <v>0</v>
      </c>
      <c r="AN448" s="211">
        <f>AJ448*($H$70)</f>
        <v>0</v>
      </c>
    </row>
    <row r="449" spans="2:40" ht="12" hidden="1" customHeight="1" outlineLevel="2">
      <c r="B449" s="245"/>
      <c r="C449" s="213" t="s">
        <v>785</v>
      </c>
      <c r="D449" s="213"/>
      <c r="E449" s="213"/>
      <c r="F449" s="213"/>
      <c r="G449" s="213"/>
      <c r="H449" s="213"/>
      <c r="I449" s="213"/>
      <c r="J449" s="213"/>
      <c r="K449" s="213"/>
      <c r="L449" s="213"/>
      <c r="M449" s="213"/>
      <c r="N449" s="213"/>
      <c r="O449" s="213"/>
      <c r="P449" s="213"/>
      <c r="Q449" s="213"/>
      <c r="R449" s="213"/>
      <c r="S449" s="213"/>
      <c r="T449" s="213"/>
      <c r="U449" s="213"/>
      <c r="V449" s="213"/>
      <c r="W449" s="213"/>
      <c r="X449" s="213"/>
      <c r="Y449" s="213"/>
      <c r="Z449" s="213"/>
      <c r="AA449" s="213"/>
      <c r="AB449" s="211"/>
      <c r="AC449" s="211"/>
      <c r="AD449" s="211"/>
      <c r="AE449" s="211"/>
      <c r="AF449" s="211"/>
      <c r="AG449" s="211"/>
      <c r="AH449" s="211"/>
      <c r="AI449" s="211"/>
      <c r="AJ449" s="211"/>
      <c r="AK449" s="211">
        <f>INDEX($C$348:$AN$370,MATCH("New Customers 1MS",$C$348:$C$370,0),MATCH($C449,$C$348:$AN$348,0))</f>
        <v>96.532800000000094</v>
      </c>
      <c r="AL449" s="211">
        <f>AK449*(E415)</f>
        <v>3.8613120000000039</v>
      </c>
      <c r="AM449" s="211">
        <f>AK449*($F$70)</f>
        <v>0</v>
      </c>
      <c r="AN449" s="211">
        <f>AK449*($G$70)</f>
        <v>0</v>
      </c>
    </row>
    <row r="450" spans="2:40" ht="12" hidden="1" customHeight="1" outlineLevel="2">
      <c r="B450" s="245"/>
      <c r="C450" s="213" t="s">
        <v>786</v>
      </c>
      <c r="D450" s="213"/>
      <c r="E450" s="213"/>
      <c r="F450" s="213"/>
      <c r="G450" s="213"/>
      <c r="H450" s="213"/>
      <c r="I450" s="213"/>
      <c r="J450" s="213"/>
      <c r="K450" s="213"/>
      <c r="L450" s="213"/>
      <c r="M450" s="213"/>
      <c r="N450" s="213"/>
      <c r="O450" s="213"/>
      <c r="P450" s="213"/>
      <c r="Q450" s="213"/>
      <c r="R450" s="213"/>
      <c r="S450" s="213"/>
      <c r="T450" s="213"/>
      <c r="U450" s="213"/>
      <c r="V450" s="213"/>
      <c r="W450" s="213"/>
      <c r="X450" s="213"/>
      <c r="Y450" s="213"/>
      <c r="Z450" s="213"/>
      <c r="AA450" s="213"/>
      <c r="AB450" s="211"/>
      <c r="AC450" s="211"/>
      <c r="AD450" s="211"/>
      <c r="AE450" s="211"/>
      <c r="AF450" s="211"/>
      <c r="AG450" s="211"/>
      <c r="AH450" s="211"/>
      <c r="AI450" s="211"/>
      <c r="AJ450" s="211"/>
      <c r="AK450" s="211"/>
      <c r="AL450" s="211">
        <f>INDEX($C$348:$AN$370,MATCH("New Customers 1MS",$C$348:$C$370,0),MATCH($C450,$C$348:$AN$348,0))</f>
        <v>124.11360000000012</v>
      </c>
      <c r="AM450" s="211">
        <f>AL450*(E415)</f>
        <v>4.9645440000000045</v>
      </c>
      <c r="AN450" s="211">
        <f>AL450*($F$70)</f>
        <v>0</v>
      </c>
    </row>
    <row r="451" spans="2:40" ht="12" hidden="1" customHeight="1" outlineLevel="2">
      <c r="B451" s="245"/>
      <c r="C451" s="213" t="s">
        <v>787</v>
      </c>
      <c r="D451" s="213"/>
      <c r="E451" s="213"/>
      <c r="F451" s="213"/>
      <c r="G451" s="213"/>
      <c r="H451" s="213"/>
      <c r="I451" s="213"/>
      <c r="J451" s="213"/>
      <c r="K451" s="213"/>
      <c r="L451" s="213"/>
      <c r="M451" s="213"/>
      <c r="N451" s="213"/>
      <c r="O451" s="213"/>
      <c r="P451" s="213"/>
      <c r="Q451" s="213"/>
      <c r="R451" s="213"/>
      <c r="S451" s="213"/>
      <c r="T451" s="213"/>
      <c r="U451" s="213"/>
      <c r="V451" s="213"/>
      <c r="W451" s="213"/>
      <c r="X451" s="213"/>
      <c r="Y451" s="213"/>
      <c r="Z451" s="213"/>
      <c r="AA451" s="213"/>
      <c r="AB451" s="211"/>
      <c r="AC451" s="211"/>
      <c r="AD451" s="211"/>
      <c r="AE451" s="211"/>
      <c r="AF451" s="211"/>
      <c r="AG451" s="211"/>
      <c r="AH451" s="211"/>
      <c r="AI451" s="211"/>
      <c r="AJ451" s="211"/>
      <c r="AK451" s="211"/>
      <c r="AL451" s="211"/>
      <c r="AM451" s="211">
        <f>INDEX($C$348:$AN$370,MATCH("New Customers 1MS",$C$348:$C$370,0),MATCH($C451,$C$348:$AN$348,0))</f>
        <v>20.685600000000019</v>
      </c>
      <c r="AN451" s="211">
        <f>AM451*(E415)</f>
        <v>0.82742400000000071</v>
      </c>
    </row>
    <row r="452" spans="2:40" ht="12" hidden="1" customHeight="1" outlineLevel="2">
      <c r="B452" s="245"/>
      <c r="C452" s="213" t="s">
        <v>788</v>
      </c>
      <c r="D452" s="213"/>
      <c r="E452" s="213"/>
      <c r="F452" s="213"/>
      <c r="G452" s="213"/>
      <c r="H452" s="213"/>
      <c r="I452" s="213"/>
      <c r="J452" s="213"/>
      <c r="K452" s="213"/>
      <c r="L452" s="213"/>
      <c r="M452" s="213"/>
      <c r="N452" s="213"/>
      <c r="O452" s="213"/>
      <c r="P452" s="213"/>
      <c r="Q452" s="213"/>
      <c r="R452" s="213"/>
      <c r="S452" s="213"/>
      <c r="T452" s="213"/>
      <c r="U452" s="213"/>
      <c r="V452" s="213"/>
      <c r="W452" s="213"/>
      <c r="X452" s="213"/>
      <c r="Y452" s="213"/>
      <c r="Z452" s="213"/>
      <c r="AA452" s="213"/>
      <c r="AB452" s="211"/>
      <c r="AC452" s="211"/>
      <c r="AD452" s="211"/>
      <c r="AE452" s="211"/>
      <c r="AF452" s="211"/>
      <c r="AG452" s="211"/>
      <c r="AH452" s="211"/>
      <c r="AI452" s="211"/>
      <c r="AJ452" s="211"/>
      <c r="AK452" s="211"/>
      <c r="AL452" s="211"/>
      <c r="AM452" s="211"/>
      <c r="AN452" s="211">
        <f>INDEX($C$348:$AN$370,MATCH("New Customers 1MS",$C$348:$C$370,0),MATCH($C452,$C$348:$AN$348,0))</f>
        <v>27.580800000000025</v>
      </c>
    </row>
    <row r="453" spans="2:40" ht="12" hidden="1" customHeight="1" outlineLevel="2">
      <c r="B453" s="245"/>
      <c r="C453" s="213"/>
      <c r="D453" s="213"/>
      <c r="E453" s="213"/>
      <c r="F453" s="213"/>
      <c r="G453" s="213"/>
      <c r="H453" s="213"/>
      <c r="I453" s="213"/>
      <c r="J453" s="213"/>
      <c r="K453" s="213"/>
      <c r="L453" s="213"/>
      <c r="M453" s="213"/>
      <c r="N453" s="213"/>
      <c r="O453" s="213"/>
      <c r="P453" s="213"/>
      <c r="Q453" s="213"/>
      <c r="R453" s="213"/>
      <c r="S453" s="213"/>
      <c r="T453" s="213"/>
      <c r="U453" s="213"/>
      <c r="V453" s="213"/>
      <c r="W453" s="213"/>
      <c r="X453" s="213"/>
      <c r="Y453" s="213"/>
      <c r="Z453" s="213"/>
      <c r="AA453" s="213"/>
      <c r="AB453" s="211"/>
      <c r="AC453" s="211"/>
      <c r="AD453" s="211"/>
      <c r="AE453" s="211"/>
      <c r="AF453" s="211"/>
      <c r="AG453" s="211"/>
      <c r="AH453" s="211"/>
      <c r="AI453" s="211"/>
      <c r="AJ453" s="211"/>
      <c r="AK453" s="211"/>
      <c r="AL453" s="211"/>
      <c r="AM453" s="211"/>
      <c r="AN453" s="211"/>
    </row>
    <row r="454" spans="2:40" ht="12" hidden="1" customHeight="1" outlineLevel="3">
      <c r="B454" s="245"/>
      <c r="C454" s="243" t="s">
        <v>854</v>
      </c>
      <c r="D454" s="213"/>
      <c r="E454" s="213"/>
      <c r="F454" s="213"/>
      <c r="G454" s="213"/>
      <c r="H454" s="213"/>
      <c r="I454" s="213"/>
      <c r="J454" s="213"/>
      <c r="K454" s="213"/>
      <c r="L454" s="213"/>
      <c r="M454" s="213"/>
      <c r="N454" s="213"/>
      <c r="O454" s="213"/>
      <c r="P454" s="213"/>
      <c r="Q454" s="213"/>
      <c r="R454" s="213"/>
      <c r="S454" s="213"/>
      <c r="T454" s="213"/>
      <c r="U454" s="213"/>
      <c r="V454" s="213"/>
      <c r="W454" s="213"/>
      <c r="X454" s="213"/>
      <c r="Y454" s="213"/>
      <c r="Z454" s="213"/>
      <c r="AA454" s="213"/>
      <c r="AB454" s="213"/>
      <c r="AC454" s="211"/>
    </row>
    <row r="455" spans="2:40" ht="12" hidden="1" customHeight="1" outlineLevel="3">
      <c r="B455" s="239"/>
      <c r="C455" s="214" t="s">
        <v>850</v>
      </c>
      <c r="D455" s="214"/>
      <c r="E455" s="196" t="s">
        <v>753</v>
      </c>
      <c r="F455" s="196" t="s">
        <v>754</v>
      </c>
      <c r="G455" s="196" t="s">
        <v>755</v>
      </c>
      <c r="H455" s="196" t="s">
        <v>756</v>
      </c>
      <c r="I455" s="196" t="s">
        <v>757</v>
      </c>
      <c r="J455" s="196" t="s">
        <v>758</v>
      </c>
      <c r="K455" s="196" t="s">
        <v>759</v>
      </c>
      <c r="L455" s="196" t="s">
        <v>760</v>
      </c>
      <c r="M455" s="196" t="s">
        <v>761</v>
      </c>
      <c r="N455" s="196" t="s">
        <v>762</v>
      </c>
      <c r="O455" s="196" t="s">
        <v>763</v>
      </c>
      <c r="P455" s="196" t="s">
        <v>764</v>
      </c>
      <c r="Q455" s="196" t="s">
        <v>765</v>
      </c>
      <c r="R455" s="196" t="s">
        <v>766</v>
      </c>
      <c r="S455" s="196" t="s">
        <v>767</v>
      </c>
      <c r="T455" s="196" t="s">
        <v>768</v>
      </c>
      <c r="U455" s="196" t="s">
        <v>769</v>
      </c>
      <c r="V455" s="196" t="s">
        <v>770</v>
      </c>
      <c r="W455" s="196" t="s">
        <v>771</v>
      </c>
      <c r="X455" s="196" t="s">
        <v>772</v>
      </c>
      <c r="Y455" s="196" t="s">
        <v>773</v>
      </c>
      <c r="Z455" s="196" t="s">
        <v>774</v>
      </c>
      <c r="AA455" s="196" t="s">
        <v>775</v>
      </c>
      <c r="AB455" s="196" t="s">
        <v>776</v>
      </c>
      <c r="AC455" s="196" t="s">
        <v>777</v>
      </c>
      <c r="AD455" s="196" t="s">
        <v>778</v>
      </c>
      <c r="AE455" s="196" t="s">
        <v>779</v>
      </c>
      <c r="AF455" s="196" t="s">
        <v>780</v>
      </c>
      <c r="AG455" s="196" t="s">
        <v>781</v>
      </c>
      <c r="AH455" s="196" t="s">
        <v>782</v>
      </c>
      <c r="AI455" s="196" t="s">
        <v>783</v>
      </c>
      <c r="AJ455" s="196" t="s">
        <v>784</v>
      </c>
      <c r="AK455" s="196" t="s">
        <v>785</v>
      </c>
      <c r="AL455" s="196" t="s">
        <v>786</v>
      </c>
      <c r="AM455" s="196" t="s">
        <v>787</v>
      </c>
      <c r="AN455" s="196" t="s">
        <v>788</v>
      </c>
    </row>
    <row r="456" spans="2:40" ht="12" hidden="1" customHeight="1" outlineLevel="3">
      <c r="B456" s="239"/>
      <c r="C456" s="247" t="s">
        <v>851</v>
      </c>
      <c r="D456" s="214"/>
      <c r="E456" s="193">
        <v>0.86</v>
      </c>
      <c r="F456" s="192"/>
      <c r="G456" s="192"/>
      <c r="H456" s="193">
        <v>0.42</v>
      </c>
      <c r="I456" s="192"/>
      <c r="J456" s="192"/>
      <c r="K456" s="193">
        <v>0.26</v>
      </c>
      <c r="L456" s="192"/>
      <c r="M456" s="192"/>
      <c r="N456" s="193">
        <v>0.16</v>
      </c>
      <c r="O456" s="192"/>
      <c r="P456" s="192"/>
      <c r="Q456" s="193">
        <v>0.1</v>
      </c>
      <c r="R456" s="192"/>
      <c r="S456" s="192"/>
      <c r="T456" s="193">
        <v>0.06</v>
      </c>
      <c r="U456" s="192"/>
      <c r="V456" s="192"/>
      <c r="W456" s="193">
        <v>0.03</v>
      </c>
      <c r="X456" s="192"/>
      <c r="Y456" s="192"/>
      <c r="Z456" s="193">
        <v>0.01</v>
      </c>
      <c r="AA456" s="192"/>
      <c r="AB456" s="192"/>
      <c r="AC456" s="193">
        <v>0.01</v>
      </c>
      <c r="AD456" s="192"/>
      <c r="AE456" s="192"/>
      <c r="AF456" s="193">
        <v>0.01</v>
      </c>
      <c r="AG456" s="192"/>
      <c r="AH456" s="192"/>
      <c r="AI456" s="193">
        <v>0.01</v>
      </c>
      <c r="AJ456" s="192"/>
      <c r="AK456" s="192"/>
      <c r="AL456" s="193">
        <v>0.01</v>
      </c>
      <c r="AM456" s="192"/>
      <c r="AN456" s="192"/>
    </row>
    <row r="457" spans="2:40" ht="12" hidden="1" customHeight="1" outlineLevel="3">
      <c r="B457" s="245"/>
      <c r="C457" s="213" t="s">
        <v>753</v>
      </c>
      <c r="D457" s="213"/>
      <c r="E457" s="211">
        <f>INDEX($C$348:$AN$370, MATCH("New Customers 3MS", $C$348:$C$370, 0), MATCH($C457, $C$348:$AN$348, 0))</f>
        <v>0</v>
      </c>
      <c r="F457" s="211"/>
      <c r="G457" s="211"/>
      <c r="H457" s="211">
        <f>E457*(1-E456)</f>
        <v>0</v>
      </c>
      <c r="I457" s="211"/>
      <c r="J457" s="211"/>
      <c r="K457" s="211">
        <f>E457*(1-H456)</f>
        <v>0</v>
      </c>
      <c r="L457" s="211"/>
      <c r="M457" s="211"/>
      <c r="N457" s="211">
        <f>E457*(1-K456)</f>
        <v>0</v>
      </c>
      <c r="O457" s="211"/>
      <c r="P457" s="211"/>
      <c r="Q457" s="211">
        <f>E457*(1-N456)</f>
        <v>0</v>
      </c>
      <c r="R457" s="211"/>
      <c r="S457" s="211"/>
      <c r="T457" s="211">
        <f>E457*(1-Q456)</f>
        <v>0</v>
      </c>
      <c r="U457" s="211"/>
      <c r="V457" s="211"/>
      <c r="W457" s="211">
        <f>E457*(1-T456)</f>
        <v>0</v>
      </c>
      <c r="X457" s="211"/>
      <c r="Y457" s="211"/>
      <c r="Z457" s="211">
        <f>E457*(1-W456)</f>
        <v>0</v>
      </c>
      <c r="AA457" s="211"/>
      <c r="AB457" s="211"/>
      <c r="AC457" s="211">
        <f>E457*(1-Z456)</f>
        <v>0</v>
      </c>
      <c r="AD457" s="211"/>
      <c r="AE457" s="211"/>
      <c r="AF457" s="211">
        <f>E457*(1-AC456)</f>
        <v>0</v>
      </c>
      <c r="AG457" s="211"/>
      <c r="AH457" s="211"/>
      <c r="AI457" s="211">
        <f>E457*(1-AF456)</f>
        <v>0</v>
      </c>
      <c r="AJ457" s="211"/>
      <c r="AK457" s="211"/>
      <c r="AL457" s="211">
        <f>E457*(1-AI456)</f>
        <v>0</v>
      </c>
      <c r="AM457" s="211"/>
      <c r="AN457" s="211"/>
    </row>
    <row r="458" spans="2:40" ht="12" hidden="1" customHeight="1" outlineLevel="3">
      <c r="B458" s="245"/>
      <c r="C458" s="213" t="s">
        <v>754</v>
      </c>
      <c r="D458" s="213"/>
      <c r="E458" s="213"/>
      <c r="F458" s="211">
        <f>INDEX($C$348:$AN$370, MATCH("New Customers 3MS", $C$348:$C$370, 0), MATCH($C458, $C$348:$AN$348, 0))</f>
        <v>0</v>
      </c>
      <c r="G458" s="211"/>
      <c r="H458" s="211"/>
      <c r="I458" s="211">
        <f>F458*(E456)</f>
        <v>0</v>
      </c>
      <c r="J458" s="211"/>
      <c r="K458" s="211"/>
      <c r="L458" s="211">
        <f>F458*(H456)</f>
        <v>0</v>
      </c>
      <c r="M458" s="211"/>
      <c r="N458" s="211"/>
      <c r="O458" s="211">
        <f>F458*(K456)</f>
        <v>0</v>
      </c>
      <c r="P458" s="211"/>
      <c r="Q458" s="211"/>
      <c r="R458" s="211">
        <f>F458*(N456)</f>
        <v>0</v>
      </c>
      <c r="S458" s="211"/>
      <c r="T458" s="211"/>
      <c r="U458" s="211">
        <f>F458*(Q456)</f>
        <v>0</v>
      </c>
      <c r="V458" s="211"/>
      <c r="W458" s="211"/>
      <c r="X458" s="211">
        <f>F458*(T456)</f>
        <v>0</v>
      </c>
      <c r="Y458" s="211"/>
      <c r="Z458" s="211"/>
      <c r="AA458" s="211">
        <f>F458*(W456)</f>
        <v>0</v>
      </c>
      <c r="AB458" s="211"/>
      <c r="AC458" s="211"/>
      <c r="AD458" s="211">
        <f>F458*(Z456)</f>
        <v>0</v>
      </c>
      <c r="AE458" s="211"/>
      <c r="AF458" s="211"/>
      <c r="AG458" s="211">
        <f>F458*(AC456)</f>
        <v>0</v>
      </c>
      <c r="AH458" s="211"/>
      <c r="AI458" s="211"/>
      <c r="AJ458" s="211">
        <f>F458*(AF456)</f>
        <v>0</v>
      </c>
      <c r="AK458" s="211"/>
      <c r="AL458" s="211"/>
      <c r="AM458" s="211">
        <f>F458*(AI456)</f>
        <v>0</v>
      </c>
      <c r="AN458" s="211"/>
    </row>
    <row r="459" spans="2:40" ht="12" hidden="1" customHeight="1" outlineLevel="3">
      <c r="B459" s="245"/>
      <c r="C459" s="213" t="s">
        <v>755</v>
      </c>
      <c r="D459" s="213"/>
      <c r="E459" s="213"/>
      <c r="F459" s="213"/>
      <c r="G459" s="211">
        <f>INDEX($C$348:$AN$370, MATCH("New Customers 3MS", $C$348:$C$370, 0), MATCH($C459, $C$348:$AN$348, 0))</f>
        <v>0</v>
      </c>
      <c r="H459" s="211"/>
      <c r="I459" s="211"/>
      <c r="J459" s="211">
        <f>G459*(E456)</f>
        <v>0</v>
      </c>
      <c r="K459" s="211"/>
      <c r="L459" s="211"/>
      <c r="M459" s="211">
        <f>G459*(H456)</f>
        <v>0</v>
      </c>
      <c r="N459" s="211"/>
      <c r="O459" s="211"/>
      <c r="P459" s="211">
        <f>G459*(K456)</f>
        <v>0</v>
      </c>
      <c r="Q459" s="211"/>
      <c r="R459" s="211"/>
      <c r="S459" s="211">
        <f>G459*(N456)</f>
        <v>0</v>
      </c>
      <c r="T459" s="211"/>
      <c r="U459" s="211"/>
      <c r="V459" s="211">
        <f>G459*(Q456)</f>
        <v>0</v>
      </c>
      <c r="W459" s="211"/>
      <c r="X459" s="211"/>
      <c r="Y459" s="211">
        <f>G459*(T456)</f>
        <v>0</v>
      </c>
      <c r="Z459" s="211"/>
      <c r="AA459" s="211"/>
      <c r="AB459" s="211">
        <f>G459*(W456)</f>
        <v>0</v>
      </c>
      <c r="AC459" s="211"/>
      <c r="AD459" s="211"/>
      <c r="AE459" s="211">
        <f>G459*(Z456)</f>
        <v>0</v>
      </c>
      <c r="AF459" s="211"/>
      <c r="AG459" s="211"/>
      <c r="AH459" s="211">
        <f>G459*(AC456)</f>
        <v>0</v>
      </c>
      <c r="AI459" s="211"/>
      <c r="AJ459" s="211"/>
      <c r="AK459" s="211">
        <f>G459*(AF456)</f>
        <v>0</v>
      </c>
      <c r="AL459" s="211"/>
      <c r="AM459" s="211"/>
      <c r="AN459" s="211">
        <f>G459*(AI456)</f>
        <v>0</v>
      </c>
    </row>
    <row r="460" spans="2:40" ht="12" hidden="1" customHeight="1" outlineLevel="3">
      <c r="B460" s="245"/>
      <c r="C460" s="213" t="s">
        <v>756</v>
      </c>
      <c r="D460" s="213"/>
      <c r="E460" s="213"/>
      <c r="F460" s="213"/>
      <c r="G460" s="213"/>
      <c r="H460" s="211">
        <f>INDEX($C$348:$AN$370, MATCH("New Customers 3MS", $C$348:$C$370, 0), MATCH($C460, $C$348:$AN$348, 0))</f>
        <v>0</v>
      </c>
      <c r="I460" s="211"/>
      <c r="J460" s="211"/>
      <c r="K460" s="211">
        <f>H460*(E456)</f>
        <v>0</v>
      </c>
      <c r="L460" s="211"/>
      <c r="M460" s="211"/>
      <c r="N460" s="211">
        <f>H460*(H456)</f>
        <v>0</v>
      </c>
      <c r="O460" s="211"/>
      <c r="P460" s="211"/>
      <c r="Q460" s="211">
        <f>H460*(K456)</f>
        <v>0</v>
      </c>
      <c r="R460" s="211"/>
      <c r="S460" s="211"/>
      <c r="T460" s="211">
        <f>H460*(N456)</f>
        <v>0</v>
      </c>
      <c r="U460" s="211"/>
      <c r="V460" s="211"/>
      <c r="W460" s="211">
        <f>H460*(Q456)</f>
        <v>0</v>
      </c>
      <c r="X460" s="211"/>
      <c r="Y460" s="211"/>
      <c r="Z460" s="211">
        <f>H460*(T456)</f>
        <v>0</v>
      </c>
      <c r="AA460" s="211"/>
      <c r="AB460" s="211"/>
      <c r="AC460" s="211">
        <f>H460*(W456)</f>
        <v>0</v>
      </c>
      <c r="AD460" s="211"/>
      <c r="AE460" s="211"/>
      <c r="AF460" s="211">
        <f>H460*(Z456)</f>
        <v>0</v>
      </c>
      <c r="AG460" s="211"/>
      <c r="AH460" s="211"/>
      <c r="AI460" s="211">
        <f>H460*(AC456)</f>
        <v>0</v>
      </c>
      <c r="AJ460" s="211"/>
      <c r="AK460" s="211"/>
      <c r="AL460" s="211">
        <f>H460*(AF456)</f>
        <v>0</v>
      </c>
      <c r="AM460" s="211"/>
      <c r="AN460" s="211"/>
    </row>
    <row r="461" spans="2:40" ht="12" hidden="1" customHeight="1" outlineLevel="3">
      <c r="B461" s="245"/>
      <c r="C461" s="213" t="s">
        <v>757</v>
      </c>
      <c r="D461" s="213"/>
      <c r="E461" s="213"/>
      <c r="F461" s="213"/>
      <c r="G461" s="213"/>
      <c r="H461" s="213"/>
      <c r="I461" s="211">
        <f>INDEX($C$348:$AN$370, MATCH("New Customers 3MS", $C$348:$C$370, 0), MATCH($C461, $C$348:$AN$348, 0))</f>
        <v>0</v>
      </c>
      <c r="J461" s="211"/>
      <c r="K461" s="211"/>
      <c r="L461" s="211">
        <f>I461*(E456)</f>
        <v>0</v>
      </c>
      <c r="M461" s="211"/>
      <c r="N461" s="211"/>
      <c r="O461" s="211">
        <f>I461*(H456)</f>
        <v>0</v>
      </c>
      <c r="P461" s="211"/>
      <c r="Q461" s="211"/>
      <c r="R461" s="211">
        <f>I461*(K456)</f>
        <v>0</v>
      </c>
      <c r="S461" s="211"/>
      <c r="T461" s="211"/>
      <c r="U461" s="211">
        <f>I461*(N456)</f>
        <v>0</v>
      </c>
      <c r="V461" s="211"/>
      <c r="W461" s="211"/>
      <c r="X461" s="211">
        <f>I461*(Q456)</f>
        <v>0</v>
      </c>
      <c r="Y461" s="211"/>
      <c r="Z461" s="211"/>
      <c r="AA461" s="211">
        <f>I461*(T456)</f>
        <v>0</v>
      </c>
      <c r="AB461" s="211"/>
      <c r="AC461" s="211"/>
      <c r="AD461" s="211">
        <f>I461*(W456)</f>
        <v>0</v>
      </c>
      <c r="AE461" s="211"/>
      <c r="AF461" s="211"/>
      <c r="AG461" s="211">
        <f>I461*(Z456)</f>
        <v>0</v>
      </c>
      <c r="AH461" s="211"/>
      <c r="AI461" s="211"/>
      <c r="AJ461" s="211">
        <f>I461*(AC456)</f>
        <v>0</v>
      </c>
      <c r="AK461" s="211"/>
      <c r="AL461" s="211"/>
      <c r="AM461" s="211">
        <f>I461*(AF456)</f>
        <v>0</v>
      </c>
      <c r="AN461" s="211"/>
    </row>
    <row r="462" spans="2:40" ht="12" hidden="1" customHeight="1" outlineLevel="3">
      <c r="B462" s="245"/>
      <c r="C462" s="213" t="s">
        <v>758</v>
      </c>
      <c r="D462" s="213"/>
      <c r="E462" s="213"/>
      <c r="F462" s="213"/>
      <c r="G462" s="213"/>
      <c r="H462" s="213"/>
      <c r="I462" s="213"/>
      <c r="J462" s="211">
        <f>INDEX($C$348:$AN$370, MATCH("New Customers 3MS", $C$348:$C$370, 0), MATCH($C462, $C$348:$AN$348, 0))</f>
        <v>0</v>
      </c>
      <c r="K462" s="211"/>
      <c r="L462" s="211"/>
      <c r="M462" s="211">
        <f>J462*(E456)</f>
        <v>0</v>
      </c>
      <c r="N462" s="211"/>
      <c r="O462" s="211"/>
      <c r="P462" s="211">
        <f>J462*(H456)</f>
        <v>0</v>
      </c>
      <c r="Q462" s="211"/>
      <c r="R462" s="211"/>
      <c r="S462" s="211">
        <f>J462*(K456)</f>
        <v>0</v>
      </c>
      <c r="T462" s="211"/>
      <c r="U462" s="211"/>
      <c r="V462" s="211">
        <f>J462*(N456)</f>
        <v>0</v>
      </c>
      <c r="W462" s="211"/>
      <c r="X462" s="211"/>
      <c r="Y462" s="211">
        <f>J462*(Q456)</f>
        <v>0</v>
      </c>
      <c r="Z462" s="211"/>
      <c r="AA462" s="211"/>
      <c r="AB462" s="211">
        <f>J462*(T456)</f>
        <v>0</v>
      </c>
      <c r="AC462" s="211"/>
      <c r="AD462" s="211"/>
      <c r="AE462" s="211">
        <f>J462*(W456)</f>
        <v>0</v>
      </c>
      <c r="AF462" s="211"/>
      <c r="AG462" s="211"/>
      <c r="AH462" s="211">
        <f>J462*(Z456)</f>
        <v>0</v>
      </c>
      <c r="AI462" s="211"/>
      <c r="AJ462" s="211"/>
      <c r="AK462" s="211">
        <f>J462*(AC456)</f>
        <v>0</v>
      </c>
      <c r="AL462" s="211"/>
      <c r="AM462" s="211"/>
      <c r="AN462" s="211">
        <f>J462*(AF456)</f>
        <v>0</v>
      </c>
    </row>
    <row r="463" spans="2:40" ht="12" hidden="1" customHeight="1" outlineLevel="3">
      <c r="B463" s="245"/>
      <c r="C463" s="213" t="s">
        <v>759</v>
      </c>
      <c r="D463" s="213"/>
      <c r="E463" s="213"/>
      <c r="F463" s="213"/>
      <c r="G463" s="213"/>
      <c r="H463" s="213"/>
      <c r="I463" s="213"/>
      <c r="J463" s="213"/>
      <c r="K463" s="211">
        <f>INDEX($C$348:$AN$370, MATCH("New Customers 3MS", $C$348:$C$370, 0), MATCH($C463, $C$348:$AN$348, 0))</f>
        <v>0</v>
      </c>
      <c r="L463" s="211"/>
      <c r="M463" s="211"/>
      <c r="N463" s="211">
        <f>K463*(E456)</f>
        <v>0</v>
      </c>
      <c r="O463" s="211"/>
      <c r="P463" s="211"/>
      <c r="Q463" s="211">
        <f>K463*(H456)</f>
        <v>0</v>
      </c>
      <c r="R463" s="211"/>
      <c r="S463" s="211"/>
      <c r="T463" s="211">
        <f>K463*(K456)</f>
        <v>0</v>
      </c>
      <c r="U463" s="211"/>
      <c r="V463" s="211"/>
      <c r="W463" s="211">
        <f>K463*(N456)</f>
        <v>0</v>
      </c>
      <c r="X463" s="211"/>
      <c r="Y463" s="211"/>
      <c r="Z463" s="211">
        <f>K463*(Q456)</f>
        <v>0</v>
      </c>
      <c r="AA463" s="211"/>
      <c r="AB463" s="211"/>
      <c r="AC463" s="211">
        <f>K463*(T456)</f>
        <v>0</v>
      </c>
      <c r="AD463" s="211"/>
      <c r="AE463" s="211"/>
      <c r="AF463" s="211">
        <f>K463*(W456)</f>
        <v>0</v>
      </c>
      <c r="AG463" s="211"/>
      <c r="AH463" s="211"/>
      <c r="AI463" s="211">
        <f>K463*(Z456)</f>
        <v>0</v>
      </c>
      <c r="AJ463" s="211"/>
      <c r="AK463" s="211"/>
      <c r="AL463" s="211">
        <f>K463*(AC456)</f>
        <v>0</v>
      </c>
      <c r="AM463" s="211"/>
      <c r="AN463" s="211"/>
    </row>
    <row r="464" spans="2:40" ht="12" hidden="1" customHeight="1" outlineLevel="3">
      <c r="B464" s="245"/>
      <c r="C464" s="213" t="s">
        <v>760</v>
      </c>
      <c r="D464" s="213"/>
      <c r="E464" s="213"/>
      <c r="F464" s="213"/>
      <c r="G464" s="213"/>
      <c r="H464" s="213"/>
      <c r="I464" s="213"/>
      <c r="J464" s="213"/>
      <c r="K464" s="213"/>
      <c r="L464" s="211">
        <f>INDEX($C$348:$AN$370, MATCH("New Customers 3MS", $C$348:$C$370, 0), MATCH($C464, $C$348:$AN$348, 0))</f>
        <v>0</v>
      </c>
      <c r="M464" s="211"/>
      <c r="N464" s="211"/>
      <c r="O464" s="211">
        <f>L464*(E456)</f>
        <v>0</v>
      </c>
      <c r="P464" s="211"/>
      <c r="Q464" s="211"/>
      <c r="R464" s="211">
        <f>L464*(H456)</f>
        <v>0</v>
      </c>
      <c r="S464" s="211"/>
      <c r="T464" s="211"/>
      <c r="U464" s="211">
        <f>L464*(K456)</f>
        <v>0</v>
      </c>
      <c r="V464" s="211"/>
      <c r="W464" s="211"/>
      <c r="X464" s="211">
        <f>L464*(N456)</f>
        <v>0</v>
      </c>
      <c r="Y464" s="211"/>
      <c r="Z464" s="211"/>
      <c r="AA464" s="211">
        <f>L464*(Q456)</f>
        <v>0</v>
      </c>
      <c r="AB464" s="211"/>
      <c r="AC464" s="211"/>
      <c r="AD464" s="211">
        <f>L464*(T456)</f>
        <v>0</v>
      </c>
      <c r="AE464" s="211"/>
      <c r="AF464" s="211"/>
      <c r="AG464" s="211">
        <f>L464*(W456)</f>
        <v>0</v>
      </c>
      <c r="AH464" s="211"/>
      <c r="AI464" s="211"/>
      <c r="AJ464" s="211">
        <f>L464*(Z456)</f>
        <v>0</v>
      </c>
      <c r="AK464" s="211"/>
      <c r="AL464" s="211"/>
      <c r="AM464" s="211">
        <f>L464*(AC456)</f>
        <v>0</v>
      </c>
      <c r="AN464" s="211"/>
    </row>
    <row r="465" spans="2:40" ht="12" hidden="1" customHeight="1" outlineLevel="3">
      <c r="B465" s="245"/>
      <c r="C465" s="213" t="s">
        <v>761</v>
      </c>
      <c r="D465" s="213"/>
      <c r="E465" s="213"/>
      <c r="F465" s="213"/>
      <c r="G465" s="213"/>
      <c r="H465" s="213"/>
      <c r="I465" s="213"/>
      <c r="J465" s="213"/>
      <c r="K465" s="213"/>
      <c r="L465" s="213"/>
      <c r="M465" s="211">
        <f>INDEX($C$348:$AN$370, MATCH("New Customers 3MS", $C$348:$C$370, 0), MATCH($C465, $C$348:$AN$348, 0))</f>
        <v>0</v>
      </c>
      <c r="N465" s="211"/>
      <c r="O465" s="211"/>
      <c r="P465" s="211">
        <f>M465*(E456)</f>
        <v>0</v>
      </c>
      <c r="Q465" s="211"/>
      <c r="R465" s="211"/>
      <c r="S465" s="211">
        <f>M465*(H456)</f>
        <v>0</v>
      </c>
      <c r="T465" s="211"/>
      <c r="U465" s="211"/>
      <c r="V465" s="211">
        <f>M465*(K456)</f>
        <v>0</v>
      </c>
      <c r="W465" s="211"/>
      <c r="X465" s="211"/>
      <c r="Y465" s="211">
        <f>M465*(N456)</f>
        <v>0</v>
      </c>
      <c r="Z465" s="211"/>
      <c r="AA465" s="211"/>
      <c r="AB465" s="211">
        <f>M465*(Q456)</f>
        <v>0</v>
      </c>
      <c r="AC465" s="211"/>
      <c r="AD465" s="211"/>
      <c r="AE465" s="211">
        <f>M465*(T456)</f>
        <v>0</v>
      </c>
      <c r="AF465" s="211"/>
      <c r="AG465" s="211"/>
      <c r="AH465" s="211">
        <f>M465*(W456)</f>
        <v>0</v>
      </c>
      <c r="AI465" s="211"/>
      <c r="AJ465" s="211"/>
      <c r="AK465" s="211">
        <f>M465*(Z456)</f>
        <v>0</v>
      </c>
      <c r="AL465" s="211"/>
      <c r="AM465" s="211"/>
      <c r="AN465" s="211">
        <f>M465*(AC456)</f>
        <v>0</v>
      </c>
    </row>
    <row r="466" spans="2:40" ht="12" hidden="1" customHeight="1" outlineLevel="3">
      <c r="B466" s="245"/>
      <c r="C466" s="213" t="s">
        <v>762</v>
      </c>
      <c r="D466" s="213"/>
      <c r="E466" s="213"/>
      <c r="F466" s="213"/>
      <c r="G466" s="213"/>
      <c r="H466" s="213"/>
      <c r="I466" s="213"/>
      <c r="J466" s="213"/>
      <c r="K466" s="213"/>
      <c r="L466" s="213"/>
      <c r="M466" s="213"/>
      <c r="N466" s="211">
        <f>INDEX($C$348:$AN$370, MATCH("New Customers 3MS", $C$348:$C$370, 0), MATCH($C466, $C$348:$AN$348, 0))</f>
        <v>0</v>
      </c>
      <c r="O466" s="211"/>
      <c r="P466" s="211"/>
      <c r="Q466" s="211">
        <f>N466*(E456)</f>
        <v>0</v>
      </c>
      <c r="R466" s="211"/>
      <c r="S466" s="211"/>
      <c r="T466" s="211">
        <f>N466*(H456)</f>
        <v>0</v>
      </c>
      <c r="U466" s="211"/>
      <c r="V466" s="211"/>
      <c r="W466" s="211">
        <f>N466*(K456)</f>
        <v>0</v>
      </c>
      <c r="X466" s="211"/>
      <c r="Y466" s="211"/>
      <c r="Z466" s="211">
        <f>N466*(N456)</f>
        <v>0</v>
      </c>
      <c r="AA466" s="211"/>
      <c r="AB466" s="211"/>
      <c r="AC466" s="211">
        <f>N466*(Q456)</f>
        <v>0</v>
      </c>
      <c r="AD466" s="211"/>
      <c r="AE466" s="211"/>
      <c r="AF466" s="211">
        <f>N466*(T456)</f>
        <v>0</v>
      </c>
      <c r="AG466" s="211"/>
      <c r="AH466" s="211"/>
      <c r="AI466" s="211">
        <f>N466*(W456)</f>
        <v>0</v>
      </c>
      <c r="AJ466" s="211"/>
      <c r="AK466" s="211"/>
      <c r="AL466" s="211">
        <f>N466*(Z456)</f>
        <v>0</v>
      </c>
      <c r="AM466" s="211"/>
      <c r="AN466" s="211"/>
    </row>
    <row r="467" spans="2:40" ht="12" hidden="1" customHeight="1" outlineLevel="3">
      <c r="B467" s="245"/>
      <c r="C467" s="213" t="s">
        <v>763</v>
      </c>
      <c r="D467" s="213"/>
      <c r="E467" s="213"/>
      <c r="F467" s="213"/>
      <c r="G467" s="213"/>
      <c r="H467" s="213"/>
      <c r="I467" s="213"/>
      <c r="J467" s="213"/>
      <c r="K467" s="213"/>
      <c r="L467" s="213"/>
      <c r="M467" s="213"/>
      <c r="N467" s="213"/>
      <c r="O467" s="211">
        <f>INDEX($C$348:$AN$370, MATCH("New Customers 3MS", $C$348:$C$370, 0), MATCH($C467, $C$348:$AN$348, 0))</f>
        <v>0</v>
      </c>
      <c r="P467" s="211"/>
      <c r="Q467" s="211"/>
      <c r="R467" s="211">
        <f>O467*(E456)</f>
        <v>0</v>
      </c>
      <c r="S467" s="211"/>
      <c r="T467" s="211"/>
      <c r="U467" s="211">
        <f>O467*(H456)</f>
        <v>0</v>
      </c>
      <c r="V467" s="211"/>
      <c r="W467" s="211"/>
      <c r="X467" s="211">
        <f>O467*(K456)</f>
        <v>0</v>
      </c>
      <c r="Y467" s="211"/>
      <c r="Z467" s="211"/>
      <c r="AA467" s="211">
        <f>O467*(N456)</f>
        <v>0</v>
      </c>
      <c r="AB467" s="211"/>
      <c r="AC467" s="211"/>
      <c r="AD467" s="211">
        <f>O467*(Q456)</f>
        <v>0</v>
      </c>
      <c r="AE467" s="211"/>
      <c r="AF467" s="211"/>
      <c r="AG467" s="211">
        <f>O467*(T456)</f>
        <v>0</v>
      </c>
      <c r="AH467" s="211"/>
      <c r="AI467" s="211"/>
      <c r="AJ467" s="211">
        <f>O467*(W456)</f>
        <v>0</v>
      </c>
      <c r="AK467" s="211"/>
      <c r="AL467" s="211"/>
      <c r="AM467" s="211">
        <f>O467*(Z456)</f>
        <v>0</v>
      </c>
      <c r="AN467" s="211"/>
    </row>
    <row r="468" spans="2:40" ht="12" hidden="1" customHeight="1" outlineLevel="3">
      <c r="B468" s="245"/>
      <c r="C468" s="213" t="s">
        <v>764</v>
      </c>
      <c r="D468" s="213"/>
      <c r="E468" s="213"/>
      <c r="F468" s="213"/>
      <c r="G468" s="213"/>
      <c r="H468" s="213"/>
      <c r="I468" s="213"/>
      <c r="J468" s="213"/>
      <c r="K468" s="213"/>
      <c r="L468" s="213"/>
      <c r="M468" s="213"/>
      <c r="N468" s="213"/>
      <c r="O468" s="213"/>
      <c r="P468" s="211">
        <f>INDEX($C$348:$AN$370, MATCH("New Customers 3MS", $C$348:$C$370, 0), MATCH($C468, $C$348:$AN$348, 0))</f>
        <v>0</v>
      </c>
      <c r="Q468" s="211"/>
      <c r="R468" s="211"/>
      <c r="S468" s="211">
        <f>P468*(E456)</f>
        <v>0</v>
      </c>
      <c r="T468" s="211"/>
      <c r="U468" s="211"/>
      <c r="V468" s="211">
        <f>P468*(H456)</f>
        <v>0</v>
      </c>
      <c r="W468" s="211"/>
      <c r="X468" s="211"/>
      <c r="Y468" s="211">
        <f>P468*(K456)</f>
        <v>0</v>
      </c>
      <c r="Z468" s="211"/>
      <c r="AA468" s="211"/>
      <c r="AB468" s="211">
        <f>P468*(N456)</f>
        <v>0</v>
      </c>
      <c r="AC468" s="211"/>
      <c r="AD468" s="211"/>
      <c r="AE468" s="211">
        <f>P468*(Q456)</f>
        <v>0</v>
      </c>
      <c r="AF468" s="211"/>
      <c r="AG468" s="211"/>
      <c r="AH468" s="211">
        <f>P468*(T456)</f>
        <v>0</v>
      </c>
      <c r="AI468" s="211"/>
      <c r="AJ468" s="211"/>
      <c r="AK468" s="211">
        <f>P468*(W456)</f>
        <v>0</v>
      </c>
      <c r="AL468" s="211"/>
      <c r="AM468" s="211"/>
      <c r="AN468" s="211">
        <f>P468*(Z456)</f>
        <v>0</v>
      </c>
    </row>
    <row r="469" spans="2:40" ht="12" hidden="1" customHeight="1" outlineLevel="3">
      <c r="B469" s="245"/>
      <c r="C469" s="213" t="s">
        <v>765</v>
      </c>
      <c r="D469" s="213"/>
      <c r="E469" s="213"/>
      <c r="F469" s="213"/>
      <c r="G469" s="213"/>
      <c r="H469" s="213"/>
      <c r="I469" s="213"/>
      <c r="J469" s="213"/>
      <c r="K469" s="213"/>
      <c r="L469" s="213"/>
      <c r="M469" s="213"/>
      <c r="N469" s="213"/>
      <c r="O469" s="213"/>
      <c r="P469" s="213"/>
      <c r="Q469" s="211">
        <f>INDEX($C$348:$AN$370, MATCH("New Customers 3MS", $C$348:$C$370, 0), MATCH($C469, $C$348:$AN$348, 0))</f>
        <v>0</v>
      </c>
      <c r="R469" s="211"/>
      <c r="S469" s="211"/>
      <c r="T469" s="211">
        <f>Q469*(E456)</f>
        <v>0</v>
      </c>
      <c r="U469" s="211"/>
      <c r="V469" s="211"/>
      <c r="W469" s="211">
        <f>Q469*(H456)</f>
        <v>0</v>
      </c>
      <c r="X469" s="211"/>
      <c r="Y469" s="211"/>
      <c r="Z469" s="211">
        <f>Q469*(K456)</f>
        <v>0</v>
      </c>
      <c r="AA469" s="211"/>
      <c r="AB469" s="211"/>
      <c r="AC469" s="211">
        <f>Q469*(N456)</f>
        <v>0</v>
      </c>
      <c r="AD469" s="211"/>
      <c r="AE469" s="211"/>
      <c r="AF469" s="211">
        <f>Q469*(Q456)</f>
        <v>0</v>
      </c>
      <c r="AG469" s="211"/>
      <c r="AH469" s="211"/>
      <c r="AI469" s="211">
        <f>Q469*(T456)</f>
        <v>0</v>
      </c>
      <c r="AJ469" s="211"/>
      <c r="AK469" s="211"/>
      <c r="AL469" s="211">
        <f>Q469*(W456)</f>
        <v>0</v>
      </c>
      <c r="AM469" s="211"/>
      <c r="AN469" s="211"/>
    </row>
    <row r="470" spans="2:40" ht="12" hidden="1" customHeight="1" outlineLevel="3">
      <c r="B470" s="245"/>
      <c r="C470" s="213" t="s">
        <v>766</v>
      </c>
      <c r="D470" s="213"/>
      <c r="E470" s="213"/>
      <c r="F470" s="213"/>
      <c r="G470" s="213"/>
      <c r="H470" s="213"/>
      <c r="I470" s="213"/>
      <c r="J470" s="213"/>
      <c r="K470" s="213"/>
      <c r="L470" s="213"/>
      <c r="M470" s="213"/>
      <c r="N470" s="213"/>
      <c r="O470" s="213"/>
      <c r="P470" s="213"/>
      <c r="Q470" s="213"/>
      <c r="R470" s="211">
        <f>INDEX($C$348:$AN$370, MATCH("New Customers 3MS", $C$348:$C$370, 0), MATCH($C470, $C$348:$AN$348, 0))</f>
        <v>0</v>
      </c>
      <c r="S470" s="211"/>
      <c r="T470" s="211"/>
      <c r="U470" s="211">
        <f>R470*(E456)</f>
        <v>0</v>
      </c>
      <c r="V470" s="211"/>
      <c r="W470" s="211"/>
      <c r="X470" s="211">
        <f>R470*(H456)</f>
        <v>0</v>
      </c>
      <c r="Y470" s="211"/>
      <c r="Z470" s="211"/>
      <c r="AA470" s="211">
        <f>R470*(K456)</f>
        <v>0</v>
      </c>
      <c r="AB470" s="211"/>
      <c r="AC470" s="211"/>
      <c r="AD470" s="211">
        <f>R470*(N456)</f>
        <v>0</v>
      </c>
      <c r="AE470" s="211"/>
      <c r="AF470" s="211"/>
      <c r="AG470" s="211">
        <f>R470*(Q456)</f>
        <v>0</v>
      </c>
      <c r="AH470" s="211"/>
      <c r="AI470" s="211"/>
      <c r="AJ470" s="211">
        <f>R470*(T456)</f>
        <v>0</v>
      </c>
      <c r="AK470" s="211"/>
      <c r="AL470" s="211"/>
      <c r="AM470" s="211">
        <f>R470*(W456)</f>
        <v>0</v>
      </c>
      <c r="AN470" s="211"/>
    </row>
    <row r="471" spans="2:40" ht="12" hidden="1" customHeight="1" outlineLevel="3">
      <c r="B471" s="245"/>
      <c r="C471" s="213" t="s">
        <v>767</v>
      </c>
      <c r="D471" s="213"/>
      <c r="E471" s="213"/>
      <c r="F471" s="213"/>
      <c r="G471" s="213"/>
      <c r="H471" s="213"/>
      <c r="I471" s="213"/>
      <c r="J471" s="213"/>
      <c r="K471" s="213"/>
      <c r="L471" s="213"/>
      <c r="M471" s="213"/>
      <c r="N471" s="213"/>
      <c r="O471" s="213"/>
      <c r="P471" s="213"/>
      <c r="Q471" s="213"/>
      <c r="R471" s="213"/>
      <c r="S471" s="211">
        <f>INDEX($C$348:$AN$370, MATCH("New Customers 3MS", $C$348:$C$370, 0), MATCH($C471, $C$348:$AN$348, 0))</f>
        <v>0</v>
      </c>
      <c r="T471" s="211"/>
      <c r="U471" s="211"/>
      <c r="V471" s="211">
        <f>S471*(E456)</f>
        <v>0</v>
      </c>
      <c r="W471" s="211"/>
      <c r="X471" s="211"/>
      <c r="Y471" s="211">
        <f>S471*(H456)</f>
        <v>0</v>
      </c>
      <c r="Z471" s="211"/>
      <c r="AA471" s="211"/>
      <c r="AB471" s="211">
        <f>S471*(K456)</f>
        <v>0</v>
      </c>
      <c r="AC471" s="211"/>
      <c r="AD471" s="211"/>
      <c r="AE471" s="211">
        <f>S471*(N456)</f>
        <v>0</v>
      </c>
      <c r="AF471" s="211"/>
      <c r="AG471" s="211"/>
      <c r="AH471" s="211">
        <f>S471*(Q456)</f>
        <v>0</v>
      </c>
      <c r="AI471" s="211"/>
      <c r="AJ471" s="211"/>
      <c r="AK471" s="211">
        <f>S471*(T456)</f>
        <v>0</v>
      </c>
      <c r="AL471" s="211"/>
      <c r="AM471" s="211"/>
      <c r="AN471" s="211">
        <f>S471*(W456)</f>
        <v>0</v>
      </c>
    </row>
    <row r="472" spans="2:40" ht="12" hidden="1" customHeight="1" outlineLevel="3">
      <c r="B472" s="245"/>
      <c r="C472" s="213" t="s">
        <v>768</v>
      </c>
      <c r="D472" s="213"/>
      <c r="E472" s="213"/>
      <c r="F472" s="213"/>
      <c r="G472" s="213"/>
      <c r="H472" s="213"/>
      <c r="I472" s="213"/>
      <c r="J472" s="213"/>
      <c r="K472" s="213"/>
      <c r="L472" s="213"/>
      <c r="M472" s="213"/>
      <c r="N472" s="213"/>
      <c r="O472" s="213"/>
      <c r="P472" s="213"/>
      <c r="Q472" s="213"/>
      <c r="R472" s="213"/>
      <c r="S472" s="213"/>
      <c r="T472" s="211">
        <f>INDEX($C$348:$AN$370, MATCH("New Customers 3MS", $C$348:$C$370, 0), MATCH($C472, $C$348:$AN$348, 0))</f>
        <v>0</v>
      </c>
      <c r="U472" s="211"/>
      <c r="V472" s="211"/>
      <c r="W472" s="211">
        <f>T472*(E456)</f>
        <v>0</v>
      </c>
      <c r="X472" s="211"/>
      <c r="Y472" s="211"/>
      <c r="Z472" s="211">
        <f>T472*(H456)</f>
        <v>0</v>
      </c>
      <c r="AA472" s="211"/>
      <c r="AB472" s="211"/>
      <c r="AC472" s="211">
        <f>T472*(K456)</f>
        <v>0</v>
      </c>
      <c r="AD472" s="211"/>
      <c r="AE472" s="211"/>
      <c r="AF472" s="211">
        <f>T472*(N456)</f>
        <v>0</v>
      </c>
      <c r="AG472" s="211"/>
      <c r="AH472" s="211"/>
      <c r="AI472" s="211">
        <f>T472*(Q456)</f>
        <v>0</v>
      </c>
      <c r="AJ472" s="211"/>
      <c r="AK472" s="211"/>
      <c r="AL472" s="211">
        <f>T472*(T456)</f>
        <v>0</v>
      </c>
      <c r="AM472" s="211"/>
      <c r="AN472" s="211"/>
    </row>
    <row r="473" spans="2:40" ht="12" hidden="1" customHeight="1" outlineLevel="3">
      <c r="B473" s="245"/>
      <c r="C473" s="213" t="s">
        <v>769</v>
      </c>
      <c r="D473" s="213"/>
      <c r="E473" s="213"/>
      <c r="F473" s="213"/>
      <c r="G473" s="213"/>
      <c r="H473" s="213"/>
      <c r="I473" s="213"/>
      <c r="J473" s="213"/>
      <c r="K473" s="213"/>
      <c r="L473" s="213"/>
      <c r="M473" s="213"/>
      <c r="N473" s="213"/>
      <c r="O473" s="213"/>
      <c r="P473" s="213"/>
      <c r="Q473" s="213"/>
      <c r="R473" s="213"/>
      <c r="S473" s="213"/>
      <c r="T473" s="213"/>
      <c r="U473" s="211">
        <f>INDEX($C$348:$AN$370, MATCH("New Customers 3MS", $C$348:$C$370, 0), MATCH($C473, $C$348:$AN$348, 0))</f>
        <v>0</v>
      </c>
      <c r="V473" s="211"/>
      <c r="W473" s="211"/>
      <c r="X473" s="211">
        <f>U473*(E456)</f>
        <v>0</v>
      </c>
      <c r="Y473" s="211"/>
      <c r="Z473" s="211"/>
      <c r="AA473" s="211">
        <f>U473*(H456)</f>
        <v>0</v>
      </c>
      <c r="AB473" s="211"/>
      <c r="AC473" s="211"/>
      <c r="AD473" s="211">
        <f>U473*(K456)</f>
        <v>0</v>
      </c>
      <c r="AE473" s="211"/>
      <c r="AF473" s="211"/>
      <c r="AG473" s="211">
        <f>U473*(N456)</f>
        <v>0</v>
      </c>
      <c r="AH473" s="211"/>
      <c r="AI473" s="211"/>
      <c r="AJ473" s="211">
        <f>U473*(Q456)</f>
        <v>0</v>
      </c>
      <c r="AK473" s="211"/>
      <c r="AL473" s="211"/>
      <c r="AM473" s="211">
        <f>U473*(T456)</f>
        <v>0</v>
      </c>
      <c r="AN473" s="211"/>
    </row>
    <row r="474" spans="2:40" ht="12" hidden="1" customHeight="1" outlineLevel="3">
      <c r="B474" s="245"/>
      <c r="C474" s="213" t="s">
        <v>770</v>
      </c>
      <c r="D474" s="213"/>
      <c r="E474" s="213"/>
      <c r="F474" s="213"/>
      <c r="G474" s="213"/>
      <c r="H474" s="213"/>
      <c r="I474" s="213"/>
      <c r="J474" s="213"/>
      <c r="K474" s="213"/>
      <c r="L474" s="213"/>
      <c r="M474" s="213"/>
      <c r="N474" s="213"/>
      <c r="O474" s="213"/>
      <c r="P474" s="213"/>
      <c r="Q474" s="213"/>
      <c r="R474" s="213"/>
      <c r="S474" s="213"/>
      <c r="T474" s="213"/>
      <c r="U474" s="213"/>
      <c r="V474" s="211">
        <f>INDEX($C$348:$AN$370, MATCH("New Customers 3MS", $C$348:$C$370, 0), MATCH($C474, $C$348:$AN$348, 0))</f>
        <v>0</v>
      </c>
      <c r="W474" s="211"/>
      <c r="X474" s="211"/>
      <c r="Y474" s="211">
        <f>V474*(E456)</f>
        <v>0</v>
      </c>
      <c r="Z474" s="211"/>
      <c r="AA474" s="211"/>
      <c r="AB474" s="211">
        <f>V474*(H456)</f>
        <v>0</v>
      </c>
      <c r="AC474" s="211"/>
      <c r="AD474" s="211"/>
      <c r="AE474" s="211">
        <f>V474*(K456)</f>
        <v>0</v>
      </c>
      <c r="AF474" s="211"/>
      <c r="AG474" s="211"/>
      <c r="AH474" s="211">
        <f>V474*(N456)</f>
        <v>0</v>
      </c>
      <c r="AI474" s="211"/>
      <c r="AJ474" s="211"/>
      <c r="AK474" s="211">
        <f>V474*(Q456)</f>
        <v>0</v>
      </c>
      <c r="AL474" s="211"/>
      <c r="AM474" s="211"/>
      <c r="AN474" s="211">
        <f>V474*(T456)</f>
        <v>0</v>
      </c>
    </row>
    <row r="475" spans="2:40" ht="12" hidden="1" customHeight="1" outlineLevel="3">
      <c r="B475" s="245"/>
      <c r="C475" s="213" t="s">
        <v>771</v>
      </c>
      <c r="D475" s="213"/>
      <c r="E475" s="213"/>
      <c r="F475" s="213"/>
      <c r="G475" s="213"/>
      <c r="H475" s="213"/>
      <c r="I475" s="213"/>
      <c r="J475" s="213"/>
      <c r="K475" s="213"/>
      <c r="L475" s="213"/>
      <c r="M475" s="213"/>
      <c r="N475" s="213"/>
      <c r="O475" s="213"/>
      <c r="P475" s="213"/>
      <c r="Q475" s="213"/>
      <c r="R475" s="213"/>
      <c r="S475" s="213"/>
      <c r="T475" s="213"/>
      <c r="U475" s="213"/>
      <c r="V475" s="213"/>
      <c r="W475" s="211">
        <f>INDEX($C$348:$AN$370, MATCH("New Customers 3MS", $C$348:$C$370, 0), MATCH($C475, $C$348:$AN$348, 0))</f>
        <v>0</v>
      </c>
      <c r="X475" s="211"/>
      <c r="Y475" s="211"/>
      <c r="Z475" s="211">
        <f>W475*(E456)</f>
        <v>0</v>
      </c>
      <c r="AA475" s="211"/>
      <c r="AB475" s="211"/>
      <c r="AC475" s="211">
        <f>W475*(H456)</f>
        <v>0</v>
      </c>
      <c r="AD475" s="211"/>
      <c r="AE475" s="211"/>
      <c r="AF475" s="211">
        <f>W475*(K456)</f>
        <v>0</v>
      </c>
      <c r="AG475" s="211"/>
      <c r="AH475" s="211"/>
      <c r="AI475" s="211">
        <f>W475*(N456)</f>
        <v>0</v>
      </c>
      <c r="AJ475" s="211"/>
      <c r="AK475" s="211"/>
      <c r="AL475" s="211">
        <f>W475*(Q456)</f>
        <v>0</v>
      </c>
      <c r="AM475" s="211"/>
      <c r="AN475" s="211"/>
    </row>
    <row r="476" spans="2:40" ht="12" hidden="1" customHeight="1" outlineLevel="3">
      <c r="B476" s="245"/>
      <c r="C476" s="213" t="s">
        <v>772</v>
      </c>
      <c r="D476" s="213"/>
      <c r="E476" s="213"/>
      <c r="F476" s="213"/>
      <c r="G476" s="213"/>
      <c r="H476" s="213"/>
      <c r="I476" s="213"/>
      <c r="J476" s="213"/>
      <c r="K476" s="213"/>
      <c r="L476" s="213"/>
      <c r="M476" s="213"/>
      <c r="N476" s="213"/>
      <c r="O476" s="213"/>
      <c r="P476" s="213"/>
      <c r="Q476" s="213"/>
      <c r="R476" s="213"/>
      <c r="S476" s="213"/>
      <c r="T476" s="213"/>
      <c r="U476" s="213"/>
      <c r="V476" s="213"/>
      <c r="W476" s="213"/>
      <c r="X476" s="211">
        <f>INDEX($C$348:$AN$370, MATCH("New Customers 3MS", $C$348:$C$370, 0), MATCH($C476, $C$348:$AN$348, 0))</f>
        <v>0</v>
      </c>
      <c r="Y476" s="211"/>
      <c r="Z476" s="211"/>
      <c r="AA476" s="211">
        <f>X476*(E456)</f>
        <v>0</v>
      </c>
      <c r="AB476" s="211"/>
      <c r="AC476" s="211"/>
      <c r="AD476" s="211">
        <f>X476*(H456)</f>
        <v>0</v>
      </c>
      <c r="AE476" s="211"/>
      <c r="AF476" s="211"/>
      <c r="AG476" s="211">
        <f>X476*(K456)</f>
        <v>0</v>
      </c>
      <c r="AH476" s="211"/>
      <c r="AI476" s="211"/>
      <c r="AJ476" s="211">
        <f>X476*(N456)</f>
        <v>0</v>
      </c>
      <c r="AK476" s="211"/>
      <c r="AL476" s="211"/>
      <c r="AM476" s="211">
        <f>X476*(Q456)</f>
        <v>0</v>
      </c>
      <c r="AN476" s="211"/>
    </row>
    <row r="477" spans="2:40" ht="12" hidden="1" customHeight="1" outlineLevel="3">
      <c r="B477" s="245"/>
      <c r="C477" s="213" t="s">
        <v>773</v>
      </c>
      <c r="D477" s="213"/>
      <c r="E477" s="213"/>
      <c r="F477" s="213"/>
      <c r="G477" s="213"/>
      <c r="H477" s="213"/>
      <c r="I477" s="213"/>
      <c r="J477" s="213"/>
      <c r="K477" s="213"/>
      <c r="L477" s="213"/>
      <c r="M477" s="213"/>
      <c r="N477" s="213"/>
      <c r="O477" s="213"/>
      <c r="P477" s="213"/>
      <c r="Q477" s="213"/>
      <c r="R477" s="213"/>
      <c r="S477" s="213"/>
      <c r="T477" s="213"/>
      <c r="U477" s="213"/>
      <c r="V477" s="213"/>
      <c r="W477" s="213"/>
      <c r="X477" s="213"/>
      <c r="Y477" s="211">
        <f>INDEX($C$348:$AN$370, MATCH("New Customers 3MS", $C$348:$C$370, 0), MATCH($C477, $C$348:$AN$348, 0))</f>
        <v>0</v>
      </c>
      <c r="Z477" s="211"/>
      <c r="AA477" s="211"/>
      <c r="AB477" s="211">
        <f>Y477*(E456)</f>
        <v>0</v>
      </c>
      <c r="AC477" s="211"/>
      <c r="AD477" s="211"/>
      <c r="AE477" s="211">
        <f>Y477*(H456)</f>
        <v>0</v>
      </c>
      <c r="AF477" s="211"/>
      <c r="AG477" s="211"/>
      <c r="AH477" s="211">
        <f>Y477*(K456)</f>
        <v>0</v>
      </c>
      <c r="AI477" s="211"/>
      <c r="AJ477" s="211"/>
      <c r="AK477" s="211">
        <f>Y477*(N456)</f>
        <v>0</v>
      </c>
      <c r="AL477" s="211"/>
      <c r="AM477" s="211"/>
      <c r="AN477" s="211">
        <f>Y477*(Q456)</f>
        <v>0</v>
      </c>
    </row>
    <row r="478" spans="2:40" ht="12" hidden="1" customHeight="1" outlineLevel="3">
      <c r="B478" s="245"/>
      <c r="C478" s="213" t="s">
        <v>774</v>
      </c>
      <c r="D478" s="213"/>
      <c r="E478" s="213"/>
      <c r="F478" s="213"/>
      <c r="G478" s="213"/>
      <c r="H478" s="213"/>
      <c r="I478" s="213"/>
      <c r="J478" s="213"/>
      <c r="K478" s="213"/>
      <c r="L478" s="213"/>
      <c r="M478" s="213"/>
      <c r="N478" s="213"/>
      <c r="O478" s="213"/>
      <c r="P478" s="213"/>
      <c r="Q478" s="213"/>
      <c r="R478" s="213"/>
      <c r="S478" s="213"/>
      <c r="T478" s="213"/>
      <c r="U478" s="213"/>
      <c r="V478" s="213"/>
      <c r="W478" s="213"/>
      <c r="X478" s="213"/>
      <c r="Y478" s="213"/>
      <c r="Z478" s="211">
        <f>INDEX($C$348:$AN$370, MATCH("New Customers 3MS", $C$348:$C$370, 0), MATCH($C478, $C$348:$AN$348, 0))</f>
        <v>0</v>
      </c>
      <c r="AA478" s="211"/>
      <c r="AB478" s="211"/>
      <c r="AC478" s="211">
        <f>Z478*(E456)</f>
        <v>0</v>
      </c>
      <c r="AD478" s="211"/>
      <c r="AE478" s="211"/>
      <c r="AF478" s="211">
        <f>Z478*(H456)</f>
        <v>0</v>
      </c>
      <c r="AG478" s="211"/>
      <c r="AH478" s="211"/>
      <c r="AI478" s="211">
        <f>Z478*(K456)</f>
        <v>0</v>
      </c>
      <c r="AJ478" s="211"/>
      <c r="AK478" s="211"/>
      <c r="AL478" s="211">
        <f>Z478*(N456)</f>
        <v>0</v>
      </c>
      <c r="AM478" s="211"/>
      <c r="AN478" s="211"/>
    </row>
    <row r="479" spans="2:40" ht="12" hidden="1" customHeight="1" outlineLevel="3">
      <c r="B479" s="245"/>
      <c r="C479" s="213" t="s">
        <v>775</v>
      </c>
      <c r="D479" s="213"/>
      <c r="E479" s="213"/>
      <c r="F479" s="213"/>
      <c r="G479" s="213"/>
      <c r="H479" s="213"/>
      <c r="I479" s="213"/>
      <c r="J479" s="213"/>
      <c r="K479" s="213"/>
      <c r="L479" s="213"/>
      <c r="M479" s="213"/>
      <c r="N479" s="213"/>
      <c r="O479" s="213"/>
      <c r="P479" s="213"/>
      <c r="Q479" s="213"/>
      <c r="R479" s="213"/>
      <c r="S479" s="213"/>
      <c r="T479" s="213"/>
      <c r="U479" s="213"/>
      <c r="V479" s="213"/>
      <c r="W479" s="213"/>
      <c r="X479" s="213"/>
      <c r="Y479" s="213"/>
      <c r="Z479" s="213"/>
      <c r="AA479" s="211">
        <f>INDEX($C$348:$AN$370, MATCH("New Customers 3MS", $C$348:$C$370, 0), MATCH($C479, $C$348:$AN$348, 0))</f>
        <v>0</v>
      </c>
      <c r="AB479" s="211"/>
      <c r="AC479" s="211"/>
      <c r="AD479" s="211">
        <f>AA479*(E456)</f>
        <v>0</v>
      </c>
      <c r="AE479" s="211"/>
      <c r="AF479" s="211"/>
      <c r="AG479" s="211">
        <f>AA479*(H456)</f>
        <v>0</v>
      </c>
      <c r="AH479" s="211"/>
      <c r="AI479" s="211"/>
      <c r="AJ479" s="211">
        <f>AA479*(K456)</f>
        <v>0</v>
      </c>
      <c r="AK479" s="211"/>
      <c r="AL479" s="211"/>
      <c r="AM479" s="211">
        <f>AA479*(N456)</f>
        <v>0</v>
      </c>
      <c r="AN479" s="211"/>
    </row>
    <row r="480" spans="2:40" ht="12" hidden="1" customHeight="1" outlineLevel="3">
      <c r="B480" s="245"/>
      <c r="C480" s="213" t="s">
        <v>776</v>
      </c>
      <c r="D480" s="213"/>
      <c r="E480" s="213"/>
      <c r="F480" s="213"/>
      <c r="G480" s="213"/>
      <c r="H480" s="213"/>
      <c r="I480" s="213"/>
      <c r="J480" s="213"/>
      <c r="K480" s="213"/>
      <c r="L480" s="213"/>
      <c r="M480" s="213"/>
      <c r="N480" s="213"/>
      <c r="O480" s="213"/>
      <c r="P480" s="213"/>
      <c r="Q480" s="213"/>
      <c r="R480" s="213"/>
      <c r="S480" s="213"/>
      <c r="T480" s="213"/>
      <c r="U480" s="213"/>
      <c r="V480" s="213"/>
      <c r="W480" s="213"/>
      <c r="X480" s="213"/>
      <c r="Y480" s="213"/>
      <c r="Z480" s="213"/>
      <c r="AA480" s="213"/>
      <c r="AB480" s="211">
        <f>INDEX($C$348:$AN$370, MATCH("New Customers 3MS", $C$348:$C$370, 0), MATCH($C480, $C$348:$AN$348, 0))</f>
        <v>0</v>
      </c>
      <c r="AC480" s="211"/>
      <c r="AD480" s="211"/>
      <c r="AE480" s="211">
        <f>AB480*(E456)</f>
        <v>0</v>
      </c>
      <c r="AF480" s="211"/>
      <c r="AG480" s="211"/>
      <c r="AH480" s="211">
        <f>AB480*(H456)</f>
        <v>0</v>
      </c>
      <c r="AI480" s="211"/>
      <c r="AJ480" s="211"/>
      <c r="AK480" s="211">
        <f>AB480*($K$153)</f>
        <v>0</v>
      </c>
      <c r="AL480" s="211"/>
      <c r="AM480" s="211"/>
      <c r="AN480" s="211">
        <f>AB480*(N456)</f>
        <v>0</v>
      </c>
    </row>
    <row r="481" spans="2:40" ht="12" hidden="1" customHeight="1" outlineLevel="3">
      <c r="B481" s="245"/>
      <c r="C481" s="213" t="s">
        <v>777</v>
      </c>
      <c r="D481" s="213"/>
      <c r="E481" s="213"/>
      <c r="F481" s="213"/>
      <c r="G481" s="213"/>
      <c r="H481" s="213"/>
      <c r="I481" s="213"/>
      <c r="J481" s="213"/>
      <c r="K481" s="213"/>
      <c r="L481" s="213"/>
      <c r="M481" s="213"/>
      <c r="N481" s="213"/>
      <c r="O481" s="213"/>
      <c r="P481" s="213"/>
      <c r="Q481" s="213"/>
      <c r="R481" s="213"/>
      <c r="S481" s="213"/>
      <c r="T481" s="213"/>
      <c r="U481" s="213"/>
      <c r="V481" s="213"/>
      <c r="W481" s="213"/>
      <c r="X481" s="213"/>
      <c r="Y481" s="213"/>
      <c r="Z481" s="213"/>
      <c r="AA481" s="213"/>
      <c r="AB481" s="211"/>
      <c r="AC481" s="211">
        <f>INDEX($C$348:$AN$370, MATCH("New Customers 3MS", $C$348:$C$370, 0), MATCH($C481, $C$348:$AN$348, 0))</f>
        <v>0</v>
      </c>
      <c r="AD481" s="211"/>
      <c r="AE481" s="211"/>
      <c r="AF481" s="211">
        <f>AC481*($E$153)</f>
        <v>0</v>
      </c>
      <c r="AG481" s="211"/>
      <c r="AH481" s="211"/>
      <c r="AI481" s="211">
        <f>AB480*($H$153)</f>
        <v>0</v>
      </c>
      <c r="AJ481" s="211"/>
      <c r="AK481" s="211"/>
      <c r="AL481" s="211">
        <f>AC481*($K$153)</f>
        <v>0</v>
      </c>
      <c r="AM481" s="211"/>
      <c r="AN481" s="211"/>
    </row>
    <row r="482" spans="2:40" ht="12" hidden="1" customHeight="1" outlineLevel="3">
      <c r="B482" s="245"/>
      <c r="C482" s="213" t="s">
        <v>778</v>
      </c>
      <c r="D482" s="213"/>
      <c r="E482" s="213"/>
      <c r="F482" s="213"/>
      <c r="G482" s="213"/>
      <c r="H482" s="213"/>
      <c r="I482" s="213"/>
      <c r="J482" s="213"/>
      <c r="K482" s="213"/>
      <c r="L482" s="213"/>
      <c r="M482" s="213"/>
      <c r="N482" s="213"/>
      <c r="O482" s="213"/>
      <c r="P482" s="213"/>
      <c r="Q482" s="213"/>
      <c r="R482" s="213"/>
      <c r="S482" s="213"/>
      <c r="T482" s="213"/>
      <c r="U482" s="213"/>
      <c r="V482" s="213"/>
      <c r="W482" s="213"/>
      <c r="X482" s="213"/>
      <c r="Y482" s="213"/>
      <c r="Z482" s="213"/>
      <c r="AA482" s="213"/>
      <c r="AB482" s="211"/>
      <c r="AC482" s="211"/>
      <c r="AD482" s="211">
        <f>INDEX($C$348:$AN$370, MATCH("New Customers 3MS", $C$348:$C$370, 0), MATCH($C482, $C$348:$AN$348, 0))</f>
        <v>0</v>
      </c>
      <c r="AE482" s="211"/>
      <c r="AF482" s="211"/>
      <c r="AG482" s="211">
        <f>AD482*($E$153)</f>
        <v>0</v>
      </c>
      <c r="AH482" s="211"/>
      <c r="AI482" s="211"/>
      <c r="AJ482" s="211">
        <f>AB480*($H$153)</f>
        <v>0</v>
      </c>
      <c r="AK482" s="211"/>
      <c r="AL482" s="211"/>
      <c r="AM482" s="211">
        <f>AD482*($K$153)</f>
        <v>0</v>
      </c>
      <c r="AN482" s="211"/>
    </row>
    <row r="483" spans="2:40" ht="12" hidden="1" customHeight="1" outlineLevel="3">
      <c r="B483" s="245"/>
      <c r="C483" s="213" t="s">
        <v>779</v>
      </c>
      <c r="D483" s="213"/>
      <c r="E483" s="213"/>
      <c r="F483" s="213"/>
      <c r="G483" s="213"/>
      <c r="H483" s="213"/>
      <c r="I483" s="213"/>
      <c r="J483" s="213"/>
      <c r="K483" s="213"/>
      <c r="L483" s="213"/>
      <c r="M483" s="213"/>
      <c r="N483" s="213"/>
      <c r="O483" s="213"/>
      <c r="P483" s="213"/>
      <c r="Q483" s="213"/>
      <c r="R483" s="213"/>
      <c r="S483" s="213"/>
      <c r="T483" s="213"/>
      <c r="U483" s="213"/>
      <c r="V483" s="213"/>
      <c r="W483" s="213"/>
      <c r="X483" s="213"/>
      <c r="Y483" s="213"/>
      <c r="Z483" s="213"/>
      <c r="AA483" s="213"/>
      <c r="AB483" s="211"/>
      <c r="AC483" s="211"/>
      <c r="AD483" s="211"/>
      <c r="AE483" s="211">
        <f>INDEX($C$348:$AN$370, MATCH("New Customers 3MS", $C$348:$C$370, 0), MATCH($C483, $C$348:$AN$348, 0))</f>
        <v>0</v>
      </c>
      <c r="AF483" s="211"/>
      <c r="AG483" s="211"/>
      <c r="AH483" s="211">
        <f>AE483*($E$153)</f>
        <v>0</v>
      </c>
      <c r="AI483" s="211"/>
      <c r="AJ483" s="211"/>
      <c r="AK483" s="211">
        <f>AB480*($H$153)</f>
        <v>0</v>
      </c>
      <c r="AL483" s="211"/>
      <c r="AM483" s="211"/>
      <c r="AN483" s="211">
        <f>AE483*($K$153)</f>
        <v>0</v>
      </c>
    </row>
    <row r="484" spans="2:40" ht="12" hidden="1" customHeight="1" outlineLevel="3">
      <c r="B484" s="245"/>
      <c r="C484" s="213" t="s">
        <v>780</v>
      </c>
      <c r="D484" s="213"/>
      <c r="E484" s="213"/>
      <c r="F484" s="213"/>
      <c r="G484" s="213"/>
      <c r="H484" s="213"/>
      <c r="I484" s="213"/>
      <c r="J484" s="213"/>
      <c r="K484" s="213"/>
      <c r="L484" s="213"/>
      <c r="M484" s="213"/>
      <c r="N484" s="213"/>
      <c r="O484" s="213"/>
      <c r="P484" s="213"/>
      <c r="Q484" s="213"/>
      <c r="R484" s="213"/>
      <c r="S484" s="213"/>
      <c r="T484" s="213"/>
      <c r="U484" s="213"/>
      <c r="V484" s="213"/>
      <c r="W484" s="213"/>
      <c r="X484" s="213"/>
      <c r="Y484" s="213"/>
      <c r="Z484" s="213"/>
      <c r="AA484" s="213"/>
      <c r="AB484" s="211"/>
      <c r="AC484" s="211"/>
      <c r="AD484" s="211"/>
      <c r="AE484" s="211"/>
      <c r="AF484" s="211">
        <f>INDEX($C$348:$AN$370, MATCH("New Customers 3MS", $C$348:$C$370, 0), MATCH($C484, $C$348:$AN$348, 0))</f>
        <v>0</v>
      </c>
      <c r="AG484" s="211"/>
      <c r="AH484" s="211"/>
      <c r="AI484" s="211">
        <f>AF484*($E$153)</f>
        <v>0</v>
      </c>
      <c r="AJ484" s="211"/>
      <c r="AK484" s="211"/>
      <c r="AL484" s="211">
        <f>AB480*($H$153)</f>
        <v>0</v>
      </c>
      <c r="AM484" s="211"/>
      <c r="AN484" s="211"/>
    </row>
    <row r="485" spans="2:40" ht="12" hidden="1" customHeight="1" outlineLevel="3">
      <c r="B485" s="245"/>
      <c r="C485" s="213" t="s">
        <v>781</v>
      </c>
      <c r="D485" s="213"/>
      <c r="E485" s="213"/>
      <c r="F485" s="213"/>
      <c r="G485" s="213"/>
      <c r="H485" s="213"/>
      <c r="I485" s="213"/>
      <c r="J485" s="213"/>
      <c r="K485" s="213"/>
      <c r="L485" s="213"/>
      <c r="M485" s="213"/>
      <c r="N485" s="213"/>
      <c r="O485" s="213"/>
      <c r="P485" s="213"/>
      <c r="Q485" s="213"/>
      <c r="R485" s="213"/>
      <c r="S485" s="213"/>
      <c r="T485" s="213"/>
      <c r="U485" s="213"/>
      <c r="V485" s="213"/>
      <c r="W485" s="213"/>
      <c r="X485" s="213"/>
      <c r="Y485" s="213"/>
      <c r="Z485" s="213"/>
      <c r="AA485" s="213"/>
      <c r="AB485" s="211"/>
      <c r="AC485" s="211"/>
      <c r="AD485" s="211"/>
      <c r="AE485" s="211"/>
      <c r="AF485" s="211"/>
      <c r="AG485" s="211">
        <f>INDEX($C$348:$AN$370, MATCH("New Customers 3MS", $C$348:$C$370, 0), MATCH($C485, $C$348:$AN$348, 0))</f>
        <v>0</v>
      </c>
      <c r="AH485" s="211"/>
      <c r="AI485" s="211"/>
      <c r="AJ485" s="211">
        <f>AG485*($E$153)</f>
        <v>0</v>
      </c>
      <c r="AK485" s="211"/>
      <c r="AL485" s="211"/>
      <c r="AM485" s="211">
        <f>AB480*($H$153)</f>
        <v>0</v>
      </c>
      <c r="AN485" s="211"/>
    </row>
    <row r="486" spans="2:40" ht="12" hidden="1" customHeight="1" outlineLevel="3">
      <c r="B486" s="245"/>
      <c r="C486" s="213" t="s">
        <v>782</v>
      </c>
      <c r="D486" s="213"/>
      <c r="E486" s="213"/>
      <c r="F486" s="213"/>
      <c r="G486" s="213"/>
      <c r="H486" s="213"/>
      <c r="I486" s="213"/>
      <c r="J486" s="213"/>
      <c r="K486" s="213"/>
      <c r="L486" s="213"/>
      <c r="M486" s="213"/>
      <c r="N486" s="213"/>
      <c r="O486" s="213"/>
      <c r="P486" s="213"/>
      <c r="Q486" s="213"/>
      <c r="R486" s="213"/>
      <c r="S486" s="213"/>
      <c r="T486" s="213"/>
      <c r="U486" s="213"/>
      <c r="V486" s="213"/>
      <c r="W486" s="213"/>
      <c r="X486" s="213"/>
      <c r="Y486" s="213"/>
      <c r="Z486" s="213"/>
      <c r="AA486" s="213"/>
      <c r="AB486" s="211"/>
      <c r="AC486" s="211"/>
      <c r="AD486" s="211"/>
      <c r="AE486" s="211"/>
      <c r="AF486" s="211"/>
      <c r="AG486" s="211"/>
      <c r="AH486" s="211">
        <f>INDEX($C$348:$AN$370, MATCH("New Customers 3MS", $C$348:$C$370, 0), MATCH($C486, $C$348:$AN$348, 0))</f>
        <v>0</v>
      </c>
      <c r="AI486" s="211"/>
      <c r="AJ486" s="211"/>
      <c r="AK486" s="211">
        <f>AH486*($E$153)</f>
        <v>0</v>
      </c>
      <c r="AL486" s="211"/>
      <c r="AM486" s="211"/>
      <c r="AN486" s="211">
        <f>AB480*($H$153)</f>
        <v>0</v>
      </c>
    </row>
    <row r="487" spans="2:40" ht="12" hidden="1" customHeight="1" outlineLevel="3">
      <c r="B487" s="245"/>
      <c r="C487" s="213" t="s">
        <v>783</v>
      </c>
      <c r="D487" s="213"/>
      <c r="E487" s="213"/>
      <c r="F487" s="213"/>
      <c r="G487" s="213"/>
      <c r="H487" s="213"/>
      <c r="I487" s="213"/>
      <c r="J487" s="213"/>
      <c r="K487" s="213"/>
      <c r="L487" s="213"/>
      <c r="M487" s="213"/>
      <c r="N487" s="213"/>
      <c r="O487" s="213"/>
      <c r="P487" s="213"/>
      <c r="Q487" s="213"/>
      <c r="R487" s="213"/>
      <c r="S487" s="213"/>
      <c r="T487" s="213"/>
      <c r="U487" s="213"/>
      <c r="V487" s="213"/>
      <c r="W487" s="213"/>
      <c r="X487" s="213"/>
      <c r="Y487" s="213"/>
      <c r="Z487" s="213"/>
      <c r="AA487" s="213"/>
      <c r="AB487" s="211"/>
      <c r="AC487" s="211"/>
      <c r="AD487" s="211"/>
      <c r="AE487" s="211"/>
      <c r="AF487" s="211"/>
      <c r="AG487" s="211"/>
      <c r="AH487" s="211"/>
      <c r="AI487" s="211">
        <f>INDEX($C$348:$AN$370, MATCH("New Customers 3MS", $C$348:$C$370, 0), MATCH($C487, $C$348:$AN$348, 0))</f>
        <v>0</v>
      </c>
      <c r="AJ487" s="211"/>
      <c r="AK487" s="211"/>
      <c r="AL487" s="211">
        <f>AI487*($E$153)</f>
        <v>0</v>
      </c>
      <c r="AM487" s="211"/>
      <c r="AN487" s="211"/>
    </row>
    <row r="488" spans="2:40" ht="12" hidden="1" customHeight="1" outlineLevel="3">
      <c r="B488" s="245"/>
      <c r="C488" s="213" t="s">
        <v>784</v>
      </c>
      <c r="D488" s="213"/>
      <c r="E488" s="213"/>
      <c r="F488" s="213"/>
      <c r="G488" s="213"/>
      <c r="H488" s="213"/>
      <c r="I488" s="213"/>
      <c r="J488" s="213"/>
      <c r="K488" s="213"/>
      <c r="L488" s="213"/>
      <c r="M488" s="213"/>
      <c r="N488" s="213"/>
      <c r="O488" s="213"/>
      <c r="P488" s="213"/>
      <c r="Q488" s="213"/>
      <c r="R488" s="213"/>
      <c r="S488" s="213"/>
      <c r="T488" s="213"/>
      <c r="U488" s="213"/>
      <c r="V488" s="213"/>
      <c r="W488" s="213"/>
      <c r="X488" s="213"/>
      <c r="Y488" s="213"/>
      <c r="Z488" s="213"/>
      <c r="AA488" s="213"/>
      <c r="AB488" s="211"/>
      <c r="AC488" s="211"/>
      <c r="AD488" s="211"/>
      <c r="AE488" s="211"/>
      <c r="AF488" s="211"/>
      <c r="AG488" s="211"/>
      <c r="AH488" s="211"/>
      <c r="AI488" s="211"/>
      <c r="AJ488" s="211">
        <f>INDEX($C$348:$AN$370, MATCH("New Customers 3MS", $C$348:$C$370, 0), MATCH($C488, $C$348:$AN$348, 0))</f>
        <v>0</v>
      </c>
      <c r="AK488" s="211"/>
      <c r="AL488" s="211"/>
      <c r="AM488" s="211">
        <f>AJ488*($E$153)</f>
        <v>0</v>
      </c>
      <c r="AN488" s="211"/>
    </row>
    <row r="489" spans="2:40" ht="12" hidden="1" customHeight="1" outlineLevel="3">
      <c r="B489" s="245"/>
      <c r="C489" s="213" t="s">
        <v>785</v>
      </c>
      <c r="D489" s="213"/>
      <c r="E489" s="213"/>
      <c r="F489" s="213"/>
      <c r="G489" s="213"/>
      <c r="H489" s="213"/>
      <c r="I489" s="213"/>
      <c r="J489" s="213"/>
      <c r="K489" s="213"/>
      <c r="L489" s="213"/>
      <c r="M489" s="213"/>
      <c r="N489" s="213"/>
      <c r="O489" s="213"/>
      <c r="P489" s="213"/>
      <c r="Q489" s="213"/>
      <c r="R489" s="213"/>
      <c r="S489" s="213"/>
      <c r="T489" s="213"/>
      <c r="U489" s="213"/>
      <c r="V489" s="213"/>
      <c r="W489" s="213"/>
      <c r="X489" s="213"/>
      <c r="Y489" s="213"/>
      <c r="Z489" s="213"/>
      <c r="AA489" s="213"/>
      <c r="AB489" s="211"/>
      <c r="AC489" s="211"/>
      <c r="AD489" s="211"/>
      <c r="AE489" s="211"/>
      <c r="AF489" s="211"/>
      <c r="AG489" s="211"/>
      <c r="AH489" s="211"/>
      <c r="AI489" s="211"/>
      <c r="AJ489" s="211"/>
      <c r="AK489" s="211">
        <f>INDEX($C$348:$AN$370, MATCH("New Customers 3MS", $C$348:$C$370, 0), MATCH($C489, $C$348:$AN$348, 0))</f>
        <v>0</v>
      </c>
      <c r="AL489" s="211"/>
      <c r="AM489" s="211"/>
      <c r="AN489" s="211">
        <f>AK489*($E$153)</f>
        <v>0</v>
      </c>
    </row>
    <row r="490" spans="2:40" ht="12" hidden="1" customHeight="1" outlineLevel="3">
      <c r="B490" s="245"/>
      <c r="C490" s="213" t="s">
        <v>786</v>
      </c>
      <c r="D490" s="213"/>
      <c r="E490" s="213"/>
      <c r="F490" s="213"/>
      <c r="G490" s="213"/>
      <c r="H490" s="213"/>
      <c r="I490" s="213"/>
      <c r="J490" s="213"/>
      <c r="K490" s="213"/>
      <c r="L490" s="213"/>
      <c r="M490" s="213"/>
      <c r="N490" s="213"/>
      <c r="O490" s="213"/>
      <c r="P490" s="213"/>
      <c r="Q490" s="213"/>
      <c r="R490" s="213"/>
      <c r="S490" s="213"/>
      <c r="T490" s="213"/>
      <c r="U490" s="213"/>
      <c r="V490" s="213"/>
      <c r="W490" s="213"/>
      <c r="X490" s="213"/>
      <c r="Y490" s="213"/>
      <c r="Z490" s="213"/>
      <c r="AA490" s="213"/>
      <c r="AB490" s="211"/>
      <c r="AC490" s="211"/>
      <c r="AD490" s="211"/>
      <c r="AE490" s="211"/>
      <c r="AF490" s="211"/>
      <c r="AG490" s="211"/>
      <c r="AH490" s="211"/>
      <c r="AI490" s="211"/>
      <c r="AJ490" s="211"/>
      <c r="AK490" s="211"/>
      <c r="AL490" s="211">
        <f>INDEX($C$348:$AN$370, MATCH("New Customers 3MS", $C$348:$C$370, 0), MATCH($C490, $C$348:$AN$348, 0))</f>
        <v>0</v>
      </c>
      <c r="AM490" s="211"/>
      <c r="AN490" s="211"/>
    </row>
    <row r="491" spans="2:40" ht="12" hidden="1" customHeight="1" outlineLevel="3">
      <c r="B491" s="245"/>
      <c r="C491" s="213" t="s">
        <v>787</v>
      </c>
      <c r="D491" s="213"/>
      <c r="E491" s="213"/>
      <c r="F491" s="213"/>
      <c r="G491" s="213"/>
      <c r="H491" s="213"/>
      <c r="I491" s="213"/>
      <c r="J491" s="213"/>
      <c r="K491" s="213"/>
      <c r="L491" s="213"/>
      <c r="M491" s="213"/>
      <c r="N491" s="213"/>
      <c r="O491" s="213"/>
      <c r="P491" s="213"/>
      <c r="Q491" s="213"/>
      <c r="R491" s="213"/>
      <c r="S491" s="213"/>
      <c r="T491" s="213"/>
      <c r="U491" s="213"/>
      <c r="V491" s="213"/>
      <c r="W491" s="213"/>
      <c r="X491" s="213"/>
      <c r="Y491" s="213"/>
      <c r="Z491" s="213"/>
      <c r="AA491" s="213"/>
      <c r="AB491" s="211"/>
      <c r="AC491" s="211"/>
      <c r="AD491" s="211"/>
      <c r="AE491" s="211"/>
      <c r="AF491" s="211"/>
      <c r="AG491" s="211"/>
      <c r="AH491" s="211"/>
      <c r="AI491" s="211"/>
      <c r="AJ491" s="211"/>
      <c r="AK491" s="211"/>
      <c r="AL491" s="211"/>
      <c r="AM491" s="211">
        <f>INDEX($C$348:$AN$370, MATCH("New Customers 3MS", $C$348:$C$370, 0), MATCH($C491, $C$348:$AN$348, 0))</f>
        <v>0</v>
      </c>
      <c r="AN491" s="211"/>
    </row>
    <row r="492" spans="2:40" ht="12" hidden="1" customHeight="1" outlineLevel="3">
      <c r="B492" s="245"/>
      <c r="C492" s="213" t="s">
        <v>788</v>
      </c>
      <c r="D492" s="213"/>
      <c r="E492" s="213"/>
      <c r="F492" s="213"/>
      <c r="G492" s="213"/>
      <c r="H492" s="213"/>
      <c r="I492" s="213"/>
      <c r="J492" s="213"/>
      <c r="K492" s="213"/>
      <c r="L492" s="213"/>
      <c r="M492" s="213"/>
      <c r="N492" s="213"/>
      <c r="O492" s="213"/>
      <c r="P492" s="213"/>
      <c r="Q492" s="213"/>
      <c r="R492" s="213"/>
      <c r="S492" s="213"/>
      <c r="T492" s="213"/>
      <c r="U492" s="213"/>
      <c r="V492" s="213"/>
      <c r="W492" s="213"/>
      <c r="X492" s="213"/>
      <c r="Y492" s="213"/>
      <c r="Z492" s="213"/>
      <c r="AA492" s="213"/>
      <c r="AB492" s="211"/>
      <c r="AC492" s="211"/>
      <c r="AD492" s="211"/>
      <c r="AE492" s="211"/>
      <c r="AF492" s="211"/>
      <c r="AG492" s="211"/>
      <c r="AH492" s="211"/>
      <c r="AI492" s="211"/>
      <c r="AJ492" s="211"/>
      <c r="AK492" s="211"/>
      <c r="AL492" s="211"/>
      <c r="AM492" s="211"/>
      <c r="AN492" s="211">
        <f>INDEX($C$348:$AN$370, MATCH("New Customers 3MS", $C$348:$C$370, 0), MATCH($C492, $C$348:$AN$348, 0))</f>
        <v>0</v>
      </c>
    </row>
    <row r="493" spans="2:40" ht="12" hidden="1" customHeight="1" outlineLevel="2">
      <c r="B493" s="239"/>
      <c r="C493" s="214"/>
      <c r="D493" s="214"/>
      <c r="E493" s="214"/>
      <c r="F493" s="214"/>
      <c r="G493" s="214"/>
      <c r="H493" s="214"/>
      <c r="I493" s="214"/>
      <c r="J493" s="214"/>
      <c r="K493" s="214"/>
      <c r="L493" s="214"/>
      <c r="M493" s="214"/>
      <c r="N493" s="214"/>
      <c r="O493" s="214"/>
      <c r="P493" s="214"/>
      <c r="Q493" s="214"/>
      <c r="R493" s="214"/>
      <c r="S493" s="214"/>
      <c r="T493" s="214"/>
      <c r="U493" s="214"/>
      <c r="V493" s="214"/>
      <c r="W493" s="214"/>
      <c r="X493" s="214"/>
      <c r="Y493" s="214"/>
      <c r="Z493" s="214"/>
      <c r="AA493" s="214"/>
      <c r="AB493" s="214"/>
      <c r="AC493" s="212"/>
    </row>
    <row r="494" spans="2:40" ht="12" customHeight="1" outlineLevel="1" collapsed="1">
      <c r="B494" s="239"/>
      <c r="C494" s="243" t="s">
        <v>855</v>
      </c>
      <c r="D494" s="214"/>
      <c r="E494" s="214"/>
      <c r="F494" s="214"/>
      <c r="G494" s="214"/>
      <c r="H494" s="214"/>
      <c r="I494" s="214"/>
      <c r="J494" s="214"/>
      <c r="K494" s="214"/>
      <c r="L494" s="214"/>
      <c r="M494" s="214"/>
      <c r="N494" s="214"/>
      <c r="O494" s="214"/>
      <c r="P494" s="214"/>
      <c r="Q494" s="214"/>
      <c r="R494" s="214"/>
      <c r="S494" s="214"/>
      <c r="T494" s="214"/>
      <c r="U494" s="214"/>
      <c r="V494" s="214"/>
      <c r="W494" s="214"/>
      <c r="X494" s="214"/>
      <c r="Y494" s="214"/>
      <c r="Z494" s="214"/>
      <c r="AA494" s="214"/>
      <c r="AB494" s="214"/>
      <c r="AC494" s="214"/>
    </row>
    <row r="495" spans="2:40" ht="12" customHeight="1" outlineLevel="1">
      <c r="B495" s="239"/>
      <c r="C495" s="243"/>
      <c r="D495" s="214"/>
      <c r="E495" s="214"/>
      <c r="F495" s="214"/>
      <c r="G495" s="214"/>
      <c r="H495" s="214"/>
      <c r="I495" s="214"/>
      <c r="J495" s="214"/>
      <c r="K495" s="214"/>
      <c r="L495" s="214"/>
      <c r="M495" s="214"/>
      <c r="N495" s="214"/>
      <c r="O495" s="214"/>
      <c r="P495" s="214"/>
      <c r="Q495" s="214"/>
      <c r="R495" s="214"/>
      <c r="S495" s="214"/>
      <c r="T495" s="214"/>
      <c r="U495" s="214"/>
      <c r="V495" s="214"/>
      <c r="W495" s="214"/>
      <c r="X495" s="214"/>
      <c r="Y495" s="214"/>
      <c r="Z495" s="214"/>
      <c r="AA495" s="214"/>
      <c r="AB495" s="214"/>
      <c r="AC495" s="214"/>
    </row>
  </sheetData>
  <sheetProtection algorithmName="SHA-512" hashValue="M9GVkuOjqAIp8F4K7eY2VOMIXJQw6tWEGUA9q/bvgiBioVnt1nG9ByLJ6N0n/hiamk/39jdjnEAPYIzM5JVLDA==" saltValue="ZkRjIRG5jxLC85QthQkMyA==" spinCount="100000" sheet="1" objects="1" scenarios="1"/>
  <protectedRanges>
    <protectedRange sqref="A4:XFD4 A5:XFD5 A6:XFD6 A8:XFD8 A15:XFD15 A17:XFD17 A20:XFD20 A22:XFD22 A29:XFD29 A32:XFD32 A36:XFD36 A37:XFD37 A38:XFD38 A39:XFD39 A40:XFD40 A41:XFD41 A46:XFD46 A48:XFD48 A54:XFD54 A55:XFD55 A56:XFD56 A201:XFD201 A203:XFD203 A209:XFD209 A210:XFD210 A211:XFD211 A350:XFD350 A352:XFD352 A358:XFD358 A359:XFD359 A360:XFD360" name="Range1"/>
  </protectedRanges>
  <hyperlinks>
    <hyperlink ref="B54" r:id="rId1" xr:uid="{F1C478AD-A7A2-431A-813B-28BC0E817354}"/>
  </hyperlinks>
  <pageMargins left="0.7" right="0.7" top="0.75" bottom="0.75" header="0.3" footer="0.3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A4557-7367-421B-B694-FB2A5AE7130D}">
  <sheetPr codeName="Sheet30"/>
  <dimension ref="B1:XEZ505"/>
  <sheetViews>
    <sheetView showGridLines="0" zoomScale="85" zoomScaleNormal="85" workbookViewId="0">
      <selection activeCell="N25" sqref="N25"/>
    </sheetView>
  </sheetViews>
  <sheetFormatPr baseColWidth="10" defaultColWidth="8.5" defaultRowHeight="11" outlineLevelRow="3" outlineLevelCol="1"/>
  <cols>
    <col min="1" max="1" width="6" style="283" customWidth="1"/>
    <col min="2" max="2" width="4.1640625" style="282" customWidth="1"/>
    <col min="3" max="3" width="29.5" style="283" bestFit="1" customWidth="1"/>
    <col min="4" max="4" width="10.5" style="283" customWidth="1"/>
    <col min="5" max="6" width="7.5" style="283" hidden="1" customWidth="1" outlineLevel="1"/>
    <col min="7" max="8" width="8.5" style="283" hidden="1" customWidth="1" outlineLevel="1"/>
    <col min="9" max="12" width="7.5" style="283" hidden="1" customWidth="1" outlineLevel="1"/>
    <col min="13" max="13" width="7.5" style="283" bestFit="1" customWidth="1" collapsed="1"/>
    <col min="14" max="28" width="7.5" style="283" bestFit="1" customWidth="1"/>
    <col min="29" max="40" width="7.5" style="283" bestFit="1" customWidth="1" outlineLevel="1"/>
    <col min="41" max="16384" width="8.5" style="283"/>
  </cols>
  <sheetData>
    <row r="1" spans="2:40" s="7" customFormat="1">
      <c r="B1" s="235"/>
      <c r="E1" s="217" t="s">
        <v>180</v>
      </c>
      <c r="F1" s="217" t="s">
        <v>180</v>
      </c>
      <c r="G1" s="217" t="s">
        <v>180</v>
      </c>
      <c r="H1" s="217" t="s">
        <v>180</v>
      </c>
      <c r="I1" s="217" t="s">
        <v>180</v>
      </c>
      <c r="J1" s="217" t="s">
        <v>180</v>
      </c>
      <c r="K1" s="217" t="s">
        <v>180</v>
      </c>
      <c r="L1" s="217" t="s">
        <v>180</v>
      </c>
      <c r="M1" s="7" t="s">
        <v>42</v>
      </c>
      <c r="N1" s="7" t="s">
        <v>42</v>
      </c>
      <c r="O1" s="7" t="s">
        <v>42</v>
      </c>
      <c r="P1" s="7" t="s">
        <v>42</v>
      </c>
      <c r="Q1" s="7" t="s">
        <v>42</v>
      </c>
      <c r="R1" s="7" t="s">
        <v>42</v>
      </c>
      <c r="S1" s="7" t="s">
        <v>42</v>
      </c>
      <c r="T1" s="7" t="s">
        <v>42</v>
      </c>
      <c r="U1" s="7" t="s">
        <v>42</v>
      </c>
      <c r="V1" s="7" t="s">
        <v>42</v>
      </c>
      <c r="W1" s="7" t="s">
        <v>42</v>
      </c>
      <c r="X1" s="7" t="s">
        <v>42</v>
      </c>
      <c r="Y1" s="7" t="s">
        <v>42</v>
      </c>
      <c r="Z1" s="7" t="s">
        <v>42</v>
      </c>
      <c r="AA1" s="7" t="s">
        <v>42</v>
      </c>
      <c r="AB1" s="7" t="s">
        <v>42</v>
      </c>
      <c r="AC1" s="7" t="s">
        <v>42</v>
      </c>
      <c r="AD1" s="7" t="s">
        <v>42</v>
      </c>
      <c r="AE1" s="7" t="s">
        <v>42</v>
      </c>
      <c r="AF1" s="7" t="s">
        <v>42</v>
      </c>
      <c r="AG1" s="7" t="s">
        <v>42</v>
      </c>
      <c r="AH1" s="7" t="s">
        <v>42</v>
      </c>
      <c r="AI1" s="7" t="s">
        <v>42</v>
      </c>
      <c r="AJ1" s="7" t="s">
        <v>42</v>
      </c>
      <c r="AK1" s="7" t="s">
        <v>42</v>
      </c>
      <c r="AL1" s="7" t="s">
        <v>42</v>
      </c>
      <c r="AM1" s="7" t="s">
        <v>42</v>
      </c>
      <c r="AN1" s="7" t="s">
        <v>42</v>
      </c>
    </row>
    <row r="2" spans="2:40" s="7" customFormat="1">
      <c r="B2" s="235"/>
      <c r="E2" s="218">
        <v>45689</v>
      </c>
      <c r="F2" s="218">
        <v>45717</v>
      </c>
      <c r="G2" s="218">
        <v>45748</v>
      </c>
      <c r="H2" s="218">
        <v>45778</v>
      </c>
      <c r="I2" s="218">
        <v>45809</v>
      </c>
      <c r="J2" s="218">
        <v>45839</v>
      </c>
      <c r="K2" s="218">
        <v>45870</v>
      </c>
      <c r="L2" s="218">
        <v>45901</v>
      </c>
      <c r="M2" s="195">
        <v>45931</v>
      </c>
      <c r="N2" s="195">
        <v>45962</v>
      </c>
      <c r="O2" s="195">
        <v>45992</v>
      </c>
      <c r="P2" s="195">
        <v>46023</v>
      </c>
      <c r="Q2" s="258">
        <v>46054</v>
      </c>
      <c r="R2" s="258">
        <v>46082</v>
      </c>
      <c r="S2" s="258">
        <v>46113</v>
      </c>
      <c r="T2" s="258">
        <v>46143</v>
      </c>
      <c r="U2" s="258">
        <v>46174</v>
      </c>
      <c r="V2" s="258">
        <v>46204</v>
      </c>
      <c r="W2" s="258">
        <v>46235</v>
      </c>
      <c r="X2" s="258">
        <v>46266</v>
      </c>
      <c r="Y2" s="258">
        <v>46296</v>
      </c>
      <c r="Z2" s="258">
        <v>46327</v>
      </c>
      <c r="AA2" s="258">
        <v>46357</v>
      </c>
      <c r="AB2" s="258">
        <v>46388</v>
      </c>
      <c r="AC2" s="195">
        <v>46419</v>
      </c>
      <c r="AD2" s="195">
        <v>46447</v>
      </c>
      <c r="AE2" s="195">
        <v>46478</v>
      </c>
      <c r="AF2" s="195">
        <v>46508</v>
      </c>
      <c r="AG2" s="195">
        <v>46539</v>
      </c>
      <c r="AH2" s="195">
        <v>46569</v>
      </c>
      <c r="AI2" s="195">
        <v>46600</v>
      </c>
      <c r="AJ2" s="195">
        <v>46631</v>
      </c>
      <c r="AK2" s="195">
        <v>46661</v>
      </c>
      <c r="AL2" s="195">
        <v>46692</v>
      </c>
      <c r="AM2" s="195">
        <v>46722</v>
      </c>
      <c r="AN2" s="195">
        <v>46753</v>
      </c>
    </row>
    <row r="3" spans="2:40" s="7" customFormat="1">
      <c r="B3" s="235" t="s">
        <v>686</v>
      </c>
      <c r="E3" s="219" t="s">
        <v>753</v>
      </c>
      <c r="F3" s="219" t="s">
        <v>754</v>
      </c>
      <c r="G3" s="219" t="s">
        <v>755</v>
      </c>
      <c r="H3" s="219" t="s">
        <v>756</v>
      </c>
      <c r="I3" s="219" t="s">
        <v>757</v>
      </c>
      <c r="J3" s="219" t="s">
        <v>758</v>
      </c>
      <c r="K3" s="219" t="s">
        <v>759</v>
      </c>
      <c r="L3" s="219" t="s">
        <v>760</v>
      </c>
      <c r="M3" s="196" t="s">
        <v>761</v>
      </c>
      <c r="N3" s="196" t="s">
        <v>762</v>
      </c>
      <c r="O3" s="196" t="s">
        <v>763</v>
      </c>
      <c r="P3" s="196" t="s">
        <v>764</v>
      </c>
      <c r="Q3" s="259" t="s">
        <v>765</v>
      </c>
      <c r="R3" s="259" t="s">
        <v>766</v>
      </c>
      <c r="S3" s="259" t="s">
        <v>767</v>
      </c>
      <c r="T3" s="259" t="s">
        <v>768</v>
      </c>
      <c r="U3" s="259" t="s">
        <v>769</v>
      </c>
      <c r="V3" s="259" t="s">
        <v>770</v>
      </c>
      <c r="W3" s="259" t="s">
        <v>771</v>
      </c>
      <c r="X3" s="259" t="s">
        <v>772</v>
      </c>
      <c r="Y3" s="259" t="s">
        <v>773</v>
      </c>
      <c r="Z3" s="259" t="s">
        <v>774</v>
      </c>
      <c r="AA3" s="259" t="s">
        <v>775</v>
      </c>
      <c r="AB3" s="259" t="s">
        <v>776</v>
      </c>
      <c r="AC3" s="196" t="s">
        <v>777</v>
      </c>
      <c r="AD3" s="196" t="s">
        <v>778</v>
      </c>
      <c r="AE3" s="196" t="s">
        <v>779</v>
      </c>
      <c r="AF3" s="196" t="s">
        <v>780</v>
      </c>
      <c r="AG3" s="196" t="s">
        <v>781</v>
      </c>
      <c r="AH3" s="196" t="s">
        <v>782</v>
      </c>
      <c r="AI3" s="196" t="s">
        <v>783</v>
      </c>
      <c r="AJ3" s="196" t="s">
        <v>784</v>
      </c>
      <c r="AK3" s="196" t="s">
        <v>785</v>
      </c>
      <c r="AL3" s="196" t="s">
        <v>786</v>
      </c>
      <c r="AM3" s="196" t="s">
        <v>787</v>
      </c>
      <c r="AN3" s="196" t="s">
        <v>788</v>
      </c>
    </row>
    <row r="4" spans="2:40">
      <c r="B4" s="282" t="s">
        <v>898</v>
      </c>
      <c r="C4" s="283" t="s">
        <v>790</v>
      </c>
      <c r="E4" s="285">
        <v>22307</v>
      </c>
      <c r="F4" s="285">
        <v>57903</v>
      </c>
      <c r="G4" s="285">
        <v>67988</v>
      </c>
      <c r="H4" s="285">
        <v>33308</v>
      </c>
      <c r="I4" s="285">
        <v>31763</v>
      </c>
      <c r="J4" s="285">
        <v>65814</v>
      </c>
      <c r="K4" s="285">
        <v>63143</v>
      </c>
      <c r="L4" s="285">
        <v>31422</v>
      </c>
      <c r="M4" s="286">
        <v>110000</v>
      </c>
      <c r="N4" s="286">
        <v>110000</v>
      </c>
      <c r="O4" s="286">
        <v>50000</v>
      </c>
      <c r="P4" s="286">
        <v>25000</v>
      </c>
      <c r="Q4" s="286">
        <f>E4*Q5</f>
        <v>22307</v>
      </c>
      <c r="R4" s="286">
        <f t="shared" ref="R4:AM4" si="0">F4*R5</f>
        <v>69483.599999999991</v>
      </c>
      <c r="S4" s="286">
        <f t="shared" si="0"/>
        <v>67988</v>
      </c>
      <c r="T4" s="286">
        <f t="shared" si="0"/>
        <v>53292.800000000003</v>
      </c>
      <c r="U4" s="286">
        <f t="shared" si="0"/>
        <v>53997.1</v>
      </c>
      <c r="V4" s="286">
        <f t="shared" si="0"/>
        <v>72395.400000000009</v>
      </c>
      <c r="W4" s="286">
        <f t="shared" si="0"/>
        <v>25257.200000000001</v>
      </c>
      <c r="X4" s="286">
        <f t="shared" si="0"/>
        <v>47133</v>
      </c>
      <c r="Y4" s="286">
        <f t="shared" si="0"/>
        <v>110000</v>
      </c>
      <c r="Z4" s="286">
        <f t="shared" si="0"/>
        <v>88000</v>
      </c>
      <c r="AA4" s="286">
        <f t="shared" si="0"/>
        <v>75000</v>
      </c>
      <c r="AB4" s="286">
        <f t="shared" si="0"/>
        <v>40000</v>
      </c>
      <c r="AC4" s="286">
        <f t="shared" si="0"/>
        <v>22307</v>
      </c>
      <c r="AD4" s="286">
        <f t="shared" si="0"/>
        <v>90328.68</v>
      </c>
      <c r="AE4" s="286">
        <f t="shared" si="0"/>
        <v>81585.599999999991</v>
      </c>
      <c r="AF4" s="286">
        <f t="shared" si="0"/>
        <v>63951.360000000001</v>
      </c>
      <c r="AG4" s="286">
        <f t="shared" si="0"/>
        <v>59396.810000000005</v>
      </c>
      <c r="AH4" s="286">
        <f t="shared" si="0"/>
        <v>94114.020000000019</v>
      </c>
      <c r="AI4" s="286">
        <f t="shared" si="0"/>
        <v>10102.880000000001</v>
      </c>
      <c r="AJ4" s="286">
        <f t="shared" si="0"/>
        <v>61272.9</v>
      </c>
      <c r="AK4" s="286">
        <f t="shared" si="0"/>
        <v>121000.00000000001</v>
      </c>
      <c r="AL4" s="286">
        <f t="shared" si="0"/>
        <v>88000</v>
      </c>
      <c r="AM4" s="286">
        <f t="shared" si="0"/>
        <v>105000</v>
      </c>
      <c r="AN4" s="286">
        <f>AB4*AN5</f>
        <v>64000</v>
      </c>
    </row>
    <row r="5" spans="2:40">
      <c r="B5" s="288"/>
      <c r="C5" s="283" t="s">
        <v>791</v>
      </c>
      <c r="E5" s="285"/>
      <c r="F5" s="285"/>
      <c r="G5" s="285"/>
      <c r="H5" s="285"/>
      <c r="I5" s="285"/>
      <c r="J5" s="285"/>
      <c r="K5" s="285"/>
      <c r="L5" s="285"/>
      <c r="M5" s="289">
        <v>1</v>
      </c>
      <c r="N5" s="289">
        <v>1</v>
      </c>
      <c r="O5" s="289">
        <v>1</v>
      </c>
      <c r="P5" s="289">
        <v>1</v>
      </c>
      <c r="Q5" s="387">
        <v>1</v>
      </c>
      <c r="R5" s="387">
        <v>1.2</v>
      </c>
      <c r="S5" s="387">
        <v>1</v>
      </c>
      <c r="T5" s="387">
        <v>1.6</v>
      </c>
      <c r="U5" s="387">
        <v>1.7</v>
      </c>
      <c r="V5" s="387">
        <v>1.1000000000000001</v>
      </c>
      <c r="W5" s="387">
        <v>0.4</v>
      </c>
      <c r="X5" s="387">
        <v>1.5</v>
      </c>
      <c r="Y5" s="387">
        <v>1</v>
      </c>
      <c r="Z5" s="387">
        <v>0.8</v>
      </c>
      <c r="AA5" s="387">
        <v>1.5</v>
      </c>
      <c r="AB5" s="387">
        <v>1.6</v>
      </c>
      <c r="AC5" s="289">
        <v>1</v>
      </c>
      <c r="AD5" s="289">
        <v>1.3</v>
      </c>
      <c r="AE5" s="289">
        <v>1.2</v>
      </c>
      <c r="AF5" s="289">
        <v>1.2</v>
      </c>
      <c r="AG5" s="289">
        <v>1.1000000000000001</v>
      </c>
      <c r="AH5" s="289">
        <v>1.3</v>
      </c>
      <c r="AI5" s="289">
        <v>0.4</v>
      </c>
      <c r="AJ5" s="289">
        <v>1.3</v>
      </c>
      <c r="AK5" s="289">
        <v>1.1000000000000001</v>
      </c>
      <c r="AL5" s="289">
        <v>1</v>
      </c>
      <c r="AM5" s="289">
        <v>1.4</v>
      </c>
      <c r="AN5" s="289">
        <v>1.6</v>
      </c>
    </row>
    <row r="6" spans="2:40">
      <c r="B6" s="282" t="s">
        <v>899</v>
      </c>
      <c r="C6" s="283" t="s">
        <v>793</v>
      </c>
      <c r="E6" s="291">
        <v>3.2500000000000001E-2</v>
      </c>
      <c r="F6" s="291">
        <v>6.25E-2</v>
      </c>
      <c r="G6" s="291">
        <v>5.3999999999999999E-2</v>
      </c>
      <c r="H6" s="291">
        <v>1.9099999999999999E-2</v>
      </c>
      <c r="I6" s="291">
        <v>3.2000000000000001E-2</v>
      </c>
      <c r="J6" s="291">
        <v>6.3799999999999996E-2</v>
      </c>
      <c r="K6" s="291">
        <v>6.13E-2</v>
      </c>
      <c r="L6" s="291">
        <v>1.6899999999999998E-2</v>
      </c>
      <c r="M6" s="292">
        <v>0.05</v>
      </c>
      <c r="N6" s="292">
        <v>0.05</v>
      </c>
      <c r="O6" s="292">
        <v>0.03</v>
      </c>
      <c r="P6" s="292">
        <v>0.03</v>
      </c>
      <c r="Q6" s="292">
        <v>3.2000000000000001E-2</v>
      </c>
      <c r="R6" s="292">
        <v>6.5600000000000006E-2</v>
      </c>
      <c r="S6" s="292">
        <v>5.67E-2</v>
      </c>
      <c r="T6" s="292">
        <v>2.01E-2</v>
      </c>
      <c r="U6" s="292">
        <v>3.3599999999999998E-2</v>
      </c>
      <c r="V6" s="292">
        <v>5.5E-2</v>
      </c>
      <c r="W6" s="292">
        <v>5.5E-2</v>
      </c>
      <c r="X6" s="292">
        <v>0.02</v>
      </c>
      <c r="Y6" s="292">
        <v>5.2499999999999998E-2</v>
      </c>
      <c r="Z6" s="292">
        <v>5.2499999999999998E-2</v>
      </c>
      <c r="AA6" s="292">
        <v>3.15E-2</v>
      </c>
      <c r="AB6" s="292">
        <v>3.15E-2</v>
      </c>
      <c r="AC6" s="292">
        <v>3.2000000000000001E-2</v>
      </c>
      <c r="AD6" s="292">
        <v>6.5600000000000006E-2</v>
      </c>
      <c r="AE6" s="292">
        <v>5.67E-2</v>
      </c>
      <c r="AF6" s="292">
        <v>2.01E-2</v>
      </c>
      <c r="AG6" s="292">
        <v>3.3599999999999998E-2</v>
      </c>
      <c r="AH6" s="292">
        <v>6.7000000000000004E-2</v>
      </c>
      <c r="AI6" s="292">
        <v>6.4399999999999999E-2</v>
      </c>
      <c r="AJ6" s="292">
        <v>1.77E-2</v>
      </c>
      <c r="AK6" s="292">
        <v>5.2499999999999998E-2</v>
      </c>
      <c r="AL6" s="292">
        <v>5.2499999999999998E-2</v>
      </c>
      <c r="AM6" s="292">
        <v>3.15E-2</v>
      </c>
      <c r="AN6" s="292">
        <v>3.15E-2</v>
      </c>
    </row>
    <row r="7" spans="2:40" s="7" customFormat="1">
      <c r="B7" s="235"/>
      <c r="C7" s="7" t="s">
        <v>794</v>
      </c>
      <c r="E7" s="321">
        <f t="shared" ref="E7:K7" si="1">E4*E6</f>
        <v>724.97750000000008</v>
      </c>
      <c r="F7" s="321">
        <f t="shared" si="1"/>
        <v>3618.9375</v>
      </c>
      <c r="G7" s="321">
        <f t="shared" si="1"/>
        <v>3671.3519999999999</v>
      </c>
      <c r="H7" s="321">
        <f t="shared" si="1"/>
        <v>636.18279999999993</v>
      </c>
      <c r="I7" s="321">
        <f t="shared" si="1"/>
        <v>1016.4160000000001</v>
      </c>
      <c r="J7" s="321">
        <f t="shared" si="1"/>
        <v>4198.9331999999995</v>
      </c>
      <c r="K7" s="321">
        <f t="shared" si="1"/>
        <v>3870.6659</v>
      </c>
      <c r="L7" s="321">
        <f t="shared" ref="L7:AN7" si="2">L4*L6</f>
        <v>531.03179999999998</v>
      </c>
      <c r="M7" s="322">
        <f t="shared" si="2"/>
        <v>5500</v>
      </c>
      <c r="N7" s="322">
        <f t="shared" si="2"/>
        <v>5500</v>
      </c>
      <c r="O7" s="322">
        <f t="shared" si="2"/>
        <v>1500</v>
      </c>
      <c r="P7" s="322">
        <f t="shared" si="2"/>
        <v>750</v>
      </c>
      <c r="Q7" s="322">
        <f t="shared" si="2"/>
        <v>713.82400000000007</v>
      </c>
      <c r="R7" s="322">
        <f t="shared" si="2"/>
        <v>4558.1241599999994</v>
      </c>
      <c r="S7" s="322">
        <f t="shared" si="2"/>
        <v>3854.9196000000002</v>
      </c>
      <c r="T7" s="322">
        <f t="shared" si="2"/>
        <v>1071.1852800000001</v>
      </c>
      <c r="U7" s="322">
        <f t="shared" si="2"/>
        <v>1814.3025599999999</v>
      </c>
      <c r="V7" s="322">
        <f t="shared" si="2"/>
        <v>3981.7470000000003</v>
      </c>
      <c r="W7" s="322">
        <f t="shared" si="2"/>
        <v>1389.146</v>
      </c>
      <c r="X7" s="322">
        <f t="shared" si="2"/>
        <v>942.66</v>
      </c>
      <c r="Y7" s="322">
        <f t="shared" si="2"/>
        <v>5775</v>
      </c>
      <c r="Z7" s="322">
        <f t="shared" si="2"/>
        <v>4620</v>
      </c>
      <c r="AA7" s="322">
        <f t="shared" si="2"/>
        <v>2362.5</v>
      </c>
      <c r="AB7" s="322">
        <f t="shared" si="2"/>
        <v>1260</v>
      </c>
      <c r="AC7" s="322">
        <f t="shared" si="2"/>
        <v>713.82400000000007</v>
      </c>
      <c r="AD7" s="322">
        <f t="shared" si="2"/>
        <v>5925.5614080000005</v>
      </c>
      <c r="AE7" s="322">
        <f t="shared" si="2"/>
        <v>4625.9035199999998</v>
      </c>
      <c r="AF7" s="322">
        <f t="shared" si="2"/>
        <v>1285.4223360000001</v>
      </c>
      <c r="AG7" s="322">
        <f t="shared" si="2"/>
        <v>1995.732816</v>
      </c>
      <c r="AH7" s="322">
        <f t="shared" si="2"/>
        <v>6305.6393400000015</v>
      </c>
      <c r="AI7" s="322">
        <f t="shared" si="2"/>
        <v>650.62547200000006</v>
      </c>
      <c r="AJ7" s="322">
        <f t="shared" si="2"/>
        <v>1084.53033</v>
      </c>
      <c r="AK7" s="322">
        <f t="shared" si="2"/>
        <v>6352.5000000000009</v>
      </c>
      <c r="AL7" s="322">
        <f t="shared" si="2"/>
        <v>4620</v>
      </c>
      <c r="AM7" s="322">
        <f t="shared" si="2"/>
        <v>3307.5</v>
      </c>
      <c r="AN7" s="322">
        <f t="shared" si="2"/>
        <v>2016</v>
      </c>
    </row>
    <row r="8" spans="2:40">
      <c r="C8" s="283" t="s">
        <v>795</v>
      </c>
      <c r="E8" s="291">
        <f>E12/E13</f>
        <v>0.44186046511627908</v>
      </c>
      <c r="F8" s="291">
        <f t="shared" ref="F8:H8" si="3">F12/F13</f>
        <v>0.642023346303502</v>
      </c>
      <c r="G8" s="291">
        <f t="shared" si="3"/>
        <v>0.53818779085683</v>
      </c>
      <c r="H8" s="291">
        <f t="shared" si="3"/>
        <v>0.39418416801292405</v>
      </c>
      <c r="I8" s="291">
        <f>I12/I13</f>
        <v>0.45174129353233833</v>
      </c>
      <c r="J8" s="291">
        <f t="shared" ref="J8:L8" si="4">J12/J13</f>
        <v>0.59258373205741621</v>
      </c>
      <c r="K8" s="291">
        <f t="shared" si="4"/>
        <v>0.52363636363636368</v>
      </c>
      <c r="L8" s="291">
        <f t="shared" si="4"/>
        <v>0.4168260038240918</v>
      </c>
      <c r="M8" s="292">
        <v>0.5</v>
      </c>
      <c r="N8" s="292">
        <v>0.5</v>
      </c>
      <c r="O8" s="292">
        <v>0.3</v>
      </c>
      <c r="P8" s="292">
        <v>0.3</v>
      </c>
      <c r="Q8" s="388">
        <v>0.38</v>
      </c>
      <c r="R8" s="388">
        <v>0.55000000000000004</v>
      </c>
      <c r="S8" s="388">
        <v>0.5</v>
      </c>
      <c r="T8" s="388">
        <v>0.35</v>
      </c>
      <c r="U8" s="388">
        <v>0.35</v>
      </c>
      <c r="V8" s="388">
        <v>0.5</v>
      </c>
      <c r="W8" s="388">
        <v>0.44</v>
      </c>
      <c r="X8" s="388">
        <v>0.43769999999999998</v>
      </c>
      <c r="Y8" s="388">
        <v>0.52500000000000002</v>
      </c>
      <c r="Z8" s="388">
        <v>0.52500000000000002</v>
      </c>
      <c r="AA8" s="388">
        <v>0.315</v>
      </c>
      <c r="AB8" s="388">
        <v>0.315</v>
      </c>
      <c r="AC8" s="292">
        <v>0.38</v>
      </c>
      <c r="AD8" s="292">
        <v>0.55000000000000004</v>
      </c>
      <c r="AE8" s="292">
        <v>0.5</v>
      </c>
      <c r="AF8" s="292">
        <v>0.35</v>
      </c>
      <c r="AG8" s="292">
        <v>0.35</v>
      </c>
      <c r="AH8" s="292">
        <v>0.5</v>
      </c>
      <c r="AI8" s="292">
        <v>0.44</v>
      </c>
      <c r="AJ8" s="292">
        <v>0.43769999999999998</v>
      </c>
      <c r="AK8" s="292">
        <v>0.52500000000000002</v>
      </c>
      <c r="AL8" s="292">
        <v>0.52500000000000002</v>
      </c>
      <c r="AM8" s="292">
        <v>0.315</v>
      </c>
      <c r="AN8" s="292">
        <v>0.315</v>
      </c>
    </row>
    <row r="9" spans="2:40" s="7" customFormat="1" ht="14.5" customHeight="1">
      <c r="B9" s="237"/>
      <c r="C9" s="7" t="s">
        <v>796</v>
      </c>
      <c r="E9" s="321">
        <v>240</v>
      </c>
      <c r="F9" s="321">
        <v>1205</v>
      </c>
      <c r="G9" s="321">
        <v>1606</v>
      </c>
      <c r="H9" s="321">
        <v>284</v>
      </c>
      <c r="I9" s="321">
        <v>501</v>
      </c>
      <c r="J9" s="321">
        <v>1588</v>
      </c>
      <c r="K9" s="321">
        <v>1737</v>
      </c>
      <c r="L9" s="321">
        <v>247</v>
      </c>
      <c r="M9" s="322">
        <f t="shared" ref="M9:AN9" si="5">M58+M213+M363</f>
        <v>1571.7206349206349</v>
      </c>
      <c r="N9" s="322">
        <f t="shared" si="5"/>
        <v>1692.622222222222</v>
      </c>
      <c r="O9" s="322">
        <f t="shared" si="5"/>
        <v>483.60634920634919</v>
      </c>
      <c r="P9" s="322">
        <f t="shared" si="5"/>
        <v>483.60634920634919</v>
      </c>
      <c r="Q9" s="322">
        <f t="shared" si="5"/>
        <v>427.45765142857152</v>
      </c>
      <c r="R9" s="322">
        <f t="shared" si="5"/>
        <v>836.34013460317465</v>
      </c>
      <c r="S9" s="322">
        <f t="shared" si="5"/>
        <v>934.55737396825418</v>
      </c>
      <c r="T9" s="322">
        <f t="shared" si="5"/>
        <v>554.75623111111099</v>
      </c>
      <c r="U9" s="322">
        <f t="shared" si="5"/>
        <v>421.35404317460325</v>
      </c>
      <c r="V9" s="322">
        <f t="shared" si="5"/>
        <v>991.58207365079375</v>
      </c>
      <c r="W9" s="322">
        <f t="shared" si="5"/>
        <v>465.40575999999999</v>
      </c>
      <c r="X9" s="322">
        <f t="shared" si="5"/>
        <v>487.71018666666663</v>
      </c>
      <c r="Y9" s="322">
        <f t="shared" si="5"/>
        <v>1695.1174603174602</v>
      </c>
      <c r="Z9" s="322">
        <f t="shared" si="5"/>
        <v>1659.5555555555557</v>
      </c>
      <c r="AA9" s="322">
        <f t="shared" si="5"/>
        <v>521.57460317460311</v>
      </c>
      <c r="AB9" s="322">
        <f t="shared" si="5"/>
        <v>568.99047619047622</v>
      </c>
      <c r="AC9" s="322">
        <f t="shared" si="5"/>
        <v>441.98480085714289</v>
      </c>
      <c r="AD9" s="322">
        <f t="shared" si="5"/>
        <v>1124.1921032126984</v>
      </c>
      <c r="AE9" s="322">
        <f t="shared" si="5"/>
        <v>1062.9501397079366</v>
      </c>
      <c r="AF9" s="322">
        <f t="shared" si="5"/>
        <v>630.97058542222226</v>
      </c>
      <c r="AG9" s="322">
        <f t="shared" si="5"/>
        <v>479.24113760634918</v>
      </c>
      <c r="AH9" s="322">
        <f t="shared" si="5"/>
        <v>1332.8652910031747</v>
      </c>
      <c r="AI9" s="322">
        <f t="shared" si="5"/>
        <v>192.48903039999999</v>
      </c>
      <c r="AJ9" s="322">
        <f t="shared" si="5"/>
        <v>554.71352053333328</v>
      </c>
      <c r="AK9" s="322">
        <f t="shared" si="5"/>
        <v>1927.9986349206349</v>
      </c>
      <c r="AL9" s="322">
        <f t="shared" si="5"/>
        <v>1715.9555555555553</v>
      </c>
      <c r="AM9" s="322">
        <f t="shared" si="5"/>
        <v>593.23034920634927</v>
      </c>
      <c r="AN9" s="322">
        <f t="shared" si="5"/>
        <v>705.99314285714274</v>
      </c>
    </row>
    <row r="10" spans="2:40" s="7" customFormat="1">
      <c r="B10" s="237"/>
      <c r="C10" s="7" t="s">
        <v>797</v>
      </c>
      <c r="E10" s="321">
        <v>38</v>
      </c>
      <c r="F10" s="321">
        <v>43</v>
      </c>
      <c r="G10" s="321">
        <v>21</v>
      </c>
      <c r="H10" s="321">
        <v>28</v>
      </c>
      <c r="I10" s="321">
        <v>24</v>
      </c>
      <c r="J10" s="321">
        <v>72</v>
      </c>
      <c r="K10" s="321">
        <v>58</v>
      </c>
      <c r="L10" s="321">
        <v>29</v>
      </c>
      <c r="M10" s="322">
        <f t="shared" ref="M10:AN10" si="6">M59+M60+M214+M215+M365+M364</f>
        <v>92.48571428571428</v>
      </c>
      <c r="N10" s="322">
        <f t="shared" si="6"/>
        <v>99.6</v>
      </c>
      <c r="O10" s="322">
        <f t="shared" si="6"/>
        <v>28.457142857142856</v>
      </c>
      <c r="P10" s="322">
        <f t="shared" si="6"/>
        <v>28.457142857142856</v>
      </c>
      <c r="Q10" s="322">
        <f t="shared" si="6"/>
        <v>24.727062857142862</v>
      </c>
      <c r="R10" s="322">
        <f t="shared" si="6"/>
        <v>48.37961142857143</v>
      </c>
      <c r="S10" s="322">
        <f t="shared" si="6"/>
        <v>54.061165714285721</v>
      </c>
      <c r="T10" s="322">
        <f t="shared" si="6"/>
        <v>32.090879999999999</v>
      </c>
      <c r="U10" s="322">
        <f t="shared" si="6"/>
        <v>24.373988571428576</v>
      </c>
      <c r="V10" s="322">
        <f t="shared" si="6"/>
        <v>57.359862857142865</v>
      </c>
      <c r="W10" s="322">
        <f t="shared" si="6"/>
        <v>26.922239999999999</v>
      </c>
      <c r="X10" s="322">
        <f t="shared" si="6"/>
        <v>28.212479999999996</v>
      </c>
      <c r="Y10" s="322">
        <f t="shared" si="6"/>
        <v>98.05714285714285</v>
      </c>
      <c r="Z10" s="322">
        <f t="shared" si="6"/>
        <v>96</v>
      </c>
      <c r="AA10" s="322">
        <f t="shared" si="6"/>
        <v>30.171428571428567</v>
      </c>
      <c r="AB10" s="322">
        <f t="shared" si="6"/>
        <v>32.914285714285711</v>
      </c>
      <c r="AC10" s="322">
        <f t="shared" si="6"/>
        <v>25.654327714285717</v>
      </c>
      <c r="AD10" s="322">
        <f t="shared" si="6"/>
        <v>65.252000914285716</v>
      </c>
      <c r="AE10" s="322">
        <f t="shared" si="6"/>
        <v>61.697305371428584</v>
      </c>
      <c r="AF10" s="322">
        <f t="shared" si="6"/>
        <v>36.623716800000004</v>
      </c>
      <c r="AG10" s="322">
        <f t="shared" si="6"/>
        <v>27.816814457142854</v>
      </c>
      <c r="AH10" s="322">
        <f t="shared" si="6"/>
        <v>77.364115028571433</v>
      </c>
      <c r="AI10" s="322">
        <f t="shared" si="6"/>
        <v>11.172729599999998</v>
      </c>
      <c r="AJ10" s="322">
        <f t="shared" si="6"/>
        <v>32.197492799999999</v>
      </c>
      <c r="AK10" s="322">
        <f t="shared" si="6"/>
        <v>111.90771428571428</v>
      </c>
      <c r="AL10" s="322">
        <f t="shared" si="6"/>
        <v>99.6</v>
      </c>
      <c r="AM10" s="322">
        <f t="shared" si="6"/>
        <v>34.433142857142862</v>
      </c>
      <c r="AN10" s="322">
        <f t="shared" si="6"/>
        <v>40.978285714285711</v>
      </c>
    </row>
    <row r="11" spans="2:40" s="7" customFormat="1">
      <c r="B11" s="237"/>
      <c r="C11" s="7" t="s">
        <v>798</v>
      </c>
      <c r="E11" s="321">
        <v>106</v>
      </c>
      <c r="F11" s="321">
        <v>40</v>
      </c>
      <c r="G11" s="321">
        <v>60</v>
      </c>
      <c r="H11" s="321">
        <v>63</v>
      </c>
      <c r="I11" s="321">
        <v>26</v>
      </c>
      <c r="J11" s="321">
        <v>43</v>
      </c>
      <c r="K11" s="321">
        <v>39</v>
      </c>
      <c r="L11" s="321">
        <v>29</v>
      </c>
      <c r="M11" s="322">
        <f t="shared" ref="M11:AN11" si="7">M63+M62+M217+M218+M366+M367</f>
        <v>535.57142857142867</v>
      </c>
      <c r="N11" s="322">
        <f t="shared" si="7"/>
        <v>449.00000000000011</v>
      </c>
      <c r="O11" s="322">
        <f t="shared" si="7"/>
        <v>390.71428571428572</v>
      </c>
      <c r="P11" s="322">
        <f t="shared" si="7"/>
        <v>437.71428571428572</v>
      </c>
      <c r="Q11" s="322">
        <f t="shared" si="7"/>
        <v>358.88228571428562</v>
      </c>
      <c r="R11" s="322">
        <f t="shared" si="7"/>
        <v>306.67314285714286</v>
      </c>
      <c r="S11" s="322">
        <f t="shared" si="7"/>
        <v>359.98057142857124</v>
      </c>
      <c r="T11" s="322">
        <f t="shared" si="7"/>
        <v>289.15200000000004</v>
      </c>
      <c r="U11" s="322">
        <f t="shared" si="7"/>
        <v>243.76685714285708</v>
      </c>
      <c r="V11" s="322">
        <f t="shared" si="7"/>
        <v>302.00228571428568</v>
      </c>
      <c r="W11" s="322">
        <f t="shared" si="7"/>
        <v>237.29600000000005</v>
      </c>
      <c r="X11" s="322">
        <f t="shared" si="7"/>
        <v>197.79200000000006</v>
      </c>
      <c r="Y11" s="322">
        <f t="shared" si="7"/>
        <v>257.71428571428589</v>
      </c>
      <c r="Z11" s="322">
        <f t="shared" si="7"/>
        <v>202</v>
      </c>
      <c r="AA11" s="322">
        <f t="shared" si="7"/>
        <v>167.14285714285717</v>
      </c>
      <c r="AB11" s="322">
        <f t="shared" si="7"/>
        <v>228.42857142857144</v>
      </c>
      <c r="AC11" s="322">
        <f t="shared" si="7"/>
        <v>172.42787142857139</v>
      </c>
      <c r="AD11" s="322">
        <f t="shared" si="7"/>
        <v>140.46665142857142</v>
      </c>
      <c r="AE11" s="322">
        <f t="shared" si="7"/>
        <v>203.71157714285698</v>
      </c>
      <c r="AF11" s="322">
        <f t="shared" si="7"/>
        <v>148.60471999999993</v>
      </c>
      <c r="AG11" s="322">
        <f t="shared" si="7"/>
        <v>115.38642571428575</v>
      </c>
      <c r="AH11" s="322">
        <f t="shared" si="7"/>
        <v>178.59808285714277</v>
      </c>
      <c r="AI11" s="322">
        <f t="shared" si="7"/>
        <v>128.78784000000002</v>
      </c>
      <c r="AJ11" s="322">
        <f t="shared" si="7"/>
        <v>97.375120000000067</v>
      </c>
      <c r="AK11" s="322">
        <f t="shared" si="7"/>
        <v>161.87142857142862</v>
      </c>
      <c r="AL11" s="322">
        <f t="shared" si="7"/>
        <v>117.00000000000014</v>
      </c>
      <c r="AM11" s="322">
        <f t="shared" si="7"/>
        <v>89.1142857142857</v>
      </c>
      <c r="AN11" s="322">
        <f t="shared" si="7"/>
        <v>148.02857142857155</v>
      </c>
    </row>
    <row r="12" spans="2:40" s="7" customFormat="1">
      <c r="B12" s="237"/>
      <c r="C12" s="7" t="s">
        <v>799</v>
      </c>
      <c r="E12" s="321">
        <v>304</v>
      </c>
      <c r="F12" s="321">
        <v>2310</v>
      </c>
      <c r="G12" s="321">
        <v>1966</v>
      </c>
      <c r="H12" s="321">
        <v>244</v>
      </c>
      <c r="I12" s="321">
        <v>454</v>
      </c>
      <c r="J12" s="321">
        <v>2477</v>
      </c>
      <c r="K12" s="321">
        <v>2016</v>
      </c>
      <c r="L12" s="321">
        <v>218</v>
      </c>
      <c r="M12" s="322">
        <f t="shared" ref="M12:AN12" si="8">(M61+M216+M366)+(M7*M8)</f>
        <v>2998.2793650793651</v>
      </c>
      <c r="N12" s="322">
        <f t="shared" si="8"/>
        <v>2978.3777777777777</v>
      </c>
      <c r="O12" s="322">
        <f t="shared" si="8"/>
        <v>659.39365079365075</v>
      </c>
      <c r="P12" s="322">
        <f t="shared" si="8"/>
        <v>418.39365079365081</v>
      </c>
      <c r="Q12" s="322">
        <f t="shared" si="8"/>
        <v>448.7954685714285</v>
      </c>
      <c r="R12" s="322">
        <f t="shared" si="8"/>
        <v>2672.6281533968254</v>
      </c>
      <c r="S12" s="322">
        <f t="shared" si="8"/>
        <v>2080.902426031746</v>
      </c>
      <c r="T12" s="322">
        <f t="shared" si="8"/>
        <v>517.1586168888889</v>
      </c>
      <c r="U12" s="322">
        <f t="shared" si="8"/>
        <v>766.65185282539665</v>
      </c>
      <c r="V12" s="322">
        <f t="shared" si="8"/>
        <v>2114.2914263492066</v>
      </c>
      <c r="W12" s="322">
        <f t="shared" si="8"/>
        <v>726.81848000000002</v>
      </c>
      <c r="X12" s="322">
        <f t="shared" si="8"/>
        <v>520.89209533333337</v>
      </c>
      <c r="Y12" s="322">
        <f t="shared" si="8"/>
        <v>3133.75753968254</v>
      </c>
      <c r="Z12" s="322">
        <f t="shared" si="8"/>
        <v>2520.9444444444443</v>
      </c>
      <c r="AA12" s="322">
        <f t="shared" si="8"/>
        <v>834.61289682539689</v>
      </c>
      <c r="AB12" s="322">
        <f t="shared" si="8"/>
        <v>481.90952380952376</v>
      </c>
      <c r="AC12" s="322">
        <f t="shared" si="8"/>
        <v>352.26831914285714</v>
      </c>
      <c r="AD12" s="322">
        <f t="shared" si="8"/>
        <v>3336.866671187302</v>
      </c>
      <c r="AE12" s="322">
        <f t="shared" si="8"/>
        <v>2386.0016202920633</v>
      </c>
      <c r="AF12" s="322">
        <f t="shared" si="8"/>
        <v>519.92723217777768</v>
      </c>
      <c r="AG12" s="322">
        <f t="shared" si="8"/>
        <v>765.26534799365072</v>
      </c>
      <c r="AH12" s="322">
        <f t="shared" si="8"/>
        <v>3216.9543789968261</v>
      </c>
      <c r="AI12" s="322">
        <f t="shared" si="8"/>
        <v>348.78617728000006</v>
      </c>
      <c r="AJ12" s="322">
        <f t="shared" si="8"/>
        <v>534.98540490766663</v>
      </c>
      <c r="AK12" s="322">
        <f t="shared" si="8"/>
        <v>3393.0638650793658</v>
      </c>
      <c r="AL12" s="322">
        <f t="shared" si="8"/>
        <v>2481.5444444444447</v>
      </c>
      <c r="AM12" s="322">
        <f t="shared" si="8"/>
        <v>1096.6321507936507</v>
      </c>
      <c r="AN12" s="322">
        <f t="shared" si="8"/>
        <v>688.04685714285722</v>
      </c>
    </row>
    <row r="13" spans="2:40" s="7" customFormat="1">
      <c r="B13" s="237" t="s">
        <v>900</v>
      </c>
      <c r="C13" s="7" t="s">
        <v>801</v>
      </c>
      <c r="E13" s="323">
        <f>SUM(E9:E12)</f>
        <v>688</v>
      </c>
      <c r="F13" s="323">
        <f t="shared" ref="F13:AN13" si="9">SUM(F9:F12)</f>
        <v>3598</v>
      </c>
      <c r="G13" s="323">
        <f t="shared" si="9"/>
        <v>3653</v>
      </c>
      <c r="H13" s="323">
        <f t="shared" si="9"/>
        <v>619</v>
      </c>
      <c r="I13" s="323">
        <f t="shared" si="9"/>
        <v>1005</v>
      </c>
      <c r="J13" s="323">
        <f t="shared" si="9"/>
        <v>4180</v>
      </c>
      <c r="K13" s="323">
        <f t="shared" si="9"/>
        <v>3850</v>
      </c>
      <c r="L13" s="323">
        <f t="shared" si="9"/>
        <v>523</v>
      </c>
      <c r="M13" s="324">
        <f t="shared" si="9"/>
        <v>5198.0571428571429</v>
      </c>
      <c r="N13" s="324">
        <f t="shared" si="9"/>
        <v>5219.6000000000004</v>
      </c>
      <c r="O13" s="324">
        <f t="shared" si="9"/>
        <v>1562.1714285714286</v>
      </c>
      <c r="P13" s="324">
        <f t="shared" si="9"/>
        <v>1368.1714285714286</v>
      </c>
      <c r="Q13" s="324">
        <f t="shared" si="9"/>
        <v>1259.8624685714285</v>
      </c>
      <c r="R13" s="324">
        <f t="shared" si="9"/>
        <v>3864.0210422857144</v>
      </c>
      <c r="S13" s="324">
        <f t="shared" si="9"/>
        <v>3429.5015371428572</v>
      </c>
      <c r="T13" s="324">
        <f t="shared" si="9"/>
        <v>1393.1577279999999</v>
      </c>
      <c r="U13" s="324">
        <f t="shared" si="9"/>
        <v>1456.1467417142856</v>
      </c>
      <c r="V13" s="324">
        <f t="shared" si="9"/>
        <v>3465.235648571429</v>
      </c>
      <c r="W13" s="324">
        <f t="shared" si="9"/>
        <v>1456.4424800000002</v>
      </c>
      <c r="X13" s="324">
        <f t="shared" si="9"/>
        <v>1234.6067619999999</v>
      </c>
      <c r="Y13" s="324">
        <f t="shared" si="9"/>
        <v>5184.6464285714292</v>
      </c>
      <c r="Z13" s="324">
        <f t="shared" si="9"/>
        <v>4478.5</v>
      </c>
      <c r="AA13" s="324">
        <f t="shared" si="9"/>
        <v>1553.5017857142857</v>
      </c>
      <c r="AB13" s="324">
        <f t="shared" si="9"/>
        <v>1312.2428571428572</v>
      </c>
      <c r="AC13" s="324">
        <f t="shared" si="9"/>
        <v>992.33531914285709</v>
      </c>
      <c r="AD13" s="324">
        <f t="shared" si="9"/>
        <v>4666.7774267428576</v>
      </c>
      <c r="AE13" s="324">
        <f t="shared" si="9"/>
        <v>3714.3606425142857</v>
      </c>
      <c r="AF13" s="324">
        <f t="shared" si="9"/>
        <v>1336.1262543999999</v>
      </c>
      <c r="AG13" s="324">
        <f t="shared" si="9"/>
        <v>1387.7097257714286</v>
      </c>
      <c r="AH13" s="324">
        <f t="shared" si="9"/>
        <v>4805.7818678857147</v>
      </c>
      <c r="AI13" s="324">
        <f t="shared" si="9"/>
        <v>681.23577728000009</v>
      </c>
      <c r="AJ13" s="324">
        <f t="shared" si="9"/>
        <v>1219.2715382409999</v>
      </c>
      <c r="AK13" s="324">
        <f t="shared" si="9"/>
        <v>5594.8416428571436</v>
      </c>
      <c r="AL13" s="324">
        <f t="shared" si="9"/>
        <v>4414.1000000000004</v>
      </c>
      <c r="AM13" s="324">
        <f t="shared" si="9"/>
        <v>1813.4099285714285</v>
      </c>
      <c r="AN13" s="324">
        <f t="shared" si="9"/>
        <v>1583.0468571428573</v>
      </c>
    </row>
    <row r="14" spans="2:40" s="7" customFormat="1">
      <c r="B14" s="235"/>
      <c r="E14" s="217"/>
      <c r="F14" s="217"/>
      <c r="G14" s="217"/>
      <c r="H14" s="217"/>
      <c r="I14" s="217"/>
      <c r="J14" s="217"/>
      <c r="K14" s="217"/>
      <c r="L14" s="217"/>
    </row>
    <row r="15" spans="2:40">
      <c r="B15" s="298" t="s">
        <v>901</v>
      </c>
      <c r="C15" s="283" t="s">
        <v>803</v>
      </c>
      <c r="E15" s="296">
        <v>47.91</v>
      </c>
      <c r="F15" s="296">
        <v>42.05</v>
      </c>
      <c r="G15" s="296">
        <v>42.13</v>
      </c>
      <c r="H15" s="296">
        <v>38.72</v>
      </c>
      <c r="I15" s="296">
        <v>41.28</v>
      </c>
      <c r="J15" s="296">
        <v>49.52</v>
      </c>
      <c r="K15" s="296">
        <v>48.69</v>
      </c>
      <c r="L15" s="296">
        <v>50.85</v>
      </c>
      <c r="M15" s="297">
        <v>38</v>
      </c>
      <c r="N15" s="297">
        <f t="shared" ref="N15:P15" si="10">M15</f>
        <v>38</v>
      </c>
      <c r="O15" s="297">
        <f t="shared" si="10"/>
        <v>38</v>
      </c>
      <c r="P15" s="297">
        <f t="shared" si="10"/>
        <v>38</v>
      </c>
      <c r="Q15" s="496">
        <v>47.91</v>
      </c>
      <c r="R15" s="496">
        <v>42.05</v>
      </c>
      <c r="S15" s="496">
        <v>43.18</v>
      </c>
      <c r="T15" s="496">
        <v>38.72</v>
      </c>
      <c r="U15" s="496">
        <v>42.31</v>
      </c>
      <c r="V15" s="496">
        <v>50.76</v>
      </c>
      <c r="W15" s="496">
        <v>49.91</v>
      </c>
      <c r="X15" s="496">
        <v>50.85</v>
      </c>
      <c r="Y15" s="496">
        <v>38</v>
      </c>
      <c r="Z15" s="496">
        <v>38.950000000000003</v>
      </c>
      <c r="AA15" s="496">
        <v>38</v>
      </c>
      <c r="AB15" s="496">
        <v>38</v>
      </c>
      <c r="AC15" s="297">
        <v>47.91</v>
      </c>
      <c r="AD15" s="297">
        <v>42.05</v>
      </c>
      <c r="AE15" s="297">
        <v>43.18</v>
      </c>
      <c r="AF15" s="297">
        <v>38.72</v>
      </c>
      <c r="AG15" s="297">
        <v>42.31</v>
      </c>
      <c r="AH15" s="297">
        <v>50.76</v>
      </c>
      <c r="AI15" s="297">
        <v>49.91</v>
      </c>
      <c r="AJ15" s="297">
        <v>50.85</v>
      </c>
      <c r="AK15" s="297">
        <v>38</v>
      </c>
      <c r="AL15" s="297">
        <v>38.950000000000003</v>
      </c>
      <c r="AM15" s="297">
        <v>38</v>
      </c>
      <c r="AN15" s="297">
        <v>38</v>
      </c>
    </row>
    <row r="16" spans="2:40" s="7" customFormat="1">
      <c r="B16" s="235"/>
      <c r="C16" s="7" t="s">
        <v>804</v>
      </c>
      <c r="E16" s="321">
        <f t="shared" ref="E16:AN16" si="11">E15*E12</f>
        <v>14564.64</v>
      </c>
      <c r="F16" s="321">
        <f t="shared" si="11"/>
        <v>97135.5</v>
      </c>
      <c r="G16" s="321">
        <f t="shared" si="11"/>
        <v>82827.58</v>
      </c>
      <c r="H16" s="321">
        <f t="shared" si="11"/>
        <v>9447.68</v>
      </c>
      <c r="I16" s="321">
        <f t="shared" si="11"/>
        <v>18741.12</v>
      </c>
      <c r="J16" s="321">
        <f t="shared" si="11"/>
        <v>122661.04000000001</v>
      </c>
      <c r="K16" s="321">
        <f t="shared" si="11"/>
        <v>98159.039999999994</v>
      </c>
      <c r="L16" s="321">
        <f t="shared" si="11"/>
        <v>11085.300000000001</v>
      </c>
      <c r="M16" s="322">
        <f t="shared" si="11"/>
        <v>113934.61587301588</v>
      </c>
      <c r="N16" s="322">
        <f t="shared" si="11"/>
        <v>113178.35555555555</v>
      </c>
      <c r="O16" s="322">
        <f t="shared" si="11"/>
        <v>25056.958730158727</v>
      </c>
      <c r="P16" s="322">
        <f t="shared" si="11"/>
        <v>15898.958730158731</v>
      </c>
      <c r="Q16" s="322">
        <f t="shared" si="11"/>
        <v>21501.790899257139</v>
      </c>
      <c r="R16" s="322">
        <f t="shared" si="11"/>
        <v>112384.0138503365</v>
      </c>
      <c r="S16" s="322">
        <f t="shared" si="11"/>
        <v>89853.366756050789</v>
      </c>
      <c r="T16" s="322">
        <f t="shared" si="11"/>
        <v>20024.381645937778</v>
      </c>
      <c r="U16" s="322">
        <f t="shared" si="11"/>
        <v>32437.039893042533</v>
      </c>
      <c r="V16" s="322">
        <f t="shared" si="11"/>
        <v>107321.43280148573</v>
      </c>
      <c r="W16" s="322">
        <f t="shared" si="11"/>
        <v>36275.510336799998</v>
      </c>
      <c r="X16" s="322">
        <f t="shared" si="11"/>
        <v>26487.363047700004</v>
      </c>
      <c r="Y16" s="322">
        <f t="shared" si="11"/>
        <v>119082.78650793651</v>
      </c>
      <c r="Z16" s="322">
        <f t="shared" si="11"/>
        <v>98190.786111111112</v>
      </c>
      <c r="AA16" s="322">
        <f t="shared" si="11"/>
        <v>31715.290079365081</v>
      </c>
      <c r="AB16" s="322">
        <f t="shared" si="11"/>
        <v>18312.561904761904</v>
      </c>
      <c r="AC16" s="322">
        <f t="shared" si="11"/>
        <v>16877.175170134284</v>
      </c>
      <c r="AD16" s="322">
        <f t="shared" si="11"/>
        <v>140315.24352342603</v>
      </c>
      <c r="AE16" s="322">
        <f t="shared" si="11"/>
        <v>103027.5499642113</v>
      </c>
      <c r="AF16" s="322">
        <f t="shared" si="11"/>
        <v>20131.58242992355</v>
      </c>
      <c r="AG16" s="322">
        <f t="shared" si="11"/>
        <v>32378.376873611363</v>
      </c>
      <c r="AH16" s="322">
        <f t="shared" si="11"/>
        <v>163292.60427787888</v>
      </c>
      <c r="AI16" s="322">
        <f t="shared" si="11"/>
        <v>17407.918108044803</v>
      </c>
      <c r="AJ16" s="322">
        <f t="shared" si="11"/>
        <v>27204.007839554848</v>
      </c>
      <c r="AK16" s="322">
        <f t="shared" si="11"/>
        <v>128936.42687301589</v>
      </c>
      <c r="AL16" s="322">
        <f t="shared" si="11"/>
        <v>96656.156111111122</v>
      </c>
      <c r="AM16" s="322">
        <f t="shared" si="11"/>
        <v>41672.021730158725</v>
      </c>
      <c r="AN16" s="322">
        <f t="shared" si="11"/>
        <v>26145.780571428575</v>
      </c>
    </row>
    <row r="17" spans="2:40">
      <c r="B17" s="298"/>
      <c r="C17" s="283" t="s">
        <v>805</v>
      </c>
      <c r="E17" s="296">
        <v>31.76</v>
      </c>
      <c r="F17" s="296">
        <v>42.56</v>
      </c>
      <c r="G17" s="296">
        <v>50.14</v>
      </c>
      <c r="H17" s="296">
        <v>53.21</v>
      </c>
      <c r="I17" s="296">
        <v>55.46</v>
      </c>
      <c r="J17" s="296">
        <v>52.88</v>
      </c>
      <c r="K17" s="296">
        <v>57.36</v>
      </c>
      <c r="L17" s="296">
        <v>58.81</v>
      </c>
      <c r="M17" s="297">
        <f t="shared" ref="M17:P17" si="12">L17</f>
        <v>58.81</v>
      </c>
      <c r="N17" s="297">
        <f t="shared" si="12"/>
        <v>58.81</v>
      </c>
      <c r="O17" s="297">
        <f t="shared" si="12"/>
        <v>58.81</v>
      </c>
      <c r="P17" s="297">
        <f t="shared" si="12"/>
        <v>58.81</v>
      </c>
      <c r="Q17" s="389">
        <v>31.76</v>
      </c>
      <c r="R17" s="389">
        <v>42.56</v>
      </c>
      <c r="S17" s="389">
        <v>50.77</v>
      </c>
      <c r="T17" s="389">
        <v>53.21</v>
      </c>
      <c r="U17" s="389">
        <v>56.15</v>
      </c>
      <c r="V17" s="389">
        <v>53.54</v>
      </c>
      <c r="W17" s="389">
        <v>57.36</v>
      </c>
      <c r="X17" s="389">
        <v>58.81</v>
      </c>
      <c r="Y17" s="389">
        <v>59.55</v>
      </c>
      <c r="Z17" s="389">
        <v>59.55</v>
      </c>
      <c r="AA17" s="389">
        <v>59.55</v>
      </c>
      <c r="AB17" s="389">
        <v>59.55</v>
      </c>
      <c r="AC17" s="297">
        <v>31.76</v>
      </c>
      <c r="AD17" s="297">
        <v>42.56</v>
      </c>
      <c r="AE17" s="297">
        <v>50.77</v>
      </c>
      <c r="AF17" s="297">
        <v>53.21</v>
      </c>
      <c r="AG17" s="297">
        <v>56.15</v>
      </c>
      <c r="AH17" s="297">
        <v>53.54</v>
      </c>
      <c r="AI17" s="297">
        <v>57.36</v>
      </c>
      <c r="AJ17" s="297">
        <v>58.81</v>
      </c>
      <c r="AK17" s="297">
        <v>59.55</v>
      </c>
      <c r="AL17" s="297">
        <v>59.55</v>
      </c>
      <c r="AM17" s="297">
        <v>59.55</v>
      </c>
      <c r="AN17" s="297">
        <v>59.55</v>
      </c>
    </row>
    <row r="18" spans="2:40" s="7" customFormat="1">
      <c r="B18" s="235"/>
      <c r="C18" s="7" t="s">
        <v>806</v>
      </c>
      <c r="E18" s="321">
        <f>E11*E17</f>
        <v>3366.56</v>
      </c>
      <c r="F18" s="321">
        <f>F11*F17</f>
        <v>1702.4</v>
      </c>
      <c r="G18" s="321">
        <f>G11*G17</f>
        <v>3008.4</v>
      </c>
      <c r="H18" s="321">
        <f>H11*H17</f>
        <v>3352.23</v>
      </c>
      <c r="I18" s="321">
        <f>I11*I17</f>
        <v>1441.96</v>
      </c>
      <c r="J18" s="321">
        <f t="shared" ref="J18:AN18" si="13">J11*J15</f>
        <v>2129.36</v>
      </c>
      <c r="K18" s="321">
        <f t="shared" si="13"/>
        <v>1898.9099999999999</v>
      </c>
      <c r="L18" s="321">
        <f t="shared" si="13"/>
        <v>1474.65</v>
      </c>
      <c r="M18" s="322">
        <f t="shared" si="13"/>
        <v>20351.71428571429</v>
      </c>
      <c r="N18" s="322">
        <f t="shared" si="13"/>
        <v>17062.000000000004</v>
      </c>
      <c r="O18" s="322">
        <f t="shared" si="13"/>
        <v>14847.142857142857</v>
      </c>
      <c r="P18" s="322">
        <f t="shared" si="13"/>
        <v>16633.142857142859</v>
      </c>
      <c r="Q18" s="322">
        <f t="shared" si="13"/>
        <v>17194.050308571423</v>
      </c>
      <c r="R18" s="322">
        <f t="shared" si="13"/>
        <v>12895.605657142856</v>
      </c>
      <c r="S18" s="322">
        <f t="shared" si="13"/>
        <v>15543.961074285706</v>
      </c>
      <c r="T18" s="322">
        <f t="shared" si="13"/>
        <v>11195.965440000002</v>
      </c>
      <c r="U18" s="322">
        <f t="shared" si="13"/>
        <v>10313.775725714284</v>
      </c>
      <c r="V18" s="322">
        <f t="shared" si="13"/>
        <v>15329.636022857141</v>
      </c>
      <c r="W18" s="322">
        <f t="shared" si="13"/>
        <v>11843.443360000001</v>
      </c>
      <c r="X18" s="322">
        <f t="shared" si="13"/>
        <v>10057.723200000004</v>
      </c>
      <c r="Y18" s="322">
        <f t="shared" si="13"/>
        <v>9793.1428571428642</v>
      </c>
      <c r="Z18" s="322">
        <f t="shared" si="13"/>
        <v>7867.9000000000005</v>
      </c>
      <c r="AA18" s="322">
        <f t="shared" si="13"/>
        <v>6351.4285714285725</v>
      </c>
      <c r="AB18" s="322">
        <f t="shared" si="13"/>
        <v>8680.2857142857156</v>
      </c>
      <c r="AC18" s="322">
        <f t="shared" si="13"/>
        <v>8261.0193201428556</v>
      </c>
      <c r="AD18" s="322">
        <f t="shared" si="13"/>
        <v>5906.6226925714282</v>
      </c>
      <c r="AE18" s="322">
        <f t="shared" si="13"/>
        <v>8796.2659010285643</v>
      </c>
      <c r="AF18" s="322">
        <f t="shared" si="13"/>
        <v>5753.974758399997</v>
      </c>
      <c r="AG18" s="322">
        <f t="shared" si="13"/>
        <v>4881.99967197143</v>
      </c>
      <c r="AH18" s="322">
        <f t="shared" si="13"/>
        <v>9065.6386858285659</v>
      </c>
      <c r="AI18" s="322">
        <f t="shared" si="13"/>
        <v>6427.8010944000007</v>
      </c>
      <c r="AJ18" s="322">
        <f t="shared" si="13"/>
        <v>4951.5248520000032</v>
      </c>
      <c r="AK18" s="322">
        <f t="shared" si="13"/>
        <v>6151.1142857142877</v>
      </c>
      <c r="AL18" s="322">
        <f t="shared" si="13"/>
        <v>4557.150000000006</v>
      </c>
      <c r="AM18" s="322">
        <f t="shared" si="13"/>
        <v>3386.3428571428567</v>
      </c>
      <c r="AN18" s="322">
        <f t="shared" si="13"/>
        <v>5625.0857142857194</v>
      </c>
    </row>
    <row r="19" spans="2:40" s="7" customFormat="1">
      <c r="B19" s="235"/>
      <c r="E19" s="217"/>
      <c r="F19" s="217"/>
      <c r="G19" s="217"/>
      <c r="H19" s="217"/>
      <c r="I19" s="217"/>
      <c r="J19" s="217"/>
      <c r="K19" s="217"/>
      <c r="L19" s="217"/>
    </row>
    <row r="20" spans="2:40">
      <c r="C20" s="283" t="s">
        <v>807</v>
      </c>
      <c r="E20" s="296">
        <v>46.23</v>
      </c>
      <c r="F20" s="296">
        <v>41.61</v>
      </c>
      <c r="G20" s="296">
        <v>43.11</v>
      </c>
      <c r="H20" s="296">
        <v>40.159999999999997</v>
      </c>
      <c r="I20" s="296">
        <v>40.32</v>
      </c>
      <c r="J20" s="296">
        <v>48.09</v>
      </c>
      <c r="K20" s="296">
        <v>48.81</v>
      </c>
      <c r="L20" s="296">
        <v>53.17</v>
      </c>
      <c r="M20" s="297">
        <v>40</v>
      </c>
      <c r="N20" s="297">
        <f t="shared" ref="N20:P20" si="14">M20</f>
        <v>40</v>
      </c>
      <c r="O20" s="297">
        <f t="shared" si="14"/>
        <v>40</v>
      </c>
      <c r="P20" s="297">
        <f t="shared" si="14"/>
        <v>40</v>
      </c>
      <c r="Q20" s="389">
        <v>46.23</v>
      </c>
      <c r="R20" s="389">
        <v>43.69</v>
      </c>
      <c r="S20" s="389">
        <v>45.27</v>
      </c>
      <c r="T20" s="389">
        <v>40.159999999999997</v>
      </c>
      <c r="U20" s="389">
        <v>40.32</v>
      </c>
      <c r="V20" s="389">
        <v>50.49</v>
      </c>
      <c r="W20" s="389">
        <v>51.25</v>
      </c>
      <c r="X20" s="389">
        <v>53.17</v>
      </c>
      <c r="Y20" s="389">
        <v>42</v>
      </c>
      <c r="Z20" s="389">
        <v>42</v>
      </c>
      <c r="AA20" s="389">
        <v>40</v>
      </c>
      <c r="AB20" s="389">
        <v>40</v>
      </c>
      <c r="AC20" s="297">
        <v>46.23</v>
      </c>
      <c r="AD20" s="297">
        <v>43.69</v>
      </c>
      <c r="AE20" s="297">
        <v>45.27</v>
      </c>
      <c r="AF20" s="297">
        <v>40.159999999999997</v>
      </c>
      <c r="AG20" s="297">
        <v>40.32</v>
      </c>
      <c r="AH20" s="297">
        <v>50.49</v>
      </c>
      <c r="AI20" s="297">
        <v>51.25</v>
      </c>
      <c r="AJ20" s="297">
        <v>53.17</v>
      </c>
      <c r="AK20" s="297">
        <v>42</v>
      </c>
      <c r="AL20" s="297">
        <v>42</v>
      </c>
      <c r="AM20" s="297">
        <v>40</v>
      </c>
      <c r="AN20" s="297">
        <v>40</v>
      </c>
    </row>
    <row r="21" spans="2:40" s="7" customFormat="1">
      <c r="B21" s="235"/>
      <c r="C21" s="7" t="s">
        <v>808</v>
      </c>
      <c r="E21" s="321">
        <f t="shared" ref="E21:AN21" si="15">E9*E20</f>
        <v>11095.199999999999</v>
      </c>
      <c r="F21" s="321">
        <f t="shared" si="15"/>
        <v>50140.05</v>
      </c>
      <c r="G21" s="321">
        <f t="shared" si="15"/>
        <v>69234.66</v>
      </c>
      <c r="H21" s="321">
        <f t="shared" si="15"/>
        <v>11405.439999999999</v>
      </c>
      <c r="I21" s="321">
        <f t="shared" si="15"/>
        <v>20200.32</v>
      </c>
      <c r="J21" s="321">
        <f t="shared" si="15"/>
        <v>76366.92</v>
      </c>
      <c r="K21" s="321">
        <f t="shared" si="15"/>
        <v>84782.97</v>
      </c>
      <c r="L21" s="321">
        <f t="shared" si="15"/>
        <v>13132.99</v>
      </c>
      <c r="M21" s="322">
        <f t="shared" si="15"/>
        <v>62868.825396825399</v>
      </c>
      <c r="N21" s="322">
        <f t="shared" si="15"/>
        <v>67704.888888888876</v>
      </c>
      <c r="O21" s="322">
        <f t="shared" si="15"/>
        <v>19344.253968253968</v>
      </c>
      <c r="P21" s="322">
        <f t="shared" si="15"/>
        <v>19344.253968253968</v>
      </c>
      <c r="Q21" s="322">
        <f t="shared" si="15"/>
        <v>19761.367225542861</v>
      </c>
      <c r="R21" s="322">
        <f t="shared" si="15"/>
        <v>36539.700480812695</v>
      </c>
      <c r="S21" s="322">
        <f t="shared" si="15"/>
        <v>42307.412319542869</v>
      </c>
      <c r="T21" s="322">
        <f t="shared" si="15"/>
        <v>22279.010241422216</v>
      </c>
      <c r="U21" s="322">
        <f t="shared" si="15"/>
        <v>16988.995020800005</v>
      </c>
      <c r="V21" s="322">
        <f t="shared" si="15"/>
        <v>50064.978898628578</v>
      </c>
      <c r="W21" s="322">
        <f t="shared" si="15"/>
        <v>23852.0452</v>
      </c>
      <c r="X21" s="322">
        <f t="shared" si="15"/>
        <v>25931.550625066666</v>
      </c>
      <c r="Y21" s="322">
        <f t="shared" si="15"/>
        <v>71194.933333333334</v>
      </c>
      <c r="Z21" s="322">
        <f t="shared" si="15"/>
        <v>69701.333333333343</v>
      </c>
      <c r="AA21" s="322">
        <f t="shared" si="15"/>
        <v>20862.984126984124</v>
      </c>
      <c r="AB21" s="322">
        <f t="shared" si="15"/>
        <v>22759.61904761905</v>
      </c>
      <c r="AC21" s="322">
        <f t="shared" si="15"/>
        <v>20432.957343625716</v>
      </c>
      <c r="AD21" s="322">
        <f t="shared" si="15"/>
        <v>49115.952989362791</v>
      </c>
      <c r="AE21" s="322">
        <f t="shared" si="15"/>
        <v>48119.752824578296</v>
      </c>
      <c r="AF21" s="322">
        <f t="shared" si="15"/>
        <v>25339.778710556442</v>
      </c>
      <c r="AG21" s="322">
        <f t="shared" si="15"/>
        <v>19323.002668287998</v>
      </c>
      <c r="AH21" s="322">
        <f t="shared" si="15"/>
        <v>67296.368542750293</v>
      </c>
      <c r="AI21" s="322">
        <f t="shared" si="15"/>
        <v>9865.0628079999988</v>
      </c>
      <c r="AJ21" s="322">
        <f t="shared" si="15"/>
        <v>29494.117886757333</v>
      </c>
      <c r="AK21" s="322">
        <f t="shared" si="15"/>
        <v>80975.94266666667</v>
      </c>
      <c r="AL21" s="322">
        <f t="shared" si="15"/>
        <v>72070.133333333317</v>
      </c>
      <c r="AM21" s="322">
        <f t="shared" si="15"/>
        <v>23729.213968253971</v>
      </c>
      <c r="AN21" s="322">
        <f t="shared" si="15"/>
        <v>28239.725714285709</v>
      </c>
    </row>
    <row r="22" spans="2:40">
      <c r="C22" s="283" t="s">
        <v>809</v>
      </c>
      <c r="E22" s="296">
        <v>53.17</v>
      </c>
      <c r="F22" s="296">
        <v>61.62</v>
      </c>
      <c r="G22" s="296">
        <v>71.56</v>
      </c>
      <c r="H22" s="296">
        <v>68.09</v>
      </c>
      <c r="I22" s="296">
        <v>56.52</v>
      </c>
      <c r="J22" s="296">
        <v>72.72</v>
      </c>
      <c r="K22" s="296">
        <v>81.319999999999993</v>
      </c>
      <c r="L22" s="296">
        <v>66.59</v>
      </c>
      <c r="M22" s="297">
        <f t="shared" ref="M22:P22" si="16">L22</f>
        <v>66.59</v>
      </c>
      <c r="N22" s="297">
        <f t="shared" si="16"/>
        <v>66.59</v>
      </c>
      <c r="O22" s="297">
        <f t="shared" si="16"/>
        <v>66.59</v>
      </c>
      <c r="P22" s="297">
        <f t="shared" si="16"/>
        <v>66.59</v>
      </c>
      <c r="Q22" s="496">
        <v>53.17</v>
      </c>
      <c r="R22" s="496">
        <v>61.62</v>
      </c>
      <c r="S22" s="496">
        <v>72.45</v>
      </c>
      <c r="T22" s="496">
        <v>68.09</v>
      </c>
      <c r="U22" s="496">
        <v>56.52</v>
      </c>
      <c r="V22" s="496">
        <v>73.63</v>
      </c>
      <c r="W22" s="496">
        <v>82.34</v>
      </c>
      <c r="X22" s="496">
        <v>66.59</v>
      </c>
      <c r="Y22" s="496">
        <v>67.42</v>
      </c>
      <c r="Z22" s="496">
        <v>67.42</v>
      </c>
      <c r="AA22" s="496">
        <v>66.59</v>
      </c>
      <c r="AB22" s="496">
        <v>67.42</v>
      </c>
      <c r="AC22" s="297">
        <v>53.17</v>
      </c>
      <c r="AD22" s="297">
        <v>61.62</v>
      </c>
      <c r="AE22" s="297">
        <v>72.45</v>
      </c>
      <c r="AF22" s="297">
        <v>68.09</v>
      </c>
      <c r="AG22" s="297">
        <v>56.52</v>
      </c>
      <c r="AH22" s="297">
        <v>73.63</v>
      </c>
      <c r="AI22" s="297">
        <v>82.34</v>
      </c>
      <c r="AJ22" s="297">
        <v>66.59</v>
      </c>
      <c r="AK22" s="297">
        <v>67.42</v>
      </c>
      <c r="AL22" s="297">
        <v>67.42</v>
      </c>
      <c r="AM22" s="297">
        <v>66.59</v>
      </c>
      <c r="AN22" s="297">
        <v>67.42</v>
      </c>
    </row>
    <row r="23" spans="2:40" s="7" customFormat="1">
      <c r="B23" s="235"/>
      <c r="C23" s="7" t="s">
        <v>810</v>
      </c>
      <c r="E23" s="321">
        <f>E22*E10</f>
        <v>2020.46</v>
      </c>
      <c r="F23" s="321">
        <f>F22*F10</f>
        <v>2649.66</v>
      </c>
      <c r="G23" s="321">
        <f>G22*G10</f>
        <v>1502.76</v>
      </c>
      <c r="H23" s="321">
        <f>H22*H10</f>
        <v>1906.52</v>
      </c>
      <c r="I23" s="321">
        <f>I22*I10</f>
        <v>1356.48</v>
      </c>
      <c r="J23" s="321">
        <f t="shared" ref="J23:AN23" si="17">J20*J10</f>
        <v>3462.4800000000005</v>
      </c>
      <c r="K23" s="321">
        <f t="shared" si="17"/>
        <v>2830.98</v>
      </c>
      <c r="L23" s="321">
        <f t="shared" si="17"/>
        <v>1541.93</v>
      </c>
      <c r="M23" s="322">
        <f t="shared" si="17"/>
        <v>3699.4285714285711</v>
      </c>
      <c r="N23" s="322">
        <f t="shared" si="17"/>
        <v>3984</v>
      </c>
      <c r="O23" s="322">
        <f t="shared" si="17"/>
        <v>1138.2857142857142</v>
      </c>
      <c r="P23" s="322">
        <f t="shared" si="17"/>
        <v>1138.2857142857142</v>
      </c>
      <c r="Q23" s="322">
        <f t="shared" si="17"/>
        <v>1143.1321158857145</v>
      </c>
      <c r="R23" s="322">
        <f t="shared" si="17"/>
        <v>2113.7052233142858</v>
      </c>
      <c r="S23" s="322">
        <f t="shared" si="17"/>
        <v>2447.3489718857149</v>
      </c>
      <c r="T23" s="322">
        <f t="shared" si="17"/>
        <v>1288.7697407999999</v>
      </c>
      <c r="U23" s="322">
        <f t="shared" si="17"/>
        <v>982.75921920000019</v>
      </c>
      <c r="V23" s="322">
        <f t="shared" si="17"/>
        <v>2896.0994756571436</v>
      </c>
      <c r="W23" s="322">
        <f t="shared" si="17"/>
        <v>1379.7647999999999</v>
      </c>
      <c r="X23" s="322">
        <f t="shared" si="17"/>
        <v>1500.0575615999999</v>
      </c>
      <c r="Y23" s="322">
        <f t="shared" si="17"/>
        <v>4118.3999999999996</v>
      </c>
      <c r="Z23" s="322">
        <f t="shared" si="17"/>
        <v>4032</v>
      </c>
      <c r="AA23" s="322">
        <f t="shared" si="17"/>
        <v>1206.8571428571427</v>
      </c>
      <c r="AB23" s="322">
        <f t="shared" si="17"/>
        <v>1316.5714285714284</v>
      </c>
      <c r="AC23" s="322">
        <f t="shared" si="17"/>
        <v>1185.9995702314286</v>
      </c>
      <c r="AD23" s="322">
        <f t="shared" si="17"/>
        <v>2850.8599199451428</v>
      </c>
      <c r="AE23" s="322">
        <f t="shared" si="17"/>
        <v>2793.0370141645722</v>
      </c>
      <c r="AF23" s="322">
        <f t="shared" si="17"/>
        <v>1470.808466688</v>
      </c>
      <c r="AG23" s="322">
        <f t="shared" si="17"/>
        <v>1121.5739589119999</v>
      </c>
      <c r="AH23" s="322">
        <f t="shared" si="17"/>
        <v>3906.1141677925716</v>
      </c>
      <c r="AI23" s="322">
        <f t="shared" si="17"/>
        <v>572.6023919999999</v>
      </c>
      <c r="AJ23" s="322">
        <f t="shared" si="17"/>
        <v>1711.9406921760001</v>
      </c>
      <c r="AK23" s="322">
        <f t="shared" si="17"/>
        <v>4700.1239999999998</v>
      </c>
      <c r="AL23" s="322">
        <f t="shared" si="17"/>
        <v>4183.2</v>
      </c>
      <c r="AM23" s="322">
        <f t="shared" si="17"/>
        <v>1377.3257142857144</v>
      </c>
      <c r="AN23" s="322">
        <f t="shared" si="17"/>
        <v>1639.1314285714284</v>
      </c>
    </row>
    <row r="24" spans="2:40" s="7" customFormat="1">
      <c r="B24" s="235"/>
      <c r="E24" s="217"/>
      <c r="F24" s="217"/>
      <c r="G24" s="217"/>
      <c r="H24" s="217"/>
      <c r="I24" s="217"/>
      <c r="J24" s="217"/>
      <c r="K24" s="217"/>
      <c r="L24" s="217"/>
    </row>
    <row r="25" spans="2:40" s="7" customFormat="1">
      <c r="B25" s="237"/>
      <c r="C25" s="7" t="s">
        <v>87</v>
      </c>
      <c r="E25" s="227">
        <f>(E21+E16+E18+E23)</f>
        <v>31046.859999999997</v>
      </c>
      <c r="F25" s="227">
        <f t="shared" ref="F25:I25" si="18">(F21+F16+F18+F23)</f>
        <v>151627.60999999999</v>
      </c>
      <c r="G25" s="227">
        <f t="shared" si="18"/>
        <v>156573.4</v>
      </c>
      <c r="H25" s="227">
        <f t="shared" si="18"/>
        <v>26111.87</v>
      </c>
      <c r="I25" s="227">
        <f t="shared" si="18"/>
        <v>41739.880000000005</v>
      </c>
      <c r="J25" s="227">
        <f>(J21+J16+J18+J23)</f>
        <v>204619.80000000002</v>
      </c>
      <c r="K25" s="227">
        <f t="shared" ref="K25:AN25" si="19">(K21+K16+K18+K23)</f>
        <v>187671.90000000002</v>
      </c>
      <c r="L25" s="227">
        <f t="shared" si="19"/>
        <v>27234.870000000003</v>
      </c>
      <c r="M25" s="201">
        <f t="shared" si="19"/>
        <v>200854.58412698415</v>
      </c>
      <c r="N25" s="201">
        <f t="shared" si="19"/>
        <v>201929.24444444443</v>
      </c>
      <c r="O25" s="201">
        <f t="shared" si="19"/>
        <v>60386.641269841268</v>
      </c>
      <c r="P25" s="201">
        <f t="shared" si="19"/>
        <v>53014.641269841268</v>
      </c>
      <c r="Q25" s="201">
        <f t="shared" si="19"/>
        <v>59600.34054925714</v>
      </c>
      <c r="R25" s="201">
        <f t="shared" si="19"/>
        <v>163933.02521160632</v>
      </c>
      <c r="S25" s="201">
        <f t="shared" si="19"/>
        <v>150152.08912176508</v>
      </c>
      <c r="T25" s="201">
        <f t="shared" si="19"/>
        <v>54788.127068159993</v>
      </c>
      <c r="U25" s="201">
        <f t="shared" si="19"/>
        <v>60722.569858756819</v>
      </c>
      <c r="V25" s="201">
        <f t="shared" si="19"/>
        <v>175612.14719862858</v>
      </c>
      <c r="W25" s="201">
        <f t="shared" si="19"/>
        <v>73350.763696800001</v>
      </c>
      <c r="X25" s="201">
        <f t="shared" si="19"/>
        <v>63976.694434366669</v>
      </c>
      <c r="Y25" s="201">
        <f t="shared" si="19"/>
        <v>204189.2626984127</v>
      </c>
      <c r="Z25" s="201">
        <f t="shared" si="19"/>
        <v>179792.01944444445</v>
      </c>
      <c r="AA25" s="201">
        <f t="shared" si="19"/>
        <v>60136.559920634922</v>
      </c>
      <c r="AB25" s="201">
        <f t="shared" si="19"/>
        <v>51069.038095238095</v>
      </c>
      <c r="AC25" s="201">
        <f t="shared" si="19"/>
        <v>46757.151404134282</v>
      </c>
      <c r="AD25" s="201">
        <f t="shared" si="19"/>
        <v>198188.67912530541</v>
      </c>
      <c r="AE25" s="201">
        <f t="shared" si="19"/>
        <v>162736.60570398273</v>
      </c>
      <c r="AF25" s="201">
        <f t="shared" si="19"/>
        <v>52696.14436556799</v>
      </c>
      <c r="AG25" s="201">
        <f t="shared" si="19"/>
        <v>57704.953172782793</v>
      </c>
      <c r="AH25" s="201">
        <f t="shared" si="19"/>
        <v>243560.72567425034</v>
      </c>
      <c r="AI25" s="201">
        <f t="shared" si="19"/>
        <v>34273.384402444804</v>
      </c>
      <c r="AJ25" s="201">
        <f t="shared" si="19"/>
        <v>63361.591270488185</v>
      </c>
      <c r="AK25" s="201">
        <f t="shared" si="19"/>
        <v>220763.60782539687</v>
      </c>
      <c r="AL25" s="201">
        <f t="shared" si="19"/>
        <v>177466.63944444444</v>
      </c>
      <c r="AM25" s="201">
        <f t="shared" si="19"/>
        <v>70164.904269841267</v>
      </c>
      <c r="AN25" s="201">
        <f t="shared" si="19"/>
        <v>61649.723428571429</v>
      </c>
    </row>
    <row r="26" spans="2:40" s="7" customFormat="1">
      <c r="B26" s="235" t="s">
        <v>902</v>
      </c>
      <c r="C26" s="238" t="s">
        <v>812</v>
      </c>
      <c r="E26" s="228">
        <v>25956.47</v>
      </c>
      <c r="F26" s="228">
        <v>126455.14</v>
      </c>
      <c r="G26" s="228">
        <v>130500.15</v>
      </c>
      <c r="H26" s="228">
        <v>21759.53</v>
      </c>
      <c r="I26" s="228">
        <v>34802</v>
      </c>
      <c r="J26" s="228">
        <v>150058</v>
      </c>
      <c r="K26" s="228">
        <v>142766</v>
      </c>
      <c r="L26" s="228">
        <v>20035</v>
      </c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2"/>
      <c r="AC26" s="202"/>
      <c r="AD26" s="202"/>
      <c r="AE26" s="202"/>
      <c r="AF26" s="202"/>
      <c r="AG26" s="202"/>
      <c r="AH26" s="202"/>
      <c r="AI26" s="202"/>
      <c r="AJ26" s="202"/>
      <c r="AK26" s="202"/>
      <c r="AL26" s="202"/>
      <c r="AM26" s="202"/>
      <c r="AN26" s="202"/>
    </row>
    <row r="27" spans="2:40" s="7" customFormat="1">
      <c r="B27" s="237"/>
      <c r="C27" s="7" t="s">
        <v>813</v>
      </c>
      <c r="E27" s="229">
        <f t="shared" ref="E27:H27" si="20">E26-E25</f>
        <v>-5090.3899999999958</v>
      </c>
      <c r="F27" s="229">
        <f t="shared" si="20"/>
        <v>-25172.469999999987</v>
      </c>
      <c r="G27" s="229">
        <f t="shared" si="20"/>
        <v>-26073.25</v>
      </c>
      <c r="H27" s="229">
        <f t="shared" si="20"/>
        <v>-4352.34</v>
      </c>
      <c r="I27" s="229">
        <f>I26-I25</f>
        <v>-6937.8800000000047</v>
      </c>
      <c r="J27" s="229">
        <f t="shared" ref="J27:L27" si="21">J26-J25</f>
        <v>-54561.800000000017</v>
      </c>
      <c r="K27" s="229">
        <f t="shared" si="21"/>
        <v>-44905.900000000023</v>
      </c>
      <c r="L27" s="229">
        <f t="shared" si="21"/>
        <v>-7199.8700000000026</v>
      </c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</row>
    <row r="28" spans="2:40" s="7" customFormat="1">
      <c r="B28" s="235"/>
      <c r="E28" s="326">
        <f>E27/E26</f>
        <v>-0.19611256846558855</v>
      </c>
      <c r="F28" s="326">
        <f t="shared" ref="F28:H28" si="22">F27/F26</f>
        <v>-0.19906245013053631</v>
      </c>
      <c r="G28" s="326">
        <f t="shared" si="22"/>
        <v>-0.1997947895079048</v>
      </c>
      <c r="H28" s="326">
        <f t="shared" si="22"/>
        <v>-0.20001994528374464</v>
      </c>
      <c r="I28" s="326">
        <f>I27/I26</f>
        <v>-0.19935291075225575</v>
      </c>
      <c r="J28" s="326">
        <f t="shared" ref="J28:L28" si="23">J27/J26</f>
        <v>-0.36360473950072653</v>
      </c>
      <c r="K28" s="326">
        <f t="shared" si="23"/>
        <v>-0.31454197778182497</v>
      </c>
      <c r="L28" s="326">
        <f t="shared" si="23"/>
        <v>-0.35936461192912417</v>
      </c>
    </row>
    <row r="29" spans="2:40">
      <c r="C29" s="283" t="s">
        <v>814</v>
      </c>
      <c r="E29" s="293">
        <v>0</v>
      </c>
      <c r="F29" s="293">
        <v>0</v>
      </c>
      <c r="G29" s="293">
        <v>0</v>
      </c>
      <c r="H29" s="293">
        <v>0</v>
      </c>
      <c r="I29" s="293">
        <v>0</v>
      </c>
      <c r="J29" s="293">
        <v>0</v>
      </c>
      <c r="K29" s="293">
        <v>0</v>
      </c>
      <c r="L29" s="293">
        <v>0</v>
      </c>
      <c r="M29" s="299">
        <v>0</v>
      </c>
      <c r="N29" s="299">
        <v>0</v>
      </c>
      <c r="O29" s="299">
        <v>0</v>
      </c>
      <c r="P29" s="299">
        <v>0</v>
      </c>
      <c r="Q29" s="390">
        <v>1500</v>
      </c>
      <c r="R29" s="390">
        <v>2000</v>
      </c>
      <c r="S29" s="390">
        <v>2000</v>
      </c>
      <c r="T29" s="390">
        <v>1500</v>
      </c>
      <c r="U29" s="390">
        <v>1000</v>
      </c>
      <c r="V29" s="390">
        <v>2000</v>
      </c>
      <c r="W29" s="390">
        <v>2000</v>
      </c>
      <c r="X29" s="390">
        <v>1500</v>
      </c>
      <c r="Y29" s="390">
        <v>2000</v>
      </c>
      <c r="Z29" s="390">
        <v>2500</v>
      </c>
      <c r="AA29" s="390">
        <v>1500</v>
      </c>
      <c r="AB29" s="390">
        <v>1500</v>
      </c>
      <c r="AC29" s="299">
        <v>1500</v>
      </c>
      <c r="AD29" s="299">
        <v>2000</v>
      </c>
      <c r="AE29" s="299">
        <v>2000</v>
      </c>
      <c r="AF29" s="299">
        <v>1500</v>
      </c>
      <c r="AG29" s="299">
        <v>1000</v>
      </c>
      <c r="AH29" s="299">
        <v>2000</v>
      </c>
      <c r="AI29" s="299">
        <v>2000</v>
      </c>
      <c r="AJ29" s="299">
        <v>1500</v>
      </c>
      <c r="AK29" s="299">
        <v>2000</v>
      </c>
      <c r="AL29" s="299">
        <v>2500</v>
      </c>
      <c r="AM29" s="299">
        <v>1500</v>
      </c>
      <c r="AN29" s="299">
        <v>1500</v>
      </c>
    </row>
    <row r="30" spans="2:40" s="7" customFormat="1">
      <c r="B30" s="235"/>
      <c r="E30" s="328"/>
      <c r="F30" s="328"/>
      <c r="G30" s="328"/>
      <c r="H30" s="328"/>
      <c r="I30" s="328"/>
      <c r="J30" s="321"/>
      <c r="K30" s="217"/>
      <c r="L30" s="217"/>
    </row>
    <row r="31" spans="2:40" s="7" customFormat="1">
      <c r="B31" s="235"/>
      <c r="E31" s="328"/>
      <c r="F31" s="328"/>
      <c r="G31" s="328"/>
      <c r="H31" s="328"/>
      <c r="I31" s="328"/>
      <c r="J31" s="321"/>
      <c r="K31" s="217"/>
      <c r="L31" s="217"/>
    </row>
    <row r="32" spans="2:40">
      <c r="C32" s="348" t="s">
        <v>815</v>
      </c>
      <c r="E32" s="300"/>
      <c r="F32" s="300"/>
      <c r="G32" s="300"/>
      <c r="H32" s="300"/>
      <c r="I32" s="300"/>
      <c r="J32" s="294"/>
      <c r="K32" s="349"/>
      <c r="L32" s="349"/>
      <c r="M32" s="355" t="s">
        <v>816</v>
      </c>
      <c r="N32" s="356" t="s">
        <v>817</v>
      </c>
      <c r="O32" s="355" t="s">
        <v>816</v>
      </c>
      <c r="P32" s="355" t="s">
        <v>816</v>
      </c>
      <c r="Q32" s="355" t="s">
        <v>816</v>
      </c>
      <c r="R32" s="355" t="s">
        <v>874</v>
      </c>
      <c r="S32" s="355" t="s">
        <v>874</v>
      </c>
      <c r="T32" s="355" t="s">
        <v>816</v>
      </c>
      <c r="U32" s="355" t="s">
        <v>816</v>
      </c>
      <c r="V32" s="355" t="s">
        <v>874</v>
      </c>
      <c r="W32" s="355" t="s">
        <v>816</v>
      </c>
      <c r="X32" s="355" t="s">
        <v>816</v>
      </c>
      <c r="Y32" s="355" t="s">
        <v>874</v>
      </c>
      <c r="Z32" s="355" t="s">
        <v>874</v>
      </c>
      <c r="AA32" s="355" t="s">
        <v>816</v>
      </c>
      <c r="AB32" s="355" t="s">
        <v>816</v>
      </c>
      <c r="AC32" s="355" t="s">
        <v>816</v>
      </c>
      <c r="AD32" s="355" t="s">
        <v>874</v>
      </c>
      <c r="AE32" s="355" t="s">
        <v>874</v>
      </c>
      <c r="AF32" s="355" t="s">
        <v>816</v>
      </c>
      <c r="AG32" s="355" t="s">
        <v>874</v>
      </c>
      <c r="AH32" s="355" t="s">
        <v>816</v>
      </c>
      <c r="AI32" s="355" t="s">
        <v>816</v>
      </c>
      <c r="AJ32" s="355" t="s">
        <v>816</v>
      </c>
      <c r="AK32" s="355" t="s">
        <v>874</v>
      </c>
      <c r="AL32" s="355" t="s">
        <v>874</v>
      </c>
      <c r="AM32" s="355" t="s">
        <v>816</v>
      </c>
      <c r="AN32" s="355" t="s">
        <v>816</v>
      </c>
    </row>
    <row r="33" spans="2:40" s="7" customFormat="1">
      <c r="B33" s="235"/>
      <c r="E33" s="328"/>
      <c r="F33" s="328"/>
      <c r="G33" s="328"/>
      <c r="H33" s="328"/>
      <c r="I33" s="328"/>
      <c r="J33" s="217"/>
      <c r="K33" s="217"/>
      <c r="L33" s="217"/>
    </row>
    <row r="34" spans="2:40" s="7" customFormat="1" ht="12" customHeight="1">
      <c r="B34" s="237"/>
      <c r="C34" s="208" t="s">
        <v>208</v>
      </c>
      <c r="D34" s="208"/>
      <c r="E34" s="218">
        <v>45689</v>
      </c>
      <c r="F34" s="218">
        <v>45717</v>
      </c>
      <c r="G34" s="218">
        <v>45748</v>
      </c>
      <c r="H34" s="218">
        <v>45778</v>
      </c>
      <c r="I34" s="218">
        <v>45809</v>
      </c>
      <c r="J34" s="218">
        <v>45839</v>
      </c>
      <c r="K34" s="218">
        <v>45870</v>
      </c>
      <c r="L34" s="218">
        <v>45901</v>
      </c>
      <c r="M34" s="195">
        <v>45931</v>
      </c>
      <c r="N34" s="195">
        <v>45962</v>
      </c>
      <c r="O34" s="195">
        <v>45992</v>
      </c>
      <c r="P34" s="195">
        <v>46023</v>
      </c>
      <c r="Q34" s="195">
        <v>46054</v>
      </c>
      <c r="R34" s="195">
        <v>46082</v>
      </c>
      <c r="S34" s="195">
        <v>46113</v>
      </c>
      <c r="T34" s="195">
        <v>46143</v>
      </c>
      <c r="U34" s="195">
        <v>46174</v>
      </c>
      <c r="V34" s="195">
        <v>46204</v>
      </c>
      <c r="W34" s="195">
        <v>46235</v>
      </c>
      <c r="X34" s="195">
        <v>46266</v>
      </c>
      <c r="Y34" s="195">
        <v>46296</v>
      </c>
      <c r="Z34" s="195">
        <v>46327</v>
      </c>
      <c r="AA34" s="195">
        <v>46357</v>
      </c>
      <c r="AB34" s="195">
        <v>46388</v>
      </c>
      <c r="AC34" s="195">
        <v>46419</v>
      </c>
      <c r="AD34" s="195">
        <v>46447</v>
      </c>
      <c r="AE34" s="195">
        <v>46478</v>
      </c>
      <c r="AF34" s="195">
        <v>46508</v>
      </c>
      <c r="AG34" s="195">
        <v>46539</v>
      </c>
      <c r="AH34" s="195">
        <v>46569</v>
      </c>
      <c r="AI34" s="195">
        <v>46600</v>
      </c>
      <c r="AJ34" s="195">
        <v>46631</v>
      </c>
      <c r="AK34" s="195">
        <v>46661</v>
      </c>
      <c r="AL34" s="195">
        <v>46692</v>
      </c>
      <c r="AM34" s="195">
        <v>46722</v>
      </c>
      <c r="AN34" s="195">
        <v>46753</v>
      </c>
    </row>
    <row r="35" spans="2:40" s="7" customFormat="1" ht="12" customHeight="1">
      <c r="B35" s="237"/>
      <c r="C35" s="208"/>
      <c r="D35" s="208"/>
      <c r="E35" s="219" t="s">
        <v>753</v>
      </c>
      <c r="F35" s="219" t="s">
        <v>754</v>
      </c>
      <c r="G35" s="219" t="s">
        <v>755</v>
      </c>
      <c r="H35" s="219" t="s">
        <v>756</v>
      </c>
      <c r="I35" s="219" t="s">
        <v>757</v>
      </c>
      <c r="J35" s="219" t="s">
        <v>758</v>
      </c>
      <c r="K35" s="219" t="s">
        <v>759</v>
      </c>
      <c r="L35" s="219" t="s">
        <v>760</v>
      </c>
      <c r="M35" s="196" t="s">
        <v>761</v>
      </c>
      <c r="N35" s="196" t="s">
        <v>762</v>
      </c>
      <c r="O35" s="196" t="s">
        <v>763</v>
      </c>
      <c r="P35" s="196" t="s">
        <v>764</v>
      </c>
      <c r="Q35" s="196" t="s">
        <v>765</v>
      </c>
      <c r="R35" s="196" t="s">
        <v>766</v>
      </c>
      <c r="S35" s="196" t="s">
        <v>767</v>
      </c>
      <c r="T35" s="196" t="s">
        <v>768</v>
      </c>
      <c r="U35" s="196" t="s">
        <v>769</v>
      </c>
      <c r="V35" s="196" t="s">
        <v>770</v>
      </c>
      <c r="W35" s="196" t="s">
        <v>771</v>
      </c>
      <c r="X35" s="196" t="s">
        <v>772</v>
      </c>
      <c r="Y35" s="196" t="s">
        <v>773</v>
      </c>
      <c r="Z35" s="196" t="s">
        <v>774</v>
      </c>
      <c r="AA35" s="196" t="s">
        <v>775</v>
      </c>
      <c r="AB35" s="196" t="s">
        <v>776</v>
      </c>
      <c r="AC35" s="196" t="s">
        <v>777</v>
      </c>
      <c r="AD35" s="196" t="s">
        <v>778</v>
      </c>
      <c r="AE35" s="196" t="s">
        <v>779</v>
      </c>
      <c r="AF35" s="196" t="s">
        <v>780</v>
      </c>
      <c r="AG35" s="196" t="s">
        <v>781</v>
      </c>
      <c r="AH35" s="196" t="s">
        <v>782</v>
      </c>
      <c r="AI35" s="196" t="s">
        <v>783</v>
      </c>
      <c r="AJ35" s="196" t="s">
        <v>784</v>
      </c>
      <c r="AK35" s="196" t="s">
        <v>785</v>
      </c>
      <c r="AL35" s="196" t="s">
        <v>786</v>
      </c>
      <c r="AM35" s="196" t="s">
        <v>787</v>
      </c>
      <c r="AN35" s="196" t="s">
        <v>788</v>
      </c>
    </row>
    <row r="36" spans="2:40" ht="12" customHeight="1">
      <c r="B36" s="301" t="s">
        <v>903</v>
      </c>
      <c r="C36" s="302" t="s">
        <v>821</v>
      </c>
      <c r="D36" s="303"/>
      <c r="E36" s="304">
        <v>10016.75</v>
      </c>
      <c r="F36" s="304">
        <v>27136</v>
      </c>
      <c r="G36" s="304">
        <v>35836</v>
      </c>
      <c r="H36" s="304">
        <v>16714</v>
      </c>
      <c r="I36" s="304">
        <v>16157</v>
      </c>
      <c r="J36" s="304">
        <v>32173</v>
      </c>
      <c r="K36" s="304">
        <v>32718</v>
      </c>
      <c r="L36" s="304">
        <v>17143</v>
      </c>
      <c r="M36" s="305">
        <v>65000</v>
      </c>
      <c r="N36" s="305">
        <v>70000</v>
      </c>
      <c r="O36" s="305">
        <v>20000</v>
      </c>
      <c r="P36" s="305">
        <v>20000</v>
      </c>
      <c r="Q36" s="391">
        <f t="shared" ref="Q36:AB36" si="24">E36*Q37</f>
        <v>18030.150000000001</v>
      </c>
      <c r="R36" s="391">
        <f t="shared" si="24"/>
        <v>35276.800000000003</v>
      </c>
      <c r="S36" s="391">
        <f t="shared" si="24"/>
        <v>39419.600000000006</v>
      </c>
      <c r="T36" s="391">
        <f t="shared" si="24"/>
        <v>23399.599999999999</v>
      </c>
      <c r="U36" s="391">
        <f t="shared" si="24"/>
        <v>17772.7</v>
      </c>
      <c r="V36" s="391">
        <f t="shared" si="24"/>
        <v>41824.9</v>
      </c>
      <c r="W36" s="391">
        <f t="shared" si="24"/>
        <v>19630.8</v>
      </c>
      <c r="X36" s="391">
        <f t="shared" si="24"/>
        <v>20571.599999999999</v>
      </c>
      <c r="Y36" s="391">
        <f t="shared" si="24"/>
        <v>71500</v>
      </c>
      <c r="Z36" s="391">
        <f t="shared" si="24"/>
        <v>70000</v>
      </c>
      <c r="AA36" s="391">
        <f t="shared" si="24"/>
        <v>22000</v>
      </c>
      <c r="AB36" s="391">
        <f t="shared" si="24"/>
        <v>24000</v>
      </c>
      <c r="AC36" s="305">
        <f t="shared" ref="AC36:AN36" si="25">Q36*AC37</f>
        <v>18030.150000000001</v>
      </c>
      <c r="AD36" s="305">
        <f t="shared" si="25"/>
        <v>45859.840000000004</v>
      </c>
      <c r="AE36" s="305">
        <f t="shared" si="25"/>
        <v>43361.560000000012</v>
      </c>
      <c r="AF36" s="305">
        <f t="shared" si="25"/>
        <v>25739.56</v>
      </c>
      <c r="AG36" s="305">
        <f t="shared" si="25"/>
        <v>19549.97</v>
      </c>
      <c r="AH36" s="305">
        <f t="shared" si="25"/>
        <v>54372.37</v>
      </c>
      <c r="AI36" s="305">
        <f t="shared" si="25"/>
        <v>7852.32</v>
      </c>
      <c r="AJ36" s="305">
        <f t="shared" si="25"/>
        <v>22628.760000000002</v>
      </c>
      <c r="AK36" s="305">
        <f t="shared" si="25"/>
        <v>78650</v>
      </c>
      <c r="AL36" s="305">
        <f t="shared" si="25"/>
        <v>70000</v>
      </c>
      <c r="AM36" s="305">
        <f t="shared" si="25"/>
        <v>24200.000000000004</v>
      </c>
      <c r="AN36" s="305">
        <f t="shared" si="25"/>
        <v>28800</v>
      </c>
    </row>
    <row r="37" spans="2:40" ht="12" customHeight="1">
      <c r="B37" s="301"/>
      <c r="C37" s="302" t="s">
        <v>887</v>
      </c>
      <c r="D37" s="303"/>
      <c r="E37" s="306"/>
      <c r="F37" s="306"/>
      <c r="G37" s="306"/>
      <c r="H37" s="306"/>
      <c r="I37" s="306"/>
      <c r="J37" s="306"/>
      <c r="K37" s="306"/>
      <c r="L37" s="306"/>
      <c r="M37" s="305"/>
      <c r="N37" s="305"/>
      <c r="O37" s="305"/>
      <c r="P37" s="305"/>
      <c r="Q37" s="392">
        <v>1.8</v>
      </c>
      <c r="R37" s="392">
        <v>1.3</v>
      </c>
      <c r="S37" s="392">
        <v>1.1000000000000001</v>
      </c>
      <c r="T37" s="392">
        <v>1.4</v>
      </c>
      <c r="U37" s="392">
        <v>1.1000000000000001</v>
      </c>
      <c r="V37" s="392">
        <v>1.3</v>
      </c>
      <c r="W37" s="392">
        <v>0.6</v>
      </c>
      <c r="X37" s="392">
        <v>1.2</v>
      </c>
      <c r="Y37" s="392">
        <v>1.1000000000000001</v>
      </c>
      <c r="Z37" s="392">
        <v>1</v>
      </c>
      <c r="AA37" s="392">
        <v>1.1000000000000001</v>
      </c>
      <c r="AB37" s="392">
        <v>1.2</v>
      </c>
      <c r="AC37" s="360">
        <v>1</v>
      </c>
      <c r="AD37" s="360">
        <v>1.3</v>
      </c>
      <c r="AE37" s="360">
        <v>1.1000000000000001</v>
      </c>
      <c r="AF37" s="360">
        <v>1.1000000000000001</v>
      </c>
      <c r="AG37" s="360">
        <v>1.1000000000000001</v>
      </c>
      <c r="AH37" s="360">
        <v>1.3</v>
      </c>
      <c r="AI37" s="360">
        <v>0.4</v>
      </c>
      <c r="AJ37" s="360">
        <v>1.1000000000000001</v>
      </c>
      <c r="AK37" s="360">
        <v>1.1000000000000001</v>
      </c>
      <c r="AL37" s="360">
        <v>1</v>
      </c>
      <c r="AM37" s="360">
        <v>1.1000000000000001</v>
      </c>
      <c r="AN37" s="360">
        <v>1.2</v>
      </c>
    </row>
    <row r="38" spans="2:40">
      <c r="C38" s="307" t="s">
        <v>822</v>
      </c>
      <c r="D38" s="303"/>
    </row>
    <row r="39" spans="2:40">
      <c r="C39" s="308" t="s">
        <v>751</v>
      </c>
      <c r="E39" s="309"/>
      <c r="F39" s="309"/>
      <c r="G39" s="309"/>
      <c r="H39" s="309"/>
      <c r="I39" s="309"/>
      <c r="J39" s="306"/>
      <c r="K39" s="306"/>
      <c r="L39" s="306"/>
      <c r="M39" s="310">
        <f t="shared" ref="M39:AN39" si="26">L39</f>
        <v>0</v>
      </c>
      <c r="N39" s="310">
        <f t="shared" si="26"/>
        <v>0</v>
      </c>
      <c r="O39" s="310">
        <f t="shared" si="26"/>
        <v>0</v>
      </c>
      <c r="P39" s="310">
        <f t="shared" si="26"/>
        <v>0</v>
      </c>
      <c r="Q39" s="393">
        <v>0</v>
      </c>
      <c r="R39" s="393">
        <v>0</v>
      </c>
      <c r="S39" s="393">
        <v>0</v>
      </c>
      <c r="T39" s="393">
        <v>0</v>
      </c>
      <c r="U39" s="393">
        <v>0</v>
      </c>
      <c r="V39" s="393">
        <v>0</v>
      </c>
      <c r="W39" s="393">
        <v>0</v>
      </c>
      <c r="X39" s="393">
        <v>0</v>
      </c>
      <c r="Y39" s="393">
        <v>0</v>
      </c>
      <c r="Z39" s="393">
        <v>0</v>
      </c>
      <c r="AA39" s="393">
        <v>0</v>
      </c>
      <c r="AB39" s="393">
        <v>0</v>
      </c>
      <c r="AC39" s="310">
        <f t="shared" si="26"/>
        <v>0</v>
      </c>
      <c r="AD39" s="310">
        <f t="shared" si="26"/>
        <v>0</v>
      </c>
      <c r="AE39" s="310">
        <f t="shared" si="26"/>
        <v>0</v>
      </c>
      <c r="AF39" s="310">
        <f t="shared" si="26"/>
        <v>0</v>
      </c>
      <c r="AG39" s="310">
        <f t="shared" si="26"/>
        <v>0</v>
      </c>
      <c r="AH39" s="310">
        <f t="shared" si="26"/>
        <v>0</v>
      </c>
      <c r="AI39" s="310">
        <f t="shared" si="26"/>
        <v>0</v>
      </c>
      <c r="AJ39" s="310">
        <f t="shared" si="26"/>
        <v>0</v>
      </c>
      <c r="AK39" s="310">
        <f t="shared" si="26"/>
        <v>0</v>
      </c>
      <c r="AL39" s="310">
        <f t="shared" si="26"/>
        <v>0</v>
      </c>
      <c r="AM39" s="310">
        <f t="shared" si="26"/>
        <v>0</v>
      </c>
      <c r="AN39" s="310">
        <f t="shared" si="26"/>
        <v>0</v>
      </c>
    </row>
    <row r="40" spans="2:40">
      <c r="C40" s="308" t="s">
        <v>823</v>
      </c>
      <c r="E40" s="309"/>
      <c r="F40" s="309"/>
      <c r="G40" s="309"/>
      <c r="H40" s="309"/>
      <c r="I40" s="309"/>
      <c r="J40" s="306"/>
      <c r="K40" s="306"/>
      <c r="L40" s="306"/>
      <c r="M40" s="310">
        <v>0.17</v>
      </c>
      <c r="N40" s="310">
        <f t="shared" ref="N40:AN40" si="27">M40</f>
        <v>0.17</v>
      </c>
      <c r="O40" s="310">
        <f t="shared" si="27"/>
        <v>0.17</v>
      </c>
      <c r="P40" s="310">
        <f t="shared" si="27"/>
        <v>0.17</v>
      </c>
      <c r="Q40" s="393">
        <v>0.2</v>
      </c>
      <c r="R40" s="393">
        <v>0.2</v>
      </c>
      <c r="S40" s="393">
        <v>0.2</v>
      </c>
      <c r="T40" s="393">
        <v>0.2</v>
      </c>
      <c r="U40" s="393">
        <v>0.2</v>
      </c>
      <c r="V40" s="393">
        <v>0.2</v>
      </c>
      <c r="W40" s="393">
        <v>0.2</v>
      </c>
      <c r="X40" s="393">
        <v>0.2</v>
      </c>
      <c r="Y40" s="393">
        <v>0.2</v>
      </c>
      <c r="Z40" s="393">
        <v>0.2</v>
      </c>
      <c r="AA40" s="393">
        <v>0.2</v>
      </c>
      <c r="AB40" s="393">
        <v>0.2</v>
      </c>
      <c r="AC40" s="310">
        <f t="shared" si="27"/>
        <v>0.2</v>
      </c>
      <c r="AD40" s="310">
        <f t="shared" si="27"/>
        <v>0.2</v>
      </c>
      <c r="AE40" s="310">
        <f t="shared" si="27"/>
        <v>0.2</v>
      </c>
      <c r="AF40" s="310">
        <f t="shared" si="27"/>
        <v>0.2</v>
      </c>
      <c r="AG40" s="310">
        <f t="shared" si="27"/>
        <v>0.2</v>
      </c>
      <c r="AH40" s="310">
        <f t="shared" si="27"/>
        <v>0.2</v>
      </c>
      <c r="AI40" s="310">
        <f t="shared" si="27"/>
        <v>0.2</v>
      </c>
      <c r="AJ40" s="310">
        <f t="shared" si="27"/>
        <v>0.2</v>
      </c>
      <c r="AK40" s="310">
        <f t="shared" si="27"/>
        <v>0.2</v>
      </c>
      <c r="AL40" s="310">
        <f t="shared" si="27"/>
        <v>0.2</v>
      </c>
      <c r="AM40" s="310">
        <f t="shared" si="27"/>
        <v>0.2</v>
      </c>
      <c r="AN40" s="310">
        <f t="shared" si="27"/>
        <v>0.2</v>
      </c>
    </row>
    <row r="41" spans="2:40">
      <c r="C41" s="308" t="s">
        <v>824</v>
      </c>
      <c r="E41" s="309"/>
      <c r="F41" s="309"/>
      <c r="G41" s="309"/>
      <c r="H41" s="309"/>
      <c r="I41" s="309"/>
      <c r="J41" s="306"/>
      <c r="K41" s="306"/>
      <c r="L41" s="306"/>
      <c r="M41" s="310">
        <v>0.83</v>
      </c>
      <c r="N41" s="310">
        <v>0.83</v>
      </c>
      <c r="O41" s="310">
        <v>0.83</v>
      </c>
      <c r="P41" s="310">
        <v>0.83</v>
      </c>
      <c r="Q41" s="393">
        <v>0.8</v>
      </c>
      <c r="R41" s="393">
        <v>0.8</v>
      </c>
      <c r="S41" s="393">
        <v>0.8</v>
      </c>
      <c r="T41" s="393">
        <v>0.8</v>
      </c>
      <c r="U41" s="393">
        <v>0.8</v>
      </c>
      <c r="V41" s="393">
        <v>0.8</v>
      </c>
      <c r="W41" s="393">
        <v>0.8</v>
      </c>
      <c r="X41" s="393">
        <v>0.8</v>
      </c>
      <c r="Y41" s="393">
        <v>0.8</v>
      </c>
      <c r="Z41" s="393">
        <v>0.8</v>
      </c>
      <c r="AA41" s="393">
        <v>0.8</v>
      </c>
      <c r="AB41" s="393">
        <v>0.8</v>
      </c>
      <c r="AC41" s="310">
        <v>0.83</v>
      </c>
      <c r="AD41" s="310">
        <v>0.83</v>
      </c>
      <c r="AE41" s="310">
        <v>0.83</v>
      </c>
      <c r="AF41" s="310">
        <v>0.83</v>
      </c>
      <c r="AG41" s="310">
        <v>0.83</v>
      </c>
      <c r="AH41" s="310">
        <v>0.83</v>
      </c>
      <c r="AI41" s="310">
        <v>0.83</v>
      </c>
      <c r="AJ41" s="310">
        <v>0.83</v>
      </c>
      <c r="AK41" s="310">
        <v>0.83</v>
      </c>
      <c r="AL41" s="310">
        <v>0.83</v>
      </c>
      <c r="AM41" s="310">
        <v>0.83</v>
      </c>
      <c r="AN41" s="310">
        <v>0.83</v>
      </c>
    </row>
    <row r="42" spans="2:40">
      <c r="J42" s="306"/>
      <c r="K42" s="306"/>
      <c r="L42" s="306"/>
      <c r="M42" s="311"/>
      <c r="N42" s="311"/>
      <c r="O42" s="311"/>
      <c r="P42" s="311"/>
      <c r="Q42" s="311"/>
      <c r="R42" s="311"/>
      <c r="S42" s="311"/>
      <c r="T42" s="311"/>
      <c r="U42" s="311"/>
      <c r="V42" s="311"/>
      <c r="W42" s="311"/>
      <c r="X42" s="311"/>
      <c r="Y42" s="311"/>
      <c r="Z42" s="311"/>
      <c r="AA42" s="311"/>
      <c r="AB42" s="311"/>
      <c r="AC42" s="311"/>
      <c r="AD42" s="311"/>
      <c r="AE42" s="311"/>
      <c r="AF42" s="311"/>
      <c r="AG42" s="311"/>
      <c r="AH42" s="311"/>
      <c r="AI42" s="311"/>
      <c r="AJ42" s="311"/>
      <c r="AK42" s="311"/>
      <c r="AL42" s="311"/>
      <c r="AM42" s="311"/>
      <c r="AN42" s="311"/>
    </row>
    <row r="43" spans="2:40" s="207" customFormat="1">
      <c r="C43" s="242" t="s">
        <v>825</v>
      </c>
    </row>
    <row r="44" spans="2:40" s="7" customFormat="1" ht="12" customHeight="1">
      <c r="B44" s="235"/>
      <c r="C44" s="208"/>
      <c r="D44" s="208"/>
      <c r="E44" s="196" t="s">
        <v>753</v>
      </c>
      <c r="F44" s="196" t="s">
        <v>754</v>
      </c>
      <c r="G44" s="196" t="s">
        <v>755</v>
      </c>
      <c r="H44" s="196" t="s">
        <v>756</v>
      </c>
      <c r="I44" s="196" t="s">
        <v>757</v>
      </c>
      <c r="J44" s="196" t="s">
        <v>758</v>
      </c>
      <c r="K44" s="196" t="s">
        <v>759</v>
      </c>
      <c r="L44" s="196" t="s">
        <v>760</v>
      </c>
      <c r="M44" s="196" t="s">
        <v>761</v>
      </c>
      <c r="N44" s="196" t="s">
        <v>762</v>
      </c>
      <c r="O44" s="196" t="s">
        <v>763</v>
      </c>
      <c r="P44" s="196" t="s">
        <v>764</v>
      </c>
      <c r="Q44" s="196" t="s">
        <v>765</v>
      </c>
      <c r="R44" s="196" t="s">
        <v>766</v>
      </c>
      <c r="S44" s="196" t="s">
        <v>767</v>
      </c>
      <c r="T44" s="196" t="s">
        <v>768</v>
      </c>
      <c r="U44" s="196" t="s">
        <v>769</v>
      </c>
      <c r="V44" s="196" t="s">
        <v>770</v>
      </c>
      <c r="W44" s="196" t="s">
        <v>771</v>
      </c>
      <c r="X44" s="196" t="s">
        <v>772</v>
      </c>
      <c r="Y44" s="196" t="s">
        <v>773</v>
      </c>
      <c r="Z44" s="196" t="s">
        <v>774</v>
      </c>
      <c r="AA44" s="196" t="s">
        <v>775</v>
      </c>
      <c r="AB44" s="196" t="s">
        <v>776</v>
      </c>
      <c r="AC44" s="196" t="s">
        <v>777</v>
      </c>
      <c r="AD44" s="196" t="s">
        <v>778</v>
      </c>
      <c r="AE44" s="196" t="s">
        <v>779</v>
      </c>
      <c r="AF44" s="196" t="s">
        <v>780</v>
      </c>
      <c r="AG44" s="196" t="s">
        <v>781</v>
      </c>
      <c r="AH44" s="196" t="s">
        <v>782</v>
      </c>
      <c r="AI44" s="196" t="s">
        <v>783</v>
      </c>
      <c r="AJ44" s="196" t="s">
        <v>784</v>
      </c>
      <c r="AK44" s="196" t="s">
        <v>785</v>
      </c>
      <c r="AL44" s="196" t="s">
        <v>786</v>
      </c>
      <c r="AM44" s="196" t="s">
        <v>787</v>
      </c>
      <c r="AN44" s="196" t="s">
        <v>788</v>
      </c>
    </row>
    <row r="45" spans="2:40" s="7" customFormat="1" ht="12" customHeight="1">
      <c r="B45" s="239"/>
      <c r="C45" s="214" t="s">
        <v>821</v>
      </c>
      <c r="D45" s="212"/>
      <c r="E45" s="361"/>
      <c r="F45" s="361"/>
      <c r="G45" s="361"/>
      <c r="H45" s="361"/>
      <c r="I45" s="361"/>
      <c r="J45" s="361"/>
      <c r="K45" s="361"/>
      <c r="L45" s="361"/>
      <c r="M45" s="337">
        <f t="shared" ref="M45:AN45" si="28">M36*M39</f>
        <v>0</v>
      </c>
      <c r="N45" s="337">
        <f t="shared" si="28"/>
        <v>0</v>
      </c>
      <c r="O45" s="337">
        <f t="shared" si="28"/>
        <v>0</v>
      </c>
      <c r="P45" s="337">
        <f t="shared" si="28"/>
        <v>0</v>
      </c>
      <c r="Q45" s="337">
        <f t="shared" si="28"/>
        <v>0</v>
      </c>
      <c r="R45" s="337">
        <f t="shared" si="28"/>
        <v>0</v>
      </c>
      <c r="S45" s="337">
        <f t="shared" si="28"/>
        <v>0</v>
      </c>
      <c r="T45" s="337">
        <f t="shared" si="28"/>
        <v>0</v>
      </c>
      <c r="U45" s="337">
        <f t="shared" si="28"/>
        <v>0</v>
      </c>
      <c r="V45" s="337">
        <f t="shared" si="28"/>
        <v>0</v>
      </c>
      <c r="W45" s="337">
        <f t="shared" si="28"/>
        <v>0</v>
      </c>
      <c r="X45" s="337">
        <f t="shared" si="28"/>
        <v>0</v>
      </c>
      <c r="Y45" s="337">
        <f t="shared" si="28"/>
        <v>0</v>
      </c>
      <c r="Z45" s="337">
        <f t="shared" si="28"/>
        <v>0</v>
      </c>
      <c r="AA45" s="337">
        <f t="shared" si="28"/>
        <v>0</v>
      </c>
      <c r="AB45" s="337">
        <f t="shared" si="28"/>
        <v>0</v>
      </c>
      <c r="AC45" s="337">
        <f t="shared" si="28"/>
        <v>0</v>
      </c>
      <c r="AD45" s="337">
        <f t="shared" si="28"/>
        <v>0</v>
      </c>
      <c r="AE45" s="337">
        <f t="shared" si="28"/>
        <v>0</v>
      </c>
      <c r="AF45" s="337">
        <f t="shared" si="28"/>
        <v>0</v>
      </c>
      <c r="AG45" s="337">
        <f t="shared" si="28"/>
        <v>0</v>
      </c>
      <c r="AH45" s="337">
        <f t="shared" si="28"/>
        <v>0</v>
      </c>
      <c r="AI45" s="337">
        <f t="shared" si="28"/>
        <v>0</v>
      </c>
      <c r="AJ45" s="337">
        <f t="shared" si="28"/>
        <v>0</v>
      </c>
      <c r="AK45" s="337">
        <f t="shared" si="28"/>
        <v>0</v>
      </c>
      <c r="AL45" s="337">
        <f t="shared" si="28"/>
        <v>0</v>
      </c>
      <c r="AM45" s="337">
        <f t="shared" si="28"/>
        <v>0</v>
      </c>
      <c r="AN45" s="337">
        <f t="shared" si="28"/>
        <v>0</v>
      </c>
    </row>
    <row r="46" spans="2:40" ht="12" customHeight="1">
      <c r="B46" s="301" t="s">
        <v>856</v>
      </c>
      <c r="C46" s="303" t="s">
        <v>827</v>
      </c>
      <c r="D46" s="302"/>
      <c r="E46" s="312"/>
      <c r="F46" s="312"/>
      <c r="G46" s="312"/>
      <c r="H46" s="312"/>
      <c r="I46" s="312"/>
      <c r="J46" s="312"/>
      <c r="K46" s="312"/>
      <c r="L46" s="312"/>
      <c r="M46" s="313">
        <v>84.6</v>
      </c>
      <c r="N46" s="313">
        <v>84.6</v>
      </c>
      <c r="O46" s="313">
        <v>84.6</v>
      </c>
      <c r="P46" s="313">
        <v>84.6</v>
      </c>
      <c r="Q46" s="313">
        <v>84.6</v>
      </c>
      <c r="R46" s="313">
        <v>84.6</v>
      </c>
      <c r="S46" s="313">
        <v>84.6</v>
      </c>
      <c r="T46" s="313">
        <v>84.6</v>
      </c>
      <c r="U46" s="313">
        <v>84.6</v>
      </c>
      <c r="V46" s="313">
        <v>84.6</v>
      </c>
      <c r="W46" s="313">
        <v>84.6</v>
      </c>
      <c r="X46" s="313">
        <v>84.6</v>
      </c>
      <c r="Y46" s="313">
        <v>84.6</v>
      </c>
      <c r="Z46" s="313">
        <v>84.6</v>
      </c>
      <c r="AA46" s="313">
        <v>84.6</v>
      </c>
      <c r="AB46" s="313">
        <v>84.6</v>
      </c>
      <c r="AC46" s="313">
        <v>84.6</v>
      </c>
      <c r="AD46" s="313">
        <v>84.6</v>
      </c>
      <c r="AE46" s="313">
        <v>84.6</v>
      </c>
      <c r="AF46" s="313">
        <v>84.6</v>
      </c>
      <c r="AG46" s="313">
        <v>84.6</v>
      </c>
      <c r="AH46" s="313">
        <v>84.6</v>
      </c>
      <c r="AI46" s="313">
        <v>84.6</v>
      </c>
      <c r="AJ46" s="313">
        <v>84.6</v>
      </c>
      <c r="AK46" s="313">
        <v>84.6</v>
      </c>
      <c r="AL46" s="313">
        <v>84.6</v>
      </c>
      <c r="AM46" s="313">
        <v>84.6</v>
      </c>
      <c r="AN46" s="313">
        <v>84.6</v>
      </c>
    </row>
    <row r="47" spans="2:40" s="7" customFormat="1" ht="12" customHeight="1">
      <c r="B47" s="239" t="s">
        <v>828</v>
      </c>
      <c r="C47" s="214" t="s">
        <v>829</v>
      </c>
      <c r="D47" s="212"/>
      <c r="E47" s="361"/>
      <c r="F47" s="361"/>
      <c r="G47" s="361"/>
      <c r="H47" s="361"/>
      <c r="I47" s="361"/>
      <c r="J47" s="361"/>
      <c r="K47" s="361"/>
      <c r="L47" s="361"/>
      <c r="M47" s="205">
        <f t="shared" ref="M47:AN47" si="29">M45/M46</f>
        <v>0</v>
      </c>
      <c r="N47" s="205">
        <f t="shared" si="29"/>
        <v>0</v>
      </c>
      <c r="O47" s="205">
        <f t="shared" si="29"/>
        <v>0</v>
      </c>
      <c r="P47" s="205">
        <f t="shared" si="29"/>
        <v>0</v>
      </c>
      <c r="Q47" s="205">
        <f t="shared" si="29"/>
        <v>0</v>
      </c>
      <c r="R47" s="205">
        <f t="shared" si="29"/>
        <v>0</v>
      </c>
      <c r="S47" s="205">
        <f t="shared" si="29"/>
        <v>0</v>
      </c>
      <c r="T47" s="205">
        <f t="shared" si="29"/>
        <v>0</v>
      </c>
      <c r="U47" s="205">
        <f t="shared" si="29"/>
        <v>0</v>
      </c>
      <c r="V47" s="205">
        <f t="shared" si="29"/>
        <v>0</v>
      </c>
      <c r="W47" s="205">
        <f t="shared" si="29"/>
        <v>0</v>
      </c>
      <c r="X47" s="205">
        <f t="shared" si="29"/>
        <v>0</v>
      </c>
      <c r="Y47" s="205">
        <f t="shared" si="29"/>
        <v>0</v>
      </c>
      <c r="Z47" s="205">
        <f t="shared" si="29"/>
        <v>0</v>
      </c>
      <c r="AA47" s="205">
        <f t="shared" si="29"/>
        <v>0</v>
      </c>
      <c r="AB47" s="205">
        <f t="shared" si="29"/>
        <v>0</v>
      </c>
      <c r="AC47" s="205">
        <f t="shared" si="29"/>
        <v>0</v>
      </c>
      <c r="AD47" s="205">
        <f t="shared" si="29"/>
        <v>0</v>
      </c>
      <c r="AE47" s="205">
        <f t="shared" si="29"/>
        <v>0</v>
      </c>
      <c r="AF47" s="205">
        <f t="shared" si="29"/>
        <v>0</v>
      </c>
      <c r="AG47" s="205">
        <f t="shared" si="29"/>
        <v>0</v>
      </c>
      <c r="AH47" s="205">
        <f t="shared" si="29"/>
        <v>0</v>
      </c>
      <c r="AI47" s="205">
        <f t="shared" si="29"/>
        <v>0</v>
      </c>
      <c r="AJ47" s="205">
        <f t="shared" si="29"/>
        <v>0</v>
      </c>
      <c r="AK47" s="205">
        <f t="shared" si="29"/>
        <v>0</v>
      </c>
      <c r="AL47" s="205">
        <f t="shared" si="29"/>
        <v>0</v>
      </c>
      <c r="AM47" s="205">
        <f t="shared" si="29"/>
        <v>0</v>
      </c>
      <c r="AN47" s="205">
        <f t="shared" si="29"/>
        <v>0</v>
      </c>
    </row>
    <row r="48" spans="2:40" ht="12" customHeight="1">
      <c r="B48" s="301"/>
      <c r="C48" s="303" t="s">
        <v>830</v>
      </c>
      <c r="D48" s="302"/>
      <c r="E48" s="314">
        <v>0</v>
      </c>
      <c r="F48" s="314">
        <v>0</v>
      </c>
      <c r="G48" s="314">
        <v>0</v>
      </c>
      <c r="H48" s="314">
        <v>0</v>
      </c>
      <c r="I48" s="314">
        <v>0</v>
      </c>
      <c r="J48" s="314">
        <v>0</v>
      </c>
      <c r="K48" s="314">
        <v>0</v>
      </c>
      <c r="L48" s="314">
        <v>0</v>
      </c>
      <c r="M48" s="315">
        <v>0</v>
      </c>
      <c r="N48" s="315">
        <v>0</v>
      </c>
      <c r="O48" s="315">
        <v>0</v>
      </c>
      <c r="P48" s="315">
        <v>0</v>
      </c>
      <c r="Q48" s="315">
        <v>0</v>
      </c>
      <c r="R48" s="315">
        <f>Q48</f>
        <v>0</v>
      </c>
      <c r="S48" s="315">
        <f t="shared" ref="S48:AN48" si="30">R48</f>
        <v>0</v>
      </c>
      <c r="T48" s="315">
        <f t="shared" si="30"/>
        <v>0</v>
      </c>
      <c r="U48" s="315">
        <v>0.1</v>
      </c>
      <c r="V48" s="315">
        <f t="shared" si="30"/>
        <v>0.1</v>
      </c>
      <c r="W48" s="315">
        <v>0.2</v>
      </c>
      <c r="X48" s="315">
        <f t="shared" si="30"/>
        <v>0.2</v>
      </c>
      <c r="Y48" s="315">
        <v>0</v>
      </c>
      <c r="Z48" s="315">
        <f t="shared" si="30"/>
        <v>0</v>
      </c>
      <c r="AA48" s="315">
        <f t="shared" si="30"/>
        <v>0</v>
      </c>
      <c r="AB48" s="315">
        <f t="shared" si="30"/>
        <v>0</v>
      </c>
      <c r="AC48" s="315">
        <f t="shared" si="30"/>
        <v>0</v>
      </c>
      <c r="AD48" s="315">
        <f t="shared" si="30"/>
        <v>0</v>
      </c>
      <c r="AE48" s="315">
        <f t="shared" si="30"/>
        <v>0</v>
      </c>
      <c r="AF48" s="315">
        <f t="shared" si="30"/>
        <v>0</v>
      </c>
      <c r="AG48" s="315">
        <f t="shared" si="30"/>
        <v>0</v>
      </c>
      <c r="AH48" s="315">
        <f t="shared" si="30"/>
        <v>0</v>
      </c>
      <c r="AI48" s="315">
        <f t="shared" si="30"/>
        <v>0</v>
      </c>
      <c r="AJ48" s="315">
        <f t="shared" si="30"/>
        <v>0</v>
      </c>
      <c r="AK48" s="315">
        <f t="shared" si="30"/>
        <v>0</v>
      </c>
      <c r="AL48" s="315">
        <f t="shared" si="30"/>
        <v>0</v>
      </c>
      <c r="AM48" s="315">
        <f t="shared" si="30"/>
        <v>0</v>
      </c>
      <c r="AN48" s="315">
        <f t="shared" si="30"/>
        <v>0</v>
      </c>
    </row>
    <row r="49" spans="2:40" s="7" customFormat="1" ht="12" customHeight="1">
      <c r="B49" s="239"/>
      <c r="C49" s="214" t="s">
        <v>831</v>
      </c>
      <c r="D49" s="212"/>
      <c r="E49" s="232">
        <f t="shared" ref="E49:I49" si="31">E47*E48</f>
        <v>0</v>
      </c>
      <c r="F49" s="232">
        <f t="shared" si="31"/>
        <v>0</v>
      </c>
      <c r="G49" s="232">
        <f t="shared" si="31"/>
        <v>0</v>
      </c>
      <c r="H49" s="232">
        <f t="shared" si="31"/>
        <v>0</v>
      </c>
      <c r="I49" s="232">
        <f t="shared" si="31"/>
        <v>0</v>
      </c>
      <c r="J49" s="232">
        <f t="shared" ref="J49:AN49" si="32">J47*J48</f>
        <v>0</v>
      </c>
      <c r="K49" s="232">
        <f t="shared" si="32"/>
        <v>0</v>
      </c>
      <c r="L49" s="232">
        <f t="shared" si="32"/>
        <v>0</v>
      </c>
      <c r="M49" s="205">
        <f t="shared" si="32"/>
        <v>0</v>
      </c>
      <c r="N49" s="205">
        <f t="shared" si="32"/>
        <v>0</v>
      </c>
      <c r="O49" s="205">
        <f t="shared" si="32"/>
        <v>0</v>
      </c>
      <c r="P49" s="205">
        <f t="shared" si="32"/>
        <v>0</v>
      </c>
      <c r="Q49" s="205">
        <f t="shared" si="32"/>
        <v>0</v>
      </c>
      <c r="R49" s="205">
        <f t="shared" si="32"/>
        <v>0</v>
      </c>
      <c r="S49" s="205">
        <f t="shared" si="32"/>
        <v>0</v>
      </c>
      <c r="T49" s="205">
        <f t="shared" si="32"/>
        <v>0</v>
      </c>
      <c r="U49" s="205">
        <f t="shared" si="32"/>
        <v>0</v>
      </c>
      <c r="V49" s="205">
        <f t="shared" si="32"/>
        <v>0</v>
      </c>
      <c r="W49" s="205">
        <f t="shared" si="32"/>
        <v>0</v>
      </c>
      <c r="X49" s="205">
        <f t="shared" si="32"/>
        <v>0</v>
      </c>
      <c r="Y49" s="205">
        <f t="shared" si="32"/>
        <v>0</v>
      </c>
      <c r="Z49" s="205">
        <f t="shared" si="32"/>
        <v>0</v>
      </c>
      <c r="AA49" s="205">
        <f t="shared" si="32"/>
        <v>0</v>
      </c>
      <c r="AB49" s="205">
        <f t="shared" si="32"/>
        <v>0</v>
      </c>
      <c r="AC49" s="205">
        <f t="shared" si="32"/>
        <v>0</v>
      </c>
      <c r="AD49" s="205">
        <f t="shared" si="32"/>
        <v>0</v>
      </c>
      <c r="AE49" s="205">
        <f t="shared" si="32"/>
        <v>0</v>
      </c>
      <c r="AF49" s="205">
        <f t="shared" si="32"/>
        <v>0</v>
      </c>
      <c r="AG49" s="205">
        <f t="shared" si="32"/>
        <v>0</v>
      </c>
      <c r="AH49" s="205">
        <f t="shared" si="32"/>
        <v>0</v>
      </c>
      <c r="AI49" s="205">
        <f t="shared" si="32"/>
        <v>0</v>
      </c>
      <c r="AJ49" s="205">
        <f t="shared" si="32"/>
        <v>0</v>
      </c>
      <c r="AK49" s="205">
        <f t="shared" si="32"/>
        <v>0</v>
      </c>
      <c r="AL49" s="205">
        <f t="shared" si="32"/>
        <v>0</v>
      </c>
      <c r="AM49" s="205">
        <f t="shared" si="32"/>
        <v>0</v>
      </c>
      <c r="AN49" s="205">
        <f t="shared" si="32"/>
        <v>0</v>
      </c>
    </row>
    <row r="50" spans="2:40" s="7" customFormat="1" ht="12" customHeight="1">
      <c r="B50" s="239" t="s">
        <v>904</v>
      </c>
      <c r="C50" s="214" t="s">
        <v>833</v>
      </c>
      <c r="D50" s="212"/>
      <c r="E50" s="232">
        <f>4+6</f>
        <v>10</v>
      </c>
      <c r="F50" s="232">
        <v>5</v>
      </c>
      <c r="G50" s="232">
        <v>6</v>
      </c>
      <c r="H50" s="232">
        <f>11+12</f>
        <v>23</v>
      </c>
      <c r="I50" s="232">
        <v>3</v>
      </c>
      <c r="J50" s="232">
        <f>5+3</f>
        <v>8</v>
      </c>
      <c r="K50" s="232">
        <f>4+6</f>
        <v>10</v>
      </c>
      <c r="L50" s="232">
        <v>3</v>
      </c>
      <c r="M50" s="205">
        <f t="shared" ref="M50:AN50" si="33">M47+M49</f>
        <v>0</v>
      </c>
      <c r="N50" s="205">
        <f t="shared" si="33"/>
        <v>0</v>
      </c>
      <c r="O50" s="205">
        <f t="shared" si="33"/>
        <v>0</v>
      </c>
      <c r="P50" s="205">
        <f t="shared" si="33"/>
        <v>0</v>
      </c>
      <c r="Q50" s="205">
        <f t="shared" si="33"/>
        <v>0</v>
      </c>
      <c r="R50" s="205">
        <f t="shared" si="33"/>
        <v>0</v>
      </c>
      <c r="S50" s="205">
        <f>S47+S49</f>
        <v>0</v>
      </c>
      <c r="T50" s="205">
        <f t="shared" si="33"/>
        <v>0</v>
      </c>
      <c r="U50" s="205">
        <f t="shared" si="33"/>
        <v>0</v>
      </c>
      <c r="V50" s="205">
        <f t="shared" si="33"/>
        <v>0</v>
      </c>
      <c r="W50" s="205">
        <f t="shared" si="33"/>
        <v>0</v>
      </c>
      <c r="X50" s="205">
        <f t="shared" si="33"/>
        <v>0</v>
      </c>
      <c r="Y50" s="205">
        <f t="shared" si="33"/>
        <v>0</v>
      </c>
      <c r="Z50" s="205">
        <f t="shared" si="33"/>
        <v>0</v>
      </c>
      <c r="AA50" s="205">
        <f t="shared" si="33"/>
        <v>0</v>
      </c>
      <c r="AB50" s="205">
        <f t="shared" si="33"/>
        <v>0</v>
      </c>
      <c r="AC50" s="205">
        <f t="shared" si="33"/>
        <v>0</v>
      </c>
      <c r="AD50" s="205">
        <f t="shared" si="33"/>
        <v>0</v>
      </c>
      <c r="AE50" s="205">
        <f t="shared" si="33"/>
        <v>0</v>
      </c>
      <c r="AF50" s="205">
        <f t="shared" si="33"/>
        <v>0</v>
      </c>
      <c r="AG50" s="205">
        <f t="shared" si="33"/>
        <v>0</v>
      </c>
      <c r="AH50" s="205">
        <f t="shared" si="33"/>
        <v>0</v>
      </c>
      <c r="AI50" s="205">
        <f t="shared" si="33"/>
        <v>0</v>
      </c>
      <c r="AJ50" s="205">
        <f t="shared" si="33"/>
        <v>0</v>
      </c>
      <c r="AK50" s="205">
        <f t="shared" si="33"/>
        <v>0</v>
      </c>
      <c r="AL50" s="205">
        <f t="shared" si="33"/>
        <v>0</v>
      </c>
      <c r="AM50" s="205">
        <f t="shared" si="33"/>
        <v>0</v>
      </c>
      <c r="AN50" s="205">
        <f t="shared" si="33"/>
        <v>0</v>
      </c>
    </row>
    <row r="51" spans="2:40" s="7" customFormat="1" ht="12" customHeight="1">
      <c r="B51" s="239"/>
      <c r="C51" s="214" t="s">
        <v>834</v>
      </c>
      <c r="D51" s="212"/>
      <c r="E51" s="232">
        <v>6</v>
      </c>
      <c r="F51" s="232">
        <v>3</v>
      </c>
      <c r="G51" s="232">
        <v>3</v>
      </c>
      <c r="H51" s="232">
        <v>12</v>
      </c>
      <c r="I51" s="232">
        <v>2</v>
      </c>
      <c r="J51" s="232">
        <v>3</v>
      </c>
      <c r="K51" s="232">
        <v>6</v>
      </c>
      <c r="L51" s="232">
        <v>1</v>
      </c>
      <c r="M51" s="205">
        <f t="shared" ref="M51:AN51" si="34">M59+M60</f>
        <v>0</v>
      </c>
      <c r="N51" s="205">
        <f t="shared" si="34"/>
        <v>0</v>
      </c>
      <c r="O51" s="205">
        <f t="shared" si="34"/>
        <v>0</v>
      </c>
      <c r="P51" s="205">
        <f t="shared" si="34"/>
        <v>0</v>
      </c>
      <c r="Q51" s="205">
        <f t="shared" si="34"/>
        <v>0</v>
      </c>
      <c r="R51" s="205">
        <f t="shared" si="34"/>
        <v>0</v>
      </c>
      <c r="S51" s="205">
        <f t="shared" si="34"/>
        <v>0</v>
      </c>
      <c r="T51" s="205">
        <f t="shared" si="34"/>
        <v>0</v>
      </c>
      <c r="U51" s="205">
        <f t="shared" si="34"/>
        <v>0</v>
      </c>
      <c r="V51" s="205">
        <f t="shared" si="34"/>
        <v>0</v>
      </c>
      <c r="W51" s="205">
        <f t="shared" si="34"/>
        <v>0</v>
      </c>
      <c r="X51" s="205">
        <f t="shared" si="34"/>
        <v>0</v>
      </c>
      <c r="Y51" s="205">
        <f t="shared" si="34"/>
        <v>0</v>
      </c>
      <c r="Z51" s="205">
        <f t="shared" si="34"/>
        <v>0</v>
      </c>
      <c r="AA51" s="205">
        <f t="shared" si="34"/>
        <v>0</v>
      </c>
      <c r="AB51" s="205">
        <f t="shared" si="34"/>
        <v>0</v>
      </c>
      <c r="AC51" s="205">
        <f t="shared" si="34"/>
        <v>0</v>
      </c>
      <c r="AD51" s="205">
        <f t="shared" si="34"/>
        <v>0</v>
      </c>
      <c r="AE51" s="205">
        <f t="shared" si="34"/>
        <v>0</v>
      </c>
      <c r="AF51" s="205">
        <f t="shared" si="34"/>
        <v>0</v>
      </c>
      <c r="AG51" s="205">
        <f t="shared" si="34"/>
        <v>0</v>
      </c>
      <c r="AH51" s="205">
        <f t="shared" si="34"/>
        <v>0</v>
      </c>
      <c r="AI51" s="205">
        <f t="shared" si="34"/>
        <v>0</v>
      </c>
      <c r="AJ51" s="205">
        <f t="shared" si="34"/>
        <v>0</v>
      </c>
      <c r="AK51" s="205">
        <f t="shared" si="34"/>
        <v>0</v>
      </c>
      <c r="AL51" s="205">
        <f t="shared" si="34"/>
        <v>0</v>
      </c>
      <c r="AM51" s="205">
        <f t="shared" si="34"/>
        <v>0</v>
      </c>
      <c r="AN51" s="205">
        <f t="shared" si="34"/>
        <v>0</v>
      </c>
    </row>
    <row r="52" spans="2:40" s="7" customFormat="1" ht="12" customHeight="1">
      <c r="B52" s="239"/>
      <c r="C52" s="214" t="s">
        <v>835</v>
      </c>
      <c r="D52" s="212"/>
      <c r="E52" s="232">
        <f>E45/E50</f>
        <v>0</v>
      </c>
      <c r="F52" s="232">
        <f t="shared" ref="F52:I52" si="35">F45/F50</f>
        <v>0</v>
      </c>
      <c r="G52" s="232">
        <f t="shared" si="35"/>
        <v>0</v>
      </c>
      <c r="H52" s="232">
        <f t="shared" si="35"/>
        <v>0</v>
      </c>
      <c r="I52" s="232">
        <f t="shared" si="35"/>
        <v>0</v>
      </c>
      <c r="J52" s="232">
        <f>J45/J50</f>
        <v>0</v>
      </c>
      <c r="K52" s="232">
        <f t="shared" ref="K52:AN52" si="36">K45/K50</f>
        <v>0</v>
      </c>
      <c r="L52" s="232">
        <f t="shared" si="36"/>
        <v>0</v>
      </c>
      <c r="M52" s="205" t="e">
        <f t="shared" si="36"/>
        <v>#DIV/0!</v>
      </c>
      <c r="N52" s="205" t="e">
        <f t="shared" si="36"/>
        <v>#DIV/0!</v>
      </c>
      <c r="O52" s="205" t="e">
        <f t="shared" si="36"/>
        <v>#DIV/0!</v>
      </c>
      <c r="P52" s="205" t="e">
        <f t="shared" si="36"/>
        <v>#DIV/0!</v>
      </c>
      <c r="Q52" s="205" t="e">
        <f t="shared" si="36"/>
        <v>#DIV/0!</v>
      </c>
      <c r="R52" s="205" t="e">
        <f t="shared" si="36"/>
        <v>#DIV/0!</v>
      </c>
      <c r="S52" s="205" t="e">
        <f t="shared" si="36"/>
        <v>#DIV/0!</v>
      </c>
      <c r="T52" s="205" t="e">
        <f t="shared" si="36"/>
        <v>#DIV/0!</v>
      </c>
      <c r="U52" s="205" t="e">
        <f t="shared" si="36"/>
        <v>#DIV/0!</v>
      </c>
      <c r="V52" s="205" t="e">
        <f t="shared" si="36"/>
        <v>#DIV/0!</v>
      </c>
      <c r="W52" s="205" t="e">
        <f t="shared" si="36"/>
        <v>#DIV/0!</v>
      </c>
      <c r="X52" s="205" t="e">
        <f t="shared" si="36"/>
        <v>#DIV/0!</v>
      </c>
      <c r="Y52" s="205" t="e">
        <f t="shared" si="36"/>
        <v>#DIV/0!</v>
      </c>
      <c r="Z52" s="205" t="e">
        <f t="shared" si="36"/>
        <v>#DIV/0!</v>
      </c>
      <c r="AA52" s="205" t="e">
        <f t="shared" si="36"/>
        <v>#DIV/0!</v>
      </c>
      <c r="AB52" s="205" t="e">
        <f t="shared" si="36"/>
        <v>#DIV/0!</v>
      </c>
      <c r="AC52" s="205" t="e">
        <f t="shared" si="36"/>
        <v>#DIV/0!</v>
      </c>
      <c r="AD52" s="205" t="e">
        <f t="shared" si="36"/>
        <v>#DIV/0!</v>
      </c>
      <c r="AE52" s="205" t="e">
        <f t="shared" si="36"/>
        <v>#DIV/0!</v>
      </c>
      <c r="AF52" s="205" t="e">
        <f t="shared" si="36"/>
        <v>#DIV/0!</v>
      </c>
      <c r="AG52" s="205" t="e">
        <f t="shared" si="36"/>
        <v>#DIV/0!</v>
      </c>
      <c r="AH52" s="205" t="e">
        <f t="shared" si="36"/>
        <v>#DIV/0!</v>
      </c>
      <c r="AI52" s="205" t="e">
        <f t="shared" si="36"/>
        <v>#DIV/0!</v>
      </c>
      <c r="AJ52" s="205" t="e">
        <f t="shared" si="36"/>
        <v>#DIV/0!</v>
      </c>
      <c r="AK52" s="205" t="e">
        <f t="shared" si="36"/>
        <v>#DIV/0!</v>
      </c>
      <c r="AL52" s="205" t="e">
        <f t="shared" si="36"/>
        <v>#DIV/0!</v>
      </c>
      <c r="AM52" s="205" t="e">
        <f t="shared" si="36"/>
        <v>#DIV/0!</v>
      </c>
      <c r="AN52" s="205" t="e">
        <f t="shared" si="36"/>
        <v>#DIV/0!</v>
      </c>
    </row>
    <row r="53" spans="2:40" s="7" customFormat="1" ht="12" customHeight="1">
      <c r="B53" s="239"/>
      <c r="C53" s="243" t="s">
        <v>836</v>
      </c>
      <c r="D53" s="212"/>
      <c r="E53" s="232"/>
      <c r="F53" s="232"/>
      <c r="G53" s="232"/>
      <c r="H53" s="232"/>
      <c r="I53" s="232"/>
      <c r="J53" s="232"/>
      <c r="K53" s="232"/>
      <c r="L53" s="232"/>
      <c r="M53" s="205"/>
      <c r="N53" s="205"/>
      <c r="O53" s="205"/>
      <c r="P53" s="205"/>
      <c r="Q53" s="205"/>
      <c r="R53" s="205"/>
      <c r="S53" s="205"/>
      <c r="T53" s="205"/>
      <c r="U53" s="205"/>
      <c r="V53" s="205"/>
      <c r="W53" s="205"/>
      <c r="X53" s="205"/>
      <c r="Y53" s="205"/>
      <c r="Z53" s="205"/>
      <c r="AA53" s="205"/>
      <c r="AB53" s="205"/>
      <c r="AC53" s="205"/>
      <c r="AD53" s="205"/>
      <c r="AE53" s="205"/>
      <c r="AF53" s="205"/>
      <c r="AG53" s="205"/>
      <c r="AH53" s="205"/>
      <c r="AI53" s="205"/>
      <c r="AJ53" s="205"/>
      <c r="AK53" s="205"/>
      <c r="AL53" s="205"/>
      <c r="AM53" s="205"/>
      <c r="AN53" s="205"/>
    </row>
    <row r="54" spans="2:40" ht="12" customHeight="1">
      <c r="B54" s="316" t="s">
        <v>904</v>
      </c>
      <c r="C54" s="303" t="s">
        <v>837</v>
      </c>
      <c r="D54" s="302"/>
      <c r="E54" s="317">
        <f>4/10</f>
        <v>0.4</v>
      </c>
      <c r="F54" s="317">
        <f>2/5</f>
        <v>0.4</v>
      </c>
      <c r="G54" s="317">
        <v>0.5</v>
      </c>
      <c r="H54" s="317">
        <f>11/23</f>
        <v>0.47826086956521741</v>
      </c>
      <c r="I54" s="317">
        <f>1/3</f>
        <v>0.33333333333333331</v>
      </c>
      <c r="J54" s="317">
        <f>5/8</f>
        <v>0.625</v>
      </c>
      <c r="K54" s="317">
        <f>4/10</f>
        <v>0.4</v>
      </c>
      <c r="L54" s="317">
        <f>1/3</f>
        <v>0.33333333333333331</v>
      </c>
      <c r="M54" s="318">
        <v>0.9</v>
      </c>
      <c r="N54" s="318">
        <v>0.9</v>
      </c>
      <c r="O54" s="318">
        <v>0.9</v>
      </c>
      <c r="P54" s="318">
        <v>0.9</v>
      </c>
      <c r="Q54" s="318">
        <v>0.9</v>
      </c>
      <c r="R54" s="318">
        <v>0.9</v>
      </c>
      <c r="S54" s="318">
        <v>0.9</v>
      </c>
      <c r="T54" s="318">
        <v>0.9</v>
      </c>
      <c r="U54" s="318">
        <v>0.9</v>
      </c>
      <c r="V54" s="318">
        <v>0.9</v>
      </c>
      <c r="W54" s="318">
        <v>0.9</v>
      </c>
      <c r="X54" s="318">
        <v>0.9</v>
      </c>
      <c r="Y54" s="318">
        <v>0.9</v>
      </c>
      <c r="Z54" s="318">
        <v>0.9</v>
      </c>
      <c r="AA54" s="318">
        <v>0.9</v>
      </c>
      <c r="AB54" s="318">
        <v>0.9</v>
      </c>
      <c r="AC54" s="318">
        <v>0.9</v>
      </c>
      <c r="AD54" s="318">
        <v>0.9</v>
      </c>
      <c r="AE54" s="318">
        <v>0.9</v>
      </c>
      <c r="AF54" s="318">
        <v>0.9</v>
      </c>
      <c r="AG54" s="318">
        <v>0.9</v>
      </c>
      <c r="AH54" s="318">
        <v>0.9</v>
      </c>
      <c r="AI54" s="318">
        <v>0.9</v>
      </c>
      <c r="AJ54" s="318">
        <v>0.9</v>
      </c>
      <c r="AK54" s="318">
        <v>0.9</v>
      </c>
      <c r="AL54" s="318">
        <v>0.9</v>
      </c>
      <c r="AM54" s="318">
        <v>0.9</v>
      </c>
      <c r="AN54" s="318">
        <v>0.9</v>
      </c>
    </row>
    <row r="55" spans="2:40" ht="12" customHeight="1">
      <c r="B55" s="301"/>
      <c r="C55" s="303" t="s">
        <v>839</v>
      </c>
      <c r="D55" s="302"/>
      <c r="E55" s="317">
        <f>1-E54</f>
        <v>0.6</v>
      </c>
      <c r="F55" s="317">
        <f t="shared" ref="F55:I55" si="37">1-F54</f>
        <v>0.6</v>
      </c>
      <c r="G55" s="317">
        <f t="shared" si="37"/>
        <v>0.5</v>
      </c>
      <c r="H55" s="317">
        <f t="shared" si="37"/>
        <v>0.52173913043478259</v>
      </c>
      <c r="I55" s="317">
        <f t="shared" si="37"/>
        <v>0.66666666666666674</v>
      </c>
      <c r="J55" s="317">
        <f>1-J54</f>
        <v>0.375</v>
      </c>
      <c r="K55" s="317">
        <f>1-K54</f>
        <v>0.6</v>
      </c>
      <c r="L55" s="317">
        <f>1-L54</f>
        <v>0.66666666666666674</v>
      </c>
      <c r="M55" s="318">
        <v>0</v>
      </c>
      <c r="N55" s="318">
        <v>0</v>
      </c>
      <c r="O55" s="318">
        <v>0</v>
      </c>
      <c r="P55" s="318">
        <v>0</v>
      </c>
      <c r="Q55" s="318">
        <v>0</v>
      </c>
      <c r="R55" s="318">
        <v>0</v>
      </c>
      <c r="S55" s="318">
        <v>0</v>
      </c>
      <c r="T55" s="318">
        <v>0</v>
      </c>
      <c r="U55" s="318">
        <v>0</v>
      </c>
      <c r="V55" s="318">
        <v>0</v>
      </c>
      <c r="W55" s="318">
        <v>0</v>
      </c>
      <c r="X55" s="318">
        <v>0</v>
      </c>
      <c r="Y55" s="318">
        <v>0</v>
      </c>
      <c r="Z55" s="318">
        <v>0</v>
      </c>
      <c r="AA55" s="318">
        <v>0</v>
      </c>
      <c r="AB55" s="318">
        <v>0</v>
      </c>
      <c r="AC55" s="318">
        <v>0</v>
      </c>
      <c r="AD55" s="318">
        <v>0</v>
      </c>
      <c r="AE55" s="318">
        <v>0</v>
      </c>
      <c r="AF55" s="318">
        <v>0</v>
      </c>
      <c r="AG55" s="318">
        <v>0</v>
      </c>
      <c r="AH55" s="318">
        <v>0</v>
      </c>
      <c r="AI55" s="318">
        <v>0</v>
      </c>
      <c r="AJ55" s="318">
        <v>0</v>
      </c>
      <c r="AK55" s="318">
        <v>0</v>
      </c>
      <c r="AL55" s="318">
        <v>0</v>
      </c>
      <c r="AM55" s="318">
        <v>0</v>
      </c>
      <c r="AN55" s="318">
        <v>0</v>
      </c>
    </row>
    <row r="56" spans="2:40" ht="12" customHeight="1">
      <c r="B56" s="301"/>
      <c r="C56" s="303" t="s">
        <v>840</v>
      </c>
      <c r="D56" s="302"/>
      <c r="E56" s="317">
        <v>0</v>
      </c>
      <c r="F56" s="317">
        <v>0</v>
      </c>
      <c r="G56" s="317">
        <v>0</v>
      </c>
      <c r="H56" s="317">
        <v>0</v>
      </c>
      <c r="I56" s="317">
        <v>0</v>
      </c>
      <c r="J56" s="317">
        <v>0</v>
      </c>
      <c r="K56" s="317">
        <v>0</v>
      </c>
      <c r="L56" s="317">
        <v>0</v>
      </c>
      <c r="M56" s="318">
        <v>0.1</v>
      </c>
      <c r="N56" s="318">
        <v>0.1</v>
      </c>
      <c r="O56" s="318">
        <v>0.1</v>
      </c>
      <c r="P56" s="318">
        <v>0.1</v>
      </c>
      <c r="Q56" s="318">
        <v>0.1</v>
      </c>
      <c r="R56" s="318">
        <v>0.1</v>
      </c>
      <c r="S56" s="318">
        <v>0.1</v>
      </c>
      <c r="T56" s="318">
        <v>0.1</v>
      </c>
      <c r="U56" s="318">
        <v>0.1</v>
      </c>
      <c r="V56" s="318">
        <v>0.1</v>
      </c>
      <c r="W56" s="318">
        <v>0.1</v>
      </c>
      <c r="X56" s="318">
        <v>0.1</v>
      </c>
      <c r="Y56" s="318">
        <v>0.1</v>
      </c>
      <c r="Z56" s="318">
        <v>0.1</v>
      </c>
      <c r="AA56" s="318">
        <v>0.1</v>
      </c>
      <c r="AB56" s="318">
        <v>0.1</v>
      </c>
      <c r="AC56" s="318">
        <v>0.1</v>
      </c>
      <c r="AD56" s="318">
        <v>0.1</v>
      </c>
      <c r="AE56" s="318">
        <v>0.1</v>
      </c>
      <c r="AF56" s="318">
        <v>0.1</v>
      </c>
      <c r="AG56" s="318">
        <v>0.1</v>
      </c>
      <c r="AH56" s="318">
        <v>0.1</v>
      </c>
      <c r="AI56" s="318">
        <v>0.1</v>
      </c>
      <c r="AJ56" s="318">
        <v>0.1</v>
      </c>
      <c r="AK56" s="318">
        <v>0.1</v>
      </c>
      <c r="AL56" s="318">
        <v>0.1</v>
      </c>
      <c r="AM56" s="318">
        <v>0.1</v>
      </c>
      <c r="AN56" s="318">
        <v>0.1</v>
      </c>
    </row>
    <row r="57" spans="2:40" s="7" customFormat="1" ht="12" customHeight="1">
      <c r="B57" s="237"/>
      <c r="C57" s="208"/>
      <c r="D57" s="208"/>
      <c r="E57" s="208"/>
      <c r="F57" s="208"/>
      <c r="G57" s="208"/>
      <c r="H57" s="208"/>
      <c r="I57" s="208"/>
      <c r="J57" s="208"/>
      <c r="K57" s="208"/>
      <c r="L57" s="208"/>
      <c r="M57" s="208"/>
      <c r="N57" s="208"/>
      <c r="O57" s="208"/>
      <c r="P57" s="208"/>
      <c r="Q57" s="208"/>
      <c r="R57" s="208"/>
      <c r="S57" s="208"/>
      <c r="T57" s="208"/>
      <c r="U57" s="208"/>
      <c r="V57" s="208"/>
      <c r="W57" s="208"/>
      <c r="X57" s="208"/>
      <c r="Y57" s="208"/>
      <c r="Z57" s="208"/>
      <c r="AA57" s="208"/>
      <c r="AB57" s="208"/>
      <c r="AC57" s="208"/>
      <c r="AD57" s="208"/>
      <c r="AE57" s="208"/>
      <c r="AF57" s="208"/>
      <c r="AG57" s="208"/>
      <c r="AH57" s="208"/>
      <c r="AI57" s="208"/>
      <c r="AJ57" s="208"/>
      <c r="AK57" s="208"/>
      <c r="AL57" s="208"/>
      <c r="AM57" s="208"/>
      <c r="AN57" s="208"/>
    </row>
    <row r="58" spans="2:40" s="7" customFormat="1" ht="12" customHeight="1">
      <c r="B58" s="239"/>
      <c r="C58" s="214" t="s">
        <v>841</v>
      </c>
      <c r="D58" s="214"/>
      <c r="E58" s="209">
        <f>E$50*E54</f>
        <v>4</v>
      </c>
      <c r="F58" s="209">
        <f>F$50*F54</f>
        <v>2</v>
      </c>
      <c r="G58" s="209">
        <f t="shared" ref="E58:P60" si="38">G$50*G54</f>
        <v>3</v>
      </c>
      <c r="H58" s="209">
        <f t="shared" si="38"/>
        <v>11</v>
      </c>
      <c r="I58" s="209">
        <f t="shared" si="38"/>
        <v>1</v>
      </c>
      <c r="J58" s="209">
        <f>J$50*J54</f>
        <v>5</v>
      </c>
      <c r="K58" s="209">
        <f t="shared" si="38"/>
        <v>4</v>
      </c>
      <c r="L58" s="209">
        <f t="shared" si="38"/>
        <v>1</v>
      </c>
      <c r="M58" s="209">
        <f t="shared" si="38"/>
        <v>0</v>
      </c>
      <c r="N58" s="209">
        <f t="shared" si="38"/>
        <v>0</v>
      </c>
      <c r="O58" s="209">
        <f t="shared" si="38"/>
        <v>0</v>
      </c>
      <c r="P58" s="209">
        <f t="shared" si="38"/>
        <v>0</v>
      </c>
      <c r="Q58" s="209">
        <f>Q$50*Q54</f>
        <v>0</v>
      </c>
      <c r="R58" s="209">
        <f t="shared" ref="R58:AN60" si="39">R$50*R54</f>
        <v>0</v>
      </c>
      <c r="S58" s="209">
        <f t="shared" si="39"/>
        <v>0</v>
      </c>
      <c r="T58" s="209">
        <f t="shared" si="39"/>
        <v>0</v>
      </c>
      <c r="U58" s="209">
        <f t="shared" si="39"/>
        <v>0</v>
      </c>
      <c r="V58" s="209">
        <f t="shared" si="39"/>
        <v>0</v>
      </c>
      <c r="W58" s="209">
        <f t="shared" si="39"/>
        <v>0</v>
      </c>
      <c r="X58" s="209">
        <f t="shared" si="39"/>
        <v>0</v>
      </c>
      <c r="Y58" s="209">
        <f t="shared" si="39"/>
        <v>0</v>
      </c>
      <c r="Z58" s="209">
        <f t="shared" si="39"/>
        <v>0</v>
      </c>
      <c r="AA58" s="209">
        <f t="shared" si="39"/>
        <v>0</v>
      </c>
      <c r="AB58" s="209">
        <f t="shared" si="39"/>
        <v>0</v>
      </c>
      <c r="AC58" s="209">
        <f t="shared" si="39"/>
        <v>0</v>
      </c>
      <c r="AD58" s="209">
        <f t="shared" si="39"/>
        <v>0</v>
      </c>
      <c r="AE58" s="209">
        <f t="shared" si="39"/>
        <v>0</v>
      </c>
      <c r="AF58" s="209">
        <f t="shared" si="39"/>
        <v>0</v>
      </c>
      <c r="AG58" s="209">
        <f t="shared" si="39"/>
        <v>0</v>
      </c>
      <c r="AH58" s="209">
        <f t="shared" si="39"/>
        <v>0</v>
      </c>
      <c r="AI58" s="209">
        <f t="shared" si="39"/>
        <v>0</v>
      </c>
      <c r="AJ58" s="209">
        <f t="shared" si="39"/>
        <v>0</v>
      </c>
      <c r="AK58" s="209">
        <f t="shared" si="39"/>
        <v>0</v>
      </c>
      <c r="AL58" s="209">
        <f t="shared" si="39"/>
        <v>0</v>
      </c>
      <c r="AM58" s="209">
        <f t="shared" si="39"/>
        <v>0</v>
      </c>
      <c r="AN58" s="209">
        <f t="shared" si="39"/>
        <v>0</v>
      </c>
    </row>
    <row r="59" spans="2:40" s="7" customFormat="1" ht="12" customHeight="1">
      <c r="B59" s="239"/>
      <c r="C59" s="214" t="s">
        <v>842</v>
      </c>
      <c r="D59" s="214"/>
      <c r="E59" s="209">
        <f>E$50*E55</f>
        <v>6</v>
      </c>
      <c r="F59" s="209">
        <f t="shared" si="38"/>
        <v>3</v>
      </c>
      <c r="G59" s="209">
        <f t="shared" si="38"/>
        <v>3</v>
      </c>
      <c r="H59" s="209">
        <f t="shared" si="38"/>
        <v>12</v>
      </c>
      <c r="I59" s="209">
        <f t="shared" si="38"/>
        <v>2</v>
      </c>
      <c r="J59" s="209">
        <f t="shared" si="38"/>
        <v>3</v>
      </c>
      <c r="K59" s="209">
        <f t="shared" si="38"/>
        <v>6</v>
      </c>
      <c r="L59" s="209">
        <f t="shared" si="38"/>
        <v>2</v>
      </c>
      <c r="M59" s="209">
        <f t="shared" si="38"/>
        <v>0</v>
      </c>
      <c r="N59" s="209">
        <f t="shared" si="38"/>
        <v>0</v>
      </c>
      <c r="O59" s="209">
        <f t="shared" si="38"/>
        <v>0</v>
      </c>
      <c r="P59" s="209">
        <f t="shared" si="38"/>
        <v>0</v>
      </c>
      <c r="Q59" s="209">
        <f>Q$50*Q55</f>
        <v>0</v>
      </c>
      <c r="R59" s="209">
        <f t="shared" si="39"/>
        <v>0</v>
      </c>
      <c r="S59" s="209">
        <f t="shared" si="39"/>
        <v>0</v>
      </c>
      <c r="T59" s="209">
        <f t="shared" si="39"/>
        <v>0</v>
      </c>
      <c r="U59" s="209">
        <f t="shared" si="39"/>
        <v>0</v>
      </c>
      <c r="V59" s="209">
        <f t="shared" si="39"/>
        <v>0</v>
      </c>
      <c r="W59" s="209">
        <f t="shared" si="39"/>
        <v>0</v>
      </c>
      <c r="X59" s="209">
        <f t="shared" si="39"/>
        <v>0</v>
      </c>
      <c r="Y59" s="209">
        <f t="shared" si="39"/>
        <v>0</v>
      </c>
      <c r="Z59" s="209">
        <f t="shared" si="39"/>
        <v>0</v>
      </c>
      <c r="AA59" s="209">
        <f t="shared" si="39"/>
        <v>0</v>
      </c>
      <c r="AB59" s="209">
        <f t="shared" si="39"/>
        <v>0</v>
      </c>
      <c r="AC59" s="209">
        <f t="shared" si="39"/>
        <v>0</v>
      </c>
      <c r="AD59" s="209">
        <f t="shared" si="39"/>
        <v>0</v>
      </c>
      <c r="AE59" s="209">
        <f t="shared" si="39"/>
        <v>0</v>
      </c>
      <c r="AF59" s="209">
        <f t="shared" si="39"/>
        <v>0</v>
      </c>
      <c r="AG59" s="209">
        <f t="shared" si="39"/>
        <v>0</v>
      </c>
      <c r="AH59" s="209">
        <f t="shared" si="39"/>
        <v>0</v>
      </c>
      <c r="AI59" s="209">
        <f t="shared" si="39"/>
        <v>0</v>
      </c>
      <c r="AJ59" s="209">
        <f t="shared" si="39"/>
        <v>0</v>
      </c>
      <c r="AK59" s="209">
        <f t="shared" si="39"/>
        <v>0</v>
      </c>
      <c r="AL59" s="209">
        <f t="shared" si="39"/>
        <v>0</v>
      </c>
      <c r="AM59" s="209">
        <f t="shared" si="39"/>
        <v>0</v>
      </c>
      <c r="AN59" s="209">
        <f t="shared" si="39"/>
        <v>0</v>
      </c>
    </row>
    <row r="60" spans="2:40" s="7" customFormat="1" ht="12" customHeight="1">
      <c r="B60" s="239"/>
      <c r="C60" s="214" t="s">
        <v>843</v>
      </c>
      <c r="D60" s="214"/>
      <c r="E60" s="209">
        <f t="shared" si="38"/>
        <v>0</v>
      </c>
      <c r="F60" s="209">
        <f t="shared" si="38"/>
        <v>0</v>
      </c>
      <c r="G60" s="209">
        <f t="shared" si="38"/>
        <v>0</v>
      </c>
      <c r="H60" s="209">
        <f t="shared" si="38"/>
        <v>0</v>
      </c>
      <c r="I60" s="209">
        <f t="shared" si="38"/>
        <v>0</v>
      </c>
      <c r="J60" s="209">
        <f t="shared" si="38"/>
        <v>0</v>
      </c>
      <c r="K60" s="209">
        <f t="shared" si="38"/>
        <v>0</v>
      </c>
      <c r="L60" s="209">
        <f t="shared" si="38"/>
        <v>0</v>
      </c>
      <c r="M60" s="209">
        <f t="shared" si="38"/>
        <v>0</v>
      </c>
      <c r="N60" s="209">
        <f t="shared" si="38"/>
        <v>0</v>
      </c>
      <c r="O60" s="209">
        <f t="shared" si="38"/>
        <v>0</v>
      </c>
      <c r="P60" s="209">
        <f t="shared" si="38"/>
        <v>0</v>
      </c>
      <c r="Q60" s="209">
        <f>Q$50*Q56</f>
        <v>0</v>
      </c>
      <c r="R60" s="209">
        <f t="shared" si="39"/>
        <v>0</v>
      </c>
      <c r="S60" s="209">
        <f t="shared" si="39"/>
        <v>0</v>
      </c>
      <c r="T60" s="209">
        <f t="shared" si="39"/>
        <v>0</v>
      </c>
      <c r="U60" s="209">
        <f t="shared" si="39"/>
        <v>0</v>
      </c>
      <c r="V60" s="209">
        <f t="shared" si="39"/>
        <v>0</v>
      </c>
      <c r="W60" s="209">
        <f t="shared" si="39"/>
        <v>0</v>
      </c>
      <c r="X60" s="209">
        <f t="shared" si="39"/>
        <v>0</v>
      </c>
      <c r="Y60" s="209">
        <f t="shared" si="39"/>
        <v>0</v>
      </c>
      <c r="Z60" s="209">
        <f t="shared" si="39"/>
        <v>0</v>
      </c>
      <c r="AA60" s="209">
        <f t="shared" si="39"/>
        <v>0</v>
      </c>
      <c r="AB60" s="209">
        <f t="shared" si="39"/>
        <v>0</v>
      </c>
      <c r="AC60" s="209">
        <f t="shared" si="39"/>
        <v>0</v>
      </c>
      <c r="AD60" s="209">
        <f t="shared" si="39"/>
        <v>0</v>
      </c>
      <c r="AE60" s="209">
        <f t="shared" si="39"/>
        <v>0</v>
      </c>
      <c r="AF60" s="209">
        <f t="shared" si="39"/>
        <v>0</v>
      </c>
      <c r="AG60" s="209">
        <f t="shared" si="39"/>
        <v>0</v>
      </c>
      <c r="AH60" s="209">
        <f t="shared" si="39"/>
        <v>0</v>
      </c>
      <c r="AI60" s="209">
        <f t="shared" si="39"/>
        <v>0</v>
      </c>
      <c r="AJ60" s="209">
        <f t="shared" si="39"/>
        <v>0</v>
      </c>
      <c r="AK60" s="209">
        <f t="shared" si="39"/>
        <v>0</v>
      </c>
      <c r="AL60" s="209">
        <f t="shared" si="39"/>
        <v>0</v>
      </c>
      <c r="AM60" s="209">
        <f t="shared" si="39"/>
        <v>0</v>
      </c>
      <c r="AN60" s="209">
        <f t="shared" si="39"/>
        <v>0</v>
      </c>
    </row>
    <row r="61" spans="2:40" s="7" customFormat="1" ht="12" customHeight="1">
      <c r="B61" s="239"/>
      <c r="C61" s="214" t="s">
        <v>844</v>
      </c>
      <c r="D61" s="214"/>
      <c r="E61" s="209">
        <f>ROUNDDOWN(SUM(E71:E107),0)-E58</f>
        <v>26</v>
      </c>
      <c r="F61" s="209">
        <f t="shared" ref="F61:AN61" si="40">ROUNDDOWN(SUM(F71:F107),0)-F58</f>
        <v>29</v>
      </c>
      <c r="G61" s="209">
        <f>ROUNDDOWN(SUM(G71:G107),0)-G58</f>
        <v>44</v>
      </c>
      <c r="H61" s="209">
        <f t="shared" si="40"/>
        <v>46</v>
      </c>
      <c r="I61" s="209">
        <f>ROUNDDOWN(SUM(I71:I107),0)-I58</f>
        <v>34</v>
      </c>
      <c r="J61" s="209">
        <f>ROUNDDOWN(SUM(J71:J107),0)-J58</f>
        <v>34</v>
      </c>
      <c r="K61" s="209">
        <f>ROUNDDOWN(SUM(K71:K107),0)-K58</f>
        <v>39</v>
      </c>
      <c r="L61" s="209">
        <f t="shared" si="40"/>
        <v>43</v>
      </c>
      <c r="M61" s="209">
        <f t="shared" si="40"/>
        <v>43</v>
      </c>
      <c r="N61" s="209">
        <f t="shared" si="40"/>
        <v>43</v>
      </c>
      <c r="O61" s="209">
        <f t="shared" si="40"/>
        <v>43</v>
      </c>
      <c r="P61" s="209">
        <f t="shared" si="40"/>
        <v>43</v>
      </c>
      <c r="Q61" s="209">
        <f t="shared" si="40"/>
        <v>42</v>
      </c>
      <c r="R61" s="209">
        <f t="shared" si="40"/>
        <v>42</v>
      </c>
      <c r="S61" s="209">
        <f t="shared" si="40"/>
        <v>42</v>
      </c>
      <c r="T61" s="209">
        <f t="shared" si="40"/>
        <v>42</v>
      </c>
      <c r="U61" s="209">
        <f t="shared" si="40"/>
        <v>41</v>
      </c>
      <c r="V61" s="209">
        <f t="shared" si="40"/>
        <v>41</v>
      </c>
      <c r="W61" s="209">
        <f t="shared" si="40"/>
        <v>41</v>
      </c>
      <c r="X61" s="209">
        <f t="shared" si="40"/>
        <v>41</v>
      </c>
      <c r="Y61" s="209">
        <f t="shared" si="40"/>
        <v>41</v>
      </c>
      <c r="Z61" s="209">
        <f t="shared" si="40"/>
        <v>40</v>
      </c>
      <c r="AA61" s="209">
        <f t="shared" si="40"/>
        <v>40</v>
      </c>
      <c r="AB61" s="209">
        <f t="shared" si="40"/>
        <v>40</v>
      </c>
      <c r="AC61" s="209">
        <f t="shared" si="40"/>
        <v>40</v>
      </c>
      <c r="AD61" s="209">
        <f t="shared" si="40"/>
        <v>40</v>
      </c>
      <c r="AE61" s="209">
        <f t="shared" si="40"/>
        <v>39</v>
      </c>
      <c r="AF61" s="209">
        <f t="shared" si="40"/>
        <v>39</v>
      </c>
      <c r="AG61" s="209">
        <f t="shared" si="40"/>
        <v>39</v>
      </c>
      <c r="AH61" s="209">
        <f t="shared" si="40"/>
        <v>39</v>
      </c>
      <c r="AI61" s="209">
        <f t="shared" si="40"/>
        <v>39</v>
      </c>
      <c r="AJ61" s="209">
        <f t="shared" si="40"/>
        <v>39</v>
      </c>
      <c r="AK61" s="209">
        <f t="shared" si="40"/>
        <v>38</v>
      </c>
      <c r="AL61" s="209">
        <f t="shared" si="40"/>
        <v>38</v>
      </c>
      <c r="AM61" s="209">
        <f t="shared" si="40"/>
        <v>38</v>
      </c>
      <c r="AN61" s="209">
        <f t="shared" si="40"/>
        <v>38</v>
      </c>
    </row>
    <row r="62" spans="2:40" s="7" customFormat="1" ht="12" customHeight="1">
      <c r="B62" s="239"/>
      <c r="C62" s="214" t="s">
        <v>845</v>
      </c>
      <c r="D62" s="214"/>
      <c r="E62" s="209">
        <f>ROUNDDOWN(SUM(E112:E148),0)-E59</f>
        <v>28</v>
      </c>
      <c r="F62" s="209">
        <f>ROUNDDOWN(SUM(F112:F148),0)-F59</f>
        <v>29</v>
      </c>
      <c r="G62" s="209">
        <f t="shared" ref="G62:AN62" si="41">ROUNDDOWN(SUM(G112:G148),0)-G59</f>
        <v>29</v>
      </c>
      <c r="H62" s="209">
        <f t="shared" si="41"/>
        <v>30</v>
      </c>
      <c r="I62" s="209">
        <f t="shared" si="41"/>
        <v>33</v>
      </c>
      <c r="J62" s="209">
        <f t="shared" si="41"/>
        <v>35</v>
      </c>
      <c r="K62" s="209">
        <f t="shared" si="41"/>
        <v>39</v>
      </c>
      <c r="L62" s="209">
        <f t="shared" si="41"/>
        <v>42</v>
      </c>
      <c r="M62" s="209">
        <f t="shared" si="41"/>
        <v>46</v>
      </c>
      <c r="N62" s="209">
        <f t="shared" si="41"/>
        <v>48</v>
      </c>
      <c r="O62" s="209">
        <f t="shared" si="41"/>
        <v>50</v>
      </c>
      <c r="P62" s="209">
        <f t="shared" si="41"/>
        <v>51</v>
      </c>
      <c r="Q62" s="209">
        <f t="shared" si="41"/>
        <v>52</v>
      </c>
      <c r="R62" s="209">
        <f t="shared" si="41"/>
        <v>52</v>
      </c>
      <c r="S62" s="209">
        <f t="shared" si="41"/>
        <v>53</v>
      </c>
      <c r="T62" s="209">
        <f t="shared" si="41"/>
        <v>53</v>
      </c>
      <c r="U62" s="209">
        <f>ROUNDDOWN(SUM(U112:U148),0)-U59</f>
        <v>52</v>
      </c>
      <c r="V62" s="209">
        <f t="shared" si="41"/>
        <v>52</v>
      </c>
      <c r="W62" s="209">
        <f t="shared" si="41"/>
        <v>52</v>
      </c>
      <c r="X62" s="209">
        <f t="shared" si="41"/>
        <v>52</v>
      </c>
      <c r="Y62" s="209">
        <f t="shared" si="41"/>
        <v>52</v>
      </c>
      <c r="Z62" s="209">
        <f t="shared" si="41"/>
        <v>52</v>
      </c>
      <c r="AA62" s="209">
        <f t="shared" si="41"/>
        <v>51</v>
      </c>
      <c r="AB62" s="209">
        <f t="shared" si="41"/>
        <v>51</v>
      </c>
      <c r="AC62" s="209">
        <f t="shared" si="41"/>
        <v>51</v>
      </c>
      <c r="AD62" s="209">
        <f t="shared" si="41"/>
        <v>50</v>
      </c>
      <c r="AE62" s="209">
        <f t="shared" si="41"/>
        <v>50</v>
      </c>
      <c r="AF62" s="209">
        <f t="shared" si="41"/>
        <v>49</v>
      </c>
      <c r="AG62" s="209">
        <f t="shared" si="41"/>
        <v>48</v>
      </c>
      <c r="AH62" s="209">
        <f t="shared" si="41"/>
        <v>48</v>
      </c>
      <c r="AI62" s="209">
        <f t="shared" si="41"/>
        <v>47</v>
      </c>
      <c r="AJ62" s="209">
        <f t="shared" si="41"/>
        <v>46</v>
      </c>
      <c r="AK62" s="209">
        <f t="shared" si="41"/>
        <v>46</v>
      </c>
      <c r="AL62" s="209">
        <f t="shared" si="41"/>
        <v>46</v>
      </c>
      <c r="AM62" s="209">
        <f t="shared" si="41"/>
        <v>45</v>
      </c>
      <c r="AN62" s="209">
        <f t="shared" si="41"/>
        <v>45</v>
      </c>
    </row>
    <row r="63" spans="2:40" s="7" customFormat="1" ht="12" customHeight="1">
      <c r="B63" s="239"/>
      <c r="C63" s="214" t="s">
        <v>846</v>
      </c>
      <c r="D63" s="214"/>
      <c r="E63" s="209">
        <f>ROUNDDOWN(SUM(E154:E190),0)-E60</f>
        <v>56</v>
      </c>
      <c r="F63" s="209">
        <f>ROUNDDOWN(SUM(F154:F190),0)-F60</f>
        <v>41</v>
      </c>
      <c r="G63" s="209">
        <f t="shared" ref="G63:AN63" si="42">ROUNDDOWN(SUM(G154:G190),0)-G60</f>
        <v>83</v>
      </c>
      <c r="H63" s="209">
        <f t="shared" si="42"/>
        <v>28</v>
      </c>
      <c r="I63" s="209">
        <f t="shared" si="42"/>
        <v>0</v>
      </c>
      <c r="J63" s="209">
        <f t="shared" si="42"/>
        <v>81</v>
      </c>
      <c r="K63" s="209">
        <f t="shared" si="42"/>
        <v>28</v>
      </c>
      <c r="L63" s="209">
        <f>ROUNDDOWN(SUM(L154:L190),0)-L60</f>
        <v>0</v>
      </c>
      <c r="M63" s="209">
        <f>ROUNDDOWN(SUM(M154:M190),0)-M60</f>
        <v>79</v>
      </c>
      <c r="N63" s="209">
        <f t="shared" si="42"/>
        <v>27</v>
      </c>
      <c r="O63" s="209">
        <f t="shared" si="42"/>
        <v>0</v>
      </c>
      <c r="P63" s="209">
        <f t="shared" si="42"/>
        <v>78</v>
      </c>
      <c r="Q63" s="209">
        <f t="shared" si="42"/>
        <v>26</v>
      </c>
      <c r="R63" s="209">
        <f t="shared" si="42"/>
        <v>0</v>
      </c>
      <c r="S63" s="209">
        <f t="shared" si="42"/>
        <v>76</v>
      </c>
      <c r="T63" s="209">
        <f t="shared" si="42"/>
        <v>26</v>
      </c>
      <c r="U63" s="209">
        <f t="shared" si="42"/>
        <v>0</v>
      </c>
      <c r="V63" s="209">
        <f t="shared" si="42"/>
        <v>75</v>
      </c>
      <c r="W63" s="209">
        <f t="shared" si="42"/>
        <v>25</v>
      </c>
      <c r="X63" s="209">
        <f t="shared" si="42"/>
        <v>0</v>
      </c>
      <c r="Y63" s="209">
        <f t="shared" si="42"/>
        <v>73</v>
      </c>
      <c r="Z63" s="209">
        <f t="shared" si="42"/>
        <v>25</v>
      </c>
      <c r="AA63" s="209">
        <f t="shared" si="42"/>
        <v>0</v>
      </c>
      <c r="AB63" s="209">
        <f t="shared" si="42"/>
        <v>72</v>
      </c>
      <c r="AC63" s="209">
        <f t="shared" si="42"/>
        <v>24</v>
      </c>
      <c r="AD63" s="209">
        <f t="shared" si="42"/>
        <v>0</v>
      </c>
      <c r="AE63" s="209">
        <f t="shared" si="42"/>
        <v>70</v>
      </c>
      <c r="AF63" s="209">
        <f t="shared" si="42"/>
        <v>24</v>
      </c>
      <c r="AG63" s="209">
        <f t="shared" si="42"/>
        <v>0</v>
      </c>
      <c r="AH63" s="209">
        <f t="shared" si="42"/>
        <v>69</v>
      </c>
      <c r="AI63" s="209">
        <f t="shared" si="42"/>
        <v>23</v>
      </c>
      <c r="AJ63" s="209">
        <f t="shared" si="42"/>
        <v>0</v>
      </c>
      <c r="AK63" s="209">
        <f t="shared" si="42"/>
        <v>67</v>
      </c>
      <c r="AL63" s="209">
        <f t="shared" si="42"/>
        <v>23</v>
      </c>
      <c r="AM63" s="209">
        <f t="shared" si="42"/>
        <v>0</v>
      </c>
      <c r="AN63" s="209">
        <f t="shared" si="42"/>
        <v>66</v>
      </c>
    </row>
    <row r="64" spans="2:40" s="7" customFormat="1" ht="12" customHeight="1">
      <c r="B64" s="237"/>
      <c r="C64" s="214" t="s">
        <v>833</v>
      </c>
      <c r="D64" s="214"/>
      <c r="E64" s="210">
        <f>SUM(E58:E60)</f>
        <v>10</v>
      </c>
      <c r="F64" s="210">
        <f t="shared" ref="F64:P64" si="43">SUM(F58:F60)</f>
        <v>5</v>
      </c>
      <c r="G64" s="210">
        <f t="shared" si="43"/>
        <v>6</v>
      </c>
      <c r="H64" s="210">
        <f t="shared" si="43"/>
        <v>23</v>
      </c>
      <c r="I64" s="210">
        <f t="shared" si="43"/>
        <v>3</v>
      </c>
      <c r="J64" s="210">
        <f>SUM(J58:J60)</f>
        <v>8</v>
      </c>
      <c r="K64" s="210">
        <f t="shared" si="43"/>
        <v>10</v>
      </c>
      <c r="L64" s="210">
        <f t="shared" si="43"/>
        <v>3</v>
      </c>
      <c r="M64" s="210">
        <f t="shared" si="43"/>
        <v>0</v>
      </c>
      <c r="N64" s="210">
        <f t="shared" si="43"/>
        <v>0</v>
      </c>
      <c r="O64" s="210">
        <f t="shared" si="43"/>
        <v>0</v>
      </c>
      <c r="P64" s="210">
        <f t="shared" si="43"/>
        <v>0</v>
      </c>
      <c r="Q64" s="210">
        <f>SUM(Q58:Q60)</f>
        <v>0</v>
      </c>
      <c r="R64" s="210">
        <f t="shared" ref="R64:AN64" si="44">SUM(R58:R60)</f>
        <v>0</v>
      </c>
      <c r="S64" s="210">
        <f t="shared" si="44"/>
        <v>0</v>
      </c>
      <c r="T64" s="210">
        <f t="shared" si="44"/>
        <v>0</v>
      </c>
      <c r="U64" s="210">
        <f t="shared" si="44"/>
        <v>0</v>
      </c>
      <c r="V64" s="210">
        <f t="shared" si="44"/>
        <v>0</v>
      </c>
      <c r="W64" s="210">
        <f t="shared" si="44"/>
        <v>0</v>
      </c>
      <c r="X64" s="210">
        <f t="shared" si="44"/>
        <v>0</v>
      </c>
      <c r="Y64" s="210">
        <f t="shared" si="44"/>
        <v>0</v>
      </c>
      <c r="Z64" s="210">
        <f t="shared" si="44"/>
        <v>0</v>
      </c>
      <c r="AA64" s="210">
        <f t="shared" si="44"/>
        <v>0</v>
      </c>
      <c r="AB64" s="210">
        <f t="shared" si="44"/>
        <v>0</v>
      </c>
      <c r="AC64" s="210">
        <f t="shared" si="44"/>
        <v>0</v>
      </c>
      <c r="AD64" s="210">
        <f t="shared" si="44"/>
        <v>0</v>
      </c>
      <c r="AE64" s="210">
        <f t="shared" si="44"/>
        <v>0</v>
      </c>
      <c r="AF64" s="210">
        <f t="shared" si="44"/>
        <v>0</v>
      </c>
      <c r="AG64" s="210">
        <f t="shared" si="44"/>
        <v>0</v>
      </c>
      <c r="AH64" s="210">
        <f t="shared" si="44"/>
        <v>0</v>
      </c>
      <c r="AI64" s="210">
        <f t="shared" si="44"/>
        <v>0</v>
      </c>
      <c r="AJ64" s="210">
        <f t="shared" si="44"/>
        <v>0</v>
      </c>
      <c r="AK64" s="210">
        <f t="shared" si="44"/>
        <v>0</v>
      </c>
      <c r="AL64" s="210">
        <f t="shared" si="44"/>
        <v>0</v>
      </c>
      <c r="AM64" s="210">
        <f t="shared" si="44"/>
        <v>0</v>
      </c>
      <c r="AN64" s="210">
        <f t="shared" si="44"/>
        <v>0</v>
      </c>
    </row>
    <row r="65" spans="2:40" s="7" customFormat="1" ht="12" customHeight="1">
      <c r="B65" s="237"/>
      <c r="C65" s="214" t="s">
        <v>847</v>
      </c>
      <c r="D65" s="214"/>
      <c r="E65" s="210">
        <f t="shared" ref="E65:AN65" si="45">SUM(E61:E63)</f>
        <v>110</v>
      </c>
      <c r="F65" s="210">
        <f t="shared" si="45"/>
        <v>99</v>
      </c>
      <c r="G65" s="210">
        <f t="shared" si="45"/>
        <v>156</v>
      </c>
      <c r="H65" s="210">
        <f t="shared" si="45"/>
        <v>104</v>
      </c>
      <c r="I65" s="210">
        <f t="shared" si="45"/>
        <v>67</v>
      </c>
      <c r="J65" s="210">
        <f t="shared" si="45"/>
        <v>150</v>
      </c>
      <c r="K65" s="210">
        <f t="shared" si="45"/>
        <v>106</v>
      </c>
      <c r="L65" s="210">
        <f t="shared" si="45"/>
        <v>85</v>
      </c>
      <c r="M65" s="210">
        <f>SUM(M61:M63)</f>
        <v>168</v>
      </c>
      <c r="N65" s="210">
        <f t="shared" si="45"/>
        <v>118</v>
      </c>
      <c r="O65" s="210">
        <f t="shared" si="45"/>
        <v>93</v>
      </c>
      <c r="P65" s="210">
        <f t="shared" si="45"/>
        <v>172</v>
      </c>
      <c r="Q65" s="210">
        <f t="shared" si="45"/>
        <v>120</v>
      </c>
      <c r="R65" s="210">
        <f t="shared" si="45"/>
        <v>94</v>
      </c>
      <c r="S65" s="210">
        <f t="shared" si="45"/>
        <v>171</v>
      </c>
      <c r="T65" s="210">
        <f t="shared" si="45"/>
        <v>121</v>
      </c>
      <c r="U65" s="210">
        <f t="shared" si="45"/>
        <v>93</v>
      </c>
      <c r="V65" s="210">
        <f t="shared" si="45"/>
        <v>168</v>
      </c>
      <c r="W65" s="210">
        <f t="shared" si="45"/>
        <v>118</v>
      </c>
      <c r="X65" s="210">
        <f t="shared" si="45"/>
        <v>93</v>
      </c>
      <c r="Y65" s="210">
        <f t="shared" si="45"/>
        <v>166</v>
      </c>
      <c r="Z65" s="210">
        <f t="shared" si="45"/>
        <v>117</v>
      </c>
      <c r="AA65" s="210">
        <f t="shared" si="45"/>
        <v>91</v>
      </c>
      <c r="AB65" s="210">
        <f t="shared" si="45"/>
        <v>163</v>
      </c>
      <c r="AC65" s="210">
        <f t="shared" si="45"/>
        <v>115</v>
      </c>
      <c r="AD65" s="210">
        <f t="shared" si="45"/>
        <v>90</v>
      </c>
      <c r="AE65" s="210">
        <f t="shared" si="45"/>
        <v>159</v>
      </c>
      <c r="AF65" s="210">
        <f t="shared" si="45"/>
        <v>112</v>
      </c>
      <c r="AG65" s="210">
        <f t="shared" si="45"/>
        <v>87</v>
      </c>
      <c r="AH65" s="210">
        <f t="shared" si="45"/>
        <v>156</v>
      </c>
      <c r="AI65" s="210">
        <f t="shared" si="45"/>
        <v>109</v>
      </c>
      <c r="AJ65" s="210">
        <f t="shared" si="45"/>
        <v>85</v>
      </c>
      <c r="AK65" s="210">
        <f t="shared" si="45"/>
        <v>151</v>
      </c>
      <c r="AL65" s="210">
        <f t="shared" si="45"/>
        <v>107</v>
      </c>
      <c r="AM65" s="210">
        <f t="shared" si="45"/>
        <v>83</v>
      </c>
      <c r="AN65" s="210">
        <f t="shared" si="45"/>
        <v>149</v>
      </c>
    </row>
    <row r="66" spans="2:40" s="7" customFormat="1" ht="12" customHeight="1">
      <c r="B66" s="237"/>
      <c r="C66" s="214" t="s">
        <v>848</v>
      </c>
      <c r="D66" s="214"/>
      <c r="E66" s="205">
        <f t="shared" ref="E66:AN66" si="46">SUM(E64:E65)</f>
        <v>120</v>
      </c>
      <c r="F66" s="205">
        <f t="shared" si="46"/>
        <v>104</v>
      </c>
      <c r="G66" s="205">
        <f t="shared" si="46"/>
        <v>162</v>
      </c>
      <c r="H66" s="205">
        <f t="shared" si="46"/>
        <v>127</v>
      </c>
      <c r="I66" s="205">
        <f t="shared" si="46"/>
        <v>70</v>
      </c>
      <c r="J66" s="205">
        <f>SUM(J64:J65)</f>
        <v>158</v>
      </c>
      <c r="K66" s="205">
        <f t="shared" si="46"/>
        <v>116</v>
      </c>
      <c r="L66" s="205">
        <f t="shared" si="46"/>
        <v>88</v>
      </c>
      <c r="M66" s="205">
        <f t="shared" si="46"/>
        <v>168</v>
      </c>
      <c r="N66" s="205">
        <f t="shared" si="46"/>
        <v>118</v>
      </c>
      <c r="O66" s="205">
        <f t="shared" si="46"/>
        <v>93</v>
      </c>
      <c r="P66" s="205">
        <f t="shared" si="46"/>
        <v>172</v>
      </c>
      <c r="Q66" s="205">
        <f t="shared" si="46"/>
        <v>120</v>
      </c>
      <c r="R66" s="205">
        <f t="shared" si="46"/>
        <v>94</v>
      </c>
      <c r="S66" s="205">
        <f t="shared" si="46"/>
        <v>171</v>
      </c>
      <c r="T66" s="205">
        <f t="shared" si="46"/>
        <v>121</v>
      </c>
      <c r="U66" s="205">
        <f t="shared" si="46"/>
        <v>93</v>
      </c>
      <c r="V66" s="205">
        <f t="shared" si="46"/>
        <v>168</v>
      </c>
      <c r="W66" s="205">
        <f t="shared" si="46"/>
        <v>118</v>
      </c>
      <c r="X66" s="205">
        <f t="shared" si="46"/>
        <v>93</v>
      </c>
      <c r="Y66" s="205">
        <f t="shared" si="46"/>
        <v>166</v>
      </c>
      <c r="Z66" s="205">
        <f t="shared" si="46"/>
        <v>117</v>
      </c>
      <c r="AA66" s="205">
        <f t="shared" si="46"/>
        <v>91</v>
      </c>
      <c r="AB66" s="205">
        <f t="shared" si="46"/>
        <v>163</v>
      </c>
      <c r="AC66" s="205">
        <f t="shared" si="46"/>
        <v>115</v>
      </c>
      <c r="AD66" s="205">
        <f t="shared" si="46"/>
        <v>90</v>
      </c>
      <c r="AE66" s="205">
        <f t="shared" si="46"/>
        <v>159</v>
      </c>
      <c r="AF66" s="205">
        <f t="shared" si="46"/>
        <v>112</v>
      </c>
      <c r="AG66" s="205">
        <f t="shared" si="46"/>
        <v>87</v>
      </c>
      <c r="AH66" s="205">
        <f t="shared" si="46"/>
        <v>156</v>
      </c>
      <c r="AI66" s="205">
        <f t="shared" si="46"/>
        <v>109</v>
      </c>
      <c r="AJ66" s="205">
        <f t="shared" si="46"/>
        <v>85</v>
      </c>
      <c r="AK66" s="205">
        <f t="shared" si="46"/>
        <v>151</v>
      </c>
      <c r="AL66" s="205">
        <f t="shared" si="46"/>
        <v>107</v>
      </c>
      <c r="AM66" s="205">
        <f t="shared" si="46"/>
        <v>83</v>
      </c>
      <c r="AN66" s="205">
        <f t="shared" si="46"/>
        <v>149</v>
      </c>
    </row>
    <row r="67" spans="2:40" s="7" customFormat="1" ht="12" customHeight="1">
      <c r="B67" s="239"/>
      <c r="C67" s="214"/>
      <c r="D67" s="214"/>
      <c r="E67" s="211"/>
      <c r="F67" s="211"/>
      <c r="G67" s="211"/>
      <c r="H67" s="211"/>
      <c r="I67" s="211"/>
      <c r="J67" s="211"/>
      <c r="K67" s="211"/>
      <c r="L67" s="211"/>
      <c r="M67" s="211"/>
      <c r="N67" s="211"/>
      <c r="O67" s="211"/>
      <c r="P67" s="211"/>
      <c r="Q67" s="211"/>
      <c r="R67" s="211"/>
      <c r="S67" s="211"/>
      <c r="T67" s="211"/>
      <c r="U67" s="211"/>
      <c r="V67" s="211"/>
      <c r="W67" s="211"/>
      <c r="X67" s="211"/>
      <c r="Y67" s="211"/>
      <c r="Z67" s="211"/>
      <c r="AA67" s="211"/>
      <c r="AB67" s="211"/>
      <c r="AC67" s="211"/>
      <c r="AD67" s="211"/>
      <c r="AE67" s="211"/>
      <c r="AF67" s="211"/>
      <c r="AG67" s="211"/>
      <c r="AH67" s="211"/>
      <c r="AI67" s="211"/>
      <c r="AJ67" s="211"/>
      <c r="AK67" s="211"/>
      <c r="AL67" s="211"/>
      <c r="AM67" s="211"/>
      <c r="AN67" s="211"/>
    </row>
    <row r="68" spans="2:40" s="7" customFormat="1" ht="12" hidden="1" customHeight="1" outlineLevel="1">
      <c r="B68" s="239"/>
      <c r="C68" s="243" t="s">
        <v>849</v>
      </c>
      <c r="D68" s="214"/>
      <c r="O68" s="212"/>
      <c r="P68" s="212"/>
      <c r="Q68" s="212"/>
      <c r="R68" s="212"/>
      <c r="S68" s="212"/>
      <c r="T68" s="212"/>
      <c r="U68" s="212"/>
      <c r="V68" s="212"/>
      <c r="W68" s="212"/>
      <c r="X68" s="212"/>
      <c r="Y68" s="212"/>
      <c r="Z68" s="212"/>
      <c r="AA68" s="212"/>
      <c r="AB68" s="212"/>
      <c r="AC68" s="212"/>
      <c r="AD68" s="212"/>
      <c r="AE68" s="212"/>
      <c r="AF68" s="212"/>
      <c r="AG68" s="212"/>
      <c r="AH68" s="212"/>
      <c r="AI68" s="212"/>
      <c r="AJ68" s="212"/>
      <c r="AK68" s="212"/>
      <c r="AL68" s="212"/>
      <c r="AM68" s="212"/>
      <c r="AN68" s="212"/>
    </row>
    <row r="69" spans="2:40" s="7" customFormat="1" ht="12" hidden="1" customHeight="1" outlineLevel="1">
      <c r="B69" s="239"/>
      <c r="C69" s="214" t="s">
        <v>850</v>
      </c>
      <c r="D69" s="214"/>
      <c r="E69" s="196" t="s">
        <v>753</v>
      </c>
      <c r="F69" s="196" t="s">
        <v>754</v>
      </c>
      <c r="G69" s="196" t="s">
        <v>755</v>
      </c>
      <c r="H69" s="196" t="s">
        <v>756</v>
      </c>
      <c r="I69" s="196" t="s">
        <v>757</v>
      </c>
      <c r="J69" s="196" t="s">
        <v>758</v>
      </c>
      <c r="K69" s="196" t="s">
        <v>759</v>
      </c>
      <c r="L69" s="196" t="s">
        <v>760</v>
      </c>
      <c r="M69" s="196" t="s">
        <v>761</v>
      </c>
      <c r="N69" s="196" t="s">
        <v>762</v>
      </c>
      <c r="O69" s="196" t="s">
        <v>763</v>
      </c>
      <c r="P69" s="196" t="s">
        <v>764</v>
      </c>
      <c r="Q69" s="196" t="s">
        <v>765</v>
      </c>
      <c r="R69" s="196" t="s">
        <v>766</v>
      </c>
      <c r="S69" s="196" t="s">
        <v>767</v>
      </c>
      <c r="T69" s="196" t="s">
        <v>768</v>
      </c>
      <c r="U69" s="196" t="s">
        <v>769</v>
      </c>
      <c r="V69" s="196" t="s">
        <v>770</v>
      </c>
      <c r="W69" s="196" t="s">
        <v>771</v>
      </c>
      <c r="X69" s="196" t="s">
        <v>772</v>
      </c>
      <c r="Y69" s="196" t="s">
        <v>773</v>
      </c>
      <c r="Z69" s="196" t="s">
        <v>774</v>
      </c>
      <c r="AA69" s="196" t="s">
        <v>775</v>
      </c>
      <c r="AB69" s="196" t="s">
        <v>776</v>
      </c>
      <c r="AC69" s="196" t="s">
        <v>777</v>
      </c>
      <c r="AD69" s="196" t="s">
        <v>778</v>
      </c>
      <c r="AE69" s="196" t="s">
        <v>779</v>
      </c>
      <c r="AF69" s="196" t="s">
        <v>780</v>
      </c>
      <c r="AG69" s="196" t="s">
        <v>781</v>
      </c>
      <c r="AH69" s="196" t="s">
        <v>782</v>
      </c>
      <c r="AI69" s="196" t="s">
        <v>783</v>
      </c>
      <c r="AJ69" s="196" t="s">
        <v>784</v>
      </c>
      <c r="AK69" s="196" t="s">
        <v>785</v>
      </c>
      <c r="AL69" s="196" t="s">
        <v>786</v>
      </c>
      <c r="AM69" s="196" t="s">
        <v>787</v>
      </c>
      <c r="AN69" s="196" t="s">
        <v>788</v>
      </c>
    </row>
    <row r="70" spans="2:40" s="7" customFormat="1" ht="12" hidden="1" customHeight="1" outlineLevel="2">
      <c r="B70" s="239"/>
      <c r="C70" s="212" t="s">
        <v>851</v>
      </c>
      <c r="D70" s="212"/>
      <c r="E70" s="344">
        <v>0</v>
      </c>
      <c r="F70" s="344">
        <v>0</v>
      </c>
      <c r="G70" s="344">
        <v>0</v>
      </c>
      <c r="H70" s="344">
        <v>0</v>
      </c>
      <c r="I70" s="344">
        <v>0</v>
      </c>
      <c r="J70" s="344">
        <v>0</v>
      </c>
      <c r="K70" s="344">
        <v>0</v>
      </c>
      <c r="L70" s="344">
        <v>0</v>
      </c>
      <c r="M70" s="344">
        <v>0</v>
      </c>
      <c r="N70" s="344">
        <v>0</v>
      </c>
      <c r="O70" s="344">
        <v>0</v>
      </c>
      <c r="P70" s="344">
        <v>0</v>
      </c>
      <c r="Q70" s="344">
        <v>0</v>
      </c>
      <c r="R70" s="344">
        <v>0</v>
      </c>
      <c r="S70" s="344">
        <v>0</v>
      </c>
      <c r="T70" s="344">
        <v>0</v>
      </c>
      <c r="U70" s="344">
        <v>0</v>
      </c>
      <c r="V70" s="344">
        <v>0</v>
      </c>
      <c r="W70" s="344">
        <v>0</v>
      </c>
      <c r="X70" s="344">
        <v>0</v>
      </c>
      <c r="Y70" s="344">
        <v>0</v>
      </c>
      <c r="Z70" s="344">
        <v>0</v>
      </c>
      <c r="AA70" s="344">
        <v>0</v>
      </c>
      <c r="AB70" s="344">
        <v>0</v>
      </c>
      <c r="AC70" s="344">
        <v>0</v>
      </c>
      <c r="AD70" s="344">
        <v>0</v>
      </c>
      <c r="AE70" s="344">
        <v>0</v>
      </c>
      <c r="AF70" s="344">
        <v>0</v>
      </c>
      <c r="AG70" s="344">
        <v>0</v>
      </c>
      <c r="AH70" s="344">
        <v>0</v>
      </c>
      <c r="AI70" s="344">
        <v>0</v>
      </c>
      <c r="AJ70" s="344">
        <v>0</v>
      </c>
      <c r="AK70" s="344">
        <v>0</v>
      </c>
      <c r="AL70" s="344">
        <v>0</v>
      </c>
      <c r="AM70" s="344">
        <v>0</v>
      </c>
      <c r="AN70" s="344">
        <v>0</v>
      </c>
    </row>
    <row r="71" spans="2:40" s="7" customFormat="1" ht="12" hidden="1" customHeight="1" outlineLevel="1">
      <c r="B71" s="239"/>
      <c r="C71" s="214" t="s">
        <v>852</v>
      </c>
      <c r="D71" s="212"/>
      <c r="E71" s="211">
        <v>26</v>
      </c>
      <c r="F71" s="211">
        <f>E71*98%</f>
        <v>25.48</v>
      </c>
      <c r="G71" s="211">
        <v>38</v>
      </c>
      <c r="H71" s="211">
        <f t="shared" ref="H71:AN71" si="47">G71*98%</f>
        <v>37.24</v>
      </c>
      <c r="I71" s="211">
        <v>14</v>
      </c>
      <c r="J71" s="211">
        <f t="shared" si="47"/>
        <v>13.719999999999999</v>
      </c>
      <c r="K71" s="211">
        <f t="shared" si="47"/>
        <v>13.445599999999999</v>
      </c>
      <c r="L71" s="211">
        <f t="shared" si="47"/>
        <v>13.176687999999999</v>
      </c>
      <c r="M71" s="211">
        <f t="shared" si="47"/>
        <v>12.913154239999999</v>
      </c>
      <c r="N71" s="211">
        <f t="shared" si="47"/>
        <v>12.6548911552</v>
      </c>
      <c r="O71" s="211">
        <f t="shared" si="47"/>
        <v>12.401793332096</v>
      </c>
      <c r="P71" s="211">
        <f t="shared" si="47"/>
        <v>12.153757465454079</v>
      </c>
      <c r="Q71" s="211">
        <f t="shared" si="47"/>
        <v>11.910682316144998</v>
      </c>
      <c r="R71" s="211">
        <f t="shared" si="47"/>
        <v>11.672468669822097</v>
      </c>
      <c r="S71" s="211">
        <f t="shared" si="47"/>
        <v>11.439019296425654</v>
      </c>
      <c r="T71" s="211">
        <f t="shared" si="47"/>
        <v>11.210238910497141</v>
      </c>
      <c r="U71" s="211">
        <f t="shared" si="47"/>
        <v>10.986034132287198</v>
      </c>
      <c r="V71" s="211">
        <f t="shared" si="47"/>
        <v>10.766313449641453</v>
      </c>
      <c r="W71" s="211">
        <f t="shared" si="47"/>
        <v>10.550987180648624</v>
      </c>
      <c r="X71" s="211">
        <f t="shared" si="47"/>
        <v>10.339967437035652</v>
      </c>
      <c r="Y71" s="211">
        <f t="shared" si="47"/>
        <v>10.133168088294939</v>
      </c>
      <c r="Z71" s="211">
        <f t="shared" si="47"/>
        <v>9.9305047265290405</v>
      </c>
      <c r="AA71" s="211">
        <f t="shared" si="47"/>
        <v>9.7318946319984594</v>
      </c>
      <c r="AB71" s="211">
        <f t="shared" si="47"/>
        <v>9.5372567393584902</v>
      </c>
      <c r="AC71" s="211">
        <f t="shared" si="47"/>
        <v>9.3465116045713206</v>
      </c>
      <c r="AD71" s="211">
        <f t="shared" si="47"/>
        <v>9.1595813724798933</v>
      </c>
      <c r="AE71" s="211">
        <f t="shared" si="47"/>
        <v>8.9763897450302945</v>
      </c>
      <c r="AF71" s="211">
        <f t="shared" si="47"/>
        <v>8.7968619501296885</v>
      </c>
      <c r="AG71" s="211">
        <f t="shared" si="47"/>
        <v>8.6209247111270955</v>
      </c>
      <c r="AH71" s="211">
        <f t="shared" si="47"/>
        <v>8.4485062169045531</v>
      </c>
      <c r="AI71" s="211">
        <f t="shared" si="47"/>
        <v>8.2795360925664614</v>
      </c>
      <c r="AJ71" s="211">
        <f t="shared" si="47"/>
        <v>8.1139453707151326</v>
      </c>
      <c r="AK71" s="211">
        <f t="shared" si="47"/>
        <v>7.95166646330083</v>
      </c>
      <c r="AL71" s="211">
        <f t="shared" si="47"/>
        <v>7.7926331340348129</v>
      </c>
      <c r="AM71" s="211">
        <f t="shared" si="47"/>
        <v>7.6367804713541165</v>
      </c>
      <c r="AN71" s="211">
        <f t="shared" si="47"/>
        <v>7.4840448619270337</v>
      </c>
    </row>
    <row r="72" spans="2:40" s="7" customFormat="1" ht="12" hidden="1" customHeight="1" outlineLevel="1">
      <c r="B72" s="245"/>
      <c r="C72" s="213" t="s">
        <v>753</v>
      </c>
      <c r="D72" s="213"/>
      <c r="E72" s="211">
        <f>INDEX($C$44:$AN$64,MATCH("New Customers One-Time",$C$44:$C$64,0),MATCH($C72,$C$44:$AN$44,0))</f>
        <v>4</v>
      </c>
      <c r="F72" s="211">
        <f>$E$72*(1-E70)</f>
        <v>4</v>
      </c>
      <c r="G72" s="211">
        <f>$E$72*(1-F70)</f>
        <v>4</v>
      </c>
      <c r="H72" s="211">
        <f t="shared" ref="H72:AN72" si="48">$E$72*(1-G70)</f>
        <v>4</v>
      </c>
      <c r="I72" s="211">
        <f t="shared" si="48"/>
        <v>4</v>
      </c>
      <c r="J72" s="211">
        <f t="shared" si="48"/>
        <v>4</v>
      </c>
      <c r="K72" s="211">
        <f t="shared" si="48"/>
        <v>4</v>
      </c>
      <c r="L72" s="211">
        <f t="shared" si="48"/>
        <v>4</v>
      </c>
      <c r="M72" s="211">
        <f t="shared" si="48"/>
        <v>4</v>
      </c>
      <c r="N72" s="211">
        <f t="shared" si="48"/>
        <v>4</v>
      </c>
      <c r="O72" s="211">
        <f t="shared" si="48"/>
        <v>4</v>
      </c>
      <c r="P72" s="211">
        <f t="shared" si="48"/>
        <v>4</v>
      </c>
      <c r="Q72" s="211">
        <f t="shared" si="48"/>
        <v>4</v>
      </c>
      <c r="R72" s="211">
        <f t="shared" si="48"/>
        <v>4</v>
      </c>
      <c r="S72" s="211">
        <f t="shared" si="48"/>
        <v>4</v>
      </c>
      <c r="T72" s="211">
        <f t="shared" si="48"/>
        <v>4</v>
      </c>
      <c r="U72" s="211">
        <f t="shared" si="48"/>
        <v>4</v>
      </c>
      <c r="V72" s="211">
        <f t="shared" si="48"/>
        <v>4</v>
      </c>
      <c r="W72" s="211">
        <f t="shared" si="48"/>
        <v>4</v>
      </c>
      <c r="X72" s="211">
        <f t="shared" si="48"/>
        <v>4</v>
      </c>
      <c r="Y72" s="211">
        <f t="shared" si="48"/>
        <v>4</v>
      </c>
      <c r="Z72" s="211">
        <f t="shared" si="48"/>
        <v>4</v>
      </c>
      <c r="AA72" s="211">
        <f t="shared" si="48"/>
        <v>4</v>
      </c>
      <c r="AB72" s="211">
        <f t="shared" si="48"/>
        <v>4</v>
      </c>
      <c r="AC72" s="211">
        <f t="shared" si="48"/>
        <v>4</v>
      </c>
      <c r="AD72" s="211">
        <f t="shared" si="48"/>
        <v>4</v>
      </c>
      <c r="AE72" s="211">
        <f t="shared" si="48"/>
        <v>4</v>
      </c>
      <c r="AF72" s="211">
        <f t="shared" si="48"/>
        <v>4</v>
      </c>
      <c r="AG72" s="211">
        <f t="shared" si="48"/>
        <v>4</v>
      </c>
      <c r="AH72" s="211">
        <f t="shared" si="48"/>
        <v>4</v>
      </c>
      <c r="AI72" s="211">
        <f t="shared" si="48"/>
        <v>4</v>
      </c>
      <c r="AJ72" s="211">
        <f t="shared" si="48"/>
        <v>4</v>
      </c>
      <c r="AK72" s="211">
        <f t="shared" si="48"/>
        <v>4</v>
      </c>
      <c r="AL72" s="211">
        <f t="shared" si="48"/>
        <v>4</v>
      </c>
      <c r="AM72" s="211">
        <f t="shared" si="48"/>
        <v>4</v>
      </c>
      <c r="AN72" s="211">
        <f t="shared" si="48"/>
        <v>4</v>
      </c>
    </row>
    <row r="73" spans="2:40" s="7" customFormat="1" ht="12" hidden="1" customHeight="1" outlineLevel="1">
      <c r="B73" s="245"/>
      <c r="C73" s="213" t="s">
        <v>754</v>
      </c>
      <c r="D73" s="213"/>
      <c r="E73" s="213"/>
      <c r="F73" s="211">
        <f>INDEX($C$44:$AN$64,MATCH("New Customers One-Time",$C$44:$C$64,0),MATCH($C73,$C$44:$AN$44,0))</f>
        <v>2</v>
      </c>
      <c r="G73" s="211">
        <f>$F$73*(1-E70)</f>
        <v>2</v>
      </c>
      <c r="H73" s="211">
        <f t="shared" ref="H73:AN73" si="49">$F$73*(1-F70)</f>
        <v>2</v>
      </c>
      <c r="I73" s="211">
        <f t="shared" si="49"/>
        <v>2</v>
      </c>
      <c r="J73" s="211">
        <f t="shared" si="49"/>
        <v>2</v>
      </c>
      <c r="K73" s="211">
        <f t="shared" si="49"/>
        <v>2</v>
      </c>
      <c r="L73" s="211">
        <f t="shared" si="49"/>
        <v>2</v>
      </c>
      <c r="M73" s="211">
        <f t="shared" si="49"/>
        <v>2</v>
      </c>
      <c r="N73" s="211">
        <f t="shared" si="49"/>
        <v>2</v>
      </c>
      <c r="O73" s="211">
        <f t="shared" si="49"/>
        <v>2</v>
      </c>
      <c r="P73" s="211">
        <f t="shared" si="49"/>
        <v>2</v>
      </c>
      <c r="Q73" s="211">
        <f t="shared" si="49"/>
        <v>2</v>
      </c>
      <c r="R73" s="211">
        <f t="shared" si="49"/>
        <v>2</v>
      </c>
      <c r="S73" s="211">
        <f t="shared" si="49"/>
        <v>2</v>
      </c>
      <c r="T73" s="211">
        <f t="shared" si="49"/>
        <v>2</v>
      </c>
      <c r="U73" s="211">
        <f t="shared" si="49"/>
        <v>2</v>
      </c>
      <c r="V73" s="211">
        <f t="shared" si="49"/>
        <v>2</v>
      </c>
      <c r="W73" s="211">
        <f t="shared" si="49"/>
        <v>2</v>
      </c>
      <c r="X73" s="211">
        <f t="shared" si="49"/>
        <v>2</v>
      </c>
      <c r="Y73" s="211">
        <f t="shared" si="49"/>
        <v>2</v>
      </c>
      <c r="Z73" s="211">
        <f t="shared" si="49"/>
        <v>2</v>
      </c>
      <c r="AA73" s="211">
        <f t="shared" si="49"/>
        <v>2</v>
      </c>
      <c r="AB73" s="211">
        <f t="shared" si="49"/>
        <v>2</v>
      </c>
      <c r="AC73" s="211">
        <f t="shared" si="49"/>
        <v>2</v>
      </c>
      <c r="AD73" s="211">
        <f t="shared" si="49"/>
        <v>2</v>
      </c>
      <c r="AE73" s="211">
        <f t="shared" si="49"/>
        <v>2</v>
      </c>
      <c r="AF73" s="211">
        <f t="shared" si="49"/>
        <v>2</v>
      </c>
      <c r="AG73" s="211">
        <f t="shared" si="49"/>
        <v>2</v>
      </c>
      <c r="AH73" s="211">
        <f t="shared" si="49"/>
        <v>2</v>
      </c>
      <c r="AI73" s="211">
        <f t="shared" si="49"/>
        <v>2</v>
      </c>
      <c r="AJ73" s="211">
        <f t="shared" si="49"/>
        <v>2</v>
      </c>
      <c r="AK73" s="211">
        <f t="shared" si="49"/>
        <v>2</v>
      </c>
      <c r="AL73" s="211">
        <f t="shared" si="49"/>
        <v>2</v>
      </c>
      <c r="AM73" s="211">
        <f t="shared" si="49"/>
        <v>2</v>
      </c>
      <c r="AN73" s="211">
        <f t="shared" si="49"/>
        <v>2</v>
      </c>
    </row>
    <row r="74" spans="2:40" s="7" customFormat="1" ht="12" hidden="1" customHeight="1" outlineLevel="1">
      <c r="B74" s="245"/>
      <c r="C74" s="213" t="s">
        <v>755</v>
      </c>
      <c r="D74" s="213"/>
      <c r="E74" s="213"/>
      <c r="G74" s="211">
        <f>INDEX($C$44:$AN$66,MATCH("New Customers One-Time",$C$44:$C$66,0),MATCH($C74,$C$44:$AN$44,0))</f>
        <v>3</v>
      </c>
      <c r="H74" s="211">
        <f>$G$74*(1-E70)</f>
        <v>3</v>
      </c>
      <c r="I74" s="211">
        <f t="shared" ref="I74:AN74" si="50">$G$74*(1-F70)</f>
        <v>3</v>
      </c>
      <c r="J74" s="211">
        <f t="shared" si="50"/>
        <v>3</v>
      </c>
      <c r="K74" s="211">
        <f t="shared" si="50"/>
        <v>3</v>
      </c>
      <c r="L74" s="211">
        <f t="shared" si="50"/>
        <v>3</v>
      </c>
      <c r="M74" s="211">
        <f t="shared" si="50"/>
        <v>3</v>
      </c>
      <c r="N74" s="211">
        <f t="shared" si="50"/>
        <v>3</v>
      </c>
      <c r="O74" s="211">
        <f t="shared" si="50"/>
        <v>3</v>
      </c>
      <c r="P74" s="211">
        <f t="shared" si="50"/>
        <v>3</v>
      </c>
      <c r="Q74" s="211">
        <f t="shared" si="50"/>
        <v>3</v>
      </c>
      <c r="R74" s="211">
        <f t="shared" si="50"/>
        <v>3</v>
      </c>
      <c r="S74" s="211">
        <f t="shared" si="50"/>
        <v>3</v>
      </c>
      <c r="T74" s="211">
        <f t="shared" si="50"/>
        <v>3</v>
      </c>
      <c r="U74" s="211">
        <f t="shared" si="50"/>
        <v>3</v>
      </c>
      <c r="V74" s="211">
        <f t="shared" si="50"/>
        <v>3</v>
      </c>
      <c r="W74" s="211">
        <f t="shared" si="50"/>
        <v>3</v>
      </c>
      <c r="X74" s="211">
        <f t="shared" si="50"/>
        <v>3</v>
      </c>
      <c r="Y74" s="211">
        <f t="shared" si="50"/>
        <v>3</v>
      </c>
      <c r="Z74" s="211">
        <f t="shared" si="50"/>
        <v>3</v>
      </c>
      <c r="AA74" s="211">
        <f t="shared" si="50"/>
        <v>3</v>
      </c>
      <c r="AB74" s="211">
        <f t="shared" si="50"/>
        <v>3</v>
      </c>
      <c r="AC74" s="211">
        <f t="shared" si="50"/>
        <v>3</v>
      </c>
      <c r="AD74" s="211">
        <f t="shared" si="50"/>
        <v>3</v>
      </c>
      <c r="AE74" s="211">
        <f t="shared" si="50"/>
        <v>3</v>
      </c>
      <c r="AF74" s="211">
        <f t="shared" si="50"/>
        <v>3</v>
      </c>
      <c r="AG74" s="211">
        <f t="shared" si="50"/>
        <v>3</v>
      </c>
      <c r="AH74" s="211">
        <f t="shared" si="50"/>
        <v>3</v>
      </c>
      <c r="AI74" s="211">
        <f t="shared" si="50"/>
        <v>3</v>
      </c>
      <c r="AJ74" s="211">
        <f t="shared" si="50"/>
        <v>3</v>
      </c>
      <c r="AK74" s="211">
        <f t="shared" si="50"/>
        <v>3</v>
      </c>
      <c r="AL74" s="211">
        <f t="shared" si="50"/>
        <v>3</v>
      </c>
      <c r="AM74" s="211">
        <f t="shared" si="50"/>
        <v>3</v>
      </c>
      <c r="AN74" s="211">
        <f t="shared" si="50"/>
        <v>3</v>
      </c>
    </row>
    <row r="75" spans="2:40" s="7" customFormat="1" ht="12" hidden="1" customHeight="1" outlineLevel="1">
      <c r="B75" s="245"/>
      <c r="C75" s="213" t="s">
        <v>756</v>
      </c>
      <c r="D75" s="213"/>
      <c r="E75" s="213"/>
      <c r="F75" s="213"/>
      <c r="G75" s="213"/>
      <c r="H75" s="211">
        <f>INDEX($C$44:$AN$66,MATCH("New Customers One-Time",$C$44:$C$66,0),MATCH($C75,$C$44:$AN$44,0))</f>
        <v>11</v>
      </c>
      <c r="I75" s="211">
        <f>$H$75*(1-E70)</f>
        <v>11</v>
      </c>
      <c r="J75" s="211">
        <f t="shared" ref="J75:AN75" si="51">$H$75*(1-F70)</f>
        <v>11</v>
      </c>
      <c r="K75" s="211">
        <f t="shared" si="51"/>
        <v>11</v>
      </c>
      <c r="L75" s="211">
        <f t="shared" si="51"/>
        <v>11</v>
      </c>
      <c r="M75" s="211">
        <f t="shared" si="51"/>
        <v>11</v>
      </c>
      <c r="N75" s="211">
        <f t="shared" si="51"/>
        <v>11</v>
      </c>
      <c r="O75" s="211">
        <f t="shared" si="51"/>
        <v>11</v>
      </c>
      <c r="P75" s="211">
        <f t="shared" si="51"/>
        <v>11</v>
      </c>
      <c r="Q75" s="211">
        <f t="shared" si="51"/>
        <v>11</v>
      </c>
      <c r="R75" s="211">
        <f t="shared" si="51"/>
        <v>11</v>
      </c>
      <c r="S75" s="211">
        <f t="shared" si="51"/>
        <v>11</v>
      </c>
      <c r="T75" s="211">
        <f t="shared" si="51"/>
        <v>11</v>
      </c>
      <c r="U75" s="211">
        <f t="shared" si="51"/>
        <v>11</v>
      </c>
      <c r="V75" s="211">
        <f t="shared" si="51"/>
        <v>11</v>
      </c>
      <c r="W75" s="211">
        <f t="shared" si="51"/>
        <v>11</v>
      </c>
      <c r="X75" s="211">
        <f t="shared" si="51"/>
        <v>11</v>
      </c>
      <c r="Y75" s="211">
        <f t="shared" si="51"/>
        <v>11</v>
      </c>
      <c r="Z75" s="211">
        <f t="shared" si="51"/>
        <v>11</v>
      </c>
      <c r="AA75" s="211">
        <f t="shared" si="51"/>
        <v>11</v>
      </c>
      <c r="AB75" s="211">
        <f t="shared" si="51"/>
        <v>11</v>
      </c>
      <c r="AC75" s="211">
        <f t="shared" si="51"/>
        <v>11</v>
      </c>
      <c r="AD75" s="211">
        <f t="shared" si="51"/>
        <v>11</v>
      </c>
      <c r="AE75" s="211">
        <f t="shared" si="51"/>
        <v>11</v>
      </c>
      <c r="AF75" s="211">
        <f t="shared" si="51"/>
        <v>11</v>
      </c>
      <c r="AG75" s="211">
        <f t="shared" si="51"/>
        <v>11</v>
      </c>
      <c r="AH75" s="211">
        <f t="shared" si="51"/>
        <v>11</v>
      </c>
      <c r="AI75" s="211">
        <f t="shared" si="51"/>
        <v>11</v>
      </c>
      <c r="AJ75" s="211">
        <f t="shared" si="51"/>
        <v>11</v>
      </c>
      <c r="AK75" s="211">
        <f t="shared" si="51"/>
        <v>11</v>
      </c>
      <c r="AL75" s="211">
        <f t="shared" si="51"/>
        <v>11</v>
      </c>
      <c r="AM75" s="211">
        <f t="shared" si="51"/>
        <v>11</v>
      </c>
      <c r="AN75" s="211">
        <f t="shared" si="51"/>
        <v>11</v>
      </c>
    </row>
    <row r="76" spans="2:40" s="7" customFormat="1" ht="12" hidden="1" customHeight="1" outlineLevel="1">
      <c r="B76" s="245"/>
      <c r="C76" s="213" t="s">
        <v>757</v>
      </c>
      <c r="D76" s="213"/>
      <c r="E76" s="213"/>
      <c r="F76" s="213"/>
      <c r="G76" s="213"/>
      <c r="H76" s="213"/>
      <c r="I76" s="211">
        <f>INDEX($C$44:$AN$66,MATCH("New Customers One-Time",$C$44:$C$66,0),MATCH($C76,$C$44:$AN$44,0))</f>
        <v>1</v>
      </c>
      <c r="J76" s="211">
        <f>$I$76*(1-E70)</f>
        <v>1</v>
      </c>
      <c r="K76" s="211">
        <f t="shared" ref="K76:AN76" si="52">$I$76*(1-F70)</f>
        <v>1</v>
      </c>
      <c r="L76" s="211">
        <f t="shared" si="52"/>
        <v>1</v>
      </c>
      <c r="M76" s="211">
        <f t="shared" si="52"/>
        <v>1</v>
      </c>
      <c r="N76" s="211">
        <f t="shared" si="52"/>
        <v>1</v>
      </c>
      <c r="O76" s="211">
        <f t="shared" si="52"/>
        <v>1</v>
      </c>
      <c r="P76" s="211">
        <f t="shared" si="52"/>
        <v>1</v>
      </c>
      <c r="Q76" s="211">
        <f t="shared" si="52"/>
        <v>1</v>
      </c>
      <c r="R76" s="211">
        <f t="shared" si="52"/>
        <v>1</v>
      </c>
      <c r="S76" s="211">
        <f t="shared" si="52"/>
        <v>1</v>
      </c>
      <c r="T76" s="211">
        <f t="shared" si="52"/>
        <v>1</v>
      </c>
      <c r="U76" s="211">
        <f t="shared" si="52"/>
        <v>1</v>
      </c>
      <c r="V76" s="211">
        <f t="shared" si="52"/>
        <v>1</v>
      </c>
      <c r="W76" s="211">
        <f t="shared" si="52"/>
        <v>1</v>
      </c>
      <c r="X76" s="211">
        <f t="shared" si="52"/>
        <v>1</v>
      </c>
      <c r="Y76" s="211">
        <f t="shared" si="52"/>
        <v>1</v>
      </c>
      <c r="Z76" s="211">
        <f t="shared" si="52"/>
        <v>1</v>
      </c>
      <c r="AA76" s="211">
        <f t="shared" si="52"/>
        <v>1</v>
      </c>
      <c r="AB76" s="211">
        <f t="shared" si="52"/>
        <v>1</v>
      </c>
      <c r="AC76" s="211">
        <f t="shared" si="52"/>
        <v>1</v>
      </c>
      <c r="AD76" s="211">
        <f t="shared" si="52"/>
        <v>1</v>
      </c>
      <c r="AE76" s="211">
        <f t="shared" si="52"/>
        <v>1</v>
      </c>
      <c r="AF76" s="211">
        <f t="shared" si="52"/>
        <v>1</v>
      </c>
      <c r="AG76" s="211">
        <f t="shared" si="52"/>
        <v>1</v>
      </c>
      <c r="AH76" s="211">
        <f t="shared" si="52"/>
        <v>1</v>
      </c>
      <c r="AI76" s="211">
        <f t="shared" si="52"/>
        <v>1</v>
      </c>
      <c r="AJ76" s="211">
        <f t="shared" si="52"/>
        <v>1</v>
      </c>
      <c r="AK76" s="211">
        <f t="shared" si="52"/>
        <v>1</v>
      </c>
      <c r="AL76" s="211">
        <f t="shared" si="52"/>
        <v>1</v>
      </c>
      <c r="AM76" s="211">
        <f t="shared" si="52"/>
        <v>1</v>
      </c>
      <c r="AN76" s="211">
        <f t="shared" si="52"/>
        <v>1</v>
      </c>
    </row>
    <row r="77" spans="2:40" s="7" customFormat="1" ht="12" hidden="1" customHeight="1" outlineLevel="1">
      <c r="B77" s="245"/>
      <c r="C77" s="213" t="s">
        <v>758</v>
      </c>
      <c r="D77" s="213"/>
      <c r="E77" s="213"/>
      <c r="F77" s="213"/>
      <c r="G77" s="213"/>
      <c r="H77" s="213"/>
      <c r="I77" s="213"/>
      <c r="J77" s="211">
        <f>INDEX($C$44:$AN$66,MATCH("New Customers One-Time",$C$44:$C$66,0),MATCH($C77,$C$44:$AN$44,0))</f>
        <v>5</v>
      </c>
      <c r="K77" s="211">
        <f>$J$77*(1-E70)</f>
        <v>5</v>
      </c>
      <c r="L77" s="211">
        <f t="shared" ref="L77:AN77" si="53">$J$77*(1-F70)</f>
        <v>5</v>
      </c>
      <c r="M77" s="211">
        <f t="shared" si="53"/>
        <v>5</v>
      </c>
      <c r="N77" s="211">
        <f t="shared" si="53"/>
        <v>5</v>
      </c>
      <c r="O77" s="211">
        <f t="shared" si="53"/>
        <v>5</v>
      </c>
      <c r="P77" s="211">
        <f t="shared" si="53"/>
        <v>5</v>
      </c>
      <c r="Q77" s="211">
        <f t="shared" si="53"/>
        <v>5</v>
      </c>
      <c r="R77" s="211">
        <f t="shared" si="53"/>
        <v>5</v>
      </c>
      <c r="S77" s="211">
        <f t="shared" si="53"/>
        <v>5</v>
      </c>
      <c r="T77" s="211">
        <f t="shared" si="53"/>
        <v>5</v>
      </c>
      <c r="U77" s="211">
        <f t="shared" si="53"/>
        <v>5</v>
      </c>
      <c r="V77" s="211">
        <f t="shared" si="53"/>
        <v>5</v>
      </c>
      <c r="W77" s="211">
        <f t="shared" si="53"/>
        <v>5</v>
      </c>
      <c r="X77" s="211">
        <f t="shared" si="53"/>
        <v>5</v>
      </c>
      <c r="Y77" s="211">
        <f t="shared" si="53"/>
        <v>5</v>
      </c>
      <c r="Z77" s="211">
        <f t="shared" si="53"/>
        <v>5</v>
      </c>
      <c r="AA77" s="211">
        <f t="shared" si="53"/>
        <v>5</v>
      </c>
      <c r="AB77" s="211">
        <f t="shared" si="53"/>
        <v>5</v>
      </c>
      <c r="AC77" s="211">
        <f t="shared" si="53"/>
        <v>5</v>
      </c>
      <c r="AD77" s="211">
        <f t="shared" si="53"/>
        <v>5</v>
      </c>
      <c r="AE77" s="211">
        <f t="shared" si="53"/>
        <v>5</v>
      </c>
      <c r="AF77" s="211">
        <f t="shared" si="53"/>
        <v>5</v>
      </c>
      <c r="AG77" s="211">
        <f t="shared" si="53"/>
        <v>5</v>
      </c>
      <c r="AH77" s="211">
        <f t="shared" si="53"/>
        <v>5</v>
      </c>
      <c r="AI77" s="211">
        <f t="shared" si="53"/>
        <v>5</v>
      </c>
      <c r="AJ77" s="211">
        <f t="shared" si="53"/>
        <v>5</v>
      </c>
      <c r="AK77" s="211">
        <f t="shared" si="53"/>
        <v>5</v>
      </c>
      <c r="AL77" s="211">
        <f t="shared" si="53"/>
        <v>5</v>
      </c>
      <c r="AM77" s="211">
        <f t="shared" si="53"/>
        <v>5</v>
      </c>
      <c r="AN77" s="211">
        <f t="shared" si="53"/>
        <v>5</v>
      </c>
    </row>
    <row r="78" spans="2:40" s="7" customFormat="1" ht="12" hidden="1" customHeight="1" outlineLevel="1">
      <c r="B78" s="245"/>
      <c r="C78" s="213" t="s">
        <v>759</v>
      </c>
      <c r="D78" s="213"/>
      <c r="E78" s="213"/>
      <c r="F78" s="213"/>
      <c r="G78" s="213"/>
      <c r="H78" s="213"/>
      <c r="I78" s="213"/>
      <c r="J78" s="213"/>
      <c r="K78" s="211">
        <f>INDEX($C$44:$AN$66,MATCH("New Customers One-Time",$C$44:$C$66,0),MATCH($C78,$C$44:$AN$44,0))</f>
        <v>4</v>
      </c>
      <c r="L78" s="211">
        <f>$K$78*(1-E70)</f>
        <v>4</v>
      </c>
      <c r="M78" s="211">
        <f t="shared" ref="M78:AN78" si="54">$K$78*(1-F70)</f>
        <v>4</v>
      </c>
      <c r="N78" s="211">
        <f t="shared" si="54"/>
        <v>4</v>
      </c>
      <c r="O78" s="211">
        <f t="shared" si="54"/>
        <v>4</v>
      </c>
      <c r="P78" s="211">
        <f t="shared" si="54"/>
        <v>4</v>
      </c>
      <c r="Q78" s="211">
        <f t="shared" si="54"/>
        <v>4</v>
      </c>
      <c r="R78" s="211">
        <f t="shared" si="54"/>
        <v>4</v>
      </c>
      <c r="S78" s="211">
        <f t="shared" si="54"/>
        <v>4</v>
      </c>
      <c r="T78" s="211">
        <f t="shared" si="54"/>
        <v>4</v>
      </c>
      <c r="U78" s="211">
        <f t="shared" si="54"/>
        <v>4</v>
      </c>
      <c r="V78" s="211">
        <f t="shared" si="54"/>
        <v>4</v>
      </c>
      <c r="W78" s="211">
        <f t="shared" si="54"/>
        <v>4</v>
      </c>
      <c r="X78" s="211">
        <f t="shared" si="54"/>
        <v>4</v>
      </c>
      <c r="Y78" s="211">
        <f t="shared" si="54"/>
        <v>4</v>
      </c>
      <c r="Z78" s="211">
        <f t="shared" si="54"/>
        <v>4</v>
      </c>
      <c r="AA78" s="211">
        <f t="shared" si="54"/>
        <v>4</v>
      </c>
      <c r="AB78" s="211">
        <f t="shared" si="54"/>
        <v>4</v>
      </c>
      <c r="AC78" s="211">
        <f t="shared" si="54"/>
        <v>4</v>
      </c>
      <c r="AD78" s="211">
        <f t="shared" si="54"/>
        <v>4</v>
      </c>
      <c r="AE78" s="211">
        <f t="shared" si="54"/>
        <v>4</v>
      </c>
      <c r="AF78" s="211">
        <f t="shared" si="54"/>
        <v>4</v>
      </c>
      <c r="AG78" s="211">
        <f t="shared" si="54"/>
        <v>4</v>
      </c>
      <c r="AH78" s="211">
        <f t="shared" si="54"/>
        <v>4</v>
      </c>
      <c r="AI78" s="211">
        <f t="shared" si="54"/>
        <v>4</v>
      </c>
      <c r="AJ78" s="211">
        <f t="shared" si="54"/>
        <v>4</v>
      </c>
      <c r="AK78" s="211">
        <f t="shared" si="54"/>
        <v>4</v>
      </c>
      <c r="AL78" s="211">
        <f t="shared" si="54"/>
        <v>4</v>
      </c>
      <c r="AM78" s="211">
        <f t="shared" si="54"/>
        <v>4</v>
      </c>
      <c r="AN78" s="211">
        <f t="shared" si="54"/>
        <v>4</v>
      </c>
    </row>
    <row r="79" spans="2:40" s="7" customFormat="1" ht="12" hidden="1" customHeight="1" outlineLevel="1">
      <c r="B79" s="245"/>
      <c r="C79" s="213" t="s">
        <v>760</v>
      </c>
      <c r="D79" s="213"/>
      <c r="E79" s="213"/>
      <c r="F79" s="213"/>
      <c r="G79" s="213"/>
      <c r="H79" s="213"/>
      <c r="I79" s="213"/>
      <c r="J79" s="213"/>
      <c r="K79" s="213"/>
      <c r="L79" s="211">
        <f>INDEX($C$44:$AN$66,MATCH("New Customers One-Time",$C$44:$C$66,0),MATCH($C79,$C$44:$AN$44,0))</f>
        <v>1</v>
      </c>
      <c r="M79" s="211">
        <f>$L$79*(1-E70)</f>
        <v>1</v>
      </c>
      <c r="N79" s="211">
        <f t="shared" ref="N79:AN79" si="55">$L$79*(1-F70)</f>
        <v>1</v>
      </c>
      <c r="O79" s="211">
        <f t="shared" si="55"/>
        <v>1</v>
      </c>
      <c r="P79" s="211">
        <f t="shared" si="55"/>
        <v>1</v>
      </c>
      <c r="Q79" s="211">
        <f t="shared" si="55"/>
        <v>1</v>
      </c>
      <c r="R79" s="211">
        <f t="shared" si="55"/>
        <v>1</v>
      </c>
      <c r="S79" s="211">
        <f t="shared" si="55"/>
        <v>1</v>
      </c>
      <c r="T79" s="211">
        <f t="shared" si="55"/>
        <v>1</v>
      </c>
      <c r="U79" s="211">
        <f t="shared" si="55"/>
        <v>1</v>
      </c>
      <c r="V79" s="211">
        <f t="shared" si="55"/>
        <v>1</v>
      </c>
      <c r="W79" s="211">
        <f t="shared" si="55"/>
        <v>1</v>
      </c>
      <c r="X79" s="211">
        <f t="shared" si="55"/>
        <v>1</v>
      </c>
      <c r="Y79" s="211">
        <f t="shared" si="55"/>
        <v>1</v>
      </c>
      <c r="Z79" s="211">
        <f t="shared" si="55"/>
        <v>1</v>
      </c>
      <c r="AA79" s="211">
        <f t="shared" si="55"/>
        <v>1</v>
      </c>
      <c r="AB79" s="211">
        <f t="shared" si="55"/>
        <v>1</v>
      </c>
      <c r="AC79" s="211">
        <f t="shared" si="55"/>
        <v>1</v>
      </c>
      <c r="AD79" s="211">
        <f t="shared" si="55"/>
        <v>1</v>
      </c>
      <c r="AE79" s="211">
        <f t="shared" si="55"/>
        <v>1</v>
      </c>
      <c r="AF79" s="211">
        <f t="shared" si="55"/>
        <v>1</v>
      </c>
      <c r="AG79" s="211">
        <f t="shared" si="55"/>
        <v>1</v>
      </c>
      <c r="AH79" s="211">
        <f t="shared" si="55"/>
        <v>1</v>
      </c>
      <c r="AI79" s="211">
        <f t="shared" si="55"/>
        <v>1</v>
      </c>
      <c r="AJ79" s="211">
        <f t="shared" si="55"/>
        <v>1</v>
      </c>
      <c r="AK79" s="211">
        <f t="shared" si="55"/>
        <v>1</v>
      </c>
      <c r="AL79" s="211">
        <f t="shared" si="55"/>
        <v>1</v>
      </c>
      <c r="AM79" s="211">
        <f t="shared" si="55"/>
        <v>1</v>
      </c>
      <c r="AN79" s="211">
        <f t="shared" si="55"/>
        <v>1</v>
      </c>
    </row>
    <row r="80" spans="2:40" s="7" customFormat="1" ht="12" hidden="1" customHeight="1" outlineLevel="1">
      <c r="B80" s="245"/>
      <c r="C80" s="213" t="s">
        <v>761</v>
      </c>
      <c r="D80" s="213"/>
      <c r="E80" s="213"/>
      <c r="F80" s="213"/>
      <c r="G80" s="213"/>
      <c r="H80" s="213"/>
      <c r="I80" s="213"/>
      <c r="J80" s="213"/>
      <c r="K80" s="213"/>
      <c r="L80" s="213"/>
      <c r="M80" s="211">
        <f>INDEX($C$44:$AN$66,MATCH("New Customers One-Time",$C$44:$C$66,0),MATCH($C80,$C$44:$AN$44,0))</f>
        <v>0</v>
      </c>
      <c r="N80" s="211">
        <f>$M$80*(1-E70)</f>
        <v>0</v>
      </c>
      <c r="O80" s="211">
        <f t="shared" ref="O80:AN80" si="56">$M$80*(1-F70)</f>
        <v>0</v>
      </c>
      <c r="P80" s="211">
        <f t="shared" si="56"/>
        <v>0</v>
      </c>
      <c r="Q80" s="211">
        <f t="shared" si="56"/>
        <v>0</v>
      </c>
      <c r="R80" s="211">
        <f t="shared" si="56"/>
        <v>0</v>
      </c>
      <c r="S80" s="211">
        <f t="shared" si="56"/>
        <v>0</v>
      </c>
      <c r="T80" s="211">
        <f t="shared" si="56"/>
        <v>0</v>
      </c>
      <c r="U80" s="211">
        <f t="shared" si="56"/>
        <v>0</v>
      </c>
      <c r="V80" s="211">
        <f t="shared" si="56"/>
        <v>0</v>
      </c>
      <c r="W80" s="211">
        <f t="shared" si="56"/>
        <v>0</v>
      </c>
      <c r="X80" s="211">
        <f t="shared" si="56"/>
        <v>0</v>
      </c>
      <c r="Y80" s="211">
        <f t="shared" si="56"/>
        <v>0</v>
      </c>
      <c r="Z80" s="211">
        <f t="shared" si="56"/>
        <v>0</v>
      </c>
      <c r="AA80" s="211">
        <f t="shared" si="56"/>
        <v>0</v>
      </c>
      <c r="AB80" s="211">
        <f t="shared" si="56"/>
        <v>0</v>
      </c>
      <c r="AC80" s="211">
        <f t="shared" si="56"/>
        <v>0</v>
      </c>
      <c r="AD80" s="211">
        <f t="shared" si="56"/>
        <v>0</v>
      </c>
      <c r="AE80" s="211">
        <f t="shared" si="56"/>
        <v>0</v>
      </c>
      <c r="AF80" s="211">
        <f t="shared" si="56"/>
        <v>0</v>
      </c>
      <c r="AG80" s="211">
        <f t="shared" si="56"/>
        <v>0</v>
      </c>
      <c r="AH80" s="211">
        <f t="shared" si="56"/>
        <v>0</v>
      </c>
      <c r="AI80" s="211">
        <f t="shared" si="56"/>
        <v>0</v>
      </c>
      <c r="AJ80" s="211">
        <f t="shared" si="56"/>
        <v>0</v>
      </c>
      <c r="AK80" s="211">
        <f t="shared" si="56"/>
        <v>0</v>
      </c>
      <c r="AL80" s="211">
        <f t="shared" si="56"/>
        <v>0</v>
      </c>
      <c r="AM80" s="211">
        <f t="shared" si="56"/>
        <v>0</v>
      </c>
      <c r="AN80" s="211">
        <f t="shared" si="56"/>
        <v>0</v>
      </c>
    </row>
    <row r="81" spans="2:40" s="7" customFormat="1" ht="12" hidden="1" customHeight="1" outlineLevel="1">
      <c r="B81" s="245"/>
      <c r="C81" s="213" t="s">
        <v>762</v>
      </c>
      <c r="D81" s="213"/>
      <c r="E81" s="213"/>
      <c r="F81" s="213"/>
      <c r="G81" s="213"/>
      <c r="H81" s="213"/>
      <c r="I81" s="213"/>
      <c r="J81" s="213"/>
      <c r="K81" s="213"/>
      <c r="L81" s="213"/>
      <c r="M81" s="213"/>
      <c r="N81" s="211">
        <f>INDEX($C$44:$AN$66,MATCH("New Customers One-Time",$C$44:$C$66,0),MATCH($C81,$C$44:$AN$44,0))</f>
        <v>0</v>
      </c>
      <c r="O81" s="211">
        <f>$N$81*(1-E70)</f>
        <v>0</v>
      </c>
      <c r="P81" s="211">
        <f t="shared" ref="P81:AN81" si="57">$N$81*(1-F70)</f>
        <v>0</v>
      </c>
      <c r="Q81" s="211">
        <f t="shared" si="57"/>
        <v>0</v>
      </c>
      <c r="R81" s="211">
        <f t="shared" si="57"/>
        <v>0</v>
      </c>
      <c r="S81" s="211">
        <f t="shared" si="57"/>
        <v>0</v>
      </c>
      <c r="T81" s="211">
        <f t="shared" si="57"/>
        <v>0</v>
      </c>
      <c r="U81" s="211">
        <f t="shared" si="57"/>
        <v>0</v>
      </c>
      <c r="V81" s="211">
        <f t="shared" si="57"/>
        <v>0</v>
      </c>
      <c r="W81" s="211">
        <f t="shared" si="57"/>
        <v>0</v>
      </c>
      <c r="X81" s="211">
        <f t="shared" si="57"/>
        <v>0</v>
      </c>
      <c r="Y81" s="211">
        <f t="shared" si="57"/>
        <v>0</v>
      </c>
      <c r="Z81" s="211">
        <f t="shared" si="57"/>
        <v>0</v>
      </c>
      <c r="AA81" s="211">
        <f t="shared" si="57"/>
        <v>0</v>
      </c>
      <c r="AB81" s="211">
        <f t="shared" si="57"/>
        <v>0</v>
      </c>
      <c r="AC81" s="211">
        <f t="shared" si="57"/>
        <v>0</v>
      </c>
      <c r="AD81" s="211">
        <f t="shared" si="57"/>
        <v>0</v>
      </c>
      <c r="AE81" s="211">
        <f t="shared" si="57"/>
        <v>0</v>
      </c>
      <c r="AF81" s="211">
        <f t="shared" si="57"/>
        <v>0</v>
      </c>
      <c r="AG81" s="211">
        <f t="shared" si="57"/>
        <v>0</v>
      </c>
      <c r="AH81" s="211">
        <f t="shared" si="57"/>
        <v>0</v>
      </c>
      <c r="AI81" s="211">
        <f t="shared" si="57"/>
        <v>0</v>
      </c>
      <c r="AJ81" s="211">
        <f t="shared" si="57"/>
        <v>0</v>
      </c>
      <c r="AK81" s="211">
        <f t="shared" si="57"/>
        <v>0</v>
      </c>
      <c r="AL81" s="211">
        <f t="shared" si="57"/>
        <v>0</v>
      </c>
      <c r="AM81" s="211">
        <f t="shared" si="57"/>
        <v>0</v>
      </c>
      <c r="AN81" s="211">
        <f t="shared" si="57"/>
        <v>0</v>
      </c>
    </row>
    <row r="82" spans="2:40" s="7" customFormat="1" ht="12" hidden="1" customHeight="1" outlineLevel="1">
      <c r="B82" s="245"/>
      <c r="C82" s="213" t="s">
        <v>763</v>
      </c>
      <c r="D82" s="213"/>
      <c r="E82" s="213"/>
      <c r="F82" s="213"/>
      <c r="G82" s="213"/>
      <c r="H82" s="213"/>
      <c r="I82" s="213"/>
      <c r="J82" s="213"/>
      <c r="K82" s="213"/>
      <c r="L82" s="213"/>
      <c r="M82" s="213"/>
      <c r="N82" s="213"/>
      <c r="O82" s="211">
        <f>INDEX($C$44:$AN$66,MATCH("New Customers One-Time",$C$44:$C$66,0),MATCH($C82,$C$44:$AN$44,0))</f>
        <v>0</v>
      </c>
      <c r="P82" s="211">
        <f>$O$82*(1-E70)</f>
        <v>0</v>
      </c>
      <c r="Q82" s="211">
        <f t="shared" ref="Q82:AN82" si="58">$O$82*(1-F70)</f>
        <v>0</v>
      </c>
      <c r="R82" s="211">
        <f t="shared" si="58"/>
        <v>0</v>
      </c>
      <c r="S82" s="211">
        <f t="shared" si="58"/>
        <v>0</v>
      </c>
      <c r="T82" s="211">
        <f t="shared" si="58"/>
        <v>0</v>
      </c>
      <c r="U82" s="211">
        <f t="shared" si="58"/>
        <v>0</v>
      </c>
      <c r="V82" s="211">
        <f t="shared" si="58"/>
        <v>0</v>
      </c>
      <c r="W82" s="211">
        <f t="shared" si="58"/>
        <v>0</v>
      </c>
      <c r="X82" s="211">
        <f t="shared" si="58"/>
        <v>0</v>
      </c>
      <c r="Y82" s="211">
        <f t="shared" si="58"/>
        <v>0</v>
      </c>
      <c r="Z82" s="211">
        <f t="shared" si="58"/>
        <v>0</v>
      </c>
      <c r="AA82" s="211">
        <f t="shared" si="58"/>
        <v>0</v>
      </c>
      <c r="AB82" s="211">
        <f t="shared" si="58"/>
        <v>0</v>
      </c>
      <c r="AC82" s="211">
        <f t="shared" si="58"/>
        <v>0</v>
      </c>
      <c r="AD82" s="211">
        <f t="shared" si="58"/>
        <v>0</v>
      </c>
      <c r="AE82" s="211">
        <f t="shared" si="58"/>
        <v>0</v>
      </c>
      <c r="AF82" s="211">
        <f t="shared" si="58"/>
        <v>0</v>
      </c>
      <c r="AG82" s="211">
        <f t="shared" si="58"/>
        <v>0</v>
      </c>
      <c r="AH82" s="211">
        <f t="shared" si="58"/>
        <v>0</v>
      </c>
      <c r="AI82" s="211">
        <f t="shared" si="58"/>
        <v>0</v>
      </c>
      <c r="AJ82" s="211">
        <f t="shared" si="58"/>
        <v>0</v>
      </c>
      <c r="AK82" s="211">
        <f t="shared" si="58"/>
        <v>0</v>
      </c>
      <c r="AL82" s="211">
        <f t="shared" si="58"/>
        <v>0</v>
      </c>
      <c r="AM82" s="211">
        <f t="shared" si="58"/>
        <v>0</v>
      </c>
      <c r="AN82" s="211">
        <f t="shared" si="58"/>
        <v>0</v>
      </c>
    </row>
    <row r="83" spans="2:40" s="7" customFormat="1" ht="12" hidden="1" customHeight="1" outlineLevel="1">
      <c r="B83" s="245"/>
      <c r="C83" s="213" t="s">
        <v>764</v>
      </c>
      <c r="D83" s="213"/>
      <c r="E83" s="213"/>
      <c r="F83" s="213"/>
      <c r="G83" s="213"/>
      <c r="H83" s="213"/>
      <c r="I83" s="213"/>
      <c r="J83" s="213"/>
      <c r="K83" s="213"/>
      <c r="L83" s="213"/>
      <c r="M83" s="213"/>
      <c r="N83" s="213"/>
      <c r="O83" s="213"/>
      <c r="P83" s="211">
        <f>INDEX($C$44:$AN$66,MATCH("New Customers One-Time",$C$44:$C$66,0),MATCH($C83,$C$44:$AN$44,0))</f>
        <v>0</v>
      </c>
      <c r="Q83" s="211">
        <f>$P$83*(1-E70)</f>
        <v>0</v>
      </c>
      <c r="R83" s="211">
        <f t="shared" ref="R83:AN83" si="59">$P$83*(1-F70)</f>
        <v>0</v>
      </c>
      <c r="S83" s="211">
        <f t="shared" si="59"/>
        <v>0</v>
      </c>
      <c r="T83" s="211">
        <f t="shared" si="59"/>
        <v>0</v>
      </c>
      <c r="U83" s="211">
        <f t="shared" si="59"/>
        <v>0</v>
      </c>
      <c r="V83" s="211">
        <f t="shared" si="59"/>
        <v>0</v>
      </c>
      <c r="W83" s="211">
        <f t="shared" si="59"/>
        <v>0</v>
      </c>
      <c r="X83" s="211">
        <f t="shared" si="59"/>
        <v>0</v>
      </c>
      <c r="Y83" s="211">
        <f t="shared" si="59"/>
        <v>0</v>
      </c>
      <c r="Z83" s="211">
        <f t="shared" si="59"/>
        <v>0</v>
      </c>
      <c r="AA83" s="211">
        <f t="shared" si="59"/>
        <v>0</v>
      </c>
      <c r="AB83" s="211">
        <f t="shared" si="59"/>
        <v>0</v>
      </c>
      <c r="AC83" s="211">
        <f t="shared" si="59"/>
        <v>0</v>
      </c>
      <c r="AD83" s="211">
        <f t="shared" si="59"/>
        <v>0</v>
      </c>
      <c r="AE83" s="211">
        <f t="shared" si="59"/>
        <v>0</v>
      </c>
      <c r="AF83" s="211">
        <f t="shared" si="59"/>
        <v>0</v>
      </c>
      <c r="AG83" s="211">
        <f t="shared" si="59"/>
        <v>0</v>
      </c>
      <c r="AH83" s="211">
        <f t="shared" si="59"/>
        <v>0</v>
      </c>
      <c r="AI83" s="211">
        <f t="shared" si="59"/>
        <v>0</v>
      </c>
      <c r="AJ83" s="211">
        <f t="shared" si="59"/>
        <v>0</v>
      </c>
      <c r="AK83" s="211">
        <f t="shared" si="59"/>
        <v>0</v>
      </c>
      <c r="AL83" s="211">
        <f t="shared" si="59"/>
        <v>0</v>
      </c>
      <c r="AM83" s="211">
        <f t="shared" si="59"/>
        <v>0</v>
      </c>
      <c r="AN83" s="211">
        <f t="shared" si="59"/>
        <v>0</v>
      </c>
    </row>
    <row r="84" spans="2:40" s="7" customFormat="1" ht="12" hidden="1" customHeight="1" outlineLevel="1">
      <c r="B84" s="245"/>
      <c r="C84" s="213" t="s">
        <v>765</v>
      </c>
      <c r="D84" s="213"/>
      <c r="E84" s="213"/>
      <c r="F84" s="213"/>
      <c r="G84" s="213"/>
      <c r="H84" s="213"/>
      <c r="I84" s="213"/>
      <c r="J84" s="213"/>
      <c r="K84" s="213"/>
      <c r="L84" s="213"/>
      <c r="M84" s="213"/>
      <c r="N84" s="213"/>
      <c r="O84" s="213"/>
      <c r="P84" s="213"/>
      <c r="Q84" s="211">
        <f>INDEX($C$44:$AN$66,MATCH("New Customers One-Time",$C$44:$C$66,0),MATCH($C84,$C$44:$AN$44,0))</f>
        <v>0</v>
      </c>
      <c r="R84" s="211">
        <f>$Q$84*(1-E70)</f>
        <v>0</v>
      </c>
      <c r="S84" s="211">
        <f t="shared" ref="S84:AN84" si="60">$Q$84*(1-F70)</f>
        <v>0</v>
      </c>
      <c r="T84" s="211">
        <f t="shared" si="60"/>
        <v>0</v>
      </c>
      <c r="U84" s="211">
        <f t="shared" si="60"/>
        <v>0</v>
      </c>
      <c r="V84" s="211">
        <f t="shared" si="60"/>
        <v>0</v>
      </c>
      <c r="W84" s="211">
        <f t="shared" si="60"/>
        <v>0</v>
      </c>
      <c r="X84" s="211">
        <f t="shared" si="60"/>
        <v>0</v>
      </c>
      <c r="Y84" s="211">
        <f t="shared" si="60"/>
        <v>0</v>
      </c>
      <c r="Z84" s="211">
        <f t="shared" si="60"/>
        <v>0</v>
      </c>
      <c r="AA84" s="211">
        <f t="shared" si="60"/>
        <v>0</v>
      </c>
      <c r="AB84" s="211">
        <f t="shared" si="60"/>
        <v>0</v>
      </c>
      <c r="AC84" s="211">
        <f t="shared" si="60"/>
        <v>0</v>
      </c>
      <c r="AD84" s="211">
        <f t="shared" si="60"/>
        <v>0</v>
      </c>
      <c r="AE84" s="211">
        <f t="shared" si="60"/>
        <v>0</v>
      </c>
      <c r="AF84" s="211">
        <f t="shared" si="60"/>
        <v>0</v>
      </c>
      <c r="AG84" s="211">
        <f t="shared" si="60"/>
        <v>0</v>
      </c>
      <c r="AH84" s="211">
        <f t="shared" si="60"/>
        <v>0</v>
      </c>
      <c r="AI84" s="211">
        <f t="shared" si="60"/>
        <v>0</v>
      </c>
      <c r="AJ84" s="211">
        <f t="shared" si="60"/>
        <v>0</v>
      </c>
      <c r="AK84" s="211">
        <f t="shared" si="60"/>
        <v>0</v>
      </c>
      <c r="AL84" s="211">
        <f t="shared" si="60"/>
        <v>0</v>
      </c>
      <c r="AM84" s="211">
        <f t="shared" si="60"/>
        <v>0</v>
      </c>
      <c r="AN84" s="211">
        <f t="shared" si="60"/>
        <v>0</v>
      </c>
    </row>
    <row r="85" spans="2:40" s="7" customFormat="1" ht="12" hidden="1" customHeight="1" outlineLevel="1">
      <c r="B85" s="245"/>
      <c r="C85" s="213" t="s">
        <v>766</v>
      </c>
      <c r="D85" s="213"/>
      <c r="E85" s="213"/>
      <c r="F85" s="213"/>
      <c r="G85" s="213"/>
      <c r="H85" s="213"/>
      <c r="I85" s="213"/>
      <c r="J85" s="213"/>
      <c r="K85" s="213"/>
      <c r="L85" s="213"/>
      <c r="M85" s="213"/>
      <c r="N85" s="213"/>
      <c r="O85" s="213"/>
      <c r="P85" s="213"/>
      <c r="Q85" s="213"/>
      <c r="R85" s="211">
        <f>INDEX($C$44:$AN$66,MATCH("New Customers One-Time",$C$44:$C$66,0),MATCH($C85,$C$44:$AN$44,0))</f>
        <v>0</v>
      </c>
      <c r="S85" s="211">
        <f>$R$85*(1-E70)</f>
        <v>0</v>
      </c>
      <c r="T85" s="211">
        <f t="shared" ref="T85:AN85" si="61">$R$85*(1-F70)</f>
        <v>0</v>
      </c>
      <c r="U85" s="211">
        <f t="shared" si="61"/>
        <v>0</v>
      </c>
      <c r="V85" s="211">
        <f t="shared" si="61"/>
        <v>0</v>
      </c>
      <c r="W85" s="211">
        <f t="shared" si="61"/>
        <v>0</v>
      </c>
      <c r="X85" s="211">
        <f t="shared" si="61"/>
        <v>0</v>
      </c>
      <c r="Y85" s="211">
        <f t="shared" si="61"/>
        <v>0</v>
      </c>
      <c r="Z85" s="211">
        <f t="shared" si="61"/>
        <v>0</v>
      </c>
      <c r="AA85" s="211">
        <f t="shared" si="61"/>
        <v>0</v>
      </c>
      <c r="AB85" s="211">
        <f t="shared" si="61"/>
        <v>0</v>
      </c>
      <c r="AC85" s="211">
        <f t="shared" si="61"/>
        <v>0</v>
      </c>
      <c r="AD85" s="211">
        <f t="shared" si="61"/>
        <v>0</v>
      </c>
      <c r="AE85" s="211">
        <f t="shared" si="61"/>
        <v>0</v>
      </c>
      <c r="AF85" s="211">
        <f t="shared" si="61"/>
        <v>0</v>
      </c>
      <c r="AG85" s="211">
        <f t="shared" si="61"/>
        <v>0</v>
      </c>
      <c r="AH85" s="211">
        <f t="shared" si="61"/>
        <v>0</v>
      </c>
      <c r="AI85" s="211">
        <f t="shared" si="61"/>
        <v>0</v>
      </c>
      <c r="AJ85" s="211">
        <f t="shared" si="61"/>
        <v>0</v>
      </c>
      <c r="AK85" s="211">
        <f t="shared" si="61"/>
        <v>0</v>
      </c>
      <c r="AL85" s="211">
        <f t="shared" si="61"/>
        <v>0</v>
      </c>
      <c r="AM85" s="211">
        <f t="shared" si="61"/>
        <v>0</v>
      </c>
      <c r="AN85" s="211">
        <f t="shared" si="61"/>
        <v>0</v>
      </c>
    </row>
    <row r="86" spans="2:40" s="7" customFormat="1" ht="12" hidden="1" customHeight="1" outlineLevel="1">
      <c r="B86" s="245"/>
      <c r="C86" s="213" t="s">
        <v>767</v>
      </c>
      <c r="D86" s="213"/>
      <c r="E86" s="213"/>
      <c r="F86" s="213"/>
      <c r="G86" s="213"/>
      <c r="H86" s="213"/>
      <c r="I86" s="213"/>
      <c r="J86" s="213"/>
      <c r="K86" s="213"/>
      <c r="L86" s="213"/>
      <c r="M86" s="213"/>
      <c r="N86" s="213"/>
      <c r="O86" s="213"/>
      <c r="P86" s="213"/>
      <c r="Q86" s="213"/>
      <c r="R86" s="213"/>
      <c r="S86" s="211">
        <f>INDEX($C$44:$AN$66,MATCH("New Customers One-Time",$C$44:$C$66,0),MATCH($C86,$C$44:$AN$44,0))</f>
        <v>0</v>
      </c>
      <c r="T86" s="211">
        <f>$S$86*(1-E70)</f>
        <v>0</v>
      </c>
      <c r="U86" s="211">
        <f t="shared" ref="U86:AN86" si="62">$S$86*(1-F70)</f>
        <v>0</v>
      </c>
      <c r="V86" s="211">
        <f t="shared" si="62"/>
        <v>0</v>
      </c>
      <c r="W86" s="211">
        <f t="shared" si="62"/>
        <v>0</v>
      </c>
      <c r="X86" s="211">
        <f t="shared" si="62"/>
        <v>0</v>
      </c>
      <c r="Y86" s="211">
        <f t="shared" si="62"/>
        <v>0</v>
      </c>
      <c r="Z86" s="211">
        <f t="shared" si="62"/>
        <v>0</v>
      </c>
      <c r="AA86" s="211">
        <f t="shared" si="62"/>
        <v>0</v>
      </c>
      <c r="AB86" s="211">
        <f t="shared" si="62"/>
        <v>0</v>
      </c>
      <c r="AC86" s="211">
        <f t="shared" si="62"/>
        <v>0</v>
      </c>
      <c r="AD86" s="211">
        <f t="shared" si="62"/>
        <v>0</v>
      </c>
      <c r="AE86" s="211">
        <f t="shared" si="62"/>
        <v>0</v>
      </c>
      <c r="AF86" s="211">
        <f t="shared" si="62"/>
        <v>0</v>
      </c>
      <c r="AG86" s="211">
        <f t="shared" si="62"/>
        <v>0</v>
      </c>
      <c r="AH86" s="211">
        <f t="shared" si="62"/>
        <v>0</v>
      </c>
      <c r="AI86" s="211">
        <f t="shared" si="62"/>
        <v>0</v>
      </c>
      <c r="AJ86" s="211">
        <f t="shared" si="62"/>
        <v>0</v>
      </c>
      <c r="AK86" s="211">
        <f t="shared" si="62"/>
        <v>0</v>
      </c>
      <c r="AL86" s="211">
        <f t="shared" si="62"/>
        <v>0</v>
      </c>
      <c r="AM86" s="211">
        <f t="shared" si="62"/>
        <v>0</v>
      </c>
      <c r="AN86" s="211">
        <f t="shared" si="62"/>
        <v>0</v>
      </c>
    </row>
    <row r="87" spans="2:40" s="7" customFormat="1" ht="12" hidden="1" customHeight="1" outlineLevel="1">
      <c r="B87" s="245"/>
      <c r="C87" s="213" t="s">
        <v>768</v>
      </c>
      <c r="D87" s="213"/>
      <c r="E87" s="213"/>
      <c r="F87" s="213"/>
      <c r="G87" s="213"/>
      <c r="H87" s="213"/>
      <c r="I87" s="213"/>
      <c r="J87" s="213"/>
      <c r="K87" s="213"/>
      <c r="L87" s="213"/>
      <c r="M87" s="213"/>
      <c r="N87" s="213"/>
      <c r="O87" s="213"/>
      <c r="P87" s="213"/>
      <c r="Q87" s="213"/>
      <c r="R87" s="213"/>
      <c r="S87" s="213"/>
      <c r="T87" s="211">
        <f>INDEX($C$44:$AN$66,MATCH("New Customers One-Time",$C$44:$C$66,0),MATCH($C87,$C$44:$AN$44,0))</f>
        <v>0</v>
      </c>
      <c r="U87" s="211">
        <f>$T$87*(1-E70)</f>
        <v>0</v>
      </c>
      <c r="V87" s="211">
        <f t="shared" ref="V87:AN87" si="63">$T$87*(1-F70)</f>
        <v>0</v>
      </c>
      <c r="W87" s="211">
        <f t="shared" si="63"/>
        <v>0</v>
      </c>
      <c r="X87" s="211">
        <f t="shared" si="63"/>
        <v>0</v>
      </c>
      <c r="Y87" s="211">
        <f t="shared" si="63"/>
        <v>0</v>
      </c>
      <c r="Z87" s="211">
        <f t="shared" si="63"/>
        <v>0</v>
      </c>
      <c r="AA87" s="211">
        <f t="shared" si="63"/>
        <v>0</v>
      </c>
      <c r="AB87" s="211">
        <f t="shared" si="63"/>
        <v>0</v>
      </c>
      <c r="AC87" s="211">
        <f t="shared" si="63"/>
        <v>0</v>
      </c>
      <c r="AD87" s="211">
        <f t="shared" si="63"/>
        <v>0</v>
      </c>
      <c r="AE87" s="211">
        <f t="shared" si="63"/>
        <v>0</v>
      </c>
      <c r="AF87" s="211">
        <f t="shared" si="63"/>
        <v>0</v>
      </c>
      <c r="AG87" s="211">
        <f t="shared" si="63"/>
        <v>0</v>
      </c>
      <c r="AH87" s="211">
        <f t="shared" si="63"/>
        <v>0</v>
      </c>
      <c r="AI87" s="211">
        <f t="shared" si="63"/>
        <v>0</v>
      </c>
      <c r="AJ87" s="211">
        <f t="shared" si="63"/>
        <v>0</v>
      </c>
      <c r="AK87" s="211">
        <f t="shared" si="63"/>
        <v>0</v>
      </c>
      <c r="AL87" s="211">
        <f t="shared" si="63"/>
        <v>0</v>
      </c>
      <c r="AM87" s="211">
        <f t="shared" si="63"/>
        <v>0</v>
      </c>
      <c r="AN87" s="211">
        <f t="shared" si="63"/>
        <v>0</v>
      </c>
    </row>
    <row r="88" spans="2:40" s="7" customFormat="1" ht="12" hidden="1" customHeight="1" outlineLevel="1">
      <c r="B88" s="245"/>
      <c r="C88" s="213" t="s">
        <v>769</v>
      </c>
      <c r="D88" s="213"/>
      <c r="E88" s="213"/>
      <c r="F88" s="213"/>
      <c r="G88" s="213"/>
      <c r="H88" s="213"/>
      <c r="I88" s="213"/>
      <c r="J88" s="213"/>
      <c r="K88" s="213"/>
      <c r="L88" s="213"/>
      <c r="M88" s="213"/>
      <c r="N88" s="213"/>
      <c r="O88" s="213"/>
      <c r="P88" s="213"/>
      <c r="Q88" s="213"/>
      <c r="R88" s="213"/>
      <c r="S88" s="213"/>
      <c r="T88" s="213"/>
      <c r="U88" s="211">
        <f>INDEX($C$44:$AN$66,MATCH("New Customers One-Time",$C$44:$C$66,0),MATCH($C88,$C$44:$AN$44,0))</f>
        <v>0</v>
      </c>
      <c r="V88" s="211">
        <f>$U$88*(1-E70)</f>
        <v>0</v>
      </c>
      <c r="W88" s="211">
        <f t="shared" ref="W88:AN88" si="64">$U$88*(1-F70)</f>
        <v>0</v>
      </c>
      <c r="X88" s="211">
        <f t="shared" si="64"/>
        <v>0</v>
      </c>
      <c r="Y88" s="211">
        <f t="shared" si="64"/>
        <v>0</v>
      </c>
      <c r="Z88" s="211">
        <f t="shared" si="64"/>
        <v>0</v>
      </c>
      <c r="AA88" s="211">
        <f t="shared" si="64"/>
        <v>0</v>
      </c>
      <c r="AB88" s="211">
        <f t="shared" si="64"/>
        <v>0</v>
      </c>
      <c r="AC88" s="211">
        <f t="shared" si="64"/>
        <v>0</v>
      </c>
      <c r="AD88" s="211">
        <f t="shared" si="64"/>
        <v>0</v>
      </c>
      <c r="AE88" s="211">
        <f t="shared" si="64"/>
        <v>0</v>
      </c>
      <c r="AF88" s="211">
        <f t="shared" si="64"/>
        <v>0</v>
      </c>
      <c r="AG88" s="211">
        <f t="shared" si="64"/>
        <v>0</v>
      </c>
      <c r="AH88" s="211">
        <f t="shared" si="64"/>
        <v>0</v>
      </c>
      <c r="AI88" s="211">
        <f t="shared" si="64"/>
        <v>0</v>
      </c>
      <c r="AJ88" s="211">
        <f t="shared" si="64"/>
        <v>0</v>
      </c>
      <c r="AK88" s="211">
        <f t="shared" si="64"/>
        <v>0</v>
      </c>
      <c r="AL88" s="211">
        <f t="shared" si="64"/>
        <v>0</v>
      </c>
      <c r="AM88" s="211">
        <f t="shared" si="64"/>
        <v>0</v>
      </c>
      <c r="AN88" s="211">
        <f t="shared" si="64"/>
        <v>0</v>
      </c>
    </row>
    <row r="89" spans="2:40" s="7" customFormat="1" ht="12" hidden="1" customHeight="1" outlineLevel="1">
      <c r="B89" s="245"/>
      <c r="C89" s="213" t="s">
        <v>770</v>
      </c>
      <c r="D89" s="213"/>
      <c r="E89" s="213"/>
      <c r="F89" s="213"/>
      <c r="G89" s="213"/>
      <c r="H89" s="213"/>
      <c r="I89" s="213"/>
      <c r="J89" s="213"/>
      <c r="K89" s="213"/>
      <c r="L89" s="213"/>
      <c r="M89" s="213"/>
      <c r="N89" s="213"/>
      <c r="O89" s="213"/>
      <c r="P89" s="213"/>
      <c r="Q89" s="213"/>
      <c r="R89" s="213"/>
      <c r="S89" s="213"/>
      <c r="T89" s="213"/>
      <c r="U89" s="213"/>
      <c r="V89" s="211">
        <f>INDEX($C$44:$AN$66,MATCH("New Customers One-Time",$C$44:$C$66,0),MATCH($C89,$C$44:$AN$44,0))</f>
        <v>0</v>
      </c>
      <c r="W89" s="211">
        <f>$V$89*(1-E70)</f>
        <v>0</v>
      </c>
      <c r="X89" s="211">
        <f t="shared" ref="X89:AN89" si="65">$V$89*(1-F70)</f>
        <v>0</v>
      </c>
      <c r="Y89" s="211">
        <f t="shared" si="65"/>
        <v>0</v>
      </c>
      <c r="Z89" s="211">
        <f t="shared" si="65"/>
        <v>0</v>
      </c>
      <c r="AA89" s="211">
        <f t="shared" si="65"/>
        <v>0</v>
      </c>
      <c r="AB89" s="211">
        <f t="shared" si="65"/>
        <v>0</v>
      </c>
      <c r="AC89" s="211">
        <f t="shared" si="65"/>
        <v>0</v>
      </c>
      <c r="AD89" s="211">
        <f t="shared" si="65"/>
        <v>0</v>
      </c>
      <c r="AE89" s="211">
        <f t="shared" si="65"/>
        <v>0</v>
      </c>
      <c r="AF89" s="211">
        <f t="shared" si="65"/>
        <v>0</v>
      </c>
      <c r="AG89" s="211">
        <f t="shared" si="65"/>
        <v>0</v>
      </c>
      <c r="AH89" s="211">
        <f t="shared" si="65"/>
        <v>0</v>
      </c>
      <c r="AI89" s="211">
        <f t="shared" si="65"/>
        <v>0</v>
      </c>
      <c r="AJ89" s="211">
        <f t="shared" si="65"/>
        <v>0</v>
      </c>
      <c r="AK89" s="211">
        <f t="shared" si="65"/>
        <v>0</v>
      </c>
      <c r="AL89" s="211">
        <f t="shared" si="65"/>
        <v>0</v>
      </c>
      <c r="AM89" s="211">
        <f t="shared" si="65"/>
        <v>0</v>
      </c>
      <c r="AN89" s="211">
        <f t="shared" si="65"/>
        <v>0</v>
      </c>
    </row>
    <row r="90" spans="2:40" s="7" customFormat="1" ht="12" hidden="1" customHeight="1" outlineLevel="1">
      <c r="B90" s="245"/>
      <c r="C90" s="213" t="s">
        <v>771</v>
      </c>
      <c r="D90" s="213"/>
      <c r="E90" s="213"/>
      <c r="F90" s="213"/>
      <c r="G90" s="213"/>
      <c r="H90" s="213"/>
      <c r="I90" s="213"/>
      <c r="J90" s="213"/>
      <c r="K90" s="213"/>
      <c r="L90" s="213"/>
      <c r="M90" s="213"/>
      <c r="N90" s="213"/>
      <c r="O90" s="213"/>
      <c r="P90" s="213"/>
      <c r="Q90" s="213"/>
      <c r="R90" s="213"/>
      <c r="S90" s="213"/>
      <c r="T90" s="213"/>
      <c r="U90" s="213"/>
      <c r="V90" s="213"/>
      <c r="W90" s="211">
        <f>INDEX($C$44:$AN$66,MATCH("New Customers One-Time",$C$44:$C$66,0),MATCH($C90,$C$44:$AN$44,0))</f>
        <v>0</v>
      </c>
      <c r="X90" s="211">
        <f>$W$90*(1-E70)</f>
        <v>0</v>
      </c>
      <c r="Y90" s="211">
        <f t="shared" ref="Y90:AN90" si="66">$W$90*(1-F70)</f>
        <v>0</v>
      </c>
      <c r="Z90" s="211">
        <f t="shared" si="66"/>
        <v>0</v>
      </c>
      <c r="AA90" s="211">
        <f t="shared" si="66"/>
        <v>0</v>
      </c>
      <c r="AB90" s="211">
        <f t="shared" si="66"/>
        <v>0</v>
      </c>
      <c r="AC90" s="211">
        <f t="shared" si="66"/>
        <v>0</v>
      </c>
      <c r="AD90" s="211">
        <f t="shared" si="66"/>
        <v>0</v>
      </c>
      <c r="AE90" s="211">
        <f t="shared" si="66"/>
        <v>0</v>
      </c>
      <c r="AF90" s="211">
        <f t="shared" si="66"/>
        <v>0</v>
      </c>
      <c r="AG90" s="211">
        <f t="shared" si="66"/>
        <v>0</v>
      </c>
      <c r="AH90" s="211">
        <f t="shared" si="66"/>
        <v>0</v>
      </c>
      <c r="AI90" s="211">
        <f t="shared" si="66"/>
        <v>0</v>
      </c>
      <c r="AJ90" s="211">
        <f t="shared" si="66"/>
        <v>0</v>
      </c>
      <c r="AK90" s="211">
        <f t="shared" si="66"/>
        <v>0</v>
      </c>
      <c r="AL90" s="211">
        <f t="shared" si="66"/>
        <v>0</v>
      </c>
      <c r="AM90" s="211">
        <f t="shared" si="66"/>
        <v>0</v>
      </c>
      <c r="AN90" s="211">
        <f t="shared" si="66"/>
        <v>0</v>
      </c>
    </row>
    <row r="91" spans="2:40" s="7" customFormat="1" ht="12" hidden="1" customHeight="1" outlineLevel="1">
      <c r="B91" s="245"/>
      <c r="C91" s="213" t="s">
        <v>772</v>
      </c>
      <c r="D91" s="213"/>
      <c r="E91" s="213"/>
      <c r="F91" s="213"/>
      <c r="G91" s="213"/>
      <c r="H91" s="213"/>
      <c r="I91" s="213"/>
      <c r="J91" s="213"/>
      <c r="K91" s="213"/>
      <c r="L91" s="213"/>
      <c r="M91" s="213"/>
      <c r="N91" s="213"/>
      <c r="O91" s="213"/>
      <c r="P91" s="213"/>
      <c r="Q91" s="213"/>
      <c r="R91" s="213"/>
      <c r="S91" s="213"/>
      <c r="T91" s="213"/>
      <c r="U91" s="213"/>
      <c r="V91" s="213"/>
      <c r="W91" s="213"/>
      <c r="X91" s="211">
        <f>INDEX($C$44:$AN$66,MATCH("New Customers One-Time",$C$44:$C$66,0),MATCH($C91,$C$44:$AN$44,0))</f>
        <v>0</v>
      </c>
      <c r="Y91" s="211">
        <f>$X$91*(1-E70)</f>
        <v>0</v>
      </c>
      <c r="Z91" s="211">
        <f t="shared" ref="Z91:AN91" si="67">$X$91*(1-F70)</f>
        <v>0</v>
      </c>
      <c r="AA91" s="211">
        <f t="shared" si="67"/>
        <v>0</v>
      </c>
      <c r="AB91" s="211">
        <f t="shared" si="67"/>
        <v>0</v>
      </c>
      <c r="AC91" s="211">
        <f t="shared" si="67"/>
        <v>0</v>
      </c>
      <c r="AD91" s="211">
        <f t="shared" si="67"/>
        <v>0</v>
      </c>
      <c r="AE91" s="211">
        <f t="shared" si="67"/>
        <v>0</v>
      </c>
      <c r="AF91" s="211">
        <f t="shared" si="67"/>
        <v>0</v>
      </c>
      <c r="AG91" s="211">
        <f t="shared" si="67"/>
        <v>0</v>
      </c>
      <c r="AH91" s="211">
        <f t="shared" si="67"/>
        <v>0</v>
      </c>
      <c r="AI91" s="211">
        <f t="shared" si="67"/>
        <v>0</v>
      </c>
      <c r="AJ91" s="211">
        <f t="shared" si="67"/>
        <v>0</v>
      </c>
      <c r="AK91" s="211">
        <f t="shared" si="67"/>
        <v>0</v>
      </c>
      <c r="AL91" s="211">
        <f t="shared" si="67"/>
        <v>0</v>
      </c>
      <c r="AM91" s="211">
        <f t="shared" si="67"/>
        <v>0</v>
      </c>
      <c r="AN91" s="211">
        <f t="shared" si="67"/>
        <v>0</v>
      </c>
    </row>
    <row r="92" spans="2:40" s="7" customFormat="1" ht="12" hidden="1" customHeight="1" outlineLevel="1">
      <c r="B92" s="245"/>
      <c r="C92" s="213" t="s">
        <v>773</v>
      </c>
      <c r="D92" s="213"/>
      <c r="E92" s="213"/>
      <c r="F92" s="213"/>
      <c r="G92" s="213"/>
      <c r="H92" s="213"/>
      <c r="I92" s="213"/>
      <c r="J92" s="213"/>
      <c r="K92" s="213"/>
      <c r="L92" s="213"/>
      <c r="M92" s="213"/>
      <c r="N92" s="213"/>
      <c r="O92" s="213"/>
      <c r="P92" s="213"/>
      <c r="Q92" s="213"/>
      <c r="R92" s="213"/>
      <c r="S92" s="213"/>
      <c r="T92" s="213"/>
      <c r="U92" s="213"/>
      <c r="V92" s="213"/>
      <c r="W92" s="213"/>
      <c r="X92" s="213"/>
      <c r="Y92" s="211">
        <f>INDEX($C$44:$AN$66,MATCH("New Customers One-Time",$C$44:$C$66,0),MATCH($C92,$C$44:$AN$44,0))</f>
        <v>0</v>
      </c>
      <c r="Z92" s="211">
        <f>$Y$92*(1-E70)</f>
        <v>0</v>
      </c>
      <c r="AA92" s="211">
        <f t="shared" ref="AA92:AN92" si="68">$Y$92*(1-F70)</f>
        <v>0</v>
      </c>
      <c r="AB92" s="211">
        <f t="shared" si="68"/>
        <v>0</v>
      </c>
      <c r="AC92" s="211">
        <f t="shared" si="68"/>
        <v>0</v>
      </c>
      <c r="AD92" s="211">
        <f t="shared" si="68"/>
        <v>0</v>
      </c>
      <c r="AE92" s="211">
        <f t="shared" si="68"/>
        <v>0</v>
      </c>
      <c r="AF92" s="211">
        <f t="shared" si="68"/>
        <v>0</v>
      </c>
      <c r="AG92" s="211">
        <f t="shared" si="68"/>
        <v>0</v>
      </c>
      <c r="AH92" s="211">
        <f t="shared" si="68"/>
        <v>0</v>
      </c>
      <c r="AI92" s="211">
        <f t="shared" si="68"/>
        <v>0</v>
      </c>
      <c r="AJ92" s="211">
        <f t="shared" si="68"/>
        <v>0</v>
      </c>
      <c r="AK92" s="211">
        <f t="shared" si="68"/>
        <v>0</v>
      </c>
      <c r="AL92" s="211">
        <f t="shared" si="68"/>
        <v>0</v>
      </c>
      <c r="AM92" s="211">
        <f t="shared" si="68"/>
        <v>0</v>
      </c>
      <c r="AN92" s="211">
        <f t="shared" si="68"/>
        <v>0</v>
      </c>
    </row>
    <row r="93" spans="2:40" s="7" customFormat="1" ht="12" hidden="1" customHeight="1" outlineLevel="1">
      <c r="B93" s="245"/>
      <c r="C93" s="213" t="s">
        <v>774</v>
      </c>
      <c r="D93" s="213"/>
      <c r="E93" s="213"/>
      <c r="F93" s="213"/>
      <c r="G93" s="213"/>
      <c r="H93" s="213"/>
      <c r="I93" s="213"/>
      <c r="J93" s="213"/>
      <c r="K93" s="213"/>
      <c r="L93" s="213"/>
      <c r="M93" s="213"/>
      <c r="N93" s="213"/>
      <c r="O93" s="213"/>
      <c r="P93" s="213"/>
      <c r="Q93" s="213"/>
      <c r="R93" s="213"/>
      <c r="S93" s="213"/>
      <c r="T93" s="213"/>
      <c r="U93" s="213"/>
      <c r="V93" s="213"/>
      <c r="W93" s="213"/>
      <c r="X93" s="213"/>
      <c r="Y93" s="213"/>
      <c r="Z93" s="211">
        <f>INDEX($C$44:$AN$66,MATCH("New Customers One-Time",$C$44:$C$66,0),MATCH($C93,$C$44:$AN$44,0))</f>
        <v>0</v>
      </c>
      <c r="AA93" s="211">
        <f>$Z$93*(1-E70)</f>
        <v>0</v>
      </c>
      <c r="AB93" s="211">
        <f t="shared" ref="AB93:AN93" si="69">$Z$93*(1-F70)</f>
        <v>0</v>
      </c>
      <c r="AC93" s="211">
        <f t="shared" si="69"/>
        <v>0</v>
      </c>
      <c r="AD93" s="211">
        <f t="shared" si="69"/>
        <v>0</v>
      </c>
      <c r="AE93" s="211">
        <f t="shared" si="69"/>
        <v>0</v>
      </c>
      <c r="AF93" s="211">
        <f t="shared" si="69"/>
        <v>0</v>
      </c>
      <c r="AG93" s="211">
        <f t="shared" si="69"/>
        <v>0</v>
      </c>
      <c r="AH93" s="211">
        <f t="shared" si="69"/>
        <v>0</v>
      </c>
      <c r="AI93" s="211">
        <f t="shared" si="69"/>
        <v>0</v>
      </c>
      <c r="AJ93" s="211">
        <f t="shared" si="69"/>
        <v>0</v>
      </c>
      <c r="AK93" s="211">
        <f t="shared" si="69"/>
        <v>0</v>
      </c>
      <c r="AL93" s="211">
        <f t="shared" si="69"/>
        <v>0</v>
      </c>
      <c r="AM93" s="211">
        <f t="shared" si="69"/>
        <v>0</v>
      </c>
      <c r="AN93" s="211">
        <f t="shared" si="69"/>
        <v>0</v>
      </c>
    </row>
    <row r="94" spans="2:40" s="7" customFormat="1" ht="12" hidden="1" customHeight="1" outlineLevel="1">
      <c r="B94" s="245"/>
      <c r="C94" s="213" t="s">
        <v>775</v>
      </c>
      <c r="D94" s="213"/>
      <c r="E94" s="213"/>
      <c r="F94" s="213"/>
      <c r="G94" s="213"/>
      <c r="H94" s="213"/>
      <c r="I94" s="213"/>
      <c r="J94" s="213"/>
      <c r="K94" s="213"/>
      <c r="L94" s="213"/>
      <c r="M94" s="213"/>
      <c r="N94" s="213"/>
      <c r="O94" s="213"/>
      <c r="P94" s="213"/>
      <c r="Q94" s="213"/>
      <c r="R94" s="213"/>
      <c r="S94" s="213"/>
      <c r="T94" s="213"/>
      <c r="U94" s="213"/>
      <c r="V94" s="213"/>
      <c r="W94" s="213"/>
      <c r="X94" s="213"/>
      <c r="Y94" s="213"/>
      <c r="Z94" s="213"/>
      <c r="AA94" s="211">
        <f>INDEX($C$44:$AN$66,MATCH("New Customers One-Time",$C$44:$C$66,0),MATCH($C94,$C$44:$AN$44,0))</f>
        <v>0</v>
      </c>
      <c r="AB94" s="211">
        <f>$AA$94*(1-E70)</f>
        <v>0</v>
      </c>
      <c r="AC94" s="211">
        <f t="shared" ref="AC94:AN94" si="70">$AA$94*(1-F70)</f>
        <v>0</v>
      </c>
      <c r="AD94" s="211">
        <f t="shared" si="70"/>
        <v>0</v>
      </c>
      <c r="AE94" s="211">
        <f t="shared" si="70"/>
        <v>0</v>
      </c>
      <c r="AF94" s="211">
        <f t="shared" si="70"/>
        <v>0</v>
      </c>
      <c r="AG94" s="211">
        <f t="shared" si="70"/>
        <v>0</v>
      </c>
      <c r="AH94" s="211">
        <f t="shared" si="70"/>
        <v>0</v>
      </c>
      <c r="AI94" s="211">
        <f t="shared" si="70"/>
        <v>0</v>
      </c>
      <c r="AJ94" s="211">
        <f t="shared" si="70"/>
        <v>0</v>
      </c>
      <c r="AK94" s="211">
        <f t="shared" si="70"/>
        <v>0</v>
      </c>
      <c r="AL94" s="211">
        <f t="shared" si="70"/>
        <v>0</v>
      </c>
      <c r="AM94" s="211">
        <f t="shared" si="70"/>
        <v>0</v>
      </c>
      <c r="AN94" s="211">
        <f t="shared" si="70"/>
        <v>0</v>
      </c>
    </row>
    <row r="95" spans="2:40" s="7" customFormat="1" ht="12" hidden="1" customHeight="1" outlineLevel="1">
      <c r="B95" s="245"/>
      <c r="C95" s="213" t="s">
        <v>776</v>
      </c>
      <c r="D95" s="213"/>
      <c r="E95" s="213"/>
      <c r="F95" s="213"/>
      <c r="G95" s="213"/>
      <c r="H95" s="213"/>
      <c r="I95" s="213"/>
      <c r="J95" s="213"/>
      <c r="K95" s="213"/>
      <c r="L95" s="213"/>
      <c r="M95" s="213"/>
      <c r="N95" s="213"/>
      <c r="O95" s="213"/>
      <c r="P95" s="213"/>
      <c r="Q95" s="213"/>
      <c r="R95" s="213"/>
      <c r="S95" s="213"/>
      <c r="T95" s="213"/>
      <c r="U95" s="213"/>
      <c r="V95" s="213"/>
      <c r="W95" s="213"/>
      <c r="X95" s="213"/>
      <c r="Y95" s="213"/>
      <c r="Z95" s="213"/>
      <c r="AA95" s="213"/>
      <c r="AB95" s="211">
        <f>INDEX($C$44:$AN$66,MATCH("New Customers One-Time",$C$44:$C$66,0),MATCH($C95,$C$44:$AN$44,0))</f>
        <v>0</v>
      </c>
      <c r="AC95" s="211">
        <f>$AB$95*(1-E70)</f>
        <v>0</v>
      </c>
      <c r="AD95" s="211">
        <f t="shared" ref="AD95:AN95" si="71">$AB$95*(1-F70)</f>
        <v>0</v>
      </c>
      <c r="AE95" s="211">
        <f t="shared" si="71"/>
        <v>0</v>
      </c>
      <c r="AF95" s="211">
        <f t="shared" si="71"/>
        <v>0</v>
      </c>
      <c r="AG95" s="211">
        <f t="shared" si="71"/>
        <v>0</v>
      </c>
      <c r="AH95" s="211">
        <f t="shared" si="71"/>
        <v>0</v>
      </c>
      <c r="AI95" s="211">
        <f t="shared" si="71"/>
        <v>0</v>
      </c>
      <c r="AJ95" s="211">
        <f t="shared" si="71"/>
        <v>0</v>
      </c>
      <c r="AK95" s="211">
        <f t="shared" si="71"/>
        <v>0</v>
      </c>
      <c r="AL95" s="211">
        <f t="shared" si="71"/>
        <v>0</v>
      </c>
      <c r="AM95" s="211">
        <f t="shared" si="71"/>
        <v>0</v>
      </c>
      <c r="AN95" s="211">
        <f t="shared" si="71"/>
        <v>0</v>
      </c>
    </row>
    <row r="96" spans="2:40" s="7" customFormat="1" ht="12" hidden="1" customHeight="1" outlineLevel="1">
      <c r="B96" s="245"/>
      <c r="C96" s="213" t="s">
        <v>777</v>
      </c>
      <c r="D96" s="213"/>
      <c r="E96" s="213"/>
      <c r="F96" s="213"/>
      <c r="G96" s="213"/>
      <c r="H96" s="213"/>
      <c r="I96" s="213"/>
      <c r="J96" s="213"/>
      <c r="K96" s="213"/>
      <c r="L96" s="213"/>
      <c r="M96" s="213"/>
      <c r="N96" s="213"/>
      <c r="O96" s="213"/>
      <c r="P96" s="213"/>
      <c r="Q96" s="213"/>
      <c r="R96" s="213"/>
      <c r="S96" s="213"/>
      <c r="T96" s="213"/>
      <c r="U96" s="213"/>
      <c r="V96" s="213"/>
      <c r="W96" s="213"/>
      <c r="X96" s="213"/>
      <c r="Y96" s="213"/>
      <c r="Z96" s="213"/>
      <c r="AA96" s="213"/>
      <c r="AB96" s="211"/>
      <c r="AC96" s="211">
        <f>INDEX($C$44:$AN$66,MATCH("New Customers One-Time",$C$44:$C$66,0),MATCH($C96,$C$44:$AN$44,0))</f>
        <v>0</v>
      </c>
      <c r="AD96" s="211">
        <f>$AC$96*(1-E70)</f>
        <v>0</v>
      </c>
      <c r="AE96" s="211">
        <f t="shared" ref="AE96:AN96" si="72">$AC$96*(1-F70)</f>
        <v>0</v>
      </c>
      <c r="AF96" s="211">
        <f t="shared" si="72"/>
        <v>0</v>
      </c>
      <c r="AG96" s="211">
        <f t="shared" si="72"/>
        <v>0</v>
      </c>
      <c r="AH96" s="211">
        <f t="shared" si="72"/>
        <v>0</v>
      </c>
      <c r="AI96" s="211">
        <f t="shared" si="72"/>
        <v>0</v>
      </c>
      <c r="AJ96" s="211">
        <f t="shared" si="72"/>
        <v>0</v>
      </c>
      <c r="AK96" s="211">
        <f t="shared" si="72"/>
        <v>0</v>
      </c>
      <c r="AL96" s="211">
        <f t="shared" si="72"/>
        <v>0</v>
      </c>
      <c r="AM96" s="211">
        <f t="shared" si="72"/>
        <v>0</v>
      </c>
      <c r="AN96" s="211">
        <f t="shared" si="72"/>
        <v>0</v>
      </c>
    </row>
    <row r="97" spans="2:40" s="7" customFormat="1" ht="12" hidden="1" customHeight="1" outlineLevel="1">
      <c r="B97" s="245"/>
      <c r="C97" s="213" t="s">
        <v>778</v>
      </c>
      <c r="D97" s="213"/>
      <c r="E97" s="213"/>
      <c r="F97" s="213"/>
      <c r="G97" s="213"/>
      <c r="H97" s="213"/>
      <c r="I97" s="213"/>
      <c r="J97" s="213"/>
      <c r="K97" s="213"/>
      <c r="L97" s="213"/>
      <c r="M97" s="213"/>
      <c r="N97" s="213"/>
      <c r="O97" s="213"/>
      <c r="P97" s="213"/>
      <c r="Q97" s="213"/>
      <c r="R97" s="213"/>
      <c r="S97" s="213"/>
      <c r="T97" s="213"/>
      <c r="U97" s="213"/>
      <c r="V97" s="213"/>
      <c r="W97" s="213"/>
      <c r="X97" s="213"/>
      <c r="Y97" s="213"/>
      <c r="Z97" s="213"/>
      <c r="AA97" s="213"/>
      <c r="AB97" s="211"/>
      <c r="AC97" s="211"/>
      <c r="AD97" s="211">
        <f>INDEX($C$44:$AN$66,MATCH("New Customers One-Time",$C$44:$C$66,0),MATCH($C97,$C$44:$AN$44,0))</f>
        <v>0</v>
      </c>
      <c r="AE97" s="211">
        <f>$AD$97*(1-E70)</f>
        <v>0</v>
      </c>
      <c r="AF97" s="211">
        <f t="shared" ref="AF97:AN97" si="73">$AD$97*(1-F70)</f>
        <v>0</v>
      </c>
      <c r="AG97" s="211">
        <f t="shared" si="73"/>
        <v>0</v>
      </c>
      <c r="AH97" s="211">
        <f t="shared" si="73"/>
        <v>0</v>
      </c>
      <c r="AI97" s="211">
        <f t="shared" si="73"/>
        <v>0</v>
      </c>
      <c r="AJ97" s="211">
        <f t="shared" si="73"/>
        <v>0</v>
      </c>
      <c r="AK97" s="211">
        <f t="shared" si="73"/>
        <v>0</v>
      </c>
      <c r="AL97" s="211">
        <f t="shared" si="73"/>
        <v>0</v>
      </c>
      <c r="AM97" s="211">
        <f t="shared" si="73"/>
        <v>0</v>
      </c>
      <c r="AN97" s="211">
        <f t="shared" si="73"/>
        <v>0</v>
      </c>
    </row>
    <row r="98" spans="2:40" s="7" customFormat="1" ht="12" hidden="1" customHeight="1" outlineLevel="1">
      <c r="B98" s="245"/>
      <c r="C98" s="213" t="s">
        <v>779</v>
      </c>
      <c r="D98" s="213"/>
      <c r="E98" s="213"/>
      <c r="F98" s="213"/>
      <c r="G98" s="213"/>
      <c r="H98" s="213"/>
      <c r="I98" s="213"/>
      <c r="J98" s="213"/>
      <c r="K98" s="213"/>
      <c r="L98" s="213"/>
      <c r="M98" s="213"/>
      <c r="N98" s="213"/>
      <c r="O98" s="213"/>
      <c r="P98" s="213"/>
      <c r="Q98" s="213"/>
      <c r="R98" s="213"/>
      <c r="S98" s="213"/>
      <c r="T98" s="213"/>
      <c r="U98" s="213"/>
      <c r="V98" s="213"/>
      <c r="W98" s="213"/>
      <c r="X98" s="213"/>
      <c r="Y98" s="213"/>
      <c r="Z98" s="213"/>
      <c r="AA98" s="213"/>
      <c r="AB98" s="211"/>
      <c r="AC98" s="211"/>
      <c r="AD98" s="211"/>
      <c r="AE98" s="211">
        <f>INDEX($C$44:$AN$66,MATCH("New Customers One-Time",$C$44:$C$66,0),MATCH($C98,$C$44:$AN$44,0))</f>
        <v>0</v>
      </c>
      <c r="AF98" s="211">
        <f>$AE$98*(1-E70)</f>
        <v>0</v>
      </c>
      <c r="AG98" s="211">
        <f t="shared" ref="AG98:AN98" si="74">$AE$98*(1-F70)</f>
        <v>0</v>
      </c>
      <c r="AH98" s="211">
        <f t="shared" si="74"/>
        <v>0</v>
      </c>
      <c r="AI98" s="211">
        <f t="shared" si="74"/>
        <v>0</v>
      </c>
      <c r="AJ98" s="211">
        <f t="shared" si="74"/>
        <v>0</v>
      </c>
      <c r="AK98" s="211">
        <f t="shared" si="74"/>
        <v>0</v>
      </c>
      <c r="AL98" s="211">
        <f t="shared" si="74"/>
        <v>0</v>
      </c>
      <c r="AM98" s="211">
        <f t="shared" si="74"/>
        <v>0</v>
      </c>
      <c r="AN98" s="211">
        <f t="shared" si="74"/>
        <v>0</v>
      </c>
    </row>
    <row r="99" spans="2:40" s="7" customFormat="1" ht="12" hidden="1" customHeight="1" outlineLevel="1">
      <c r="B99" s="245"/>
      <c r="C99" s="213" t="s">
        <v>780</v>
      </c>
      <c r="D99" s="213"/>
      <c r="E99" s="213"/>
      <c r="F99" s="213"/>
      <c r="G99" s="213"/>
      <c r="H99" s="213"/>
      <c r="I99" s="213"/>
      <c r="J99" s="213"/>
      <c r="K99" s="213"/>
      <c r="L99" s="213"/>
      <c r="M99" s="213"/>
      <c r="N99" s="213"/>
      <c r="O99" s="213"/>
      <c r="P99" s="213"/>
      <c r="Q99" s="213"/>
      <c r="R99" s="213"/>
      <c r="S99" s="213"/>
      <c r="T99" s="213"/>
      <c r="U99" s="213"/>
      <c r="V99" s="213"/>
      <c r="W99" s="213"/>
      <c r="X99" s="213"/>
      <c r="Y99" s="213"/>
      <c r="Z99" s="213"/>
      <c r="AA99" s="213"/>
      <c r="AB99" s="211"/>
      <c r="AC99" s="211"/>
      <c r="AD99" s="211"/>
      <c r="AE99" s="211"/>
      <c r="AF99" s="211">
        <f>INDEX($C$44:$AN$66,MATCH("New Customers One-Time",$C$44:$C$66,0),MATCH($C99,$C$44:$AN$44,0))</f>
        <v>0</v>
      </c>
      <c r="AG99" s="211">
        <f>$AF$99*(1-E70)</f>
        <v>0</v>
      </c>
      <c r="AH99" s="211">
        <f t="shared" ref="AH99:AN99" si="75">$AF$99*(1-F70)</f>
        <v>0</v>
      </c>
      <c r="AI99" s="211">
        <f t="shared" si="75"/>
        <v>0</v>
      </c>
      <c r="AJ99" s="211">
        <f t="shared" si="75"/>
        <v>0</v>
      </c>
      <c r="AK99" s="211">
        <f t="shared" si="75"/>
        <v>0</v>
      </c>
      <c r="AL99" s="211">
        <f t="shared" si="75"/>
        <v>0</v>
      </c>
      <c r="AM99" s="211">
        <f t="shared" si="75"/>
        <v>0</v>
      </c>
      <c r="AN99" s="211">
        <f t="shared" si="75"/>
        <v>0</v>
      </c>
    </row>
    <row r="100" spans="2:40" s="7" customFormat="1" ht="12" hidden="1" customHeight="1" outlineLevel="1">
      <c r="B100" s="245"/>
      <c r="C100" s="213" t="s">
        <v>781</v>
      </c>
      <c r="D100" s="213"/>
      <c r="E100" s="213"/>
      <c r="F100" s="213"/>
      <c r="G100" s="213"/>
      <c r="H100" s="213"/>
      <c r="I100" s="213"/>
      <c r="J100" s="213"/>
      <c r="K100" s="213"/>
      <c r="L100" s="213"/>
      <c r="M100" s="213"/>
      <c r="N100" s="213"/>
      <c r="O100" s="213"/>
      <c r="P100" s="213"/>
      <c r="Q100" s="213"/>
      <c r="R100" s="213"/>
      <c r="S100" s="213"/>
      <c r="T100" s="213"/>
      <c r="U100" s="213"/>
      <c r="V100" s="213"/>
      <c r="W100" s="213"/>
      <c r="X100" s="213"/>
      <c r="Y100" s="213"/>
      <c r="Z100" s="213"/>
      <c r="AA100" s="213"/>
      <c r="AB100" s="211"/>
      <c r="AC100" s="211"/>
      <c r="AD100" s="211"/>
      <c r="AE100" s="211"/>
      <c r="AF100" s="211"/>
      <c r="AG100" s="211">
        <f>INDEX($C$44:$AN$66,MATCH("New Customers One-Time",$C$44:$C$66,0),MATCH($C100,$C$44:$AN$44,0))</f>
        <v>0</v>
      </c>
      <c r="AH100" s="211">
        <f>$AG$100*(1-E70)</f>
        <v>0</v>
      </c>
      <c r="AI100" s="211">
        <f t="shared" ref="AI100:AN100" si="76">$AG$100*(1-F70)</f>
        <v>0</v>
      </c>
      <c r="AJ100" s="211">
        <f t="shared" si="76"/>
        <v>0</v>
      </c>
      <c r="AK100" s="211">
        <f t="shared" si="76"/>
        <v>0</v>
      </c>
      <c r="AL100" s="211">
        <f t="shared" si="76"/>
        <v>0</v>
      </c>
      <c r="AM100" s="211">
        <f t="shared" si="76"/>
        <v>0</v>
      </c>
      <c r="AN100" s="211">
        <f t="shared" si="76"/>
        <v>0</v>
      </c>
    </row>
    <row r="101" spans="2:40" s="7" customFormat="1" ht="12" hidden="1" customHeight="1" outlineLevel="1">
      <c r="B101" s="245"/>
      <c r="C101" s="213" t="s">
        <v>782</v>
      </c>
      <c r="D101" s="213"/>
      <c r="E101" s="213"/>
      <c r="F101" s="213"/>
      <c r="G101" s="213"/>
      <c r="H101" s="213"/>
      <c r="I101" s="213"/>
      <c r="J101" s="213"/>
      <c r="K101" s="213"/>
      <c r="L101" s="213"/>
      <c r="M101" s="213"/>
      <c r="N101" s="213"/>
      <c r="O101" s="213"/>
      <c r="P101" s="213"/>
      <c r="Q101" s="213"/>
      <c r="R101" s="213"/>
      <c r="S101" s="213"/>
      <c r="T101" s="213"/>
      <c r="U101" s="213"/>
      <c r="V101" s="213"/>
      <c r="W101" s="213"/>
      <c r="X101" s="213"/>
      <c r="Y101" s="213"/>
      <c r="Z101" s="213"/>
      <c r="AA101" s="213"/>
      <c r="AB101" s="211"/>
      <c r="AC101" s="211"/>
      <c r="AD101" s="211"/>
      <c r="AE101" s="211"/>
      <c r="AF101" s="211"/>
      <c r="AG101" s="211"/>
      <c r="AH101" s="211">
        <f>INDEX($C$44:$AN$66,MATCH("New Customers One-Time",$C$44:$C$66,0),MATCH($C101,$C$44:$AN$44,0))</f>
        <v>0</v>
      </c>
      <c r="AI101" s="211">
        <f>$AH$101*(1-E70)</f>
        <v>0</v>
      </c>
      <c r="AJ101" s="211">
        <f t="shared" ref="AJ101:AN101" si="77">$AH$101*(1-F70)</f>
        <v>0</v>
      </c>
      <c r="AK101" s="211">
        <f t="shared" si="77"/>
        <v>0</v>
      </c>
      <c r="AL101" s="211">
        <f t="shared" si="77"/>
        <v>0</v>
      </c>
      <c r="AM101" s="211">
        <f t="shared" si="77"/>
        <v>0</v>
      </c>
      <c r="AN101" s="211">
        <f t="shared" si="77"/>
        <v>0</v>
      </c>
    </row>
    <row r="102" spans="2:40" s="7" customFormat="1" ht="12" hidden="1" customHeight="1" outlineLevel="1">
      <c r="B102" s="245"/>
      <c r="C102" s="213" t="s">
        <v>783</v>
      </c>
      <c r="D102" s="213"/>
      <c r="E102" s="213"/>
      <c r="F102" s="213"/>
      <c r="G102" s="213"/>
      <c r="H102" s="213"/>
      <c r="I102" s="213"/>
      <c r="J102" s="213"/>
      <c r="K102" s="213"/>
      <c r="L102" s="213"/>
      <c r="M102" s="213"/>
      <c r="N102" s="213"/>
      <c r="O102" s="213"/>
      <c r="P102" s="213"/>
      <c r="Q102" s="213"/>
      <c r="R102" s="213"/>
      <c r="S102" s="213"/>
      <c r="T102" s="213"/>
      <c r="U102" s="213"/>
      <c r="V102" s="213"/>
      <c r="W102" s="213"/>
      <c r="X102" s="213"/>
      <c r="Y102" s="213"/>
      <c r="Z102" s="213"/>
      <c r="AA102" s="213"/>
      <c r="AB102" s="211"/>
      <c r="AC102" s="211"/>
      <c r="AD102" s="211"/>
      <c r="AE102" s="211"/>
      <c r="AF102" s="211"/>
      <c r="AG102" s="211"/>
      <c r="AH102" s="211"/>
      <c r="AI102" s="211">
        <f>INDEX($C$44:$AN$66,MATCH("New Customers One-Time",$C$44:$C$66,0),MATCH($C102,$C$44:$AN$44,0))</f>
        <v>0</v>
      </c>
      <c r="AJ102" s="211">
        <f>$AI$102*(1-E70)</f>
        <v>0</v>
      </c>
      <c r="AK102" s="211">
        <f t="shared" ref="AK102:AN102" si="78">$AI$102*(1-F70)</f>
        <v>0</v>
      </c>
      <c r="AL102" s="211">
        <f t="shared" si="78"/>
        <v>0</v>
      </c>
      <c r="AM102" s="211">
        <f t="shared" si="78"/>
        <v>0</v>
      </c>
      <c r="AN102" s="211">
        <f t="shared" si="78"/>
        <v>0</v>
      </c>
    </row>
    <row r="103" spans="2:40" s="7" customFormat="1" ht="12" hidden="1" customHeight="1" outlineLevel="1">
      <c r="B103" s="245"/>
      <c r="C103" s="213" t="s">
        <v>784</v>
      </c>
      <c r="D103" s="213"/>
      <c r="E103" s="213"/>
      <c r="F103" s="213"/>
      <c r="G103" s="213"/>
      <c r="H103" s="213"/>
      <c r="I103" s="213"/>
      <c r="J103" s="213"/>
      <c r="K103" s="213"/>
      <c r="L103" s="213"/>
      <c r="M103" s="213"/>
      <c r="N103" s="213"/>
      <c r="O103" s="213"/>
      <c r="P103" s="213"/>
      <c r="Q103" s="213"/>
      <c r="R103" s="213"/>
      <c r="S103" s="213"/>
      <c r="T103" s="213"/>
      <c r="U103" s="213"/>
      <c r="V103" s="213"/>
      <c r="W103" s="213"/>
      <c r="X103" s="213"/>
      <c r="Y103" s="213"/>
      <c r="Z103" s="213"/>
      <c r="AA103" s="213"/>
      <c r="AB103" s="211"/>
      <c r="AC103" s="211"/>
      <c r="AD103" s="211"/>
      <c r="AE103" s="211"/>
      <c r="AF103" s="211"/>
      <c r="AG103" s="211"/>
      <c r="AH103" s="211"/>
      <c r="AI103" s="211"/>
      <c r="AJ103" s="211">
        <f>INDEX($C$44:$AN$66,MATCH("New Customers One-Time",$C$44:$C$66,0),MATCH($C103,$C$44:$AN$44,0))</f>
        <v>0</v>
      </c>
      <c r="AK103" s="211">
        <f>$AJ$103*(1-E70)</f>
        <v>0</v>
      </c>
      <c r="AL103" s="211">
        <f t="shared" ref="AL103:AN103" si="79">$AJ$103*(1-F70)</f>
        <v>0</v>
      </c>
      <c r="AM103" s="211">
        <f t="shared" si="79"/>
        <v>0</v>
      </c>
      <c r="AN103" s="211">
        <f t="shared" si="79"/>
        <v>0</v>
      </c>
    </row>
    <row r="104" spans="2:40" s="7" customFormat="1" ht="12" hidden="1" customHeight="1" outlineLevel="1">
      <c r="B104" s="245"/>
      <c r="C104" s="213" t="s">
        <v>785</v>
      </c>
      <c r="D104" s="213"/>
      <c r="E104" s="213"/>
      <c r="F104" s="213"/>
      <c r="G104" s="213"/>
      <c r="H104" s="213"/>
      <c r="I104" s="213"/>
      <c r="J104" s="213"/>
      <c r="K104" s="213"/>
      <c r="L104" s="213"/>
      <c r="M104" s="213"/>
      <c r="N104" s="213"/>
      <c r="O104" s="213"/>
      <c r="P104" s="213"/>
      <c r="Q104" s="213"/>
      <c r="R104" s="213"/>
      <c r="S104" s="213"/>
      <c r="T104" s="213"/>
      <c r="U104" s="213"/>
      <c r="V104" s="213"/>
      <c r="W104" s="213"/>
      <c r="X104" s="213"/>
      <c r="Y104" s="213"/>
      <c r="Z104" s="213"/>
      <c r="AA104" s="213"/>
      <c r="AB104" s="211"/>
      <c r="AC104" s="211"/>
      <c r="AD104" s="211"/>
      <c r="AE104" s="211"/>
      <c r="AF104" s="211"/>
      <c r="AG104" s="211"/>
      <c r="AH104" s="211"/>
      <c r="AI104" s="211"/>
      <c r="AJ104" s="211"/>
      <c r="AK104" s="211">
        <f>INDEX($C$44:$AN$66,MATCH("New Customers One-Time",$C$44:$C$66,0),MATCH($C104,$C$44:$AN$44,0))</f>
        <v>0</v>
      </c>
      <c r="AL104" s="211">
        <f>$AK$104*(1-E70)</f>
        <v>0</v>
      </c>
      <c r="AM104" s="211">
        <f t="shared" ref="AM104:AN104" si="80">$AK$104*(1-F70)</f>
        <v>0</v>
      </c>
      <c r="AN104" s="211">
        <f t="shared" si="80"/>
        <v>0</v>
      </c>
    </row>
    <row r="105" spans="2:40" s="7" customFormat="1" ht="12" hidden="1" customHeight="1" outlineLevel="1">
      <c r="B105" s="245"/>
      <c r="C105" s="213" t="s">
        <v>786</v>
      </c>
      <c r="D105" s="213"/>
      <c r="E105" s="213"/>
      <c r="F105" s="213"/>
      <c r="G105" s="213"/>
      <c r="H105" s="213"/>
      <c r="I105" s="213"/>
      <c r="J105" s="213"/>
      <c r="K105" s="213"/>
      <c r="L105" s="213"/>
      <c r="M105" s="213"/>
      <c r="N105" s="213"/>
      <c r="O105" s="213"/>
      <c r="P105" s="213"/>
      <c r="Q105" s="213"/>
      <c r="R105" s="213"/>
      <c r="S105" s="213"/>
      <c r="T105" s="213"/>
      <c r="U105" s="213"/>
      <c r="V105" s="213"/>
      <c r="W105" s="213"/>
      <c r="X105" s="213"/>
      <c r="Y105" s="213"/>
      <c r="Z105" s="213"/>
      <c r="AA105" s="213"/>
      <c r="AB105" s="211"/>
      <c r="AC105" s="211"/>
      <c r="AD105" s="211"/>
      <c r="AE105" s="211"/>
      <c r="AF105" s="211"/>
      <c r="AG105" s="211"/>
      <c r="AH105" s="211"/>
      <c r="AI105" s="211"/>
      <c r="AJ105" s="211"/>
      <c r="AK105" s="211"/>
      <c r="AL105" s="211">
        <f>INDEX($C$44:$AN$66,MATCH("New Customers One-Time",$C$44:$C$66,0),MATCH($C105,$C$44:$AN$44,0))</f>
        <v>0</v>
      </c>
      <c r="AM105" s="211">
        <f>$AL$105*(1-E70)</f>
        <v>0</v>
      </c>
      <c r="AN105" s="211">
        <f>$AL$105*(1-F70)</f>
        <v>0</v>
      </c>
    </row>
    <row r="106" spans="2:40" s="7" customFormat="1" ht="12" hidden="1" customHeight="1" outlineLevel="1">
      <c r="B106" s="245"/>
      <c r="C106" s="213" t="s">
        <v>787</v>
      </c>
      <c r="D106" s="213"/>
      <c r="E106" s="213"/>
      <c r="F106" s="213"/>
      <c r="G106" s="213"/>
      <c r="H106" s="213"/>
      <c r="I106" s="213"/>
      <c r="J106" s="213"/>
      <c r="K106" s="213"/>
      <c r="L106" s="213"/>
      <c r="M106" s="213"/>
      <c r="N106" s="213"/>
      <c r="O106" s="213"/>
      <c r="P106" s="213"/>
      <c r="Q106" s="213"/>
      <c r="R106" s="213"/>
      <c r="S106" s="213"/>
      <c r="T106" s="213"/>
      <c r="U106" s="213"/>
      <c r="V106" s="213"/>
      <c r="W106" s="213"/>
      <c r="X106" s="213"/>
      <c r="Y106" s="213"/>
      <c r="Z106" s="213"/>
      <c r="AA106" s="213"/>
      <c r="AB106" s="211"/>
      <c r="AC106" s="211"/>
      <c r="AD106" s="211"/>
      <c r="AE106" s="211"/>
      <c r="AF106" s="211"/>
      <c r="AG106" s="211"/>
      <c r="AH106" s="211"/>
      <c r="AI106" s="211"/>
      <c r="AJ106" s="211"/>
      <c r="AK106" s="211"/>
      <c r="AL106" s="211"/>
      <c r="AM106" s="211">
        <f>INDEX($C$44:$AN$66,MATCH("New Customers One-Time",$C$44:$C$66,0),MATCH($C106,$C$44:$AN$44,0))</f>
        <v>0</v>
      </c>
      <c r="AN106" s="211">
        <f>$AM$106*(1-E70)</f>
        <v>0</v>
      </c>
    </row>
    <row r="107" spans="2:40" s="7" customFormat="1" ht="12" hidden="1" customHeight="1" outlineLevel="1">
      <c r="B107" s="245"/>
      <c r="C107" s="213" t="s">
        <v>788</v>
      </c>
      <c r="D107" s="213"/>
      <c r="E107" s="213"/>
      <c r="F107" s="213"/>
      <c r="G107" s="213"/>
      <c r="H107" s="213"/>
      <c r="I107" s="213"/>
      <c r="J107" s="213"/>
      <c r="K107" s="213"/>
      <c r="L107" s="213"/>
      <c r="M107" s="213"/>
      <c r="N107" s="213"/>
      <c r="O107" s="213"/>
      <c r="P107" s="213"/>
      <c r="Q107" s="213"/>
      <c r="R107" s="213"/>
      <c r="S107" s="213"/>
      <c r="T107" s="213"/>
      <c r="U107" s="213"/>
      <c r="V107" s="213"/>
      <c r="W107" s="213"/>
      <c r="X107" s="213"/>
      <c r="Y107" s="213"/>
      <c r="Z107" s="213"/>
      <c r="AA107" s="213"/>
      <c r="AB107" s="211"/>
      <c r="AC107" s="211"/>
      <c r="AD107" s="211"/>
      <c r="AE107" s="211"/>
      <c r="AF107" s="211"/>
      <c r="AG107" s="211"/>
      <c r="AH107" s="211"/>
      <c r="AI107" s="211"/>
      <c r="AJ107" s="211"/>
      <c r="AK107" s="211"/>
      <c r="AL107" s="211"/>
      <c r="AM107" s="211"/>
      <c r="AN107" s="211">
        <f>INDEX($C$44:$AN$66,MATCH("New Customers One-Time",$C$44:$C$66,0),MATCH($C107,$C$44:$AN$44,0))</f>
        <v>0</v>
      </c>
    </row>
    <row r="108" spans="2:40" s="7" customFormat="1" ht="12" hidden="1" customHeight="1" outlineLevel="1">
      <c r="B108" s="245"/>
      <c r="C108" s="213"/>
      <c r="D108" s="213"/>
      <c r="E108" s="213"/>
      <c r="F108" s="213"/>
      <c r="G108" s="213"/>
      <c r="H108" s="213"/>
      <c r="I108" s="213"/>
      <c r="J108" s="213"/>
      <c r="K108" s="213"/>
      <c r="L108" s="213"/>
      <c r="M108" s="213"/>
      <c r="N108" s="213"/>
      <c r="O108" s="213"/>
      <c r="P108" s="213"/>
      <c r="Q108" s="213"/>
      <c r="R108" s="213"/>
      <c r="S108" s="213"/>
      <c r="T108" s="213"/>
      <c r="U108" s="213"/>
      <c r="V108" s="213"/>
      <c r="W108" s="213"/>
      <c r="X108" s="213"/>
      <c r="Y108" s="213"/>
      <c r="Z108" s="213"/>
      <c r="AA108" s="213"/>
      <c r="AB108" s="211"/>
      <c r="AC108" s="211"/>
      <c r="AD108" s="211"/>
      <c r="AE108" s="211"/>
      <c r="AF108" s="211"/>
      <c r="AG108" s="211"/>
      <c r="AH108" s="211"/>
      <c r="AI108" s="211"/>
      <c r="AJ108" s="211"/>
      <c r="AK108" s="211"/>
      <c r="AL108" s="211"/>
      <c r="AM108" s="211"/>
      <c r="AN108" s="211"/>
    </row>
    <row r="109" spans="2:40" s="7" customFormat="1" ht="12" hidden="1" customHeight="1" outlineLevel="1">
      <c r="B109" s="245"/>
      <c r="C109" s="243" t="s">
        <v>853</v>
      </c>
      <c r="D109" s="213"/>
      <c r="E109" s="213"/>
      <c r="F109" s="213"/>
      <c r="G109" s="213"/>
      <c r="H109" s="213"/>
      <c r="I109" s="213"/>
      <c r="J109" s="213"/>
      <c r="K109" s="213"/>
      <c r="L109" s="213"/>
      <c r="M109" s="213"/>
      <c r="N109" s="213"/>
      <c r="O109" s="213"/>
      <c r="P109" s="213"/>
      <c r="Q109" s="213"/>
      <c r="R109" s="213"/>
      <c r="S109" s="213"/>
      <c r="T109" s="213"/>
      <c r="U109" s="213"/>
      <c r="V109" s="213"/>
      <c r="W109" s="213"/>
      <c r="X109" s="213"/>
      <c r="Y109" s="213"/>
      <c r="Z109" s="213"/>
      <c r="AA109" s="213"/>
      <c r="AB109" s="213"/>
      <c r="AC109" s="211"/>
    </row>
    <row r="110" spans="2:40" s="7" customFormat="1" ht="12" hidden="1" customHeight="1" outlineLevel="1">
      <c r="B110" s="239"/>
      <c r="C110" s="214" t="s">
        <v>850</v>
      </c>
      <c r="D110" s="214"/>
      <c r="E110" s="196" t="s">
        <v>753</v>
      </c>
      <c r="F110" s="196" t="s">
        <v>754</v>
      </c>
      <c r="G110" s="196" t="s">
        <v>755</v>
      </c>
      <c r="H110" s="196" t="s">
        <v>756</v>
      </c>
      <c r="I110" s="196" t="s">
        <v>757</v>
      </c>
      <c r="J110" s="196" t="s">
        <v>758</v>
      </c>
      <c r="K110" s="196" t="s">
        <v>759</v>
      </c>
      <c r="L110" s="196" t="s">
        <v>760</v>
      </c>
      <c r="M110" s="196" t="s">
        <v>761</v>
      </c>
      <c r="N110" s="196" t="s">
        <v>762</v>
      </c>
      <c r="O110" s="196" t="s">
        <v>763</v>
      </c>
      <c r="P110" s="196" t="s">
        <v>764</v>
      </c>
      <c r="Q110" s="196" t="s">
        <v>765</v>
      </c>
      <c r="R110" s="196" t="s">
        <v>766</v>
      </c>
      <c r="S110" s="196" t="s">
        <v>767</v>
      </c>
      <c r="T110" s="196" t="s">
        <v>768</v>
      </c>
      <c r="U110" s="196" t="s">
        <v>769</v>
      </c>
      <c r="V110" s="196" t="s">
        <v>770</v>
      </c>
      <c r="W110" s="196" t="s">
        <v>771</v>
      </c>
      <c r="X110" s="196" t="s">
        <v>772</v>
      </c>
      <c r="Y110" s="196" t="s">
        <v>773</v>
      </c>
      <c r="Z110" s="196" t="s">
        <v>774</v>
      </c>
      <c r="AA110" s="196" t="s">
        <v>775</v>
      </c>
      <c r="AB110" s="196" t="s">
        <v>776</v>
      </c>
      <c r="AC110" s="196" t="s">
        <v>777</v>
      </c>
      <c r="AD110" s="196" t="s">
        <v>778</v>
      </c>
      <c r="AE110" s="196" t="s">
        <v>779</v>
      </c>
      <c r="AF110" s="196" t="s">
        <v>780</v>
      </c>
      <c r="AG110" s="196" t="s">
        <v>781</v>
      </c>
      <c r="AH110" s="196" t="s">
        <v>782</v>
      </c>
      <c r="AI110" s="196" t="s">
        <v>783</v>
      </c>
      <c r="AJ110" s="196" t="s">
        <v>784</v>
      </c>
      <c r="AK110" s="196" t="s">
        <v>785</v>
      </c>
      <c r="AL110" s="196" t="s">
        <v>786</v>
      </c>
      <c r="AM110" s="196" t="s">
        <v>787</v>
      </c>
      <c r="AN110" s="196" t="s">
        <v>788</v>
      </c>
    </row>
    <row r="111" spans="2:40" s="7" customFormat="1" ht="12" hidden="1" customHeight="1" outlineLevel="2">
      <c r="B111" s="239"/>
      <c r="C111" s="247" t="s">
        <v>851</v>
      </c>
      <c r="D111" s="340"/>
      <c r="E111" s="344">
        <v>0.8</v>
      </c>
      <c r="F111" s="344">
        <v>0.75</v>
      </c>
      <c r="G111" s="344">
        <v>0.6</v>
      </c>
      <c r="H111" s="344">
        <v>0.5</v>
      </c>
      <c r="I111" s="344">
        <v>0.3</v>
      </c>
      <c r="J111" s="344">
        <v>0.25</v>
      </c>
      <c r="K111" s="344">
        <v>0.2</v>
      </c>
      <c r="L111" s="344">
        <v>0.18</v>
      </c>
      <c r="M111" s="344">
        <v>0.16</v>
      </c>
      <c r="N111" s="344">
        <v>0.15</v>
      </c>
      <c r="O111" s="344">
        <v>0.14000000000000001</v>
      </c>
      <c r="P111" s="344">
        <v>0.12</v>
      </c>
      <c r="Q111" s="344">
        <v>0.12</v>
      </c>
      <c r="R111" s="344">
        <v>0.12</v>
      </c>
      <c r="S111" s="344">
        <v>0.11</v>
      </c>
      <c r="T111" s="344">
        <v>0.11</v>
      </c>
      <c r="U111" s="344">
        <v>0.1</v>
      </c>
      <c r="V111" s="344">
        <v>0.09</v>
      </c>
      <c r="W111" s="344">
        <v>0.09</v>
      </c>
      <c r="X111" s="344">
        <v>0.08</v>
      </c>
      <c r="Y111" s="344">
        <v>0.08</v>
      </c>
      <c r="Z111" s="344">
        <v>7.0000000000000007E-2</v>
      </c>
      <c r="AA111" s="344">
        <v>7.0000000000000007E-2</v>
      </c>
      <c r="AB111" s="344">
        <v>0.06</v>
      </c>
      <c r="AC111" s="344">
        <v>0.15</v>
      </c>
      <c r="AD111" s="344">
        <v>0.15</v>
      </c>
      <c r="AE111" s="344">
        <v>0.15</v>
      </c>
      <c r="AF111" s="344">
        <v>0.15</v>
      </c>
      <c r="AG111" s="344">
        <v>0.15</v>
      </c>
      <c r="AH111" s="344">
        <v>0.15</v>
      </c>
      <c r="AI111" s="344">
        <v>0.15</v>
      </c>
      <c r="AJ111" s="344">
        <v>0.15</v>
      </c>
      <c r="AK111" s="344">
        <v>0.15</v>
      </c>
      <c r="AL111" s="344">
        <v>0.15</v>
      </c>
      <c r="AM111" s="344">
        <v>0.15</v>
      </c>
      <c r="AN111" s="344">
        <v>0.15</v>
      </c>
    </row>
    <row r="112" spans="2:40" s="7" customFormat="1" ht="12" hidden="1" customHeight="1" outlineLevel="1">
      <c r="B112" s="239"/>
      <c r="C112" s="214" t="s">
        <v>852</v>
      </c>
      <c r="D112" s="212"/>
      <c r="E112" s="211">
        <f>86*33%</f>
        <v>28.380000000000003</v>
      </c>
      <c r="F112" s="211">
        <f>E112*98%</f>
        <v>27.8124</v>
      </c>
      <c r="G112" s="211">
        <f>F112*98%</f>
        <v>27.256152</v>
      </c>
      <c r="H112" s="211">
        <f t="shared" ref="H112:AN112" si="81">G112*98%</f>
        <v>26.71102896</v>
      </c>
      <c r="I112" s="211">
        <f t="shared" si="81"/>
        <v>26.176808380800001</v>
      </c>
      <c r="J112" s="211">
        <f t="shared" si="81"/>
        <v>25.653272213184</v>
      </c>
      <c r="K112" s="211">
        <f t="shared" si="81"/>
        <v>25.140206768920319</v>
      </c>
      <c r="L112" s="211">
        <f t="shared" si="81"/>
        <v>24.63740263354191</v>
      </c>
      <c r="M112" s="211">
        <f t="shared" si="81"/>
        <v>24.144654580871073</v>
      </c>
      <c r="N112" s="211">
        <f t="shared" si="81"/>
        <v>23.661761489253649</v>
      </c>
      <c r="O112" s="211">
        <f t="shared" si="81"/>
        <v>23.188526259468578</v>
      </c>
      <c r="P112" s="211">
        <f t="shared" si="81"/>
        <v>22.724755734279206</v>
      </c>
      <c r="Q112" s="211">
        <f t="shared" si="81"/>
        <v>22.270260619593621</v>
      </c>
      <c r="R112" s="211">
        <f t="shared" si="81"/>
        <v>21.824855407201749</v>
      </c>
      <c r="S112" s="211">
        <f t="shared" si="81"/>
        <v>21.388358299057714</v>
      </c>
      <c r="T112" s="211">
        <f t="shared" si="81"/>
        <v>20.960591133076559</v>
      </c>
      <c r="U112" s="211">
        <f t="shared" si="81"/>
        <v>20.541379310415028</v>
      </c>
      <c r="V112" s="211">
        <f t="shared" si="81"/>
        <v>20.130551724206725</v>
      </c>
      <c r="W112" s="211">
        <f t="shared" si="81"/>
        <v>19.72794068972259</v>
      </c>
      <c r="X112" s="211">
        <f t="shared" si="81"/>
        <v>19.33338187592814</v>
      </c>
      <c r="Y112" s="211">
        <f t="shared" si="81"/>
        <v>18.946714238409577</v>
      </c>
      <c r="Z112" s="211">
        <f t="shared" si="81"/>
        <v>18.567779953641384</v>
      </c>
      <c r="AA112" s="211">
        <f t="shared" si="81"/>
        <v>18.196424354568556</v>
      </c>
      <c r="AB112" s="211">
        <f t="shared" si="81"/>
        <v>17.832495867477185</v>
      </c>
      <c r="AC112" s="211">
        <f t="shared" si="81"/>
        <v>17.475845950127642</v>
      </c>
      <c r="AD112" s="211">
        <f t="shared" si="81"/>
        <v>17.126329031125088</v>
      </c>
      <c r="AE112" s="211">
        <f t="shared" si="81"/>
        <v>16.783802450502588</v>
      </c>
      <c r="AF112" s="211">
        <f t="shared" si="81"/>
        <v>16.448126401492537</v>
      </c>
      <c r="AG112" s="211">
        <f t="shared" si="81"/>
        <v>16.119163873462686</v>
      </c>
      <c r="AH112" s="211">
        <f t="shared" si="81"/>
        <v>15.796780595993432</v>
      </c>
      <c r="AI112" s="211">
        <f t="shared" si="81"/>
        <v>15.480844984073563</v>
      </c>
      <c r="AJ112" s="211">
        <f t="shared" si="81"/>
        <v>15.171228084392093</v>
      </c>
      <c r="AK112" s="211">
        <f t="shared" si="81"/>
        <v>14.86780352270425</v>
      </c>
      <c r="AL112" s="211">
        <f t="shared" si="81"/>
        <v>14.570447452250164</v>
      </c>
      <c r="AM112" s="211">
        <f t="shared" si="81"/>
        <v>14.279038503205161</v>
      </c>
      <c r="AN112" s="211">
        <f t="shared" si="81"/>
        <v>13.993457733141058</v>
      </c>
    </row>
    <row r="113" spans="2:40" s="7" customFormat="1" ht="12" hidden="1" customHeight="1" outlineLevel="1">
      <c r="B113" s="245"/>
      <c r="C113" s="213" t="s">
        <v>753</v>
      </c>
      <c r="D113" s="213"/>
      <c r="E113" s="211">
        <f>INDEX($C$44:$AN$66,MATCH("New Customers 1MS",$C$44:$C$66,0),MATCH($C113,$C$44:$AN$44,0))</f>
        <v>6</v>
      </c>
      <c r="F113" s="211">
        <f t="shared" ref="F113:AN113" si="82">$E$113*(1-E111)</f>
        <v>1.1999999999999997</v>
      </c>
      <c r="G113" s="211">
        <f t="shared" si="82"/>
        <v>1.5</v>
      </c>
      <c r="H113" s="211">
        <f t="shared" si="82"/>
        <v>2.4000000000000004</v>
      </c>
      <c r="I113" s="211">
        <f t="shared" si="82"/>
        <v>3</v>
      </c>
      <c r="J113" s="211">
        <f t="shared" si="82"/>
        <v>4.1999999999999993</v>
      </c>
      <c r="K113" s="211">
        <f t="shared" si="82"/>
        <v>4.5</v>
      </c>
      <c r="L113" s="211">
        <f t="shared" si="82"/>
        <v>4.8000000000000007</v>
      </c>
      <c r="M113" s="211">
        <f t="shared" si="82"/>
        <v>4.92</v>
      </c>
      <c r="N113" s="211">
        <f t="shared" si="82"/>
        <v>5.04</v>
      </c>
      <c r="O113" s="211">
        <f t="shared" si="82"/>
        <v>5.0999999999999996</v>
      </c>
      <c r="P113" s="211">
        <f t="shared" si="82"/>
        <v>5.16</v>
      </c>
      <c r="Q113" s="211">
        <f t="shared" si="82"/>
        <v>5.28</v>
      </c>
      <c r="R113" s="211">
        <f t="shared" si="82"/>
        <v>5.28</v>
      </c>
      <c r="S113" s="211">
        <f t="shared" si="82"/>
        <v>5.28</v>
      </c>
      <c r="T113" s="211">
        <f t="shared" si="82"/>
        <v>5.34</v>
      </c>
      <c r="U113" s="211">
        <f t="shared" si="82"/>
        <v>5.34</v>
      </c>
      <c r="V113" s="211">
        <f t="shared" si="82"/>
        <v>5.4</v>
      </c>
      <c r="W113" s="211">
        <f t="shared" si="82"/>
        <v>5.46</v>
      </c>
      <c r="X113" s="211">
        <f t="shared" si="82"/>
        <v>5.46</v>
      </c>
      <c r="Y113" s="211">
        <f t="shared" si="82"/>
        <v>5.5200000000000005</v>
      </c>
      <c r="Z113" s="211">
        <f t="shared" si="82"/>
        <v>5.5200000000000005</v>
      </c>
      <c r="AA113" s="211">
        <f t="shared" si="82"/>
        <v>5.58</v>
      </c>
      <c r="AB113" s="211">
        <f t="shared" si="82"/>
        <v>5.58</v>
      </c>
      <c r="AC113" s="211">
        <f t="shared" si="82"/>
        <v>5.64</v>
      </c>
      <c r="AD113" s="211">
        <f t="shared" si="82"/>
        <v>5.0999999999999996</v>
      </c>
      <c r="AE113" s="211">
        <f t="shared" si="82"/>
        <v>5.0999999999999996</v>
      </c>
      <c r="AF113" s="211">
        <f t="shared" si="82"/>
        <v>5.0999999999999996</v>
      </c>
      <c r="AG113" s="211">
        <f t="shared" si="82"/>
        <v>5.0999999999999996</v>
      </c>
      <c r="AH113" s="211">
        <f t="shared" si="82"/>
        <v>5.0999999999999996</v>
      </c>
      <c r="AI113" s="211">
        <f t="shared" si="82"/>
        <v>5.0999999999999996</v>
      </c>
      <c r="AJ113" s="211">
        <f t="shared" si="82"/>
        <v>5.0999999999999996</v>
      </c>
      <c r="AK113" s="211">
        <f t="shared" si="82"/>
        <v>5.0999999999999996</v>
      </c>
      <c r="AL113" s="211">
        <f t="shared" si="82"/>
        <v>5.0999999999999996</v>
      </c>
      <c r="AM113" s="211">
        <f t="shared" si="82"/>
        <v>5.0999999999999996</v>
      </c>
      <c r="AN113" s="211">
        <f t="shared" si="82"/>
        <v>5.0999999999999996</v>
      </c>
    </row>
    <row r="114" spans="2:40" s="7" customFormat="1" ht="12" hidden="1" customHeight="1" outlineLevel="1">
      <c r="B114" s="245"/>
      <c r="C114" s="213" t="s">
        <v>754</v>
      </c>
      <c r="D114" s="213"/>
      <c r="E114" s="213"/>
      <c r="F114" s="211">
        <f>INDEX($C$44:$AN$66,MATCH("New Customers 1MS",$C$44:$C$66,0),MATCH($C114,$C$44:$AN$44,0))</f>
        <v>3</v>
      </c>
      <c r="G114" s="211">
        <f>$F$114*(1-E111)</f>
        <v>0.59999999999999987</v>
      </c>
      <c r="H114" s="211">
        <f>$F$114*(1-F111)</f>
        <v>0.75</v>
      </c>
      <c r="I114" s="211">
        <f>$F$114*(1-G111)</f>
        <v>1.2000000000000002</v>
      </c>
      <c r="J114" s="211">
        <f>$F$114*(1-H111)</f>
        <v>1.5</v>
      </c>
      <c r="K114" s="211">
        <f>$F$114*(1-I111)</f>
        <v>2.0999999999999996</v>
      </c>
      <c r="L114" s="211">
        <f t="shared" ref="L114:AN114" si="83">$F$114*(1-J111)</f>
        <v>2.25</v>
      </c>
      <c r="M114" s="211">
        <f t="shared" si="83"/>
        <v>2.4000000000000004</v>
      </c>
      <c r="N114" s="211">
        <f t="shared" si="83"/>
        <v>2.46</v>
      </c>
      <c r="O114" s="211">
        <f t="shared" si="83"/>
        <v>2.52</v>
      </c>
      <c r="P114" s="211">
        <f t="shared" si="83"/>
        <v>2.5499999999999998</v>
      </c>
      <c r="Q114" s="211">
        <f t="shared" si="83"/>
        <v>2.58</v>
      </c>
      <c r="R114" s="211">
        <f t="shared" si="83"/>
        <v>2.64</v>
      </c>
      <c r="S114" s="211">
        <f t="shared" si="83"/>
        <v>2.64</v>
      </c>
      <c r="T114" s="211">
        <f t="shared" si="83"/>
        <v>2.64</v>
      </c>
      <c r="U114" s="211">
        <f t="shared" si="83"/>
        <v>2.67</v>
      </c>
      <c r="V114" s="211">
        <f t="shared" si="83"/>
        <v>2.67</v>
      </c>
      <c r="W114" s="211">
        <f t="shared" si="83"/>
        <v>2.7</v>
      </c>
      <c r="X114" s="211">
        <f t="shared" si="83"/>
        <v>2.73</v>
      </c>
      <c r="Y114" s="211">
        <f t="shared" si="83"/>
        <v>2.73</v>
      </c>
      <c r="Z114" s="211">
        <f t="shared" si="83"/>
        <v>2.7600000000000002</v>
      </c>
      <c r="AA114" s="211">
        <f t="shared" si="83"/>
        <v>2.7600000000000002</v>
      </c>
      <c r="AB114" s="211">
        <f>$F$114*(1-Z111)</f>
        <v>2.79</v>
      </c>
      <c r="AC114" s="211">
        <f t="shared" si="83"/>
        <v>2.79</v>
      </c>
      <c r="AD114" s="211">
        <f t="shared" si="83"/>
        <v>2.82</v>
      </c>
      <c r="AE114" s="211">
        <f t="shared" si="83"/>
        <v>2.5499999999999998</v>
      </c>
      <c r="AF114" s="211">
        <f t="shared" si="83"/>
        <v>2.5499999999999998</v>
      </c>
      <c r="AG114" s="211">
        <f t="shared" si="83"/>
        <v>2.5499999999999998</v>
      </c>
      <c r="AH114" s="211">
        <f t="shared" si="83"/>
        <v>2.5499999999999998</v>
      </c>
      <c r="AI114" s="211">
        <f t="shared" si="83"/>
        <v>2.5499999999999998</v>
      </c>
      <c r="AJ114" s="211">
        <f t="shared" si="83"/>
        <v>2.5499999999999998</v>
      </c>
      <c r="AK114" s="211">
        <f t="shared" si="83"/>
        <v>2.5499999999999998</v>
      </c>
      <c r="AL114" s="211">
        <f t="shared" si="83"/>
        <v>2.5499999999999998</v>
      </c>
      <c r="AM114" s="211">
        <f t="shared" si="83"/>
        <v>2.5499999999999998</v>
      </c>
      <c r="AN114" s="211">
        <f t="shared" si="83"/>
        <v>2.5499999999999998</v>
      </c>
    </row>
    <row r="115" spans="2:40" s="7" customFormat="1" ht="12" hidden="1" customHeight="1" outlineLevel="1">
      <c r="B115" s="245"/>
      <c r="C115" s="213" t="s">
        <v>755</v>
      </c>
      <c r="D115" s="213"/>
      <c r="E115" s="213"/>
      <c r="F115" s="213"/>
      <c r="G115" s="211">
        <f>INDEX($C$44:$AN$66,MATCH("New Customers 1MS",$C$44:$C$66,0),MATCH($C115,$C$44:$AN$44,0))</f>
        <v>3</v>
      </c>
      <c r="H115" s="211">
        <f>$G$115*(1-E111)</f>
        <v>0.59999999999999987</v>
      </c>
      <c r="I115" s="211">
        <f t="shared" ref="I115:AN115" si="84">$G$115*(1-F111)</f>
        <v>0.75</v>
      </c>
      <c r="J115" s="211">
        <f t="shared" si="84"/>
        <v>1.2000000000000002</v>
      </c>
      <c r="K115" s="211">
        <f t="shared" si="84"/>
        <v>1.5</v>
      </c>
      <c r="L115" s="211">
        <f t="shared" si="84"/>
        <v>2.0999999999999996</v>
      </c>
      <c r="M115" s="211">
        <f>$G$115*(1-J111)</f>
        <v>2.25</v>
      </c>
      <c r="N115" s="211">
        <f t="shared" si="84"/>
        <v>2.4000000000000004</v>
      </c>
      <c r="O115" s="211">
        <f t="shared" si="84"/>
        <v>2.46</v>
      </c>
      <c r="P115" s="211">
        <f t="shared" si="84"/>
        <v>2.52</v>
      </c>
      <c r="Q115" s="211">
        <f t="shared" si="84"/>
        <v>2.5499999999999998</v>
      </c>
      <c r="R115" s="211">
        <f t="shared" si="84"/>
        <v>2.58</v>
      </c>
      <c r="S115" s="211">
        <f t="shared" si="84"/>
        <v>2.64</v>
      </c>
      <c r="T115" s="211">
        <f t="shared" si="84"/>
        <v>2.64</v>
      </c>
      <c r="U115" s="211">
        <f t="shared" si="84"/>
        <v>2.64</v>
      </c>
      <c r="V115" s="211">
        <f t="shared" si="84"/>
        <v>2.67</v>
      </c>
      <c r="W115" s="211">
        <f t="shared" si="84"/>
        <v>2.67</v>
      </c>
      <c r="X115" s="211">
        <f t="shared" si="84"/>
        <v>2.7</v>
      </c>
      <c r="Y115" s="211">
        <f t="shared" si="84"/>
        <v>2.73</v>
      </c>
      <c r="Z115" s="211">
        <f t="shared" si="84"/>
        <v>2.73</v>
      </c>
      <c r="AA115" s="211">
        <f t="shared" si="84"/>
        <v>2.7600000000000002</v>
      </c>
      <c r="AB115" s="211">
        <f t="shared" si="84"/>
        <v>2.7600000000000002</v>
      </c>
      <c r="AC115" s="211">
        <f t="shared" si="84"/>
        <v>2.79</v>
      </c>
      <c r="AD115" s="211">
        <f t="shared" si="84"/>
        <v>2.79</v>
      </c>
      <c r="AE115" s="211">
        <f t="shared" si="84"/>
        <v>2.82</v>
      </c>
      <c r="AF115" s="211">
        <f t="shared" si="84"/>
        <v>2.5499999999999998</v>
      </c>
      <c r="AG115" s="211">
        <f t="shared" si="84"/>
        <v>2.5499999999999998</v>
      </c>
      <c r="AH115" s="211">
        <f t="shared" si="84"/>
        <v>2.5499999999999998</v>
      </c>
      <c r="AI115" s="211">
        <f t="shared" si="84"/>
        <v>2.5499999999999998</v>
      </c>
      <c r="AJ115" s="211">
        <f t="shared" si="84"/>
        <v>2.5499999999999998</v>
      </c>
      <c r="AK115" s="211">
        <f t="shared" si="84"/>
        <v>2.5499999999999998</v>
      </c>
      <c r="AL115" s="211">
        <f t="shared" si="84"/>
        <v>2.5499999999999998</v>
      </c>
      <c r="AM115" s="211">
        <f t="shared" si="84"/>
        <v>2.5499999999999998</v>
      </c>
      <c r="AN115" s="211">
        <f t="shared" si="84"/>
        <v>2.5499999999999998</v>
      </c>
    </row>
    <row r="116" spans="2:40" s="7" customFormat="1" ht="12" hidden="1" customHeight="1" outlineLevel="1">
      <c r="B116" s="245"/>
      <c r="C116" s="213" t="s">
        <v>756</v>
      </c>
      <c r="D116" s="213"/>
      <c r="E116" s="213"/>
      <c r="F116" s="213"/>
      <c r="G116" s="213"/>
      <c r="H116" s="211">
        <f>INDEX($C$44:$AN$66,MATCH("New Customers 1MS",$C$44:$C$66,0),MATCH($C116,$C$44:$AN$44,0))</f>
        <v>12</v>
      </c>
      <c r="I116" s="211">
        <f>$H$116*(1-E111)</f>
        <v>2.3999999999999995</v>
      </c>
      <c r="J116" s="211">
        <f t="shared" ref="J116:AN116" si="85">$H$116*(1-F111)</f>
        <v>3</v>
      </c>
      <c r="K116" s="211">
        <f t="shared" si="85"/>
        <v>4.8000000000000007</v>
      </c>
      <c r="L116" s="211">
        <f t="shared" si="85"/>
        <v>6</v>
      </c>
      <c r="M116" s="211">
        <f t="shared" si="85"/>
        <v>8.3999999999999986</v>
      </c>
      <c r="N116" s="211">
        <f t="shared" si="85"/>
        <v>9</v>
      </c>
      <c r="O116" s="211">
        <f t="shared" si="85"/>
        <v>9.6000000000000014</v>
      </c>
      <c r="P116" s="211">
        <f t="shared" si="85"/>
        <v>9.84</v>
      </c>
      <c r="Q116" s="211">
        <f t="shared" si="85"/>
        <v>10.08</v>
      </c>
      <c r="R116" s="211">
        <f t="shared" si="85"/>
        <v>10.199999999999999</v>
      </c>
      <c r="S116" s="211">
        <f t="shared" si="85"/>
        <v>10.32</v>
      </c>
      <c r="T116" s="211">
        <f t="shared" si="85"/>
        <v>10.56</v>
      </c>
      <c r="U116" s="211">
        <f t="shared" si="85"/>
        <v>10.56</v>
      </c>
      <c r="V116" s="211">
        <f t="shared" si="85"/>
        <v>10.56</v>
      </c>
      <c r="W116" s="211">
        <f t="shared" si="85"/>
        <v>10.68</v>
      </c>
      <c r="X116" s="211">
        <f t="shared" si="85"/>
        <v>10.68</v>
      </c>
      <c r="Y116" s="211">
        <f t="shared" si="85"/>
        <v>10.8</v>
      </c>
      <c r="Z116" s="211">
        <f t="shared" si="85"/>
        <v>10.92</v>
      </c>
      <c r="AA116" s="211">
        <f t="shared" si="85"/>
        <v>10.92</v>
      </c>
      <c r="AB116" s="211">
        <f t="shared" si="85"/>
        <v>11.040000000000001</v>
      </c>
      <c r="AC116" s="211">
        <f t="shared" si="85"/>
        <v>11.040000000000001</v>
      </c>
      <c r="AD116" s="211">
        <f t="shared" si="85"/>
        <v>11.16</v>
      </c>
      <c r="AE116" s="211">
        <f t="shared" si="85"/>
        <v>11.16</v>
      </c>
      <c r="AF116" s="211">
        <f t="shared" si="85"/>
        <v>11.28</v>
      </c>
      <c r="AG116" s="211">
        <f t="shared" si="85"/>
        <v>10.199999999999999</v>
      </c>
      <c r="AH116" s="211">
        <f t="shared" si="85"/>
        <v>10.199999999999999</v>
      </c>
      <c r="AI116" s="211">
        <f t="shared" si="85"/>
        <v>10.199999999999999</v>
      </c>
      <c r="AJ116" s="211">
        <f t="shared" si="85"/>
        <v>10.199999999999999</v>
      </c>
      <c r="AK116" s="211">
        <f t="shared" si="85"/>
        <v>10.199999999999999</v>
      </c>
      <c r="AL116" s="211">
        <f t="shared" si="85"/>
        <v>10.199999999999999</v>
      </c>
      <c r="AM116" s="211">
        <f t="shared" si="85"/>
        <v>10.199999999999999</v>
      </c>
      <c r="AN116" s="211">
        <f t="shared" si="85"/>
        <v>10.199999999999999</v>
      </c>
    </row>
    <row r="117" spans="2:40" s="7" customFormat="1" ht="12" hidden="1" customHeight="1" outlineLevel="1">
      <c r="B117" s="245"/>
      <c r="C117" s="213" t="s">
        <v>757</v>
      </c>
      <c r="D117" s="213"/>
      <c r="E117" s="213"/>
      <c r="F117" s="213"/>
      <c r="G117" s="213"/>
      <c r="H117" s="213"/>
      <c r="I117" s="211">
        <f>INDEX($C$44:$AN$66,MATCH("New Customers 1MS",$C$44:$C$66,0),MATCH($C117,$C$44:$AN$44,0))</f>
        <v>2</v>
      </c>
      <c r="J117" s="211">
        <f>$I$117*(1-E111)</f>
        <v>0.39999999999999991</v>
      </c>
      <c r="K117" s="211">
        <f>$I$117*(1-F111)</f>
        <v>0.5</v>
      </c>
      <c r="L117" s="211">
        <f t="shared" ref="L117:AN117" si="86">$I$117*(1-G111)</f>
        <v>0.8</v>
      </c>
      <c r="M117" s="211">
        <f t="shared" si="86"/>
        <v>1</v>
      </c>
      <c r="N117" s="211">
        <f t="shared" si="86"/>
        <v>1.4</v>
      </c>
      <c r="O117" s="211">
        <f t="shared" si="86"/>
        <v>1.5</v>
      </c>
      <c r="P117" s="211">
        <f t="shared" si="86"/>
        <v>1.6</v>
      </c>
      <c r="Q117" s="211">
        <f t="shared" si="86"/>
        <v>1.6400000000000001</v>
      </c>
      <c r="R117" s="211">
        <f t="shared" si="86"/>
        <v>1.68</v>
      </c>
      <c r="S117" s="211">
        <f t="shared" si="86"/>
        <v>1.7</v>
      </c>
      <c r="T117" s="211">
        <f t="shared" si="86"/>
        <v>1.72</v>
      </c>
      <c r="U117" s="211">
        <f t="shared" si="86"/>
        <v>1.76</v>
      </c>
      <c r="V117" s="211">
        <f t="shared" si="86"/>
        <v>1.76</v>
      </c>
      <c r="W117" s="211">
        <f t="shared" si="86"/>
        <v>1.76</v>
      </c>
      <c r="X117" s="211">
        <f t="shared" si="86"/>
        <v>1.78</v>
      </c>
      <c r="Y117" s="211">
        <f t="shared" si="86"/>
        <v>1.78</v>
      </c>
      <c r="Z117" s="211">
        <f t="shared" si="86"/>
        <v>1.8</v>
      </c>
      <c r="AA117" s="211">
        <f t="shared" si="86"/>
        <v>1.82</v>
      </c>
      <c r="AB117" s="211">
        <f t="shared" si="86"/>
        <v>1.82</v>
      </c>
      <c r="AC117" s="211">
        <f t="shared" si="86"/>
        <v>1.84</v>
      </c>
      <c r="AD117" s="211">
        <f t="shared" si="86"/>
        <v>1.84</v>
      </c>
      <c r="AE117" s="211">
        <f t="shared" si="86"/>
        <v>1.8599999999999999</v>
      </c>
      <c r="AF117" s="211">
        <f t="shared" si="86"/>
        <v>1.8599999999999999</v>
      </c>
      <c r="AG117" s="211">
        <f t="shared" si="86"/>
        <v>1.88</v>
      </c>
      <c r="AH117" s="211">
        <f t="shared" si="86"/>
        <v>1.7</v>
      </c>
      <c r="AI117" s="211">
        <f t="shared" si="86"/>
        <v>1.7</v>
      </c>
      <c r="AJ117" s="211">
        <f t="shared" si="86"/>
        <v>1.7</v>
      </c>
      <c r="AK117" s="211">
        <f t="shared" si="86"/>
        <v>1.7</v>
      </c>
      <c r="AL117" s="211">
        <f t="shared" si="86"/>
        <v>1.7</v>
      </c>
      <c r="AM117" s="211">
        <f t="shared" si="86"/>
        <v>1.7</v>
      </c>
      <c r="AN117" s="211">
        <f t="shared" si="86"/>
        <v>1.7</v>
      </c>
    </row>
    <row r="118" spans="2:40" s="7" customFormat="1" ht="12" hidden="1" customHeight="1" outlineLevel="1">
      <c r="B118" s="245"/>
      <c r="C118" s="213" t="s">
        <v>758</v>
      </c>
      <c r="D118" s="213"/>
      <c r="E118" s="213"/>
      <c r="F118" s="213"/>
      <c r="G118" s="213"/>
      <c r="H118" s="213"/>
      <c r="I118" s="213"/>
      <c r="J118" s="211">
        <f>INDEX($C$44:$AN$66,MATCH("New Customers 1MS",$C$44:$C$66,0),MATCH($C118,$C$44:$AN$44,0))</f>
        <v>3</v>
      </c>
      <c r="K118" s="211">
        <f>$J$118*(1-E111)</f>
        <v>0.59999999999999987</v>
      </c>
      <c r="L118" s="211">
        <f t="shared" ref="L118:AN118" si="87">$J$118*(1-F111)</f>
        <v>0.75</v>
      </c>
      <c r="M118" s="211">
        <f t="shared" si="87"/>
        <v>1.2000000000000002</v>
      </c>
      <c r="N118" s="211">
        <f t="shared" si="87"/>
        <v>1.5</v>
      </c>
      <c r="O118" s="211">
        <f t="shared" si="87"/>
        <v>2.0999999999999996</v>
      </c>
      <c r="P118" s="211">
        <f t="shared" si="87"/>
        <v>2.25</v>
      </c>
      <c r="Q118" s="211">
        <f t="shared" si="87"/>
        <v>2.4000000000000004</v>
      </c>
      <c r="R118" s="211">
        <f t="shared" si="87"/>
        <v>2.46</v>
      </c>
      <c r="S118" s="211">
        <f t="shared" si="87"/>
        <v>2.52</v>
      </c>
      <c r="T118" s="211">
        <f t="shared" si="87"/>
        <v>2.5499999999999998</v>
      </c>
      <c r="U118" s="211">
        <f t="shared" si="87"/>
        <v>2.58</v>
      </c>
      <c r="V118" s="211">
        <f t="shared" si="87"/>
        <v>2.64</v>
      </c>
      <c r="W118" s="211">
        <f t="shared" si="87"/>
        <v>2.64</v>
      </c>
      <c r="X118" s="211">
        <f t="shared" si="87"/>
        <v>2.64</v>
      </c>
      <c r="Y118" s="211">
        <f t="shared" si="87"/>
        <v>2.67</v>
      </c>
      <c r="Z118" s="211">
        <f t="shared" si="87"/>
        <v>2.67</v>
      </c>
      <c r="AA118" s="211">
        <f t="shared" si="87"/>
        <v>2.7</v>
      </c>
      <c r="AB118" s="211">
        <f t="shared" si="87"/>
        <v>2.73</v>
      </c>
      <c r="AC118" s="211">
        <f t="shared" si="87"/>
        <v>2.73</v>
      </c>
      <c r="AD118" s="211">
        <f t="shared" si="87"/>
        <v>2.7600000000000002</v>
      </c>
      <c r="AE118" s="211">
        <f t="shared" si="87"/>
        <v>2.7600000000000002</v>
      </c>
      <c r="AF118" s="211">
        <f t="shared" si="87"/>
        <v>2.79</v>
      </c>
      <c r="AG118" s="211">
        <f t="shared" si="87"/>
        <v>2.79</v>
      </c>
      <c r="AH118" s="211">
        <f t="shared" si="87"/>
        <v>2.82</v>
      </c>
      <c r="AI118" s="211">
        <f t="shared" si="87"/>
        <v>2.5499999999999998</v>
      </c>
      <c r="AJ118" s="211">
        <f t="shared" si="87"/>
        <v>2.5499999999999998</v>
      </c>
      <c r="AK118" s="211">
        <f t="shared" si="87"/>
        <v>2.5499999999999998</v>
      </c>
      <c r="AL118" s="211">
        <f t="shared" si="87"/>
        <v>2.5499999999999998</v>
      </c>
      <c r="AM118" s="211">
        <f t="shared" si="87"/>
        <v>2.5499999999999998</v>
      </c>
      <c r="AN118" s="211">
        <f t="shared" si="87"/>
        <v>2.5499999999999998</v>
      </c>
    </row>
    <row r="119" spans="2:40" s="7" customFormat="1" ht="12" hidden="1" customHeight="1" outlineLevel="1">
      <c r="B119" s="245"/>
      <c r="C119" s="213" t="s">
        <v>759</v>
      </c>
      <c r="D119" s="213"/>
      <c r="E119" s="213"/>
      <c r="F119" s="213"/>
      <c r="G119" s="213"/>
      <c r="H119" s="213"/>
      <c r="I119" s="213"/>
      <c r="J119" s="213"/>
      <c r="K119" s="211">
        <f>INDEX($C$44:$AN$66,MATCH("New Customers 1MS",$C$44:$C$66,0),MATCH($C119,$C$44:$AN$44,0))</f>
        <v>6</v>
      </c>
      <c r="L119" s="211">
        <f>$K$119*(1-E111)</f>
        <v>1.1999999999999997</v>
      </c>
      <c r="M119" s="211">
        <f t="shared" ref="M119:AN119" si="88">$K$119*(1-F111)</f>
        <v>1.5</v>
      </c>
      <c r="N119" s="211">
        <f t="shared" si="88"/>
        <v>2.4000000000000004</v>
      </c>
      <c r="O119" s="211">
        <f t="shared" si="88"/>
        <v>3</v>
      </c>
      <c r="P119" s="211">
        <f t="shared" si="88"/>
        <v>4.1999999999999993</v>
      </c>
      <c r="Q119" s="211">
        <f t="shared" si="88"/>
        <v>4.5</v>
      </c>
      <c r="R119" s="211">
        <f t="shared" si="88"/>
        <v>4.8000000000000007</v>
      </c>
      <c r="S119" s="211">
        <f t="shared" si="88"/>
        <v>4.92</v>
      </c>
      <c r="T119" s="211">
        <f t="shared" si="88"/>
        <v>5.04</v>
      </c>
      <c r="U119" s="211">
        <f t="shared" si="88"/>
        <v>5.0999999999999996</v>
      </c>
      <c r="V119" s="211">
        <f t="shared" si="88"/>
        <v>5.16</v>
      </c>
      <c r="W119" s="211">
        <f t="shared" si="88"/>
        <v>5.28</v>
      </c>
      <c r="X119" s="211">
        <f t="shared" si="88"/>
        <v>5.28</v>
      </c>
      <c r="Y119" s="211">
        <f t="shared" si="88"/>
        <v>5.28</v>
      </c>
      <c r="Z119" s="211">
        <f t="shared" si="88"/>
        <v>5.34</v>
      </c>
      <c r="AA119" s="211">
        <f t="shared" si="88"/>
        <v>5.34</v>
      </c>
      <c r="AB119" s="211">
        <f t="shared" si="88"/>
        <v>5.4</v>
      </c>
      <c r="AC119" s="211">
        <f t="shared" si="88"/>
        <v>5.46</v>
      </c>
      <c r="AD119" s="211">
        <f t="shared" si="88"/>
        <v>5.46</v>
      </c>
      <c r="AE119" s="211">
        <f t="shared" si="88"/>
        <v>5.5200000000000005</v>
      </c>
      <c r="AF119" s="211">
        <f t="shared" si="88"/>
        <v>5.5200000000000005</v>
      </c>
      <c r="AG119" s="211">
        <f t="shared" si="88"/>
        <v>5.58</v>
      </c>
      <c r="AH119" s="211">
        <f t="shared" si="88"/>
        <v>5.58</v>
      </c>
      <c r="AI119" s="211">
        <f t="shared" si="88"/>
        <v>5.64</v>
      </c>
      <c r="AJ119" s="211">
        <f t="shared" si="88"/>
        <v>5.0999999999999996</v>
      </c>
      <c r="AK119" s="211">
        <f t="shared" si="88"/>
        <v>5.0999999999999996</v>
      </c>
      <c r="AL119" s="211">
        <f t="shared" si="88"/>
        <v>5.0999999999999996</v>
      </c>
      <c r="AM119" s="211">
        <f t="shared" si="88"/>
        <v>5.0999999999999996</v>
      </c>
      <c r="AN119" s="211">
        <f t="shared" si="88"/>
        <v>5.0999999999999996</v>
      </c>
    </row>
    <row r="120" spans="2:40" s="7" customFormat="1" ht="12" hidden="1" customHeight="1" outlineLevel="1">
      <c r="B120" s="245"/>
      <c r="C120" s="213" t="s">
        <v>760</v>
      </c>
      <c r="D120" s="213"/>
      <c r="E120" s="213"/>
      <c r="F120" s="213"/>
      <c r="G120" s="213"/>
      <c r="H120" s="213"/>
      <c r="I120" s="213"/>
      <c r="J120" s="213"/>
      <c r="K120" s="213"/>
      <c r="L120" s="211">
        <f>INDEX($C$44:$AN$66,MATCH("New Customers 1MS",$C$44:$C$66,0),MATCH($C120,$C$44:$AN$44,0))</f>
        <v>2</v>
      </c>
      <c r="M120" s="211">
        <f>$L$120*(1-E111)</f>
        <v>0.39999999999999991</v>
      </c>
      <c r="N120" s="211">
        <f t="shared" ref="N120:AN120" si="89">$L$120*(1-F111)</f>
        <v>0.5</v>
      </c>
      <c r="O120" s="211">
        <f t="shared" si="89"/>
        <v>0.8</v>
      </c>
      <c r="P120" s="211">
        <f t="shared" si="89"/>
        <v>1</v>
      </c>
      <c r="Q120" s="211">
        <f t="shared" si="89"/>
        <v>1.4</v>
      </c>
      <c r="R120" s="211">
        <f t="shared" si="89"/>
        <v>1.5</v>
      </c>
      <c r="S120" s="211">
        <f t="shared" si="89"/>
        <v>1.6</v>
      </c>
      <c r="T120" s="211">
        <f t="shared" si="89"/>
        <v>1.6400000000000001</v>
      </c>
      <c r="U120" s="211">
        <f t="shared" si="89"/>
        <v>1.68</v>
      </c>
      <c r="V120" s="211">
        <f t="shared" si="89"/>
        <v>1.7</v>
      </c>
      <c r="W120" s="211">
        <f t="shared" si="89"/>
        <v>1.72</v>
      </c>
      <c r="X120" s="211">
        <f t="shared" si="89"/>
        <v>1.76</v>
      </c>
      <c r="Y120" s="211">
        <f t="shared" si="89"/>
        <v>1.76</v>
      </c>
      <c r="Z120" s="211">
        <f t="shared" si="89"/>
        <v>1.76</v>
      </c>
      <c r="AA120" s="211">
        <f t="shared" si="89"/>
        <v>1.78</v>
      </c>
      <c r="AB120" s="211">
        <f t="shared" si="89"/>
        <v>1.78</v>
      </c>
      <c r="AC120" s="211">
        <f t="shared" si="89"/>
        <v>1.8</v>
      </c>
      <c r="AD120" s="211">
        <f t="shared" si="89"/>
        <v>1.82</v>
      </c>
      <c r="AE120" s="211">
        <f t="shared" si="89"/>
        <v>1.82</v>
      </c>
      <c r="AF120" s="211">
        <f t="shared" si="89"/>
        <v>1.84</v>
      </c>
      <c r="AG120" s="211">
        <f t="shared" si="89"/>
        <v>1.84</v>
      </c>
      <c r="AH120" s="211">
        <f t="shared" si="89"/>
        <v>1.8599999999999999</v>
      </c>
      <c r="AI120" s="211">
        <f t="shared" si="89"/>
        <v>1.8599999999999999</v>
      </c>
      <c r="AJ120" s="211">
        <f t="shared" si="89"/>
        <v>1.88</v>
      </c>
      <c r="AK120" s="211">
        <f t="shared" si="89"/>
        <v>1.7</v>
      </c>
      <c r="AL120" s="211">
        <f t="shared" si="89"/>
        <v>1.7</v>
      </c>
      <c r="AM120" s="211">
        <f t="shared" si="89"/>
        <v>1.7</v>
      </c>
      <c r="AN120" s="211">
        <f t="shared" si="89"/>
        <v>1.7</v>
      </c>
    </row>
    <row r="121" spans="2:40" s="7" customFormat="1" ht="12" hidden="1" customHeight="1" outlineLevel="1">
      <c r="B121" s="245"/>
      <c r="C121" s="213" t="s">
        <v>761</v>
      </c>
      <c r="D121" s="213"/>
      <c r="E121" s="213"/>
      <c r="F121" s="213"/>
      <c r="G121" s="213"/>
      <c r="H121" s="213"/>
      <c r="I121" s="213"/>
      <c r="J121" s="213"/>
      <c r="K121" s="213"/>
      <c r="L121" s="213"/>
      <c r="M121" s="211">
        <f>INDEX($C$44:$AN$66,MATCH("New Customers 1MS",$C$44:$C$66,0),MATCH($C121,$C$44:$AN$44,0))</f>
        <v>0</v>
      </c>
      <c r="N121" s="211">
        <f>$M$121*(1-E111)</f>
        <v>0</v>
      </c>
      <c r="O121" s="211">
        <f t="shared" ref="O121:AN121" si="90">$M$121*(1-F111)</f>
        <v>0</v>
      </c>
      <c r="P121" s="211">
        <f t="shared" si="90"/>
        <v>0</v>
      </c>
      <c r="Q121" s="211">
        <f t="shared" si="90"/>
        <v>0</v>
      </c>
      <c r="R121" s="211">
        <f t="shared" si="90"/>
        <v>0</v>
      </c>
      <c r="S121" s="211">
        <f t="shared" si="90"/>
        <v>0</v>
      </c>
      <c r="T121" s="211">
        <f t="shared" si="90"/>
        <v>0</v>
      </c>
      <c r="U121" s="211">
        <f t="shared" si="90"/>
        <v>0</v>
      </c>
      <c r="V121" s="211">
        <f t="shared" si="90"/>
        <v>0</v>
      </c>
      <c r="W121" s="211">
        <f t="shared" si="90"/>
        <v>0</v>
      </c>
      <c r="X121" s="211">
        <f t="shared" si="90"/>
        <v>0</v>
      </c>
      <c r="Y121" s="211">
        <f t="shared" si="90"/>
        <v>0</v>
      </c>
      <c r="Z121" s="211">
        <f t="shared" si="90"/>
        <v>0</v>
      </c>
      <c r="AA121" s="211">
        <f t="shared" si="90"/>
        <v>0</v>
      </c>
      <c r="AB121" s="211">
        <f t="shared" si="90"/>
        <v>0</v>
      </c>
      <c r="AC121" s="211">
        <f t="shared" si="90"/>
        <v>0</v>
      </c>
      <c r="AD121" s="211">
        <f t="shared" si="90"/>
        <v>0</v>
      </c>
      <c r="AE121" s="211">
        <f t="shared" si="90"/>
        <v>0</v>
      </c>
      <c r="AF121" s="211">
        <f t="shared" si="90"/>
        <v>0</v>
      </c>
      <c r="AG121" s="211">
        <f t="shared" si="90"/>
        <v>0</v>
      </c>
      <c r="AH121" s="211">
        <f t="shared" si="90"/>
        <v>0</v>
      </c>
      <c r="AI121" s="211">
        <f t="shared" si="90"/>
        <v>0</v>
      </c>
      <c r="AJ121" s="211">
        <f t="shared" si="90"/>
        <v>0</v>
      </c>
      <c r="AK121" s="211">
        <f t="shared" si="90"/>
        <v>0</v>
      </c>
      <c r="AL121" s="211">
        <f t="shared" si="90"/>
        <v>0</v>
      </c>
      <c r="AM121" s="211">
        <f t="shared" si="90"/>
        <v>0</v>
      </c>
      <c r="AN121" s="211">
        <f t="shared" si="90"/>
        <v>0</v>
      </c>
    </row>
    <row r="122" spans="2:40" s="7" customFormat="1" ht="12" hidden="1" customHeight="1" outlineLevel="1">
      <c r="B122" s="245"/>
      <c r="C122" s="213" t="s">
        <v>762</v>
      </c>
      <c r="D122" s="213"/>
      <c r="E122" s="213"/>
      <c r="F122" s="213"/>
      <c r="G122" s="213"/>
      <c r="H122" s="213"/>
      <c r="I122" s="213"/>
      <c r="J122" s="213"/>
      <c r="K122" s="213"/>
      <c r="L122" s="213"/>
      <c r="M122" s="213"/>
      <c r="N122" s="211">
        <f>INDEX($C$44:$AN$66,MATCH("New Customers 1MS",$C$44:$C$66,0),MATCH($C122,$C$44:$AN$44,0))</f>
        <v>0</v>
      </c>
      <c r="O122" s="211">
        <f>$N$122*(1-E111)</f>
        <v>0</v>
      </c>
      <c r="P122" s="211">
        <f t="shared" ref="P122:AN122" si="91">$N$122*(1-F111)</f>
        <v>0</v>
      </c>
      <c r="Q122" s="211">
        <f t="shared" si="91"/>
        <v>0</v>
      </c>
      <c r="R122" s="211">
        <f t="shared" si="91"/>
        <v>0</v>
      </c>
      <c r="S122" s="211">
        <f t="shared" si="91"/>
        <v>0</v>
      </c>
      <c r="T122" s="211">
        <f t="shared" si="91"/>
        <v>0</v>
      </c>
      <c r="U122" s="211">
        <f t="shared" si="91"/>
        <v>0</v>
      </c>
      <c r="V122" s="211">
        <f t="shared" si="91"/>
        <v>0</v>
      </c>
      <c r="W122" s="211">
        <f t="shared" si="91"/>
        <v>0</v>
      </c>
      <c r="X122" s="211">
        <f t="shared" si="91"/>
        <v>0</v>
      </c>
      <c r="Y122" s="211">
        <f t="shared" si="91"/>
        <v>0</v>
      </c>
      <c r="Z122" s="211">
        <f t="shared" si="91"/>
        <v>0</v>
      </c>
      <c r="AA122" s="211">
        <f t="shared" si="91"/>
        <v>0</v>
      </c>
      <c r="AB122" s="211">
        <f t="shared" si="91"/>
        <v>0</v>
      </c>
      <c r="AC122" s="211">
        <f t="shared" si="91"/>
        <v>0</v>
      </c>
      <c r="AD122" s="211">
        <f t="shared" si="91"/>
        <v>0</v>
      </c>
      <c r="AE122" s="211">
        <f t="shared" si="91"/>
        <v>0</v>
      </c>
      <c r="AF122" s="211">
        <f t="shared" si="91"/>
        <v>0</v>
      </c>
      <c r="AG122" s="211">
        <f t="shared" si="91"/>
        <v>0</v>
      </c>
      <c r="AH122" s="211">
        <f t="shared" si="91"/>
        <v>0</v>
      </c>
      <c r="AI122" s="211">
        <f t="shared" si="91"/>
        <v>0</v>
      </c>
      <c r="AJ122" s="211">
        <f t="shared" si="91"/>
        <v>0</v>
      </c>
      <c r="AK122" s="211">
        <f t="shared" si="91"/>
        <v>0</v>
      </c>
      <c r="AL122" s="211">
        <f t="shared" si="91"/>
        <v>0</v>
      </c>
      <c r="AM122" s="211">
        <f t="shared" si="91"/>
        <v>0</v>
      </c>
      <c r="AN122" s="211">
        <f t="shared" si="91"/>
        <v>0</v>
      </c>
    </row>
    <row r="123" spans="2:40" s="7" customFormat="1" ht="12" hidden="1" customHeight="1" outlineLevel="1">
      <c r="B123" s="245"/>
      <c r="C123" s="213" t="s">
        <v>763</v>
      </c>
      <c r="D123" s="213"/>
      <c r="E123" s="213"/>
      <c r="F123" s="213"/>
      <c r="G123" s="213"/>
      <c r="H123" s="213"/>
      <c r="I123" s="213"/>
      <c r="J123" s="213"/>
      <c r="K123" s="213"/>
      <c r="L123" s="213"/>
      <c r="M123" s="213"/>
      <c r="N123" s="213"/>
      <c r="O123" s="211">
        <f>INDEX($C$44:$AN$66,MATCH("New Customers 1MS",$C$44:$C$66,0),MATCH($C123,$C$44:$AN$44,0))</f>
        <v>0</v>
      </c>
      <c r="P123" s="211">
        <f>$O$123*(1-E111)</f>
        <v>0</v>
      </c>
      <c r="Q123" s="211">
        <f t="shared" ref="Q123:AN123" si="92">$O$123*(1-F111)</f>
        <v>0</v>
      </c>
      <c r="R123" s="211">
        <f t="shared" si="92"/>
        <v>0</v>
      </c>
      <c r="S123" s="211">
        <f t="shared" si="92"/>
        <v>0</v>
      </c>
      <c r="T123" s="211">
        <f t="shared" si="92"/>
        <v>0</v>
      </c>
      <c r="U123" s="211">
        <f t="shared" si="92"/>
        <v>0</v>
      </c>
      <c r="V123" s="211">
        <f t="shared" si="92"/>
        <v>0</v>
      </c>
      <c r="W123" s="211">
        <f t="shared" si="92"/>
        <v>0</v>
      </c>
      <c r="X123" s="211">
        <f t="shared" si="92"/>
        <v>0</v>
      </c>
      <c r="Y123" s="211">
        <f t="shared" si="92"/>
        <v>0</v>
      </c>
      <c r="Z123" s="211">
        <f t="shared" si="92"/>
        <v>0</v>
      </c>
      <c r="AA123" s="211">
        <f t="shared" si="92"/>
        <v>0</v>
      </c>
      <c r="AB123" s="211">
        <f t="shared" si="92"/>
        <v>0</v>
      </c>
      <c r="AC123" s="211">
        <f t="shared" si="92"/>
        <v>0</v>
      </c>
      <c r="AD123" s="211">
        <f t="shared" si="92"/>
        <v>0</v>
      </c>
      <c r="AE123" s="211">
        <f t="shared" si="92"/>
        <v>0</v>
      </c>
      <c r="AF123" s="211">
        <f t="shared" si="92"/>
        <v>0</v>
      </c>
      <c r="AG123" s="211">
        <f t="shared" si="92"/>
        <v>0</v>
      </c>
      <c r="AH123" s="211">
        <f t="shared" si="92"/>
        <v>0</v>
      </c>
      <c r="AI123" s="211">
        <f t="shared" si="92"/>
        <v>0</v>
      </c>
      <c r="AJ123" s="211">
        <f t="shared" si="92"/>
        <v>0</v>
      </c>
      <c r="AK123" s="211">
        <f t="shared" si="92"/>
        <v>0</v>
      </c>
      <c r="AL123" s="211">
        <f t="shared" si="92"/>
        <v>0</v>
      </c>
      <c r="AM123" s="211">
        <f t="shared" si="92"/>
        <v>0</v>
      </c>
      <c r="AN123" s="211">
        <f t="shared" si="92"/>
        <v>0</v>
      </c>
    </row>
    <row r="124" spans="2:40" s="7" customFormat="1" ht="12" hidden="1" customHeight="1" outlineLevel="1">
      <c r="B124" s="245"/>
      <c r="C124" s="213" t="s">
        <v>764</v>
      </c>
      <c r="D124" s="213"/>
      <c r="E124" s="213"/>
      <c r="F124" s="213"/>
      <c r="G124" s="213"/>
      <c r="H124" s="213"/>
      <c r="I124" s="213"/>
      <c r="J124" s="213"/>
      <c r="K124" s="213"/>
      <c r="L124" s="213"/>
      <c r="M124" s="213"/>
      <c r="N124" s="213"/>
      <c r="O124" s="213"/>
      <c r="P124" s="211">
        <f>INDEX($C$44:$AN$66,MATCH("New Customers 1MS",$C$44:$C$66,0),MATCH($C124,$C$44:$AN$44,0))</f>
        <v>0</v>
      </c>
      <c r="Q124" s="211">
        <f>$P$124*(1-E111)</f>
        <v>0</v>
      </c>
      <c r="R124" s="211">
        <f t="shared" ref="R124:AN124" si="93">$P$124*(1-F111)</f>
        <v>0</v>
      </c>
      <c r="S124" s="211">
        <f t="shared" si="93"/>
        <v>0</v>
      </c>
      <c r="T124" s="211">
        <f t="shared" si="93"/>
        <v>0</v>
      </c>
      <c r="U124" s="211">
        <f t="shared" si="93"/>
        <v>0</v>
      </c>
      <c r="V124" s="211">
        <f t="shared" si="93"/>
        <v>0</v>
      </c>
      <c r="W124" s="211">
        <f t="shared" si="93"/>
        <v>0</v>
      </c>
      <c r="X124" s="211">
        <f t="shared" si="93"/>
        <v>0</v>
      </c>
      <c r="Y124" s="211">
        <f t="shared" si="93"/>
        <v>0</v>
      </c>
      <c r="Z124" s="211">
        <f t="shared" si="93"/>
        <v>0</v>
      </c>
      <c r="AA124" s="211">
        <f t="shared" si="93"/>
        <v>0</v>
      </c>
      <c r="AB124" s="211">
        <f t="shared" si="93"/>
        <v>0</v>
      </c>
      <c r="AC124" s="211">
        <f t="shared" si="93"/>
        <v>0</v>
      </c>
      <c r="AD124" s="211">
        <f t="shared" si="93"/>
        <v>0</v>
      </c>
      <c r="AE124" s="211">
        <f t="shared" si="93"/>
        <v>0</v>
      </c>
      <c r="AF124" s="211">
        <f t="shared" si="93"/>
        <v>0</v>
      </c>
      <c r="AG124" s="211">
        <f t="shared" si="93"/>
        <v>0</v>
      </c>
      <c r="AH124" s="211">
        <f t="shared" si="93"/>
        <v>0</v>
      </c>
      <c r="AI124" s="211">
        <f t="shared" si="93"/>
        <v>0</v>
      </c>
      <c r="AJ124" s="211">
        <f t="shared" si="93"/>
        <v>0</v>
      </c>
      <c r="AK124" s="211">
        <f t="shared" si="93"/>
        <v>0</v>
      </c>
      <c r="AL124" s="211">
        <f t="shared" si="93"/>
        <v>0</v>
      </c>
      <c r="AM124" s="211">
        <f t="shared" si="93"/>
        <v>0</v>
      </c>
      <c r="AN124" s="211">
        <f t="shared" si="93"/>
        <v>0</v>
      </c>
    </row>
    <row r="125" spans="2:40" s="7" customFormat="1" ht="12" hidden="1" customHeight="1" outlineLevel="1">
      <c r="B125" s="245"/>
      <c r="C125" s="213" t="s">
        <v>765</v>
      </c>
      <c r="D125" s="213"/>
      <c r="E125" s="213"/>
      <c r="F125" s="213"/>
      <c r="G125" s="213"/>
      <c r="H125" s="213"/>
      <c r="I125" s="213"/>
      <c r="J125" s="213"/>
      <c r="K125" s="213"/>
      <c r="L125" s="213"/>
      <c r="M125" s="213"/>
      <c r="N125" s="213"/>
      <c r="O125" s="213"/>
      <c r="P125" s="213"/>
      <c r="Q125" s="211">
        <f>INDEX($C$44:$AN$66,MATCH("New Customers 1MS",$C$44:$C$66,0),MATCH($C125,$C$44:$AN$44,0))</f>
        <v>0</v>
      </c>
      <c r="R125" s="211">
        <f>$Q$125*(1-E111)</f>
        <v>0</v>
      </c>
      <c r="S125" s="211">
        <f t="shared" ref="S125:AN125" si="94">$Q$125*(1-F111)</f>
        <v>0</v>
      </c>
      <c r="T125" s="211">
        <f t="shared" si="94"/>
        <v>0</v>
      </c>
      <c r="U125" s="211">
        <f t="shared" si="94"/>
        <v>0</v>
      </c>
      <c r="V125" s="211">
        <f t="shared" si="94"/>
        <v>0</v>
      </c>
      <c r="W125" s="211">
        <f t="shared" si="94"/>
        <v>0</v>
      </c>
      <c r="X125" s="211">
        <f t="shared" si="94"/>
        <v>0</v>
      </c>
      <c r="Y125" s="211">
        <f t="shared" si="94"/>
        <v>0</v>
      </c>
      <c r="Z125" s="211">
        <f t="shared" si="94"/>
        <v>0</v>
      </c>
      <c r="AA125" s="211">
        <f t="shared" si="94"/>
        <v>0</v>
      </c>
      <c r="AB125" s="211">
        <f t="shared" si="94"/>
        <v>0</v>
      </c>
      <c r="AC125" s="211">
        <f t="shared" si="94"/>
        <v>0</v>
      </c>
      <c r="AD125" s="211">
        <f t="shared" si="94"/>
        <v>0</v>
      </c>
      <c r="AE125" s="211">
        <f t="shared" si="94"/>
        <v>0</v>
      </c>
      <c r="AF125" s="211">
        <f t="shared" si="94"/>
        <v>0</v>
      </c>
      <c r="AG125" s="211">
        <f t="shared" si="94"/>
        <v>0</v>
      </c>
      <c r="AH125" s="211">
        <f t="shared" si="94"/>
        <v>0</v>
      </c>
      <c r="AI125" s="211">
        <f t="shared" si="94"/>
        <v>0</v>
      </c>
      <c r="AJ125" s="211">
        <f t="shared" si="94"/>
        <v>0</v>
      </c>
      <c r="AK125" s="211">
        <f t="shared" si="94"/>
        <v>0</v>
      </c>
      <c r="AL125" s="211">
        <f t="shared" si="94"/>
        <v>0</v>
      </c>
      <c r="AM125" s="211">
        <f t="shared" si="94"/>
        <v>0</v>
      </c>
      <c r="AN125" s="211">
        <f t="shared" si="94"/>
        <v>0</v>
      </c>
    </row>
    <row r="126" spans="2:40" s="7" customFormat="1" ht="12" hidden="1" customHeight="1" outlineLevel="1">
      <c r="B126" s="245"/>
      <c r="C126" s="213" t="s">
        <v>766</v>
      </c>
      <c r="D126" s="213"/>
      <c r="E126" s="213"/>
      <c r="F126" s="213"/>
      <c r="G126" s="213"/>
      <c r="H126" s="213"/>
      <c r="I126" s="213"/>
      <c r="J126" s="213"/>
      <c r="K126" s="213"/>
      <c r="L126" s="213"/>
      <c r="M126" s="213"/>
      <c r="N126" s="213"/>
      <c r="O126" s="213"/>
      <c r="P126" s="213"/>
      <c r="Q126" s="213"/>
      <c r="R126" s="211">
        <f>INDEX($C$44:$AN$66,MATCH("New Customers 1MS",$C$44:$C$66,0),MATCH($C126,$C$44:$AN$44,0))</f>
        <v>0</v>
      </c>
      <c r="S126" s="211">
        <f>$R$126*(1-E111)</f>
        <v>0</v>
      </c>
      <c r="T126" s="211">
        <f t="shared" ref="T126:AN126" si="95">$R$126*(1-F111)</f>
        <v>0</v>
      </c>
      <c r="U126" s="211">
        <f t="shared" si="95"/>
        <v>0</v>
      </c>
      <c r="V126" s="211">
        <f t="shared" si="95"/>
        <v>0</v>
      </c>
      <c r="W126" s="211">
        <f t="shared" si="95"/>
        <v>0</v>
      </c>
      <c r="X126" s="211">
        <f t="shared" si="95"/>
        <v>0</v>
      </c>
      <c r="Y126" s="211">
        <f t="shared" si="95"/>
        <v>0</v>
      </c>
      <c r="Z126" s="211">
        <f t="shared" si="95"/>
        <v>0</v>
      </c>
      <c r="AA126" s="211">
        <f t="shared" si="95"/>
        <v>0</v>
      </c>
      <c r="AB126" s="211">
        <f t="shared" si="95"/>
        <v>0</v>
      </c>
      <c r="AC126" s="211">
        <f t="shared" si="95"/>
        <v>0</v>
      </c>
      <c r="AD126" s="211">
        <f t="shared" si="95"/>
        <v>0</v>
      </c>
      <c r="AE126" s="211">
        <f t="shared" si="95"/>
        <v>0</v>
      </c>
      <c r="AF126" s="211">
        <f t="shared" si="95"/>
        <v>0</v>
      </c>
      <c r="AG126" s="211">
        <f t="shared" si="95"/>
        <v>0</v>
      </c>
      <c r="AH126" s="211">
        <f t="shared" si="95"/>
        <v>0</v>
      </c>
      <c r="AI126" s="211">
        <f t="shared" si="95"/>
        <v>0</v>
      </c>
      <c r="AJ126" s="211">
        <f t="shared" si="95"/>
        <v>0</v>
      </c>
      <c r="AK126" s="211">
        <f t="shared" si="95"/>
        <v>0</v>
      </c>
      <c r="AL126" s="211">
        <f t="shared" si="95"/>
        <v>0</v>
      </c>
      <c r="AM126" s="211">
        <f t="shared" si="95"/>
        <v>0</v>
      </c>
      <c r="AN126" s="211">
        <f t="shared" si="95"/>
        <v>0</v>
      </c>
    </row>
    <row r="127" spans="2:40" s="7" customFormat="1" ht="12" hidden="1" customHeight="1" outlineLevel="1">
      <c r="B127" s="245"/>
      <c r="C127" s="213" t="s">
        <v>767</v>
      </c>
      <c r="D127" s="213"/>
      <c r="E127" s="213"/>
      <c r="F127" s="213"/>
      <c r="G127" s="213"/>
      <c r="H127" s="213"/>
      <c r="I127" s="213"/>
      <c r="J127" s="213"/>
      <c r="K127" s="213"/>
      <c r="L127" s="213"/>
      <c r="M127" s="213"/>
      <c r="N127" s="213"/>
      <c r="O127" s="213"/>
      <c r="P127" s="213"/>
      <c r="Q127" s="213"/>
      <c r="R127" s="213"/>
      <c r="S127" s="211">
        <f>INDEX($C$44:$AN$66,MATCH("New Customers 1MS",$C$44:$C$66,0),MATCH($C127,$C$44:$AN$44,0))</f>
        <v>0</v>
      </c>
      <c r="T127" s="211">
        <f>$S$127*(1-E111)</f>
        <v>0</v>
      </c>
      <c r="U127" s="211">
        <f t="shared" ref="U127:AN127" si="96">$S$127*(1-F111)</f>
        <v>0</v>
      </c>
      <c r="V127" s="211">
        <f t="shared" si="96"/>
        <v>0</v>
      </c>
      <c r="W127" s="211">
        <f t="shared" si="96"/>
        <v>0</v>
      </c>
      <c r="X127" s="211">
        <f t="shared" si="96"/>
        <v>0</v>
      </c>
      <c r="Y127" s="211">
        <f t="shared" si="96"/>
        <v>0</v>
      </c>
      <c r="Z127" s="211">
        <f t="shared" si="96"/>
        <v>0</v>
      </c>
      <c r="AA127" s="211">
        <f t="shared" si="96"/>
        <v>0</v>
      </c>
      <c r="AB127" s="211">
        <f t="shared" si="96"/>
        <v>0</v>
      </c>
      <c r="AC127" s="211">
        <f t="shared" si="96"/>
        <v>0</v>
      </c>
      <c r="AD127" s="211">
        <f t="shared" si="96"/>
        <v>0</v>
      </c>
      <c r="AE127" s="211">
        <f t="shared" si="96"/>
        <v>0</v>
      </c>
      <c r="AF127" s="211">
        <f t="shared" si="96"/>
        <v>0</v>
      </c>
      <c r="AG127" s="211">
        <f t="shared" si="96"/>
        <v>0</v>
      </c>
      <c r="AH127" s="211">
        <f t="shared" si="96"/>
        <v>0</v>
      </c>
      <c r="AI127" s="211">
        <f t="shared" si="96"/>
        <v>0</v>
      </c>
      <c r="AJ127" s="211">
        <f t="shared" si="96"/>
        <v>0</v>
      </c>
      <c r="AK127" s="211">
        <f t="shared" si="96"/>
        <v>0</v>
      </c>
      <c r="AL127" s="211">
        <f t="shared" si="96"/>
        <v>0</v>
      </c>
      <c r="AM127" s="211">
        <f t="shared" si="96"/>
        <v>0</v>
      </c>
      <c r="AN127" s="211">
        <f t="shared" si="96"/>
        <v>0</v>
      </c>
    </row>
    <row r="128" spans="2:40" s="7" customFormat="1" ht="12" hidden="1" customHeight="1" outlineLevel="1">
      <c r="B128" s="245"/>
      <c r="C128" s="213" t="s">
        <v>768</v>
      </c>
      <c r="D128" s="213"/>
      <c r="E128" s="213"/>
      <c r="F128" s="213"/>
      <c r="G128" s="213"/>
      <c r="H128" s="213"/>
      <c r="I128" s="213"/>
      <c r="J128" s="213"/>
      <c r="K128" s="213"/>
      <c r="L128" s="213"/>
      <c r="M128" s="213"/>
      <c r="N128" s="213"/>
      <c r="O128" s="213"/>
      <c r="P128" s="213"/>
      <c r="Q128" s="213"/>
      <c r="R128" s="213"/>
      <c r="S128" s="213"/>
      <c r="T128" s="211">
        <f>INDEX($C$44:$AN$66,MATCH("New Customers 1MS",$C$44:$C$66,0),MATCH($C128,$C$44:$AN$44,0))</f>
        <v>0</v>
      </c>
      <c r="U128" s="211">
        <f>$T$128*(1-E111)</f>
        <v>0</v>
      </c>
      <c r="V128" s="211">
        <f t="shared" ref="V128:AN128" si="97">$T$128*(1-F111)</f>
        <v>0</v>
      </c>
      <c r="W128" s="211">
        <f t="shared" si="97"/>
        <v>0</v>
      </c>
      <c r="X128" s="211">
        <f t="shared" si="97"/>
        <v>0</v>
      </c>
      <c r="Y128" s="211">
        <f t="shared" si="97"/>
        <v>0</v>
      </c>
      <c r="Z128" s="211">
        <f t="shared" si="97"/>
        <v>0</v>
      </c>
      <c r="AA128" s="211">
        <f t="shared" si="97"/>
        <v>0</v>
      </c>
      <c r="AB128" s="211">
        <f t="shared" si="97"/>
        <v>0</v>
      </c>
      <c r="AC128" s="211">
        <f t="shared" si="97"/>
        <v>0</v>
      </c>
      <c r="AD128" s="211">
        <f t="shared" si="97"/>
        <v>0</v>
      </c>
      <c r="AE128" s="211">
        <f t="shared" si="97"/>
        <v>0</v>
      </c>
      <c r="AF128" s="211">
        <f t="shared" si="97"/>
        <v>0</v>
      </c>
      <c r="AG128" s="211">
        <f t="shared" si="97"/>
        <v>0</v>
      </c>
      <c r="AH128" s="211">
        <f t="shared" si="97"/>
        <v>0</v>
      </c>
      <c r="AI128" s="211">
        <f t="shared" si="97"/>
        <v>0</v>
      </c>
      <c r="AJ128" s="211">
        <f t="shared" si="97"/>
        <v>0</v>
      </c>
      <c r="AK128" s="211">
        <f t="shared" si="97"/>
        <v>0</v>
      </c>
      <c r="AL128" s="211">
        <f t="shared" si="97"/>
        <v>0</v>
      </c>
      <c r="AM128" s="211">
        <f t="shared" si="97"/>
        <v>0</v>
      </c>
      <c r="AN128" s="211">
        <f t="shared" si="97"/>
        <v>0</v>
      </c>
    </row>
    <row r="129" spans="2:40" s="7" customFormat="1" ht="12" hidden="1" customHeight="1" outlineLevel="1">
      <c r="B129" s="245"/>
      <c r="C129" s="213" t="s">
        <v>769</v>
      </c>
      <c r="D129" s="213"/>
      <c r="E129" s="213"/>
      <c r="F129" s="213"/>
      <c r="G129" s="213"/>
      <c r="H129" s="213"/>
      <c r="I129" s="213"/>
      <c r="J129" s="213"/>
      <c r="K129" s="213"/>
      <c r="L129" s="213"/>
      <c r="M129" s="213"/>
      <c r="N129" s="213"/>
      <c r="O129" s="213"/>
      <c r="P129" s="213"/>
      <c r="Q129" s="213"/>
      <c r="R129" s="213"/>
      <c r="S129" s="213"/>
      <c r="T129" s="213"/>
      <c r="U129" s="211">
        <f>INDEX($C$44:$AN$66,MATCH("New Customers 1MS",$C$44:$C$66,0),MATCH($C129,$C$44:$AN$44,0))</f>
        <v>0</v>
      </c>
      <c r="V129" s="211">
        <f>$U$129*(1-E111)</f>
        <v>0</v>
      </c>
      <c r="W129" s="211">
        <f t="shared" ref="W129:AN129" si="98">$U$129*(1-F111)</f>
        <v>0</v>
      </c>
      <c r="X129" s="211">
        <f t="shared" si="98"/>
        <v>0</v>
      </c>
      <c r="Y129" s="211">
        <f t="shared" si="98"/>
        <v>0</v>
      </c>
      <c r="Z129" s="211">
        <f t="shared" si="98"/>
        <v>0</v>
      </c>
      <c r="AA129" s="211">
        <f t="shared" si="98"/>
        <v>0</v>
      </c>
      <c r="AB129" s="211">
        <f t="shared" si="98"/>
        <v>0</v>
      </c>
      <c r="AC129" s="211">
        <f t="shared" si="98"/>
        <v>0</v>
      </c>
      <c r="AD129" s="211">
        <f t="shared" si="98"/>
        <v>0</v>
      </c>
      <c r="AE129" s="211">
        <f t="shared" si="98"/>
        <v>0</v>
      </c>
      <c r="AF129" s="211">
        <f t="shared" si="98"/>
        <v>0</v>
      </c>
      <c r="AG129" s="211">
        <f t="shared" si="98"/>
        <v>0</v>
      </c>
      <c r="AH129" s="211">
        <f t="shared" si="98"/>
        <v>0</v>
      </c>
      <c r="AI129" s="211">
        <f t="shared" si="98"/>
        <v>0</v>
      </c>
      <c r="AJ129" s="211">
        <f t="shared" si="98"/>
        <v>0</v>
      </c>
      <c r="AK129" s="211">
        <f t="shared" si="98"/>
        <v>0</v>
      </c>
      <c r="AL129" s="211">
        <f t="shared" si="98"/>
        <v>0</v>
      </c>
      <c r="AM129" s="211">
        <f t="shared" si="98"/>
        <v>0</v>
      </c>
      <c r="AN129" s="211">
        <f t="shared" si="98"/>
        <v>0</v>
      </c>
    </row>
    <row r="130" spans="2:40" s="7" customFormat="1" ht="12" hidden="1" customHeight="1" outlineLevel="1">
      <c r="B130" s="245"/>
      <c r="C130" s="213" t="s">
        <v>770</v>
      </c>
      <c r="D130" s="213"/>
      <c r="E130" s="213"/>
      <c r="F130" s="213"/>
      <c r="G130" s="213"/>
      <c r="H130" s="213"/>
      <c r="I130" s="213"/>
      <c r="J130" s="213"/>
      <c r="K130" s="213"/>
      <c r="L130" s="213"/>
      <c r="M130" s="213"/>
      <c r="N130" s="213"/>
      <c r="O130" s="213"/>
      <c r="P130" s="213"/>
      <c r="Q130" s="213"/>
      <c r="R130" s="213"/>
      <c r="S130" s="213"/>
      <c r="T130" s="213"/>
      <c r="U130" s="213"/>
      <c r="V130" s="211">
        <f>INDEX($C$44:$AN$66,MATCH("New Customers 1MS",$C$44:$C$66,0),MATCH($C130,$C$44:$AN$44,0))</f>
        <v>0</v>
      </c>
      <c r="W130" s="211">
        <f>$V$130*(1-E111)</f>
        <v>0</v>
      </c>
      <c r="X130" s="211">
        <f t="shared" ref="X130:AN130" si="99">$V$130*(1-F111)</f>
        <v>0</v>
      </c>
      <c r="Y130" s="211">
        <f t="shared" si="99"/>
        <v>0</v>
      </c>
      <c r="Z130" s="211">
        <f t="shared" si="99"/>
        <v>0</v>
      </c>
      <c r="AA130" s="211">
        <f t="shared" si="99"/>
        <v>0</v>
      </c>
      <c r="AB130" s="211">
        <f t="shared" si="99"/>
        <v>0</v>
      </c>
      <c r="AC130" s="211">
        <f t="shared" si="99"/>
        <v>0</v>
      </c>
      <c r="AD130" s="211">
        <f t="shared" si="99"/>
        <v>0</v>
      </c>
      <c r="AE130" s="211">
        <f t="shared" si="99"/>
        <v>0</v>
      </c>
      <c r="AF130" s="211">
        <f t="shared" si="99"/>
        <v>0</v>
      </c>
      <c r="AG130" s="211">
        <f t="shared" si="99"/>
        <v>0</v>
      </c>
      <c r="AH130" s="211">
        <f t="shared" si="99"/>
        <v>0</v>
      </c>
      <c r="AI130" s="211">
        <f t="shared" si="99"/>
        <v>0</v>
      </c>
      <c r="AJ130" s="211">
        <f t="shared" si="99"/>
        <v>0</v>
      </c>
      <c r="AK130" s="211">
        <f t="shared" si="99"/>
        <v>0</v>
      </c>
      <c r="AL130" s="211">
        <f t="shared" si="99"/>
        <v>0</v>
      </c>
      <c r="AM130" s="211">
        <f t="shared" si="99"/>
        <v>0</v>
      </c>
      <c r="AN130" s="211">
        <f t="shared" si="99"/>
        <v>0</v>
      </c>
    </row>
    <row r="131" spans="2:40" s="7" customFormat="1" ht="12" hidden="1" customHeight="1" outlineLevel="1">
      <c r="B131" s="245"/>
      <c r="C131" s="213" t="s">
        <v>771</v>
      </c>
      <c r="D131" s="213"/>
      <c r="E131" s="213"/>
      <c r="F131" s="213"/>
      <c r="G131" s="213"/>
      <c r="H131" s="213"/>
      <c r="I131" s="213"/>
      <c r="J131" s="213"/>
      <c r="K131" s="213"/>
      <c r="L131" s="213"/>
      <c r="M131" s="213"/>
      <c r="N131" s="213"/>
      <c r="O131" s="213"/>
      <c r="P131" s="213"/>
      <c r="Q131" s="213"/>
      <c r="R131" s="213"/>
      <c r="S131" s="213"/>
      <c r="T131" s="213"/>
      <c r="U131" s="213"/>
      <c r="V131" s="213"/>
      <c r="W131" s="211">
        <f>INDEX($C$44:$AN$66,MATCH("New Customers 1MS",$C$44:$C$66,0),MATCH($C131,$C$44:$AN$44,0))</f>
        <v>0</v>
      </c>
      <c r="X131" s="211">
        <f>$W$131*(1-E111)</f>
        <v>0</v>
      </c>
      <c r="Y131" s="211">
        <f t="shared" ref="Y131:AN131" si="100">$W$131*(1-F111)</f>
        <v>0</v>
      </c>
      <c r="Z131" s="211">
        <f t="shared" si="100"/>
        <v>0</v>
      </c>
      <c r="AA131" s="211">
        <f t="shared" si="100"/>
        <v>0</v>
      </c>
      <c r="AB131" s="211">
        <f t="shared" si="100"/>
        <v>0</v>
      </c>
      <c r="AC131" s="211">
        <f t="shared" si="100"/>
        <v>0</v>
      </c>
      <c r="AD131" s="211">
        <f t="shared" si="100"/>
        <v>0</v>
      </c>
      <c r="AE131" s="211">
        <f t="shared" si="100"/>
        <v>0</v>
      </c>
      <c r="AF131" s="211">
        <f t="shared" si="100"/>
        <v>0</v>
      </c>
      <c r="AG131" s="211">
        <f t="shared" si="100"/>
        <v>0</v>
      </c>
      <c r="AH131" s="211">
        <f t="shared" si="100"/>
        <v>0</v>
      </c>
      <c r="AI131" s="211">
        <f t="shared" si="100"/>
        <v>0</v>
      </c>
      <c r="AJ131" s="211">
        <f t="shared" si="100"/>
        <v>0</v>
      </c>
      <c r="AK131" s="211">
        <f t="shared" si="100"/>
        <v>0</v>
      </c>
      <c r="AL131" s="211">
        <f t="shared" si="100"/>
        <v>0</v>
      </c>
      <c r="AM131" s="211">
        <f t="shared" si="100"/>
        <v>0</v>
      </c>
      <c r="AN131" s="211">
        <f t="shared" si="100"/>
        <v>0</v>
      </c>
    </row>
    <row r="132" spans="2:40" s="7" customFormat="1" ht="12" hidden="1" customHeight="1" outlineLevel="1">
      <c r="B132" s="245"/>
      <c r="C132" s="213" t="s">
        <v>772</v>
      </c>
      <c r="D132" s="213"/>
      <c r="E132" s="213"/>
      <c r="F132" s="213"/>
      <c r="G132" s="213"/>
      <c r="H132" s="213"/>
      <c r="I132" s="213"/>
      <c r="J132" s="213"/>
      <c r="K132" s="213"/>
      <c r="L132" s="213"/>
      <c r="M132" s="213"/>
      <c r="N132" s="213"/>
      <c r="O132" s="213"/>
      <c r="P132" s="213"/>
      <c r="Q132" s="213"/>
      <c r="R132" s="213"/>
      <c r="S132" s="213"/>
      <c r="T132" s="213"/>
      <c r="U132" s="213"/>
      <c r="V132" s="213"/>
      <c r="W132" s="213"/>
      <c r="X132" s="211">
        <f>INDEX($C$44:$AN$66,MATCH("New Customers 1MS",$C$44:$C$66,0),MATCH($C132,$C$44:$AN$44,0))</f>
        <v>0</v>
      </c>
      <c r="Y132" s="211">
        <f>$X$132*(1-E111)</f>
        <v>0</v>
      </c>
      <c r="Z132" s="211">
        <f t="shared" ref="Z132:AN132" si="101">$X$132*(1-F111)</f>
        <v>0</v>
      </c>
      <c r="AA132" s="211">
        <f t="shared" si="101"/>
        <v>0</v>
      </c>
      <c r="AB132" s="211">
        <f t="shared" si="101"/>
        <v>0</v>
      </c>
      <c r="AC132" s="211">
        <f t="shared" si="101"/>
        <v>0</v>
      </c>
      <c r="AD132" s="211">
        <f t="shared" si="101"/>
        <v>0</v>
      </c>
      <c r="AE132" s="211">
        <f t="shared" si="101"/>
        <v>0</v>
      </c>
      <c r="AF132" s="211">
        <f t="shared" si="101"/>
        <v>0</v>
      </c>
      <c r="AG132" s="211">
        <f t="shared" si="101"/>
        <v>0</v>
      </c>
      <c r="AH132" s="211">
        <f t="shared" si="101"/>
        <v>0</v>
      </c>
      <c r="AI132" s="211">
        <f t="shared" si="101"/>
        <v>0</v>
      </c>
      <c r="AJ132" s="211">
        <f t="shared" si="101"/>
        <v>0</v>
      </c>
      <c r="AK132" s="211">
        <f t="shared" si="101"/>
        <v>0</v>
      </c>
      <c r="AL132" s="211">
        <f t="shared" si="101"/>
        <v>0</v>
      </c>
      <c r="AM132" s="211">
        <f t="shared" si="101"/>
        <v>0</v>
      </c>
      <c r="AN132" s="211">
        <f t="shared" si="101"/>
        <v>0</v>
      </c>
    </row>
    <row r="133" spans="2:40" s="7" customFormat="1" ht="12" hidden="1" customHeight="1" outlineLevel="1">
      <c r="B133" s="245"/>
      <c r="C133" s="213" t="s">
        <v>773</v>
      </c>
      <c r="D133" s="213"/>
      <c r="E133" s="213"/>
      <c r="F133" s="213"/>
      <c r="G133" s="213"/>
      <c r="H133" s="213"/>
      <c r="I133" s="213"/>
      <c r="J133" s="213"/>
      <c r="K133" s="213"/>
      <c r="L133" s="213"/>
      <c r="M133" s="213"/>
      <c r="N133" s="213"/>
      <c r="O133" s="213"/>
      <c r="P133" s="213"/>
      <c r="Q133" s="213"/>
      <c r="R133" s="213"/>
      <c r="S133" s="213"/>
      <c r="T133" s="213"/>
      <c r="U133" s="213"/>
      <c r="V133" s="213"/>
      <c r="W133" s="213"/>
      <c r="X133" s="213"/>
      <c r="Y133" s="211">
        <f>INDEX($C$44:$AN$66,MATCH("New Customers 1MS",$C$44:$C$66,0),MATCH($C133,$C$44:$AN$44,0))</f>
        <v>0</v>
      </c>
      <c r="Z133" s="211">
        <f>$Y$133*(1-E111)</f>
        <v>0</v>
      </c>
      <c r="AA133" s="211">
        <f t="shared" ref="AA133:AN133" si="102">$Y$133*(1-F111)</f>
        <v>0</v>
      </c>
      <c r="AB133" s="211">
        <f t="shared" si="102"/>
        <v>0</v>
      </c>
      <c r="AC133" s="211">
        <f t="shared" si="102"/>
        <v>0</v>
      </c>
      <c r="AD133" s="211">
        <f t="shared" si="102"/>
        <v>0</v>
      </c>
      <c r="AE133" s="211">
        <f t="shared" si="102"/>
        <v>0</v>
      </c>
      <c r="AF133" s="211">
        <f t="shared" si="102"/>
        <v>0</v>
      </c>
      <c r="AG133" s="211">
        <f t="shared" si="102"/>
        <v>0</v>
      </c>
      <c r="AH133" s="211">
        <f t="shared" si="102"/>
        <v>0</v>
      </c>
      <c r="AI133" s="211">
        <f t="shared" si="102"/>
        <v>0</v>
      </c>
      <c r="AJ133" s="211">
        <f t="shared" si="102"/>
        <v>0</v>
      </c>
      <c r="AK133" s="211">
        <f t="shared" si="102"/>
        <v>0</v>
      </c>
      <c r="AL133" s="211">
        <f t="shared" si="102"/>
        <v>0</v>
      </c>
      <c r="AM133" s="211">
        <f t="shared" si="102"/>
        <v>0</v>
      </c>
      <c r="AN133" s="211">
        <f t="shared" si="102"/>
        <v>0</v>
      </c>
    </row>
    <row r="134" spans="2:40" s="7" customFormat="1" ht="12" hidden="1" customHeight="1" outlineLevel="1">
      <c r="B134" s="245"/>
      <c r="C134" s="213" t="s">
        <v>774</v>
      </c>
      <c r="D134" s="213"/>
      <c r="E134" s="213"/>
      <c r="F134" s="213"/>
      <c r="G134" s="213"/>
      <c r="H134" s="213"/>
      <c r="I134" s="213"/>
      <c r="J134" s="213"/>
      <c r="K134" s="213"/>
      <c r="L134" s="213"/>
      <c r="M134" s="213"/>
      <c r="N134" s="213"/>
      <c r="O134" s="213"/>
      <c r="P134" s="213"/>
      <c r="Q134" s="213"/>
      <c r="R134" s="213"/>
      <c r="S134" s="213"/>
      <c r="T134" s="213"/>
      <c r="U134" s="213"/>
      <c r="V134" s="213"/>
      <c r="W134" s="213"/>
      <c r="X134" s="213"/>
      <c r="Y134" s="213"/>
      <c r="Z134" s="211">
        <f>INDEX($C$44:$AN$66,MATCH("New Customers 1MS",$C$44:$C$66,0),MATCH($C134,$C$44:$AN$44,0))</f>
        <v>0</v>
      </c>
      <c r="AA134" s="211">
        <f>$Z$134*(1-E111)</f>
        <v>0</v>
      </c>
      <c r="AB134" s="211">
        <f t="shared" ref="AB134:AN134" si="103">$Z$134*(1-F111)</f>
        <v>0</v>
      </c>
      <c r="AC134" s="211">
        <f t="shared" si="103"/>
        <v>0</v>
      </c>
      <c r="AD134" s="211">
        <f t="shared" si="103"/>
        <v>0</v>
      </c>
      <c r="AE134" s="211">
        <f t="shared" si="103"/>
        <v>0</v>
      </c>
      <c r="AF134" s="211">
        <f t="shared" si="103"/>
        <v>0</v>
      </c>
      <c r="AG134" s="211">
        <f t="shared" si="103"/>
        <v>0</v>
      </c>
      <c r="AH134" s="211">
        <f t="shared" si="103"/>
        <v>0</v>
      </c>
      <c r="AI134" s="211">
        <f t="shared" si="103"/>
        <v>0</v>
      </c>
      <c r="AJ134" s="211">
        <f t="shared" si="103"/>
        <v>0</v>
      </c>
      <c r="AK134" s="211">
        <f t="shared" si="103"/>
        <v>0</v>
      </c>
      <c r="AL134" s="211">
        <f t="shared" si="103"/>
        <v>0</v>
      </c>
      <c r="AM134" s="211">
        <f t="shared" si="103"/>
        <v>0</v>
      </c>
      <c r="AN134" s="211">
        <f t="shared" si="103"/>
        <v>0</v>
      </c>
    </row>
    <row r="135" spans="2:40" s="7" customFormat="1" ht="12" hidden="1" customHeight="1" outlineLevel="1">
      <c r="B135" s="245"/>
      <c r="C135" s="213" t="s">
        <v>775</v>
      </c>
      <c r="D135" s="213"/>
      <c r="E135" s="213"/>
      <c r="F135" s="213"/>
      <c r="G135" s="213"/>
      <c r="H135" s="213"/>
      <c r="I135" s="213"/>
      <c r="J135" s="213"/>
      <c r="K135" s="213"/>
      <c r="L135" s="213"/>
      <c r="M135" s="213"/>
      <c r="N135" s="213"/>
      <c r="O135" s="213"/>
      <c r="P135" s="213"/>
      <c r="Q135" s="213"/>
      <c r="R135" s="213"/>
      <c r="S135" s="213"/>
      <c r="T135" s="213"/>
      <c r="U135" s="213"/>
      <c r="V135" s="213"/>
      <c r="W135" s="213"/>
      <c r="X135" s="213"/>
      <c r="Y135" s="213"/>
      <c r="Z135" s="213"/>
      <c r="AA135" s="211">
        <f>INDEX($C$44:$AN$66,MATCH("New Customers 1MS",$C$44:$C$66,0),MATCH($C135,$C$44:$AN$44,0))</f>
        <v>0</v>
      </c>
      <c r="AB135" s="211">
        <f>$AA$135*(1-E111)</f>
        <v>0</v>
      </c>
      <c r="AC135" s="211">
        <f t="shared" ref="AC135:AN135" si="104">$AA$135*(1-F111)</f>
        <v>0</v>
      </c>
      <c r="AD135" s="211">
        <f t="shared" si="104"/>
        <v>0</v>
      </c>
      <c r="AE135" s="211">
        <f t="shared" si="104"/>
        <v>0</v>
      </c>
      <c r="AF135" s="211">
        <f t="shared" si="104"/>
        <v>0</v>
      </c>
      <c r="AG135" s="211">
        <f t="shared" si="104"/>
        <v>0</v>
      </c>
      <c r="AH135" s="211">
        <f t="shared" si="104"/>
        <v>0</v>
      </c>
      <c r="AI135" s="211">
        <f t="shared" si="104"/>
        <v>0</v>
      </c>
      <c r="AJ135" s="211">
        <f t="shared" si="104"/>
        <v>0</v>
      </c>
      <c r="AK135" s="211">
        <f t="shared" si="104"/>
        <v>0</v>
      </c>
      <c r="AL135" s="211">
        <f t="shared" si="104"/>
        <v>0</v>
      </c>
      <c r="AM135" s="211">
        <f t="shared" si="104"/>
        <v>0</v>
      </c>
      <c r="AN135" s="211">
        <f t="shared" si="104"/>
        <v>0</v>
      </c>
    </row>
    <row r="136" spans="2:40" s="7" customFormat="1" ht="12" hidden="1" customHeight="1" outlineLevel="1">
      <c r="B136" s="245"/>
      <c r="C136" s="213" t="s">
        <v>776</v>
      </c>
      <c r="D136" s="213"/>
      <c r="E136" s="213"/>
      <c r="F136" s="213"/>
      <c r="G136" s="213"/>
      <c r="H136" s="213"/>
      <c r="I136" s="213"/>
      <c r="J136" s="213"/>
      <c r="K136" s="213"/>
      <c r="L136" s="213"/>
      <c r="M136" s="213"/>
      <c r="N136" s="213"/>
      <c r="O136" s="213"/>
      <c r="P136" s="213"/>
      <c r="Q136" s="213"/>
      <c r="R136" s="213"/>
      <c r="S136" s="213"/>
      <c r="T136" s="213"/>
      <c r="U136" s="213"/>
      <c r="V136" s="213"/>
      <c r="W136" s="213"/>
      <c r="X136" s="213"/>
      <c r="Y136" s="213"/>
      <c r="Z136" s="213"/>
      <c r="AA136" s="213"/>
      <c r="AB136" s="211">
        <f>INDEX($C$44:$AN$66,MATCH("New Customers 1MS",$C$44:$C$66,0),MATCH($C136,$C$44:$AN$44,0))</f>
        <v>0</v>
      </c>
      <c r="AC136" s="211">
        <f>$AB$136*(1-E111)</f>
        <v>0</v>
      </c>
      <c r="AD136" s="211">
        <f t="shared" ref="AD136:AN136" si="105">$AB$136*(1-F111)</f>
        <v>0</v>
      </c>
      <c r="AE136" s="211">
        <f t="shared" si="105"/>
        <v>0</v>
      </c>
      <c r="AF136" s="211">
        <f t="shared" si="105"/>
        <v>0</v>
      </c>
      <c r="AG136" s="211">
        <f t="shared" si="105"/>
        <v>0</v>
      </c>
      <c r="AH136" s="211">
        <f t="shared" si="105"/>
        <v>0</v>
      </c>
      <c r="AI136" s="211">
        <f t="shared" si="105"/>
        <v>0</v>
      </c>
      <c r="AJ136" s="211">
        <f t="shared" si="105"/>
        <v>0</v>
      </c>
      <c r="AK136" s="211">
        <f t="shared" si="105"/>
        <v>0</v>
      </c>
      <c r="AL136" s="211">
        <f t="shared" si="105"/>
        <v>0</v>
      </c>
      <c r="AM136" s="211">
        <f t="shared" si="105"/>
        <v>0</v>
      </c>
      <c r="AN136" s="211">
        <f t="shared" si="105"/>
        <v>0</v>
      </c>
    </row>
    <row r="137" spans="2:40" s="7" customFormat="1" ht="12" hidden="1" customHeight="1" outlineLevel="1">
      <c r="B137" s="245"/>
      <c r="C137" s="213" t="s">
        <v>777</v>
      </c>
      <c r="D137" s="213"/>
      <c r="E137" s="213"/>
      <c r="F137" s="213"/>
      <c r="G137" s="213"/>
      <c r="H137" s="213"/>
      <c r="I137" s="213"/>
      <c r="J137" s="213"/>
      <c r="K137" s="213"/>
      <c r="L137" s="213"/>
      <c r="M137" s="213"/>
      <c r="N137" s="213"/>
      <c r="O137" s="213"/>
      <c r="P137" s="213"/>
      <c r="Q137" s="213"/>
      <c r="R137" s="213"/>
      <c r="S137" s="213"/>
      <c r="T137" s="213"/>
      <c r="U137" s="213"/>
      <c r="V137" s="213"/>
      <c r="W137" s="213"/>
      <c r="X137" s="213"/>
      <c r="Y137" s="213"/>
      <c r="Z137" s="213"/>
      <c r="AA137" s="213"/>
      <c r="AB137" s="211"/>
      <c r="AC137" s="211">
        <f>INDEX($C$44:$AN$66,MATCH("New Customers 1MS",$C$44:$C$66,0),MATCH($C137,$C$44:$AN$44,0))</f>
        <v>0</v>
      </c>
      <c r="AD137" s="211">
        <f>$AC$137*(1-E111)</f>
        <v>0</v>
      </c>
      <c r="AE137" s="211">
        <f t="shared" ref="AE137:AN137" si="106">$AC$137*(1-F111)</f>
        <v>0</v>
      </c>
      <c r="AF137" s="211">
        <f t="shared" si="106"/>
        <v>0</v>
      </c>
      <c r="AG137" s="211">
        <f t="shared" si="106"/>
        <v>0</v>
      </c>
      <c r="AH137" s="211">
        <f t="shared" si="106"/>
        <v>0</v>
      </c>
      <c r="AI137" s="211">
        <f t="shared" si="106"/>
        <v>0</v>
      </c>
      <c r="AJ137" s="211">
        <f t="shared" si="106"/>
        <v>0</v>
      </c>
      <c r="AK137" s="211">
        <f t="shared" si="106"/>
        <v>0</v>
      </c>
      <c r="AL137" s="211">
        <f t="shared" si="106"/>
        <v>0</v>
      </c>
      <c r="AM137" s="211">
        <f t="shared" si="106"/>
        <v>0</v>
      </c>
      <c r="AN137" s="211">
        <f t="shared" si="106"/>
        <v>0</v>
      </c>
    </row>
    <row r="138" spans="2:40" s="7" customFormat="1" ht="12" hidden="1" customHeight="1" outlineLevel="1">
      <c r="B138" s="245"/>
      <c r="C138" s="213" t="s">
        <v>778</v>
      </c>
      <c r="D138" s="213"/>
      <c r="E138" s="213"/>
      <c r="F138" s="213"/>
      <c r="G138" s="213"/>
      <c r="H138" s="213"/>
      <c r="I138" s="213"/>
      <c r="J138" s="213"/>
      <c r="K138" s="213"/>
      <c r="L138" s="213"/>
      <c r="M138" s="213"/>
      <c r="N138" s="213"/>
      <c r="O138" s="213"/>
      <c r="P138" s="213"/>
      <c r="Q138" s="213"/>
      <c r="R138" s="213"/>
      <c r="S138" s="213"/>
      <c r="T138" s="213"/>
      <c r="U138" s="213"/>
      <c r="V138" s="213"/>
      <c r="W138" s="213"/>
      <c r="X138" s="213"/>
      <c r="Y138" s="213"/>
      <c r="Z138" s="213"/>
      <c r="AA138" s="213"/>
      <c r="AB138" s="211"/>
      <c r="AC138" s="211"/>
      <c r="AD138" s="211">
        <f>INDEX($C$44:$AN$66,MATCH("New Customers 1MS",$C$44:$C$66,0),MATCH($C138,$C$44:$AN$44,0))</f>
        <v>0</v>
      </c>
      <c r="AE138" s="211">
        <f>$AD$138*(1-E111)</f>
        <v>0</v>
      </c>
      <c r="AF138" s="211">
        <f t="shared" ref="AF138:AN138" si="107">$AD$138*(1-F111)</f>
        <v>0</v>
      </c>
      <c r="AG138" s="211">
        <f t="shared" si="107"/>
        <v>0</v>
      </c>
      <c r="AH138" s="211">
        <f t="shared" si="107"/>
        <v>0</v>
      </c>
      <c r="AI138" s="211">
        <f t="shared" si="107"/>
        <v>0</v>
      </c>
      <c r="AJ138" s="211">
        <f t="shared" si="107"/>
        <v>0</v>
      </c>
      <c r="AK138" s="211">
        <f t="shared" si="107"/>
        <v>0</v>
      </c>
      <c r="AL138" s="211">
        <f t="shared" si="107"/>
        <v>0</v>
      </c>
      <c r="AM138" s="211">
        <f t="shared" si="107"/>
        <v>0</v>
      </c>
      <c r="AN138" s="211">
        <f t="shared" si="107"/>
        <v>0</v>
      </c>
    </row>
    <row r="139" spans="2:40" s="7" customFormat="1" ht="12" hidden="1" customHeight="1" outlineLevel="1">
      <c r="B139" s="245"/>
      <c r="C139" s="213" t="s">
        <v>779</v>
      </c>
      <c r="D139" s="213"/>
      <c r="E139" s="213"/>
      <c r="F139" s="213"/>
      <c r="G139" s="213"/>
      <c r="H139" s="213"/>
      <c r="I139" s="213"/>
      <c r="J139" s="213"/>
      <c r="K139" s="213"/>
      <c r="L139" s="213"/>
      <c r="M139" s="213"/>
      <c r="N139" s="213"/>
      <c r="O139" s="213"/>
      <c r="P139" s="213"/>
      <c r="Q139" s="213"/>
      <c r="R139" s="213"/>
      <c r="S139" s="213"/>
      <c r="T139" s="213"/>
      <c r="U139" s="213"/>
      <c r="V139" s="213"/>
      <c r="W139" s="213"/>
      <c r="X139" s="213"/>
      <c r="Y139" s="213"/>
      <c r="Z139" s="213"/>
      <c r="AA139" s="213"/>
      <c r="AB139" s="211"/>
      <c r="AC139" s="211"/>
      <c r="AD139" s="211"/>
      <c r="AE139" s="211">
        <f>INDEX($C$44:$AN$66,MATCH("New Customers 1MS",$C$44:$C$66,0),MATCH($C139,$C$44:$AN$44,0))</f>
        <v>0</v>
      </c>
      <c r="AF139" s="211">
        <f>$AE$139*(1-E111)</f>
        <v>0</v>
      </c>
      <c r="AG139" s="211">
        <f t="shared" ref="AG139:AM139" si="108">$AE$139*(1-F111)</f>
        <v>0</v>
      </c>
      <c r="AH139" s="211">
        <f t="shared" si="108"/>
        <v>0</v>
      </c>
      <c r="AI139" s="211">
        <f t="shared" si="108"/>
        <v>0</v>
      </c>
      <c r="AJ139" s="211">
        <f t="shared" si="108"/>
        <v>0</v>
      </c>
      <c r="AK139" s="211">
        <f t="shared" si="108"/>
        <v>0</v>
      </c>
      <c r="AL139" s="211">
        <f t="shared" si="108"/>
        <v>0</v>
      </c>
      <c r="AM139" s="211">
        <f t="shared" si="108"/>
        <v>0</v>
      </c>
      <c r="AN139" s="211">
        <f t="shared" ref="AN139" si="109">AM139*(1-M111)</f>
        <v>0</v>
      </c>
    </row>
    <row r="140" spans="2:40" s="7" customFormat="1" ht="12" hidden="1" customHeight="1" outlineLevel="1">
      <c r="B140" s="245"/>
      <c r="C140" s="213" t="s">
        <v>780</v>
      </c>
      <c r="D140" s="213"/>
      <c r="E140" s="213"/>
      <c r="F140" s="213"/>
      <c r="G140" s="213"/>
      <c r="H140" s="213"/>
      <c r="I140" s="213"/>
      <c r="J140" s="213"/>
      <c r="K140" s="213"/>
      <c r="L140" s="213"/>
      <c r="M140" s="213"/>
      <c r="N140" s="213"/>
      <c r="O140" s="213"/>
      <c r="P140" s="213"/>
      <c r="Q140" s="213"/>
      <c r="R140" s="213"/>
      <c r="S140" s="213"/>
      <c r="T140" s="213"/>
      <c r="U140" s="213"/>
      <c r="V140" s="213"/>
      <c r="W140" s="213"/>
      <c r="X140" s="213"/>
      <c r="Y140" s="213"/>
      <c r="Z140" s="213"/>
      <c r="AA140" s="213"/>
      <c r="AB140" s="211"/>
      <c r="AC140" s="211"/>
      <c r="AD140" s="211"/>
      <c r="AE140" s="211"/>
      <c r="AF140" s="211">
        <f>INDEX($C$44:$AN$66,MATCH("New Customers 1MS",$C$44:$C$66,0),MATCH($C140,$C$44:$AN$44,0))</f>
        <v>0</v>
      </c>
      <c r="AG140" s="211">
        <f>$AF$140*(1-E111)</f>
        <v>0</v>
      </c>
      <c r="AH140" s="211">
        <f t="shared" ref="AH140:AM140" si="110">$AF$140*(1-F111)</f>
        <v>0</v>
      </c>
      <c r="AI140" s="211">
        <f t="shared" si="110"/>
        <v>0</v>
      </c>
      <c r="AJ140" s="211">
        <f t="shared" si="110"/>
        <v>0</v>
      </c>
      <c r="AK140" s="211">
        <f t="shared" si="110"/>
        <v>0</v>
      </c>
      <c r="AL140" s="211">
        <f t="shared" si="110"/>
        <v>0</v>
      </c>
      <c r="AM140" s="211">
        <f t="shared" si="110"/>
        <v>0</v>
      </c>
      <c r="AN140" s="211">
        <f t="shared" ref="AN140" si="111">AM140*(1-L111)</f>
        <v>0</v>
      </c>
    </row>
    <row r="141" spans="2:40" s="7" customFormat="1" ht="12" hidden="1" customHeight="1" outlineLevel="1">
      <c r="B141" s="245"/>
      <c r="C141" s="213" t="s">
        <v>781</v>
      </c>
      <c r="D141" s="213"/>
      <c r="E141" s="213"/>
      <c r="F141" s="213"/>
      <c r="G141" s="213"/>
      <c r="H141" s="213"/>
      <c r="I141" s="213"/>
      <c r="J141" s="213"/>
      <c r="K141" s="213"/>
      <c r="L141" s="213"/>
      <c r="M141" s="213"/>
      <c r="N141" s="213"/>
      <c r="O141" s="213"/>
      <c r="P141" s="213"/>
      <c r="Q141" s="213"/>
      <c r="R141" s="213"/>
      <c r="S141" s="213"/>
      <c r="T141" s="213"/>
      <c r="U141" s="213"/>
      <c r="V141" s="213"/>
      <c r="W141" s="213"/>
      <c r="X141" s="213"/>
      <c r="Y141" s="213"/>
      <c r="Z141" s="213"/>
      <c r="AA141" s="213"/>
      <c r="AB141" s="211"/>
      <c r="AC141" s="211"/>
      <c r="AD141" s="211"/>
      <c r="AE141" s="211"/>
      <c r="AF141" s="211"/>
      <c r="AG141" s="211">
        <f>INDEX($C$44:$AN$66,MATCH("New Customers 1MS",$C$44:$C$66,0),MATCH($C141,$C$44:$AN$44,0))</f>
        <v>0</v>
      </c>
      <c r="AH141" s="211">
        <f>$AG$141*(1-E111)</f>
        <v>0</v>
      </c>
      <c r="AI141" s="211">
        <f t="shared" ref="AI141:AN141" si="112">$AG$141*(1-F111)</f>
        <v>0</v>
      </c>
      <c r="AJ141" s="211">
        <f t="shared" si="112"/>
        <v>0</v>
      </c>
      <c r="AK141" s="211">
        <f t="shared" si="112"/>
        <v>0</v>
      </c>
      <c r="AL141" s="211">
        <f t="shared" si="112"/>
        <v>0</v>
      </c>
      <c r="AM141" s="211">
        <f t="shared" si="112"/>
        <v>0</v>
      </c>
      <c r="AN141" s="211">
        <f t="shared" si="112"/>
        <v>0</v>
      </c>
    </row>
    <row r="142" spans="2:40" s="7" customFormat="1" ht="12" hidden="1" customHeight="1" outlineLevel="1">
      <c r="B142" s="245"/>
      <c r="C142" s="213" t="s">
        <v>782</v>
      </c>
      <c r="D142" s="213"/>
      <c r="E142" s="213"/>
      <c r="F142" s="213"/>
      <c r="G142" s="213"/>
      <c r="H142" s="213"/>
      <c r="I142" s="213"/>
      <c r="J142" s="213"/>
      <c r="K142" s="213"/>
      <c r="L142" s="213"/>
      <c r="M142" s="213"/>
      <c r="N142" s="213"/>
      <c r="O142" s="213"/>
      <c r="P142" s="213"/>
      <c r="Q142" s="213"/>
      <c r="R142" s="213"/>
      <c r="S142" s="213"/>
      <c r="T142" s="213"/>
      <c r="U142" s="213"/>
      <c r="V142" s="213"/>
      <c r="W142" s="213"/>
      <c r="X142" s="213"/>
      <c r="Y142" s="213"/>
      <c r="Z142" s="213"/>
      <c r="AA142" s="213"/>
      <c r="AB142" s="211"/>
      <c r="AC142" s="211"/>
      <c r="AD142" s="211"/>
      <c r="AE142" s="211"/>
      <c r="AF142" s="211"/>
      <c r="AG142" s="211"/>
      <c r="AH142" s="211">
        <f>INDEX($C$44:$AN$66,MATCH("New Customers 1MS",$C$44:$C$66,0),MATCH($C142,$C$44:$AN$44,0))</f>
        <v>0</v>
      </c>
      <c r="AI142" s="211">
        <f>$AH$142*(1-E111)</f>
        <v>0</v>
      </c>
      <c r="AJ142" s="211">
        <f t="shared" ref="AJ142:AN142" si="113">$AH$142*(1-F111)</f>
        <v>0</v>
      </c>
      <c r="AK142" s="211">
        <f t="shared" si="113"/>
        <v>0</v>
      </c>
      <c r="AL142" s="211">
        <f t="shared" si="113"/>
        <v>0</v>
      </c>
      <c r="AM142" s="211">
        <f t="shared" si="113"/>
        <v>0</v>
      </c>
      <c r="AN142" s="211">
        <f t="shared" si="113"/>
        <v>0</v>
      </c>
    </row>
    <row r="143" spans="2:40" s="7" customFormat="1" ht="12" hidden="1" customHeight="1" outlineLevel="1">
      <c r="B143" s="245"/>
      <c r="C143" s="213" t="s">
        <v>783</v>
      </c>
      <c r="D143" s="213"/>
      <c r="E143" s="213"/>
      <c r="F143" s="213"/>
      <c r="G143" s="213"/>
      <c r="H143" s="213"/>
      <c r="I143" s="213"/>
      <c r="J143" s="213"/>
      <c r="K143" s="213"/>
      <c r="L143" s="213"/>
      <c r="M143" s="213"/>
      <c r="N143" s="213"/>
      <c r="O143" s="213"/>
      <c r="P143" s="213"/>
      <c r="Q143" s="213"/>
      <c r="R143" s="213"/>
      <c r="S143" s="213"/>
      <c r="T143" s="213"/>
      <c r="U143" s="213"/>
      <c r="V143" s="213"/>
      <c r="W143" s="213"/>
      <c r="X143" s="213"/>
      <c r="Y143" s="213"/>
      <c r="Z143" s="213"/>
      <c r="AA143" s="213"/>
      <c r="AB143" s="211"/>
      <c r="AC143" s="211"/>
      <c r="AD143" s="211"/>
      <c r="AE143" s="211"/>
      <c r="AF143" s="211"/>
      <c r="AG143" s="211"/>
      <c r="AH143" s="211"/>
      <c r="AI143" s="211">
        <f>INDEX($C$44:$AN$66,MATCH("New Customers 1MS",$C$44:$C$66,0),MATCH($C143,$C$44:$AN$44,0))</f>
        <v>0</v>
      </c>
      <c r="AJ143" s="211">
        <f>$AI$143*(1-E111)</f>
        <v>0</v>
      </c>
      <c r="AK143" s="211">
        <f t="shared" ref="AK143:AN143" si="114">$AI$143*(1-F111)</f>
        <v>0</v>
      </c>
      <c r="AL143" s="211">
        <f t="shared" si="114"/>
        <v>0</v>
      </c>
      <c r="AM143" s="211">
        <f t="shared" si="114"/>
        <v>0</v>
      </c>
      <c r="AN143" s="211">
        <f t="shared" si="114"/>
        <v>0</v>
      </c>
    </row>
    <row r="144" spans="2:40" s="7" customFormat="1" ht="12" hidden="1" customHeight="1" outlineLevel="1">
      <c r="B144" s="245"/>
      <c r="C144" s="213" t="s">
        <v>784</v>
      </c>
      <c r="D144" s="213"/>
      <c r="E144" s="213"/>
      <c r="F144" s="213"/>
      <c r="G144" s="213"/>
      <c r="H144" s="213"/>
      <c r="I144" s="213"/>
      <c r="J144" s="213"/>
      <c r="K144" s="213"/>
      <c r="L144" s="213"/>
      <c r="M144" s="213"/>
      <c r="N144" s="213"/>
      <c r="O144" s="213"/>
      <c r="P144" s="213"/>
      <c r="Q144" s="213"/>
      <c r="R144" s="213"/>
      <c r="S144" s="213"/>
      <c r="T144" s="213"/>
      <c r="U144" s="213"/>
      <c r="V144" s="213"/>
      <c r="W144" s="213"/>
      <c r="X144" s="213"/>
      <c r="Y144" s="213"/>
      <c r="Z144" s="213"/>
      <c r="AA144" s="213"/>
      <c r="AB144" s="211"/>
      <c r="AC144" s="211"/>
      <c r="AD144" s="211"/>
      <c r="AE144" s="211"/>
      <c r="AF144" s="211"/>
      <c r="AG144" s="211"/>
      <c r="AH144" s="211"/>
      <c r="AI144" s="211"/>
      <c r="AJ144" s="211">
        <f>INDEX($C$44:$AN$66,MATCH("New Customers 1MS",$C$44:$C$66,0),MATCH($C144,$C$44:$AN$44,0))</f>
        <v>0</v>
      </c>
      <c r="AK144" s="211">
        <f>$AJ$144*(1-E111)</f>
        <v>0</v>
      </c>
      <c r="AL144" s="211">
        <f t="shared" ref="AL144:AN144" si="115">$AJ$144*(1-F111)</f>
        <v>0</v>
      </c>
      <c r="AM144" s="211">
        <f t="shared" si="115"/>
        <v>0</v>
      </c>
      <c r="AN144" s="211">
        <f t="shared" si="115"/>
        <v>0</v>
      </c>
    </row>
    <row r="145" spans="2:41" s="7" customFormat="1" ht="12" hidden="1" customHeight="1" outlineLevel="1">
      <c r="B145" s="245"/>
      <c r="C145" s="213" t="s">
        <v>785</v>
      </c>
      <c r="D145" s="213"/>
      <c r="E145" s="213"/>
      <c r="F145" s="213"/>
      <c r="G145" s="213"/>
      <c r="H145" s="213"/>
      <c r="I145" s="213"/>
      <c r="J145" s="213"/>
      <c r="K145" s="213"/>
      <c r="L145" s="213"/>
      <c r="M145" s="213"/>
      <c r="N145" s="213"/>
      <c r="O145" s="213"/>
      <c r="P145" s="213"/>
      <c r="Q145" s="213"/>
      <c r="R145" s="213"/>
      <c r="S145" s="213"/>
      <c r="T145" s="213"/>
      <c r="U145" s="213"/>
      <c r="V145" s="213"/>
      <c r="W145" s="213"/>
      <c r="X145" s="213"/>
      <c r="Y145" s="213"/>
      <c r="Z145" s="213"/>
      <c r="AA145" s="213"/>
      <c r="AB145" s="211"/>
      <c r="AC145" s="211"/>
      <c r="AD145" s="211"/>
      <c r="AE145" s="211"/>
      <c r="AF145" s="211"/>
      <c r="AG145" s="211"/>
      <c r="AH145" s="211"/>
      <c r="AI145" s="211"/>
      <c r="AJ145" s="211"/>
      <c r="AK145" s="211">
        <f>INDEX($C$44:$AN$66,MATCH("New Customers 1MS",$C$44:$C$66,0),MATCH($C145,$C$44:$AN$44,0))</f>
        <v>0</v>
      </c>
      <c r="AL145" s="211">
        <f>$AK$145*(1-E111)</f>
        <v>0</v>
      </c>
      <c r="AM145" s="211">
        <f t="shared" ref="AM145:AN145" si="116">$AK$145*(1-F111)</f>
        <v>0</v>
      </c>
      <c r="AN145" s="211">
        <f t="shared" si="116"/>
        <v>0</v>
      </c>
    </row>
    <row r="146" spans="2:41" s="7" customFormat="1" ht="12" hidden="1" customHeight="1" outlineLevel="1">
      <c r="B146" s="245"/>
      <c r="C146" s="213" t="s">
        <v>786</v>
      </c>
      <c r="D146" s="213"/>
      <c r="E146" s="213"/>
      <c r="F146" s="213"/>
      <c r="G146" s="213"/>
      <c r="H146" s="213"/>
      <c r="I146" s="213"/>
      <c r="J146" s="213"/>
      <c r="K146" s="213"/>
      <c r="L146" s="213"/>
      <c r="M146" s="213"/>
      <c r="N146" s="213"/>
      <c r="O146" s="213"/>
      <c r="P146" s="213"/>
      <c r="Q146" s="213"/>
      <c r="R146" s="213"/>
      <c r="S146" s="213"/>
      <c r="T146" s="213"/>
      <c r="U146" s="213"/>
      <c r="V146" s="213"/>
      <c r="W146" s="213"/>
      <c r="X146" s="213"/>
      <c r="Y146" s="213"/>
      <c r="Z146" s="213"/>
      <c r="AA146" s="213"/>
      <c r="AB146" s="211"/>
      <c r="AC146" s="211"/>
      <c r="AD146" s="211"/>
      <c r="AE146" s="211"/>
      <c r="AF146" s="211"/>
      <c r="AG146" s="211"/>
      <c r="AH146" s="211"/>
      <c r="AI146" s="211"/>
      <c r="AJ146" s="211"/>
      <c r="AK146" s="211"/>
      <c r="AL146" s="211">
        <f>INDEX($C$44:$AN$66,MATCH("New Customers 1MS",$C$44:$C$66,0),MATCH($C146,$C$44:$AN$44,0))</f>
        <v>0</v>
      </c>
      <c r="AM146" s="211">
        <f>$AL$146*(1-E111)</f>
        <v>0</v>
      </c>
      <c r="AN146" s="211">
        <f>$AL$146*(1-F111)</f>
        <v>0</v>
      </c>
    </row>
    <row r="147" spans="2:41" s="7" customFormat="1" ht="12" hidden="1" customHeight="1" outlineLevel="1">
      <c r="B147" s="245"/>
      <c r="C147" s="213" t="s">
        <v>787</v>
      </c>
      <c r="D147" s="213"/>
      <c r="E147" s="213"/>
      <c r="F147" s="213"/>
      <c r="G147" s="213"/>
      <c r="H147" s="213"/>
      <c r="I147" s="213"/>
      <c r="J147" s="213"/>
      <c r="K147" s="213"/>
      <c r="L147" s="213"/>
      <c r="M147" s="213"/>
      <c r="N147" s="213"/>
      <c r="O147" s="213"/>
      <c r="P147" s="213"/>
      <c r="Q147" s="213"/>
      <c r="R147" s="213"/>
      <c r="S147" s="213"/>
      <c r="T147" s="213"/>
      <c r="U147" s="213"/>
      <c r="V147" s="213"/>
      <c r="W147" s="213"/>
      <c r="X147" s="213"/>
      <c r="Y147" s="213"/>
      <c r="Z147" s="213"/>
      <c r="AA147" s="213"/>
      <c r="AB147" s="211"/>
      <c r="AC147" s="211"/>
      <c r="AD147" s="211"/>
      <c r="AE147" s="211"/>
      <c r="AF147" s="211"/>
      <c r="AG147" s="211"/>
      <c r="AH147" s="211"/>
      <c r="AI147" s="211"/>
      <c r="AJ147" s="211"/>
      <c r="AK147" s="211"/>
      <c r="AL147" s="211"/>
      <c r="AM147" s="211">
        <f>INDEX($C$44:$AN$66,MATCH("New Customers 1MS",$C$44:$C$66,0),MATCH($C147,$C$44:$AN$44,0))</f>
        <v>0</v>
      </c>
      <c r="AN147" s="211">
        <f>$AM$147*(1-E111)</f>
        <v>0</v>
      </c>
    </row>
    <row r="148" spans="2:41" s="7" customFormat="1" ht="12" hidden="1" customHeight="1" outlineLevel="1">
      <c r="B148" s="245"/>
      <c r="C148" s="213" t="s">
        <v>788</v>
      </c>
      <c r="D148" s="213"/>
      <c r="E148" s="213"/>
      <c r="F148" s="213"/>
      <c r="G148" s="213"/>
      <c r="H148" s="213"/>
      <c r="I148" s="213"/>
      <c r="J148" s="213"/>
      <c r="K148" s="213"/>
      <c r="L148" s="213"/>
      <c r="M148" s="213"/>
      <c r="N148" s="213"/>
      <c r="O148" s="213"/>
      <c r="P148" s="213"/>
      <c r="Q148" s="213"/>
      <c r="R148" s="213"/>
      <c r="S148" s="213"/>
      <c r="T148" s="213"/>
      <c r="U148" s="213"/>
      <c r="V148" s="213"/>
      <c r="W148" s="213"/>
      <c r="X148" s="213"/>
      <c r="Y148" s="213"/>
      <c r="Z148" s="213"/>
      <c r="AA148" s="213"/>
      <c r="AB148" s="211"/>
      <c r="AC148" s="211"/>
      <c r="AD148" s="211"/>
      <c r="AE148" s="211"/>
      <c r="AF148" s="211"/>
      <c r="AG148" s="211"/>
      <c r="AH148" s="211"/>
      <c r="AI148" s="211"/>
      <c r="AJ148" s="211"/>
      <c r="AK148" s="211"/>
      <c r="AL148" s="211"/>
      <c r="AM148" s="211"/>
      <c r="AN148" s="211">
        <f>INDEX($C$44:$AN$66,MATCH("New Customers 1MS",$C$44:$C$66,0),MATCH($C148,$C$44:$AN$44,0))</f>
        <v>0</v>
      </c>
    </row>
    <row r="149" spans="2:41" s="7" customFormat="1" ht="12" hidden="1" customHeight="1" outlineLevel="1">
      <c r="B149" s="245"/>
      <c r="C149" s="213"/>
      <c r="D149" s="213"/>
      <c r="E149" s="213"/>
      <c r="F149" s="213"/>
      <c r="G149" s="213"/>
      <c r="H149" s="213"/>
      <c r="I149" s="213"/>
      <c r="J149" s="213"/>
      <c r="K149" s="213"/>
      <c r="L149" s="213"/>
      <c r="M149" s="213"/>
      <c r="N149" s="213"/>
      <c r="O149" s="213"/>
      <c r="P149" s="213"/>
      <c r="Q149" s="213"/>
      <c r="R149" s="213"/>
      <c r="S149" s="213"/>
      <c r="T149" s="213"/>
      <c r="U149" s="213"/>
      <c r="V149" s="213"/>
      <c r="W149" s="213"/>
      <c r="X149" s="213"/>
      <c r="Y149" s="213"/>
      <c r="Z149" s="213"/>
      <c r="AA149" s="213"/>
      <c r="AB149" s="211"/>
      <c r="AC149" s="211"/>
      <c r="AD149" s="211"/>
      <c r="AE149" s="211"/>
      <c r="AF149" s="211"/>
      <c r="AG149" s="211"/>
      <c r="AH149" s="211"/>
      <c r="AI149" s="211"/>
      <c r="AJ149" s="211"/>
      <c r="AK149" s="211"/>
      <c r="AL149" s="211"/>
      <c r="AM149" s="211"/>
      <c r="AN149" s="211"/>
    </row>
    <row r="150" spans="2:41" s="7" customFormat="1" ht="12" hidden="1" customHeight="1" outlineLevel="1">
      <c r="B150" s="245"/>
      <c r="C150" s="213"/>
      <c r="D150" s="213"/>
      <c r="E150" s="213"/>
      <c r="F150" s="213"/>
      <c r="G150" s="213"/>
      <c r="H150" s="213"/>
      <c r="I150" s="213"/>
      <c r="J150" s="213"/>
      <c r="K150" s="213"/>
      <c r="L150" s="213"/>
      <c r="M150" s="213"/>
      <c r="N150" s="213"/>
      <c r="O150" s="213"/>
      <c r="P150" s="213"/>
      <c r="Q150" s="213"/>
      <c r="R150" s="213"/>
      <c r="S150" s="213"/>
      <c r="T150" s="213"/>
      <c r="U150" s="213"/>
      <c r="V150" s="213"/>
      <c r="W150" s="213"/>
      <c r="X150" s="213"/>
      <c r="Y150" s="213"/>
      <c r="Z150" s="213"/>
      <c r="AA150" s="213"/>
      <c r="AB150" s="211"/>
      <c r="AC150" s="211"/>
      <c r="AD150" s="211"/>
      <c r="AE150" s="211"/>
      <c r="AF150" s="211"/>
      <c r="AG150" s="211"/>
      <c r="AH150" s="211"/>
      <c r="AI150" s="211"/>
      <c r="AJ150" s="211"/>
      <c r="AK150" s="211"/>
      <c r="AL150" s="211"/>
      <c r="AM150" s="211"/>
      <c r="AN150" s="211"/>
    </row>
    <row r="151" spans="2:41" s="7" customFormat="1" ht="12" hidden="1" customHeight="1" outlineLevel="1">
      <c r="B151" s="245"/>
      <c r="C151" s="243" t="s">
        <v>854</v>
      </c>
      <c r="D151" s="213"/>
      <c r="E151" s="213"/>
      <c r="F151" s="213"/>
      <c r="G151" s="213"/>
      <c r="H151" s="213"/>
      <c r="I151" s="213"/>
      <c r="J151" s="213"/>
      <c r="K151" s="213"/>
      <c r="L151" s="213"/>
      <c r="M151" s="213"/>
      <c r="N151" s="213"/>
      <c r="O151" s="213"/>
      <c r="P151" s="213"/>
      <c r="Q151" s="213"/>
      <c r="R151" s="213"/>
      <c r="S151" s="213"/>
      <c r="T151" s="213"/>
      <c r="U151" s="213"/>
      <c r="V151" s="213"/>
      <c r="W151" s="213"/>
      <c r="X151" s="213"/>
      <c r="Y151" s="213"/>
      <c r="Z151" s="213"/>
      <c r="AA151" s="213"/>
      <c r="AB151" s="213"/>
      <c r="AC151" s="211"/>
    </row>
    <row r="152" spans="2:41" s="7" customFormat="1" ht="12" hidden="1" customHeight="1" outlineLevel="1">
      <c r="B152" s="239"/>
      <c r="C152" s="214" t="s">
        <v>850</v>
      </c>
      <c r="D152" s="214"/>
      <c r="E152" s="196" t="s">
        <v>753</v>
      </c>
      <c r="F152" s="196" t="s">
        <v>754</v>
      </c>
      <c r="G152" s="196" t="s">
        <v>755</v>
      </c>
      <c r="H152" s="196" t="s">
        <v>756</v>
      </c>
      <c r="I152" s="196" t="s">
        <v>757</v>
      </c>
      <c r="J152" s="196" t="s">
        <v>758</v>
      </c>
      <c r="K152" s="196" t="s">
        <v>759</v>
      </c>
      <c r="L152" s="196" t="s">
        <v>760</v>
      </c>
      <c r="M152" s="196" t="s">
        <v>761</v>
      </c>
      <c r="N152" s="196" t="s">
        <v>762</v>
      </c>
      <c r="O152" s="196" t="s">
        <v>763</v>
      </c>
      <c r="P152" s="196" t="s">
        <v>764</v>
      </c>
      <c r="Q152" s="196" t="s">
        <v>765</v>
      </c>
      <c r="R152" s="196" t="s">
        <v>766</v>
      </c>
      <c r="S152" s="196" t="s">
        <v>767</v>
      </c>
      <c r="T152" s="196" t="s">
        <v>768</v>
      </c>
      <c r="U152" s="196" t="s">
        <v>769</v>
      </c>
      <c r="V152" s="196" t="s">
        <v>770</v>
      </c>
      <c r="W152" s="196" t="s">
        <v>771</v>
      </c>
      <c r="X152" s="196" t="s">
        <v>772</v>
      </c>
      <c r="Y152" s="196" t="s">
        <v>773</v>
      </c>
      <c r="Z152" s="196" t="s">
        <v>774</v>
      </c>
      <c r="AA152" s="196" t="s">
        <v>775</v>
      </c>
      <c r="AB152" s="196" t="s">
        <v>776</v>
      </c>
      <c r="AC152" s="196" t="s">
        <v>777</v>
      </c>
      <c r="AD152" s="196" t="s">
        <v>778</v>
      </c>
      <c r="AE152" s="196" t="s">
        <v>779</v>
      </c>
      <c r="AF152" s="196" t="s">
        <v>780</v>
      </c>
      <c r="AG152" s="196" t="s">
        <v>781</v>
      </c>
      <c r="AH152" s="196" t="s">
        <v>782</v>
      </c>
      <c r="AI152" s="196" t="s">
        <v>783</v>
      </c>
      <c r="AJ152" s="196" t="s">
        <v>784</v>
      </c>
      <c r="AK152" s="196" t="s">
        <v>785</v>
      </c>
      <c r="AL152" s="196" t="s">
        <v>786</v>
      </c>
      <c r="AM152" s="196" t="s">
        <v>787</v>
      </c>
      <c r="AN152" s="196" t="s">
        <v>788</v>
      </c>
    </row>
    <row r="153" spans="2:41" s="7" customFormat="1" ht="12" hidden="1" customHeight="1" outlineLevel="2">
      <c r="B153" s="239"/>
      <c r="C153" s="247" t="s">
        <v>851</v>
      </c>
      <c r="D153" s="212"/>
      <c r="E153" s="345">
        <v>0.9</v>
      </c>
      <c r="F153" s="342"/>
      <c r="G153" s="342"/>
      <c r="H153" s="345">
        <v>0.6</v>
      </c>
      <c r="I153" s="342"/>
      <c r="J153" s="342"/>
      <c r="K153" s="345">
        <v>0.4</v>
      </c>
      <c r="L153" s="342"/>
      <c r="M153" s="342"/>
      <c r="N153" s="345">
        <v>0.2</v>
      </c>
      <c r="O153" s="342"/>
      <c r="P153" s="342"/>
      <c r="Q153" s="345">
        <v>0.15</v>
      </c>
      <c r="R153" s="342"/>
      <c r="S153" s="342"/>
      <c r="T153" s="345">
        <v>0.1</v>
      </c>
      <c r="U153" s="342"/>
      <c r="V153" s="342"/>
      <c r="W153" s="345">
        <v>0.08</v>
      </c>
      <c r="X153" s="342"/>
      <c r="Y153" s="342"/>
      <c r="Z153" s="345">
        <v>7.0000000000000007E-2</v>
      </c>
      <c r="AA153" s="342"/>
      <c r="AB153" s="342"/>
      <c r="AC153" s="345">
        <v>0.05</v>
      </c>
      <c r="AD153" s="342"/>
      <c r="AE153" s="342"/>
      <c r="AF153" s="345">
        <v>0.04</v>
      </c>
      <c r="AG153" s="342"/>
      <c r="AH153" s="342"/>
      <c r="AI153" s="345">
        <v>0.02</v>
      </c>
      <c r="AJ153" s="342"/>
      <c r="AK153" s="342"/>
      <c r="AL153" s="345">
        <v>0.01</v>
      </c>
      <c r="AM153" s="342"/>
      <c r="AN153" s="342"/>
    </row>
    <row r="154" spans="2:41" s="7" customFormat="1" ht="12" hidden="1" customHeight="1" outlineLevel="1">
      <c r="B154" s="239"/>
      <c r="C154" s="214" t="s">
        <v>852</v>
      </c>
      <c r="D154" s="212"/>
      <c r="E154" s="211">
        <f>86*66%</f>
        <v>56.760000000000005</v>
      </c>
      <c r="F154" s="211">
        <f>69-28</f>
        <v>41</v>
      </c>
      <c r="G154" s="211">
        <f>111-28</f>
        <v>83</v>
      </c>
      <c r="H154" s="211">
        <f>E154*0.98-27</f>
        <v>28.6248</v>
      </c>
      <c r="I154" s="211">
        <f>F154*0.98-40</f>
        <v>0.17999999999999972</v>
      </c>
      <c r="J154" s="211">
        <f t="shared" ref="J154:AN154" si="117">G154*0.98</f>
        <v>81.34</v>
      </c>
      <c r="K154" s="211">
        <f t="shared" si="117"/>
        <v>28.052303999999999</v>
      </c>
      <c r="L154" s="211">
        <f t="shared" si="117"/>
        <v>0.17639999999999972</v>
      </c>
      <c r="M154" s="211">
        <f t="shared" si="117"/>
        <v>79.713200000000001</v>
      </c>
      <c r="N154" s="211">
        <f t="shared" si="117"/>
        <v>27.491257919999999</v>
      </c>
      <c r="O154" s="211">
        <f t="shared" si="117"/>
        <v>0.17287199999999972</v>
      </c>
      <c r="P154" s="211">
        <f t="shared" si="117"/>
        <v>78.118936000000005</v>
      </c>
      <c r="Q154" s="211">
        <f t="shared" si="117"/>
        <v>26.941432761599998</v>
      </c>
      <c r="R154" s="211">
        <f t="shared" si="117"/>
        <v>0.16941455999999971</v>
      </c>
      <c r="S154" s="211">
        <f t="shared" si="117"/>
        <v>76.556557280000007</v>
      </c>
      <c r="T154" s="211">
        <f t="shared" si="117"/>
        <v>26.402604106367999</v>
      </c>
      <c r="U154" s="211">
        <f t="shared" si="117"/>
        <v>0.16602626879999971</v>
      </c>
      <c r="V154" s="211">
        <f t="shared" si="117"/>
        <v>75.025426134400007</v>
      </c>
      <c r="W154" s="211">
        <f t="shared" si="117"/>
        <v>25.874552024240639</v>
      </c>
      <c r="X154" s="211">
        <f t="shared" si="117"/>
        <v>0.16270574342399971</v>
      </c>
      <c r="Y154" s="211">
        <f t="shared" si="117"/>
        <v>73.524917611711999</v>
      </c>
      <c r="Z154" s="211">
        <f t="shared" si="117"/>
        <v>25.357060983755826</v>
      </c>
      <c r="AA154" s="211">
        <f t="shared" si="117"/>
        <v>0.15945162855551973</v>
      </c>
      <c r="AB154" s="211">
        <f t="shared" si="117"/>
        <v>72.054419259477754</v>
      </c>
      <c r="AC154" s="211">
        <f t="shared" si="117"/>
        <v>24.84991976408071</v>
      </c>
      <c r="AD154" s="211">
        <f t="shared" si="117"/>
        <v>0.15626259598440934</v>
      </c>
      <c r="AE154" s="211">
        <f t="shared" si="117"/>
        <v>70.613330874288195</v>
      </c>
      <c r="AF154" s="211">
        <f t="shared" si="117"/>
        <v>24.352921368799095</v>
      </c>
      <c r="AG154" s="211">
        <f t="shared" si="117"/>
        <v>0.15313734406472115</v>
      </c>
      <c r="AH154" s="211">
        <f t="shared" si="117"/>
        <v>69.201064256802425</v>
      </c>
      <c r="AI154" s="211">
        <f t="shared" si="117"/>
        <v>23.865862941423114</v>
      </c>
      <c r="AJ154" s="211">
        <f t="shared" si="117"/>
        <v>0.15007459718342672</v>
      </c>
      <c r="AK154" s="211">
        <f t="shared" si="117"/>
        <v>67.817042971666382</v>
      </c>
      <c r="AL154" s="211">
        <f t="shared" si="117"/>
        <v>23.38854568259465</v>
      </c>
      <c r="AM154" s="211">
        <f t="shared" si="117"/>
        <v>0.1470731052397582</v>
      </c>
      <c r="AN154" s="211">
        <f t="shared" si="117"/>
        <v>66.460702112233051</v>
      </c>
      <c r="AO154" s="211"/>
    </row>
    <row r="155" spans="2:41" s="7" customFormat="1" ht="12" hidden="1" customHeight="1" outlineLevel="1">
      <c r="B155" s="245"/>
      <c r="C155" s="213" t="s">
        <v>753</v>
      </c>
      <c r="D155" s="213"/>
      <c r="E155" s="211">
        <f>INDEX($C$44:$AN$66,MATCH("New Customers 3MS",$C$44:$C$66,0),MATCH($C155,$C$44:$AN$44,0))</f>
        <v>0</v>
      </c>
      <c r="F155" s="211"/>
      <c r="G155" s="211"/>
      <c r="H155" s="211">
        <f>E155*(1-E153)</f>
        <v>0</v>
      </c>
      <c r="I155" s="211"/>
      <c r="J155" s="211"/>
      <c r="K155" s="211">
        <f>$E$155*(1-H153)</f>
        <v>0</v>
      </c>
      <c r="L155" s="211"/>
      <c r="M155" s="211"/>
      <c r="N155" s="211">
        <f>$E$155*(1-K153)</f>
        <v>0</v>
      </c>
      <c r="O155" s="211"/>
      <c r="P155" s="211"/>
      <c r="Q155" s="211">
        <f>$E$155*(1-N153)</f>
        <v>0</v>
      </c>
      <c r="R155" s="211"/>
      <c r="S155" s="211"/>
      <c r="T155" s="211">
        <f>$E$155*(1-Q153)</f>
        <v>0</v>
      </c>
      <c r="U155" s="211"/>
      <c r="V155" s="211"/>
      <c r="W155" s="211">
        <f>$E$155*(1-T153)</f>
        <v>0</v>
      </c>
      <c r="X155" s="211"/>
      <c r="Y155" s="211"/>
      <c r="Z155" s="211">
        <f>$E$155*(1-W153)</f>
        <v>0</v>
      </c>
      <c r="AA155" s="211"/>
      <c r="AB155" s="211"/>
      <c r="AC155" s="211">
        <f>$E$155*(1-Z153)</f>
        <v>0</v>
      </c>
      <c r="AD155" s="211"/>
      <c r="AE155" s="211"/>
      <c r="AF155" s="211">
        <f>$E$155*(1-AC153)</f>
        <v>0</v>
      </c>
      <c r="AG155" s="211"/>
      <c r="AH155" s="211"/>
      <c r="AI155" s="211">
        <f>$E$155*(1-AF153)</f>
        <v>0</v>
      </c>
      <c r="AJ155" s="211"/>
      <c r="AK155" s="211"/>
      <c r="AL155" s="211">
        <f>$E$155*(1-AI153)</f>
        <v>0</v>
      </c>
      <c r="AM155" s="211"/>
      <c r="AN155" s="211"/>
    </row>
    <row r="156" spans="2:41" s="7" customFormat="1" ht="12" hidden="1" customHeight="1" outlineLevel="1">
      <c r="B156" s="245"/>
      <c r="C156" s="213" t="s">
        <v>754</v>
      </c>
      <c r="D156" s="213"/>
      <c r="E156" s="213"/>
      <c r="F156" s="211">
        <f>INDEX($C$44:$AN$66,MATCH("New Customers 3MS",$C$44:$C$66,0),MATCH($C156,$C$44:$AN$44,0))</f>
        <v>0</v>
      </c>
      <c r="G156" s="211"/>
      <c r="H156" s="211"/>
      <c r="I156" s="211">
        <f>$F$156*(1-E153)</f>
        <v>0</v>
      </c>
      <c r="J156" s="211"/>
      <c r="K156" s="211"/>
      <c r="L156" s="211">
        <f>$F$156*(1-H153)</f>
        <v>0</v>
      </c>
      <c r="M156" s="211"/>
      <c r="N156" s="211"/>
      <c r="O156" s="211">
        <f>$F$156*(1-K153)</f>
        <v>0</v>
      </c>
      <c r="P156" s="211"/>
      <c r="Q156" s="211"/>
      <c r="R156" s="211">
        <f>$F$156*(1-N153)</f>
        <v>0</v>
      </c>
      <c r="S156" s="211"/>
      <c r="T156" s="211"/>
      <c r="U156" s="211">
        <f>$F$156*(1-Q153)</f>
        <v>0</v>
      </c>
      <c r="V156" s="211"/>
      <c r="W156" s="211"/>
      <c r="X156" s="211">
        <f>$F$156*(1-T153)</f>
        <v>0</v>
      </c>
      <c r="Y156" s="211"/>
      <c r="Z156" s="211"/>
      <c r="AA156" s="211">
        <f>$F$156*(1-W153)</f>
        <v>0</v>
      </c>
      <c r="AB156" s="211"/>
      <c r="AC156" s="211"/>
      <c r="AD156" s="211">
        <f>$F$156*(1-Z153)</f>
        <v>0</v>
      </c>
      <c r="AE156" s="211"/>
      <c r="AF156" s="211"/>
      <c r="AG156" s="211">
        <f>$F$156*(1-AC153)</f>
        <v>0</v>
      </c>
      <c r="AH156" s="211"/>
      <c r="AI156" s="211"/>
      <c r="AJ156" s="211">
        <f>$F$156*(1-AF153)</f>
        <v>0</v>
      </c>
      <c r="AK156" s="211"/>
      <c r="AL156" s="211"/>
      <c r="AM156" s="211">
        <f>$F$156*(1-AI153)</f>
        <v>0</v>
      </c>
      <c r="AN156" s="211"/>
    </row>
    <row r="157" spans="2:41" s="7" customFormat="1" ht="12" hidden="1" customHeight="1" outlineLevel="1">
      <c r="B157" s="245"/>
      <c r="C157" s="213" t="s">
        <v>755</v>
      </c>
      <c r="D157" s="213"/>
      <c r="E157" s="213"/>
      <c r="F157" s="213"/>
      <c r="G157" s="211">
        <f>INDEX($C$44:$AN$66,MATCH("New Customers 3MS",$C$44:$C$66,0),MATCH($C157,$C$44:$AN$44,0))</f>
        <v>0</v>
      </c>
      <c r="H157" s="211"/>
      <c r="I157" s="211"/>
      <c r="J157" s="211">
        <f>$G$157*(1-E153)</f>
        <v>0</v>
      </c>
      <c r="K157" s="211"/>
      <c r="L157" s="211"/>
      <c r="M157" s="211">
        <f>$G$157*(1-H153)</f>
        <v>0</v>
      </c>
      <c r="N157" s="211"/>
      <c r="O157" s="211"/>
      <c r="P157" s="211">
        <f>$G$157*(1-K153)</f>
        <v>0</v>
      </c>
      <c r="Q157" s="211"/>
      <c r="R157" s="211"/>
      <c r="S157" s="211">
        <f>$G$157*(1-N153)</f>
        <v>0</v>
      </c>
      <c r="T157" s="211"/>
      <c r="U157" s="211"/>
      <c r="V157" s="211">
        <f>$G$157*(1-Q153)</f>
        <v>0</v>
      </c>
      <c r="W157" s="211"/>
      <c r="X157" s="211"/>
      <c r="Y157" s="211">
        <f>$G$157*(1-T153)</f>
        <v>0</v>
      </c>
      <c r="Z157" s="211"/>
      <c r="AA157" s="211"/>
      <c r="AB157" s="211">
        <f>$G$157*(1-W153)</f>
        <v>0</v>
      </c>
      <c r="AC157" s="211"/>
      <c r="AD157" s="211"/>
      <c r="AE157" s="211">
        <f>$G$157*(1-Z153)</f>
        <v>0</v>
      </c>
      <c r="AF157" s="211"/>
      <c r="AG157" s="211"/>
      <c r="AH157" s="211">
        <f>$G$157*(1-AC153)</f>
        <v>0</v>
      </c>
      <c r="AI157" s="211"/>
      <c r="AJ157" s="211"/>
      <c r="AK157" s="211">
        <f>$G$157*(1-AF153)</f>
        <v>0</v>
      </c>
      <c r="AL157" s="211"/>
      <c r="AM157" s="211"/>
      <c r="AN157" s="211">
        <f>$G$157*(1-AI153)</f>
        <v>0</v>
      </c>
    </row>
    <row r="158" spans="2:41" s="7" customFormat="1" ht="12" hidden="1" customHeight="1" outlineLevel="1">
      <c r="B158" s="245"/>
      <c r="C158" s="213" t="s">
        <v>756</v>
      </c>
      <c r="D158" s="213"/>
      <c r="E158" s="213"/>
      <c r="F158" s="213"/>
      <c r="G158" s="213"/>
      <c r="H158" s="211">
        <f>INDEX($C$44:$AN$66,MATCH("New Customers 3MS",$C$44:$C$66,0),MATCH($C158,$C$44:$AN$44,0))</f>
        <v>0</v>
      </c>
      <c r="I158" s="211"/>
      <c r="J158" s="211"/>
      <c r="K158" s="211">
        <f>$H$158*(1-E153)</f>
        <v>0</v>
      </c>
      <c r="L158" s="211"/>
      <c r="M158" s="211"/>
      <c r="N158" s="211">
        <f>$H$158*(1-H153)</f>
        <v>0</v>
      </c>
      <c r="O158" s="211"/>
      <c r="P158" s="211"/>
      <c r="Q158" s="211">
        <f>$H$158*(1-K153)</f>
        <v>0</v>
      </c>
      <c r="R158" s="211"/>
      <c r="S158" s="211"/>
      <c r="T158" s="211">
        <f>$H$158*(1-N153)</f>
        <v>0</v>
      </c>
      <c r="U158" s="211"/>
      <c r="V158" s="211"/>
      <c r="W158" s="211">
        <f>$H$158*(1-Q153)</f>
        <v>0</v>
      </c>
      <c r="X158" s="211"/>
      <c r="Y158" s="211"/>
      <c r="Z158" s="211">
        <f>$H$158*(1-T153)</f>
        <v>0</v>
      </c>
      <c r="AA158" s="211"/>
      <c r="AB158" s="211"/>
      <c r="AC158" s="211">
        <f>$H$158*(1-W153)</f>
        <v>0</v>
      </c>
      <c r="AD158" s="211"/>
      <c r="AE158" s="211"/>
      <c r="AF158" s="211">
        <f>$H$158*(1-Z153)</f>
        <v>0</v>
      </c>
      <c r="AG158" s="211"/>
      <c r="AH158" s="211"/>
      <c r="AI158" s="211">
        <f>$H$158*(1-AC153)</f>
        <v>0</v>
      </c>
      <c r="AJ158" s="211"/>
      <c r="AK158" s="211"/>
      <c r="AL158" s="211">
        <f>$H$158*(1-AF153)</f>
        <v>0</v>
      </c>
      <c r="AM158" s="211"/>
      <c r="AN158" s="211"/>
    </row>
    <row r="159" spans="2:41" s="7" customFormat="1" ht="12" hidden="1" customHeight="1" outlineLevel="1">
      <c r="B159" s="245"/>
      <c r="C159" s="213" t="s">
        <v>757</v>
      </c>
      <c r="D159" s="213"/>
      <c r="E159" s="213"/>
      <c r="F159" s="213"/>
      <c r="G159" s="213"/>
      <c r="H159" s="213"/>
      <c r="I159" s="211">
        <f>INDEX($C$44:$AN$66,MATCH("New Customers 3MS",$C$44:$C$66,0),MATCH($C159,$C$44:$AN$44,0))</f>
        <v>0</v>
      </c>
      <c r="J159" s="211"/>
      <c r="K159" s="211"/>
      <c r="L159" s="211">
        <f>$I$159*(1-E153)</f>
        <v>0</v>
      </c>
      <c r="M159" s="211"/>
      <c r="N159" s="211"/>
      <c r="O159" s="211">
        <f>$I$159*(1-H153)</f>
        <v>0</v>
      </c>
      <c r="P159" s="211"/>
      <c r="Q159" s="211"/>
      <c r="R159" s="211">
        <f>$I$159*(1-K153)</f>
        <v>0</v>
      </c>
      <c r="S159" s="211"/>
      <c r="T159" s="211"/>
      <c r="U159" s="211">
        <f>$I$159*(1-N153)</f>
        <v>0</v>
      </c>
      <c r="V159" s="211"/>
      <c r="W159" s="211"/>
      <c r="X159" s="211">
        <f>$I$159*(1-Q153)</f>
        <v>0</v>
      </c>
      <c r="Y159" s="211"/>
      <c r="Z159" s="211"/>
      <c r="AA159" s="211">
        <f>$I$159*(1-T153)</f>
        <v>0</v>
      </c>
      <c r="AB159" s="211"/>
      <c r="AC159" s="211"/>
      <c r="AD159" s="211">
        <f>$I$159*(1-W153)</f>
        <v>0</v>
      </c>
      <c r="AE159" s="211"/>
      <c r="AF159" s="211"/>
      <c r="AG159" s="211">
        <f>$I$159*(1-Z153)</f>
        <v>0</v>
      </c>
      <c r="AH159" s="211"/>
      <c r="AI159" s="211"/>
      <c r="AJ159" s="211">
        <f>$I$159*(1-AC153)</f>
        <v>0</v>
      </c>
      <c r="AK159" s="211"/>
      <c r="AL159" s="211"/>
      <c r="AM159" s="211">
        <f>$I$159*(1-AF153)</f>
        <v>0</v>
      </c>
      <c r="AN159" s="211"/>
    </row>
    <row r="160" spans="2:41" s="7" customFormat="1" ht="12" hidden="1" customHeight="1" outlineLevel="1">
      <c r="B160" s="245"/>
      <c r="C160" s="213" t="s">
        <v>758</v>
      </c>
      <c r="D160" s="213"/>
      <c r="E160" s="213"/>
      <c r="F160" s="213"/>
      <c r="G160" s="213"/>
      <c r="H160" s="213"/>
      <c r="I160" s="213"/>
      <c r="J160" s="211">
        <f>INDEX($C$44:$AN$66,MATCH("New Customers 3MS",$C$44:$C$66,0),MATCH($C160,$C$44:$AN$44,0))</f>
        <v>0</v>
      </c>
      <c r="K160" s="211"/>
      <c r="L160" s="211"/>
      <c r="M160" s="211">
        <f>$J$160*(1-E153)</f>
        <v>0</v>
      </c>
      <c r="N160" s="211"/>
      <c r="O160" s="211"/>
      <c r="P160" s="211">
        <f>$J$160*(1-H153)</f>
        <v>0</v>
      </c>
      <c r="Q160" s="211"/>
      <c r="R160" s="211"/>
      <c r="S160" s="211">
        <f>$J$160*(1-K153)</f>
        <v>0</v>
      </c>
      <c r="T160" s="211"/>
      <c r="U160" s="211"/>
      <c r="V160" s="211">
        <f>$J$160*(1-N153)</f>
        <v>0</v>
      </c>
      <c r="W160" s="211"/>
      <c r="X160" s="211"/>
      <c r="Y160" s="211">
        <f>$J$160*(1-Q153)</f>
        <v>0</v>
      </c>
      <c r="Z160" s="211"/>
      <c r="AA160" s="211"/>
      <c r="AB160" s="211">
        <f>$J$160*(1-T153)</f>
        <v>0</v>
      </c>
      <c r="AC160" s="211"/>
      <c r="AD160" s="211"/>
      <c r="AE160" s="211">
        <f>$J$160*(1-W153)</f>
        <v>0</v>
      </c>
      <c r="AF160" s="211"/>
      <c r="AG160" s="211"/>
      <c r="AH160" s="211">
        <f>$J$160*(1-Z153)</f>
        <v>0</v>
      </c>
      <c r="AI160" s="211"/>
      <c r="AJ160" s="211"/>
      <c r="AK160" s="211">
        <f>$J$160*(1-AC153)</f>
        <v>0</v>
      </c>
      <c r="AL160" s="211"/>
      <c r="AM160" s="211"/>
      <c r="AN160" s="211">
        <f>$J$160*(1-AF153)</f>
        <v>0</v>
      </c>
    </row>
    <row r="161" spans="2:42" s="7" customFormat="1" ht="12" hidden="1" customHeight="1" outlineLevel="1">
      <c r="B161" s="245"/>
      <c r="C161" s="213" t="s">
        <v>759</v>
      </c>
      <c r="D161" s="213"/>
      <c r="E161" s="213"/>
      <c r="F161" s="213"/>
      <c r="G161" s="213"/>
      <c r="H161" s="213"/>
      <c r="I161" s="213"/>
      <c r="J161" s="213"/>
      <c r="K161" s="211">
        <f>INDEX($C$44:$AN$66,MATCH("New Customers 3MS",$C$44:$C$66,0),MATCH($C161,$C$44:$AN$44,0))</f>
        <v>0</v>
      </c>
      <c r="L161" s="211"/>
      <c r="M161" s="211"/>
      <c r="N161" s="211">
        <f>$K$161*(1-E153)</f>
        <v>0</v>
      </c>
      <c r="O161" s="211"/>
      <c r="P161" s="211"/>
      <c r="Q161" s="211">
        <f>$K$161*(1-H153)</f>
        <v>0</v>
      </c>
      <c r="R161" s="211"/>
      <c r="S161" s="211"/>
      <c r="T161" s="211">
        <f>$K$161*(1-K153)</f>
        <v>0</v>
      </c>
      <c r="U161" s="211"/>
      <c r="V161" s="211"/>
      <c r="W161" s="211">
        <f>$K$161*(1-N153)</f>
        <v>0</v>
      </c>
      <c r="X161" s="211"/>
      <c r="Y161" s="211"/>
      <c r="Z161" s="211">
        <f>$K$161*(1-Q153)</f>
        <v>0</v>
      </c>
      <c r="AA161" s="211"/>
      <c r="AB161" s="211"/>
      <c r="AC161" s="211">
        <f>$K$161*(1-T153)</f>
        <v>0</v>
      </c>
      <c r="AD161" s="211"/>
      <c r="AE161" s="211"/>
      <c r="AF161" s="211">
        <f>$K$161*(1-W153)</f>
        <v>0</v>
      </c>
      <c r="AG161" s="211"/>
      <c r="AH161" s="211"/>
      <c r="AI161" s="211">
        <f>$K$161*(1-Z153)</f>
        <v>0</v>
      </c>
      <c r="AJ161" s="211"/>
      <c r="AK161" s="211"/>
      <c r="AL161" s="211">
        <f>$K$161*(1-AC153)</f>
        <v>0</v>
      </c>
      <c r="AM161" s="211"/>
      <c r="AN161" s="211"/>
    </row>
    <row r="162" spans="2:42" s="7" customFormat="1" ht="12" hidden="1" customHeight="1" outlineLevel="1">
      <c r="B162" s="245"/>
      <c r="C162" s="213" t="s">
        <v>760</v>
      </c>
      <c r="D162" s="213"/>
      <c r="E162" s="213"/>
      <c r="F162" s="213"/>
      <c r="G162" s="213"/>
      <c r="H162" s="213"/>
      <c r="I162" s="213"/>
      <c r="J162" s="213"/>
      <c r="K162" s="213"/>
      <c r="L162" s="211">
        <f>INDEX($C$44:$AN$66,MATCH("New Customers 3MS",$C$44:$C$66,0),MATCH($C162,$C$44:$AN$44,0))</f>
        <v>0</v>
      </c>
      <c r="M162" s="211"/>
      <c r="N162" s="211"/>
      <c r="O162" s="211">
        <f>$L$162*(1-E153)</f>
        <v>0</v>
      </c>
      <c r="P162" s="211"/>
      <c r="Q162" s="211"/>
      <c r="R162" s="211">
        <f>$L$162*(1-H153)</f>
        <v>0</v>
      </c>
      <c r="S162" s="211"/>
      <c r="T162" s="211"/>
      <c r="U162" s="211">
        <f>$L$162*(1-K153)</f>
        <v>0</v>
      </c>
      <c r="V162" s="211"/>
      <c r="W162" s="211"/>
      <c r="X162" s="211">
        <f>$L$162*(1-N153)</f>
        <v>0</v>
      </c>
      <c r="Y162" s="211"/>
      <c r="Z162" s="211"/>
      <c r="AA162" s="211">
        <f>$L$162*(1-Q153)</f>
        <v>0</v>
      </c>
      <c r="AB162" s="211"/>
      <c r="AC162" s="211"/>
      <c r="AD162" s="211">
        <f>$L$162*(1-T153)</f>
        <v>0</v>
      </c>
      <c r="AE162" s="211"/>
      <c r="AF162" s="211"/>
      <c r="AG162" s="211">
        <f>$L$162*(1-W153)</f>
        <v>0</v>
      </c>
      <c r="AH162" s="211"/>
      <c r="AI162" s="211"/>
      <c r="AJ162" s="211">
        <f>$L$162*(1-Z153)</f>
        <v>0</v>
      </c>
      <c r="AK162" s="211"/>
      <c r="AL162" s="211"/>
      <c r="AM162" s="211">
        <f>$L$162*(1-AC153)</f>
        <v>0</v>
      </c>
      <c r="AN162" s="211"/>
    </row>
    <row r="163" spans="2:42" s="7" customFormat="1" ht="12" hidden="1" customHeight="1" outlineLevel="1">
      <c r="B163" s="245"/>
      <c r="C163" s="213" t="s">
        <v>761</v>
      </c>
      <c r="D163" s="213"/>
      <c r="E163" s="213"/>
      <c r="F163" s="213"/>
      <c r="G163" s="213"/>
      <c r="H163" s="213"/>
      <c r="I163" s="213"/>
      <c r="J163" s="213"/>
      <c r="K163" s="213"/>
      <c r="L163" s="213"/>
      <c r="M163" s="211">
        <f>INDEX($C$44:$AN$64,MATCH("New Customers 3MS",$C$44:$C$64,0),MATCH($C163,$C$44:$AN$44,0))</f>
        <v>0</v>
      </c>
      <c r="N163" s="211"/>
      <c r="O163" s="211"/>
      <c r="P163" s="211">
        <f>$M$163*(1-E153)</f>
        <v>0</v>
      </c>
      <c r="Q163" s="211"/>
      <c r="R163" s="211"/>
      <c r="S163" s="211">
        <f>$M$163*(1-H153)</f>
        <v>0</v>
      </c>
      <c r="T163" s="211"/>
      <c r="U163" s="211"/>
      <c r="V163" s="211">
        <f>$M$163*(1-K153)</f>
        <v>0</v>
      </c>
      <c r="W163" s="211"/>
      <c r="X163" s="211"/>
      <c r="Y163" s="211">
        <f>$M$163*(1-N153)</f>
        <v>0</v>
      </c>
      <c r="Z163" s="211"/>
      <c r="AA163" s="211"/>
      <c r="AB163" s="211">
        <f>$M$163*(1-Q153)</f>
        <v>0</v>
      </c>
      <c r="AC163" s="211"/>
      <c r="AD163" s="211"/>
      <c r="AE163" s="211">
        <f>$M$163*(1-T153)</f>
        <v>0</v>
      </c>
      <c r="AF163" s="211"/>
      <c r="AG163" s="211"/>
      <c r="AH163" s="211">
        <f>$M$163*(1-W153)</f>
        <v>0</v>
      </c>
      <c r="AI163" s="211"/>
      <c r="AJ163" s="211"/>
      <c r="AK163" s="211">
        <f>$M$163*(1-Z153)</f>
        <v>0</v>
      </c>
      <c r="AL163" s="211"/>
      <c r="AM163" s="211"/>
      <c r="AN163" s="211">
        <f>$M$163*(1-AC153)</f>
        <v>0</v>
      </c>
    </row>
    <row r="164" spans="2:42" s="7" customFormat="1" ht="12" hidden="1" customHeight="1" outlineLevel="1">
      <c r="B164" s="245"/>
      <c r="C164" s="213" t="s">
        <v>762</v>
      </c>
      <c r="D164" s="213"/>
      <c r="E164" s="213"/>
      <c r="F164" s="213"/>
      <c r="G164" s="213"/>
      <c r="H164" s="213"/>
      <c r="I164" s="213"/>
      <c r="J164" s="213"/>
      <c r="K164" s="213"/>
      <c r="L164" s="213"/>
      <c r="M164" s="213"/>
      <c r="N164" s="211">
        <f>INDEX($C$44:$AN$66,MATCH("New Customers 3MS",$C$44:$C$66,0),MATCH($C164,$C$44:$AN$44,0))</f>
        <v>0</v>
      </c>
      <c r="O164" s="211"/>
      <c r="P164" s="211"/>
      <c r="Q164" s="211">
        <f>$N$164*(1-E153)</f>
        <v>0</v>
      </c>
      <c r="R164" s="211"/>
      <c r="S164" s="211"/>
      <c r="T164" s="211">
        <f>$N$164*(1-H153)</f>
        <v>0</v>
      </c>
      <c r="U164" s="211"/>
      <c r="V164" s="211"/>
      <c r="W164" s="211">
        <f>$N$164*(1-K153)</f>
        <v>0</v>
      </c>
      <c r="X164" s="211"/>
      <c r="Y164" s="211"/>
      <c r="Z164" s="211">
        <f>$N$164*(1-N153)</f>
        <v>0</v>
      </c>
      <c r="AA164" s="211"/>
      <c r="AB164" s="211"/>
      <c r="AC164" s="211">
        <f>$N$164*(1-Q153)</f>
        <v>0</v>
      </c>
      <c r="AD164" s="211"/>
      <c r="AE164" s="211"/>
      <c r="AF164" s="211">
        <f>$N$164*(1-T153)</f>
        <v>0</v>
      </c>
      <c r="AG164" s="211"/>
      <c r="AH164" s="211"/>
      <c r="AI164" s="211">
        <f>$N$164*(1-W153)</f>
        <v>0</v>
      </c>
      <c r="AJ164" s="211"/>
      <c r="AK164" s="211"/>
      <c r="AL164" s="211">
        <f>$N$164*(1-Z153)</f>
        <v>0</v>
      </c>
      <c r="AM164" s="211"/>
      <c r="AN164" s="211"/>
      <c r="AO164" s="211"/>
    </row>
    <row r="165" spans="2:42" s="7" customFormat="1" ht="12" hidden="1" customHeight="1" outlineLevel="1">
      <c r="B165" s="245"/>
      <c r="C165" s="213" t="s">
        <v>763</v>
      </c>
      <c r="D165" s="213"/>
      <c r="E165" s="213"/>
      <c r="F165" s="213"/>
      <c r="G165" s="213"/>
      <c r="H165" s="213"/>
      <c r="I165" s="213"/>
      <c r="J165" s="213"/>
      <c r="K165" s="213"/>
      <c r="L165" s="213"/>
      <c r="M165" s="213"/>
      <c r="N165" s="213"/>
      <c r="O165" s="211">
        <f>INDEX($C$44:$AN$66,MATCH("New Customers 3MS",$C$44:$C$66,0),MATCH($C165,$C$44:$AN$44,0))</f>
        <v>0</v>
      </c>
      <c r="P165" s="211"/>
      <c r="Q165" s="211"/>
      <c r="R165" s="211">
        <f>$N$164*(1-E153)</f>
        <v>0</v>
      </c>
      <c r="S165" s="211"/>
      <c r="T165" s="211"/>
      <c r="U165" s="211">
        <f>$N$164*(1-H153)</f>
        <v>0</v>
      </c>
      <c r="V165" s="211"/>
      <c r="W165" s="211"/>
      <c r="X165" s="211">
        <f>$N$164*(1-K153)</f>
        <v>0</v>
      </c>
      <c r="Y165" s="211"/>
      <c r="Z165" s="211"/>
      <c r="AA165" s="211">
        <f>$N$164*(1-N153)</f>
        <v>0</v>
      </c>
      <c r="AB165" s="211"/>
      <c r="AC165" s="211"/>
      <c r="AD165" s="211">
        <f>$N$164*(1-Q153)</f>
        <v>0</v>
      </c>
      <c r="AE165" s="211"/>
      <c r="AF165" s="211"/>
      <c r="AG165" s="211">
        <f>$N$164*(1-T153)</f>
        <v>0</v>
      </c>
      <c r="AH165" s="211"/>
      <c r="AI165" s="211"/>
      <c r="AJ165" s="211">
        <f>$N$164*(1-W153)</f>
        <v>0</v>
      </c>
      <c r="AK165" s="211"/>
      <c r="AL165" s="211"/>
      <c r="AM165" s="211">
        <f>$N$164*(1-Z153)</f>
        <v>0</v>
      </c>
      <c r="AN165" s="211"/>
    </row>
    <row r="166" spans="2:42" s="7" customFormat="1" ht="12" hidden="1" customHeight="1" outlineLevel="1">
      <c r="B166" s="245"/>
      <c r="C166" s="213" t="s">
        <v>764</v>
      </c>
      <c r="D166" s="213"/>
      <c r="E166" s="213"/>
      <c r="F166" s="213"/>
      <c r="G166" s="213"/>
      <c r="H166" s="213"/>
      <c r="I166" s="213"/>
      <c r="J166" s="213"/>
      <c r="K166" s="213"/>
      <c r="L166" s="213"/>
      <c r="M166" s="213"/>
      <c r="N166" s="213"/>
      <c r="O166" s="213"/>
      <c r="P166" s="211">
        <f>INDEX($C$44:$AN$66,MATCH("New Customers 3MS",$C$44:$C$66,0),MATCH($C166,$C$44:$AN$44,0))</f>
        <v>0</v>
      </c>
      <c r="Q166" s="211"/>
      <c r="R166" s="211"/>
      <c r="S166" s="211">
        <f>$P$166*(1-E153)</f>
        <v>0</v>
      </c>
      <c r="T166" s="211"/>
      <c r="U166" s="211"/>
      <c r="V166" s="211">
        <f>$P$166*(1-H153)</f>
        <v>0</v>
      </c>
      <c r="W166" s="211"/>
      <c r="X166" s="211"/>
      <c r="Y166" s="211">
        <f>$P$166*(1-K153)</f>
        <v>0</v>
      </c>
      <c r="Z166" s="211"/>
      <c r="AA166" s="211"/>
      <c r="AB166" s="211">
        <f>$P$166*(1-N153)</f>
        <v>0</v>
      </c>
      <c r="AC166" s="211"/>
      <c r="AD166" s="211"/>
      <c r="AE166" s="211">
        <f>$P$166*(1-Q153)</f>
        <v>0</v>
      </c>
      <c r="AF166" s="211"/>
      <c r="AG166" s="211"/>
      <c r="AH166" s="211">
        <f>$P$166*(1-T153)</f>
        <v>0</v>
      </c>
      <c r="AI166" s="211"/>
      <c r="AJ166" s="211"/>
      <c r="AK166" s="211">
        <f>$P$166*(1-W153)</f>
        <v>0</v>
      </c>
      <c r="AL166" s="211"/>
      <c r="AM166" s="211"/>
      <c r="AN166" s="211">
        <f>$P$166*(1-Z153)</f>
        <v>0</v>
      </c>
    </row>
    <row r="167" spans="2:42" s="7" customFormat="1" ht="12" hidden="1" customHeight="1" outlineLevel="1">
      <c r="B167" s="245"/>
      <c r="C167" s="213" t="s">
        <v>765</v>
      </c>
      <c r="D167" s="213"/>
      <c r="E167" s="213"/>
      <c r="F167" s="213"/>
      <c r="G167" s="213"/>
      <c r="H167" s="213"/>
      <c r="I167" s="213"/>
      <c r="J167" s="213"/>
      <c r="K167" s="213"/>
      <c r="L167" s="213"/>
      <c r="M167" s="213"/>
      <c r="N167" s="213"/>
      <c r="O167" s="213"/>
      <c r="P167" s="213"/>
      <c r="Q167" s="211">
        <f>INDEX($C$44:$AN$66,MATCH("New Customers 3MS",$C$44:$C$66,0),MATCH($C167,$C$44:$AN$44,0))</f>
        <v>0</v>
      </c>
      <c r="R167" s="211"/>
      <c r="S167" s="211"/>
      <c r="T167" s="211">
        <f>$Q$167*(1-E153)</f>
        <v>0</v>
      </c>
      <c r="U167" s="211"/>
      <c r="V167" s="211"/>
      <c r="W167" s="211">
        <f>$Q$167*(1-H153)</f>
        <v>0</v>
      </c>
      <c r="X167" s="211"/>
      <c r="Y167" s="211"/>
      <c r="Z167" s="211">
        <f>$Q$167*(1-K153)</f>
        <v>0</v>
      </c>
      <c r="AA167" s="211"/>
      <c r="AB167" s="211"/>
      <c r="AC167" s="211">
        <f>$Q$167*(1-N153)</f>
        <v>0</v>
      </c>
      <c r="AD167" s="211"/>
      <c r="AE167" s="211"/>
      <c r="AF167" s="211">
        <f>$Q$167*(1-Q153)</f>
        <v>0</v>
      </c>
      <c r="AG167" s="211"/>
      <c r="AH167" s="211"/>
      <c r="AI167" s="211">
        <f>$Q$167*(1-T153)</f>
        <v>0</v>
      </c>
      <c r="AJ167" s="211"/>
      <c r="AK167" s="211"/>
      <c r="AL167" s="211">
        <f>$Q$167*(1-W153)</f>
        <v>0</v>
      </c>
      <c r="AM167" s="211"/>
      <c r="AN167" s="211"/>
      <c r="AO167" s="211"/>
    </row>
    <row r="168" spans="2:42" s="7" customFormat="1" ht="12" hidden="1" customHeight="1" outlineLevel="1">
      <c r="B168" s="245"/>
      <c r="C168" s="213" t="s">
        <v>766</v>
      </c>
      <c r="D168" s="213"/>
      <c r="E168" s="213"/>
      <c r="F168" s="213"/>
      <c r="G168" s="213"/>
      <c r="H168" s="213"/>
      <c r="I168" s="213"/>
      <c r="J168" s="213"/>
      <c r="K168" s="213"/>
      <c r="L168" s="213"/>
      <c r="M168" s="213"/>
      <c r="N168" s="213"/>
      <c r="O168" s="213"/>
      <c r="P168" s="213"/>
      <c r="Q168" s="213"/>
      <c r="R168" s="211">
        <f>INDEX($C$44:$AN$66,MATCH("New Customers 3MS",$C$44:$C$66,0),MATCH($C168,$C$44:$AN$44,0))</f>
        <v>0</v>
      </c>
      <c r="S168" s="211"/>
      <c r="T168" s="211"/>
      <c r="U168" s="211">
        <f>$R$168*(1-E153)</f>
        <v>0</v>
      </c>
      <c r="V168" s="211"/>
      <c r="W168" s="211"/>
      <c r="X168" s="211">
        <f>$R$168*(1-H153)</f>
        <v>0</v>
      </c>
      <c r="Y168" s="211"/>
      <c r="Z168" s="211"/>
      <c r="AA168" s="211">
        <f>$R$168*(1-K153)</f>
        <v>0</v>
      </c>
      <c r="AB168" s="211"/>
      <c r="AC168" s="211"/>
      <c r="AD168" s="211">
        <f>$R$168*(1-N153)</f>
        <v>0</v>
      </c>
      <c r="AE168" s="211"/>
      <c r="AF168" s="211"/>
      <c r="AG168" s="211">
        <f>$R$168*(1-Q153)</f>
        <v>0</v>
      </c>
      <c r="AH168" s="211"/>
      <c r="AI168" s="211"/>
      <c r="AJ168" s="211">
        <f>$R$168*(1-T153)</f>
        <v>0</v>
      </c>
      <c r="AK168" s="211"/>
      <c r="AL168" s="211"/>
      <c r="AM168" s="211">
        <f>$R$168*(1-W153)</f>
        <v>0</v>
      </c>
      <c r="AN168" s="211"/>
    </row>
    <row r="169" spans="2:42" s="7" customFormat="1" ht="12" hidden="1" customHeight="1" outlineLevel="1">
      <c r="B169" s="245"/>
      <c r="C169" s="213" t="s">
        <v>767</v>
      </c>
      <c r="D169" s="213"/>
      <c r="E169" s="213"/>
      <c r="F169" s="213"/>
      <c r="G169" s="213"/>
      <c r="H169" s="213"/>
      <c r="I169" s="213"/>
      <c r="J169" s="213"/>
      <c r="K169" s="213"/>
      <c r="L169" s="213"/>
      <c r="M169" s="213"/>
      <c r="N169" s="213"/>
      <c r="O169" s="213"/>
      <c r="P169" s="213"/>
      <c r="Q169" s="213"/>
      <c r="R169" s="213"/>
      <c r="S169" s="211">
        <f>INDEX($C$44:$AN$66,MATCH("New Customers 3MS",$C$44:$C$66,0),MATCH($C169,$C$44:$AN$44,0))</f>
        <v>0</v>
      </c>
      <c r="T169" s="211"/>
      <c r="U169" s="211"/>
      <c r="V169" s="211">
        <f>$S$169*(1-E153)</f>
        <v>0</v>
      </c>
      <c r="W169" s="211"/>
      <c r="X169" s="211"/>
      <c r="Y169" s="211">
        <f>$S$169*(1-H153)</f>
        <v>0</v>
      </c>
      <c r="Z169" s="211"/>
      <c r="AA169" s="211"/>
      <c r="AB169" s="211">
        <f>$S$169*(1-K153)</f>
        <v>0</v>
      </c>
      <c r="AC169" s="211"/>
      <c r="AD169" s="211"/>
      <c r="AE169" s="211">
        <f>$S$169*(1-N153)</f>
        <v>0</v>
      </c>
      <c r="AF169" s="211"/>
      <c r="AG169" s="211"/>
      <c r="AH169" s="211">
        <f>$S$169*(1-Q153)</f>
        <v>0</v>
      </c>
      <c r="AI169" s="211"/>
      <c r="AJ169" s="211"/>
      <c r="AK169" s="211">
        <f>$S$169*(1-T153)</f>
        <v>0</v>
      </c>
      <c r="AL169" s="211"/>
      <c r="AM169" s="211"/>
      <c r="AN169" s="211">
        <f>$S$169*(1-W153)</f>
        <v>0</v>
      </c>
    </row>
    <row r="170" spans="2:42" s="7" customFormat="1" ht="12" hidden="1" customHeight="1" outlineLevel="1">
      <c r="B170" s="245"/>
      <c r="C170" s="213" t="s">
        <v>768</v>
      </c>
      <c r="D170" s="213"/>
      <c r="E170" s="213"/>
      <c r="F170" s="213"/>
      <c r="G170" s="213"/>
      <c r="H170" s="213"/>
      <c r="I170" s="213"/>
      <c r="J170" s="213"/>
      <c r="K170" s="213"/>
      <c r="L170" s="213"/>
      <c r="M170" s="213"/>
      <c r="N170" s="213"/>
      <c r="O170" s="213"/>
      <c r="P170" s="213"/>
      <c r="Q170" s="213"/>
      <c r="R170" s="213"/>
      <c r="S170" s="213"/>
      <c r="T170" s="211">
        <f>INDEX($C$44:$AN$66,MATCH("New Customers 3MS",$C$44:$C$66,0),MATCH($C170,$C$44:$AN$44,0))</f>
        <v>0</v>
      </c>
      <c r="U170" s="211"/>
      <c r="V170" s="211"/>
      <c r="W170" s="211">
        <f>$T$170*(1-E153)</f>
        <v>0</v>
      </c>
      <c r="X170" s="211"/>
      <c r="Y170" s="211"/>
      <c r="Z170" s="211">
        <f>$T$170*(1-H153)</f>
        <v>0</v>
      </c>
      <c r="AA170" s="211"/>
      <c r="AB170" s="211"/>
      <c r="AC170" s="211">
        <f>$T$170*(1-K153)</f>
        <v>0</v>
      </c>
      <c r="AD170" s="211"/>
      <c r="AE170" s="211"/>
      <c r="AF170" s="211">
        <f>$T$170*(1-N153)</f>
        <v>0</v>
      </c>
      <c r="AG170" s="211"/>
      <c r="AH170" s="211"/>
      <c r="AI170" s="211">
        <f>$T$170*(1-Q153)</f>
        <v>0</v>
      </c>
      <c r="AJ170" s="211"/>
      <c r="AK170" s="211"/>
      <c r="AL170" s="211">
        <f>$T$170*(1-T153)</f>
        <v>0</v>
      </c>
      <c r="AM170" s="211"/>
      <c r="AN170" s="211"/>
      <c r="AO170" s="211"/>
    </row>
    <row r="171" spans="2:42" s="7" customFormat="1" ht="12" hidden="1" customHeight="1" outlineLevel="1">
      <c r="B171" s="245"/>
      <c r="C171" s="213" t="s">
        <v>769</v>
      </c>
      <c r="D171" s="213"/>
      <c r="E171" s="213"/>
      <c r="F171" s="213"/>
      <c r="G171" s="213"/>
      <c r="H171" s="213"/>
      <c r="I171" s="213"/>
      <c r="J171" s="213"/>
      <c r="K171" s="213"/>
      <c r="L171" s="213"/>
      <c r="M171" s="213"/>
      <c r="N171" s="213"/>
      <c r="O171" s="213"/>
      <c r="P171" s="213"/>
      <c r="Q171" s="213"/>
      <c r="R171" s="213"/>
      <c r="S171" s="213"/>
      <c r="T171" s="213"/>
      <c r="U171" s="211">
        <f>INDEX($C$44:$AN$66,MATCH("New Customers 3MS",$C$44:$C$66,0),MATCH($C171,$C$44:$AN$44,0))</f>
        <v>0</v>
      </c>
      <c r="V171" s="211"/>
      <c r="W171" s="211"/>
      <c r="X171" s="211">
        <f>$U$171*(1-E153)</f>
        <v>0</v>
      </c>
      <c r="Y171" s="211"/>
      <c r="Z171" s="211"/>
      <c r="AA171" s="211">
        <f>$U$171*(1-H153)</f>
        <v>0</v>
      </c>
      <c r="AB171" s="211"/>
      <c r="AC171" s="211"/>
      <c r="AD171" s="211">
        <f>$U$171*(1-K153)</f>
        <v>0</v>
      </c>
      <c r="AE171" s="211"/>
      <c r="AF171" s="211"/>
      <c r="AG171" s="211">
        <f>$U$171*(1-N153)</f>
        <v>0</v>
      </c>
      <c r="AH171" s="211"/>
      <c r="AI171" s="211"/>
      <c r="AJ171" s="211">
        <f>$U$171*(1-Q153)</f>
        <v>0</v>
      </c>
      <c r="AK171" s="211"/>
      <c r="AL171" s="211"/>
      <c r="AM171" s="211">
        <f>$U$171*(1-T153)</f>
        <v>0</v>
      </c>
      <c r="AN171" s="211"/>
      <c r="AP171" s="211"/>
    </row>
    <row r="172" spans="2:42" s="7" customFormat="1" ht="12" hidden="1" customHeight="1" outlineLevel="1">
      <c r="B172" s="245"/>
      <c r="C172" s="213" t="s">
        <v>770</v>
      </c>
      <c r="D172" s="213"/>
      <c r="E172" s="213"/>
      <c r="F172" s="213"/>
      <c r="G172" s="213"/>
      <c r="H172" s="213"/>
      <c r="I172" s="213"/>
      <c r="J172" s="213"/>
      <c r="K172" s="213"/>
      <c r="L172" s="213"/>
      <c r="M172" s="213"/>
      <c r="N172" s="213"/>
      <c r="O172" s="213"/>
      <c r="P172" s="213"/>
      <c r="Q172" s="213"/>
      <c r="R172" s="213"/>
      <c r="S172" s="213"/>
      <c r="T172" s="213"/>
      <c r="U172" s="213"/>
      <c r="V172" s="211">
        <f>INDEX($C$44:$AN$66,MATCH("New Customers 3MS",$C$44:$C$66,0),MATCH($C172,$C$44:$AN$44,0))</f>
        <v>0</v>
      </c>
      <c r="W172" s="211"/>
      <c r="X172" s="211"/>
      <c r="Y172" s="211">
        <f>$V$172*(1-E153)</f>
        <v>0</v>
      </c>
      <c r="Z172" s="211"/>
      <c r="AA172" s="211"/>
      <c r="AB172" s="211">
        <f>$V$172*(1-H153)</f>
        <v>0</v>
      </c>
      <c r="AC172" s="211"/>
      <c r="AD172" s="211"/>
      <c r="AE172" s="211">
        <f>$V$172*(1-K153)</f>
        <v>0</v>
      </c>
      <c r="AF172" s="211"/>
      <c r="AG172" s="211"/>
      <c r="AH172" s="211">
        <f>$V$172*(1-N153)</f>
        <v>0</v>
      </c>
      <c r="AI172" s="211"/>
      <c r="AJ172" s="211"/>
      <c r="AK172" s="211">
        <f>$V$172*(1-Q153)</f>
        <v>0</v>
      </c>
      <c r="AL172" s="211"/>
      <c r="AM172" s="211"/>
      <c r="AN172" s="211">
        <f>$V$172*(1-T153)</f>
        <v>0</v>
      </c>
    </row>
    <row r="173" spans="2:42" s="7" customFormat="1" ht="12" hidden="1" customHeight="1" outlineLevel="1">
      <c r="B173" s="245"/>
      <c r="C173" s="213" t="s">
        <v>771</v>
      </c>
      <c r="D173" s="213"/>
      <c r="E173" s="213"/>
      <c r="F173" s="213"/>
      <c r="G173" s="213"/>
      <c r="H173" s="213"/>
      <c r="I173" s="213"/>
      <c r="J173" s="213"/>
      <c r="K173" s="213"/>
      <c r="L173" s="213"/>
      <c r="M173" s="213"/>
      <c r="N173" s="213"/>
      <c r="O173" s="213"/>
      <c r="P173" s="213"/>
      <c r="Q173" s="213"/>
      <c r="R173" s="213"/>
      <c r="S173" s="213"/>
      <c r="T173" s="213"/>
      <c r="U173" s="213"/>
      <c r="V173" s="213"/>
      <c r="W173" s="211">
        <f>INDEX($C$44:$AN$66,MATCH("New Customers 3MS",$C$44:$C$66,0),MATCH($C173,$C$44:$AN$44,0))</f>
        <v>0</v>
      </c>
      <c r="X173" s="211"/>
      <c r="Y173" s="211"/>
      <c r="Z173" s="211">
        <f>$W$173*(1-E153)</f>
        <v>0</v>
      </c>
      <c r="AA173" s="211"/>
      <c r="AB173" s="211"/>
      <c r="AC173" s="211">
        <f>$W$173*(1-H153)</f>
        <v>0</v>
      </c>
      <c r="AD173" s="211"/>
      <c r="AE173" s="211"/>
      <c r="AF173" s="211">
        <f>$W$173*(1-K153)</f>
        <v>0</v>
      </c>
      <c r="AG173" s="211"/>
      <c r="AH173" s="211"/>
      <c r="AI173" s="211">
        <f>$W$173*(1-N153)</f>
        <v>0</v>
      </c>
      <c r="AJ173" s="211"/>
      <c r="AK173" s="211"/>
      <c r="AL173" s="211">
        <f>$W$173*(1-Q153)</f>
        <v>0</v>
      </c>
      <c r="AM173" s="211"/>
      <c r="AN173" s="211"/>
    </row>
    <row r="174" spans="2:42" s="7" customFormat="1" ht="12" hidden="1" customHeight="1" outlineLevel="1">
      <c r="B174" s="245"/>
      <c r="C174" s="213" t="s">
        <v>772</v>
      </c>
      <c r="D174" s="213"/>
      <c r="E174" s="213"/>
      <c r="F174" s="213"/>
      <c r="G174" s="213"/>
      <c r="H174" s="213"/>
      <c r="I174" s="213"/>
      <c r="J174" s="213"/>
      <c r="K174" s="213"/>
      <c r="L174" s="213"/>
      <c r="M174" s="213"/>
      <c r="N174" s="213"/>
      <c r="O174" s="213"/>
      <c r="P174" s="213"/>
      <c r="Q174" s="213"/>
      <c r="R174" s="213"/>
      <c r="S174" s="213"/>
      <c r="T174" s="213"/>
      <c r="U174" s="213"/>
      <c r="V174" s="213"/>
      <c r="W174" s="213"/>
      <c r="X174" s="211">
        <f>INDEX($C$44:$AN$66,MATCH("New Customers 3MS",$C$44:$C$66,0),MATCH($C174,$C$44:$AN$44,0))</f>
        <v>0</v>
      </c>
      <c r="Y174" s="211"/>
      <c r="Z174" s="211"/>
      <c r="AA174" s="211">
        <f>$X$174*(1-E153)</f>
        <v>0</v>
      </c>
      <c r="AB174" s="211"/>
      <c r="AC174" s="211"/>
      <c r="AD174" s="211">
        <f>$X$174*(1-H153)</f>
        <v>0</v>
      </c>
      <c r="AE174" s="211"/>
      <c r="AF174" s="211"/>
      <c r="AG174" s="211">
        <f>$X$174*(1-K153)</f>
        <v>0</v>
      </c>
      <c r="AH174" s="211"/>
      <c r="AI174" s="211"/>
      <c r="AJ174" s="211">
        <f>$X$174*(1-N153)</f>
        <v>0</v>
      </c>
      <c r="AK174" s="211"/>
      <c r="AL174" s="211"/>
      <c r="AM174" s="211">
        <f>$X$174*(1-Q153)</f>
        <v>0</v>
      </c>
      <c r="AN174" s="211"/>
    </row>
    <row r="175" spans="2:42" s="7" customFormat="1" ht="12" hidden="1" customHeight="1" outlineLevel="1">
      <c r="B175" s="245"/>
      <c r="C175" s="213" t="s">
        <v>773</v>
      </c>
      <c r="D175" s="213"/>
      <c r="E175" s="213"/>
      <c r="F175" s="213"/>
      <c r="G175" s="213"/>
      <c r="H175" s="213"/>
      <c r="I175" s="213"/>
      <c r="J175" s="213"/>
      <c r="K175" s="213"/>
      <c r="L175" s="213"/>
      <c r="M175" s="213"/>
      <c r="N175" s="213"/>
      <c r="O175" s="213"/>
      <c r="P175" s="213"/>
      <c r="Q175" s="213"/>
      <c r="R175" s="213"/>
      <c r="S175" s="213"/>
      <c r="T175" s="213"/>
      <c r="U175" s="213"/>
      <c r="V175" s="213"/>
      <c r="W175" s="213"/>
      <c r="X175" s="213"/>
      <c r="Y175" s="211">
        <f>INDEX($C$44:$AN$66,MATCH("New Customers 3MS",$C$44:$C$66,0),MATCH($C175,$C$44:$AN$44,0))</f>
        <v>0</v>
      </c>
      <c r="Z175" s="211"/>
      <c r="AA175" s="211"/>
      <c r="AB175" s="211">
        <f>$Y$175*(1-E153)</f>
        <v>0</v>
      </c>
      <c r="AC175" s="211"/>
      <c r="AD175" s="211"/>
      <c r="AE175" s="211">
        <f>$Y$175*(1-H153)</f>
        <v>0</v>
      </c>
      <c r="AF175" s="211"/>
      <c r="AG175" s="211"/>
      <c r="AH175" s="211">
        <f>$Y$175*(1-K153)</f>
        <v>0</v>
      </c>
      <c r="AI175" s="211"/>
      <c r="AJ175" s="211"/>
      <c r="AK175" s="211">
        <f>$Y$175*(1-N153)</f>
        <v>0</v>
      </c>
      <c r="AL175" s="211"/>
      <c r="AM175" s="211"/>
      <c r="AN175" s="211">
        <f>$Y$175*(1-Q153)</f>
        <v>0</v>
      </c>
    </row>
    <row r="176" spans="2:42" s="7" customFormat="1" ht="12" hidden="1" customHeight="1" outlineLevel="1">
      <c r="B176" s="245"/>
      <c r="C176" s="213" t="s">
        <v>774</v>
      </c>
      <c r="D176" s="213"/>
      <c r="E176" s="213"/>
      <c r="F176" s="213"/>
      <c r="G176" s="213"/>
      <c r="H176" s="213"/>
      <c r="I176" s="213"/>
      <c r="J176" s="213"/>
      <c r="K176" s="213"/>
      <c r="L176" s="213"/>
      <c r="M176" s="213"/>
      <c r="N176" s="213"/>
      <c r="O176" s="213"/>
      <c r="P176" s="213"/>
      <c r="Q176" s="213"/>
      <c r="R176" s="213"/>
      <c r="S176" s="213"/>
      <c r="T176" s="213"/>
      <c r="U176" s="213"/>
      <c r="V176" s="213"/>
      <c r="W176" s="213"/>
      <c r="X176" s="213"/>
      <c r="Y176" s="213"/>
      <c r="Z176" s="211">
        <f>INDEX($C$44:$AN$66,MATCH("New Customers 3MS",$C$44:$C$66,0),MATCH($C176,$C$44:$AN$44,0))</f>
        <v>0</v>
      </c>
      <c r="AA176" s="211"/>
      <c r="AB176" s="211"/>
      <c r="AC176" s="211">
        <f>$Z$176*(1-E153)</f>
        <v>0</v>
      </c>
      <c r="AD176" s="211"/>
      <c r="AE176" s="211"/>
      <c r="AF176" s="211">
        <f>$Z$176*(1-H153)</f>
        <v>0</v>
      </c>
      <c r="AG176" s="211"/>
      <c r="AH176" s="211"/>
      <c r="AI176" s="211">
        <f>$Z$176*(1-K153)</f>
        <v>0</v>
      </c>
      <c r="AJ176" s="211"/>
      <c r="AK176" s="211"/>
      <c r="AL176" s="211">
        <f>$Z$176*(1-N153)</f>
        <v>0</v>
      </c>
      <c r="AM176" s="211"/>
      <c r="AN176" s="211"/>
    </row>
    <row r="177" spans="2:41" s="7" customFormat="1" ht="12" hidden="1" customHeight="1" outlineLevel="1">
      <c r="B177" s="245"/>
      <c r="C177" s="213" t="s">
        <v>775</v>
      </c>
      <c r="D177" s="213"/>
      <c r="E177" s="213"/>
      <c r="F177" s="213"/>
      <c r="G177" s="213"/>
      <c r="H177" s="213"/>
      <c r="I177" s="213"/>
      <c r="J177" s="213"/>
      <c r="K177" s="213"/>
      <c r="L177" s="213"/>
      <c r="M177" s="213"/>
      <c r="N177" s="213"/>
      <c r="O177" s="213"/>
      <c r="P177" s="213"/>
      <c r="Q177" s="213"/>
      <c r="R177" s="213"/>
      <c r="S177" s="213"/>
      <c r="T177" s="213"/>
      <c r="U177" s="213"/>
      <c r="V177" s="213"/>
      <c r="W177" s="213"/>
      <c r="X177" s="213"/>
      <c r="Y177" s="213"/>
      <c r="Z177" s="213"/>
      <c r="AA177" s="211">
        <f>INDEX($C$44:$AN$66,MATCH("New Customers 3MS",$C$44:$C$66,0),MATCH($C177,$C$44:$AN$44,0))</f>
        <v>0</v>
      </c>
      <c r="AB177" s="211"/>
      <c r="AC177" s="211"/>
      <c r="AD177" s="211">
        <f>$AA$177*(1-E153)</f>
        <v>0</v>
      </c>
      <c r="AE177" s="211"/>
      <c r="AF177" s="211"/>
      <c r="AG177" s="211">
        <f>$AA$177*(1-H153)</f>
        <v>0</v>
      </c>
      <c r="AH177" s="211"/>
      <c r="AI177" s="211"/>
      <c r="AJ177" s="211">
        <f>$AA$177*(1-K153)</f>
        <v>0</v>
      </c>
      <c r="AK177" s="211"/>
      <c r="AL177" s="211"/>
      <c r="AM177" s="211">
        <f>$AA$177*(1-N153)</f>
        <v>0</v>
      </c>
      <c r="AN177" s="211"/>
    </row>
    <row r="178" spans="2:41" s="7" customFormat="1" ht="12" hidden="1" customHeight="1" outlineLevel="1">
      <c r="B178" s="245"/>
      <c r="C178" s="213" t="s">
        <v>776</v>
      </c>
      <c r="D178" s="213"/>
      <c r="E178" s="213"/>
      <c r="F178" s="213"/>
      <c r="G178" s="213"/>
      <c r="H178" s="213"/>
      <c r="I178" s="213"/>
      <c r="J178" s="213"/>
      <c r="K178" s="213"/>
      <c r="L178" s="213"/>
      <c r="M178" s="213"/>
      <c r="N178" s="213"/>
      <c r="O178" s="213"/>
      <c r="P178" s="213"/>
      <c r="Q178" s="213"/>
      <c r="R178" s="213"/>
      <c r="S178" s="213"/>
      <c r="T178" s="213"/>
      <c r="U178" s="213"/>
      <c r="V178" s="213"/>
      <c r="W178" s="213"/>
      <c r="X178" s="213"/>
      <c r="Y178" s="213"/>
      <c r="Z178" s="213"/>
      <c r="AA178" s="213"/>
      <c r="AB178" s="211">
        <f>INDEX($C$44:$AN$66,MATCH("New Customers 3MS",$C$44:$C$66,0),MATCH($C178,$C$44:$AN$44,0))</f>
        <v>0</v>
      </c>
      <c r="AC178" s="211"/>
      <c r="AD178" s="211"/>
      <c r="AE178" s="211">
        <f>$AB$178*(1-E153)</f>
        <v>0</v>
      </c>
      <c r="AF178" s="211"/>
      <c r="AG178" s="211"/>
      <c r="AH178" s="211">
        <f>$AB$178*(1-H153)</f>
        <v>0</v>
      </c>
      <c r="AI178" s="211"/>
      <c r="AJ178" s="211"/>
      <c r="AK178" s="211">
        <f>$AB$178*(1-K153)</f>
        <v>0</v>
      </c>
      <c r="AL178" s="211"/>
      <c r="AM178" s="211"/>
      <c r="AN178" s="211">
        <f>$AB$178*(1-N153)</f>
        <v>0</v>
      </c>
    </row>
    <row r="179" spans="2:41" s="7" customFormat="1" ht="12" hidden="1" customHeight="1" outlineLevel="1">
      <c r="B179" s="245"/>
      <c r="C179" s="213" t="s">
        <v>777</v>
      </c>
      <c r="D179" s="213"/>
      <c r="E179" s="213"/>
      <c r="F179" s="213"/>
      <c r="G179" s="213"/>
      <c r="H179" s="213"/>
      <c r="I179" s="213"/>
      <c r="J179" s="213"/>
      <c r="K179" s="213"/>
      <c r="L179" s="213"/>
      <c r="M179" s="213"/>
      <c r="N179" s="213"/>
      <c r="O179" s="213"/>
      <c r="P179" s="213"/>
      <c r="Q179" s="213"/>
      <c r="R179" s="213"/>
      <c r="S179" s="213"/>
      <c r="T179" s="213"/>
      <c r="U179" s="213"/>
      <c r="V179" s="213"/>
      <c r="W179" s="213"/>
      <c r="X179" s="213"/>
      <c r="Y179" s="213"/>
      <c r="Z179" s="213"/>
      <c r="AA179" s="213"/>
      <c r="AB179" s="211"/>
      <c r="AC179" s="211">
        <f>INDEX($C$44:$AN$66,MATCH("New Customers 3MS",$C$44:$C$66,0),MATCH($C179,$C$44:$AN$44,0))</f>
        <v>0</v>
      </c>
      <c r="AD179" s="211"/>
      <c r="AE179" s="211"/>
      <c r="AF179" s="211">
        <f>$AC$179*(1-E153)</f>
        <v>0</v>
      </c>
      <c r="AG179" s="211"/>
      <c r="AH179" s="211"/>
      <c r="AI179" s="211">
        <f>$AC$179*(1-H153)</f>
        <v>0</v>
      </c>
      <c r="AJ179" s="211"/>
      <c r="AK179" s="211"/>
      <c r="AL179" s="211">
        <f>$AC$179*(1-K153)</f>
        <v>0</v>
      </c>
      <c r="AM179" s="211"/>
      <c r="AN179" s="211"/>
      <c r="AO179" s="211"/>
    </row>
    <row r="180" spans="2:41" s="7" customFormat="1" ht="12" hidden="1" customHeight="1" outlineLevel="1">
      <c r="B180" s="245"/>
      <c r="C180" s="213" t="s">
        <v>778</v>
      </c>
      <c r="D180" s="213"/>
      <c r="E180" s="213"/>
      <c r="F180" s="213"/>
      <c r="G180" s="213"/>
      <c r="H180" s="213"/>
      <c r="I180" s="213"/>
      <c r="J180" s="213"/>
      <c r="K180" s="213"/>
      <c r="L180" s="213"/>
      <c r="M180" s="213"/>
      <c r="N180" s="213"/>
      <c r="O180" s="213"/>
      <c r="P180" s="213"/>
      <c r="Q180" s="213"/>
      <c r="R180" s="213"/>
      <c r="S180" s="213"/>
      <c r="T180" s="213"/>
      <c r="U180" s="213"/>
      <c r="V180" s="213"/>
      <c r="W180" s="213"/>
      <c r="X180" s="213"/>
      <c r="Y180" s="213"/>
      <c r="Z180" s="213"/>
      <c r="AA180" s="213"/>
      <c r="AB180" s="211"/>
      <c r="AC180" s="211"/>
      <c r="AD180" s="211">
        <f>INDEX($C$44:$AN$66,MATCH("New Customers 3MS",$C$44:$C$66,0),MATCH($C180,$C$44:$AN$44,0))</f>
        <v>0</v>
      </c>
      <c r="AE180" s="211"/>
      <c r="AF180" s="211"/>
      <c r="AG180" s="211">
        <f>$AD$180*(1-E153)</f>
        <v>0</v>
      </c>
      <c r="AH180" s="211"/>
      <c r="AI180" s="211"/>
      <c r="AJ180" s="211">
        <f>$AD$180*(1-H153)</f>
        <v>0</v>
      </c>
      <c r="AK180" s="211"/>
      <c r="AL180" s="211"/>
      <c r="AM180" s="211">
        <f>$AD$180*(1-K153)</f>
        <v>0</v>
      </c>
      <c r="AN180" s="211"/>
    </row>
    <row r="181" spans="2:41" s="7" customFormat="1" ht="12" hidden="1" customHeight="1" outlineLevel="1">
      <c r="B181" s="245"/>
      <c r="C181" s="213" t="s">
        <v>779</v>
      </c>
      <c r="D181" s="213"/>
      <c r="E181" s="213"/>
      <c r="F181" s="213"/>
      <c r="G181" s="213"/>
      <c r="H181" s="213"/>
      <c r="I181" s="213"/>
      <c r="J181" s="213"/>
      <c r="K181" s="213"/>
      <c r="L181" s="213"/>
      <c r="M181" s="213"/>
      <c r="N181" s="213"/>
      <c r="O181" s="213"/>
      <c r="P181" s="213"/>
      <c r="Q181" s="213"/>
      <c r="R181" s="213"/>
      <c r="S181" s="213"/>
      <c r="T181" s="213"/>
      <c r="U181" s="213"/>
      <c r="V181" s="213"/>
      <c r="W181" s="213"/>
      <c r="X181" s="213"/>
      <c r="Y181" s="213"/>
      <c r="Z181" s="213"/>
      <c r="AA181" s="213"/>
      <c r="AB181" s="211"/>
      <c r="AC181" s="211"/>
      <c r="AD181" s="211"/>
      <c r="AE181" s="211">
        <f>INDEX($C$44:$AN$66,MATCH("New Customers 3MS",$C$44:$C$66,0),MATCH($C181,$C$44:$AN$44,0))</f>
        <v>0</v>
      </c>
      <c r="AF181" s="211"/>
      <c r="AG181" s="211"/>
      <c r="AH181" s="211">
        <f>$AE$181*(1-E153)</f>
        <v>0</v>
      </c>
      <c r="AI181" s="211"/>
      <c r="AJ181" s="211"/>
      <c r="AK181" s="211">
        <f>$AE$181*(1-H153)</f>
        <v>0</v>
      </c>
      <c r="AL181" s="211"/>
      <c r="AM181" s="211"/>
      <c r="AN181" s="211">
        <f>$AE$181*(1-K153)</f>
        <v>0</v>
      </c>
    </row>
    <row r="182" spans="2:41" s="7" customFormat="1" ht="12" hidden="1" customHeight="1" outlineLevel="1">
      <c r="B182" s="245"/>
      <c r="C182" s="213" t="s">
        <v>780</v>
      </c>
      <c r="D182" s="213"/>
      <c r="E182" s="213"/>
      <c r="F182" s="213"/>
      <c r="G182" s="213"/>
      <c r="H182" s="213"/>
      <c r="I182" s="213"/>
      <c r="J182" s="213"/>
      <c r="K182" s="213"/>
      <c r="L182" s="213"/>
      <c r="M182" s="213"/>
      <c r="N182" s="213"/>
      <c r="O182" s="213"/>
      <c r="P182" s="213"/>
      <c r="Q182" s="213"/>
      <c r="R182" s="213"/>
      <c r="S182" s="213"/>
      <c r="T182" s="213"/>
      <c r="U182" s="213"/>
      <c r="V182" s="213"/>
      <c r="W182" s="213"/>
      <c r="X182" s="213"/>
      <c r="Y182" s="213"/>
      <c r="Z182" s="213"/>
      <c r="AA182" s="213"/>
      <c r="AB182" s="211"/>
      <c r="AC182" s="211"/>
      <c r="AD182" s="211"/>
      <c r="AE182" s="211"/>
      <c r="AF182" s="211">
        <f>INDEX($C$44:$AN$66,MATCH("New Customers 3MS",$C$44:$C$66,0),MATCH($C182,$C$44:$AN$44,0))</f>
        <v>0</v>
      </c>
      <c r="AG182" s="211"/>
      <c r="AH182" s="211"/>
      <c r="AI182" s="211">
        <f>$AF$182*(1-E153)</f>
        <v>0</v>
      </c>
      <c r="AJ182" s="211"/>
      <c r="AK182" s="211"/>
      <c r="AL182" s="211">
        <f>$AF$182*(1-H153)</f>
        <v>0</v>
      </c>
      <c r="AM182" s="211"/>
      <c r="AN182" s="211"/>
    </row>
    <row r="183" spans="2:41" s="7" customFormat="1" ht="12" hidden="1" customHeight="1" outlineLevel="1">
      <c r="B183" s="245"/>
      <c r="C183" s="213" t="s">
        <v>781</v>
      </c>
      <c r="D183" s="213"/>
      <c r="E183" s="213"/>
      <c r="F183" s="213"/>
      <c r="G183" s="213"/>
      <c r="H183" s="213"/>
      <c r="I183" s="213"/>
      <c r="J183" s="213"/>
      <c r="K183" s="213"/>
      <c r="L183" s="213"/>
      <c r="M183" s="213"/>
      <c r="N183" s="213"/>
      <c r="O183" s="213"/>
      <c r="P183" s="213"/>
      <c r="Q183" s="213"/>
      <c r="R183" s="213"/>
      <c r="S183" s="213"/>
      <c r="T183" s="213"/>
      <c r="U183" s="213"/>
      <c r="V183" s="213"/>
      <c r="W183" s="213"/>
      <c r="X183" s="213"/>
      <c r="Y183" s="213"/>
      <c r="Z183" s="213"/>
      <c r="AA183" s="213"/>
      <c r="AB183" s="211"/>
      <c r="AC183" s="211"/>
      <c r="AD183" s="211"/>
      <c r="AE183" s="211"/>
      <c r="AF183" s="211"/>
      <c r="AG183" s="211">
        <f>INDEX($C$44:$AN$66,MATCH("New Customers 3MS",$C$44:$C$66,0),MATCH($C183,$C$44:$AN$44,0))</f>
        <v>0</v>
      </c>
      <c r="AH183" s="211"/>
      <c r="AI183" s="211"/>
      <c r="AJ183" s="211">
        <f>$AG$183*(1-E153)</f>
        <v>0</v>
      </c>
      <c r="AK183" s="211"/>
      <c r="AL183" s="211"/>
      <c r="AM183" s="211">
        <f>$AG$183*(1-H153)</f>
        <v>0</v>
      </c>
      <c r="AN183" s="211"/>
    </row>
    <row r="184" spans="2:41" s="7" customFormat="1" ht="12" hidden="1" customHeight="1" outlineLevel="1">
      <c r="B184" s="245"/>
      <c r="C184" s="213" t="s">
        <v>782</v>
      </c>
      <c r="D184" s="213"/>
      <c r="E184" s="213"/>
      <c r="F184" s="213"/>
      <c r="G184" s="213"/>
      <c r="H184" s="213"/>
      <c r="I184" s="213"/>
      <c r="J184" s="213"/>
      <c r="K184" s="213"/>
      <c r="L184" s="213"/>
      <c r="M184" s="213"/>
      <c r="N184" s="213"/>
      <c r="O184" s="213"/>
      <c r="P184" s="213"/>
      <c r="Q184" s="213"/>
      <c r="R184" s="213"/>
      <c r="S184" s="213"/>
      <c r="T184" s="213"/>
      <c r="U184" s="213"/>
      <c r="V184" s="213"/>
      <c r="W184" s="213"/>
      <c r="X184" s="213"/>
      <c r="Y184" s="213"/>
      <c r="Z184" s="213"/>
      <c r="AA184" s="213"/>
      <c r="AB184" s="211"/>
      <c r="AC184" s="211"/>
      <c r="AD184" s="211"/>
      <c r="AE184" s="211"/>
      <c r="AF184" s="211"/>
      <c r="AG184" s="211"/>
      <c r="AH184" s="211">
        <f>INDEX($C$44:$AN$66,MATCH("New Customers 3MS",$C$44:$C$66,0),MATCH($C184,$C$44:$AN$44,0))</f>
        <v>0</v>
      </c>
      <c r="AI184" s="211"/>
      <c r="AJ184" s="211"/>
      <c r="AK184" s="211">
        <f>$AH$184*(1-E153)</f>
        <v>0</v>
      </c>
      <c r="AL184" s="211"/>
      <c r="AM184" s="211"/>
      <c r="AN184" s="211">
        <f>$AH$184*(1-H153)</f>
        <v>0</v>
      </c>
    </row>
    <row r="185" spans="2:41" s="7" customFormat="1" ht="12" hidden="1" customHeight="1" outlineLevel="1">
      <c r="B185" s="245"/>
      <c r="C185" s="213" t="s">
        <v>783</v>
      </c>
      <c r="D185" s="213"/>
      <c r="E185" s="213"/>
      <c r="F185" s="213"/>
      <c r="G185" s="213"/>
      <c r="H185" s="213"/>
      <c r="I185" s="213"/>
      <c r="J185" s="213"/>
      <c r="K185" s="213"/>
      <c r="L185" s="213"/>
      <c r="M185" s="213"/>
      <c r="N185" s="213"/>
      <c r="O185" s="213"/>
      <c r="P185" s="213"/>
      <c r="Q185" s="213"/>
      <c r="R185" s="213"/>
      <c r="S185" s="213"/>
      <c r="T185" s="213"/>
      <c r="U185" s="213"/>
      <c r="V185" s="213"/>
      <c r="W185" s="213"/>
      <c r="X185" s="213"/>
      <c r="Y185" s="213"/>
      <c r="Z185" s="213"/>
      <c r="AA185" s="213"/>
      <c r="AB185" s="211"/>
      <c r="AC185" s="211"/>
      <c r="AD185" s="211"/>
      <c r="AE185" s="211"/>
      <c r="AF185" s="211"/>
      <c r="AG185" s="211"/>
      <c r="AH185" s="211"/>
      <c r="AI185" s="211">
        <f>INDEX($C$44:$AN$66,MATCH("New Customers 3MS",$C$44:$C$66,0),MATCH($C185,$C$44:$AN$44,0))</f>
        <v>0</v>
      </c>
      <c r="AJ185" s="211"/>
      <c r="AK185" s="211"/>
      <c r="AL185" s="211">
        <f>$AI$185*(1-E153)</f>
        <v>0</v>
      </c>
      <c r="AM185" s="211"/>
      <c r="AN185" s="211"/>
    </row>
    <row r="186" spans="2:41" s="7" customFormat="1" ht="12" hidden="1" customHeight="1" outlineLevel="1">
      <c r="B186" s="245"/>
      <c r="C186" s="213" t="s">
        <v>784</v>
      </c>
      <c r="D186" s="213"/>
      <c r="E186" s="213"/>
      <c r="F186" s="213"/>
      <c r="G186" s="213"/>
      <c r="H186" s="213"/>
      <c r="I186" s="213"/>
      <c r="J186" s="213"/>
      <c r="K186" s="213"/>
      <c r="L186" s="213"/>
      <c r="M186" s="213"/>
      <c r="N186" s="213"/>
      <c r="O186" s="213"/>
      <c r="P186" s="213"/>
      <c r="Q186" s="213"/>
      <c r="R186" s="213"/>
      <c r="S186" s="213"/>
      <c r="T186" s="213"/>
      <c r="U186" s="213"/>
      <c r="V186" s="213"/>
      <c r="W186" s="213"/>
      <c r="X186" s="213"/>
      <c r="Y186" s="213"/>
      <c r="Z186" s="213"/>
      <c r="AA186" s="213"/>
      <c r="AB186" s="211"/>
      <c r="AC186" s="211"/>
      <c r="AD186" s="211"/>
      <c r="AE186" s="211"/>
      <c r="AF186" s="211"/>
      <c r="AG186" s="211"/>
      <c r="AH186" s="211"/>
      <c r="AI186" s="211"/>
      <c r="AJ186" s="211">
        <f>INDEX($C$44:$AN$66,MATCH("New Customers 3MS",$C$44:$C$66,0),MATCH($C186,$C$44:$AN$44,0))</f>
        <v>0</v>
      </c>
      <c r="AK186" s="211"/>
      <c r="AL186" s="211"/>
      <c r="AM186" s="211">
        <f>$AJ$186*(1-E153)</f>
        <v>0</v>
      </c>
      <c r="AN186" s="211"/>
    </row>
    <row r="187" spans="2:41" s="7" customFormat="1" ht="12" hidden="1" customHeight="1" outlineLevel="1">
      <c r="B187" s="245"/>
      <c r="C187" s="213" t="s">
        <v>785</v>
      </c>
      <c r="D187" s="213"/>
      <c r="E187" s="213"/>
      <c r="F187" s="213"/>
      <c r="G187" s="213"/>
      <c r="H187" s="213"/>
      <c r="I187" s="213"/>
      <c r="J187" s="213"/>
      <c r="K187" s="213"/>
      <c r="L187" s="213"/>
      <c r="M187" s="213"/>
      <c r="N187" s="213"/>
      <c r="O187" s="213"/>
      <c r="P187" s="213"/>
      <c r="Q187" s="213"/>
      <c r="R187" s="213"/>
      <c r="S187" s="213"/>
      <c r="T187" s="213"/>
      <c r="U187" s="213"/>
      <c r="V187" s="213"/>
      <c r="W187" s="213"/>
      <c r="X187" s="213"/>
      <c r="Y187" s="213"/>
      <c r="Z187" s="213"/>
      <c r="AA187" s="213"/>
      <c r="AB187" s="211"/>
      <c r="AC187" s="211"/>
      <c r="AD187" s="211"/>
      <c r="AE187" s="211"/>
      <c r="AF187" s="211"/>
      <c r="AG187" s="211"/>
      <c r="AH187" s="211"/>
      <c r="AI187" s="211"/>
      <c r="AJ187" s="211"/>
      <c r="AK187" s="211">
        <f>INDEX($C$44:$AN$66,MATCH("New Customers 3MS",$C$44:$C$66,0),MATCH($C187,$C$44:$AN$44,0))</f>
        <v>0</v>
      </c>
      <c r="AL187" s="211"/>
      <c r="AM187" s="211"/>
      <c r="AN187" s="211">
        <f>$AK$187*(1-E153)</f>
        <v>0</v>
      </c>
    </row>
    <row r="188" spans="2:41" s="7" customFormat="1" ht="12" hidden="1" customHeight="1" outlineLevel="1">
      <c r="B188" s="245"/>
      <c r="C188" s="213" t="s">
        <v>786</v>
      </c>
      <c r="D188" s="213"/>
      <c r="E188" s="213"/>
      <c r="F188" s="213"/>
      <c r="G188" s="213"/>
      <c r="H188" s="213"/>
      <c r="I188" s="213"/>
      <c r="J188" s="213"/>
      <c r="K188" s="213"/>
      <c r="L188" s="213"/>
      <c r="M188" s="213"/>
      <c r="N188" s="213"/>
      <c r="O188" s="213"/>
      <c r="P188" s="213"/>
      <c r="Q188" s="213"/>
      <c r="R188" s="213"/>
      <c r="S188" s="213"/>
      <c r="T188" s="213"/>
      <c r="U188" s="213"/>
      <c r="V188" s="213"/>
      <c r="W188" s="213"/>
      <c r="X188" s="213"/>
      <c r="Y188" s="213"/>
      <c r="Z188" s="213"/>
      <c r="AA188" s="213"/>
      <c r="AB188" s="211"/>
      <c r="AC188" s="211"/>
      <c r="AD188" s="211"/>
      <c r="AE188" s="211"/>
      <c r="AF188" s="211"/>
      <c r="AG188" s="211"/>
      <c r="AH188" s="211"/>
      <c r="AI188" s="211"/>
      <c r="AJ188" s="211"/>
      <c r="AK188" s="211"/>
      <c r="AL188" s="211">
        <f>INDEX($C$44:$AN$66,MATCH("New Customers 3MS",$C$44:$C$66,0),MATCH($C188,$C$44:$AN$44,0))</f>
        <v>0</v>
      </c>
      <c r="AM188" s="211"/>
      <c r="AN188" s="211"/>
    </row>
    <row r="189" spans="2:41" s="7" customFormat="1" ht="12" hidden="1" customHeight="1" outlineLevel="1">
      <c r="B189" s="245"/>
      <c r="C189" s="213" t="s">
        <v>787</v>
      </c>
      <c r="D189" s="213"/>
      <c r="E189" s="213"/>
      <c r="F189" s="213"/>
      <c r="G189" s="213"/>
      <c r="H189" s="213"/>
      <c r="I189" s="213"/>
      <c r="J189" s="213"/>
      <c r="K189" s="213"/>
      <c r="L189" s="213"/>
      <c r="M189" s="213"/>
      <c r="N189" s="213"/>
      <c r="O189" s="213"/>
      <c r="P189" s="213"/>
      <c r="Q189" s="213"/>
      <c r="R189" s="213"/>
      <c r="S189" s="213"/>
      <c r="T189" s="213"/>
      <c r="U189" s="213"/>
      <c r="V189" s="213"/>
      <c r="W189" s="213"/>
      <c r="X189" s="213"/>
      <c r="Y189" s="213"/>
      <c r="Z189" s="213"/>
      <c r="AA189" s="213"/>
      <c r="AB189" s="211"/>
      <c r="AC189" s="211"/>
      <c r="AD189" s="211"/>
      <c r="AE189" s="211"/>
      <c r="AF189" s="211"/>
      <c r="AG189" s="211"/>
      <c r="AH189" s="211"/>
      <c r="AI189" s="211"/>
      <c r="AJ189" s="211"/>
      <c r="AK189" s="211"/>
      <c r="AL189" s="211"/>
      <c r="AM189" s="211">
        <f>INDEX($C$44:$AN$66,MATCH("New Customers 3MS",$C$44:$C$66,0),MATCH($C189,$C$44:$AN$44,0))</f>
        <v>0</v>
      </c>
      <c r="AN189" s="211"/>
    </row>
    <row r="190" spans="2:41" s="7" customFormat="1" ht="12" hidden="1" customHeight="1" outlineLevel="1">
      <c r="B190" s="245"/>
      <c r="C190" s="213" t="s">
        <v>788</v>
      </c>
      <c r="D190" s="213"/>
      <c r="E190" s="213"/>
      <c r="F190" s="213"/>
      <c r="G190" s="213"/>
      <c r="H190" s="213"/>
      <c r="I190" s="213"/>
      <c r="J190" s="213"/>
      <c r="K190" s="213"/>
      <c r="L190" s="213"/>
      <c r="M190" s="213"/>
      <c r="N190" s="213"/>
      <c r="O190" s="213"/>
      <c r="P190" s="213"/>
      <c r="Q190" s="213"/>
      <c r="R190" s="213"/>
      <c r="S190" s="213"/>
      <c r="T190" s="213"/>
      <c r="U190" s="213"/>
      <c r="V190" s="213"/>
      <c r="W190" s="213"/>
      <c r="X190" s="213"/>
      <c r="Y190" s="213"/>
      <c r="Z190" s="213"/>
      <c r="AA190" s="213"/>
      <c r="AB190" s="211"/>
      <c r="AC190" s="211"/>
      <c r="AD190" s="211"/>
      <c r="AE190" s="211"/>
      <c r="AF190" s="211"/>
      <c r="AG190" s="211"/>
      <c r="AH190" s="211"/>
      <c r="AI190" s="211"/>
      <c r="AJ190" s="211"/>
      <c r="AK190" s="211"/>
      <c r="AL190" s="211"/>
      <c r="AM190" s="211"/>
      <c r="AN190" s="211">
        <f>INDEX($C$44:$AN$66,MATCH("New Customers 3MS",$C$44:$C$66,0),MATCH($C190,$C$44:$AN$44,0))</f>
        <v>0</v>
      </c>
    </row>
    <row r="191" spans="2:41" s="7" customFormat="1" ht="12" hidden="1" customHeight="1" outlineLevel="1">
      <c r="B191" s="245"/>
      <c r="C191" s="213"/>
      <c r="D191" s="213"/>
      <c r="E191" s="213"/>
      <c r="F191" s="213"/>
      <c r="G191" s="213"/>
      <c r="H191" s="213"/>
      <c r="I191" s="213"/>
      <c r="J191" s="213"/>
      <c r="K191" s="213"/>
      <c r="L191" s="213"/>
      <c r="M191" s="213"/>
      <c r="N191" s="213"/>
      <c r="O191" s="213"/>
      <c r="P191" s="213"/>
      <c r="Q191" s="213"/>
      <c r="R191" s="213"/>
      <c r="S191" s="213"/>
      <c r="T191" s="213"/>
      <c r="U191" s="213"/>
      <c r="V191" s="213"/>
      <c r="W191" s="213"/>
      <c r="X191" s="213"/>
      <c r="Y191" s="213"/>
      <c r="Z191" s="213"/>
      <c r="AA191" s="213"/>
      <c r="AB191" s="211"/>
      <c r="AC191" s="211"/>
      <c r="AD191" s="211"/>
      <c r="AE191" s="211"/>
      <c r="AF191" s="211"/>
      <c r="AG191" s="211"/>
      <c r="AH191" s="211"/>
      <c r="AI191" s="211"/>
      <c r="AJ191" s="211"/>
      <c r="AK191" s="211"/>
      <c r="AL191" s="211"/>
      <c r="AM191" s="211"/>
      <c r="AN191" s="211"/>
    </row>
    <row r="192" spans="2:41" s="7" customFormat="1" ht="12" hidden="1" customHeight="1" outlineLevel="1">
      <c r="B192" s="245"/>
      <c r="C192" s="213"/>
      <c r="D192" s="213"/>
      <c r="E192" s="213"/>
      <c r="F192" s="213"/>
      <c r="G192" s="213"/>
      <c r="H192" s="213"/>
      <c r="I192" s="213"/>
      <c r="J192" s="213"/>
      <c r="K192" s="213"/>
      <c r="L192" s="213"/>
      <c r="M192" s="213"/>
      <c r="N192" s="213"/>
      <c r="O192" s="213"/>
      <c r="P192" s="213"/>
      <c r="Q192" s="213"/>
      <c r="R192" s="213"/>
      <c r="S192" s="213"/>
      <c r="T192" s="213"/>
      <c r="U192" s="213"/>
      <c r="V192" s="213"/>
      <c r="W192" s="213"/>
      <c r="X192" s="213"/>
      <c r="Y192" s="213"/>
      <c r="Z192" s="213"/>
      <c r="AA192" s="213"/>
      <c r="AB192" s="211"/>
      <c r="AC192" s="211"/>
      <c r="AD192" s="211"/>
      <c r="AE192" s="211"/>
      <c r="AF192" s="211"/>
      <c r="AG192" s="211"/>
      <c r="AH192" s="211"/>
      <c r="AI192" s="211"/>
      <c r="AJ192" s="211"/>
      <c r="AK192" s="211"/>
      <c r="AL192" s="211"/>
      <c r="AM192" s="211"/>
      <c r="AN192" s="211"/>
    </row>
    <row r="193" spans="2:40" s="7" customFormat="1" ht="12" hidden="1" customHeight="1" outlineLevel="1">
      <c r="B193" s="245"/>
      <c r="C193" s="213"/>
      <c r="D193" s="213"/>
      <c r="E193" s="213"/>
      <c r="F193" s="213"/>
      <c r="G193" s="213"/>
      <c r="H193" s="213"/>
      <c r="I193" s="213"/>
      <c r="J193" s="213"/>
      <c r="K193" s="213"/>
      <c r="L193" s="213"/>
      <c r="M193" s="213"/>
      <c r="N193" s="213"/>
      <c r="O193" s="213"/>
      <c r="P193" s="213"/>
      <c r="Q193" s="213"/>
      <c r="R193" s="213"/>
      <c r="S193" s="213"/>
      <c r="T193" s="213"/>
      <c r="U193" s="213"/>
      <c r="V193" s="213"/>
      <c r="W193" s="213"/>
      <c r="X193" s="213"/>
      <c r="Y193" s="213"/>
      <c r="Z193" s="213"/>
      <c r="AA193" s="213"/>
      <c r="AB193" s="211"/>
      <c r="AC193" s="211"/>
      <c r="AD193" s="211"/>
      <c r="AE193" s="211"/>
      <c r="AF193" s="211"/>
      <c r="AG193" s="211"/>
      <c r="AH193" s="211"/>
      <c r="AI193" s="211"/>
      <c r="AJ193" s="211"/>
      <c r="AK193" s="211"/>
      <c r="AL193" s="211"/>
      <c r="AM193" s="211"/>
      <c r="AN193" s="211"/>
    </row>
    <row r="194" spans="2:40" s="7" customFormat="1" ht="12" hidden="1" customHeight="1" outlineLevel="1">
      <c r="B194" s="245"/>
      <c r="C194" s="213"/>
      <c r="D194" s="213"/>
      <c r="E194" s="213"/>
      <c r="F194" s="213"/>
      <c r="G194" s="213"/>
      <c r="H194" s="213"/>
      <c r="I194" s="213"/>
      <c r="J194" s="213"/>
      <c r="K194" s="213"/>
      <c r="L194" s="213"/>
      <c r="M194" s="213"/>
      <c r="N194" s="213"/>
      <c r="O194" s="213"/>
      <c r="P194" s="213"/>
      <c r="Q194" s="213"/>
      <c r="R194" s="213"/>
      <c r="S194" s="213"/>
      <c r="T194" s="213"/>
      <c r="U194" s="213"/>
      <c r="V194" s="213"/>
      <c r="W194" s="213"/>
      <c r="X194" s="213"/>
      <c r="Y194" s="213"/>
      <c r="Z194" s="213"/>
      <c r="AA194" s="213"/>
      <c r="AB194" s="211"/>
      <c r="AC194" s="211"/>
      <c r="AD194" s="211"/>
      <c r="AE194" s="211"/>
      <c r="AF194" s="211"/>
      <c r="AG194" s="211"/>
      <c r="AH194" s="211"/>
      <c r="AI194" s="211"/>
      <c r="AJ194" s="211"/>
      <c r="AK194" s="211"/>
      <c r="AL194" s="211"/>
      <c r="AM194" s="211"/>
      <c r="AN194" s="211"/>
    </row>
    <row r="195" spans="2:40" s="7" customFormat="1" ht="12" customHeight="1" collapsed="1">
      <c r="B195" s="245"/>
      <c r="C195" s="243" t="s">
        <v>855</v>
      </c>
      <c r="D195" s="214"/>
      <c r="E195" s="214"/>
      <c r="F195" s="214"/>
      <c r="G195" s="214"/>
      <c r="H195" s="214"/>
      <c r="I195" s="214"/>
      <c r="J195" s="214"/>
      <c r="K195" s="214"/>
      <c r="L195" s="214"/>
      <c r="M195" s="214"/>
      <c r="N195" s="214"/>
      <c r="O195" s="214"/>
      <c r="P195" s="214"/>
      <c r="Q195" s="214"/>
      <c r="R195" s="214"/>
      <c r="S195" s="214"/>
      <c r="T195" s="214"/>
      <c r="U195" s="214"/>
      <c r="V195" s="214"/>
      <c r="W195" s="214"/>
      <c r="X195" s="214"/>
      <c r="Y195" s="214"/>
      <c r="Z195" s="214"/>
      <c r="AA195" s="214"/>
      <c r="AB195" s="214"/>
      <c r="AC195" s="211"/>
    </row>
    <row r="196" spans="2:40" s="7" customFormat="1" ht="12" customHeight="1">
      <c r="B196" s="239"/>
      <c r="C196" s="214"/>
      <c r="D196" s="214"/>
      <c r="E196" s="214"/>
      <c r="F196" s="214"/>
      <c r="G196" s="214"/>
      <c r="H196" s="214"/>
      <c r="I196" s="214"/>
      <c r="J196" s="214"/>
      <c r="K196" s="214"/>
      <c r="L196" s="214"/>
      <c r="M196" s="214"/>
      <c r="N196" s="214"/>
      <c r="O196" s="214"/>
      <c r="P196" s="214"/>
      <c r="Q196" s="214"/>
      <c r="R196" s="214"/>
      <c r="S196" s="214"/>
      <c r="T196" s="214"/>
      <c r="U196" s="214"/>
      <c r="V196" s="214"/>
      <c r="W196" s="214"/>
      <c r="X196" s="214"/>
      <c r="Y196" s="214"/>
      <c r="Z196" s="214"/>
      <c r="AA196" s="214"/>
      <c r="AB196" s="214"/>
      <c r="AC196" s="215"/>
    </row>
    <row r="197" spans="2:40" s="7" customFormat="1">
      <c r="B197" s="235"/>
    </row>
    <row r="198" spans="2:40" s="207" customFormat="1">
      <c r="C198" s="248" t="s">
        <v>823</v>
      </c>
    </row>
    <row r="199" spans="2:40" s="7" customFormat="1" ht="12" customHeight="1">
      <c r="B199" s="237"/>
      <c r="C199" s="208"/>
      <c r="D199" s="208"/>
      <c r="E199" s="196" t="s">
        <v>753</v>
      </c>
      <c r="F199" s="196" t="s">
        <v>754</v>
      </c>
      <c r="G199" s="196" t="s">
        <v>755</v>
      </c>
      <c r="H199" s="196" t="s">
        <v>756</v>
      </c>
      <c r="I199" s="196" t="s">
        <v>757</v>
      </c>
      <c r="J199" s="196" t="s">
        <v>758</v>
      </c>
      <c r="K199" s="196" t="s">
        <v>759</v>
      </c>
      <c r="L199" s="196" t="s">
        <v>760</v>
      </c>
      <c r="M199" s="196" t="s">
        <v>761</v>
      </c>
      <c r="N199" s="196" t="s">
        <v>762</v>
      </c>
      <c r="O199" s="196" t="s">
        <v>763</v>
      </c>
      <c r="P199" s="196" t="s">
        <v>764</v>
      </c>
      <c r="Q199" s="196" t="s">
        <v>765</v>
      </c>
      <c r="R199" s="196" t="s">
        <v>766</v>
      </c>
      <c r="S199" s="196" t="s">
        <v>767</v>
      </c>
      <c r="T199" s="196" t="s">
        <v>768</v>
      </c>
      <c r="U199" s="196" t="s">
        <v>769</v>
      </c>
      <c r="V199" s="196" t="s">
        <v>770</v>
      </c>
      <c r="W199" s="196" t="s">
        <v>771</v>
      </c>
      <c r="X199" s="196" t="s">
        <v>772</v>
      </c>
      <c r="Y199" s="196" t="s">
        <v>773</v>
      </c>
      <c r="Z199" s="196" t="s">
        <v>774</v>
      </c>
      <c r="AA199" s="196" t="s">
        <v>775</v>
      </c>
      <c r="AB199" s="196" t="s">
        <v>776</v>
      </c>
      <c r="AC199" s="196" t="s">
        <v>777</v>
      </c>
      <c r="AD199" s="196" t="s">
        <v>778</v>
      </c>
      <c r="AE199" s="196" t="s">
        <v>779</v>
      </c>
      <c r="AF199" s="196" t="s">
        <v>780</v>
      </c>
      <c r="AG199" s="196" t="s">
        <v>781</v>
      </c>
      <c r="AH199" s="196" t="s">
        <v>782</v>
      </c>
      <c r="AI199" s="196" t="s">
        <v>783</v>
      </c>
      <c r="AJ199" s="196" t="s">
        <v>784</v>
      </c>
      <c r="AK199" s="196" t="s">
        <v>785</v>
      </c>
      <c r="AL199" s="196" t="s">
        <v>786</v>
      </c>
      <c r="AM199" s="196" t="s">
        <v>787</v>
      </c>
      <c r="AN199" s="196" t="s">
        <v>788</v>
      </c>
    </row>
    <row r="200" spans="2:40" s="7" customFormat="1" ht="12" customHeight="1">
      <c r="B200" s="239"/>
      <c r="C200" s="214" t="s">
        <v>821</v>
      </c>
      <c r="D200" s="212"/>
      <c r="E200" s="351"/>
      <c r="F200" s="351"/>
      <c r="G200" s="351"/>
      <c r="H200" s="351"/>
      <c r="I200" s="351"/>
      <c r="J200" s="351">
        <f t="shared" ref="J200:AN200" si="118">J36*J40</f>
        <v>0</v>
      </c>
      <c r="K200" s="351">
        <f t="shared" si="118"/>
        <v>0</v>
      </c>
      <c r="L200" s="351">
        <f t="shared" si="118"/>
        <v>0</v>
      </c>
      <c r="M200" s="337">
        <f t="shared" si="118"/>
        <v>11050</v>
      </c>
      <c r="N200" s="337">
        <f t="shared" si="118"/>
        <v>11900</v>
      </c>
      <c r="O200" s="337">
        <f t="shared" si="118"/>
        <v>3400.0000000000005</v>
      </c>
      <c r="P200" s="337">
        <f t="shared" si="118"/>
        <v>3400.0000000000005</v>
      </c>
      <c r="Q200" s="337">
        <f t="shared" si="118"/>
        <v>3606.0300000000007</v>
      </c>
      <c r="R200" s="337">
        <f t="shared" si="118"/>
        <v>7055.3600000000006</v>
      </c>
      <c r="S200" s="337">
        <f t="shared" si="118"/>
        <v>7883.9200000000019</v>
      </c>
      <c r="T200" s="337">
        <f t="shared" si="118"/>
        <v>4679.92</v>
      </c>
      <c r="U200" s="337">
        <f t="shared" si="118"/>
        <v>3554.5400000000004</v>
      </c>
      <c r="V200" s="337">
        <f t="shared" si="118"/>
        <v>8364.9800000000014</v>
      </c>
      <c r="W200" s="337">
        <f t="shared" si="118"/>
        <v>3926.16</v>
      </c>
      <c r="X200" s="337">
        <f t="shared" si="118"/>
        <v>4114.32</v>
      </c>
      <c r="Y200" s="337">
        <f t="shared" si="118"/>
        <v>14300</v>
      </c>
      <c r="Z200" s="337">
        <f t="shared" si="118"/>
        <v>14000</v>
      </c>
      <c r="AA200" s="337">
        <f t="shared" si="118"/>
        <v>4400</v>
      </c>
      <c r="AB200" s="337">
        <f t="shared" si="118"/>
        <v>4800</v>
      </c>
      <c r="AC200" s="337">
        <f t="shared" si="118"/>
        <v>3606.0300000000007</v>
      </c>
      <c r="AD200" s="337">
        <f t="shared" si="118"/>
        <v>9171.9680000000008</v>
      </c>
      <c r="AE200" s="337">
        <f t="shared" si="118"/>
        <v>8672.3120000000035</v>
      </c>
      <c r="AF200" s="337">
        <f t="shared" si="118"/>
        <v>5147.9120000000003</v>
      </c>
      <c r="AG200" s="337">
        <f t="shared" si="118"/>
        <v>3909.9940000000006</v>
      </c>
      <c r="AH200" s="337">
        <f t="shared" si="118"/>
        <v>10874.474000000002</v>
      </c>
      <c r="AI200" s="337">
        <f t="shared" si="118"/>
        <v>1570.4639999999999</v>
      </c>
      <c r="AJ200" s="337">
        <f t="shared" si="118"/>
        <v>4525.7520000000004</v>
      </c>
      <c r="AK200" s="337">
        <f t="shared" si="118"/>
        <v>15730</v>
      </c>
      <c r="AL200" s="337">
        <f t="shared" si="118"/>
        <v>14000</v>
      </c>
      <c r="AM200" s="337">
        <f t="shared" si="118"/>
        <v>4840.0000000000009</v>
      </c>
      <c r="AN200" s="337">
        <f t="shared" si="118"/>
        <v>5760</v>
      </c>
    </row>
    <row r="201" spans="2:40" ht="12" customHeight="1">
      <c r="B201" s="301" t="s">
        <v>856</v>
      </c>
      <c r="C201" s="303" t="s">
        <v>827</v>
      </c>
      <c r="D201" s="302"/>
      <c r="E201" s="312"/>
      <c r="F201" s="312"/>
      <c r="G201" s="312"/>
      <c r="H201" s="312"/>
      <c r="I201" s="312"/>
      <c r="J201" s="312"/>
      <c r="K201" s="312"/>
      <c r="L201" s="312"/>
      <c r="M201" s="313">
        <v>90</v>
      </c>
      <c r="N201" s="313">
        <v>90</v>
      </c>
      <c r="O201" s="313">
        <v>90</v>
      </c>
      <c r="P201" s="313">
        <v>90</v>
      </c>
      <c r="Q201" s="313">
        <v>90</v>
      </c>
      <c r="R201" s="313">
        <v>90</v>
      </c>
      <c r="S201" s="313">
        <v>90</v>
      </c>
      <c r="T201" s="313">
        <v>90</v>
      </c>
      <c r="U201" s="313">
        <v>90</v>
      </c>
      <c r="V201" s="313">
        <v>90</v>
      </c>
      <c r="W201" s="313">
        <v>90</v>
      </c>
      <c r="X201" s="313">
        <v>90</v>
      </c>
      <c r="Y201" s="313">
        <v>90</v>
      </c>
      <c r="Z201" s="313">
        <v>90</v>
      </c>
      <c r="AA201" s="313">
        <v>90</v>
      </c>
      <c r="AB201" s="313">
        <v>90</v>
      </c>
      <c r="AC201" s="313">
        <v>90</v>
      </c>
      <c r="AD201" s="313">
        <v>90</v>
      </c>
      <c r="AE201" s="313">
        <v>90</v>
      </c>
      <c r="AF201" s="313">
        <v>90</v>
      </c>
      <c r="AG201" s="313">
        <v>90</v>
      </c>
      <c r="AH201" s="313">
        <v>90</v>
      </c>
      <c r="AI201" s="313">
        <v>90</v>
      </c>
      <c r="AJ201" s="313">
        <v>90</v>
      </c>
      <c r="AK201" s="313">
        <v>90</v>
      </c>
      <c r="AL201" s="313">
        <v>90</v>
      </c>
      <c r="AM201" s="313">
        <v>90</v>
      </c>
      <c r="AN201" s="313">
        <v>90</v>
      </c>
    </row>
    <row r="202" spans="2:40" s="7" customFormat="1" ht="12" customHeight="1">
      <c r="B202" s="239" t="s">
        <v>828</v>
      </c>
      <c r="C202" s="214" t="s">
        <v>829</v>
      </c>
      <c r="D202" s="212"/>
      <c r="E202" s="232"/>
      <c r="F202" s="232"/>
      <c r="G202" s="232"/>
      <c r="H202" s="232"/>
      <c r="I202" s="232"/>
      <c r="J202" s="232"/>
      <c r="K202" s="232"/>
      <c r="L202" s="232"/>
      <c r="M202" s="205">
        <f t="shared" ref="M202:AN202" si="119">M200/M201</f>
        <v>122.77777777777777</v>
      </c>
      <c r="N202" s="205">
        <f t="shared" si="119"/>
        <v>132.22222222222223</v>
      </c>
      <c r="O202" s="205">
        <f t="shared" si="119"/>
        <v>37.777777777777786</v>
      </c>
      <c r="P202" s="205">
        <f t="shared" si="119"/>
        <v>37.777777777777786</v>
      </c>
      <c r="Q202" s="205">
        <f t="shared" si="119"/>
        <v>40.067000000000007</v>
      </c>
      <c r="R202" s="205">
        <f t="shared" si="119"/>
        <v>78.392888888888891</v>
      </c>
      <c r="S202" s="205">
        <f t="shared" si="119"/>
        <v>87.599111111111128</v>
      </c>
      <c r="T202" s="205">
        <f t="shared" si="119"/>
        <v>51.999111111111112</v>
      </c>
      <c r="U202" s="205">
        <f t="shared" si="119"/>
        <v>39.494888888888894</v>
      </c>
      <c r="V202" s="205">
        <f t="shared" si="119"/>
        <v>92.944222222222237</v>
      </c>
      <c r="W202" s="205">
        <f t="shared" si="119"/>
        <v>43.623999999999995</v>
      </c>
      <c r="X202" s="205">
        <f t="shared" si="119"/>
        <v>45.714666666666666</v>
      </c>
      <c r="Y202" s="205">
        <f t="shared" si="119"/>
        <v>158.88888888888889</v>
      </c>
      <c r="Z202" s="205">
        <f t="shared" si="119"/>
        <v>155.55555555555554</v>
      </c>
      <c r="AA202" s="205">
        <f t="shared" si="119"/>
        <v>48.888888888888886</v>
      </c>
      <c r="AB202" s="205">
        <f t="shared" si="119"/>
        <v>53.333333333333336</v>
      </c>
      <c r="AC202" s="205">
        <f t="shared" si="119"/>
        <v>40.067000000000007</v>
      </c>
      <c r="AD202" s="205">
        <f t="shared" si="119"/>
        <v>101.91075555555557</v>
      </c>
      <c r="AE202" s="205">
        <f t="shared" si="119"/>
        <v>96.359022222222265</v>
      </c>
      <c r="AF202" s="205">
        <f t="shared" si="119"/>
        <v>57.199022222222226</v>
      </c>
      <c r="AG202" s="205">
        <f t="shared" si="119"/>
        <v>43.444377777777781</v>
      </c>
      <c r="AH202" s="205">
        <f t="shared" si="119"/>
        <v>120.82748888888891</v>
      </c>
      <c r="AI202" s="205">
        <f t="shared" si="119"/>
        <v>17.4496</v>
      </c>
      <c r="AJ202" s="205">
        <f t="shared" si="119"/>
        <v>50.286133333333339</v>
      </c>
      <c r="AK202" s="205">
        <f t="shared" si="119"/>
        <v>174.77777777777777</v>
      </c>
      <c r="AL202" s="205">
        <f t="shared" si="119"/>
        <v>155.55555555555554</v>
      </c>
      <c r="AM202" s="205">
        <f t="shared" si="119"/>
        <v>53.777777777777786</v>
      </c>
      <c r="AN202" s="205">
        <f t="shared" si="119"/>
        <v>64</v>
      </c>
    </row>
    <row r="203" spans="2:40" ht="12" customHeight="1">
      <c r="B203" s="301"/>
      <c r="C203" s="303" t="s">
        <v>830</v>
      </c>
      <c r="D203" s="302"/>
      <c r="E203" s="314">
        <v>0</v>
      </c>
      <c r="F203" s="314">
        <v>0</v>
      </c>
      <c r="G203" s="314">
        <v>0</v>
      </c>
      <c r="H203" s="314">
        <v>0</v>
      </c>
      <c r="I203" s="314">
        <v>0</v>
      </c>
      <c r="J203" s="314">
        <v>0</v>
      </c>
      <c r="K203" s="314">
        <v>0</v>
      </c>
      <c r="L203" s="314">
        <v>0</v>
      </c>
      <c r="M203" s="315">
        <v>0</v>
      </c>
      <c r="N203" s="315">
        <v>0</v>
      </c>
      <c r="O203" s="315">
        <v>0</v>
      </c>
      <c r="P203" s="315">
        <v>0</v>
      </c>
      <c r="Q203" s="315">
        <v>0</v>
      </c>
      <c r="R203" s="315">
        <v>0</v>
      </c>
      <c r="S203" s="315">
        <v>0</v>
      </c>
      <c r="T203" s="315">
        <v>0</v>
      </c>
      <c r="U203" s="315">
        <v>0</v>
      </c>
      <c r="V203" s="315">
        <v>0</v>
      </c>
      <c r="W203" s="315">
        <v>0</v>
      </c>
      <c r="X203" s="315">
        <v>0</v>
      </c>
      <c r="Y203" s="315">
        <v>0</v>
      </c>
      <c r="Z203" s="315">
        <v>0</v>
      </c>
      <c r="AA203" s="315">
        <v>0</v>
      </c>
      <c r="AB203" s="315">
        <v>0</v>
      </c>
      <c r="AC203" s="315">
        <v>0</v>
      </c>
      <c r="AD203" s="315">
        <v>0</v>
      </c>
      <c r="AE203" s="315">
        <v>0</v>
      </c>
      <c r="AF203" s="315">
        <v>0</v>
      </c>
      <c r="AG203" s="315">
        <v>0</v>
      </c>
      <c r="AH203" s="315">
        <v>0</v>
      </c>
      <c r="AI203" s="315">
        <v>0</v>
      </c>
      <c r="AJ203" s="315">
        <v>0</v>
      </c>
      <c r="AK203" s="315">
        <v>0</v>
      </c>
      <c r="AL203" s="315">
        <v>0</v>
      </c>
      <c r="AM203" s="315">
        <v>0</v>
      </c>
      <c r="AN203" s="315">
        <v>0</v>
      </c>
    </row>
    <row r="204" spans="2:40" s="7" customFormat="1" ht="12" customHeight="1">
      <c r="B204" s="239"/>
      <c r="C204" s="214" t="s">
        <v>831</v>
      </c>
      <c r="D204" s="212"/>
      <c r="E204" s="232">
        <f t="shared" ref="E204:I204" si="120">E202*E203</f>
        <v>0</v>
      </c>
      <c r="F204" s="232">
        <f t="shared" si="120"/>
        <v>0</v>
      </c>
      <c r="G204" s="232">
        <f t="shared" si="120"/>
        <v>0</v>
      </c>
      <c r="H204" s="232">
        <f t="shared" si="120"/>
        <v>0</v>
      </c>
      <c r="I204" s="232">
        <f t="shared" si="120"/>
        <v>0</v>
      </c>
      <c r="J204" s="232">
        <f t="shared" ref="J204:AN204" si="121">J202*J203</f>
        <v>0</v>
      </c>
      <c r="K204" s="232">
        <f t="shared" si="121"/>
        <v>0</v>
      </c>
      <c r="L204" s="232">
        <f t="shared" si="121"/>
        <v>0</v>
      </c>
      <c r="M204" s="205">
        <f t="shared" si="121"/>
        <v>0</v>
      </c>
      <c r="N204" s="205">
        <f t="shared" si="121"/>
        <v>0</v>
      </c>
      <c r="O204" s="205">
        <f t="shared" si="121"/>
        <v>0</v>
      </c>
      <c r="P204" s="205">
        <f t="shared" si="121"/>
        <v>0</v>
      </c>
      <c r="Q204" s="205">
        <f t="shared" si="121"/>
        <v>0</v>
      </c>
      <c r="R204" s="205">
        <f t="shared" si="121"/>
        <v>0</v>
      </c>
      <c r="S204" s="205">
        <f t="shared" si="121"/>
        <v>0</v>
      </c>
      <c r="T204" s="205">
        <f t="shared" si="121"/>
        <v>0</v>
      </c>
      <c r="U204" s="205">
        <f t="shared" si="121"/>
        <v>0</v>
      </c>
      <c r="V204" s="205">
        <f t="shared" si="121"/>
        <v>0</v>
      </c>
      <c r="W204" s="205">
        <f t="shared" si="121"/>
        <v>0</v>
      </c>
      <c r="X204" s="205">
        <f t="shared" si="121"/>
        <v>0</v>
      </c>
      <c r="Y204" s="205">
        <f t="shared" si="121"/>
        <v>0</v>
      </c>
      <c r="Z204" s="205">
        <f t="shared" si="121"/>
        <v>0</v>
      </c>
      <c r="AA204" s="205">
        <f t="shared" si="121"/>
        <v>0</v>
      </c>
      <c r="AB204" s="205">
        <f t="shared" si="121"/>
        <v>0</v>
      </c>
      <c r="AC204" s="205">
        <f t="shared" si="121"/>
        <v>0</v>
      </c>
      <c r="AD204" s="205">
        <f t="shared" si="121"/>
        <v>0</v>
      </c>
      <c r="AE204" s="205">
        <f t="shared" si="121"/>
        <v>0</v>
      </c>
      <c r="AF204" s="205">
        <f t="shared" si="121"/>
        <v>0</v>
      </c>
      <c r="AG204" s="205">
        <f t="shared" si="121"/>
        <v>0</v>
      </c>
      <c r="AH204" s="205">
        <f t="shared" si="121"/>
        <v>0</v>
      </c>
      <c r="AI204" s="205">
        <f t="shared" si="121"/>
        <v>0</v>
      </c>
      <c r="AJ204" s="205">
        <f t="shared" si="121"/>
        <v>0</v>
      </c>
      <c r="AK204" s="205">
        <f t="shared" si="121"/>
        <v>0</v>
      </c>
      <c r="AL204" s="205">
        <f t="shared" si="121"/>
        <v>0</v>
      </c>
      <c r="AM204" s="205">
        <f t="shared" si="121"/>
        <v>0</v>
      </c>
      <c r="AN204" s="205">
        <f t="shared" si="121"/>
        <v>0</v>
      </c>
    </row>
    <row r="205" spans="2:40" s="7" customFormat="1" ht="12" customHeight="1">
      <c r="B205" s="239" t="s">
        <v>828</v>
      </c>
      <c r="C205" s="214" t="s">
        <v>833</v>
      </c>
      <c r="D205" s="212"/>
      <c r="E205" s="232">
        <f>31+2</f>
        <v>33</v>
      </c>
      <c r="F205" s="232">
        <f>23+3</f>
        <v>26</v>
      </c>
      <c r="G205" s="232">
        <f>69+1</f>
        <v>70</v>
      </c>
      <c r="H205" s="232">
        <f>95+13</f>
        <v>108</v>
      </c>
      <c r="I205" s="232">
        <f>130+2</f>
        <v>132</v>
      </c>
      <c r="J205" s="232">
        <f>14+132</f>
        <v>146</v>
      </c>
      <c r="K205" s="232">
        <f>125+7</f>
        <v>132</v>
      </c>
      <c r="L205" s="232">
        <v>2</v>
      </c>
      <c r="M205" s="205">
        <f t="shared" ref="M205:AN205" si="122">M202+M204</f>
        <v>122.77777777777777</v>
      </c>
      <c r="N205" s="205">
        <f t="shared" si="122"/>
        <v>132.22222222222223</v>
      </c>
      <c r="O205" s="205">
        <f t="shared" si="122"/>
        <v>37.777777777777786</v>
      </c>
      <c r="P205" s="205">
        <f t="shared" si="122"/>
        <v>37.777777777777786</v>
      </c>
      <c r="Q205" s="205">
        <f t="shared" si="122"/>
        <v>40.067000000000007</v>
      </c>
      <c r="R205" s="205">
        <f t="shared" si="122"/>
        <v>78.392888888888891</v>
      </c>
      <c r="S205" s="205">
        <f t="shared" si="122"/>
        <v>87.599111111111128</v>
      </c>
      <c r="T205" s="205">
        <f t="shared" si="122"/>
        <v>51.999111111111112</v>
      </c>
      <c r="U205" s="205">
        <f t="shared" si="122"/>
        <v>39.494888888888894</v>
      </c>
      <c r="V205" s="205">
        <f t="shared" si="122"/>
        <v>92.944222222222237</v>
      </c>
      <c r="W205" s="205">
        <f t="shared" si="122"/>
        <v>43.623999999999995</v>
      </c>
      <c r="X205" s="205">
        <f t="shared" si="122"/>
        <v>45.714666666666666</v>
      </c>
      <c r="Y205" s="205">
        <f t="shared" si="122"/>
        <v>158.88888888888889</v>
      </c>
      <c r="Z205" s="205">
        <f t="shared" si="122"/>
        <v>155.55555555555554</v>
      </c>
      <c r="AA205" s="205">
        <f t="shared" si="122"/>
        <v>48.888888888888886</v>
      </c>
      <c r="AB205" s="205">
        <f t="shared" si="122"/>
        <v>53.333333333333336</v>
      </c>
      <c r="AC205" s="205">
        <f t="shared" si="122"/>
        <v>40.067000000000007</v>
      </c>
      <c r="AD205" s="205">
        <f t="shared" si="122"/>
        <v>101.91075555555557</v>
      </c>
      <c r="AE205" s="205">
        <f t="shared" si="122"/>
        <v>96.359022222222265</v>
      </c>
      <c r="AF205" s="205">
        <f t="shared" si="122"/>
        <v>57.199022222222226</v>
      </c>
      <c r="AG205" s="205">
        <f t="shared" si="122"/>
        <v>43.444377777777781</v>
      </c>
      <c r="AH205" s="205">
        <f t="shared" si="122"/>
        <v>120.82748888888891</v>
      </c>
      <c r="AI205" s="205">
        <f t="shared" si="122"/>
        <v>17.4496</v>
      </c>
      <c r="AJ205" s="205">
        <f t="shared" si="122"/>
        <v>50.286133333333339</v>
      </c>
      <c r="AK205" s="205">
        <f t="shared" si="122"/>
        <v>174.77777777777777</v>
      </c>
      <c r="AL205" s="205">
        <f t="shared" si="122"/>
        <v>155.55555555555554</v>
      </c>
      <c r="AM205" s="205">
        <f t="shared" si="122"/>
        <v>53.777777777777786</v>
      </c>
      <c r="AN205" s="205">
        <f t="shared" si="122"/>
        <v>64</v>
      </c>
    </row>
    <row r="206" spans="2:40" s="7" customFormat="1" ht="12" customHeight="1">
      <c r="B206" s="239" t="s">
        <v>857</v>
      </c>
      <c r="C206" s="214" t="s">
        <v>834</v>
      </c>
      <c r="D206" s="212"/>
      <c r="E206" s="232">
        <v>2</v>
      </c>
      <c r="F206" s="232">
        <v>3</v>
      </c>
      <c r="G206" s="232">
        <v>1</v>
      </c>
      <c r="H206" s="232">
        <v>13</v>
      </c>
      <c r="I206" s="232">
        <v>2</v>
      </c>
      <c r="J206" s="232">
        <v>14</v>
      </c>
      <c r="K206" s="232">
        <v>7</v>
      </c>
      <c r="L206" s="232">
        <v>0</v>
      </c>
      <c r="M206" s="205">
        <f t="shared" ref="M206:AN206" si="123">M214+M215</f>
        <v>0</v>
      </c>
      <c r="N206" s="205">
        <f t="shared" si="123"/>
        <v>0</v>
      </c>
      <c r="O206" s="205">
        <f t="shared" si="123"/>
        <v>0</v>
      </c>
      <c r="P206" s="205">
        <f t="shared" si="123"/>
        <v>0</v>
      </c>
      <c r="Q206" s="205">
        <f t="shared" si="123"/>
        <v>0</v>
      </c>
      <c r="R206" s="205">
        <f t="shared" si="123"/>
        <v>0</v>
      </c>
      <c r="S206" s="205">
        <f t="shared" si="123"/>
        <v>0</v>
      </c>
      <c r="T206" s="205">
        <f t="shared" si="123"/>
        <v>0</v>
      </c>
      <c r="U206" s="205">
        <f t="shared" si="123"/>
        <v>0</v>
      </c>
      <c r="V206" s="205">
        <f t="shared" si="123"/>
        <v>0</v>
      </c>
      <c r="W206" s="205">
        <f t="shared" si="123"/>
        <v>0</v>
      </c>
      <c r="X206" s="205">
        <f t="shared" si="123"/>
        <v>0</v>
      </c>
      <c r="Y206" s="205">
        <f t="shared" si="123"/>
        <v>0</v>
      </c>
      <c r="Z206" s="205">
        <f t="shared" si="123"/>
        <v>0</v>
      </c>
      <c r="AA206" s="205">
        <f t="shared" si="123"/>
        <v>0</v>
      </c>
      <c r="AB206" s="205">
        <f t="shared" si="123"/>
        <v>0</v>
      </c>
      <c r="AC206" s="205">
        <f t="shared" si="123"/>
        <v>0</v>
      </c>
      <c r="AD206" s="205">
        <f t="shared" si="123"/>
        <v>0</v>
      </c>
      <c r="AE206" s="205">
        <f t="shared" si="123"/>
        <v>0</v>
      </c>
      <c r="AF206" s="205">
        <f t="shared" si="123"/>
        <v>0</v>
      </c>
      <c r="AG206" s="205">
        <f t="shared" si="123"/>
        <v>0</v>
      </c>
      <c r="AH206" s="205">
        <f t="shared" si="123"/>
        <v>0</v>
      </c>
      <c r="AI206" s="205">
        <f t="shared" si="123"/>
        <v>0</v>
      </c>
      <c r="AJ206" s="205">
        <f t="shared" si="123"/>
        <v>0</v>
      </c>
      <c r="AK206" s="205">
        <f t="shared" si="123"/>
        <v>0</v>
      </c>
      <c r="AL206" s="205">
        <f t="shared" si="123"/>
        <v>0</v>
      </c>
      <c r="AM206" s="205">
        <f t="shared" si="123"/>
        <v>0</v>
      </c>
      <c r="AN206" s="205">
        <f t="shared" si="123"/>
        <v>0</v>
      </c>
    </row>
    <row r="207" spans="2:40" s="7" customFormat="1" ht="12" customHeight="1">
      <c r="B207" s="239"/>
      <c r="C207" s="214" t="s">
        <v>835</v>
      </c>
      <c r="D207" s="212"/>
      <c r="E207" s="232">
        <f>E200/E205</f>
        <v>0</v>
      </c>
      <c r="F207" s="232">
        <f t="shared" ref="F207:I207" si="124">F200/F205</f>
        <v>0</v>
      </c>
      <c r="G207" s="232">
        <f t="shared" si="124"/>
        <v>0</v>
      </c>
      <c r="H207" s="232">
        <f t="shared" si="124"/>
        <v>0</v>
      </c>
      <c r="I207" s="232">
        <f t="shared" si="124"/>
        <v>0</v>
      </c>
      <c r="J207" s="232">
        <f t="shared" ref="J207:AN207" si="125">J200/J205</f>
        <v>0</v>
      </c>
      <c r="K207" s="232">
        <f t="shared" si="125"/>
        <v>0</v>
      </c>
      <c r="L207" s="232">
        <f t="shared" si="125"/>
        <v>0</v>
      </c>
      <c r="M207" s="205">
        <f t="shared" si="125"/>
        <v>90</v>
      </c>
      <c r="N207" s="205">
        <f t="shared" si="125"/>
        <v>90</v>
      </c>
      <c r="O207" s="205">
        <f t="shared" si="125"/>
        <v>90</v>
      </c>
      <c r="P207" s="205">
        <f t="shared" si="125"/>
        <v>90</v>
      </c>
      <c r="Q207" s="205">
        <f t="shared" si="125"/>
        <v>90</v>
      </c>
      <c r="R207" s="205">
        <f t="shared" si="125"/>
        <v>90</v>
      </c>
      <c r="S207" s="205">
        <f t="shared" si="125"/>
        <v>90</v>
      </c>
      <c r="T207" s="205">
        <f t="shared" si="125"/>
        <v>90</v>
      </c>
      <c r="U207" s="205">
        <f t="shared" si="125"/>
        <v>90</v>
      </c>
      <c r="V207" s="205">
        <f t="shared" si="125"/>
        <v>90</v>
      </c>
      <c r="W207" s="205">
        <f t="shared" si="125"/>
        <v>90</v>
      </c>
      <c r="X207" s="205">
        <f t="shared" si="125"/>
        <v>90</v>
      </c>
      <c r="Y207" s="205">
        <f t="shared" si="125"/>
        <v>90</v>
      </c>
      <c r="Z207" s="205">
        <f t="shared" si="125"/>
        <v>90.000000000000014</v>
      </c>
      <c r="AA207" s="205">
        <f t="shared" si="125"/>
        <v>90</v>
      </c>
      <c r="AB207" s="205">
        <f t="shared" si="125"/>
        <v>90</v>
      </c>
      <c r="AC207" s="205">
        <f t="shared" si="125"/>
        <v>90</v>
      </c>
      <c r="AD207" s="205">
        <f t="shared" si="125"/>
        <v>90</v>
      </c>
      <c r="AE207" s="205">
        <f t="shared" si="125"/>
        <v>90</v>
      </c>
      <c r="AF207" s="205">
        <f t="shared" si="125"/>
        <v>90</v>
      </c>
      <c r="AG207" s="205">
        <f t="shared" si="125"/>
        <v>90</v>
      </c>
      <c r="AH207" s="205">
        <f t="shared" si="125"/>
        <v>90</v>
      </c>
      <c r="AI207" s="205">
        <f t="shared" si="125"/>
        <v>90</v>
      </c>
      <c r="AJ207" s="205">
        <f t="shared" si="125"/>
        <v>90</v>
      </c>
      <c r="AK207" s="205">
        <f t="shared" si="125"/>
        <v>90</v>
      </c>
      <c r="AL207" s="205">
        <f t="shared" si="125"/>
        <v>90.000000000000014</v>
      </c>
      <c r="AM207" s="205">
        <f t="shared" si="125"/>
        <v>90</v>
      </c>
      <c r="AN207" s="205">
        <f t="shared" si="125"/>
        <v>90</v>
      </c>
    </row>
    <row r="208" spans="2:40" s="7" customFormat="1" ht="12" customHeight="1">
      <c r="B208" s="239"/>
      <c r="C208" s="214" t="s">
        <v>836</v>
      </c>
      <c r="D208" s="212"/>
      <c r="E208" s="232"/>
      <c r="F208" s="232"/>
      <c r="G208" s="232"/>
      <c r="H208" s="232"/>
      <c r="I208" s="232"/>
      <c r="J208" s="232"/>
      <c r="K208" s="232"/>
      <c r="L208" s="232"/>
      <c r="M208" s="205"/>
      <c r="N208" s="205"/>
      <c r="O208" s="205"/>
      <c r="P208" s="205"/>
      <c r="Q208" s="205"/>
      <c r="R208" s="205"/>
      <c r="S208" s="205"/>
      <c r="T208" s="205"/>
      <c r="U208" s="205"/>
      <c r="V208" s="205"/>
      <c r="W208" s="205"/>
      <c r="X208" s="205"/>
      <c r="Y208" s="205"/>
      <c r="Z208" s="205"/>
      <c r="AA208" s="205"/>
      <c r="AB208" s="205"/>
      <c r="AC208" s="205"/>
      <c r="AD208" s="205"/>
      <c r="AE208" s="205"/>
      <c r="AF208" s="205"/>
      <c r="AG208" s="205"/>
      <c r="AH208" s="205"/>
      <c r="AI208" s="205"/>
      <c r="AJ208" s="205"/>
      <c r="AK208" s="205"/>
      <c r="AL208" s="205"/>
      <c r="AM208" s="205"/>
      <c r="AN208" s="205"/>
    </row>
    <row r="209" spans="2:40" ht="12" customHeight="1">
      <c r="B209" s="316" t="s">
        <v>858</v>
      </c>
      <c r="C209" s="303" t="s">
        <v>837</v>
      </c>
      <c r="D209" s="302"/>
      <c r="E209" s="317">
        <f>1-(E206/E205)</f>
        <v>0.93939393939393945</v>
      </c>
      <c r="F209" s="317">
        <f t="shared" ref="F209:I209" si="126">1-(F206/F205)</f>
        <v>0.88461538461538458</v>
      </c>
      <c r="G209" s="317">
        <f t="shared" si="126"/>
        <v>0.98571428571428577</v>
      </c>
      <c r="H209" s="317">
        <f t="shared" si="126"/>
        <v>0.87962962962962965</v>
      </c>
      <c r="I209" s="317">
        <f t="shared" si="126"/>
        <v>0.98484848484848486</v>
      </c>
      <c r="J209" s="317">
        <f>132/146</f>
        <v>0.90410958904109584</v>
      </c>
      <c r="K209" s="317">
        <f>125/132</f>
        <v>0.94696969696969702</v>
      </c>
      <c r="L209" s="317">
        <v>1</v>
      </c>
      <c r="M209" s="318">
        <v>1</v>
      </c>
      <c r="N209" s="318">
        <v>1</v>
      </c>
      <c r="O209" s="318">
        <v>1</v>
      </c>
      <c r="P209" s="318">
        <v>1</v>
      </c>
      <c r="Q209" s="318">
        <v>1</v>
      </c>
      <c r="R209" s="318">
        <v>1</v>
      </c>
      <c r="S209" s="318">
        <v>1</v>
      </c>
      <c r="T209" s="318">
        <v>1</v>
      </c>
      <c r="U209" s="318">
        <v>1</v>
      </c>
      <c r="V209" s="318">
        <v>1</v>
      </c>
      <c r="W209" s="318">
        <v>1</v>
      </c>
      <c r="X209" s="318">
        <v>1</v>
      </c>
      <c r="Y209" s="318">
        <v>1</v>
      </c>
      <c r="Z209" s="318">
        <v>1</v>
      </c>
      <c r="AA209" s="318">
        <v>1</v>
      </c>
      <c r="AB209" s="318">
        <v>1</v>
      </c>
      <c r="AC209" s="318">
        <v>1</v>
      </c>
      <c r="AD209" s="318">
        <v>1</v>
      </c>
      <c r="AE209" s="318">
        <v>1</v>
      </c>
      <c r="AF209" s="318">
        <v>1</v>
      </c>
      <c r="AG209" s="318">
        <v>1</v>
      </c>
      <c r="AH209" s="318">
        <v>1</v>
      </c>
      <c r="AI209" s="318">
        <v>1</v>
      </c>
      <c r="AJ209" s="318">
        <v>1</v>
      </c>
      <c r="AK209" s="318">
        <v>1</v>
      </c>
      <c r="AL209" s="318">
        <v>1</v>
      </c>
      <c r="AM209" s="318">
        <v>1</v>
      </c>
      <c r="AN209" s="318">
        <v>1</v>
      </c>
    </row>
    <row r="210" spans="2:40" ht="12" customHeight="1">
      <c r="B210" s="301" t="s">
        <v>859</v>
      </c>
      <c r="C210" s="303" t="s">
        <v>839</v>
      </c>
      <c r="D210" s="302"/>
      <c r="E210" s="317">
        <f>1-E209</f>
        <v>6.0606060606060552E-2</v>
      </c>
      <c r="F210" s="317">
        <f t="shared" ref="F210:I210" si="127">1-F209</f>
        <v>0.11538461538461542</v>
      </c>
      <c r="G210" s="317">
        <f t="shared" si="127"/>
        <v>1.4285714285714235E-2</v>
      </c>
      <c r="H210" s="317">
        <f t="shared" si="127"/>
        <v>0.12037037037037035</v>
      </c>
      <c r="I210" s="317">
        <f t="shared" si="127"/>
        <v>1.5151515151515138E-2</v>
      </c>
      <c r="J210" s="317">
        <f>1-J209</f>
        <v>9.589041095890416E-2</v>
      </c>
      <c r="K210" s="317">
        <f>1-K209</f>
        <v>5.3030303030302983E-2</v>
      </c>
      <c r="L210" s="317">
        <v>0</v>
      </c>
      <c r="M210" s="318">
        <v>0</v>
      </c>
      <c r="N210" s="318">
        <v>0</v>
      </c>
      <c r="O210" s="318">
        <v>0</v>
      </c>
      <c r="P210" s="318">
        <v>0</v>
      </c>
      <c r="Q210" s="318">
        <v>0</v>
      </c>
      <c r="R210" s="318">
        <v>0</v>
      </c>
      <c r="S210" s="318">
        <v>0</v>
      </c>
      <c r="T210" s="318">
        <v>0</v>
      </c>
      <c r="U210" s="318">
        <v>0</v>
      </c>
      <c r="V210" s="318">
        <v>0</v>
      </c>
      <c r="W210" s="318">
        <v>0</v>
      </c>
      <c r="X210" s="318">
        <v>0</v>
      </c>
      <c r="Y210" s="318">
        <v>0</v>
      </c>
      <c r="Z210" s="318">
        <v>0</v>
      </c>
      <c r="AA210" s="318">
        <v>0</v>
      </c>
      <c r="AB210" s="318">
        <v>0</v>
      </c>
      <c r="AC210" s="318">
        <v>0</v>
      </c>
      <c r="AD210" s="318">
        <v>0</v>
      </c>
      <c r="AE210" s="318">
        <v>0</v>
      </c>
      <c r="AF210" s="318">
        <v>0</v>
      </c>
      <c r="AG210" s="318">
        <v>0</v>
      </c>
      <c r="AH210" s="318">
        <v>0</v>
      </c>
      <c r="AI210" s="318">
        <v>0</v>
      </c>
      <c r="AJ210" s="318">
        <v>0</v>
      </c>
      <c r="AK210" s="318">
        <v>0</v>
      </c>
      <c r="AL210" s="318">
        <v>0</v>
      </c>
      <c r="AM210" s="318">
        <v>0</v>
      </c>
      <c r="AN210" s="318">
        <v>0</v>
      </c>
    </row>
    <row r="211" spans="2:40" ht="12" customHeight="1">
      <c r="B211" s="301"/>
      <c r="C211" s="303" t="s">
        <v>840</v>
      </c>
      <c r="D211" s="302"/>
      <c r="E211" s="317">
        <v>0</v>
      </c>
      <c r="F211" s="317">
        <v>0</v>
      </c>
      <c r="G211" s="317">
        <v>0</v>
      </c>
      <c r="H211" s="317">
        <v>0</v>
      </c>
      <c r="I211" s="317">
        <v>0</v>
      </c>
      <c r="J211" s="317">
        <v>0</v>
      </c>
      <c r="K211" s="317">
        <v>0</v>
      </c>
      <c r="L211" s="317">
        <v>0</v>
      </c>
      <c r="M211" s="318">
        <v>0</v>
      </c>
      <c r="N211" s="318">
        <v>0</v>
      </c>
      <c r="O211" s="318">
        <v>0</v>
      </c>
      <c r="P211" s="318">
        <v>0</v>
      </c>
      <c r="Q211" s="318">
        <v>0</v>
      </c>
      <c r="R211" s="318">
        <v>0</v>
      </c>
      <c r="S211" s="318">
        <v>0</v>
      </c>
      <c r="T211" s="318">
        <v>0</v>
      </c>
      <c r="U211" s="318">
        <v>0</v>
      </c>
      <c r="V211" s="318">
        <v>0</v>
      </c>
      <c r="W211" s="318">
        <v>0</v>
      </c>
      <c r="X211" s="318">
        <v>0</v>
      </c>
      <c r="Y211" s="318">
        <v>0</v>
      </c>
      <c r="Z211" s="318">
        <v>0</v>
      </c>
      <c r="AA211" s="318">
        <v>0</v>
      </c>
      <c r="AB211" s="318">
        <v>0</v>
      </c>
      <c r="AC211" s="318">
        <v>0</v>
      </c>
      <c r="AD211" s="318">
        <v>0</v>
      </c>
      <c r="AE211" s="318">
        <v>0</v>
      </c>
      <c r="AF211" s="318">
        <v>0</v>
      </c>
      <c r="AG211" s="318">
        <v>0</v>
      </c>
      <c r="AH211" s="318">
        <v>0</v>
      </c>
      <c r="AI211" s="318">
        <v>0</v>
      </c>
      <c r="AJ211" s="318">
        <v>0</v>
      </c>
      <c r="AK211" s="318">
        <v>0</v>
      </c>
      <c r="AL211" s="318">
        <v>0</v>
      </c>
      <c r="AM211" s="318">
        <v>0</v>
      </c>
      <c r="AN211" s="318">
        <v>0</v>
      </c>
    </row>
    <row r="212" spans="2:40" s="7" customFormat="1" ht="12" customHeight="1">
      <c r="B212" s="237"/>
      <c r="C212" s="208"/>
      <c r="D212" s="208"/>
      <c r="E212" s="216"/>
      <c r="F212" s="208"/>
      <c r="G212" s="208"/>
      <c r="H212" s="208"/>
      <c r="I212" s="208"/>
      <c r="J212" s="208"/>
      <c r="K212" s="208"/>
      <c r="L212" s="208"/>
      <c r="M212" s="208"/>
      <c r="N212" s="208"/>
      <c r="O212" s="208"/>
      <c r="P212" s="208"/>
      <c r="Q212" s="208"/>
      <c r="R212" s="208"/>
      <c r="S212" s="208"/>
      <c r="T212" s="208"/>
      <c r="U212" s="208"/>
      <c r="V212" s="208"/>
      <c r="W212" s="208"/>
      <c r="X212" s="208"/>
      <c r="Y212" s="208"/>
      <c r="Z212" s="208"/>
      <c r="AA212" s="208"/>
      <c r="AB212" s="208"/>
      <c r="AC212" s="208"/>
      <c r="AD212" s="208"/>
      <c r="AE212" s="208"/>
      <c r="AF212" s="208"/>
      <c r="AG212" s="208"/>
      <c r="AH212" s="208"/>
      <c r="AI212" s="208"/>
      <c r="AJ212" s="208"/>
      <c r="AK212" s="208"/>
      <c r="AL212" s="208"/>
      <c r="AM212" s="208"/>
      <c r="AN212" s="208"/>
    </row>
    <row r="213" spans="2:40" s="7" customFormat="1" ht="12" customHeight="1">
      <c r="B213" s="239"/>
      <c r="C213" s="214" t="s">
        <v>841</v>
      </c>
      <c r="D213" s="214"/>
      <c r="E213" s="209">
        <f>E205*E209</f>
        <v>31</v>
      </c>
      <c r="F213" s="209">
        <f>F205*F209</f>
        <v>23</v>
      </c>
      <c r="G213" s="209">
        <f t="shared" ref="G213:I213" si="128">G205*G209</f>
        <v>69</v>
      </c>
      <c r="H213" s="209">
        <f>H205*H209</f>
        <v>95</v>
      </c>
      <c r="I213" s="209">
        <f t="shared" si="128"/>
        <v>130</v>
      </c>
      <c r="J213" s="209">
        <f t="shared" ref="J213:AN213" si="129">J205*J209</f>
        <v>132</v>
      </c>
      <c r="K213" s="209">
        <f t="shared" si="129"/>
        <v>125</v>
      </c>
      <c r="L213" s="209">
        <f t="shared" si="129"/>
        <v>2</v>
      </c>
      <c r="M213" s="209">
        <f t="shared" si="129"/>
        <v>122.77777777777777</v>
      </c>
      <c r="N213" s="209">
        <f t="shared" si="129"/>
        <v>132.22222222222223</v>
      </c>
      <c r="O213" s="209">
        <f t="shared" si="129"/>
        <v>37.777777777777786</v>
      </c>
      <c r="P213" s="209">
        <f t="shared" si="129"/>
        <v>37.777777777777786</v>
      </c>
      <c r="Q213" s="209">
        <f t="shared" si="129"/>
        <v>40.067000000000007</v>
      </c>
      <c r="R213" s="209">
        <f t="shared" si="129"/>
        <v>78.392888888888891</v>
      </c>
      <c r="S213" s="209">
        <f t="shared" si="129"/>
        <v>87.599111111111128</v>
      </c>
      <c r="T213" s="209">
        <f t="shared" si="129"/>
        <v>51.999111111111112</v>
      </c>
      <c r="U213" s="209">
        <f t="shared" si="129"/>
        <v>39.494888888888894</v>
      </c>
      <c r="V213" s="209">
        <f t="shared" si="129"/>
        <v>92.944222222222237</v>
      </c>
      <c r="W213" s="209">
        <f t="shared" si="129"/>
        <v>43.623999999999995</v>
      </c>
      <c r="X213" s="209">
        <f t="shared" si="129"/>
        <v>45.714666666666666</v>
      </c>
      <c r="Y213" s="209">
        <f t="shared" si="129"/>
        <v>158.88888888888889</v>
      </c>
      <c r="Z213" s="209">
        <f t="shared" si="129"/>
        <v>155.55555555555554</v>
      </c>
      <c r="AA213" s="209">
        <f t="shared" si="129"/>
        <v>48.888888888888886</v>
      </c>
      <c r="AB213" s="209">
        <f t="shared" si="129"/>
        <v>53.333333333333336</v>
      </c>
      <c r="AC213" s="209">
        <f t="shared" si="129"/>
        <v>40.067000000000007</v>
      </c>
      <c r="AD213" s="209">
        <f t="shared" si="129"/>
        <v>101.91075555555557</v>
      </c>
      <c r="AE213" s="209">
        <f t="shared" si="129"/>
        <v>96.359022222222265</v>
      </c>
      <c r="AF213" s="209">
        <f t="shared" si="129"/>
        <v>57.199022222222226</v>
      </c>
      <c r="AG213" s="209">
        <f t="shared" si="129"/>
        <v>43.444377777777781</v>
      </c>
      <c r="AH213" s="209">
        <f t="shared" si="129"/>
        <v>120.82748888888891</v>
      </c>
      <c r="AI213" s="209">
        <f>AI205*AI209</f>
        <v>17.4496</v>
      </c>
      <c r="AJ213" s="209">
        <f t="shared" si="129"/>
        <v>50.286133333333339</v>
      </c>
      <c r="AK213" s="209">
        <f t="shared" si="129"/>
        <v>174.77777777777777</v>
      </c>
      <c r="AL213" s="209">
        <f t="shared" si="129"/>
        <v>155.55555555555554</v>
      </c>
      <c r="AM213" s="209">
        <f t="shared" si="129"/>
        <v>53.777777777777786</v>
      </c>
      <c r="AN213" s="209">
        <f t="shared" si="129"/>
        <v>64</v>
      </c>
    </row>
    <row r="214" spans="2:40" s="7" customFormat="1" ht="12" customHeight="1">
      <c r="B214" s="239"/>
      <c r="C214" s="214" t="s">
        <v>842</v>
      </c>
      <c r="D214" s="214"/>
      <c r="E214" s="209">
        <f>E205*E210</f>
        <v>1.9999999999999982</v>
      </c>
      <c r="F214" s="209">
        <f>F205*F210</f>
        <v>3.0000000000000009</v>
      </c>
      <c r="G214" s="209">
        <f>G205*G210</f>
        <v>0.99999999999999645</v>
      </c>
      <c r="H214" s="209">
        <f t="shared" ref="H214:I214" si="130">H205*H210</f>
        <v>12.999999999999998</v>
      </c>
      <c r="I214" s="209">
        <f t="shared" si="130"/>
        <v>1.9999999999999982</v>
      </c>
      <c r="J214" s="209">
        <f t="shared" ref="J214:AN214" si="131">J205*J210</f>
        <v>14.000000000000007</v>
      </c>
      <c r="K214" s="209">
        <f t="shared" si="131"/>
        <v>6.9999999999999938</v>
      </c>
      <c r="L214" s="209">
        <f t="shared" si="131"/>
        <v>0</v>
      </c>
      <c r="M214" s="209">
        <f t="shared" si="131"/>
        <v>0</v>
      </c>
      <c r="N214" s="209">
        <f t="shared" si="131"/>
        <v>0</v>
      </c>
      <c r="O214" s="209">
        <f t="shared" si="131"/>
        <v>0</v>
      </c>
      <c r="P214" s="209">
        <f t="shared" si="131"/>
        <v>0</v>
      </c>
      <c r="Q214" s="209">
        <f t="shared" si="131"/>
        <v>0</v>
      </c>
      <c r="R214" s="209">
        <f t="shared" si="131"/>
        <v>0</v>
      </c>
      <c r="S214" s="209">
        <f t="shared" si="131"/>
        <v>0</v>
      </c>
      <c r="T214" s="209">
        <f t="shared" si="131"/>
        <v>0</v>
      </c>
      <c r="U214" s="209">
        <f t="shared" si="131"/>
        <v>0</v>
      </c>
      <c r="V214" s="209">
        <f t="shared" si="131"/>
        <v>0</v>
      </c>
      <c r="W214" s="209">
        <f t="shared" si="131"/>
        <v>0</v>
      </c>
      <c r="X214" s="209">
        <f t="shared" si="131"/>
        <v>0</v>
      </c>
      <c r="Y214" s="209">
        <f t="shared" si="131"/>
        <v>0</v>
      </c>
      <c r="Z214" s="209">
        <f t="shared" si="131"/>
        <v>0</v>
      </c>
      <c r="AA214" s="209">
        <f t="shared" si="131"/>
        <v>0</v>
      </c>
      <c r="AB214" s="209">
        <f t="shared" si="131"/>
        <v>0</v>
      </c>
      <c r="AC214" s="209">
        <f t="shared" si="131"/>
        <v>0</v>
      </c>
      <c r="AD214" s="209">
        <f t="shared" si="131"/>
        <v>0</v>
      </c>
      <c r="AE214" s="209">
        <f t="shared" si="131"/>
        <v>0</v>
      </c>
      <c r="AF214" s="209">
        <f t="shared" si="131"/>
        <v>0</v>
      </c>
      <c r="AG214" s="209">
        <f t="shared" si="131"/>
        <v>0</v>
      </c>
      <c r="AH214" s="209">
        <f t="shared" si="131"/>
        <v>0</v>
      </c>
      <c r="AI214" s="209">
        <f t="shared" si="131"/>
        <v>0</v>
      </c>
      <c r="AJ214" s="209">
        <f t="shared" si="131"/>
        <v>0</v>
      </c>
      <c r="AK214" s="209">
        <f t="shared" si="131"/>
        <v>0</v>
      </c>
      <c r="AL214" s="209">
        <f t="shared" si="131"/>
        <v>0</v>
      </c>
      <c r="AM214" s="209">
        <f t="shared" si="131"/>
        <v>0</v>
      </c>
      <c r="AN214" s="209">
        <f t="shared" si="131"/>
        <v>0</v>
      </c>
    </row>
    <row r="215" spans="2:40" s="7" customFormat="1" ht="12" customHeight="1">
      <c r="B215" s="239"/>
      <c r="C215" s="214" t="s">
        <v>843</v>
      </c>
      <c r="D215" s="214"/>
      <c r="E215" s="209">
        <f>E205*E211</f>
        <v>0</v>
      </c>
      <c r="F215" s="209">
        <f t="shared" ref="F215:I215" si="132">F205*F211</f>
        <v>0</v>
      </c>
      <c r="G215" s="209">
        <f t="shared" si="132"/>
        <v>0</v>
      </c>
      <c r="H215" s="209">
        <f t="shared" si="132"/>
        <v>0</v>
      </c>
      <c r="I215" s="209">
        <f t="shared" si="132"/>
        <v>0</v>
      </c>
      <c r="J215" s="209">
        <f t="shared" ref="J215:AN215" si="133">J205*J211</f>
        <v>0</v>
      </c>
      <c r="K215" s="209">
        <f t="shared" si="133"/>
        <v>0</v>
      </c>
      <c r="L215" s="209">
        <f t="shared" si="133"/>
        <v>0</v>
      </c>
      <c r="M215" s="209">
        <f t="shared" si="133"/>
        <v>0</v>
      </c>
      <c r="N215" s="209">
        <f t="shared" si="133"/>
        <v>0</v>
      </c>
      <c r="O215" s="209">
        <f t="shared" si="133"/>
        <v>0</v>
      </c>
      <c r="P215" s="209">
        <f t="shared" si="133"/>
        <v>0</v>
      </c>
      <c r="Q215" s="209">
        <f t="shared" si="133"/>
        <v>0</v>
      </c>
      <c r="R215" s="209">
        <f t="shared" si="133"/>
        <v>0</v>
      </c>
      <c r="S215" s="209">
        <f t="shared" si="133"/>
        <v>0</v>
      </c>
      <c r="T215" s="209">
        <f t="shared" si="133"/>
        <v>0</v>
      </c>
      <c r="U215" s="209">
        <f t="shared" si="133"/>
        <v>0</v>
      </c>
      <c r="V215" s="209">
        <f t="shared" si="133"/>
        <v>0</v>
      </c>
      <c r="W215" s="209">
        <f t="shared" si="133"/>
        <v>0</v>
      </c>
      <c r="X215" s="209">
        <f t="shared" si="133"/>
        <v>0</v>
      </c>
      <c r="Y215" s="209">
        <f t="shared" si="133"/>
        <v>0</v>
      </c>
      <c r="Z215" s="209">
        <f t="shared" si="133"/>
        <v>0</v>
      </c>
      <c r="AA215" s="209">
        <f t="shared" si="133"/>
        <v>0</v>
      </c>
      <c r="AB215" s="209">
        <f t="shared" si="133"/>
        <v>0</v>
      </c>
      <c r="AC215" s="209">
        <f t="shared" si="133"/>
        <v>0</v>
      </c>
      <c r="AD215" s="209">
        <f t="shared" si="133"/>
        <v>0</v>
      </c>
      <c r="AE215" s="209">
        <f t="shared" si="133"/>
        <v>0</v>
      </c>
      <c r="AF215" s="209">
        <f t="shared" si="133"/>
        <v>0</v>
      </c>
      <c r="AG215" s="209">
        <f t="shared" si="133"/>
        <v>0</v>
      </c>
      <c r="AH215" s="209">
        <f t="shared" si="133"/>
        <v>0</v>
      </c>
      <c r="AI215" s="209">
        <f t="shared" si="133"/>
        <v>0</v>
      </c>
      <c r="AJ215" s="209">
        <f t="shared" si="133"/>
        <v>0</v>
      </c>
      <c r="AK215" s="209">
        <f t="shared" si="133"/>
        <v>0</v>
      </c>
      <c r="AL215" s="209">
        <f t="shared" si="133"/>
        <v>0</v>
      </c>
      <c r="AM215" s="209">
        <f t="shared" si="133"/>
        <v>0</v>
      </c>
      <c r="AN215" s="209">
        <f t="shared" si="133"/>
        <v>0</v>
      </c>
    </row>
    <row r="216" spans="2:40" s="7" customFormat="1" ht="12" customHeight="1">
      <c r="B216" s="239"/>
      <c r="C216" s="214" t="s">
        <v>844</v>
      </c>
      <c r="D216" s="214"/>
      <c r="E216" s="209">
        <f>IF((SUM(E226:E262)-E213)&lt;2,ROUNDUP(SUM(E226:E262),0)-E213,ROUNDDOWN(SUM(E226:E262),0)-E213)</f>
        <v>33</v>
      </c>
      <c r="F216" s="209">
        <f t="shared" ref="F216" si="134">IF((SUM(F226:F262)-F213)&lt;2,ROUNDUP(SUM(F226:F262),0)-F213,ROUNDDOWN(SUM(F226:F262),0)-F213)</f>
        <v>90</v>
      </c>
      <c r="G216" s="209">
        <f>IF((SUM(G226:G262)-G213)&lt;2,ROUNDUP(SUM(G226:G262),0)-G213,ROUNDDOWN(SUM(G226:G262),0)-G213)</f>
        <v>6</v>
      </c>
      <c r="H216" s="209">
        <f>IF((SUM(H226:H262)-H213)&lt;2,ROUNDUP(SUM(H226:H262),0)-H213,ROUNDDOWN(SUM(H226:H262),0)-H213)</f>
        <v>178</v>
      </c>
      <c r="I216" s="209">
        <f>IF((SUM(I226:I262)-I213)&lt;2,ROUNDUP(SUM(I226:I262),0)-I213,ROUNDDOWN(SUM(I226:I262),0)-I213)</f>
        <v>8</v>
      </c>
      <c r="J216" s="209">
        <f t="shared" ref="J216:AN216" si="135">IF((SUM(J226:J262)-J213)&lt;2,ROUNDUP(SUM(J226:J262),0)-J213,ROUNDDOWN(SUM(J226:J262),0)-J213)</f>
        <v>7</v>
      </c>
      <c r="K216" s="209">
        <f t="shared" si="135"/>
        <v>7</v>
      </c>
      <c r="L216" s="209">
        <f t="shared" si="135"/>
        <v>7</v>
      </c>
      <c r="M216" s="209">
        <f t="shared" si="135"/>
        <v>7.2222222222222285</v>
      </c>
      <c r="N216" s="209">
        <f t="shared" si="135"/>
        <v>6.7777777777777715</v>
      </c>
      <c r="O216" s="209">
        <f t="shared" si="135"/>
        <v>6.2222222222222143</v>
      </c>
      <c r="P216" s="209">
        <f>IF((SUM(P226:P262)-P213)&lt;2,ROUNDUP(SUM(P226:P262),0)-P213,ROUNDDOWN(SUM(P226:P262),0)-P213)</f>
        <v>6.2222222222222143</v>
      </c>
      <c r="Q216" s="209">
        <f t="shared" si="135"/>
        <v>5.9329999999999927</v>
      </c>
      <c r="R216" s="209">
        <f t="shared" si="135"/>
        <v>6.6071111111111094</v>
      </c>
      <c r="S216" s="209">
        <f t="shared" si="135"/>
        <v>6.400888888888872</v>
      </c>
      <c r="T216" s="209">
        <f t="shared" si="135"/>
        <v>6.0008888888888876</v>
      </c>
      <c r="U216" s="209">
        <f t="shared" si="135"/>
        <v>5.5051111111111055</v>
      </c>
      <c r="V216" s="209">
        <f t="shared" si="135"/>
        <v>6.055777777777763</v>
      </c>
      <c r="W216" s="209">
        <f t="shared" si="135"/>
        <v>5.3760000000000048</v>
      </c>
      <c r="X216" s="209">
        <f t="shared" si="135"/>
        <v>5.2853333333333339</v>
      </c>
      <c r="Y216" s="209">
        <f t="shared" si="135"/>
        <v>5.1111111111111143</v>
      </c>
      <c r="Z216" s="209">
        <f t="shared" si="135"/>
        <v>5.4444444444444571</v>
      </c>
      <c r="AA216" s="209">
        <f t="shared" si="135"/>
        <v>5.1111111111111143</v>
      </c>
      <c r="AB216" s="209">
        <f t="shared" si="135"/>
        <v>4.6666666666666643</v>
      </c>
      <c r="AC216" s="209">
        <f t="shared" si="135"/>
        <v>4.9329999999999927</v>
      </c>
      <c r="AD216" s="209">
        <f t="shared" si="135"/>
        <v>5.0892444444444322</v>
      </c>
      <c r="AE216" s="209">
        <f t="shared" si="135"/>
        <v>4.640977777777735</v>
      </c>
      <c r="AF216" s="209">
        <f t="shared" si="135"/>
        <v>4.8009777777777742</v>
      </c>
      <c r="AG216" s="209">
        <f t="shared" si="135"/>
        <v>4.5556222222222189</v>
      </c>
      <c r="AH216" s="209">
        <f t="shared" si="135"/>
        <v>4.172511111111092</v>
      </c>
      <c r="AI216" s="209">
        <f t="shared" si="135"/>
        <v>4.5503999999999998</v>
      </c>
      <c r="AJ216" s="209">
        <f t="shared" si="135"/>
        <v>3.7138666666666609</v>
      </c>
      <c r="AK216" s="209">
        <f t="shared" si="135"/>
        <v>4.2222222222222285</v>
      </c>
      <c r="AL216" s="209">
        <f t="shared" si="135"/>
        <v>4.4444444444444571</v>
      </c>
      <c r="AM216" s="209">
        <f t="shared" si="135"/>
        <v>4.2222222222222143</v>
      </c>
      <c r="AN216" s="209">
        <f t="shared" si="135"/>
        <v>4</v>
      </c>
    </row>
    <row r="217" spans="2:40" s="7" customFormat="1" ht="12" customHeight="1">
      <c r="B217" s="239"/>
      <c r="C217" s="214" t="s">
        <v>845</v>
      </c>
      <c r="D217" s="214"/>
      <c r="E217" s="209">
        <f>IF((SUM(E267:E303)-E214)&lt;2,ROUNDUP(SUM(E267:E303),0)-E214,ROUNDDOWN(SUM(E267:E303),0)-E214)</f>
        <v>1.7763568394002505E-15</v>
      </c>
      <c r="F217" s="209">
        <f t="shared" ref="F217:I217" si="136">IF((SUM(F267:F303)-F214)&lt;2,ROUNDUP(SUM(F267:F303),0)-F214,ROUNDDOWN(SUM(F267:F303),0)-F214)</f>
        <v>0.99999999999999911</v>
      </c>
      <c r="G217" s="209">
        <f>IF((SUM(G267:G303)-G214)&lt;2,ROUNDUP(SUM(G267:G303),0)-G214,ROUNDDOWN(SUM(G267:G303),0)-G214)</f>
        <v>1.0000000000000036</v>
      </c>
      <c r="H217" s="209">
        <f t="shared" si="136"/>
        <v>1.0000000000000018</v>
      </c>
      <c r="I217" s="209">
        <f t="shared" si="136"/>
        <v>2.0000000000000018</v>
      </c>
      <c r="J217" s="209">
        <f t="shared" ref="J217:AN217" si="137">IF((SUM(J267:J303)-J214)&lt;2,ROUNDUP(SUM(J267:J303),0)-J214,ROUNDDOWN(SUM(J267:J303),0)-J214)</f>
        <v>1.9999999999999929</v>
      </c>
      <c r="K217" s="209">
        <f t="shared" si="137"/>
        <v>2.0000000000000062</v>
      </c>
      <c r="L217" s="209">
        <f t="shared" si="137"/>
        <v>2</v>
      </c>
      <c r="M217" s="209">
        <f t="shared" si="137"/>
        <v>2</v>
      </c>
      <c r="N217" s="209">
        <f t="shared" si="137"/>
        <v>2</v>
      </c>
      <c r="O217" s="209">
        <f t="shared" si="137"/>
        <v>2</v>
      </c>
      <c r="P217" s="209">
        <f t="shared" si="137"/>
        <v>2</v>
      </c>
      <c r="Q217" s="209">
        <f t="shared" si="137"/>
        <v>2</v>
      </c>
      <c r="R217" s="209">
        <f t="shared" si="137"/>
        <v>2</v>
      </c>
      <c r="S217" s="209">
        <f t="shared" si="137"/>
        <v>2</v>
      </c>
      <c r="T217" s="209">
        <f t="shared" si="137"/>
        <v>2</v>
      </c>
      <c r="U217" s="209">
        <f t="shared" si="137"/>
        <v>2</v>
      </c>
      <c r="V217" s="209">
        <f t="shared" si="137"/>
        <v>2</v>
      </c>
      <c r="W217" s="209">
        <f t="shared" si="137"/>
        <v>2</v>
      </c>
      <c r="X217" s="209">
        <f t="shared" si="137"/>
        <v>2</v>
      </c>
      <c r="Y217" s="209">
        <f t="shared" si="137"/>
        <v>1</v>
      </c>
      <c r="Z217" s="209">
        <f t="shared" si="137"/>
        <v>1</v>
      </c>
      <c r="AA217" s="209">
        <f t="shared" si="137"/>
        <v>1</v>
      </c>
      <c r="AB217" s="209">
        <f t="shared" si="137"/>
        <v>1</v>
      </c>
      <c r="AC217" s="209">
        <f t="shared" si="137"/>
        <v>1</v>
      </c>
      <c r="AD217" s="209">
        <f t="shared" si="137"/>
        <v>1</v>
      </c>
      <c r="AE217" s="209">
        <f t="shared" si="137"/>
        <v>1</v>
      </c>
      <c r="AF217" s="209">
        <f t="shared" si="137"/>
        <v>1</v>
      </c>
      <c r="AG217" s="209">
        <f t="shared" si="137"/>
        <v>1</v>
      </c>
      <c r="AH217" s="209">
        <f t="shared" si="137"/>
        <v>1</v>
      </c>
      <c r="AI217" s="209">
        <f t="shared" si="137"/>
        <v>1</v>
      </c>
      <c r="AJ217" s="209">
        <f t="shared" si="137"/>
        <v>1</v>
      </c>
      <c r="AK217" s="209">
        <f t="shared" si="137"/>
        <v>1</v>
      </c>
      <c r="AL217" s="209">
        <f t="shared" si="137"/>
        <v>1</v>
      </c>
      <c r="AM217" s="209">
        <f t="shared" si="137"/>
        <v>1</v>
      </c>
      <c r="AN217" s="209">
        <f t="shared" si="137"/>
        <v>1</v>
      </c>
    </row>
    <row r="218" spans="2:40" s="7" customFormat="1" ht="12" customHeight="1">
      <c r="B218" s="239"/>
      <c r="C218" s="214" t="s">
        <v>846</v>
      </c>
      <c r="D218" s="214"/>
      <c r="E218" s="209">
        <f>IF((SUM(E308:E343)-E215)&lt;1,ROUNDUP(SUM(E308:E343),0)-E215,ROUNDDOWN(SUM(E308:E343),0)-E215)</f>
        <v>0</v>
      </c>
      <c r="F218" s="209">
        <f t="shared" ref="F218:I218" si="138">IF((SUM(F308:F343)-F215)&lt;1,ROUNDUP(SUM(F308:F343),0)-F215,ROUNDDOWN(SUM(F308:F343),0)-F215)</f>
        <v>0</v>
      </c>
      <c r="G218" s="209">
        <f t="shared" si="138"/>
        <v>0</v>
      </c>
      <c r="H218" s="209">
        <f t="shared" si="138"/>
        <v>0</v>
      </c>
      <c r="I218" s="209">
        <f t="shared" si="138"/>
        <v>0</v>
      </c>
      <c r="J218" s="209">
        <f t="shared" ref="J218:AN218" si="139">IF((SUM(J308:J343)-J215)&lt;1,ROUNDUP(SUM(J308:J343),0)-J215,ROUNDDOWN(SUM(J308:J343),0)-J215)</f>
        <v>0</v>
      </c>
      <c r="K218" s="209">
        <f t="shared" si="139"/>
        <v>0</v>
      </c>
      <c r="L218" s="209">
        <f t="shared" si="139"/>
        <v>0</v>
      </c>
      <c r="M218" s="209">
        <f t="shared" si="139"/>
        <v>0</v>
      </c>
      <c r="N218" s="209">
        <f t="shared" si="139"/>
        <v>0</v>
      </c>
      <c r="O218" s="209">
        <f t="shared" si="139"/>
        <v>0</v>
      </c>
      <c r="P218" s="209">
        <f t="shared" si="139"/>
        <v>0</v>
      </c>
      <c r="Q218" s="209">
        <f t="shared" si="139"/>
        <v>0</v>
      </c>
      <c r="R218" s="209">
        <f t="shared" si="139"/>
        <v>0</v>
      </c>
      <c r="S218" s="209">
        <f t="shared" si="139"/>
        <v>0</v>
      </c>
      <c r="T218" s="209">
        <f t="shared" si="139"/>
        <v>0</v>
      </c>
      <c r="U218" s="209">
        <f t="shared" si="139"/>
        <v>0</v>
      </c>
      <c r="V218" s="209">
        <f t="shared" si="139"/>
        <v>0</v>
      </c>
      <c r="W218" s="209">
        <f t="shared" si="139"/>
        <v>0</v>
      </c>
      <c r="X218" s="209">
        <f t="shared" si="139"/>
        <v>0</v>
      </c>
      <c r="Y218" s="209">
        <f t="shared" si="139"/>
        <v>0</v>
      </c>
      <c r="Z218" s="209">
        <f t="shared" si="139"/>
        <v>0</v>
      </c>
      <c r="AA218" s="209">
        <f t="shared" si="139"/>
        <v>0</v>
      </c>
      <c r="AB218" s="209">
        <f t="shared" si="139"/>
        <v>0</v>
      </c>
      <c r="AC218" s="209">
        <f t="shared" si="139"/>
        <v>0</v>
      </c>
      <c r="AD218" s="209">
        <f t="shared" si="139"/>
        <v>0</v>
      </c>
      <c r="AE218" s="209">
        <f t="shared" si="139"/>
        <v>0</v>
      </c>
      <c r="AF218" s="209">
        <f t="shared" si="139"/>
        <v>0</v>
      </c>
      <c r="AG218" s="209">
        <f t="shared" si="139"/>
        <v>0</v>
      </c>
      <c r="AH218" s="209">
        <f t="shared" si="139"/>
        <v>0</v>
      </c>
      <c r="AI218" s="209">
        <f t="shared" si="139"/>
        <v>0</v>
      </c>
      <c r="AJ218" s="209">
        <f t="shared" si="139"/>
        <v>0</v>
      </c>
      <c r="AK218" s="209">
        <f t="shared" si="139"/>
        <v>0</v>
      </c>
      <c r="AL218" s="209">
        <f t="shared" si="139"/>
        <v>0</v>
      </c>
      <c r="AM218" s="209">
        <f t="shared" si="139"/>
        <v>0</v>
      </c>
      <c r="AN218" s="209">
        <f t="shared" si="139"/>
        <v>0</v>
      </c>
    </row>
    <row r="219" spans="2:40" s="7" customFormat="1" ht="12" customHeight="1">
      <c r="B219" s="237"/>
      <c r="C219" s="214" t="s">
        <v>833</v>
      </c>
      <c r="D219" s="214"/>
      <c r="E219" s="210">
        <f t="shared" ref="E219:I219" si="140">SUM(E213:E215)</f>
        <v>33</v>
      </c>
      <c r="F219" s="210">
        <f t="shared" si="140"/>
        <v>26</v>
      </c>
      <c r="G219" s="210">
        <f t="shared" si="140"/>
        <v>70</v>
      </c>
      <c r="H219" s="210">
        <f>SUM(H213:H215)</f>
        <v>108</v>
      </c>
      <c r="I219" s="210">
        <f t="shared" si="140"/>
        <v>132</v>
      </c>
      <c r="J219" s="210">
        <f t="shared" ref="J219:P219" si="141">SUM(J213:J215)</f>
        <v>146</v>
      </c>
      <c r="K219" s="210">
        <f t="shared" si="141"/>
        <v>132</v>
      </c>
      <c r="L219" s="210">
        <f t="shared" si="141"/>
        <v>2</v>
      </c>
      <c r="M219" s="210">
        <f t="shared" si="141"/>
        <v>122.77777777777777</v>
      </c>
      <c r="N219" s="210">
        <f t="shared" si="141"/>
        <v>132.22222222222223</v>
      </c>
      <c r="O219" s="210">
        <f t="shared" si="141"/>
        <v>37.777777777777786</v>
      </c>
      <c r="P219" s="210">
        <f t="shared" si="141"/>
        <v>37.777777777777786</v>
      </c>
      <c r="Q219" s="210">
        <f t="shared" ref="Q219:AN219" si="142">SUM(Q213:Q215)</f>
        <v>40.067000000000007</v>
      </c>
      <c r="R219" s="210">
        <f t="shared" si="142"/>
        <v>78.392888888888891</v>
      </c>
      <c r="S219" s="210">
        <f t="shared" si="142"/>
        <v>87.599111111111128</v>
      </c>
      <c r="T219" s="210">
        <f t="shared" si="142"/>
        <v>51.999111111111112</v>
      </c>
      <c r="U219" s="210">
        <f t="shared" si="142"/>
        <v>39.494888888888894</v>
      </c>
      <c r="V219" s="210">
        <f t="shared" si="142"/>
        <v>92.944222222222237</v>
      </c>
      <c r="W219" s="210">
        <f t="shared" si="142"/>
        <v>43.623999999999995</v>
      </c>
      <c r="X219" s="210">
        <f t="shared" si="142"/>
        <v>45.714666666666666</v>
      </c>
      <c r="Y219" s="210">
        <f t="shared" si="142"/>
        <v>158.88888888888889</v>
      </c>
      <c r="Z219" s="210">
        <f t="shared" si="142"/>
        <v>155.55555555555554</v>
      </c>
      <c r="AA219" s="210">
        <f t="shared" si="142"/>
        <v>48.888888888888886</v>
      </c>
      <c r="AB219" s="210">
        <f t="shared" si="142"/>
        <v>53.333333333333336</v>
      </c>
      <c r="AC219" s="210">
        <f t="shared" si="142"/>
        <v>40.067000000000007</v>
      </c>
      <c r="AD219" s="210">
        <f t="shared" si="142"/>
        <v>101.91075555555557</v>
      </c>
      <c r="AE219" s="210">
        <f t="shared" si="142"/>
        <v>96.359022222222265</v>
      </c>
      <c r="AF219" s="210">
        <f t="shared" si="142"/>
        <v>57.199022222222226</v>
      </c>
      <c r="AG219" s="210">
        <f t="shared" si="142"/>
        <v>43.444377777777781</v>
      </c>
      <c r="AH219" s="210">
        <f t="shared" si="142"/>
        <v>120.82748888888891</v>
      </c>
      <c r="AI219" s="210">
        <f t="shared" si="142"/>
        <v>17.4496</v>
      </c>
      <c r="AJ219" s="210">
        <f t="shared" si="142"/>
        <v>50.286133333333339</v>
      </c>
      <c r="AK219" s="210">
        <f t="shared" si="142"/>
        <v>174.77777777777777</v>
      </c>
      <c r="AL219" s="210">
        <f t="shared" si="142"/>
        <v>155.55555555555554</v>
      </c>
      <c r="AM219" s="210">
        <f t="shared" si="142"/>
        <v>53.777777777777786</v>
      </c>
      <c r="AN219" s="210">
        <f t="shared" si="142"/>
        <v>64</v>
      </c>
    </row>
    <row r="220" spans="2:40" s="7" customFormat="1" ht="12" customHeight="1">
      <c r="B220" s="237"/>
      <c r="C220" s="214" t="s">
        <v>847</v>
      </c>
      <c r="D220" s="214"/>
      <c r="E220" s="210">
        <f>SUM(E216:E218)</f>
        <v>33</v>
      </c>
      <c r="F220" s="210">
        <f t="shared" ref="F220:I220" si="143">SUM(F216:F218)</f>
        <v>91</v>
      </c>
      <c r="G220" s="210">
        <f t="shared" si="143"/>
        <v>7.0000000000000036</v>
      </c>
      <c r="H220" s="210">
        <f t="shared" si="143"/>
        <v>179</v>
      </c>
      <c r="I220" s="210">
        <f t="shared" si="143"/>
        <v>10.000000000000002</v>
      </c>
      <c r="J220" s="210">
        <f t="shared" ref="J220:AN220" si="144">SUM(J216:J218)</f>
        <v>8.9999999999999929</v>
      </c>
      <c r="K220" s="210">
        <f t="shared" si="144"/>
        <v>9.0000000000000071</v>
      </c>
      <c r="L220" s="210">
        <f t="shared" si="144"/>
        <v>9</v>
      </c>
      <c r="M220" s="210">
        <f t="shared" si="144"/>
        <v>9.2222222222222285</v>
      </c>
      <c r="N220" s="210">
        <f t="shared" si="144"/>
        <v>8.7777777777777715</v>
      </c>
      <c r="O220" s="210">
        <f t="shared" si="144"/>
        <v>8.2222222222222143</v>
      </c>
      <c r="P220" s="210">
        <f t="shared" si="144"/>
        <v>8.2222222222222143</v>
      </c>
      <c r="Q220" s="210">
        <f t="shared" si="144"/>
        <v>7.9329999999999927</v>
      </c>
      <c r="R220" s="210">
        <f t="shared" si="144"/>
        <v>8.6071111111111094</v>
      </c>
      <c r="S220" s="210">
        <f t="shared" si="144"/>
        <v>8.400888888888872</v>
      </c>
      <c r="T220" s="210">
        <f t="shared" si="144"/>
        <v>8.0008888888888876</v>
      </c>
      <c r="U220" s="210">
        <f t="shared" si="144"/>
        <v>7.5051111111111055</v>
      </c>
      <c r="V220" s="210">
        <f t="shared" si="144"/>
        <v>8.055777777777763</v>
      </c>
      <c r="W220" s="210">
        <f t="shared" si="144"/>
        <v>7.3760000000000048</v>
      </c>
      <c r="X220" s="210">
        <f t="shared" si="144"/>
        <v>7.2853333333333339</v>
      </c>
      <c r="Y220" s="210">
        <f t="shared" si="144"/>
        <v>6.1111111111111143</v>
      </c>
      <c r="Z220" s="210">
        <f t="shared" si="144"/>
        <v>6.4444444444444571</v>
      </c>
      <c r="AA220" s="210">
        <f t="shared" si="144"/>
        <v>6.1111111111111143</v>
      </c>
      <c r="AB220" s="210">
        <f t="shared" si="144"/>
        <v>5.6666666666666643</v>
      </c>
      <c r="AC220" s="210">
        <f t="shared" si="144"/>
        <v>5.9329999999999927</v>
      </c>
      <c r="AD220" s="210">
        <f t="shared" si="144"/>
        <v>6.0892444444444322</v>
      </c>
      <c r="AE220" s="210">
        <f t="shared" si="144"/>
        <v>5.640977777777735</v>
      </c>
      <c r="AF220" s="210">
        <f t="shared" si="144"/>
        <v>5.8009777777777742</v>
      </c>
      <c r="AG220" s="210">
        <f t="shared" si="144"/>
        <v>5.5556222222222189</v>
      </c>
      <c r="AH220" s="210">
        <f t="shared" si="144"/>
        <v>5.172511111111092</v>
      </c>
      <c r="AI220" s="210">
        <f t="shared" si="144"/>
        <v>5.5503999999999998</v>
      </c>
      <c r="AJ220" s="210">
        <f t="shared" si="144"/>
        <v>4.7138666666666609</v>
      </c>
      <c r="AK220" s="210">
        <f t="shared" si="144"/>
        <v>5.2222222222222285</v>
      </c>
      <c r="AL220" s="210">
        <f t="shared" si="144"/>
        <v>5.4444444444444571</v>
      </c>
      <c r="AM220" s="210">
        <f t="shared" si="144"/>
        <v>5.2222222222222143</v>
      </c>
      <c r="AN220" s="210">
        <f t="shared" si="144"/>
        <v>5</v>
      </c>
    </row>
    <row r="221" spans="2:40" s="7" customFormat="1" ht="12" customHeight="1">
      <c r="B221" s="237"/>
      <c r="C221" s="214" t="s">
        <v>848</v>
      </c>
      <c r="D221" s="214"/>
      <c r="E221" s="205">
        <f>SUM(E219:E220)</f>
        <v>66</v>
      </c>
      <c r="F221" s="205">
        <f t="shared" ref="F221:I221" si="145">SUM(F219:F220)</f>
        <v>117</v>
      </c>
      <c r="G221" s="205">
        <f t="shared" si="145"/>
        <v>77</v>
      </c>
      <c r="H221" s="205">
        <f t="shared" si="145"/>
        <v>287</v>
      </c>
      <c r="I221" s="205">
        <f t="shared" si="145"/>
        <v>142</v>
      </c>
      <c r="J221" s="205">
        <f t="shared" ref="J221:AN221" si="146">SUM(J219:J220)</f>
        <v>155</v>
      </c>
      <c r="K221" s="205">
        <f t="shared" si="146"/>
        <v>141</v>
      </c>
      <c r="L221" s="205">
        <f t="shared" si="146"/>
        <v>11</v>
      </c>
      <c r="M221" s="205">
        <f t="shared" si="146"/>
        <v>132</v>
      </c>
      <c r="N221" s="205">
        <f t="shared" si="146"/>
        <v>141</v>
      </c>
      <c r="O221" s="205">
        <f t="shared" si="146"/>
        <v>46</v>
      </c>
      <c r="P221" s="205">
        <f t="shared" si="146"/>
        <v>46</v>
      </c>
      <c r="Q221" s="205">
        <f t="shared" si="146"/>
        <v>48</v>
      </c>
      <c r="R221" s="205">
        <f t="shared" si="146"/>
        <v>87</v>
      </c>
      <c r="S221" s="205">
        <f t="shared" si="146"/>
        <v>96</v>
      </c>
      <c r="T221" s="205">
        <f t="shared" si="146"/>
        <v>60</v>
      </c>
      <c r="U221" s="205">
        <f t="shared" si="146"/>
        <v>47</v>
      </c>
      <c r="V221" s="205">
        <f t="shared" si="146"/>
        <v>101</v>
      </c>
      <c r="W221" s="205">
        <f t="shared" si="146"/>
        <v>51</v>
      </c>
      <c r="X221" s="205">
        <f t="shared" si="146"/>
        <v>53</v>
      </c>
      <c r="Y221" s="205">
        <f t="shared" si="146"/>
        <v>165</v>
      </c>
      <c r="Z221" s="205">
        <f t="shared" si="146"/>
        <v>162</v>
      </c>
      <c r="AA221" s="205">
        <f t="shared" si="146"/>
        <v>55</v>
      </c>
      <c r="AB221" s="205">
        <f t="shared" si="146"/>
        <v>59</v>
      </c>
      <c r="AC221" s="205">
        <f t="shared" si="146"/>
        <v>46</v>
      </c>
      <c r="AD221" s="205">
        <f t="shared" si="146"/>
        <v>108</v>
      </c>
      <c r="AE221" s="205">
        <f t="shared" si="146"/>
        <v>102</v>
      </c>
      <c r="AF221" s="205">
        <f t="shared" si="146"/>
        <v>63</v>
      </c>
      <c r="AG221" s="205">
        <f t="shared" si="146"/>
        <v>49</v>
      </c>
      <c r="AH221" s="205">
        <f t="shared" si="146"/>
        <v>126</v>
      </c>
      <c r="AI221" s="205">
        <f t="shared" si="146"/>
        <v>23</v>
      </c>
      <c r="AJ221" s="205">
        <f t="shared" si="146"/>
        <v>55</v>
      </c>
      <c r="AK221" s="205">
        <f t="shared" si="146"/>
        <v>180</v>
      </c>
      <c r="AL221" s="205">
        <f t="shared" si="146"/>
        <v>161</v>
      </c>
      <c r="AM221" s="205">
        <f t="shared" si="146"/>
        <v>59</v>
      </c>
      <c r="AN221" s="205">
        <f t="shared" si="146"/>
        <v>69</v>
      </c>
    </row>
    <row r="222" spans="2:40" s="7" customFormat="1" ht="12" customHeight="1">
      <c r="B222" s="239"/>
      <c r="C222" s="212"/>
      <c r="D222" s="212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</row>
    <row r="223" spans="2:40" s="7" customFormat="1" ht="12" hidden="1" customHeight="1" outlineLevel="1">
      <c r="B223" s="239"/>
      <c r="C223" s="249" t="s">
        <v>849</v>
      </c>
      <c r="D223" s="212"/>
      <c r="O223" s="212"/>
      <c r="P223" s="212"/>
      <c r="Q223" s="212"/>
      <c r="R223" s="212"/>
      <c r="S223" s="212"/>
      <c r="T223" s="212"/>
      <c r="U223" s="212"/>
      <c r="V223" s="212"/>
      <c r="W223" s="212"/>
      <c r="X223" s="212"/>
      <c r="Y223" s="212"/>
      <c r="Z223" s="212"/>
      <c r="AA223" s="212"/>
      <c r="AB223" s="212"/>
      <c r="AC223" s="212"/>
      <c r="AD223" s="212"/>
      <c r="AE223" s="212"/>
      <c r="AF223" s="212"/>
      <c r="AG223" s="212"/>
      <c r="AH223" s="212"/>
      <c r="AI223" s="212"/>
      <c r="AJ223" s="212"/>
      <c r="AK223" s="212"/>
      <c r="AL223" s="212"/>
      <c r="AM223" s="212"/>
      <c r="AN223" s="212"/>
    </row>
    <row r="224" spans="2:40" s="7" customFormat="1" ht="12" hidden="1" customHeight="1" outlineLevel="1">
      <c r="B224" s="239"/>
      <c r="C224" s="212" t="s">
        <v>850</v>
      </c>
      <c r="D224" s="212"/>
      <c r="E224" s="196" t="s">
        <v>753</v>
      </c>
      <c r="F224" s="196" t="s">
        <v>754</v>
      </c>
      <c r="G224" s="196" t="s">
        <v>755</v>
      </c>
      <c r="H224" s="196" t="s">
        <v>756</v>
      </c>
      <c r="I224" s="196" t="s">
        <v>757</v>
      </c>
      <c r="J224" s="196" t="s">
        <v>758</v>
      </c>
      <c r="K224" s="196" t="s">
        <v>759</v>
      </c>
      <c r="L224" s="196" t="s">
        <v>760</v>
      </c>
      <c r="M224" s="196" t="s">
        <v>761</v>
      </c>
      <c r="N224" s="196" t="s">
        <v>762</v>
      </c>
      <c r="O224" s="196" t="s">
        <v>763</v>
      </c>
      <c r="P224" s="196" t="s">
        <v>764</v>
      </c>
      <c r="Q224" s="196" t="s">
        <v>765</v>
      </c>
      <c r="R224" s="196" t="s">
        <v>766</v>
      </c>
      <c r="S224" s="196" t="s">
        <v>767</v>
      </c>
      <c r="T224" s="196" t="s">
        <v>768</v>
      </c>
      <c r="U224" s="196" t="s">
        <v>769</v>
      </c>
      <c r="V224" s="196" t="s">
        <v>770</v>
      </c>
      <c r="W224" s="196" t="s">
        <v>771</v>
      </c>
      <c r="X224" s="196" t="s">
        <v>772</v>
      </c>
      <c r="Y224" s="196" t="s">
        <v>773</v>
      </c>
      <c r="Z224" s="196" t="s">
        <v>774</v>
      </c>
      <c r="AA224" s="196" t="s">
        <v>775</v>
      </c>
      <c r="AB224" s="196" t="s">
        <v>776</v>
      </c>
      <c r="AC224" s="196" t="s">
        <v>777</v>
      </c>
      <c r="AD224" s="196" t="s">
        <v>778</v>
      </c>
      <c r="AE224" s="196" t="s">
        <v>779</v>
      </c>
      <c r="AF224" s="196" t="s">
        <v>780</v>
      </c>
      <c r="AG224" s="196" t="s">
        <v>781</v>
      </c>
      <c r="AH224" s="196" t="s">
        <v>782</v>
      </c>
      <c r="AI224" s="196" t="s">
        <v>783</v>
      </c>
      <c r="AJ224" s="196" t="s">
        <v>784</v>
      </c>
      <c r="AK224" s="196" t="s">
        <v>785</v>
      </c>
      <c r="AL224" s="196" t="s">
        <v>786</v>
      </c>
      <c r="AM224" s="196" t="s">
        <v>787</v>
      </c>
      <c r="AN224" s="196" t="s">
        <v>788</v>
      </c>
    </row>
    <row r="225" spans="2:40" s="7" customFormat="1" ht="12" hidden="1" customHeight="1" outlineLevel="2">
      <c r="B225" s="239"/>
      <c r="C225" s="212" t="s">
        <v>851</v>
      </c>
      <c r="D225" s="212"/>
      <c r="E225" s="344">
        <v>0</v>
      </c>
      <c r="F225" s="344">
        <v>0</v>
      </c>
      <c r="G225" s="344">
        <v>0</v>
      </c>
      <c r="H225" s="344">
        <v>0</v>
      </c>
      <c r="I225" s="344">
        <v>0</v>
      </c>
      <c r="J225" s="344">
        <v>0</v>
      </c>
      <c r="K225" s="344">
        <v>0</v>
      </c>
      <c r="L225" s="344">
        <v>0</v>
      </c>
      <c r="M225" s="344">
        <v>0</v>
      </c>
      <c r="N225" s="344">
        <v>0</v>
      </c>
      <c r="O225" s="344">
        <v>0</v>
      </c>
      <c r="P225" s="344">
        <v>0</v>
      </c>
      <c r="Q225" s="344">
        <v>0</v>
      </c>
      <c r="R225" s="344">
        <v>0</v>
      </c>
      <c r="S225" s="344">
        <v>0</v>
      </c>
      <c r="T225" s="344">
        <v>0</v>
      </c>
      <c r="U225" s="344">
        <v>0</v>
      </c>
      <c r="V225" s="344">
        <v>0</v>
      </c>
      <c r="W225" s="344">
        <v>0</v>
      </c>
      <c r="X225" s="344">
        <v>0</v>
      </c>
      <c r="Y225" s="344">
        <v>0</v>
      </c>
      <c r="Z225" s="344">
        <v>0</v>
      </c>
      <c r="AA225" s="344">
        <v>0</v>
      </c>
      <c r="AB225" s="344">
        <v>0</v>
      </c>
      <c r="AC225" s="344">
        <v>0</v>
      </c>
      <c r="AD225" s="344">
        <v>0</v>
      </c>
      <c r="AE225" s="344">
        <v>0</v>
      </c>
      <c r="AF225" s="344">
        <v>0</v>
      </c>
      <c r="AG225" s="344">
        <v>0</v>
      </c>
      <c r="AH225" s="344">
        <v>0</v>
      </c>
      <c r="AI225" s="344">
        <v>0</v>
      </c>
      <c r="AJ225" s="344">
        <v>0</v>
      </c>
      <c r="AK225" s="344">
        <v>0</v>
      </c>
      <c r="AL225" s="344">
        <v>0</v>
      </c>
      <c r="AM225" s="344">
        <v>0</v>
      </c>
      <c r="AN225" s="344">
        <v>0</v>
      </c>
    </row>
    <row r="226" spans="2:40" s="7" customFormat="1" ht="12" hidden="1" customHeight="1" outlineLevel="1">
      <c r="B226" s="239"/>
      <c r="C226" s="212" t="s">
        <v>861</v>
      </c>
      <c r="D226" s="212"/>
      <c r="E226" s="211">
        <v>33</v>
      </c>
      <c r="F226" s="211">
        <v>90</v>
      </c>
      <c r="G226" s="211">
        <v>6</v>
      </c>
      <c r="H226" s="211">
        <v>178</v>
      </c>
      <c r="I226" s="211">
        <v>8</v>
      </c>
      <c r="J226" s="211">
        <f t="shared" ref="J226:AN226" si="147">I226*98%</f>
        <v>7.84</v>
      </c>
      <c r="K226" s="211">
        <f t="shared" si="147"/>
        <v>7.6831999999999994</v>
      </c>
      <c r="L226" s="211">
        <f t="shared" si="147"/>
        <v>7.5295359999999993</v>
      </c>
      <c r="M226" s="211">
        <f t="shared" si="147"/>
        <v>7.3789452799999991</v>
      </c>
      <c r="N226" s="211">
        <f t="shared" si="147"/>
        <v>7.2313663743999985</v>
      </c>
      <c r="O226" s="211">
        <f t="shared" si="147"/>
        <v>7.0867390469119984</v>
      </c>
      <c r="P226" s="211">
        <f t="shared" si="147"/>
        <v>6.9450042659737585</v>
      </c>
      <c r="Q226" s="211">
        <f t="shared" si="147"/>
        <v>6.806104180654283</v>
      </c>
      <c r="R226" s="211">
        <f t="shared" si="147"/>
        <v>6.6699820970411974</v>
      </c>
      <c r="S226" s="211">
        <f t="shared" si="147"/>
        <v>6.5365824551003735</v>
      </c>
      <c r="T226" s="211">
        <f t="shared" si="147"/>
        <v>6.4058508059983659</v>
      </c>
      <c r="U226" s="211">
        <f t="shared" si="147"/>
        <v>6.2777337898783987</v>
      </c>
      <c r="V226" s="211">
        <f t="shared" si="147"/>
        <v>6.1521791140808304</v>
      </c>
      <c r="W226" s="211">
        <f t="shared" si="147"/>
        <v>6.0291355317992137</v>
      </c>
      <c r="X226" s="211">
        <f t="shared" si="147"/>
        <v>5.9085528211632292</v>
      </c>
      <c r="Y226" s="211">
        <f t="shared" si="147"/>
        <v>5.7903817647399647</v>
      </c>
      <c r="Z226" s="211">
        <f t="shared" si="147"/>
        <v>5.6745741294451655</v>
      </c>
      <c r="AA226" s="211">
        <f t="shared" si="147"/>
        <v>5.5610826468562617</v>
      </c>
      <c r="AB226" s="211">
        <f t="shared" si="147"/>
        <v>5.4498609939191365</v>
      </c>
      <c r="AC226" s="211">
        <f t="shared" si="147"/>
        <v>5.3408637740407539</v>
      </c>
      <c r="AD226" s="211">
        <f t="shared" si="147"/>
        <v>5.2340464985599384</v>
      </c>
      <c r="AE226" s="211">
        <f t="shared" si="147"/>
        <v>5.1293655685887396</v>
      </c>
      <c r="AF226" s="211">
        <f t="shared" si="147"/>
        <v>5.0267782572169644</v>
      </c>
      <c r="AG226" s="211">
        <f t="shared" si="147"/>
        <v>4.9262426920726252</v>
      </c>
      <c r="AH226" s="211">
        <f t="shared" si="147"/>
        <v>4.8277178382311723</v>
      </c>
      <c r="AI226" s="211">
        <f t="shared" si="147"/>
        <v>4.7311634814665489</v>
      </c>
      <c r="AJ226" s="211">
        <f t="shared" si="147"/>
        <v>4.6365402118372181</v>
      </c>
      <c r="AK226" s="211">
        <f t="shared" si="147"/>
        <v>4.5438094076004738</v>
      </c>
      <c r="AL226" s="211">
        <f t="shared" si="147"/>
        <v>4.4529332194484645</v>
      </c>
      <c r="AM226" s="211">
        <f t="shared" si="147"/>
        <v>4.3638745550594953</v>
      </c>
      <c r="AN226" s="211">
        <f t="shared" si="147"/>
        <v>4.2765970639583051</v>
      </c>
    </row>
    <row r="227" spans="2:40" s="7" customFormat="1" ht="12" hidden="1" customHeight="1" outlineLevel="1">
      <c r="B227" s="245"/>
      <c r="C227" s="250" t="s">
        <v>753</v>
      </c>
      <c r="D227" s="250"/>
      <c r="E227" s="211">
        <f>INDEX($C$199:$AN$221,MATCH("New Customers One-Time",$C$199:$C$221,0),MATCH($C227,$C$199:$AN$199,0))</f>
        <v>31</v>
      </c>
      <c r="F227" s="211">
        <f t="shared" ref="F227:AN227" si="148">$E$227*(E225)</f>
        <v>0</v>
      </c>
      <c r="G227" s="211">
        <f t="shared" si="148"/>
        <v>0</v>
      </c>
      <c r="H227" s="211">
        <f t="shared" si="148"/>
        <v>0</v>
      </c>
      <c r="I227" s="211">
        <f t="shared" si="148"/>
        <v>0</v>
      </c>
      <c r="J227" s="211">
        <f t="shared" si="148"/>
        <v>0</v>
      </c>
      <c r="K227" s="211">
        <f t="shared" si="148"/>
        <v>0</v>
      </c>
      <c r="L227" s="211">
        <f t="shared" si="148"/>
        <v>0</v>
      </c>
      <c r="M227" s="211">
        <f t="shared" si="148"/>
        <v>0</v>
      </c>
      <c r="N227" s="211">
        <f t="shared" si="148"/>
        <v>0</v>
      </c>
      <c r="O227" s="211">
        <f t="shared" si="148"/>
        <v>0</v>
      </c>
      <c r="P227" s="211">
        <f t="shared" si="148"/>
        <v>0</v>
      </c>
      <c r="Q227" s="211">
        <f t="shared" si="148"/>
        <v>0</v>
      </c>
      <c r="R227" s="211">
        <f t="shared" si="148"/>
        <v>0</v>
      </c>
      <c r="S227" s="211">
        <f t="shared" si="148"/>
        <v>0</v>
      </c>
      <c r="T227" s="211">
        <f t="shared" si="148"/>
        <v>0</v>
      </c>
      <c r="U227" s="211">
        <f t="shared" si="148"/>
        <v>0</v>
      </c>
      <c r="V227" s="211">
        <f t="shared" si="148"/>
        <v>0</v>
      </c>
      <c r="W227" s="211">
        <f t="shared" si="148"/>
        <v>0</v>
      </c>
      <c r="X227" s="211">
        <f t="shared" si="148"/>
        <v>0</v>
      </c>
      <c r="Y227" s="211">
        <f t="shared" si="148"/>
        <v>0</v>
      </c>
      <c r="Z227" s="211">
        <f t="shared" si="148"/>
        <v>0</v>
      </c>
      <c r="AA227" s="211">
        <f t="shared" si="148"/>
        <v>0</v>
      </c>
      <c r="AB227" s="211">
        <f t="shared" si="148"/>
        <v>0</v>
      </c>
      <c r="AC227" s="211">
        <f t="shared" si="148"/>
        <v>0</v>
      </c>
      <c r="AD227" s="211">
        <f t="shared" si="148"/>
        <v>0</v>
      </c>
      <c r="AE227" s="211">
        <f t="shared" si="148"/>
        <v>0</v>
      </c>
      <c r="AF227" s="211">
        <f t="shared" si="148"/>
        <v>0</v>
      </c>
      <c r="AG227" s="211">
        <f t="shared" si="148"/>
        <v>0</v>
      </c>
      <c r="AH227" s="211">
        <f t="shared" si="148"/>
        <v>0</v>
      </c>
      <c r="AI227" s="211">
        <f t="shared" si="148"/>
        <v>0</v>
      </c>
      <c r="AJ227" s="211">
        <f t="shared" si="148"/>
        <v>0</v>
      </c>
      <c r="AK227" s="211">
        <f t="shared" si="148"/>
        <v>0</v>
      </c>
      <c r="AL227" s="211">
        <f t="shared" si="148"/>
        <v>0</v>
      </c>
      <c r="AM227" s="211">
        <f t="shared" si="148"/>
        <v>0</v>
      </c>
      <c r="AN227" s="211">
        <f t="shared" si="148"/>
        <v>0</v>
      </c>
    </row>
    <row r="228" spans="2:40" s="7" customFormat="1" ht="12" hidden="1" customHeight="1" outlineLevel="1">
      <c r="B228" s="245"/>
      <c r="C228" s="250" t="s">
        <v>754</v>
      </c>
      <c r="D228" s="250"/>
      <c r="E228" s="213"/>
      <c r="F228" s="211">
        <f>INDEX($C$199:$AN$221,MATCH("New Customers One-Time",$C$199:$C$221,0),MATCH($C228,$C$199:$AN$199,0))</f>
        <v>23</v>
      </c>
      <c r="G228" s="211">
        <f t="shared" ref="G228:AN228" si="149">$F$228*(E225)</f>
        <v>0</v>
      </c>
      <c r="H228" s="211">
        <f t="shared" si="149"/>
        <v>0</v>
      </c>
      <c r="I228" s="211">
        <f t="shared" si="149"/>
        <v>0</v>
      </c>
      <c r="J228" s="211">
        <f t="shared" si="149"/>
        <v>0</v>
      </c>
      <c r="K228" s="211">
        <f t="shared" si="149"/>
        <v>0</v>
      </c>
      <c r="L228" s="211">
        <f t="shared" si="149"/>
        <v>0</v>
      </c>
      <c r="M228" s="211">
        <f t="shared" si="149"/>
        <v>0</v>
      </c>
      <c r="N228" s="211">
        <f t="shared" si="149"/>
        <v>0</v>
      </c>
      <c r="O228" s="211">
        <f t="shared" si="149"/>
        <v>0</v>
      </c>
      <c r="P228" s="211">
        <f t="shared" si="149"/>
        <v>0</v>
      </c>
      <c r="Q228" s="211">
        <f t="shared" si="149"/>
        <v>0</v>
      </c>
      <c r="R228" s="211">
        <f t="shared" si="149"/>
        <v>0</v>
      </c>
      <c r="S228" s="211">
        <f t="shared" si="149"/>
        <v>0</v>
      </c>
      <c r="T228" s="211">
        <f t="shared" si="149"/>
        <v>0</v>
      </c>
      <c r="U228" s="211">
        <f t="shared" si="149"/>
        <v>0</v>
      </c>
      <c r="V228" s="211">
        <f t="shared" si="149"/>
        <v>0</v>
      </c>
      <c r="W228" s="211">
        <f t="shared" si="149"/>
        <v>0</v>
      </c>
      <c r="X228" s="211">
        <f t="shared" si="149"/>
        <v>0</v>
      </c>
      <c r="Y228" s="211">
        <f t="shared" si="149"/>
        <v>0</v>
      </c>
      <c r="Z228" s="211">
        <f t="shared" si="149"/>
        <v>0</v>
      </c>
      <c r="AA228" s="211">
        <f t="shared" si="149"/>
        <v>0</v>
      </c>
      <c r="AB228" s="211">
        <f t="shared" si="149"/>
        <v>0</v>
      </c>
      <c r="AC228" s="211">
        <f t="shared" si="149"/>
        <v>0</v>
      </c>
      <c r="AD228" s="211">
        <f t="shared" si="149"/>
        <v>0</v>
      </c>
      <c r="AE228" s="211">
        <f t="shared" si="149"/>
        <v>0</v>
      </c>
      <c r="AF228" s="211">
        <f t="shared" si="149"/>
        <v>0</v>
      </c>
      <c r="AG228" s="211">
        <f t="shared" si="149"/>
        <v>0</v>
      </c>
      <c r="AH228" s="211">
        <f t="shared" si="149"/>
        <v>0</v>
      </c>
      <c r="AI228" s="211">
        <f t="shared" si="149"/>
        <v>0</v>
      </c>
      <c r="AJ228" s="211">
        <f t="shared" si="149"/>
        <v>0</v>
      </c>
      <c r="AK228" s="211">
        <f t="shared" si="149"/>
        <v>0</v>
      </c>
      <c r="AL228" s="211">
        <f t="shared" si="149"/>
        <v>0</v>
      </c>
      <c r="AM228" s="211">
        <f t="shared" si="149"/>
        <v>0</v>
      </c>
      <c r="AN228" s="211">
        <f t="shared" si="149"/>
        <v>0</v>
      </c>
    </row>
    <row r="229" spans="2:40" s="7" customFormat="1" ht="12" hidden="1" customHeight="1" outlineLevel="1">
      <c r="B229" s="245"/>
      <c r="C229" s="250" t="s">
        <v>755</v>
      </c>
      <c r="D229" s="250"/>
      <c r="E229" s="213"/>
      <c r="G229" s="211">
        <f>INDEX($C$199:$AN$221,MATCH("New Customers One-Time",$C$199:$C$221,0),MATCH($C229,$C$199:$AN$199,0))</f>
        <v>69</v>
      </c>
      <c r="H229" s="211">
        <f t="shared" ref="H229:AN229" si="150">$G$229*(E225)</f>
        <v>0</v>
      </c>
      <c r="I229" s="211">
        <f t="shared" si="150"/>
        <v>0</v>
      </c>
      <c r="J229" s="211">
        <f t="shared" si="150"/>
        <v>0</v>
      </c>
      <c r="K229" s="211">
        <f t="shared" si="150"/>
        <v>0</v>
      </c>
      <c r="L229" s="211">
        <f t="shared" si="150"/>
        <v>0</v>
      </c>
      <c r="M229" s="211">
        <f t="shared" si="150"/>
        <v>0</v>
      </c>
      <c r="N229" s="211">
        <f t="shared" si="150"/>
        <v>0</v>
      </c>
      <c r="O229" s="211">
        <f t="shared" si="150"/>
        <v>0</v>
      </c>
      <c r="P229" s="211">
        <f t="shared" si="150"/>
        <v>0</v>
      </c>
      <c r="Q229" s="211">
        <f t="shared" si="150"/>
        <v>0</v>
      </c>
      <c r="R229" s="211">
        <f t="shared" si="150"/>
        <v>0</v>
      </c>
      <c r="S229" s="211">
        <f t="shared" si="150"/>
        <v>0</v>
      </c>
      <c r="T229" s="211">
        <f t="shared" si="150"/>
        <v>0</v>
      </c>
      <c r="U229" s="211">
        <f t="shared" si="150"/>
        <v>0</v>
      </c>
      <c r="V229" s="211">
        <f t="shared" si="150"/>
        <v>0</v>
      </c>
      <c r="W229" s="211">
        <f t="shared" si="150"/>
        <v>0</v>
      </c>
      <c r="X229" s="211">
        <f t="shared" si="150"/>
        <v>0</v>
      </c>
      <c r="Y229" s="211">
        <f t="shared" si="150"/>
        <v>0</v>
      </c>
      <c r="Z229" s="211">
        <f t="shared" si="150"/>
        <v>0</v>
      </c>
      <c r="AA229" s="211">
        <f t="shared" si="150"/>
        <v>0</v>
      </c>
      <c r="AB229" s="211">
        <f t="shared" si="150"/>
        <v>0</v>
      </c>
      <c r="AC229" s="211">
        <f t="shared" si="150"/>
        <v>0</v>
      </c>
      <c r="AD229" s="211">
        <f t="shared" si="150"/>
        <v>0</v>
      </c>
      <c r="AE229" s="211">
        <f t="shared" si="150"/>
        <v>0</v>
      </c>
      <c r="AF229" s="211">
        <f t="shared" si="150"/>
        <v>0</v>
      </c>
      <c r="AG229" s="211">
        <f t="shared" si="150"/>
        <v>0</v>
      </c>
      <c r="AH229" s="211">
        <f t="shared" si="150"/>
        <v>0</v>
      </c>
      <c r="AI229" s="211">
        <f t="shared" si="150"/>
        <v>0</v>
      </c>
      <c r="AJ229" s="211">
        <f t="shared" si="150"/>
        <v>0</v>
      </c>
      <c r="AK229" s="211">
        <f t="shared" si="150"/>
        <v>0</v>
      </c>
      <c r="AL229" s="211">
        <f t="shared" si="150"/>
        <v>0</v>
      </c>
      <c r="AM229" s="211">
        <f t="shared" si="150"/>
        <v>0</v>
      </c>
      <c r="AN229" s="211">
        <f t="shared" si="150"/>
        <v>0</v>
      </c>
    </row>
    <row r="230" spans="2:40" s="7" customFormat="1" ht="12" hidden="1" customHeight="1" outlineLevel="1">
      <c r="B230" s="245"/>
      <c r="C230" s="250" t="s">
        <v>756</v>
      </c>
      <c r="D230" s="250"/>
      <c r="E230" s="213"/>
      <c r="F230" s="213"/>
      <c r="G230" s="213"/>
      <c r="H230" s="211">
        <f>INDEX($C$199:$AN$221,MATCH("New Customers One-Time",$C$199:$C$221,0),MATCH($C230,$C$199:$AN$199,0))</f>
        <v>95</v>
      </c>
      <c r="I230" s="211">
        <f t="shared" ref="I230:AN230" si="151">$H$230*(E225)</f>
        <v>0</v>
      </c>
      <c r="J230" s="211">
        <f t="shared" si="151"/>
        <v>0</v>
      </c>
      <c r="K230" s="211">
        <f t="shared" si="151"/>
        <v>0</v>
      </c>
      <c r="L230" s="211">
        <f t="shared" si="151"/>
        <v>0</v>
      </c>
      <c r="M230" s="211">
        <f t="shared" si="151"/>
        <v>0</v>
      </c>
      <c r="N230" s="211">
        <f t="shared" si="151"/>
        <v>0</v>
      </c>
      <c r="O230" s="211">
        <f t="shared" si="151"/>
        <v>0</v>
      </c>
      <c r="P230" s="211">
        <f t="shared" si="151"/>
        <v>0</v>
      </c>
      <c r="Q230" s="211">
        <f t="shared" si="151"/>
        <v>0</v>
      </c>
      <c r="R230" s="211">
        <f t="shared" si="151"/>
        <v>0</v>
      </c>
      <c r="S230" s="211">
        <f t="shared" si="151"/>
        <v>0</v>
      </c>
      <c r="T230" s="211">
        <f t="shared" si="151"/>
        <v>0</v>
      </c>
      <c r="U230" s="211">
        <f t="shared" si="151"/>
        <v>0</v>
      </c>
      <c r="V230" s="211">
        <f t="shared" si="151"/>
        <v>0</v>
      </c>
      <c r="W230" s="211">
        <f t="shared" si="151"/>
        <v>0</v>
      </c>
      <c r="X230" s="211">
        <f t="shared" si="151"/>
        <v>0</v>
      </c>
      <c r="Y230" s="211">
        <f t="shared" si="151"/>
        <v>0</v>
      </c>
      <c r="Z230" s="211">
        <f t="shared" si="151"/>
        <v>0</v>
      </c>
      <c r="AA230" s="211">
        <f t="shared" si="151"/>
        <v>0</v>
      </c>
      <c r="AB230" s="211">
        <f t="shared" si="151"/>
        <v>0</v>
      </c>
      <c r="AC230" s="211">
        <f t="shared" si="151"/>
        <v>0</v>
      </c>
      <c r="AD230" s="211">
        <f t="shared" si="151"/>
        <v>0</v>
      </c>
      <c r="AE230" s="211">
        <f t="shared" si="151"/>
        <v>0</v>
      </c>
      <c r="AF230" s="211">
        <f t="shared" si="151"/>
        <v>0</v>
      </c>
      <c r="AG230" s="211">
        <f t="shared" si="151"/>
        <v>0</v>
      </c>
      <c r="AH230" s="211">
        <f t="shared" si="151"/>
        <v>0</v>
      </c>
      <c r="AI230" s="211">
        <f t="shared" si="151"/>
        <v>0</v>
      </c>
      <c r="AJ230" s="211">
        <f t="shared" si="151"/>
        <v>0</v>
      </c>
      <c r="AK230" s="211">
        <f t="shared" si="151"/>
        <v>0</v>
      </c>
      <c r="AL230" s="211">
        <f t="shared" si="151"/>
        <v>0</v>
      </c>
      <c r="AM230" s="211">
        <f t="shared" si="151"/>
        <v>0</v>
      </c>
      <c r="AN230" s="211">
        <f t="shared" si="151"/>
        <v>0</v>
      </c>
    </row>
    <row r="231" spans="2:40" s="7" customFormat="1" ht="12" hidden="1" customHeight="1" outlineLevel="1">
      <c r="B231" s="245"/>
      <c r="C231" s="250" t="s">
        <v>757</v>
      </c>
      <c r="D231" s="250"/>
      <c r="E231" s="213"/>
      <c r="F231" s="213"/>
      <c r="G231" s="213"/>
      <c r="H231" s="213"/>
      <c r="I231" s="211">
        <f>INDEX($C$199:$AN$221,MATCH("New Customers One-Time",$C$199:$C$221,0),MATCH($C231,$C$199:$AN$199,0))</f>
        <v>130</v>
      </c>
      <c r="J231" s="211">
        <f t="shared" ref="J231:AN231" si="152">$I$231*(E225)</f>
        <v>0</v>
      </c>
      <c r="K231" s="211">
        <f t="shared" si="152"/>
        <v>0</v>
      </c>
      <c r="L231" s="211">
        <f t="shared" si="152"/>
        <v>0</v>
      </c>
      <c r="M231" s="211">
        <f t="shared" si="152"/>
        <v>0</v>
      </c>
      <c r="N231" s="211">
        <f t="shared" si="152"/>
        <v>0</v>
      </c>
      <c r="O231" s="211">
        <f t="shared" si="152"/>
        <v>0</v>
      </c>
      <c r="P231" s="211">
        <f t="shared" si="152"/>
        <v>0</v>
      </c>
      <c r="Q231" s="211">
        <f t="shared" si="152"/>
        <v>0</v>
      </c>
      <c r="R231" s="211">
        <f t="shared" si="152"/>
        <v>0</v>
      </c>
      <c r="S231" s="211">
        <f t="shared" si="152"/>
        <v>0</v>
      </c>
      <c r="T231" s="211">
        <f t="shared" si="152"/>
        <v>0</v>
      </c>
      <c r="U231" s="211">
        <f t="shared" si="152"/>
        <v>0</v>
      </c>
      <c r="V231" s="211">
        <f t="shared" si="152"/>
        <v>0</v>
      </c>
      <c r="W231" s="211">
        <f t="shared" si="152"/>
        <v>0</v>
      </c>
      <c r="X231" s="211">
        <f t="shared" si="152"/>
        <v>0</v>
      </c>
      <c r="Y231" s="211">
        <f t="shared" si="152"/>
        <v>0</v>
      </c>
      <c r="Z231" s="211">
        <f t="shared" si="152"/>
        <v>0</v>
      </c>
      <c r="AA231" s="211">
        <f t="shared" si="152"/>
        <v>0</v>
      </c>
      <c r="AB231" s="211">
        <f t="shared" si="152"/>
        <v>0</v>
      </c>
      <c r="AC231" s="211">
        <f t="shared" si="152"/>
        <v>0</v>
      </c>
      <c r="AD231" s="211">
        <f t="shared" si="152"/>
        <v>0</v>
      </c>
      <c r="AE231" s="211">
        <f t="shared" si="152"/>
        <v>0</v>
      </c>
      <c r="AF231" s="211">
        <f t="shared" si="152"/>
        <v>0</v>
      </c>
      <c r="AG231" s="211">
        <f t="shared" si="152"/>
        <v>0</v>
      </c>
      <c r="AH231" s="211">
        <f t="shared" si="152"/>
        <v>0</v>
      </c>
      <c r="AI231" s="211">
        <f t="shared" si="152"/>
        <v>0</v>
      </c>
      <c r="AJ231" s="211">
        <f t="shared" si="152"/>
        <v>0</v>
      </c>
      <c r="AK231" s="211">
        <f t="shared" si="152"/>
        <v>0</v>
      </c>
      <c r="AL231" s="211">
        <f t="shared" si="152"/>
        <v>0</v>
      </c>
      <c r="AM231" s="211">
        <f t="shared" si="152"/>
        <v>0</v>
      </c>
      <c r="AN231" s="211">
        <f t="shared" si="152"/>
        <v>0</v>
      </c>
    </row>
    <row r="232" spans="2:40" s="7" customFormat="1" ht="12" hidden="1" customHeight="1" outlineLevel="1">
      <c r="B232" s="245"/>
      <c r="C232" s="250" t="s">
        <v>758</v>
      </c>
      <c r="D232" s="250"/>
      <c r="E232" s="213"/>
      <c r="F232" s="213"/>
      <c r="G232" s="213"/>
      <c r="H232" s="213"/>
      <c r="I232" s="213"/>
      <c r="J232" s="211">
        <f>INDEX($C$199:$AN$221,MATCH("New Customers One-Time",$C$199:$C$221,0),MATCH($C232,$C$199:$AN$199,0))</f>
        <v>132</v>
      </c>
      <c r="K232" s="211">
        <f t="shared" ref="K232:AN232" si="153">$J$232*(E225)</f>
        <v>0</v>
      </c>
      <c r="L232" s="211">
        <f t="shared" si="153"/>
        <v>0</v>
      </c>
      <c r="M232" s="211">
        <f t="shared" si="153"/>
        <v>0</v>
      </c>
      <c r="N232" s="211">
        <f t="shared" si="153"/>
        <v>0</v>
      </c>
      <c r="O232" s="211">
        <f t="shared" si="153"/>
        <v>0</v>
      </c>
      <c r="P232" s="211">
        <f t="shared" si="153"/>
        <v>0</v>
      </c>
      <c r="Q232" s="211">
        <f t="shared" si="153"/>
        <v>0</v>
      </c>
      <c r="R232" s="211">
        <f t="shared" si="153"/>
        <v>0</v>
      </c>
      <c r="S232" s="211">
        <f t="shared" si="153"/>
        <v>0</v>
      </c>
      <c r="T232" s="211">
        <f t="shared" si="153"/>
        <v>0</v>
      </c>
      <c r="U232" s="211">
        <f t="shared" si="153"/>
        <v>0</v>
      </c>
      <c r="V232" s="211">
        <f t="shared" si="153"/>
        <v>0</v>
      </c>
      <c r="W232" s="211">
        <f t="shared" si="153"/>
        <v>0</v>
      </c>
      <c r="X232" s="211">
        <f t="shared" si="153"/>
        <v>0</v>
      </c>
      <c r="Y232" s="211">
        <f t="shared" si="153"/>
        <v>0</v>
      </c>
      <c r="Z232" s="211">
        <f t="shared" si="153"/>
        <v>0</v>
      </c>
      <c r="AA232" s="211">
        <f t="shared" si="153"/>
        <v>0</v>
      </c>
      <c r="AB232" s="211">
        <f t="shared" si="153"/>
        <v>0</v>
      </c>
      <c r="AC232" s="211">
        <f t="shared" si="153"/>
        <v>0</v>
      </c>
      <c r="AD232" s="211">
        <f t="shared" si="153"/>
        <v>0</v>
      </c>
      <c r="AE232" s="211">
        <f t="shared" si="153"/>
        <v>0</v>
      </c>
      <c r="AF232" s="211">
        <f t="shared" si="153"/>
        <v>0</v>
      </c>
      <c r="AG232" s="211">
        <f t="shared" si="153"/>
        <v>0</v>
      </c>
      <c r="AH232" s="211">
        <f t="shared" si="153"/>
        <v>0</v>
      </c>
      <c r="AI232" s="211">
        <f t="shared" si="153"/>
        <v>0</v>
      </c>
      <c r="AJ232" s="211">
        <f t="shared" si="153"/>
        <v>0</v>
      </c>
      <c r="AK232" s="211">
        <f t="shared" si="153"/>
        <v>0</v>
      </c>
      <c r="AL232" s="211">
        <f t="shared" si="153"/>
        <v>0</v>
      </c>
      <c r="AM232" s="211">
        <f t="shared" si="153"/>
        <v>0</v>
      </c>
      <c r="AN232" s="211">
        <f t="shared" si="153"/>
        <v>0</v>
      </c>
    </row>
    <row r="233" spans="2:40" s="7" customFormat="1" ht="12" hidden="1" customHeight="1" outlineLevel="1">
      <c r="B233" s="245"/>
      <c r="C233" s="250" t="s">
        <v>759</v>
      </c>
      <c r="D233" s="250"/>
      <c r="E233" s="213"/>
      <c r="F233" s="213"/>
      <c r="G233" s="213"/>
      <c r="H233" s="213"/>
      <c r="I233" s="213"/>
      <c r="J233" s="213"/>
      <c r="K233" s="211">
        <f>INDEX($C$199:$AN$221,MATCH("New Customers One-Time",$C$199:$C$221,0),MATCH($C233,$C$199:$AN$199,0))</f>
        <v>125</v>
      </c>
      <c r="L233" s="211">
        <f t="shared" ref="L233:AN233" si="154">$K$233*(E225)</f>
        <v>0</v>
      </c>
      <c r="M233" s="211">
        <f t="shared" si="154"/>
        <v>0</v>
      </c>
      <c r="N233" s="211">
        <f t="shared" si="154"/>
        <v>0</v>
      </c>
      <c r="O233" s="211">
        <f t="shared" si="154"/>
        <v>0</v>
      </c>
      <c r="P233" s="211">
        <f t="shared" si="154"/>
        <v>0</v>
      </c>
      <c r="Q233" s="211">
        <f t="shared" si="154"/>
        <v>0</v>
      </c>
      <c r="R233" s="211">
        <f t="shared" si="154"/>
        <v>0</v>
      </c>
      <c r="S233" s="211">
        <f t="shared" si="154"/>
        <v>0</v>
      </c>
      <c r="T233" s="211">
        <f t="shared" si="154"/>
        <v>0</v>
      </c>
      <c r="U233" s="211">
        <f t="shared" si="154"/>
        <v>0</v>
      </c>
      <c r="V233" s="211">
        <f t="shared" si="154"/>
        <v>0</v>
      </c>
      <c r="W233" s="211">
        <f t="shared" si="154"/>
        <v>0</v>
      </c>
      <c r="X233" s="211">
        <f t="shared" si="154"/>
        <v>0</v>
      </c>
      <c r="Y233" s="211">
        <f t="shared" si="154"/>
        <v>0</v>
      </c>
      <c r="Z233" s="211">
        <f t="shared" si="154"/>
        <v>0</v>
      </c>
      <c r="AA233" s="211">
        <f t="shared" si="154"/>
        <v>0</v>
      </c>
      <c r="AB233" s="211">
        <f t="shared" si="154"/>
        <v>0</v>
      </c>
      <c r="AC233" s="211">
        <f t="shared" si="154"/>
        <v>0</v>
      </c>
      <c r="AD233" s="211">
        <f t="shared" si="154"/>
        <v>0</v>
      </c>
      <c r="AE233" s="211">
        <f t="shared" si="154"/>
        <v>0</v>
      </c>
      <c r="AF233" s="211">
        <f t="shared" si="154"/>
        <v>0</v>
      </c>
      <c r="AG233" s="211">
        <f t="shared" si="154"/>
        <v>0</v>
      </c>
      <c r="AH233" s="211">
        <f t="shared" si="154"/>
        <v>0</v>
      </c>
      <c r="AI233" s="211">
        <f t="shared" si="154"/>
        <v>0</v>
      </c>
      <c r="AJ233" s="211">
        <f t="shared" si="154"/>
        <v>0</v>
      </c>
      <c r="AK233" s="211">
        <f t="shared" si="154"/>
        <v>0</v>
      </c>
      <c r="AL233" s="211">
        <f t="shared" si="154"/>
        <v>0</v>
      </c>
      <c r="AM233" s="211">
        <f t="shared" si="154"/>
        <v>0</v>
      </c>
      <c r="AN233" s="211">
        <f t="shared" si="154"/>
        <v>0</v>
      </c>
    </row>
    <row r="234" spans="2:40" s="7" customFormat="1" ht="12" hidden="1" customHeight="1" outlineLevel="1">
      <c r="B234" s="245"/>
      <c r="C234" s="250" t="s">
        <v>760</v>
      </c>
      <c r="D234" s="250"/>
      <c r="E234" s="213"/>
      <c r="F234" s="213"/>
      <c r="G234" s="213"/>
      <c r="H234" s="213"/>
      <c r="I234" s="213"/>
      <c r="J234" s="213"/>
      <c r="K234" s="213"/>
      <c r="L234" s="211">
        <f>INDEX($C$199:$AN$221,MATCH("New Customers One-Time",$C$199:$C$221,0),MATCH($C234,$C$199:$AN$199,0))</f>
        <v>2</v>
      </c>
      <c r="M234" s="211">
        <f t="shared" ref="M234:AN234" si="155">$L$234*(E225)</f>
        <v>0</v>
      </c>
      <c r="N234" s="211">
        <f t="shared" si="155"/>
        <v>0</v>
      </c>
      <c r="O234" s="211">
        <f t="shared" si="155"/>
        <v>0</v>
      </c>
      <c r="P234" s="211">
        <f t="shared" si="155"/>
        <v>0</v>
      </c>
      <c r="Q234" s="211">
        <f t="shared" si="155"/>
        <v>0</v>
      </c>
      <c r="R234" s="211">
        <f t="shared" si="155"/>
        <v>0</v>
      </c>
      <c r="S234" s="211">
        <f t="shared" si="155"/>
        <v>0</v>
      </c>
      <c r="T234" s="211">
        <f t="shared" si="155"/>
        <v>0</v>
      </c>
      <c r="U234" s="211">
        <f t="shared" si="155"/>
        <v>0</v>
      </c>
      <c r="V234" s="211">
        <f t="shared" si="155"/>
        <v>0</v>
      </c>
      <c r="W234" s="211">
        <f t="shared" si="155"/>
        <v>0</v>
      </c>
      <c r="X234" s="211">
        <f t="shared" si="155"/>
        <v>0</v>
      </c>
      <c r="Y234" s="211">
        <f t="shared" si="155"/>
        <v>0</v>
      </c>
      <c r="Z234" s="211">
        <f t="shared" si="155"/>
        <v>0</v>
      </c>
      <c r="AA234" s="211">
        <f t="shared" si="155"/>
        <v>0</v>
      </c>
      <c r="AB234" s="211">
        <f t="shared" si="155"/>
        <v>0</v>
      </c>
      <c r="AC234" s="211">
        <f t="shared" si="155"/>
        <v>0</v>
      </c>
      <c r="AD234" s="211">
        <f t="shared" si="155"/>
        <v>0</v>
      </c>
      <c r="AE234" s="211">
        <f t="shared" si="155"/>
        <v>0</v>
      </c>
      <c r="AF234" s="211">
        <f t="shared" si="155"/>
        <v>0</v>
      </c>
      <c r="AG234" s="211">
        <f t="shared" si="155"/>
        <v>0</v>
      </c>
      <c r="AH234" s="211">
        <f t="shared" si="155"/>
        <v>0</v>
      </c>
      <c r="AI234" s="211">
        <f t="shared" si="155"/>
        <v>0</v>
      </c>
      <c r="AJ234" s="211">
        <f t="shared" si="155"/>
        <v>0</v>
      </c>
      <c r="AK234" s="211">
        <f t="shared" si="155"/>
        <v>0</v>
      </c>
      <c r="AL234" s="211">
        <f t="shared" si="155"/>
        <v>0</v>
      </c>
      <c r="AM234" s="211">
        <f t="shared" si="155"/>
        <v>0</v>
      </c>
      <c r="AN234" s="211">
        <f t="shared" si="155"/>
        <v>0</v>
      </c>
    </row>
    <row r="235" spans="2:40" s="7" customFormat="1" ht="12" hidden="1" customHeight="1" outlineLevel="1">
      <c r="B235" s="245"/>
      <c r="C235" s="250" t="s">
        <v>761</v>
      </c>
      <c r="D235" s="250"/>
      <c r="E235" s="213"/>
      <c r="F235" s="213"/>
      <c r="G235" s="213"/>
      <c r="H235" s="213"/>
      <c r="I235" s="213"/>
      <c r="J235" s="213"/>
      <c r="K235" s="213"/>
      <c r="L235" s="213"/>
      <c r="M235" s="211">
        <f>INDEX($C$199:$AN$221,MATCH("New Customers One-Time",$C$199:$C$221,0),MATCH($C235,$C$199:$AN$199,0))</f>
        <v>122.77777777777777</v>
      </c>
      <c r="N235" s="211">
        <f t="shared" ref="N235:AN235" si="156">$M$235*(E225)</f>
        <v>0</v>
      </c>
      <c r="O235" s="211">
        <f t="shared" si="156"/>
        <v>0</v>
      </c>
      <c r="P235" s="211">
        <f t="shared" si="156"/>
        <v>0</v>
      </c>
      <c r="Q235" s="211">
        <f t="shared" si="156"/>
        <v>0</v>
      </c>
      <c r="R235" s="211">
        <f t="shared" si="156"/>
        <v>0</v>
      </c>
      <c r="S235" s="211">
        <f t="shared" si="156"/>
        <v>0</v>
      </c>
      <c r="T235" s="211">
        <f t="shared" si="156"/>
        <v>0</v>
      </c>
      <c r="U235" s="211">
        <f t="shared" si="156"/>
        <v>0</v>
      </c>
      <c r="V235" s="211">
        <f t="shared" si="156"/>
        <v>0</v>
      </c>
      <c r="W235" s="211">
        <f t="shared" si="156"/>
        <v>0</v>
      </c>
      <c r="X235" s="211">
        <f t="shared" si="156"/>
        <v>0</v>
      </c>
      <c r="Y235" s="211">
        <f t="shared" si="156"/>
        <v>0</v>
      </c>
      <c r="Z235" s="211">
        <f t="shared" si="156"/>
        <v>0</v>
      </c>
      <c r="AA235" s="211">
        <f t="shared" si="156"/>
        <v>0</v>
      </c>
      <c r="AB235" s="211">
        <f t="shared" si="156"/>
        <v>0</v>
      </c>
      <c r="AC235" s="211">
        <f t="shared" si="156"/>
        <v>0</v>
      </c>
      <c r="AD235" s="211">
        <f t="shared" si="156"/>
        <v>0</v>
      </c>
      <c r="AE235" s="211">
        <f t="shared" si="156"/>
        <v>0</v>
      </c>
      <c r="AF235" s="211">
        <f t="shared" si="156"/>
        <v>0</v>
      </c>
      <c r="AG235" s="211">
        <f t="shared" si="156"/>
        <v>0</v>
      </c>
      <c r="AH235" s="211">
        <f t="shared" si="156"/>
        <v>0</v>
      </c>
      <c r="AI235" s="211">
        <f t="shared" si="156"/>
        <v>0</v>
      </c>
      <c r="AJ235" s="211">
        <f t="shared" si="156"/>
        <v>0</v>
      </c>
      <c r="AK235" s="211">
        <f t="shared" si="156"/>
        <v>0</v>
      </c>
      <c r="AL235" s="211">
        <f t="shared" si="156"/>
        <v>0</v>
      </c>
      <c r="AM235" s="211">
        <f t="shared" si="156"/>
        <v>0</v>
      </c>
      <c r="AN235" s="211">
        <f t="shared" si="156"/>
        <v>0</v>
      </c>
    </row>
    <row r="236" spans="2:40" s="7" customFormat="1" ht="12" hidden="1" customHeight="1" outlineLevel="1">
      <c r="B236" s="245"/>
      <c r="C236" s="250" t="s">
        <v>762</v>
      </c>
      <c r="D236" s="250"/>
      <c r="E236" s="213"/>
      <c r="F236" s="213"/>
      <c r="G236" s="213"/>
      <c r="H236" s="213"/>
      <c r="I236" s="213"/>
      <c r="J236" s="213"/>
      <c r="K236" s="213"/>
      <c r="L236" s="213"/>
      <c r="M236" s="213"/>
      <c r="N236" s="211">
        <f>INDEX($C$199:$AN$221,MATCH("New Customers One-Time",$C$199:$C$221,0),MATCH($C236,$C$199:$AN$199,0))</f>
        <v>132.22222222222223</v>
      </c>
      <c r="O236" s="211">
        <f t="shared" ref="O236:AN236" si="157">$N$236*(E225)</f>
        <v>0</v>
      </c>
      <c r="P236" s="211">
        <f t="shared" si="157"/>
        <v>0</v>
      </c>
      <c r="Q236" s="211">
        <f t="shared" si="157"/>
        <v>0</v>
      </c>
      <c r="R236" s="211">
        <f t="shared" si="157"/>
        <v>0</v>
      </c>
      <c r="S236" s="211">
        <f t="shared" si="157"/>
        <v>0</v>
      </c>
      <c r="T236" s="211">
        <f t="shared" si="157"/>
        <v>0</v>
      </c>
      <c r="U236" s="211">
        <f t="shared" si="157"/>
        <v>0</v>
      </c>
      <c r="V236" s="211">
        <f t="shared" si="157"/>
        <v>0</v>
      </c>
      <c r="W236" s="211">
        <f t="shared" si="157"/>
        <v>0</v>
      </c>
      <c r="X236" s="211">
        <f t="shared" si="157"/>
        <v>0</v>
      </c>
      <c r="Y236" s="211">
        <f t="shared" si="157"/>
        <v>0</v>
      </c>
      <c r="Z236" s="211">
        <f t="shared" si="157"/>
        <v>0</v>
      </c>
      <c r="AA236" s="211">
        <f t="shared" si="157"/>
        <v>0</v>
      </c>
      <c r="AB236" s="211">
        <f t="shared" si="157"/>
        <v>0</v>
      </c>
      <c r="AC236" s="211">
        <f t="shared" si="157"/>
        <v>0</v>
      </c>
      <c r="AD236" s="211">
        <f t="shared" si="157"/>
        <v>0</v>
      </c>
      <c r="AE236" s="211">
        <f t="shared" si="157"/>
        <v>0</v>
      </c>
      <c r="AF236" s="211">
        <f t="shared" si="157"/>
        <v>0</v>
      </c>
      <c r="AG236" s="211">
        <f t="shared" si="157"/>
        <v>0</v>
      </c>
      <c r="AH236" s="211">
        <f t="shared" si="157"/>
        <v>0</v>
      </c>
      <c r="AI236" s="211">
        <f t="shared" si="157"/>
        <v>0</v>
      </c>
      <c r="AJ236" s="211">
        <f t="shared" si="157"/>
        <v>0</v>
      </c>
      <c r="AK236" s="211">
        <f t="shared" si="157"/>
        <v>0</v>
      </c>
      <c r="AL236" s="211">
        <f t="shared" si="157"/>
        <v>0</v>
      </c>
      <c r="AM236" s="211">
        <f t="shared" si="157"/>
        <v>0</v>
      </c>
      <c r="AN236" s="211">
        <f t="shared" si="157"/>
        <v>0</v>
      </c>
    </row>
    <row r="237" spans="2:40" s="7" customFormat="1" ht="12" hidden="1" customHeight="1" outlineLevel="1">
      <c r="B237" s="245"/>
      <c r="C237" s="250" t="s">
        <v>763</v>
      </c>
      <c r="D237" s="250"/>
      <c r="E237" s="213"/>
      <c r="F237" s="213"/>
      <c r="G237" s="213"/>
      <c r="H237" s="213"/>
      <c r="I237" s="213"/>
      <c r="J237" s="213"/>
      <c r="K237" s="213"/>
      <c r="L237" s="213"/>
      <c r="M237" s="213"/>
      <c r="N237" s="213"/>
      <c r="O237" s="211">
        <f>INDEX($C$199:$AN$221,MATCH("New Customers One-Time",$C$199:$C$221,0),MATCH($C237,$C$199:$AN$199,0))</f>
        <v>37.777777777777786</v>
      </c>
      <c r="P237" s="211">
        <f t="shared" ref="P237:AN237" si="158">$O$237*(E225)</f>
        <v>0</v>
      </c>
      <c r="Q237" s="211">
        <f t="shared" si="158"/>
        <v>0</v>
      </c>
      <c r="R237" s="211">
        <f t="shared" si="158"/>
        <v>0</v>
      </c>
      <c r="S237" s="211">
        <f t="shared" si="158"/>
        <v>0</v>
      </c>
      <c r="T237" s="211">
        <f t="shared" si="158"/>
        <v>0</v>
      </c>
      <c r="U237" s="211">
        <f t="shared" si="158"/>
        <v>0</v>
      </c>
      <c r="V237" s="211">
        <f t="shared" si="158"/>
        <v>0</v>
      </c>
      <c r="W237" s="211">
        <f t="shared" si="158"/>
        <v>0</v>
      </c>
      <c r="X237" s="211">
        <f t="shared" si="158"/>
        <v>0</v>
      </c>
      <c r="Y237" s="211">
        <f t="shared" si="158"/>
        <v>0</v>
      </c>
      <c r="Z237" s="211">
        <f t="shared" si="158"/>
        <v>0</v>
      </c>
      <c r="AA237" s="211">
        <f t="shared" si="158"/>
        <v>0</v>
      </c>
      <c r="AB237" s="211">
        <f t="shared" si="158"/>
        <v>0</v>
      </c>
      <c r="AC237" s="211">
        <f t="shared" si="158"/>
        <v>0</v>
      </c>
      <c r="AD237" s="211">
        <f t="shared" si="158"/>
        <v>0</v>
      </c>
      <c r="AE237" s="211">
        <f t="shared" si="158"/>
        <v>0</v>
      </c>
      <c r="AF237" s="211">
        <f t="shared" si="158"/>
        <v>0</v>
      </c>
      <c r="AG237" s="211">
        <f t="shared" si="158"/>
        <v>0</v>
      </c>
      <c r="AH237" s="211">
        <f t="shared" si="158"/>
        <v>0</v>
      </c>
      <c r="AI237" s="211">
        <f t="shared" si="158"/>
        <v>0</v>
      </c>
      <c r="AJ237" s="211">
        <f t="shared" si="158"/>
        <v>0</v>
      </c>
      <c r="AK237" s="211">
        <f t="shared" si="158"/>
        <v>0</v>
      </c>
      <c r="AL237" s="211">
        <f t="shared" si="158"/>
        <v>0</v>
      </c>
      <c r="AM237" s="211">
        <f t="shared" si="158"/>
        <v>0</v>
      </c>
      <c r="AN237" s="211">
        <f t="shared" si="158"/>
        <v>0</v>
      </c>
    </row>
    <row r="238" spans="2:40" s="7" customFormat="1" ht="12" hidden="1" customHeight="1" outlineLevel="1">
      <c r="B238" s="245"/>
      <c r="C238" s="250" t="s">
        <v>764</v>
      </c>
      <c r="D238" s="250"/>
      <c r="E238" s="213"/>
      <c r="F238" s="213"/>
      <c r="G238" s="213"/>
      <c r="H238" s="213"/>
      <c r="I238" s="213"/>
      <c r="J238" s="213"/>
      <c r="K238" s="213"/>
      <c r="L238" s="213"/>
      <c r="M238" s="213"/>
      <c r="N238" s="213"/>
      <c r="O238" s="213"/>
      <c r="P238" s="211">
        <f>INDEX($C$199:$AN$221,MATCH("New Customers One-Time",$C$199:$C$221,0),MATCH($C237,$C$199:$AN$199,0))</f>
        <v>37.777777777777786</v>
      </c>
      <c r="Q238" s="211">
        <f t="shared" ref="Q238:AN238" si="159">$P$238*(E225)</f>
        <v>0</v>
      </c>
      <c r="R238" s="211">
        <f t="shared" si="159"/>
        <v>0</v>
      </c>
      <c r="S238" s="211">
        <f t="shared" si="159"/>
        <v>0</v>
      </c>
      <c r="T238" s="211">
        <f t="shared" si="159"/>
        <v>0</v>
      </c>
      <c r="U238" s="211">
        <f t="shared" si="159"/>
        <v>0</v>
      </c>
      <c r="V238" s="211">
        <f t="shared" si="159"/>
        <v>0</v>
      </c>
      <c r="W238" s="211">
        <f t="shared" si="159"/>
        <v>0</v>
      </c>
      <c r="X238" s="211">
        <f t="shared" si="159"/>
        <v>0</v>
      </c>
      <c r="Y238" s="211">
        <f t="shared" si="159"/>
        <v>0</v>
      </c>
      <c r="Z238" s="211">
        <f t="shared" si="159"/>
        <v>0</v>
      </c>
      <c r="AA238" s="211">
        <f t="shared" si="159"/>
        <v>0</v>
      </c>
      <c r="AB238" s="211">
        <f t="shared" si="159"/>
        <v>0</v>
      </c>
      <c r="AC238" s="211">
        <f t="shared" si="159"/>
        <v>0</v>
      </c>
      <c r="AD238" s="211">
        <f t="shared" si="159"/>
        <v>0</v>
      </c>
      <c r="AE238" s="211">
        <f t="shared" si="159"/>
        <v>0</v>
      </c>
      <c r="AF238" s="211">
        <f t="shared" si="159"/>
        <v>0</v>
      </c>
      <c r="AG238" s="211">
        <f t="shared" si="159"/>
        <v>0</v>
      </c>
      <c r="AH238" s="211">
        <f t="shared" si="159"/>
        <v>0</v>
      </c>
      <c r="AI238" s="211">
        <f t="shared" si="159"/>
        <v>0</v>
      </c>
      <c r="AJ238" s="211">
        <f t="shared" si="159"/>
        <v>0</v>
      </c>
      <c r="AK238" s="211">
        <f t="shared" si="159"/>
        <v>0</v>
      </c>
      <c r="AL238" s="211">
        <f t="shared" si="159"/>
        <v>0</v>
      </c>
      <c r="AM238" s="211">
        <f t="shared" si="159"/>
        <v>0</v>
      </c>
      <c r="AN238" s="211">
        <f t="shared" si="159"/>
        <v>0</v>
      </c>
    </row>
    <row r="239" spans="2:40" s="7" customFormat="1" ht="12" hidden="1" customHeight="1" outlineLevel="1">
      <c r="B239" s="245"/>
      <c r="C239" s="250" t="s">
        <v>765</v>
      </c>
      <c r="D239" s="250"/>
      <c r="E239" s="213"/>
      <c r="F239" s="213"/>
      <c r="G239" s="213"/>
      <c r="H239" s="213"/>
      <c r="I239" s="213"/>
      <c r="J239" s="213"/>
      <c r="K239" s="213"/>
      <c r="L239" s="213"/>
      <c r="M239" s="213"/>
      <c r="N239" s="213"/>
      <c r="O239" s="213"/>
      <c r="P239" s="213"/>
      <c r="Q239" s="211">
        <f>INDEX($C$199:$AN$221,MATCH("New Customers One-Time",$C$199:$C$221,0),MATCH($C239,$C$199:$AN$199,0))</f>
        <v>40.067000000000007</v>
      </c>
      <c r="R239" s="211">
        <f t="shared" ref="R239:AN239" si="160">$Q$239*(E225)</f>
        <v>0</v>
      </c>
      <c r="S239" s="211">
        <f t="shared" si="160"/>
        <v>0</v>
      </c>
      <c r="T239" s="211">
        <f t="shared" si="160"/>
        <v>0</v>
      </c>
      <c r="U239" s="211">
        <f t="shared" si="160"/>
        <v>0</v>
      </c>
      <c r="V239" s="211">
        <f t="shared" si="160"/>
        <v>0</v>
      </c>
      <c r="W239" s="211">
        <f t="shared" si="160"/>
        <v>0</v>
      </c>
      <c r="X239" s="211">
        <f t="shared" si="160"/>
        <v>0</v>
      </c>
      <c r="Y239" s="211">
        <f t="shared" si="160"/>
        <v>0</v>
      </c>
      <c r="Z239" s="211">
        <f t="shared" si="160"/>
        <v>0</v>
      </c>
      <c r="AA239" s="211">
        <f t="shared" si="160"/>
        <v>0</v>
      </c>
      <c r="AB239" s="211">
        <f t="shared" si="160"/>
        <v>0</v>
      </c>
      <c r="AC239" s="211">
        <f t="shared" si="160"/>
        <v>0</v>
      </c>
      <c r="AD239" s="211">
        <f t="shared" si="160"/>
        <v>0</v>
      </c>
      <c r="AE239" s="211">
        <f t="shared" si="160"/>
        <v>0</v>
      </c>
      <c r="AF239" s="211">
        <f t="shared" si="160"/>
        <v>0</v>
      </c>
      <c r="AG239" s="211">
        <f t="shared" si="160"/>
        <v>0</v>
      </c>
      <c r="AH239" s="211">
        <f t="shared" si="160"/>
        <v>0</v>
      </c>
      <c r="AI239" s="211">
        <f t="shared" si="160"/>
        <v>0</v>
      </c>
      <c r="AJ239" s="211">
        <f t="shared" si="160"/>
        <v>0</v>
      </c>
      <c r="AK239" s="211">
        <f t="shared" si="160"/>
        <v>0</v>
      </c>
      <c r="AL239" s="211">
        <f t="shared" si="160"/>
        <v>0</v>
      </c>
      <c r="AM239" s="211">
        <f t="shared" si="160"/>
        <v>0</v>
      </c>
      <c r="AN239" s="211">
        <f t="shared" si="160"/>
        <v>0</v>
      </c>
    </row>
    <row r="240" spans="2:40" s="7" customFormat="1" ht="12" hidden="1" customHeight="1" outlineLevel="1">
      <c r="B240" s="245"/>
      <c r="C240" s="250" t="s">
        <v>766</v>
      </c>
      <c r="D240" s="250"/>
      <c r="E240" s="213"/>
      <c r="F240" s="213"/>
      <c r="G240" s="213"/>
      <c r="H240" s="213"/>
      <c r="I240" s="213"/>
      <c r="J240" s="213"/>
      <c r="K240" s="213"/>
      <c r="L240" s="213"/>
      <c r="M240" s="213"/>
      <c r="N240" s="213"/>
      <c r="O240" s="213"/>
      <c r="P240" s="213"/>
      <c r="Q240" s="213"/>
      <c r="R240" s="211">
        <f>INDEX($C$199:$AN$221,MATCH("New Customers One-Time",$C$199:$C$221,0),MATCH($C240,$C$199:$AN$199,0))</f>
        <v>78.392888888888891</v>
      </c>
      <c r="S240" s="211">
        <f t="shared" ref="S240:AN240" si="161">$R$240*(E225)</f>
        <v>0</v>
      </c>
      <c r="T240" s="211">
        <f t="shared" si="161"/>
        <v>0</v>
      </c>
      <c r="U240" s="211">
        <f t="shared" si="161"/>
        <v>0</v>
      </c>
      <c r="V240" s="211">
        <f t="shared" si="161"/>
        <v>0</v>
      </c>
      <c r="W240" s="211">
        <f t="shared" si="161"/>
        <v>0</v>
      </c>
      <c r="X240" s="211">
        <f t="shared" si="161"/>
        <v>0</v>
      </c>
      <c r="Y240" s="211">
        <f t="shared" si="161"/>
        <v>0</v>
      </c>
      <c r="Z240" s="211">
        <f t="shared" si="161"/>
        <v>0</v>
      </c>
      <c r="AA240" s="211">
        <f t="shared" si="161"/>
        <v>0</v>
      </c>
      <c r="AB240" s="211">
        <f t="shared" si="161"/>
        <v>0</v>
      </c>
      <c r="AC240" s="211">
        <f t="shared" si="161"/>
        <v>0</v>
      </c>
      <c r="AD240" s="211">
        <f t="shared" si="161"/>
        <v>0</v>
      </c>
      <c r="AE240" s="211">
        <f t="shared" si="161"/>
        <v>0</v>
      </c>
      <c r="AF240" s="211">
        <f t="shared" si="161"/>
        <v>0</v>
      </c>
      <c r="AG240" s="211">
        <f t="shared" si="161"/>
        <v>0</v>
      </c>
      <c r="AH240" s="211">
        <f t="shared" si="161"/>
        <v>0</v>
      </c>
      <c r="AI240" s="211">
        <f t="shared" si="161"/>
        <v>0</v>
      </c>
      <c r="AJ240" s="211">
        <f t="shared" si="161"/>
        <v>0</v>
      </c>
      <c r="AK240" s="211">
        <f t="shared" si="161"/>
        <v>0</v>
      </c>
      <c r="AL240" s="211">
        <f t="shared" si="161"/>
        <v>0</v>
      </c>
      <c r="AM240" s="211">
        <f t="shared" si="161"/>
        <v>0</v>
      </c>
      <c r="AN240" s="211">
        <f t="shared" si="161"/>
        <v>0</v>
      </c>
    </row>
    <row r="241" spans="2:41" s="7" customFormat="1" ht="12" hidden="1" customHeight="1" outlineLevel="1">
      <c r="B241" s="245"/>
      <c r="C241" s="250" t="s">
        <v>767</v>
      </c>
      <c r="D241" s="250"/>
      <c r="E241" s="213"/>
      <c r="F241" s="213"/>
      <c r="G241" s="213"/>
      <c r="H241" s="213"/>
      <c r="I241" s="213"/>
      <c r="J241" s="213"/>
      <c r="K241" s="213"/>
      <c r="L241" s="213"/>
      <c r="M241" s="213"/>
      <c r="N241" s="213"/>
      <c r="O241" s="213"/>
      <c r="P241" s="213"/>
      <c r="Q241" s="213"/>
      <c r="R241" s="213"/>
      <c r="S241" s="211">
        <f>INDEX($C$199:$AN$221,MATCH("New Customers One-Time",$C$199:$C$221,0),MATCH($C241,$C$199:$AN$199,0))</f>
        <v>87.599111111111128</v>
      </c>
      <c r="T241" s="211">
        <f t="shared" ref="T241:AN241" si="162">$S$241*(E225)</f>
        <v>0</v>
      </c>
      <c r="U241" s="211">
        <f t="shared" si="162"/>
        <v>0</v>
      </c>
      <c r="V241" s="211">
        <f t="shared" si="162"/>
        <v>0</v>
      </c>
      <c r="W241" s="211">
        <f t="shared" si="162"/>
        <v>0</v>
      </c>
      <c r="X241" s="211">
        <f t="shared" si="162"/>
        <v>0</v>
      </c>
      <c r="Y241" s="211">
        <f t="shared" si="162"/>
        <v>0</v>
      </c>
      <c r="Z241" s="211">
        <f t="shared" si="162"/>
        <v>0</v>
      </c>
      <c r="AA241" s="211">
        <f t="shared" si="162"/>
        <v>0</v>
      </c>
      <c r="AB241" s="211">
        <f t="shared" si="162"/>
        <v>0</v>
      </c>
      <c r="AC241" s="211">
        <f t="shared" si="162"/>
        <v>0</v>
      </c>
      <c r="AD241" s="211">
        <f t="shared" si="162"/>
        <v>0</v>
      </c>
      <c r="AE241" s="211">
        <f t="shared" si="162"/>
        <v>0</v>
      </c>
      <c r="AF241" s="211">
        <f t="shared" si="162"/>
        <v>0</v>
      </c>
      <c r="AG241" s="211">
        <f t="shared" si="162"/>
        <v>0</v>
      </c>
      <c r="AH241" s="211">
        <f t="shared" si="162"/>
        <v>0</v>
      </c>
      <c r="AI241" s="211">
        <f t="shared" si="162"/>
        <v>0</v>
      </c>
      <c r="AJ241" s="211">
        <f t="shared" si="162"/>
        <v>0</v>
      </c>
      <c r="AK241" s="211">
        <f t="shared" si="162"/>
        <v>0</v>
      </c>
      <c r="AL241" s="211">
        <f t="shared" si="162"/>
        <v>0</v>
      </c>
      <c r="AM241" s="211">
        <f t="shared" si="162"/>
        <v>0</v>
      </c>
      <c r="AN241" s="211">
        <f t="shared" si="162"/>
        <v>0</v>
      </c>
    </row>
    <row r="242" spans="2:41" s="7" customFormat="1" ht="12" hidden="1" customHeight="1" outlineLevel="1">
      <c r="B242" s="245"/>
      <c r="C242" s="250" t="s">
        <v>768</v>
      </c>
      <c r="D242" s="250"/>
      <c r="E242" s="213"/>
      <c r="F242" s="213"/>
      <c r="G242" s="213"/>
      <c r="H242" s="213"/>
      <c r="I242" s="213"/>
      <c r="J242" s="213"/>
      <c r="K242" s="213"/>
      <c r="L242" s="213"/>
      <c r="M242" s="213"/>
      <c r="N242" s="213"/>
      <c r="O242" s="213"/>
      <c r="P242" s="213"/>
      <c r="Q242" s="213"/>
      <c r="R242" s="213"/>
      <c r="S242" s="213"/>
      <c r="T242" s="211">
        <f>INDEX($C$199:$AN$221,MATCH("New Customers One-Time",$C$199:$C$221,0),MATCH($C242,$C$199:$AN$199,0))</f>
        <v>51.999111111111112</v>
      </c>
      <c r="U242" s="211">
        <f t="shared" ref="U242:AN242" si="163">$T$242*(E225)</f>
        <v>0</v>
      </c>
      <c r="V242" s="211">
        <f t="shared" si="163"/>
        <v>0</v>
      </c>
      <c r="W242" s="211">
        <f t="shared" si="163"/>
        <v>0</v>
      </c>
      <c r="X242" s="211">
        <f t="shared" si="163"/>
        <v>0</v>
      </c>
      <c r="Y242" s="211">
        <f t="shared" si="163"/>
        <v>0</v>
      </c>
      <c r="Z242" s="211">
        <f t="shared" si="163"/>
        <v>0</v>
      </c>
      <c r="AA242" s="211">
        <f t="shared" si="163"/>
        <v>0</v>
      </c>
      <c r="AB242" s="211">
        <f t="shared" si="163"/>
        <v>0</v>
      </c>
      <c r="AC242" s="211">
        <f t="shared" si="163"/>
        <v>0</v>
      </c>
      <c r="AD242" s="211">
        <f t="shared" si="163"/>
        <v>0</v>
      </c>
      <c r="AE242" s="211">
        <f t="shared" si="163"/>
        <v>0</v>
      </c>
      <c r="AF242" s="211">
        <f t="shared" si="163"/>
        <v>0</v>
      </c>
      <c r="AG242" s="211">
        <f t="shared" si="163"/>
        <v>0</v>
      </c>
      <c r="AH242" s="211">
        <f t="shared" si="163"/>
        <v>0</v>
      </c>
      <c r="AI242" s="211">
        <f t="shared" si="163"/>
        <v>0</v>
      </c>
      <c r="AJ242" s="211">
        <f t="shared" si="163"/>
        <v>0</v>
      </c>
      <c r="AK242" s="211">
        <f t="shared" si="163"/>
        <v>0</v>
      </c>
      <c r="AL242" s="211">
        <f t="shared" si="163"/>
        <v>0</v>
      </c>
      <c r="AM242" s="211">
        <f t="shared" si="163"/>
        <v>0</v>
      </c>
      <c r="AN242" s="211">
        <f t="shared" si="163"/>
        <v>0</v>
      </c>
    </row>
    <row r="243" spans="2:41" s="7" customFormat="1" ht="12" hidden="1" customHeight="1" outlineLevel="1">
      <c r="B243" s="245"/>
      <c r="C243" s="250" t="s">
        <v>769</v>
      </c>
      <c r="D243" s="250"/>
      <c r="E243" s="213"/>
      <c r="F243" s="213"/>
      <c r="G243" s="213"/>
      <c r="H243" s="213"/>
      <c r="I243" s="213"/>
      <c r="J243" s="213"/>
      <c r="K243" s="213"/>
      <c r="L243" s="213"/>
      <c r="M243" s="213"/>
      <c r="N243" s="213"/>
      <c r="O243" s="213"/>
      <c r="P243" s="213"/>
      <c r="Q243" s="213"/>
      <c r="R243" s="213"/>
      <c r="S243" s="213"/>
      <c r="T243" s="213"/>
      <c r="U243" s="211">
        <f>INDEX($C$199:$AN$221,MATCH("New Customers One-Time",$C$199:$C$221,0),MATCH($C243,$C$199:$AN$199,0))</f>
        <v>39.494888888888894</v>
      </c>
      <c r="V243" s="211">
        <f t="shared" ref="V243:AN243" si="164">$U$243*(E225)</f>
        <v>0</v>
      </c>
      <c r="W243" s="211">
        <f t="shared" si="164"/>
        <v>0</v>
      </c>
      <c r="X243" s="211">
        <f t="shared" si="164"/>
        <v>0</v>
      </c>
      <c r="Y243" s="211">
        <f t="shared" si="164"/>
        <v>0</v>
      </c>
      <c r="Z243" s="211">
        <f t="shared" si="164"/>
        <v>0</v>
      </c>
      <c r="AA243" s="211">
        <f t="shared" si="164"/>
        <v>0</v>
      </c>
      <c r="AB243" s="211">
        <f t="shared" si="164"/>
        <v>0</v>
      </c>
      <c r="AC243" s="211">
        <f t="shared" si="164"/>
        <v>0</v>
      </c>
      <c r="AD243" s="211">
        <f t="shared" si="164"/>
        <v>0</v>
      </c>
      <c r="AE243" s="211">
        <f t="shared" si="164"/>
        <v>0</v>
      </c>
      <c r="AF243" s="211">
        <f t="shared" si="164"/>
        <v>0</v>
      </c>
      <c r="AG243" s="211">
        <f t="shared" si="164"/>
        <v>0</v>
      </c>
      <c r="AH243" s="211">
        <f t="shared" si="164"/>
        <v>0</v>
      </c>
      <c r="AI243" s="211">
        <f t="shared" si="164"/>
        <v>0</v>
      </c>
      <c r="AJ243" s="211">
        <f t="shared" si="164"/>
        <v>0</v>
      </c>
      <c r="AK243" s="211">
        <f t="shared" si="164"/>
        <v>0</v>
      </c>
      <c r="AL243" s="211">
        <f t="shared" si="164"/>
        <v>0</v>
      </c>
      <c r="AM243" s="211">
        <f t="shared" si="164"/>
        <v>0</v>
      </c>
      <c r="AN243" s="211">
        <f t="shared" si="164"/>
        <v>0</v>
      </c>
    </row>
    <row r="244" spans="2:41" s="7" customFormat="1" ht="12" hidden="1" customHeight="1" outlineLevel="1">
      <c r="B244" s="245"/>
      <c r="C244" s="250" t="s">
        <v>770</v>
      </c>
      <c r="D244" s="250"/>
      <c r="E244" s="213"/>
      <c r="F244" s="213"/>
      <c r="G244" s="213"/>
      <c r="H244" s="213"/>
      <c r="I244" s="213"/>
      <c r="J244" s="213"/>
      <c r="K244" s="213"/>
      <c r="L244" s="213"/>
      <c r="M244" s="213"/>
      <c r="N244" s="213"/>
      <c r="O244" s="213"/>
      <c r="P244" s="213"/>
      <c r="Q244" s="213"/>
      <c r="R244" s="213"/>
      <c r="S244" s="213"/>
      <c r="T244" s="213"/>
      <c r="U244" s="213"/>
      <c r="V244" s="211">
        <f>INDEX($C$199:$AN$221,MATCH("New Customers One-Time",$C$199:$C$221,0),MATCH($C244,$C$199:$AN$199,0))</f>
        <v>92.944222222222237</v>
      </c>
      <c r="W244" s="211">
        <f t="shared" ref="W244:AN244" si="165">$V$244*(E225)</f>
        <v>0</v>
      </c>
      <c r="X244" s="211">
        <f t="shared" si="165"/>
        <v>0</v>
      </c>
      <c r="Y244" s="211">
        <f t="shared" si="165"/>
        <v>0</v>
      </c>
      <c r="Z244" s="211">
        <f t="shared" si="165"/>
        <v>0</v>
      </c>
      <c r="AA244" s="211">
        <f t="shared" si="165"/>
        <v>0</v>
      </c>
      <c r="AB244" s="211">
        <f t="shared" si="165"/>
        <v>0</v>
      </c>
      <c r="AC244" s="211">
        <f t="shared" si="165"/>
        <v>0</v>
      </c>
      <c r="AD244" s="211">
        <f t="shared" si="165"/>
        <v>0</v>
      </c>
      <c r="AE244" s="211">
        <f t="shared" si="165"/>
        <v>0</v>
      </c>
      <c r="AF244" s="211">
        <f t="shared" si="165"/>
        <v>0</v>
      </c>
      <c r="AG244" s="211">
        <f t="shared" si="165"/>
        <v>0</v>
      </c>
      <c r="AH244" s="211">
        <f t="shared" si="165"/>
        <v>0</v>
      </c>
      <c r="AI244" s="211">
        <f t="shared" si="165"/>
        <v>0</v>
      </c>
      <c r="AJ244" s="211">
        <f t="shared" si="165"/>
        <v>0</v>
      </c>
      <c r="AK244" s="211">
        <f t="shared" si="165"/>
        <v>0</v>
      </c>
      <c r="AL244" s="211">
        <f t="shared" si="165"/>
        <v>0</v>
      </c>
      <c r="AM244" s="211">
        <f t="shared" si="165"/>
        <v>0</v>
      </c>
      <c r="AN244" s="211">
        <f t="shared" si="165"/>
        <v>0</v>
      </c>
    </row>
    <row r="245" spans="2:41" s="7" customFormat="1" ht="12" hidden="1" customHeight="1" outlineLevel="1">
      <c r="B245" s="245"/>
      <c r="C245" s="250" t="s">
        <v>771</v>
      </c>
      <c r="D245" s="250"/>
      <c r="E245" s="213"/>
      <c r="F245" s="213"/>
      <c r="G245" s="213"/>
      <c r="H245" s="213"/>
      <c r="I245" s="213"/>
      <c r="J245" s="213"/>
      <c r="K245" s="213"/>
      <c r="L245" s="213"/>
      <c r="M245" s="213"/>
      <c r="N245" s="213"/>
      <c r="O245" s="213"/>
      <c r="P245" s="213"/>
      <c r="Q245" s="213"/>
      <c r="R245" s="213"/>
      <c r="S245" s="213"/>
      <c r="T245" s="213"/>
      <c r="U245" s="213"/>
      <c r="V245" s="213"/>
      <c r="W245" s="211">
        <f>INDEX($C$199:$AN$221,MATCH("New Customers One-Time",$C$199:$C$221,0),MATCH($C245,$C$199:$AN$199,0))</f>
        <v>43.623999999999995</v>
      </c>
      <c r="X245" s="211">
        <f t="shared" ref="X245:AN245" si="166">$W$245*(E225)</f>
        <v>0</v>
      </c>
      <c r="Y245" s="211">
        <f t="shared" si="166"/>
        <v>0</v>
      </c>
      <c r="Z245" s="211">
        <f t="shared" si="166"/>
        <v>0</v>
      </c>
      <c r="AA245" s="211">
        <f t="shared" si="166"/>
        <v>0</v>
      </c>
      <c r="AB245" s="211">
        <f t="shared" si="166"/>
        <v>0</v>
      </c>
      <c r="AC245" s="211">
        <f t="shared" si="166"/>
        <v>0</v>
      </c>
      <c r="AD245" s="211">
        <f t="shared" si="166"/>
        <v>0</v>
      </c>
      <c r="AE245" s="211">
        <f t="shared" si="166"/>
        <v>0</v>
      </c>
      <c r="AF245" s="211">
        <f t="shared" si="166"/>
        <v>0</v>
      </c>
      <c r="AG245" s="211">
        <f t="shared" si="166"/>
        <v>0</v>
      </c>
      <c r="AH245" s="211">
        <f t="shared" si="166"/>
        <v>0</v>
      </c>
      <c r="AI245" s="211">
        <f t="shared" si="166"/>
        <v>0</v>
      </c>
      <c r="AJ245" s="211">
        <f t="shared" si="166"/>
        <v>0</v>
      </c>
      <c r="AK245" s="211">
        <f t="shared" si="166"/>
        <v>0</v>
      </c>
      <c r="AL245" s="211">
        <f t="shared" si="166"/>
        <v>0</v>
      </c>
      <c r="AM245" s="211">
        <f t="shared" si="166"/>
        <v>0</v>
      </c>
      <c r="AN245" s="211">
        <f t="shared" si="166"/>
        <v>0</v>
      </c>
    </row>
    <row r="246" spans="2:41" s="7" customFormat="1" ht="12" hidden="1" customHeight="1" outlineLevel="1">
      <c r="B246" s="245"/>
      <c r="C246" s="250" t="s">
        <v>772</v>
      </c>
      <c r="D246" s="250"/>
      <c r="E246" s="213"/>
      <c r="F246" s="213"/>
      <c r="G246" s="213"/>
      <c r="H246" s="213"/>
      <c r="I246" s="213"/>
      <c r="J246" s="213"/>
      <c r="K246" s="213"/>
      <c r="L246" s="213"/>
      <c r="M246" s="213"/>
      <c r="N246" s="213"/>
      <c r="O246" s="213"/>
      <c r="P246" s="213"/>
      <c r="Q246" s="213"/>
      <c r="R246" s="213"/>
      <c r="S246" s="213"/>
      <c r="T246" s="213"/>
      <c r="U246" s="213"/>
      <c r="V246" s="213"/>
      <c r="W246" s="213"/>
      <c r="X246" s="211">
        <f>INDEX($C$199:$AN$221,MATCH("New Customers One-Time",$C$199:$C$221,0),MATCH($C246,$C$199:$AN$199,0))</f>
        <v>45.714666666666666</v>
      </c>
      <c r="Y246" s="211">
        <f t="shared" ref="Y246:AN246" si="167">$X$246*(E225)</f>
        <v>0</v>
      </c>
      <c r="Z246" s="211">
        <f t="shared" si="167"/>
        <v>0</v>
      </c>
      <c r="AA246" s="211">
        <f t="shared" si="167"/>
        <v>0</v>
      </c>
      <c r="AB246" s="211">
        <f t="shared" si="167"/>
        <v>0</v>
      </c>
      <c r="AC246" s="211">
        <f t="shared" si="167"/>
        <v>0</v>
      </c>
      <c r="AD246" s="211">
        <f t="shared" si="167"/>
        <v>0</v>
      </c>
      <c r="AE246" s="211">
        <f t="shared" si="167"/>
        <v>0</v>
      </c>
      <c r="AF246" s="211">
        <f t="shared" si="167"/>
        <v>0</v>
      </c>
      <c r="AG246" s="211">
        <f t="shared" si="167"/>
        <v>0</v>
      </c>
      <c r="AH246" s="211">
        <f t="shared" si="167"/>
        <v>0</v>
      </c>
      <c r="AI246" s="211">
        <f t="shared" si="167"/>
        <v>0</v>
      </c>
      <c r="AJ246" s="211">
        <f t="shared" si="167"/>
        <v>0</v>
      </c>
      <c r="AK246" s="211">
        <f t="shared" si="167"/>
        <v>0</v>
      </c>
      <c r="AL246" s="211">
        <f t="shared" si="167"/>
        <v>0</v>
      </c>
      <c r="AM246" s="211">
        <f t="shared" si="167"/>
        <v>0</v>
      </c>
      <c r="AN246" s="211">
        <f t="shared" si="167"/>
        <v>0</v>
      </c>
    </row>
    <row r="247" spans="2:41" s="7" customFormat="1" ht="12" hidden="1" customHeight="1" outlineLevel="1">
      <c r="B247" s="245"/>
      <c r="C247" s="250" t="s">
        <v>773</v>
      </c>
      <c r="D247" s="250"/>
      <c r="E247" s="213"/>
      <c r="F247" s="213"/>
      <c r="G247" s="213"/>
      <c r="H247" s="213"/>
      <c r="I247" s="213"/>
      <c r="J247" s="213"/>
      <c r="K247" s="213"/>
      <c r="L247" s="213"/>
      <c r="M247" s="213"/>
      <c r="N247" s="213"/>
      <c r="O247" s="213"/>
      <c r="P247" s="213"/>
      <c r="Q247" s="213"/>
      <c r="R247" s="213"/>
      <c r="S247" s="213"/>
      <c r="T247" s="213"/>
      <c r="U247" s="213"/>
      <c r="V247" s="213"/>
      <c r="W247" s="213"/>
      <c r="X247" s="213"/>
      <c r="Y247" s="211">
        <f>INDEX($C$199:$AN$221,MATCH("New Customers One-Time",$C$199:$C$221,0),MATCH($C247,$C$199:$AN$199,0))</f>
        <v>158.88888888888889</v>
      </c>
      <c r="Z247" s="211">
        <f t="shared" ref="Z247:AN247" si="168">$Y$247*(E225)</f>
        <v>0</v>
      </c>
      <c r="AA247" s="211">
        <f t="shared" si="168"/>
        <v>0</v>
      </c>
      <c r="AB247" s="211">
        <f t="shared" si="168"/>
        <v>0</v>
      </c>
      <c r="AC247" s="211">
        <f t="shared" si="168"/>
        <v>0</v>
      </c>
      <c r="AD247" s="211">
        <f t="shared" si="168"/>
        <v>0</v>
      </c>
      <c r="AE247" s="211">
        <f t="shared" si="168"/>
        <v>0</v>
      </c>
      <c r="AF247" s="211">
        <f t="shared" si="168"/>
        <v>0</v>
      </c>
      <c r="AG247" s="211">
        <f t="shared" si="168"/>
        <v>0</v>
      </c>
      <c r="AH247" s="211">
        <f t="shared" si="168"/>
        <v>0</v>
      </c>
      <c r="AI247" s="211">
        <f t="shared" si="168"/>
        <v>0</v>
      </c>
      <c r="AJ247" s="211">
        <f t="shared" si="168"/>
        <v>0</v>
      </c>
      <c r="AK247" s="211">
        <f t="shared" si="168"/>
        <v>0</v>
      </c>
      <c r="AL247" s="211">
        <f t="shared" si="168"/>
        <v>0</v>
      </c>
      <c r="AM247" s="211">
        <f t="shared" si="168"/>
        <v>0</v>
      </c>
      <c r="AN247" s="211">
        <f t="shared" si="168"/>
        <v>0</v>
      </c>
    </row>
    <row r="248" spans="2:41" s="7" customFormat="1" ht="12" hidden="1" customHeight="1" outlineLevel="1">
      <c r="B248" s="245"/>
      <c r="C248" s="250" t="s">
        <v>774</v>
      </c>
      <c r="D248" s="250"/>
      <c r="E248" s="213"/>
      <c r="F248" s="213"/>
      <c r="G248" s="213"/>
      <c r="H248" s="213"/>
      <c r="I248" s="213"/>
      <c r="J248" s="213"/>
      <c r="K248" s="213"/>
      <c r="L248" s="213"/>
      <c r="M248" s="213"/>
      <c r="N248" s="213"/>
      <c r="O248" s="213"/>
      <c r="P248" s="213"/>
      <c r="Q248" s="213"/>
      <c r="R248" s="213"/>
      <c r="S248" s="213"/>
      <c r="T248" s="213"/>
      <c r="U248" s="213"/>
      <c r="V248" s="213"/>
      <c r="W248" s="213"/>
      <c r="X248" s="213"/>
      <c r="Y248" s="213"/>
      <c r="Z248" s="211">
        <f>INDEX($C$199:$AN$221,MATCH("New Customers One-Time",$C$199:$C$221,0),MATCH($C248,$C$199:$AN$199,0))</f>
        <v>155.55555555555554</v>
      </c>
      <c r="AA248" s="211">
        <f t="shared" ref="AA248:AK248" si="169">$Z$248*(E225)</f>
        <v>0</v>
      </c>
      <c r="AB248" s="211">
        <f t="shared" si="169"/>
        <v>0</v>
      </c>
      <c r="AC248" s="211">
        <f t="shared" si="169"/>
        <v>0</v>
      </c>
      <c r="AD248" s="211">
        <f t="shared" si="169"/>
        <v>0</v>
      </c>
      <c r="AE248" s="211">
        <f t="shared" si="169"/>
        <v>0</v>
      </c>
      <c r="AF248" s="211">
        <f t="shared" si="169"/>
        <v>0</v>
      </c>
      <c r="AG248" s="211">
        <f t="shared" si="169"/>
        <v>0</v>
      </c>
      <c r="AH248" s="211">
        <f t="shared" si="169"/>
        <v>0</v>
      </c>
      <c r="AI248" s="211">
        <f t="shared" si="169"/>
        <v>0</v>
      </c>
      <c r="AJ248" s="211">
        <f t="shared" si="169"/>
        <v>0</v>
      </c>
      <c r="AK248" s="211">
        <f t="shared" si="169"/>
        <v>0</v>
      </c>
      <c r="AL248" s="211">
        <f>AK248*(P225)</f>
        <v>0</v>
      </c>
      <c r="AM248" s="211">
        <f>AL248*(Q225)</f>
        <v>0</v>
      </c>
      <c r="AN248" s="211">
        <f>AM248*(R225)</f>
        <v>0</v>
      </c>
    </row>
    <row r="249" spans="2:41" s="7" customFormat="1" ht="12" hidden="1" customHeight="1" outlineLevel="1">
      <c r="B249" s="245"/>
      <c r="C249" s="250" t="s">
        <v>775</v>
      </c>
      <c r="D249" s="250"/>
      <c r="E249" s="213"/>
      <c r="F249" s="213"/>
      <c r="G249" s="213"/>
      <c r="H249" s="213"/>
      <c r="I249" s="213"/>
      <c r="J249" s="213"/>
      <c r="K249" s="213"/>
      <c r="L249" s="213"/>
      <c r="M249" s="213"/>
      <c r="N249" s="213"/>
      <c r="O249" s="213"/>
      <c r="P249" s="213"/>
      <c r="Q249" s="213"/>
      <c r="R249" s="213"/>
      <c r="S249" s="213"/>
      <c r="T249" s="213"/>
      <c r="U249" s="213"/>
      <c r="V249" s="213"/>
      <c r="W249" s="213"/>
      <c r="X249" s="213"/>
      <c r="Y249" s="213"/>
      <c r="Z249" s="213"/>
      <c r="AA249" s="211">
        <f>INDEX($C$199:$AN$221,MATCH("New Customers One-Time",$C$199:$C$221,0),MATCH($C249,$C$199:$AN$199,0))</f>
        <v>48.888888888888886</v>
      </c>
      <c r="AB249" s="211">
        <f t="shared" ref="AB249:AK249" si="170">$AA$249*(E225)</f>
        <v>0</v>
      </c>
      <c r="AC249" s="211">
        <f t="shared" si="170"/>
        <v>0</v>
      </c>
      <c r="AD249" s="211">
        <f t="shared" si="170"/>
        <v>0</v>
      </c>
      <c r="AE249" s="211">
        <f t="shared" si="170"/>
        <v>0</v>
      </c>
      <c r="AF249" s="211">
        <f t="shared" si="170"/>
        <v>0</v>
      </c>
      <c r="AG249" s="211">
        <f t="shared" si="170"/>
        <v>0</v>
      </c>
      <c r="AH249" s="211">
        <f t="shared" si="170"/>
        <v>0</v>
      </c>
      <c r="AI249" s="211">
        <f t="shared" si="170"/>
        <v>0</v>
      </c>
      <c r="AJ249" s="211">
        <f t="shared" si="170"/>
        <v>0</v>
      </c>
      <c r="AK249" s="211">
        <f t="shared" si="170"/>
        <v>0</v>
      </c>
      <c r="AL249" s="211">
        <f>AK249*(O225)</f>
        <v>0</v>
      </c>
      <c r="AM249" s="211">
        <f>AL249*(P225)</f>
        <v>0</v>
      </c>
      <c r="AN249" s="211">
        <f>AM249*(Q225)</f>
        <v>0</v>
      </c>
    </row>
    <row r="250" spans="2:41" s="7" customFormat="1" ht="12" hidden="1" customHeight="1" outlineLevel="1">
      <c r="B250" s="245"/>
      <c r="C250" s="250" t="s">
        <v>776</v>
      </c>
      <c r="D250" s="250"/>
      <c r="E250" s="213"/>
      <c r="F250" s="213"/>
      <c r="G250" s="213"/>
      <c r="H250" s="213"/>
      <c r="I250" s="213"/>
      <c r="J250" s="213"/>
      <c r="K250" s="213"/>
      <c r="L250" s="213"/>
      <c r="M250" s="213"/>
      <c r="N250" s="213"/>
      <c r="O250" s="213"/>
      <c r="P250" s="213"/>
      <c r="Q250" s="213"/>
      <c r="R250" s="213"/>
      <c r="S250" s="213"/>
      <c r="T250" s="213"/>
      <c r="U250" s="213"/>
      <c r="V250" s="213"/>
      <c r="W250" s="213"/>
      <c r="X250" s="213"/>
      <c r="Y250" s="213"/>
      <c r="Z250" s="213"/>
      <c r="AA250" s="213"/>
      <c r="AB250" s="211">
        <f>INDEX($C$199:$AN$221,MATCH("New Customers One-Time",$C$199:$C$221,0),MATCH($C250,$C$199:$AN$199,0))</f>
        <v>53.333333333333336</v>
      </c>
      <c r="AC250" s="211">
        <f t="shared" ref="AC250:AN250" si="171">$AB$250*(E225)</f>
        <v>0</v>
      </c>
      <c r="AD250" s="211">
        <f t="shared" si="171"/>
        <v>0</v>
      </c>
      <c r="AE250" s="211">
        <f t="shared" si="171"/>
        <v>0</v>
      </c>
      <c r="AF250" s="211">
        <f t="shared" si="171"/>
        <v>0</v>
      </c>
      <c r="AG250" s="211">
        <f t="shared" si="171"/>
        <v>0</v>
      </c>
      <c r="AH250" s="211">
        <f t="shared" si="171"/>
        <v>0</v>
      </c>
      <c r="AI250" s="211">
        <f t="shared" si="171"/>
        <v>0</v>
      </c>
      <c r="AJ250" s="211">
        <f t="shared" si="171"/>
        <v>0</v>
      </c>
      <c r="AK250" s="211">
        <f t="shared" si="171"/>
        <v>0</v>
      </c>
      <c r="AL250" s="211">
        <f t="shared" si="171"/>
        <v>0</v>
      </c>
      <c r="AM250" s="211">
        <f t="shared" si="171"/>
        <v>0</v>
      </c>
      <c r="AN250" s="211">
        <f t="shared" si="171"/>
        <v>0</v>
      </c>
      <c r="AO250" s="211"/>
    </row>
    <row r="251" spans="2:41" s="7" customFormat="1" ht="12" hidden="1" customHeight="1" outlineLevel="1">
      <c r="B251" s="245"/>
      <c r="C251" s="250" t="s">
        <v>777</v>
      </c>
      <c r="D251" s="250"/>
      <c r="E251" s="213"/>
      <c r="F251" s="213"/>
      <c r="G251" s="213"/>
      <c r="H251" s="213"/>
      <c r="I251" s="213"/>
      <c r="J251" s="213"/>
      <c r="K251" s="213"/>
      <c r="L251" s="213"/>
      <c r="M251" s="213"/>
      <c r="N251" s="213"/>
      <c r="O251" s="213"/>
      <c r="P251" s="213"/>
      <c r="Q251" s="213"/>
      <c r="R251" s="213"/>
      <c r="S251" s="213"/>
      <c r="T251" s="213"/>
      <c r="U251" s="213"/>
      <c r="V251" s="213"/>
      <c r="W251" s="213"/>
      <c r="X251" s="213"/>
      <c r="Y251" s="213"/>
      <c r="Z251" s="213"/>
      <c r="AA251" s="213"/>
      <c r="AB251" s="211"/>
      <c r="AC251" s="211">
        <f>INDEX($C$199:$AN$221,MATCH("New Customers One-Time",$C$199:$C$221,0),MATCH($C251,$C$199:$AN$199,0))</f>
        <v>40.067000000000007</v>
      </c>
      <c r="AD251" s="211">
        <f t="shared" ref="AD251:AK251" si="172">$AC$251*(E225)</f>
        <v>0</v>
      </c>
      <c r="AE251" s="211">
        <f t="shared" si="172"/>
        <v>0</v>
      </c>
      <c r="AF251" s="211">
        <f t="shared" si="172"/>
        <v>0</v>
      </c>
      <c r="AG251" s="211">
        <f t="shared" si="172"/>
        <v>0</v>
      </c>
      <c r="AH251" s="211">
        <f t="shared" si="172"/>
        <v>0</v>
      </c>
      <c r="AI251" s="211">
        <f t="shared" si="172"/>
        <v>0</v>
      </c>
      <c r="AJ251" s="211">
        <f t="shared" si="172"/>
        <v>0</v>
      </c>
      <c r="AK251" s="211">
        <f t="shared" si="172"/>
        <v>0</v>
      </c>
      <c r="AL251" s="211">
        <f>AK251*(M225)</f>
        <v>0</v>
      </c>
      <c r="AM251" s="211">
        <f>AL251*(N225)</f>
        <v>0</v>
      </c>
      <c r="AN251" s="211">
        <f>AM251*(O225)</f>
        <v>0</v>
      </c>
    </row>
    <row r="252" spans="2:41" s="7" customFormat="1" ht="12" hidden="1" customHeight="1" outlineLevel="1">
      <c r="B252" s="245"/>
      <c r="C252" s="250" t="s">
        <v>778</v>
      </c>
      <c r="D252" s="250"/>
      <c r="E252" s="213"/>
      <c r="F252" s="213"/>
      <c r="G252" s="213"/>
      <c r="H252" s="213"/>
      <c r="I252" s="213"/>
      <c r="J252" s="213"/>
      <c r="K252" s="213"/>
      <c r="L252" s="213"/>
      <c r="M252" s="213"/>
      <c r="N252" s="213"/>
      <c r="O252" s="213"/>
      <c r="P252" s="213"/>
      <c r="Q252" s="213"/>
      <c r="R252" s="213"/>
      <c r="S252" s="213"/>
      <c r="T252" s="213"/>
      <c r="U252" s="213"/>
      <c r="V252" s="213"/>
      <c r="W252" s="213"/>
      <c r="X252" s="213"/>
      <c r="Y252" s="213"/>
      <c r="Z252" s="213"/>
      <c r="AA252" s="213"/>
      <c r="AB252" s="211"/>
      <c r="AC252" s="211"/>
      <c r="AD252" s="211">
        <f>INDEX($C$199:$AN$221,MATCH("New Customers One-Time",$C$199:$C$221,0),MATCH($C252,$C$199:$AN$199,0))</f>
        <v>101.91075555555557</v>
      </c>
      <c r="AE252" s="211">
        <f t="shared" ref="AE252:AN252" si="173">$AD$252*(E225)</f>
        <v>0</v>
      </c>
      <c r="AF252" s="211">
        <f t="shared" si="173"/>
        <v>0</v>
      </c>
      <c r="AG252" s="211">
        <f t="shared" si="173"/>
        <v>0</v>
      </c>
      <c r="AH252" s="211">
        <f t="shared" si="173"/>
        <v>0</v>
      </c>
      <c r="AI252" s="211">
        <f t="shared" si="173"/>
        <v>0</v>
      </c>
      <c r="AJ252" s="211">
        <f t="shared" si="173"/>
        <v>0</v>
      </c>
      <c r="AK252" s="211">
        <f t="shared" si="173"/>
        <v>0</v>
      </c>
      <c r="AL252" s="211">
        <f t="shared" si="173"/>
        <v>0</v>
      </c>
      <c r="AM252" s="211">
        <f t="shared" si="173"/>
        <v>0</v>
      </c>
      <c r="AN252" s="211">
        <f t="shared" si="173"/>
        <v>0</v>
      </c>
    </row>
    <row r="253" spans="2:41" s="7" customFormat="1" ht="12" hidden="1" customHeight="1" outlineLevel="1">
      <c r="B253" s="245"/>
      <c r="C253" s="250" t="s">
        <v>779</v>
      </c>
      <c r="D253" s="250"/>
      <c r="E253" s="213"/>
      <c r="F253" s="213"/>
      <c r="G253" s="213"/>
      <c r="H253" s="213"/>
      <c r="I253" s="213"/>
      <c r="J253" s="213"/>
      <c r="K253" s="213"/>
      <c r="L253" s="213"/>
      <c r="M253" s="213"/>
      <c r="N253" s="213"/>
      <c r="O253" s="213"/>
      <c r="P253" s="213"/>
      <c r="Q253" s="213"/>
      <c r="R253" s="213"/>
      <c r="S253" s="213"/>
      <c r="T253" s="213"/>
      <c r="U253" s="213"/>
      <c r="V253" s="213"/>
      <c r="W253" s="213"/>
      <c r="X253" s="213"/>
      <c r="Y253" s="213"/>
      <c r="Z253" s="213"/>
      <c r="AA253" s="213"/>
      <c r="AB253" s="211"/>
      <c r="AC253" s="211"/>
      <c r="AD253" s="211"/>
      <c r="AE253" s="211">
        <f>INDEX($C$199:$AN$221,MATCH("New Customers One-Time",$C$199:$C$221,0),MATCH($C253,$C$199:$AN$199,0))</f>
        <v>96.359022222222265</v>
      </c>
      <c r="AF253" s="211">
        <f t="shared" ref="AF253:AN253" si="174">$AE$253*(E225)</f>
        <v>0</v>
      </c>
      <c r="AG253" s="211">
        <f t="shared" si="174"/>
        <v>0</v>
      </c>
      <c r="AH253" s="211">
        <f t="shared" si="174"/>
        <v>0</v>
      </c>
      <c r="AI253" s="211">
        <f t="shared" si="174"/>
        <v>0</v>
      </c>
      <c r="AJ253" s="211">
        <f t="shared" si="174"/>
        <v>0</v>
      </c>
      <c r="AK253" s="211">
        <f t="shared" si="174"/>
        <v>0</v>
      </c>
      <c r="AL253" s="211">
        <f t="shared" si="174"/>
        <v>0</v>
      </c>
      <c r="AM253" s="211">
        <f t="shared" si="174"/>
        <v>0</v>
      </c>
      <c r="AN253" s="211">
        <f t="shared" si="174"/>
        <v>0</v>
      </c>
    </row>
    <row r="254" spans="2:41" s="7" customFormat="1" ht="12" hidden="1" customHeight="1" outlineLevel="1">
      <c r="B254" s="245"/>
      <c r="C254" s="250" t="s">
        <v>780</v>
      </c>
      <c r="D254" s="250"/>
      <c r="E254" s="213"/>
      <c r="F254" s="213"/>
      <c r="G254" s="213"/>
      <c r="H254" s="213"/>
      <c r="I254" s="213"/>
      <c r="J254" s="213"/>
      <c r="K254" s="213"/>
      <c r="L254" s="213"/>
      <c r="M254" s="213"/>
      <c r="N254" s="213"/>
      <c r="O254" s="213"/>
      <c r="P254" s="213"/>
      <c r="Q254" s="213"/>
      <c r="R254" s="213"/>
      <c r="S254" s="213"/>
      <c r="T254" s="213"/>
      <c r="U254" s="213"/>
      <c r="V254" s="213"/>
      <c r="W254" s="213"/>
      <c r="X254" s="213"/>
      <c r="Y254" s="213"/>
      <c r="Z254" s="213"/>
      <c r="AA254" s="213"/>
      <c r="AB254" s="211"/>
      <c r="AC254" s="211"/>
      <c r="AD254" s="211"/>
      <c r="AE254" s="211"/>
      <c r="AF254" s="211">
        <f>INDEX($C$199:$AN$221,MATCH("New Customers One-Time",$C$199:$C$221,0),MATCH($C254,$C$199:$AN$199,0))</f>
        <v>57.199022222222226</v>
      </c>
      <c r="AG254" s="211">
        <f t="shared" ref="AG254:AN254" si="175">$AF$254*(E225)</f>
        <v>0</v>
      </c>
      <c r="AH254" s="211">
        <f t="shared" si="175"/>
        <v>0</v>
      </c>
      <c r="AI254" s="211">
        <f t="shared" si="175"/>
        <v>0</v>
      </c>
      <c r="AJ254" s="211">
        <f t="shared" si="175"/>
        <v>0</v>
      </c>
      <c r="AK254" s="211">
        <f t="shared" si="175"/>
        <v>0</v>
      </c>
      <c r="AL254" s="211">
        <f t="shared" si="175"/>
        <v>0</v>
      </c>
      <c r="AM254" s="211">
        <f t="shared" si="175"/>
        <v>0</v>
      </c>
      <c r="AN254" s="211">
        <f t="shared" si="175"/>
        <v>0</v>
      </c>
    </row>
    <row r="255" spans="2:41" s="7" customFormat="1" ht="12" hidden="1" customHeight="1" outlineLevel="1">
      <c r="B255" s="245"/>
      <c r="C255" s="250" t="s">
        <v>781</v>
      </c>
      <c r="D255" s="250"/>
      <c r="E255" s="213"/>
      <c r="F255" s="213"/>
      <c r="G255" s="213"/>
      <c r="H255" s="213"/>
      <c r="I255" s="213"/>
      <c r="J255" s="213"/>
      <c r="K255" s="213"/>
      <c r="L255" s="213"/>
      <c r="M255" s="213"/>
      <c r="N255" s="213"/>
      <c r="O255" s="213"/>
      <c r="P255" s="213"/>
      <c r="Q255" s="213"/>
      <c r="R255" s="213"/>
      <c r="S255" s="213"/>
      <c r="T255" s="213"/>
      <c r="U255" s="213"/>
      <c r="V255" s="213"/>
      <c r="W255" s="213"/>
      <c r="X255" s="213"/>
      <c r="Y255" s="213"/>
      <c r="Z255" s="213"/>
      <c r="AA255" s="213"/>
      <c r="AB255" s="211"/>
      <c r="AC255" s="211"/>
      <c r="AD255" s="211"/>
      <c r="AE255" s="211"/>
      <c r="AF255" s="211"/>
      <c r="AG255" s="211">
        <f>INDEX($C$199:$AN$221,MATCH("New Customers One-Time",$C$199:$C$221,0),MATCH($C255,$C$199:$AN$199,0))</f>
        <v>43.444377777777781</v>
      </c>
      <c r="AH255" s="211">
        <f t="shared" ref="AH255:AN255" si="176">$AG$255*(E225)</f>
        <v>0</v>
      </c>
      <c r="AI255" s="211">
        <f t="shared" si="176"/>
        <v>0</v>
      </c>
      <c r="AJ255" s="211">
        <f t="shared" si="176"/>
        <v>0</v>
      </c>
      <c r="AK255" s="211">
        <f t="shared" si="176"/>
        <v>0</v>
      </c>
      <c r="AL255" s="211">
        <f t="shared" si="176"/>
        <v>0</v>
      </c>
      <c r="AM255" s="211">
        <f t="shared" si="176"/>
        <v>0</v>
      </c>
      <c r="AN255" s="211">
        <f t="shared" si="176"/>
        <v>0</v>
      </c>
    </row>
    <row r="256" spans="2:41" s="7" customFormat="1" ht="12" hidden="1" customHeight="1" outlineLevel="1">
      <c r="B256" s="245"/>
      <c r="C256" s="250" t="s">
        <v>782</v>
      </c>
      <c r="D256" s="250"/>
      <c r="E256" s="213"/>
      <c r="F256" s="213"/>
      <c r="G256" s="213"/>
      <c r="H256" s="213"/>
      <c r="I256" s="213"/>
      <c r="J256" s="213"/>
      <c r="K256" s="213"/>
      <c r="L256" s="213"/>
      <c r="M256" s="213"/>
      <c r="N256" s="213"/>
      <c r="O256" s="213"/>
      <c r="P256" s="213"/>
      <c r="Q256" s="213"/>
      <c r="R256" s="213"/>
      <c r="S256" s="213"/>
      <c r="T256" s="213"/>
      <c r="U256" s="213"/>
      <c r="V256" s="213"/>
      <c r="W256" s="213"/>
      <c r="X256" s="213"/>
      <c r="Y256" s="213"/>
      <c r="Z256" s="213"/>
      <c r="AA256" s="213"/>
      <c r="AB256" s="211"/>
      <c r="AC256" s="211"/>
      <c r="AD256" s="211"/>
      <c r="AE256" s="211"/>
      <c r="AF256" s="211"/>
      <c r="AG256" s="211"/>
      <c r="AH256" s="211">
        <f>INDEX($C$199:$AN$221,MATCH("New Customers One-Time",$C$199:$C$221,0),MATCH($C256,$C$199:$AN$199,0))</f>
        <v>120.82748888888891</v>
      </c>
      <c r="AI256" s="211">
        <f t="shared" ref="AI256:AN256" si="177">$AH$256*(E225)</f>
        <v>0</v>
      </c>
      <c r="AJ256" s="211">
        <f t="shared" si="177"/>
        <v>0</v>
      </c>
      <c r="AK256" s="211">
        <f t="shared" si="177"/>
        <v>0</v>
      </c>
      <c r="AL256" s="211">
        <f t="shared" si="177"/>
        <v>0</v>
      </c>
      <c r="AM256" s="211">
        <f t="shared" si="177"/>
        <v>0</v>
      </c>
      <c r="AN256" s="211">
        <f t="shared" si="177"/>
        <v>0</v>
      </c>
    </row>
    <row r="257" spans="2:40" s="7" customFormat="1" ht="12" hidden="1" customHeight="1" outlineLevel="1">
      <c r="B257" s="245"/>
      <c r="C257" s="250" t="s">
        <v>783</v>
      </c>
      <c r="D257" s="250"/>
      <c r="E257" s="213"/>
      <c r="F257" s="213"/>
      <c r="G257" s="213"/>
      <c r="H257" s="213"/>
      <c r="I257" s="213"/>
      <c r="J257" s="213"/>
      <c r="K257" s="213"/>
      <c r="L257" s="213"/>
      <c r="M257" s="213"/>
      <c r="N257" s="213"/>
      <c r="O257" s="213"/>
      <c r="P257" s="213"/>
      <c r="Q257" s="213"/>
      <c r="R257" s="213"/>
      <c r="S257" s="213"/>
      <c r="T257" s="213"/>
      <c r="U257" s="213"/>
      <c r="V257" s="213"/>
      <c r="W257" s="213"/>
      <c r="X257" s="213"/>
      <c r="Y257" s="213"/>
      <c r="Z257" s="213"/>
      <c r="AA257" s="213"/>
      <c r="AB257" s="211"/>
      <c r="AC257" s="211"/>
      <c r="AD257" s="211"/>
      <c r="AE257" s="211"/>
      <c r="AF257" s="211"/>
      <c r="AG257" s="211"/>
      <c r="AH257" s="211"/>
      <c r="AI257" s="211">
        <f>INDEX($C$199:$AN$221,MATCH("New Customers One-Time",$C$199:$C$221,0),MATCH($C257,$C$199:$AN$199,0))</f>
        <v>17.4496</v>
      </c>
      <c r="AJ257" s="211">
        <f>$AI$257*(E225)</f>
        <v>0</v>
      </c>
      <c r="AK257" s="211">
        <f>$AI$257*(F225)</f>
        <v>0</v>
      </c>
      <c r="AL257" s="211">
        <f>$AI$257*(G225)</f>
        <v>0</v>
      </c>
      <c r="AM257" s="211">
        <f>$AI$257*(H225)</f>
        <v>0</v>
      </c>
      <c r="AN257" s="211">
        <f>$AI$257*(I225)</f>
        <v>0</v>
      </c>
    </row>
    <row r="258" spans="2:40" s="7" customFormat="1" ht="12" hidden="1" customHeight="1" outlineLevel="1">
      <c r="B258" s="245"/>
      <c r="C258" s="250" t="s">
        <v>784</v>
      </c>
      <c r="D258" s="250"/>
      <c r="E258" s="213"/>
      <c r="F258" s="213"/>
      <c r="G258" s="213"/>
      <c r="H258" s="213"/>
      <c r="I258" s="213"/>
      <c r="J258" s="213"/>
      <c r="K258" s="213"/>
      <c r="L258" s="213"/>
      <c r="M258" s="213"/>
      <c r="N258" s="213"/>
      <c r="O258" s="213"/>
      <c r="P258" s="213"/>
      <c r="Q258" s="213"/>
      <c r="R258" s="213"/>
      <c r="S258" s="213"/>
      <c r="T258" s="213"/>
      <c r="U258" s="213"/>
      <c r="V258" s="213"/>
      <c r="W258" s="213"/>
      <c r="X258" s="213"/>
      <c r="Y258" s="213"/>
      <c r="Z258" s="213"/>
      <c r="AA258" s="213"/>
      <c r="AB258" s="211"/>
      <c r="AC258" s="211"/>
      <c r="AD258" s="211"/>
      <c r="AE258" s="211"/>
      <c r="AF258" s="211"/>
      <c r="AG258" s="211"/>
      <c r="AH258" s="211"/>
      <c r="AI258" s="211"/>
      <c r="AJ258" s="211">
        <f>INDEX($C$199:$AN$221,MATCH("New Customers One-Time",$C$199:$C$221,0),MATCH($C258,$C$199:$AN$199,0))</f>
        <v>50.286133333333339</v>
      </c>
      <c r="AK258" s="211">
        <f>$AJ$258*(E225)</f>
        <v>0</v>
      </c>
      <c r="AL258" s="211">
        <f>$AJ$258*(F225)</f>
        <v>0</v>
      </c>
      <c r="AM258" s="211">
        <f>$AJ$258*(G225)</f>
        <v>0</v>
      </c>
      <c r="AN258" s="211">
        <f>$AJ$258*(H225)</f>
        <v>0</v>
      </c>
    </row>
    <row r="259" spans="2:40" s="7" customFormat="1" ht="12" hidden="1" customHeight="1" outlineLevel="1">
      <c r="B259" s="245"/>
      <c r="C259" s="250" t="s">
        <v>785</v>
      </c>
      <c r="D259" s="250"/>
      <c r="E259" s="213"/>
      <c r="F259" s="213"/>
      <c r="G259" s="213"/>
      <c r="H259" s="213"/>
      <c r="I259" s="213"/>
      <c r="J259" s="213"/>
      <c r="K259" s="213"/>
      <c r="L259" s="213"/>
      <c r="M259" s="213"/>
      <c r="N259" s="213"/>
      <c r="O259" s="213"/>
      <c r="P259" s="213"/>
      <c r="Q259" s="213"/>
      <c r="R259" s="213"/>
      <c r="S259" s="213"/>
      <c r="T259" s="213"/>
      <c r="U259" s="213"/>
      <c r="V259" s="213"/>
      <c r="W259" s="213"/>
      <c r="X259" s="213"/>
      <c r="Y259" s="213"/>
      <c r="Z259" s="213"/>
      <c r="AA259" s="213"/>
      <c r="AB259" s="211"/>
      <c r="AC259" s="211"/>
      <c r="AD259" s="211"/>
      <c r="AE259" s="211"/>
      <c r="AF259" s="211"/>
      <c r="AG259" s="211"/>
      <c r="AH259" s="211"/>
      <c r="AI259" s="211"/>
      <c r="AJ259" s="211"/>
      <c r="AK259" s="211">
        <f>INDEX($C$199:$AN$221,MATCH("New Customers One-Time",$C$199:$C$221,0),MATCH($C259,$C$199:$AN$199,0))</f>
        <v>174.77777777777777</v>
      </c>
      <c r="AL259" s="211">
        <f>$AK$259*(E225)</f>
        <v>0</v>
      </c>
      <c r="AM259" s="211">
        <f>$AK$259*(F225)</f>
        <v>0</v>
      </c>
      <c r="AN259" s="211">
        <f>$AK$259*(G225)</f>
        <v>0</v>
      </c>
    </row>
    <row r="260" spans="2:40" s="7" customFormat="1" ht="12" hidden="1" customHeight="1" outlineLevel="1">
      <c r="B260" s="245"/>
      <c r="C260" s="250" t="s">
        <v>786</v>
      </c>
      <c r="D260" s="250"/>
      <c r="E260" s="213"/>
      <c r="F260" s="213"/>
      <c r="G260" s="213"/>
      <c r="H260" s="213"/>
      <c r="I260" s="213"/>
      <c r="J260" s="213"/>
      <c r="K260" s="213"/>
      <c r="L260" s="213"/>
      <c r="M260" s="213"/>
      <c r="N260" s="213"/>
      <c r="O260" s="213"/>
      <c r="P260" s="213"/>
      <c r="Q260" s="213"/>
      <c r="R260" s="213"/>
      <c r="S260" s="213"/>
      <c r="T260" s="213"/>
      <c r="U260" s="213"/>
      <c r="V260" s="213"/>
      <c r="W260" s="213"/>
      <c r="X260" s="213"/>
      <c r="Y260" s="213"/>
      <c r="Z260" s="213"/>
      <c r="AA260" s="213"/>
      <c r="AB260" s="211"/>
      <c r="AC260" s="211"/>
      <c r="AD260" s="211"/>
      <c r="AE260" s="211"/>
      <c r="AF260" s="211"/>
      <c r="AG260" s="211"/>
      <c r="AH260" s="211"/>
      <c r="AI260" s="211"/>
      <c r="AJ260" s="211"/>
      <c r="AK260" s="211"/>
      <c r="AL260" s="211">
        <f>INDEX($C$199:$AN$221,MATCH("New Customers One-Time",$C$199:$C$221,0),MATCH($C260,$C$199:$AN$199,0))</f>
        <v>155.55555555555554</v>
      </c>
      <c r="AM260" s="211">
        <f>$AL$260*(E225)</f>
        <v>0</v>
      </c>
      <c r="AN260" s="211">
        <f>$AL$260*(F225)</f>
        <v>0</v>
      </c>
    </row>
    <row r="261" spans="2:40" s="7" customFormat="1" ht="12" hidden="1" customHeight="1" outlineLevel="1">
      <c r="B261" s="245"/>
      <c r="C261" s="250" t="s">
        <v>787</v>
      </c>
      <c r="D261" s="250"/>
      <c r="E261" s="213"/>
      <c r="F261" s="213"/>
      <c r="G261" s="213"/>
      <c r="H261" s="213"/>
      <c r="I261" s="213"/>
      <c r="J261" s="213"/>
      <c r="K261" s="213"/>
      <c r="L261" s="213"/>
      <c r="M261" s="213"/>
      <c r="N261" s="213"/>
      <c r="O261" s="213"/>
      <c r="P261" s="213"/>
      <c r="Q261" s="213"/>
      <c r="R261" s="213"/>
      <c r="S261" s="213"/>
      <c r="T261" s="213"/>
      <c r="U261" s="213"/>
      <c r="V261" s="213"/>
      <c r="W261" s="213"/>
      <c r="X261" s="213"/>
      <c r="Y261" s="213"/>
      <c r="Z261" s="213"/>
      <c r="AA261" s="213"/>
      <c r="AB261" s="211"/>
      <c r="AC261" s="211"/>
      <c r="AD261" s="211"/>
      <c r="AE261" s="211"/>
      <c r="AF261" s="211"/>
      <c r="AG261" s="211"/>
      <c r="AH261" s="211"/>
      <c r="AI261" s="211"/>
      <c r="AJ261" s="211"/>
      <c r="AK261" s="211"/>
      <c r="AL261" s="211"/>
      <c r="AM261" s="211">
        <f>INDEX($C$199:$AN$221,MATCH("New Customers One-Time",$C$199:$C$221,0),MATCH($C261,$C$199:$AN$199,0))</f>
        <v>53.777777777777786</v>
      </c>
      <c r="AN261" s="211">
        <f>$AM$261*(E225)</f>
        <v>0</v>
      </c>
    </row>
    <row r="262" spans="2:40" s="7" customFormat="1" ht="12" hidden="1" customHeight="1" outlineLevel="1">
      <c r="B262" s="245"/>
      <c r="C262" s="250" t="s">
        <v>788</v>
      </c>
      <c r="D262" s="250"/>
      <c r="E262" s="213"/>
      <c r="F262" s="213"/>
      <c r="G262" s="213"/>
      <c r="H262" s="213"/>
      <c r="I262" s="213"/>
      <c r="J262" s="213"/>
      <c r="K262" s="213"/>
      <c r="L262" s="213"/>
      <c r="M262" s="213"/>
      <c r="N262" s="213"/>
      <c r="O262" s="213"/>
      <c r="P262" s="213"/>
      <c r="Q262" s="213"/>
      <c r="R262" s="213"/>
      <c r="S262" s="213"/>
      <c r="T262" s="213"/>
      <c r="U262" s="213"/>
      <c r="V262" s="213"/>
      <c r="W262" s="213"/>
      <c r="X262" s="213"/>
      <c r="Y262" s="213"/>
      <c r="Z262" s="213"/>
      <c r="AA262" s="213"/>
      <c r="AB262" s="211"/>
      <c r="AC262" s="211"/>
      <c r="AD262" s="211"/>
      <c r="AE262" s="211"/>
      <c r="AF262" s="211"/>
      <c r="AG262" s="211"/>
      <c r="AH262" s="211"/>
      <c r="AI262" s="211"/>
      <c r="AJ262" s="211"/>
      <c r="AK262" s="211"/>
      <c r="AL262" s="211"/>
      <c r="AM262" s="211"/>
      <c r="AN262" s="211">
        <f>INDEX($C$199:$AN$221,MATCH("New Customers One-Time",$C$199:$C$221,0),MATCH($C262,$C$199:$AN$199,0))</f>
        <v>64</v>
      </c>
    </row>
    <row r="263" spans="2:40" s="7" customFormat="1" ht="12" hidden="1" customHeight="1" outlineLevel="1">
      <c r="B263" s="245"/>
      <c r="C263" s="250"/>
      <c r="D263" s="250"/>
      <c r="E263" s="213"/>
      <c r="F263" s="213"/>
      <c r="G263" s="213"/>
      <c r="H263" s="213"/>
      <c r="I263" s="213"/>
      <c r="J263" s="213"/>
      <c r="K263" s="213"/>
      <c r="L263" s="213"/>
      <c r="M263" s="213"/>
      <c r="N263" s="213"/>
      <c r="O263" s="213"/>
      <c r="P263" s="213"/>
      <c r="Q263" s="213"/>
      <c r="R263" s="213"/>
      <c r="S263" s="213"/>
      <c r="T263" s="213"/>
      <c r="U263" s="213"/>
      <c r="V263" s="213"/>
      <c r="W263" s="213"/>
      <c r="X263" s="213"/>
      <c r="Y263" s="213"/>
      <c r="Z263" s="213"/>
      <c r="AA263" s="213"/>
      <c r="AB263" s="211"/>
      <c r="AC263" s="211"/>
      <c r="AD263" s="211"/>
      <c r="AE263" s="211"/>
      <c r="AF263" s="211"/>
      <c r="AG263" s="211"/>
      <c r="AH263" s="211"/>
      <c r="AI263" s="211"/>
      <c r="AJ263" s="211"/>
      <c r="AK263" s="211"/>
      <c r="AL263" s="211"/>
      <c r="AM263" s="211"/>
      <c r="AN263" s="211"/>
    </row>
    <row r="264" spans="2:40" s="7" customFormat="1" ht="12" hidden="1" customHeight="1" outlineLevel="1">
      <c r="B264" s="245"/>
      <c r="C264" s="249" t="s">
        <v>853</v>
      </c>
      <c r="D264" s="250"/>
      <c r="E264" s="213"/>
      <c r="F264" s="213"/>
      <c r="G264" s="213"/>
      <c r="H264" s="213"/>
      <c r="I264" s="213"/>
      <c r="J264" s="213"/>
      <c r="K264" s="213"/>
      <c r="L264" s="213"/>
      <c r="M264" s="213"/>
      <c r="N264" s="213"/>
      <c r="O264" s="213"/>
      <c r="P264" s="213"/>
      <c r="Q264" s="213"/>
      <c r="R264" s="213"/>
      <c r="S264" s="213"/>
      <c r="T264" s="213"/>
      <c r="U264" s="213"/>
      <c r="V264" s="213"/>
      <c r="W264" s="213"/>
      <c r="X264" s="213"/>
      <c r="Y264" s="213"/>
      <c r="Z264" s="213"/>
      <c r="AA264" s="213"/>
      <c r="AB264" s="213"/>
      <c r="AC264" s="211"/>
    </row>
    <row r="265" spans="2:40" s="7" customFormat="1" ht="12" hidden="1" customHeight="1" outlineLevel="1">
      <c r="B265" s="239"/>
      <c r="C265" s="212" t="s">
        <v>850</v>
      </c>
      <c r="D265" s="212"/>
      <c r="E265" s="196" t="s">
        <v>753</v>
      </c>
      <c r="F265" s="196" t="s">
        <v>754</v>
      </c>
      <c r="G265" s="196" t="s">
        <v>755</v>
      </c>
      <c r="H265" s="196" t="s">
        <v>756</v>
      </c>
      <c r="I265" s="196" t="s">
        <v>757</v>
      </c>
      <c r="J265" s="196" t="s">
        <v>758</v>
      </c>
      <c r="K265" s="196" t="s">
        <v>759</v>
      </c>
      <c r="L265" s="196" t="s">
        <v>760</v>
      </c>
      <c r="M265" s="196" t="s">
        <v>761</v>
      </c>
      <c r="N265" s="196" t="s">
        <v>762</v>
      </c>
      <c r="O265" s="196" t="s">
        <v>763</v>
      </c>
      <c r="P265" s="196" t="s">
        <v>764</v>
      </c>
      <c r="Q265" s="196" t="s">
        <v>765</v>
      </c>
      <c r="R265" s="196" t="s">
        <v>766</v>
      </c>
      <c r="S265" s="196" t="s">
        <v>767</v>
      </c>
      <c r="T265" s="196" t="s">
        <v>768</v>
      </c>
      <c r="U265" s="196" t="s">
        <v>769</v>
      </c>
      <c r="V265" s="196" t="s">
        <v>770</v>
      </c>
      <c r="W265" s="196" t="s">
        <v>771</v>
      </c>
      <c r="X265" s="196" t="s">
        <v>772</v>
      </c>
      <c r="Y265" s="196" t="s">
        <v>773</v>
      </c>
      <c r="Z265" s="196" t="s">
        <v>774</v>
      </c>
      <c r="AA265" s="196" t="s">
        <v>775</v>
      </c>
      <c r="AB265" s="196" t="s">
        <v>776</v>
      </c>
      <c r="AC265" s="196" t="s">
        <v>777</v>
      </c>
      <c r="AD265" s="196" t="s">
        <v>778</v>
      </c>
      <c r="AE265" s="196" t="s">
        <v>779</v>
      </c>
      <c r="AF265" s="196" t="s">
        <v>780</v>
      </c>
      <c r="AG265" s="196" t="s">
        <v>781</v>
      </c>
      <c r="AH265" s="196" t="s">
        <v>782</v>
      </c>
      <c r="AI265" s="196" t="s">
        <v>783</v>
      </c>
      <c r="AJ265" s="196" t="s">
        <v>784</v>
      </c>
      <c r="AK265" s="196" t="s">
        <v>785</v>
      </c>
      <c r="AL265" s="196" t="s">
        <v>786</v>
      </c>
      <c r="AM265" s="196" t="s">
        <v>787</v>
      </c>
      <c r="AN265" s="196" t="s">
        <v>788</v>
      </c>
    </row>
    <row r="266" spans="2:40" s="7" customFormat="1" ht="12" hidden="1" customHeight="1" outlineLevel="2">
      <c r="B266" s="239"/>
      <c r="C266" s="247" t="s">
        <v>851</v>
      </c>
      <c r="D266" s="212"/>
      <c r="E266" s="345">
        <v>7.0000000000000007E-2</v>
      </c>
      <c r="F266" s="345">
        <v>7.0000000000000007E-2</v>
      </c>
      <c r="G266" s="345">
        <v>7.0000000000000007E-2</v>
      </c>
      <c r="H266" s="345">
        <v>0.06</v>
      </c>
      <c r="I266" s="345">
        <v>0.06</v>
      </c>
      <c r="J266" s="345">
        <v>0.06</v>
      </c>
      <c r="K266" s="345">
        <v>0.05</v>
      </c>
      <c r="L266" s="345">
        <v>0.05</v>
      </c>
      <c r="M266" s="345">
        <v>0.05</v>
      </c>
      <c r="N266" s="345">
        <v>0.04</v>
      </c>
      <c r="O266" s="345">
        <v>0.04</v>
      </c>
      <c r="P266" s="345">
        <v>0.04</v>
      </c>
      <c r="Q266" s="345">
        <v>0.03</v>
      </c>
      <c r="R266" s="345">
        <v>0.03</v>
      </c>
      <c r="S266" s="345">
        <v>0.03</v>
      </c>
      <c r="T266" s="345">
        <v>0.02</v>
      </c>
      <c r="U266" s="345">
        <v>0.02</v>
      </c>
      <c r="V266" s="345">
        <v>0.02</v>
      </c>
      <c r="W266" s="345">
        <v>0.01</v>
      </c>
      <c r="X266" s="345">
        <v>0.01</v>
      </c>
      <c r="Y266" s="345">
        <v>0.01</v>
      </c>
      <c r="Z266" s="345">
        <v>0.01</v>
      </c>
      <c r="AA266" s="345">
        <v>0.01</v>
      </c>
      <c r="AB266" s="345">
        <v>0.01</v>
      </c>
      <c r="AC266" s="345">
        <v>0.01</v>
      </c>
      <c r="AD266" s="345">
        <f t="shared" ref="AD266:AN266" si="178">AC266</f>
        <v>0.01</v>
      </c>
      <c r="AE266" s="345">
        <f t="shared" si="178"/>
        <v>0.01</v>
      </c>
      <c r="AF266" s="345">
        <f t="shared" si="178"/>
        <v>0.01</v>
      </c>
      <c r="AG266" s="345">
        <f t="shared" si="178"/>
        <v>0.01</v>
      </c>
      <c r="AH266" s="345">
        <f t="shared" si="178"/>
        <v>0.01</v>
      </c>
      <c r="AI266" s="345">
        <f t="shared" si="178"/>
        <v>0.01</v>
      </c>
      <c r="AJ266" s="345">
        <f t="shared" si="178"/>
        <v>0.01</v>
      </c>
      <c r="AK266" s="345">
        <f t="shared" si="178"/>
        <v>0.01</v>
      </c>
      <c r="AL266" s="345">
        <f t="shared" si="178"/>
        <v>0.01</v>
      </c>
      <c r="AM266" s="345">
        <f t="shared" si="178"/>
        <v>0.01</v>
      </c>
      <c r="AN266" s="345">
        <f t="shared" si="178"/>
        <v>0.01</v>
      </c>
    </row>
    <row r="267" spans="2:40" s="7" customFormat="1" ht="12" hidden="1" customHeight="1" outlineLevel="1">
      <c r="B267" s="239"/>
      <c r="C267" s="212" t="s">
        <v>861</v>
      </c>
      <c r="D267" s="212"/>
      <c r="E267" s="211"/>
      <c r="F267" s="211"/>
      <c r="G267" s="211"/>
      <c r="H267" s="211"/>
      <c r="I267" s="211"/>
      <c r="J267" s="211"/>
      <c r="K267" s="211"/>
      <c r="L267" s="211"/>
      <c r="M267" s="211"/>
      <c r="N267" s="211"/>
      <c r="O267" s="211"/>
      <c r="P267" s="211"/>
      <c r="Q267" s="211"/>
      <c r="R267" s="211"/>
      <c r="S267" s="211"/>
      <c r="T267" s="211"/>
      <c r="U267" s="211"/>
      <c r="V267" s="211"/>
      <c r="W267" s="211"/>
      <c r="X267" s="211"/>
      <c r="Y267" s="211"/>
      <c r="Z267" s="211"/>
      <c r="AA267" s="211"/>
      <c r="AB267" s="211"/>
      <c r="AC267" s="211"/>
      <c r="AD267" s="211"/>
      <c r="AE267" s="211"/>
      <c r="AF267" s="211"/>
      <c r="AG267" s="211"/>
      <c r="AH267" s="211"/>
      <c r="AI267" s="211"/>
      <c r="AJ267" s="211"/>
      <c r="AK267" s="211"/>
      <c r="AL267" s="211"/>
      <c r="AM267" s="211"/>
      <c r="AN267" s="211"/>
    </row>
    <row r="268" spans="2:40" s="7" customFormat="1" ht="12" hidden="1" customHeight="1" outlineLevel="1">
      <c r="B268" s="245"/>
      <c r="C268" s="250" t="s">
        <v>753</v>
      </c>
      <c r="D268" s="250"/>
      <c r="E268" s="211">
        <f>INDEX($C$199:$AN$221,MATCH("New Customers 1MS",$C$199:$C$221,0),MATCH($C268,$C$199:$AN$199,0))</f>
        <v>1.9999999999999982</v>
      </c>
      <c r="F268" s="211">
        <f t="shared" ref="F268:AN268" si="179">$E$268*(E266)</f>
        <v>0.1399999999999999</v>
      </c>
      <c r="G268" s="211">
        <f t="shared" si="179"/>
        <v>0.1399999999999999</v>
      </c>
      <c r="H268" s="211">
        <f t="shared" si="179"/>
        <v>0.1399999999999999</v>
      </c>
      <c r="I268" s="211">
        <f t="shared" si="179"/>
        <v>0.11999999999999988</v>
      </c>
      <c r="J268" s="211">
        <f t="shared" si="179"/>
        <v>0.11999999999999988</v>
      </c>
      <c r="K268" s="211">
        <f t="shared" si="179"/>
        <v>0.11999999999999988</v>
      </c>
      <c r="L268" s="211">
        <f t="shared" si="179"/>
        <v>9.9999999999999922E-2</v>
      </c>
      <c r="M268" s="211">
        <f t="shared" si="179"/>
        <v>9.9999999999999922E-2</v>
      </c>
      <c r="N268" s="211">
        <f t="shared" si="179"/>
        <v>9.9999999999999922E-2</v>
      </c>
      <c r="O268" s="211">
        <f t="shared" si="179"/>
        <v>7.9999999999999932E-2</v>
      </c>
      <c r="P268" s="211">
        <f t="shared" si="179"/>
        <v>7.9999999999999932E-2</v>
      </c>
      <c r="Q268" s="211">
        <f t="shared" si="179"/>
        <v>7.9999999999999932E-2</v>
      </c>
      <c r="R268" s="211">
        <f t="shared" si="179"/>
        <v>5.9999999999999942E-2</v>
      </c>
      <c r="S268" s="211">
        <f t="shared" si="179"/>
        <v>5.9999999999999942E-2</v>
      </c>
      <c r="T268" s="211">
        <f t="shared" si="179"/>
        <v>5.9999999999999942E-2</v>
      </c>
      <c r="U268" s="211">
        <f t="shared" si="179"/>
        <v>3.9999999999999966E-2</v>
      </c>
      <c r="V268" s="211">
        <f t="shared" si="179"/>
        <v>3.9999999999999966E-2</v>
      </c>
      <c r="W268" s="211">
        <f t="shared" si="179"/>
        <v>3.9999999999999966E-2</v>
      </c>
      <c r="X268" s="211">
        <f t="shared" si="179"/>
        <v>1.9999999999999983E-2</v>
      </c>
      <c r="Y268" s="211">
        <f t="shared" si="179"/>
        <v>1.9999999999999983E-2</v>
      </c>
      <c r="Z268" s="211">
        <f t="shared" si="179"/>
        <v>1.9999999999999983E-2</v>
      </c>
      <c r="AA268" s="211">
        <f t="shared" si="179"/>
        <v>1.9999999999999983E-2</v>
      </c>
      <c r="AB268" s="211">
        <f t="shared" si="179"/>
        <v>1.9999999999999983E-2</v>
      </c>
      <c r="AC268" s="211">
        <f t="shared" si="179"/>
        <v>1.9999999999999983E-2</v>
      </c>
      <c r="AD268" s="211">
        <f t="shared" si="179"/>
        <v>1.9999999999999983E-2</v>
      </c>
      <c r="AE268" s="211">
        <f t="shared" si="179"/>
        <v>1.9999999999999983E-2</v>
      </c>
      <c r="AF268" s="211">
        <f t="shared" si="179"/>
        <v>1.9999999999999983E-2</v>
      </c>
      <c r="AG268" s="211">
        <f t="shared" si="179"/>
        <v>1.9999999999999983E-2</v>
      </c>
      <c r="AH268" s="211">
        <f t="shared" si="179"/>
        <v>1.9999999999999983E-2</v>
      </c>
      <c r="AI268" s="211">
        <f t="shared" si="179"/>
        <v>1.9999999999999983E-2</v>
      </c>
      <c r="AJ268" s="211">
        <f t="shared" si="179"/>
        <v>1.9999999999999983E-2</v>
      </c>
      <c r="AK268" s="211">
        <f t="shared" si="179"/>
        <v>1.9999999999999983E-2</v>
      </c>
      <c r="AL268" s="211">
        <f t="shared" si="179"/>
        <v>1.9999999999999983E-2</v>
      </c>
      <c r="AM268" s="211">
        <f t="shared" si="179"/>
        <v>1.9999999999999983E-2</v>
      </c>
      <c r="AN268" s="211">
        <f t="shared" si="179"/>
        <v>1.9999999999999983E-2</v>
      </c>
    </row>
    <row r="269" spans="2:40" s="7" customFormat="1" ht="12" hidden="1" customHeight="1" outlineLevel="1">
      <c r="B269" s="245"/>
      <c r="C269" s="250" t="s">
        <v>754</v>
      </c>
      <c r="D269" s="250"/>
      <c r="E269" s="213"/>
      <c r="F269" s="211">
        <f>INDEX($C$199:$AN$221,MATCH("New Customers 1MS",$C$199:$C$221,0),MATCH($C269,$C$199:$AN$199,0))</f>
        <v>3.0000000000000009</v>
      </c>
      <c r="G269" s="211">
        <f t="shared" ref="G269:AN269" si="180">$F$269*(E266)</f>
        <v>0.21000000000000008</v>
      </c>
      <c r="H269" s="211">
        <f t="shared" si="180"/>
        <v>0.21000000000000008</v>
      </c>
      <c r="I269" s="211">
        <f t="shared" si="180"/>
        <v>0.21000000000000008</v>
      </c>
      <c r="J269" s="211">
        <f t="shared" si="180"/>
        <v>0.18000000000000005</v>
      </c>
      <c r="K269" s="211">
        <f t="shared" si="180"/>
        <v>0.18000000000000005</v>
      </c>
      <c r="L269" s="211">
        <f t="shared" si="180"/>
        <v>0.18000000000000005</v>
      </c>
      <c r="M269" s="211">
        <f t="shared" si="180"/>
        <v>0.15000000000000005</v>
      </c>
      <c r="N269" s="211">
        <f t="shared" si="180"/>
        <v>0.15000000000000005</v>
      </c>
      <c r="O269" s="211">
        <f t="shared" si="180"/>
        <v>0.15000000000000005</v>
      </c>
      <c r="P269" s="211">
        <f t="shared" si="180"/>
        <v>0.12000000000000004</v>
      </c>
      <c r="Q269" s="211">
        <f t="shared" si="180"/>
        <v>0.12000000000000004</v>
      </c>
      <c r="R269" s="211">
        <f t="shared" si="180"/>
        <v>0.12000000000000004</v>
      </c>
      <c r="S269" s="211">
        <f t="shared" si="180"/>
        <v>9.0000000000000024E-2</v>
      </c>
      <c r="T269" s="211">
        <f t="shared" si="180"/>
        <v>9.0000000000000024E-2</v>
      </c>
      <c r="U269" s="211">
        <f t="shared" si="180"/>
        <v>9.0000000000000024E-2</v>
      </c>
      <c r="V269" s="211">
        <f t="shared" si="180"/>
        <v>6.0000000000000019E-2</v>
      </c>
      <c r="W269" s="211">
        <f t="shared" si="180"/>
        <v>6.0000000000000019E-2</v>
      </c>
      <c r="X269" s="211">
        <f t="shared" si="180"/>
        <v>6.0000000000000019E-2</v>
      </c>
      <c r="Y269" s="211">
        <f t="shared" si="180"/>
        <v>3.0000000000000009E-2</v>
      </c>
      <c r="Z269" s="211">
        <f t="shared" si="180"/>
        <v>3.0000000000000009E-2</v>
      </c>
      <c r="AA269" s="211">
        <f t="shared" si="180"/>
        <v>3.0000000000000009E-2</v>
      </c>
      <c r="AB269" s="211">
        <f t="shared" si="180"/>
        <v>3.0000000000000009E-2</v>
      </c>
      <c r="AC269" s="211">
        <f t="shared" si="180"/>
        <v>3.0000000000000009E-2</v>
      </c>
      <c r="AD269" s="211">
        <f t="shared" si="180"/>
        <v>3.0000000000000009E-2</v>
      </c>
      <c r="AE269" s="211">
        <f t="shared" si="180"/>
        <v>3.0000000000000009E-2</v>
      </c>
      <c r="AF269" s="211">
        <f t="shared" si="180"/>
        <v>3.0000000000000009E-2</v>
      </c>
      <c r="AG269" s="211">
        <f t="shared" si="180"/>
        <v>3.0000000000000009E-2</v>
      </c>
      <c r="AH269" s="211">
        <f t="shared" si="180"/>
        <v>3.0000000000000009E-2</v>
      </c>
      <c r="AI269" s="211">
        <f t="shared" si="180"/>
        <v>3.0000000000000009E-2</v>
      </c>
      <c r="AJ269" s="211">
        <f t="shared" si="180"/>
        <v>3.0000000000000009E-2</v>
      </c>
      <c r="AK269" s="211">
        <f t="shared" si="180"/>
        <v>3.0000000000000009E-2</v>
      </c>
      <c r="AL269" s="211">
        <f t="shared" si="180"/>
        <v>3.0000000000000009E-2</v>
      </c>
      <c r="AM269" s="211">
        <f t="shared" si="180"/>
        <v>3.0000000000000009E-2</v>
      </c>
      <c r="AN269" s="211">
        <f t="shared" si="180"/>
        <v>3.0000000000000009E-2</v>
      </c>
    </row>
    <row r="270" spans="2:40" s="7" customFormat="1" ht="12" hidden="1" customHeight="1" outlineLevel="1">
      <c r="B270" s="245"/>
      <c r="C270" s="250" t="s">
        <v>755</v>
      </c>
      <c r="D270" s="250"/>
      <c r="E270" s="213"/>
      <c r="F270" s="213"/>
      <c r="G270" s="211">
        <f>INDEX($C$199:$AN$221,MATCH("New Customers 1MS",$C$199:$C$221,0),MATCH($C270,$C$199:$AN$199,0))</f>
        <v>0.99999999999999645</v>
      </c>
      <c r="H270" s="211">
        <f t="shared" ref="H270:AN270" si="181">$G$270*(E266)</f>
        <v>6.9999999999999757E-2</v>
      </c>
      <c r="I270" s="211">
        <f t="shared" si="181"/>
        <v>6.9999999999999757E-2</v>
      </c>
      <c r="J270" s="211">
        <f t="shared" si="181"/>
        <v>6.9999999999999757E-2</v>
      </c>
      <c r="K270" s="211">
        <f t="shared" si="181"/>
        <v>5.9999999999999783E-2</v>
      </c>
      <c r="L270" s="211">
        <f t="shared" si="181"/>
        <v>5.9999999999999783E-2</v>
      </c>
      <c r="M270" s="211">
        <f t="shared" si="181"/>
        <v>5.9999999999999783E-2</v>
      </c>
      <c r="N270" s="211">
        <f t="shared" si="181"/>
        <v>4.9999999999999822E-2</v>
      </c>
      <c r="O270" s="211">
        <f t="shared" si="181"/>
        <v>4.9999999999999822E-2</v>
      </c>
      <c r="P270" s="211">
        <f t="shared" si="181"/>
        <v>4.9999999999999822E-2</v>
      </c>
      <c r="Q270" s="211">
        <f t="shared" si="181"/>
        <v>3.9999999999999862E-2</v>
      </c>
      <c r="R270" s="211">
        <f t="shared" si="181"/>
        <v>3.9999999999999862E-2</v>
      </c>
      <c r="S270" s="211">
        <f t="shared" si="181"/>
        <v>3.9999999999999862E-2</v>
      </c>
      <c r="T270" s="211">
        <f t="shared" si="181"/>
        <v>2.9999999999999891E-2</v>
      </c>
      <c r="U270" s="211">
        <f t="shared" si="181"/>
        <v>2.9999999999999891E-2</v>
      </c>
      <c r="V270" s="211">
        <f t="shared" si="181"/>
        <v>2.9999999999999891E-2</v>
      </c>
      <c r="W270" s="211">
        <f t="shared" si="181"/>
        <v>1.9999999999999931E-2</v>
      </c>
      <c r="X270" s="211">
        <f t="shared" si="181"/>
        <v>1.9999999999999931E-2</v>
      </c>
      <c r="Y270" s="211">
        <f t="shared" si="181"/>
        <v>1.9999999999999931E-2</v>
      </c>
      <c r="Z270" s="211">
        <f t="shared" si="181"/>
        <v>9.9999999999999655E-3</v>
      </c>
      <c r="AA270" s="211">
        <f t="shared" si="181"/>
        <v>9.9999999999999655E-3</v>
      </c>
      <c r="AB270" s="211">
        <f t="shared" si="181"/>
        <v>9.9999999999999655E-3</v>
      </c>
      <c r="AC270" s="211">
        <f t="shared" si="181"/>
        <v>9.9999999999999655E-3</v>
      </c>
      <c r="AD270" s="211">
        <f t="shared" si="181"/>
        <v>9.9999999999999655E-3</v>
      </c>
      <c r="AE270" s="211">
        <f t="shared" si="181"/>
        <v>9.9999999999999655E-3</v>
      </c>
      <c r="AF270" s="211">
        <f t="shared" si="181"/>
        <v>9.9999999999999655E-3</v>
      </c>
      <c r="AG270" s="211">
        <f t="shared" si="181"/>
        <v>9.9999999999999655E-3</v>
      </c>
      <c r="AH270" s="211">
        <f t="shared" si="181"/>
        <v>9.9999999999999655E-3</v>
      </c>
      <c r="AI270" s="211">
        <f t="shared" si="181"/>
        <v>9.9999999999999655E-3</v>
      </c>
      <c r="AJ270" s="211">
        <f t="shared" si="181"/>
        <v>9.9999999999999655E-3</v>
      </c>
      <c r="AK270" s="211">
        <f t="shared" si="181"/>
        <v>9.9999999999999655E-3</v>
      </c>
      <c r="AL270" s="211">
        <f t="shared" si="181"/>
        <v>9.9999999999999655E-3</v>
      </c>
      <c r="AM270" s="211">
        <f t="shared" si="181"/>
        <v>9.9999999999999655E-3</v>
      </c>
      <c r="AN270" s="211">
        <f t="shared" si="181"/>
        <v>9.9999999999999655E-3</v>
      </c>
    </row>
    <row r="271" spans="2:40" s="7" customFormat="1" ht="12" hidden="1" customHeight="1" outlineLevel="1">
      <c r="B271" s="245"/>
      <c r="C271" s="250" t="s">
        <v>756</v>
      </c>
      <c r="D271" s="250"/>
      <c r="E271" s="213"/>
      <c r="F271" s="213"/>
      <c r="G271" s="213"/>
      <c r="H271" s="211">
        <f>INDEX($C$199:$AN$221,MATCH("New Customers 1MS",$C$199:$C$221,0),MATCH($C271,$C$199:$AN$199,0))</f>
        <v>12.999999999999998</v>
      </c>
      <c r="I271" s="211">
        <f t="shared" ref="I271:AN271" si="182">$H$271*(E266)</f>
        <v>0.90999999999999992</v>
      </c>
      <c r="J271" s="211">
        <f t="shared" si="182"/>
        <v>0.90999999999999992</v>
      </c>
      <c r="K271" s="211">
        <f t="shared" si="182"/>
        <v>0.90999999999999992</v>
      </c>
      <c r="L271" s="211">
        <f t="shared" si="182"/>
        <v>0.77999999999999992</v>
      </c>
      <c r="M271" s="211">
        <f t="shared" si="182"/>
        <v>0.77999999999999992</v>
      </c>
      <c r="N271" s="211">
        <f t="shared" si="182"/>
        <v>0.77999999999999992</v>
      </c>
      <c r="O271" s="211">
        <f t="shared" si="182"/>
        <v>0.64999999999999991</v>
      </c>
      <c r="P271" s="211">
        <f t="shared" si="182"/>
        <v>0.64999999999999991</v>
      </c>
      <c r="Q271" s="211">
        <f t="shared" si="182"/>
        <v>0.64999999999999991</v>
      </c>
      <c r="R271" s="211">
        <f t="shared" si="182"/>
        <v>0.51999999999999991</v>
      </c>
      <c r="S271" s="211">
        <f t="shared" si="182"/>
        <v>0.51999999999999991</v>
      </c>
      <c r="T271" s="211">
        <f t="shared" si="182"/>
        <v>0.51999999999999991</v>
      </c>
      <c r="U271" s="211">
        <f t="shared" si="182"/>
        <v>0.38999999999999996</v>
      </c>
      <c r="V271" s="211">
        <f t="shared" si="182"/>
        <v>0.38999999999999996</v>
      </c>
      <c r="W271" s="211">
        <f t="shared" si="182"/>
        <v>0.38999999999999996</v>
      </c>
      <c r="X271" s="211">
        <f t="shared" si="182"/>
        <v>0.25999999999999995</v>
      </c>
      <c r="Y271" s="211">
        <f t="shared" si="182"/>
        <v>0.25999999999999995</v>
      </c>
      <c r="Z271" s="211">
        <f t="shared" si="182"/>
        <v>0.25999999999999995</v>
      </c>
      <c r="AA271" s="211">
        <f t="shared" si="182"/>
        <v>0.12999999999999998</v>
      </c>
      <c r="AB271" s="211">
        <f t="shared" si="182"/>
        <v>0.12999999999999998</v>
      </c>
      <c r="AC271" s="211">
        <f t="shared" si="182"/>
        <v>0.12999999999999998</v>
      </c>
      <c r="AD271" s="211">
        <f t="shared" si="182"/>
        <v>0.12999999999999998</v>
      </c>
      <c r="AE271" s="211">
        <f t="shared" si="182"/>
        <v>0.12999999999999998</v>
      </c>
      <c r="AF271" s="211">
        <f t="shared" si="182"/>
        <v>0.12999999999999998</v>
      </c>
      <c r="AG271" s="211">
        <f t="shared" si="182"/>
        <v>0.12999999999999998</v>
      </c>
      <c r="AH271" s="211">
        <f t="shared" si="182"/>
        <v>0.12999999999999998</v>
      </c>
      <c r="AI271" s="211">
        <f t="shared" si="182"/>
        <v>0.12999999999999998</v>
      </c>
      <c r="AJ271" s="211">
        <f t="shared" si="182"/>
        <v>0.12999999999999998</v>
      </c>
      <c r="AK271" s="211">
        <f t="shared" si="182"/>
        <v>0.12999999999999998</v>
      </c>
      <c r="AL271" s="211">
        <f t="shared" si="182"/>
        <v>0.12999999999999998</v>
      </c>
      <c r="AM271" s="211">
        <f t="shared" si="182"/>
        <v>0.12999999999999998</v>
      </c>
      <c r="AN271" s="211">
        <f t="shared" si="182"/>
        <v>0.12999999999999998</v>
      </c>
    </row>
    <row r="272" spans="2:40" s="7" customFormat="1" ht="12" hidden="1" customHeight="1" outlineLevel="1">
      <c r="B272" s="245"/>
      <c r="C272" s="250" t="s">
        <v>757</v>
      </c>
      <c r="D272" s="250"/>
      <c r="E272" s="213"/>
      <c r="F272" s="213"/>
      <c r="G272" s="213"/>
      <c r="H272" s="213"/>
      <c r="I272" s="211">
        <f>INDEX($C$199:$AN$221,MATCH("New Customers 1MS",$C$199:$C$221,0),MATCH($C272,$C$199:$AN$199,0))</f>
        <v>1.9999999999999982</v>
      </c>
      <c r="J272" s="211">
        <f t="shared" ref="J272:AN272" si="183">$I$272*(E266)</f>
        <v>0.1399999999999999</v>
      </c>
      <c r="K272" s="211">
        <f t="shared" si="183"/>
        <v>0.1399999999999999</v>
      </c>
      <c r="L272" s="211">
        <f t="shared" si="183"/>
        <v>0.1399999999999999</v>
      </c>
      <c r="M272" s="211">
        <f t="shared" si="183"/>
        <v>0.11999999999999988</v>
      </c>
      <c r="N272" s="211">
        <f t="shared" si="183"/>
        <v>0.11999999999999988</v>
      </c>
      <c r="O272" s="211">
        <f t="shared" si="183"/>
        <v>0.11999999999999988</v>
      </c>
      <c r="P272" s="211">
        <f t="shared" si="183"/>
        <v>9.9999999999999922E-2</v>
      </c>
      <c r="Q272" s="211">
        <f t="shared" si="183"/>
        <v>9.9999999999999922E-2</v>
      </c>
      <c r="R272" s="211">
        <f t="shared" si="183"/>
        <v>9.9999999999999922E-2</v>
      </c>
      <c r="S272" s="211">
        <f t="shared" si="183"/>
        <v>7.9999999999999932E-2</v>
      </c>
      <c r="T272" s="211">
        <f t="shared" si="183"/>
        <v>7.9999999999999932E-2</v>
      </c>
      <c r="U272" s="211">
        <f t="shared" si="183"/>
        <v>7.9999999999999932E-2</v>
      </c>
      <c r="V272" s="211">
        <f t="shared" si="183"/>
        <v>5.9999999999999942E-2</v>
      </c>
      <c r="W272" s="211">
        <f t="shared" si="183"/>
        <v>5.9999999999999942E-2</v>
      </c>
      <c r="X272" s="211">
        <f t="shared" si="183"/>
        <v>5.9999999999999942E-2</v>
      </c>
      <c r="Y272" s="211">
        <f t="shared" si="183"/>
        <v>3.9999999999999966E-2</v>
      </c>
      <c r="Z272" s="211">
        <f t="shared" si="183"/>
        <v>3.9999999999999966E-2</v>
      </c>
      <c r="AA272" s="211">
        <f t="shared" si="183"/>
        <v>3.9999999999999966E-2</v>
      </c>
      <c r="AB272" s="211">
        <f t="shared" si="183"/>
        <v>1.9999999999999983E-2</v>
      </c>
      <c r="AC272" s="211">
        <f t="shared" si="183"/>
        <v>1.9999999999999983E-2</v>
      </c>
      <c r="AD272" s="211">
        <f t="shared" si="183"/>
        <v>1.9999999999999983E-2</v>
      </c>
      <c r="AE272" s="211">
        <f t="shared" si="183"/>
        <v>1.9999999999999983E-2</v>
      </c>
      <c r="AF272" s="211">
        <f t="shared" si="183"/>
        <v>1.9999999999999983E-2</v>
      </c>
      <c r="AG272" s="211">
        <f t="shared" si="183"/>
        <v>1.9999999999999983E-2</v>
      </c>
      <c r="AH272" s="211">
        <f t="shared" si="183"/>
        <v>1.9999999999999983E-2</v>
      </c>
      <c r="AI272" s="211">
        <f t="shared" si="183"/>
        <v>1.9999999999999983E-2</v>
      </c>
      <c r="AJ272" s="211">
        <f t="shared" si="183"/>
        <v>1.9999999999999983E-2</v>
      </c>
      <c r="AK272" s="211">
        <f t="shared" si="183"/>
        <v>1.9999999999999983E-2</v>
      </c>
      <c r="AL272" s="211">
        <f t="shared" si="183"/>
        <v>1.9999999999999983E-2</v>
      </c>
      <c r="AM272" s="211">
        <f t="shared" si="183"/>
        <v>1.9999999999999983E-2</v>
      </c>
      <c r="AN272" s="211">
        <f t="shared" si="183"/>
        <v>1.9999999999999983E-2</v>
      </c>
    </row>
    <row r="273" spans="2:40" s="7" customFormat="1" ht="12" hidden="1" customHeight="1" outlineLevel="1">
      <c r="B273" s="245"/>
      <c r="C273" s="250" t="s">
        <v>758</v>
      </c>
      <c r="D273" s="250"/>
      <c r="E273" s="213"/>
      <c r="F273" s="213"/>
      <c r="G273" s="213"/>
      <c r="H273" s="213"/>
      <c r="I273" s="213"/>
      <c r="J273" s="211">
        <f>INDEX($C$199:$AN$221,MATCH("New Customers 1MS",$C$199:$C$221,0),MATCH($C273,$C$199:$AN$199,0))</f>
        <v>14.000000000000007</v>
      </c>
      <c r="K273" s="211">
        <f t="shared" ref="K273:AN273" si="184">$J$273*(E266)</f>
        <v>0.98000000000000054</v>
      </c>
      <c r="L273" s="211">
        <f t="shared" si="184"/>
        <v>0.98000000000000054</v>
      </c>
      <c r="M273" s="211">
        <f t="shared" si="184"/>
        <v>0.98000000000000054</v>
      </c>
      <c r="N273" s="211">
        <f t="shared" si="184"/>
        <v>0.84000000000000041</v>
      </c>
      <c r="O273" s="211">
        <f t="shared" si="184"/>
        <v>0.84000000000000041</v>
      </c>
      <c r="P273" s="211">
        <f t="shared" si="184"/>
        <v>0.84000000000000041</v>
      </c>
      <c r="Q273" s="211">
        <f t="shared" si="184"/>
        <v>0.7000000000000004</v>
      </c>
      <c r="R273" s="211">
        <f t="shared" si="184"/>
        <v>0.7000000000000004</v>
      </c>
      <c r="S273" s="211">
        <f t="shared" si="184"/>
        <v>0.7000000000000004</v>
      </c>
      <c r="T273" s="211">
        <f t="shared" si="184"/>
        <v>0.56000000000000028</v>
      </c>
      <c r="U273" s="211">
        <f t="shared" si="184"/>
        <v>0.56000000000000028</v>
      </c>
      <c r="V273" s="211">
        <f t="shared" si="184"/>
        <v>0.56000000000000028</v>
      </c>
      <c r="W273" s="211">
        <f t="shared" si="184"/>
        <v>0.42000000000000021</v>
      </c>
      <c r="X273" s="211">
        <f t="shared" si="184"/>
        <v>0.42000000000000021</v>
      </c>
      <c r="Y273" s="211">
        <f t="shared" si="184"/>
        <v>0.42000000000000021</v>
      </c>
      <c r="Z273" s="211">
        <f t="shared" si="184"/>
        <v>0.28000000000000014</v>
      </c>
      <c r="AA273" s="211">
        <f t="shared" si="184"/>
        <v>0.28000000000000014</v>
      </c>
      <c r="AB273" s="211">
        <f t="shared" si="184"/>
        <v>0.28000000000000014</v>
      </c>
      <c r="AC273" s="211">
        <f t="shared" si="184"/>
        <v>0.14000000000000007</v>
      </c>
      <c r="AD273" s="211">
        <f t="shared" si="184"/>
        <v>0.14000000000000007</v>
      </c>
      <c r="AE273" s="211">
        <f t="shared" si="184"/>
        <v>0.14000000000000007</v>
      </c>
      <c r="AF273" s="211">
        <f t="shared" si="184"/>
        <v>0.14000000000000007</v>
      </c>
      <c r="AG273" s="211">
        <f t="shared" si="184"/>
        <v>0.14000000000000007</v>
      </c>
      <c r="AH273" s="211">
        <f t="shared" si="184"/>
        <v>0.14000000000000007</v>
      </c>
      <c r="AI273" s="211">
        <f t="shared" si="184"/>
        <v>0.14000000000000007</v>
      </c>
      <c r="AJ273" s="211">
        <f t="shared" si="184"/>
        <v>0.14000000000000007</v>
      </c>
      <c r="AK273" s="211">
        <f t="shared" si="184"/>
        <v>0.14000000000000007</v>
      </c>
      <c r="AL273" s="211">
        <f t="shared" si="184"/>
        <v>0.14000000000000007</v>
      </c>
      <c r="AM273" s="211">
        <f t="shared" si="184"/>
        <v>0.14000000000000007</v>
      </c>
      <c r="AN273" s="211">
        <f t="shared" si="184"/>
        <v>0.14000000000000007</v>
      </c>
    </row>
    <row r="274" spans="2:40" s="7" customFormat="1" ht="12" hidden="1" customHeight="1" outlineLevel="1">
      <c r="B274" s="245"/>
      <c r="C274" s="250" t="s">
        <v>759</v>
      </c>
      <c r="D274" s="250"/>
      <c r="E274" s="213"/>
      <c r="F274" s="213"/>
      <c r="G274" s="213"/>
      <c r="H274" s="213"/>
      <c r="I274" s="213"/>
      <c r="J274" s="213"/>
      <c r="K274" s="211">
        <f>INDEX($C$199:$AN$221,MATCH("New Customers 1MS",$C$199:$C$221,0),MATCH($C274,$C$199:$AN$199,0))</f>
        <v>6.9999999999999938</v>
      </c>
      <c r="L274" s="211">
        <f t="shared" ref="L274:AN274" si="185">$K$274*(E266)</f>
        <v>0.4899999999999996</v>
      </c>
      <c r="M274" s="211">
        <f t="shared" si="185"/>
        <v>0.4899999999999996</v>
      </c>
      <c r="N274" s="211">
        <f t="shared" si="185"/>
        <v>0.4899999999999996</v>
      </c>
      <c r="O274" s="211">
        <f t="shared" si="185"/>
        <v>0.4199999999999996</v>
      </c>
      <c r="P274" s="211">
        <f t="shared" si="185"/>
        <v>0.4199999999999996</v>
      </c>
      <c r="Q274" s="211">
        <f t="shared" si="185"/>
        <v>0.4199999999999996</v>
      </c>
      <c r="R274" s="211">
        <f t="shared" si="185"/>
        <v>0.3499999999999997</v>
      </c>
      <c r="S274" s="211">
        <f t="shared" si="185"/>
        <v>0.3499999999999997</v>
      </c>
      <c r="T274" s="211">
        <f t="shared" si="185"/>
        <v>0.3499999999999997</v>
      </c>
      <c r="U274" s="211">
        <f t="shared" si="185"/>
        <v>0.27999999999999975</v>
      </c>
      <c r="V274" s="211">
        <f t="shared" si="185"/>
        <v>0.27999999999999975</v>
      </c>
      <c r="W274" s="211">
        <f t="shared" si="185"/>
        <v>0.27999999999999975</v>
      </c>
      <c r="X274" s="211">
        <f t="shared" si="185"/>
        <v>0.2099999999999998</v>
      </c>
      <c r="Y274" s="211">
        <f t="shared" si="185"/>
        <v>0.2099999999999998</v>
      </c>
      <c r="Z274" s="211">
        <f t="shared" si="185"/>
        <v>0.2099999999999998</v>
      </c>
      <c r="AA274" s="211">
        <f t="shared" si="185"/>
        <v>0.13999999999999987</v>
      </c>
      <c r="AB274" s="211">
        <f t="shared" si="185"/>
        <v>0.13999999999999987</v>
      </c>
      <c r="AC274" s="211">
        <f t="shared" si="185"/>
        <v>0.13999999999999987</v>
      </c>
      <c r="AD274" s="211">
        <f t="shared" si="185"/>
        <v>6.9999999999999937E-2</v>
      </c>
      <c r="AE274" s="211">
        <f t="shared" si="185"/>
        <v>6.9999999999999937E-2</v>
      </c>
      <c r="AF274" s="211">
        <f t="shared" si="185"/>
        <v>6.9999999999999937E-2</v>
      </c>
      <c r="AG274" s="211">
        <f t="shared" si="185"/>
        <v>6.9999999999999937E-2</v>
      </c>
      <c r="AH274" s="211">
        <f t="shared" si="185"/>
        <v>6.9999999999999937E-2</v>
      </c>
      <c r="AI274" s="211">
        <f t="shared" si="185"/>
        <v>6.9999999999999937E-2</v>
      </c>
      <c r="AJ274" s="211">
        <f t="shared" si="185"/>
        <v>6.9999999999999937E-2</v>
      </c>
      <c r="AK274" s="211">
        <f t="shared" si="185"/>
        <v>6.9999999999999937E-2</v>
      </c>
      <c r="AL274" s="211">
        <f t="shared" si="185"/>
        <v>6.9999999999999937E-2</v>
      </c>
      <c r="AM274" s="211">
        <f t="shared" si="185"/>
        <v>6.9999999999999937E-2</v>
      </c>
      <c r="AN274" s="211">
        <f t="shared" si="185"/>
        <v>6.9999999999999937E-2</v>
      </c>
    </row>
    <row r="275" spans="2:40" s="7" customFormat="1" ht="12" hidden="1" customHeight="1" outlineLevel="1">
      <c r="B275" s="245"/>
      <c r="C275" s="250" t="s">
        <v>760</v>
      </c>
      <c r="D275" s="250"/>
      <c r="E275" s="213"/>
      <c r="F275" s="213"/>
      <c r="G275" s="346"/>
      <c r="H275" s="213"/>
      <c r="I275" s="213"/>
      <c r="J275" s="213"/>
      <c r="K275" s="213"/>
      <c r="L275" s="211">
        <f>INDEX($C$199:$AN$221,MATCH("New Customers 1MS",$C$199:$C$221,0),MATCH($C275,$C$199:$AN$199,0))</f>
        <v>0</v>
      </c>
      <c r="M275" s="211">
        <f t="shared" ref="M275:AN275" si="186">$L$275*(E266)</f>
        <v>0</v>
      </c>
      <c r="N275" s="211">
        <f t="shared" si="186"/>
        <v>0</v>
      </c>
      <c r="O275" s="211">
        <f t="shared" si="186"/>
        <v>0</v>
      </c>
      <c r="P275" s="211">
        <f t="shared" si="186"/>
        <v>0</v>
      </c>
      <c r="Q275" s="211">
        <f t="shared" si="186"/>
        <v>0</v>
      </c>
      <c r="R275" s="211">
        <f t="shared" si="186"/>
        <v>0</v>
      </c>
      <c r="S275" s="211">
        <f t="shared" si="186"/>
        <v>0</v>
      </c>
      <c r="T275" s="211">
        <f t="shared" si="186"/>
        <v>0</v>
      </c>
      <c r="U275" s="211">
        <f t="shared" si="186"/>
        <v>0</v>
      </c>
      <c r="V275" s="211">
        <f t="shared" si="186"/>
        <v>0</v>
      </c>
      <c r="W275" s="211">
        <f t="shared" si="186"/>
        <v>0</v>
      </c>
      <c r="X275" s="211">
        <f t="shared" si="186"/>
        <v>0</v>
      </c>
      <c r="Y275" s="211">
        <f t="shared" si="186"/>
        <v>0</v>
      </c>
      <c r="Z275" s="211">
        <f t="shared" si="186"/>
        <v>0</v>
      </c>
      <c r="AA275" s="211">
        <f t="shared" si="186"/>
        <v>0</v>
      </c>
      <c r="AB275" s="211">
        <f t="shared" si="186"/>
        <v>0</v>
      </c>
      <c r="AC275" s="211">
        <f t="shared" si="186"/>
        <v>0</v>
      </c>
      <c r="AD275" s="211">
        <f t="shared" si="186"/>
        <v>0</v>
      </c>
      <c r="AE275" s="211">
        <f t="shared" si="186"/>
        <v>0</v>
      </c>
      <c r="AF275" s="211">
        <f t="shared" si="186"/>
        <v>0</v>
      </c>
      <c r="AG275" s="211">
        <f t="shared" si="186"/>
        <v>0</v>
      </c>
      <c r="AH275" s="211">
        <f t="shared" si="186"/>
        <v>0</v>
      </c>
      <c r="AI275" s="211">
        <f t="shared" si="186"/>
        <v>0</v>
      </c>
      <c r="AJ275" s="211">
        <f t="shared" si="186"/>
        <v>0</v>
      </c>
      <c r="AK275" s="211">
        <f t="shared" si="186"/>
        <v>0</v>
      </c>
      <c r="AL275" s="211">
        <f t="shared" si="186"/>
        <v>0</v>
      </c>
      <c r="AM275" s="211">
        <f t="shared" si="186"/>
        <v>0</v>
      </c>
      <c r="AN275" s="211">
        <f t="shared" si="186"/>
        <v>0</v>
      </c>
    </row>
    <row r="276" spans="2:40" s="7" customFormat="1" ht="12" hidden="1" customHeight="1" outlineLevel="1">
      <c r="B276" s="245"/>
      <c r="C276" s="250" t="s">
        <v>761</v>
      </c>
      <c r="D276" s="250"/>
      <c r="E276" s="213"/>
      <c r="F276" s="213"/>
      <c r="G276" s="213"/>
      <c r="H276" s="213"/>
      <c r="I276" s="213"/>
      <c r="J276" s="213"/>
      <c r="K276" s="213"/>
      <c r="L276" s="213"/>
      <c r="M276" s="211">
        <f>INDEX($C$199:$AN$221,MATCH("New Customers 1MS",$C$199:$C$221,0),MATCH($C276,$C$199:$AN$199,0))</f>
        <v>0</v>
      </c>
      <c r="N276" s="211">
        <f t="shared" ref="N276:AN276" si="187">$M$276*(E266)</f>
        <v>0</v>
      </c>
      <c r="O276" s="211">
        <f t="shared" si="187"/>
        <v>0</v>
      </c>
      <c r="P276" s="211">
        <f t="shared" si="187"/>
        <v>0</v>
      </c>
      <c r="Q276" s="211">
        <f t="shared" si="187"/>
        <v>0</v>
      </c>
      <c r="R276" s="211">
        <f t="shared" si="187"/>
        <v>0</v>
      </c>
      <c r="S276" s="211">
        <f t="shared" si="187"/>
        <v>0</v>
      </c>
      <c r="T276" s="211">
        <f t="shared" si="187"/>
        <v>0</v>
      </c>
      <c r="U276" s="211">
        <f t="shared" si="187"/>
        <v>0</v>
      </c>
      <c r="V276" s="211">
        <f t="shared" si="187"/>
        <v>0</v>
      </c>
      <c r="W276" s="211">
        <f t="shared" si="187"/>
        <v>0</v>
      </c>
      <c r="X276" s="211">
        <f t="shared" si="187"/>
        <v>0</v>
      </c>
      <c r="Y276" s="211">
        <f t="shared" si="187"/>
        <v>0</v>
      </c>
      <c r="Z276" s="211">
        <f t="shared" si="187"/>
        <v>0</v>
      </c>
      <c r="AA276" s="211">
        <f t="shared" si="187"/>
        <v>0</v>
      </c>
      <c r="AB276" s="211">
        <f t="shared" si="187"/>
        <v>0</v>
      </c>
      <c r="AC276" s="211">
        <f t="shared" si="187"/>
        <v>0</v>
      </c>
      <c r="AD276" s="211">
        <f t="shared" si="187"/>
        <v>0</v>
      </c>
      <c r="AE276" s="211">
        <f t="shared" si="187"/>
        <v>0</v>
      </c>
      <c r="AF276" s="211">
        <f t="shared" si="187"/>
        <v>0</v>
      </c>
      <c r="AG276" s="211">
        <f t="shared" si="187"/>
        <v>0</v>
      </c>
      <c r="AH276" s="211">
        <f t="shared" si="187"/>
        <v>0</v>
      </c>
      <c r="AI276" s="211">
        <f t="shared" si="187"/>
        <v>0</v>
      </c>
      <c r="AJ276" s="211">
        <f t="shared" si="187"/>
        <v>0</v>
      </c>
      <c r="AK276" s="211">
        <f t="shared" si="187"/>
        <v>0</v>
      </c>
      <c r="AL276" s="211">
        <f t="shared" si="187"/>
        <v>0</v>
      </c>
      <c r="AM276" s="211">
        <f t="shared" si="187"/>
        <v>0</v>
      </c>
      <c r="AN276" s="211">
        <f t="shared" si="187"/>
        <v>0</v>
      </c>
    </row>
    <row r="277" spans="2:40" s="7" customFormat="1" ht="12" hidden="1" customHeight="1" outlineLevel="1">
      <c r="B277" s="245"/>
      <c r="C277" s="250" t="s">
        <v>762</v>
      </c>
      <c r="D277" s="250"/>
      <c r="E277" s="213"/>
      <c r="F277" s="213"/>
      <c r="G277" s="213"/>
      <c r="H277" s="213"/>
      <c r="I277" s="213"/>
      <c r="J277" s="213"/>
      <c r="K277" s="213"/>
      <c r="L277" s="213"/>
      <c r="M277" s="213"/>
      <c r="N277" s="211">
        <f>INDEX($C$199:$AN$221,MATCH("New Customers 1MS",$C$199:$C$221,0),MATCH($C277,$C$199:$AN$199,0))</f>
        <v>0</v>
      </c>
      <c r="O277" s="211">
        <f t="shared" ref="O277:AN277" si="188">$N$277*(E266)</f>
        <v>0</v>
      </c>
      <c r="P277" s="211">
        <f t="shared" si="188"/>
        <v>0</v>
      </c>
      <c r="Q277" s="211">
        <f t="shared" si="188"/>
        <v>0</v>
      </c>
      <c r="R277" s="211">
        <f t="shared" si="188"/>
        <v>0</v>
      </c>
      <c r="S277" s="211">
        <f t="shared" si="188"/>
        <v>0</v>
      </c>
      <c r="T277" s="211">
        <f t="shared" si="188"/>
        <v>0</v>
      </c>
      <c r="U277" s="211">
        <f t="shared" si="188"/>
        <v>0</v>
      </c>
      <c r="V277" s="211">
        <f t="shared" si="188"/>
        <v>0</v>
      </c>
      <c r="W277" s="211">
        <f t="shared" si="188"/>
        <v>0</v>
      </c>
      <c r="X277" s="211">
        <f t="shared" si="188"/>
        <v>0</v>
      </c>
      <c r="Y277" s="211">
        <f t="shared" si="188"/>
        <v>0</v>
      </c>
      <c r="Z277" s="211">
        <f t="shared" si="188"/>
        <v>0</v>
      </c>
      <c r="AA277" s="211">
        <f t="shared" si="188"/>
        <v>0</v>
      </c>
      <c r="AB277" s="211">
        <f t="shared" si="188"/>
        <v>0</v>
      </c>
      <c r="AC277" s="211">
        <f t="shared" si="188"/>
        <v>0</v>
      </c>
      <c r="AD277" s="211">
        <f t="shared" si="188"/>
        <v>0</v>
      </c>
      <c r="AE277" s="211">
        <f t="shared" si="188"/>
        <v>0</v>
      </c>
      <c r="AF277" s="211">
        <f t="shared" si="188"/>
        <v>0</v>
      </c>
      <c r="AG277" s="211">
        <f t="shared" si="188"/>
        <v>0</v>
      </c>
      <c r="AH277" s="211">
        <f t="shared" si="188"/>
        <v>0</v>
      </c>
      <c r="AI277" s="211">
        <f t="shared" si="188"/>
        <v>0</v>
      </c>
      <c r="AJ277" s="211">
        <f t="shared" si="188"/>
        <v>0</v>
      </c>
      <c r="AK277" s="211">
        <f t="shared" si="188"/>
        <v>0</v>
      </c>
      <c r="AL277" s="211">
        <f t="shared" si="188"/>
        <v>0</v>
      </c>
      <c r="AM277" s="211">
        <f t="shared" si="188"/>
        <v>0</v>
      </c>
      <c r="AN277" s="211">
        <f t="shared" si="188"/>
        <v>0</v>
      </c>
    </row>
    <row r="278" spans="2:40" s="7" customFormat="1" ht="12" hidden="1" customHeight="1" outlineLevel="1">
      <c r="B278" s="245"/>
      <c r="C278" s="250" t="s">
        <v>763</v>
      </c>
      <c r="D278" s="250"/>
      <c r="E278" s="213"/>
      <c r="F278" s="213"/>
      <c r="G278" s="213"/>
      <c r="H278" s="213"/>
      <c r="I278" s="213"/>
      <c r="J278" s="213"/>
      <c r="K278" s="213"/>
      <c r="L278" s="213"/>
      <c r="M278" s="213"/>
      <c r="N278" s="213"/>
      <c r="O278" s="211">
        <f>INDEX($C$199:$AN$221,MATCH("New Customers 1MS",$C$199:$C$221,0),MATCH($C278,$C$199:$AN$199,0))</f>
        <v>0</v>
      </c>
      <c r="P278" s="211">
        <f t="shared" ref="P278:AN278" si="189">$O$278*(E266)</f>
        <v>0</v>
      </c>
      <c r="Q278" s="211">
        <f t="shared" si="189"/>
        <v>0</v>
      </c>
      <c r="R278" s="211">
        <f t="shared" si="189"/>
        <v>0</v>
      </c>
      <c r="S278" s="211">
        <f t="shared" si="189"/>
        <v>0</v>
      </c>
      <c r="T278" s="211">
        <f t="shared" si="189"/>
        <v>0</v>
      </c>
      <c r="U278" s="211">
        <f t="shared" si="189"/>
        <v>0</v>
      </c>
      <c r="V278" s="211">
        <f t="shared" si="189"/>
        <v>0</v>
      </c>
      <c r="W278" s="211">
        <f t="shared" si="189"/>
        <v>0</v>
      </c>
      <c r="X278" s="211">
        <f t="shared" si="189"/>
        <v>0</v>
      </c>
      <c r="Y278" s="211">
        <f t="shared" si="189"/>
        <v>0</v>
      </c>
      <c r="Z278" s="211">
        <f t="shared" si="189"/>
        <v>0</v>
      </c>
      <c r="AA278" s="211">
        <f t="shared" si="189"/>
        <v>0</v>
      </c>
      <c r="AB278" s="211">
        <f t="shared" si="189"/>
        <v>0</v>
      </c>
      <c r="AC278" s="211">
        <f t="shared" si="189"/>
        <v>0</v>
      </c>
      <c r="AD278" s="211">
        <f t="shared" si="189"/>
        <v>0</v>
      </c>
      <c r="AE278" s="211">
        <f t="shared" si="189"/>
        <v>0</v>
      </c>
      <c r="AF278" s="211">
        <f t="shared" si="189"/>
        <v>0</v>
      </c>
      <c r="AG278" s="211">
        <f t="shared" si="189"/>
        <v>0</v>
      </c>
      <c r="AH278" s="211">
        <f t="shared" si="189"/>
        <v>0</v>
      </c>
      <c r="AI278" s="211">
        <f t="shared" si="189"/>
        <v>0</v>
      </c>
      <c r="AJ278" s="211">
        <f t="shared" si="189"/>
        <v>0</v>
      </c>
      <c r="AK278" s="211">
        <f t="shared" si="189"/>
        <v>0</v>
      </c>
      <c r="AL278" s="211">
        <f t="shared" si="189"/>
        <v>0</v>
      </c>
      <c r="AM278" s="211">
        <f t="shared" si="189"/>
        <v>0</v>
      </c>
      <c r="AN278" s="211">
        <f t="shared" si="189"/>
        <v>0</v>
      </c>
    </row>
    <row r="279" spans="2:40" s="7" customFormat="1" ht="12" hidden="1" customHeight="1" outlineLevel="1">
      <c r="B279" s="245"/>
      <c r="C279" s="250" t="s">
        <v>764</v>
      </c>
      <c r="D279" s="250"/>
      <c r="E279" s="213"/>
      <c r="F279" s="213"/>
      <c r="G279" s="213"/>
      <c r="H279" s="213"/>
      <c r="I279" s="213"/>
      <c r="J279" s="213"/>
      <c r="K279" s="213"/>
      <c r="L279" s="213"/>
      <c r="M279" s="213"/>
      <c r="N279" s="213"/>
      <c r="O279" s="213"/>
      <c r="P279" s="211">
        <f>INDEX($C$199:$AN$221,MATCH("New Customers 1MS",$C$199:$C$221,0),MATCH($C279,$C$199:$AN$199,0))</f>
        <v>0</v>
      </c>
      <c r="Q279" s="211">
        <f t="shared" ref="Q279:AN279" si="190">$P$279*(E266)</f>
        <v>0</v>
      </c>
      <c r="R279" s="211">
        <f t="shared" si="190"/>
        <v>0</v>
      </c>
      <c r="S279" s="211">
        <f t="shared" si="190"/>
        <v>0</v>
      </c>
      <c r="T279" s="211">
        <f t="shared" si="190"/>
        <v>0</v>
      </c>
      <c r="U279" s="211">
        <f t="shared" si="190"/>
        <v>0</v>
      </c>
      <c r="V279" s="211">
        <f t="shared" si="190"/>
        <v>0</v>
      </c>
      <c r="W279" s="211">
        <f t="shared" si="190"/>
        <v>0</v>
      </c>
      <c r="X279" s="211">
        <f t="shared" si="190"/>
        <v>0</v>
      </c>
      <c r="Y279" s="211">
        <f t="shared" si="190"/>
        <v>0</v>
      </c>
      <c r="Z279" s="211">
        <f t="shared" si="190"/>
        <v>0</v>
      </c>
      <c r="AA279" s="211">
        <f t="shared" si="190"/>
        <v>0</v>
      </c>
      <c r="AB279" s="211">
        <f t="shared" si="190"/>
        <v>0</v>
      </c>
      <c r="AC279" s="211">
        <f t="shared" si="190"/>
        <v>0</v>
      </c>
      <c r="AD279" s="211">
        <f t="shared" si="190"/>
        <v>0</v>
      </c>
      <c r="AE279" s="211">
        <f t="shared" si="190"/>
        <v>0</v>
      </c>
      <c r="AF279" s="211">
        <f t="shared" si="190"/>
        <v>0</v>
      </c>
      <c r="AG279" s="211">
        <f t="shared" si="190"/>
        <v>0</v>
      </c>
      <c r="AH279" s="211">
        <f t="shared" si="190"/>
        <v>0</v>
      </c>
      <c r="AI279" s="211">
        <f t="shared" si="190"/>
        <v>0</v>
      </c>
      <c r="AJ279" s="211">
        <f t="shared" si="190"/>
        <v>0</v>
      </c>
      <c r="AK279" s="211">
        <f t="shared" si="190"/>
        <v>0</v>
      </c>
      <c r="AL279" s="211">
        <f t="shared" si="190"/>
        <v>0</v>
      </c>
      <c r="AM279" s="211">
        <f t="shared" si="190"/>
        <v>0</v>
      </c>
      <c r="AN279" s="211">
        <f t="shared" si="190"/>
        <v>0</v>
      </c>
    </row>
    <row r="280" spans="2:40" s="7" customFormat="1" ht="12" hidden="1" customHeight="1" outlineLevel="1">
      <c r="B280" s="245"/>
      <c r="C280" s="250" t="s">
        <v>765</v>
      </c>
      <c r="D280" s="250"/>
      <c r="E280" s="213"/>
      <c r="F280" s="213"/>
      <c r="G280" s="213"/>
      <c r="H280" s="213"/>
      <c r="I280" s="213"/>
      <c r="J280" s="213"/>
      <c r="K280" s="213"/>
      <c r="L280" s="213"/>
      <c r="M280" s="213"/>
      <c r="N280" s="213"/>
      <c r="O280" s="213"/>
      <c r="P280" s="213"/>
      <c r="Q280" s="211">
        <f>INDEX($C$199:$AN$221,MATCH("New Customers 1MS",$C$199:$C$221,0),MATCH($C280,$C$199:$AN$199,0))</f>
        <v>0</v>
      </c>
      <c r="R280" s="211">
        <f t="shared" ref="R280:AN280" si="191">$Q$280*(E266)</f>
        <v>0</v>
      </c>
      <c r="S280" s="211">
        <f t="shared" si="191"/>
        <v>0</v>
      </c>
      <c r="T280" s="211">
        <f t="shared" si="191"/>
        <v>0</v>
      </c>
      <c r="U280" s="211">
        <f t="shared" si="191"/>
        <v>0</v>
      </c>
      <c r="V280" s="211">
        <f t="shared" si="191"/>
        <v>0</v>
      </c>
      <c r="W280" s="211">
        <f t="shared" si="191"/>
        <v>0</v>
      </c>
      <c r="X280" s="211">
        <f t="shared" si="191"/>
        <v>0</v>
      </c>
      <c r="Y280" s="211">
        <f t="shared" si="191"/>
        <v>0</v>
      </c>
      <c r="Z280" s="211">
        <f t="shared" si="191"/>
        <v>0</v>
      </c>
      <c r="AA280" s="211">
        <f t="shared" si="191"/>
        <v>0</v>
      </c>
      <c r="AB280" s="211">
        <f t="shared" si="191"/>
        <v>0</v>
      </c>
      <c r="AC280" s="211">
        <f t="shared" si="191"/>
        <v>0</v>
      </c>
      <c r="AD280" s="211">
        <f t="shared" si="191"/>
        <v>0</v>
      </c>
      <c r="AE280" s="211">
        <f t="shared" si="191"/>
        <v>0</v>
      </c>
      <c r="AF280" s="211">
        <f t="shared" si="191"/>
        <v>0</v>
      </c>
      <c r="AG280" s="211">
        <f t="shared" si="191"/>
        <v>0</v>
      </c>
      <c r="AH280" s="211">
        <f t="shared" si="191"/>
        <v>0</v>
      </c>
      <c r="AI280" s="211">
        <f t="shared" si="191"/>
        <v>0</v>
      </c>
      <c r="AJ280" s="211">
        <f t="shared" si="191"/>
        <v>0</v>
      </c>
      <c r="AK280" s="211">
        <f t="shared" si="191"/>
        <v>0</v>
      </c>
      <c r="AL280" s="211">
        <f t="shared" si="191"/>
        <v>0</v>
      </c>
      <c r="AM280" s="211">
        <f t="shared" si="191"/>
        <v>0</v>
      </c>
      <c r="AN280" s="211">
        <f t="shared" si="191"/>
        <v>0</v>
      </c>
    </row>
    <row r="281" spans="2:40" s="7" customFormat="1" ht="12" hidden="1" customHeight="1" outlineLevel="1">
      <c r="B281" s="245"/>
      <c r="C281" s="250" t="s">
        <v>766</v>
      </c>
      <c r="D281" s="250"/>
      <c r="E281" s="213"/>
      <c r="F281" s="213"/>
      <c r="G281" s="213"/>
      <c r="H281" s="213"/>
      <c r="I281" s="213"/>
      <c r="J281" s="213"/>
      <c r="K281" s="213"/>
      <c r="L281" s="213"/>
      <c r="M281" s="213"/>
      <c r="N281" s="213"/>
      <c r="O281" s="213"/>
      <c r="P281" s="213"/>
      <c r="Q281" s="213"/>
      <c r="R281" s="211">
        <f>INDEX($C$199:$AN$221,MATCH("New Customers 1MS",$C$199:$C$221,0),MATCH($C281,$C$199:$AN$199,0))</f>
        <v>0</v>
      </c>
      <c r="S281" s="211">
        <f t="shared" ref="S281:AN281" si="192">$R$281*(E266)</f>
        <v>0</v>
      </c>
      <c r="T281" s="211">
        <f t="shared" si="192"/>
        <v>0</v>
      </c>
      <c r="U281" s="211">
        <f t="shared" si="192"/>
        <v>0</v>
      </c>
      <c r="V281" s="211">
        <f t="shared" si="192"/>
        <v>0</v>
      </c>
      <c r="W281" s="211">
        <f t="shared" si="192"/>
        <v>0</v>
      </c>
      <c r="X281" s="211">
        <f t="shared" si="192"/>
        <v>0</v>
      </c>
      <c r="Y281" s="211">
        <f t="shared" si="192"/>
        <v>0</v>
      </c>
      <c r="Z281" s="211">
        <f t="shared" si="192"/>
        <v>0</v>
      </c>
      <c r="AA281" s="211">
        <f t="shared" si="192"/>
        <v>0</v>
      </c>
      <c r="AB281" s="211">
        <f t="shared" si="192"/>
        <v>0</v>
      </c>
      <c r="AC281" s="211">
        <f t="shared" si="192"/>
        <v>0</v>
      </c>
      <c r="AD281" s="211">
        <f t="shared" si="192"/>
        <v>0</v>
      </c>
      <c r="AE281" s="211">
        <f t="shared" si="192"/>
        <v>0</v>
      </c>
      <c r="AF281" s="211">
        <f t="shared" si="192"/>
        <v>0</v>
      </c>
      <c r="AG281" s="211">
        <f t="shared" si="192"/>
        <v>0</v>
      </c>
      <c r="AH281" s="211">
        <f t="shared" si="192"/>
        <v>0</v>
      </c>
      <c r="AI281" s="211">
        <f t="shared" si="192"/>
        <v>0</v>
      </c>
      <c r="AJ281" s="211">
        <f t="shared" si="192"/>
        <v>0</v>
      </c>
      <c r="AK281" s="211">
        <f t="shared" si="192"/>
        <v>0</v>
      </c>
      <c r="AL281" s="211">
        <f t="shared" si="192"/>
        <v>0</v>
      </c>
      <c r="AM281" s="211">
        <f t="shared" si="192"/>
        <v>0</v>
      </c>
      <c r="AN281" s="211">
        <f t="shared" si="192"/>
        <v>0</v>
      </c>
    </row>
    <row r="282" spans="2:40" s="7" customFormat="1" ht="12" hidden="1" customHeight="1" outlineLevel="1">
      <c r="B282" s="245"/>
      <c r="C282" s="250" t="s">
        <v>767</v>
      </c>
      <c r="D282" s="250"/>
      <c r="E282" s="213"/>
      <c r="F282" s="213"/>
      <c r="G282" s="213"/>
      <c r="H282" s="213"/>
      <c r="I282" s="213"/>
      <c r="J282" s="213"/>
      <c r="K282" s="213"/>
      <c r="L282" s="213"/>
      <c r="M282" s="213"/>
      <c r="N282" s="213"/>
      <c r="O282" s="213"/>
      <c r="P282" s="213"/>
      <c r="Q282" s="213"/>
      <c r="R282" s="213"/>
      <c r="S282" s="211">
        <f>INDEX($C$199:$AN$221,MATCH("New Customers 1MS",$C$199:$C$221,0),MATCH($C282,$C$199:$AN$199,0))</f>
        <v>0</v>
      </c>
      <c r="T282" s="211">
        <f t="shared" ref="T282:AN282" si="193">$S$282*(E266)</f>
        <v>0</v>
      </c>
      <c r="U282" s="211">
        <f t="shared" si="193"/>
        <v>0</v>
      </c>
      <c r="V282" s="211">
        <f t="shared" si="193"/>
        <v>0</v>
      </c>
      <c r="W282" s="211">
        <f t="shared" si="193"/>
        <v>0</v>
      </c>
      <c r="X282" s="211">
        <f t="shared" si="193"/>
        <v>0</v>
      </c>
      <c r="Y282" s="211">
        <f t="shared" si="193"/>
        <v>0</v>
      </c>
      <c r="Z282" s="211">
        <f t="shared" si="193"/>
        <v>0</v>
      </c>
      <c r="AA282" s="211">
        <f t="shared" si="193"/>
        <v>0</v>
      </c>
      <c r="AB282" s="211">
        <f t="shared" si="193"/>
        <v>0</v>
      </c>
      <c r="AC282" s="211">
        <f t="shared" si="193"/>
        <v>0</v>
      </c>
      <c r="AD282" s="211">
        <f t="shared" si="193"/>
        <v>0</v>
      </c>
      <c r="AE282" s="211">
        <f t="shared" si="193"/>
        <v>0</v>
      </c>
      <c r="AF282" s="211">
        <f t="shared" si="193"/>
        <v>0</v>
      </c>
      <c r="AG282" s="211">
        <f t="shared" si="193"/>
        <v>0</v>
      </c>
      <c r="AH282" s="211">
        <f t="shared" si="193"/>
        <v>0</v>
      </c>
      <c r="AI282" s="211">
        <f t="shared" si="193"/>
        <v>0</v>
      </c>
      <c r="AJ282" s="211">
        <f t="shared" si="193"/>
        <v>0</v>
      </c>
      <c r="AK282" s="211">
        <f t="shared" si="193"/>
        <v>0</v>
      </c>
      <c r="AL282" s="211">
        <f t="shared" si="193"/>
        <v>0</v>
      </c>
      <c r="AM282" s="211">
        <f t="shared" si="193"/>
        <v>0</v>
      </c>
      <c r="AN282" s="211">
        <f t="shared" si="193"/>
        <v>0</v>
      </c>
    </row>
    <row r="283" spans="2:40" s="7" customFormat="1" ht="12" hidden="1" customHeight="1" outlineLevel="1">
      <c r="B283" s="245"/>
      <c r="C283" s="250" t="s">
        <v>768</v>
      </c>
      <c r="D283" s="250"/>
      <c r="E283" s="213"/>
      <c r="F283" s="213"/>
      <c r="G283" s="213"/>
      <c r="H283" s="213"/>
      <c r="I283" s="213"/>
      <c r="J283" s="213"/>
      <c r="K283" s="213"/>
      <c r="L283" s="213"/>
      <c r="M283" s="213"/>
      <c r="N283" s="213"/>
      <c r="O283" s="213"/>
      <c r="P283" s="213"/>
      <c r="Q283" s="213"/>
      <c r="R283" s="213"/>
      <c r="S283" s="213"/>
      <c r="T283" s="211">
        <f>INDEX($C$199:$AN$221,MATCH("New Customers 1MS",$C$199:$C$221,0),MATCH($C283,$C$199:$AN$199,0))</f>
        <v>0</v>
      </c>
      <c r="U283" s="211">
        <f t="shared" ref="U283:AN283" si="194">$T$283*(E266)</f>
        <v>0</v>
      </c>
      <c r="V283" s="211">
        <f t="shared" si="194"/>
        <v>0</v>
      </c>
      <c r="W283" s="211">
        <f t="shared" si="194"/>
        <v>0</v>
      </c>
      <c r="X283" s="211">
        <f t="shared" si="194"/>
        <v>0</v>
      </c>
      <c r="Y283" s="211">
        <f t="shared" si="194"/>
        <v>0</v>
      </c>
      <c r="Z283" s="211">
        <f t="shared" si="194"/>
        <v>0</v>
      </c>
      <c r="AA283" s="211">
        <f t="shared" si="194"/>
        <v>0</v>
      </c>
      <c r="AB283" s="211">
        <f t="shared" si="194"/>
        <v>0</v>
      </c>
      <c r="AC283" s="211">
        <f t="shared" si="194"/>
        <v>0</v>
      </c>
      <c r="AD283" s="211">
        <f t="shared" si="194"/>
        <v>0</v>
      </c>
      <c r="AE283" s="211">
        <f t="shared" si="194"/>
        <v>0</v>
      </c>
      <c r="AF283" s="211">
        <f t="shared" si="194"/>
        <v>0</v>
      </c>
      <c r="AG283" s="211">
        <f t="shared" si="194"/>
        <v>0</v>
      </c>
      <c r="AH283" s="211">
        <f t="shared" si="194"/>
        <v>0</v>
      </c>
      <c r="AI283" s="211">
        <f t="shared" si="194"/>
        <v>0</v>
      </c>
      <c r="AJ283" s="211">
        <f t="shared" si="194"/>
        <v>0</v>
      </c>
      <c r="AK283" s="211">
        <f t="shared" si="194"/>
        <v>0</v>
      </c>
      <c r="AL283" s="211">
        <f t="shared" si="194"/>
        <v>0</v>
      </c>
      <c r="AM283" s="211">
        <f t="shared" si="194"/>
        <v>0</v>
      </c>
      <c r="AN283" s="211">
        <f t="shared" si="194"/>
        <v>0</v>
      </c>
    </row>
    <row r="284" spans="2:40" s="7" customFormat="1" ht="12" hidden="1" customHeight="1" outlineLevel="1">
      <c r="B284" s="245"/>
      <c r="C284" s="250" t="s">
        <v>769</v>
      </c>
      <c r="D284" s="250"/>
      <c r="E284" s="213"/>
      <c r="F284" s="213"/>
      <c r="G284" s="213"/>
      <c r="H284" s="213"/>
      <c r="I284" s="213"/>
      <c r="J284" s="213"/>
      <c r="K284" s="213"/>
      <c r="L284" s="213"/>
      <c r="M284" s="213"/>
      <c r="N284" s="213"/>
      <c r="O284" s="213"/>
      <c r="P284" s="213"/>
      <c r="Q284" s="213"/>
      <c r="R284" s="213"/>
      <c r="S284" s="213"/>
      <c r="T284" s="213"/>
      <c r="U284" s="211">
        <f>INDEX($C$199:$AN$221,MATCH("New Customers 1MS",$C$199:$C$221,0),MATCH($C284,$C$199:$AN$199,0))</f>
        <v>0</v>
      </c>
      <c r="V284" s="211">
        <f t="shared" ref="V284:AN284" si="195">$U$284*(E266)</f>
        <v>0</v>
      </c>
      <c r="W284" s="211">
        <f t="shared" si="195"/>
        <v>0</v>
      </c>
      <c r="X284" s="211">
        <f t="shared" si="195"/>
        <v>0</v>
      </c>
      <c r="Y284" s="211">
        <f t="shared" si="195"/>
        <v>0</v>
      </c>
      <c r="Z284" s="211">
        <f t="shared" si="195"/>
        <v>0</v>
      </c>
      <c r="AA284" s="211">
        <f t="shared" si="195"/>
        <v>0</v>
      </c>
      <c r="AB284" s="211">
        <f t="shared" si="195"/>
        <v>0</v>
      </c>
      <c r="AC284" s="211">
        <f t="shared" si="195"/>
        <v>0</v>
      </c>
      <c r="AD284" s="211">
        <f t="shared" si="195"/>
        <v>0</v>
      </c>
      <c r="AE284" s="211">
        <f t="shared" si="195"/>
        <v>0</v>
      </c>
      <c r="AF284" s="211">
        <f t="shared" si="195"/>
        <v>0</v>
      </c>
      <c r="AG284" s="211">
        <f t="shared" si="195"/>
        <v>0</v>
      </c>
      <c r="AH284" s="211">
        <f t="shared" si="195"/>
        <v>0</v>
      </c>
      <c r="AI284" s="211">
        <f t="shared" si="195"/>
        <v>0</v>
      </c>
      <c r="AJ284" s="211">
        <f t="shared" si="195"/>
        <v>0</v>
      </c>
      <c r="AK284" s="211">
        <f t="shared" si="195"/>
        <v>0</v>
      </c>
      <c r="AL284" s="211">
        <f t="shared" si="195"/>
        <v>0</v>
      </c>
      <c r="AM284" s="211">
        <f t="shared" si="195"/>
        <v>0</v>
      </c>
      <c r="AN284" s="211">
        <f t="shared" si="195"/>
        <v>0</v>
      </c>
    </row>
    <row r="285" spans="2:40" s="7" customFormat="1" ht="12" hidden="1" customHeight="1" outlineLevel="1">
      <c r="B285" s="245"/>
      <c r="C285" s="250" t="s">
        <v>770</v>
      </c>
      <c r="D285" s="250"/>
      <c r="E285" s="213"/>
      <c r="F285" s="213"/>
      <c r="G285" s="213"/>
      <c r="H285" s="213"/>
      <c r="I285" s="213"/>
      <c r="J285" s="213"/>
      <c r="K285" s="213"/>
      <c r="L285" s="213"/>
      <c r="M285" s="213"/>
      <c r="N285" s="213"/>
      <c r="O285" s="213"/>
      <c r="P285" s="213"/>
      <c r="Q285" s="213"/>
      <c r="R285" s="213"/>
      <c r="S285" s="213"/>
      <c r="T285" s="213"/>
      <c r="U285" s="213"/>
      <c r="V285" s="211">
        <f>INDEX($C$199:$AN$221,MATCH("New Customers 1MS",$C$199:$C$221,0),MATCH($C285,$C$199:$AN$199,0))</f>
        <v>0</v>
      </c>
      <c r="W285" s="211">
        <f t="shared" ref="W285:AN285" si="196">$V$285*(E266)</f>
        <v>0</v>
      </c>
      <c r="X285" s="211">
        <f t="shared" si="196"/>
        <v>0</v>
      </c>
      <c r="Y285" s="211">
        <f t="shared" si="196"/>
        <v>0</v>
      </c>
      <c r="Z285" s="211">
        <f t="shared" si="196"/>
        <v>0</v>
      </c>
      <c r="AA285" s="211">
        <f t="shared" si="196"/>
        <v>0</v>
      </c>
      <c r="AB285" s="211">
        <f t="shared" si="196"/>
        <v>0</v>
      </c>
      <c r="AC285" s="211">
        <f t="shared" si="196"/>
        <v>0</v>
      </c>
      <c r="AD285" s="211">
        <f t="shared" si="196"/>
        <v>0</v>
      </c>
      <c r="AE285" s="211">
        <f t="shared" si="196"/>
        <v>0</v>
      </c>
      <c r="AF285" s="211">
        <f t="shared" si="196"/>
        <v>0</v>
      </c>
      <c r="AG285" s="211">
        <f t="shared" si="196"/>
        <v>0</v>
      </c>
      <c r="AH285" s="211">
        <f t="shared" si="196"/>
        <v>0</v>
      </c>
      <c r="AI285" s="211">
        <f t="shared" si="196"/>
        <v>0</v>
      </c>
      <c r="AJ285" s="211">
        <f t="shared" si="196"/>
        <v>0</v>
      </c>
      <c r="AK285" s="211">
        <f t="shared" si="196"/>
        <v>0</v>
      </c>
      <c r="AL285" s="211">
        <f t="shared" si="196"/>
        <v>0</v>
      </c>
      <c r="AM285" s="211">
        <f t="shared" si="196"/>
        <v>0</v>
      </c>
      <c r="AN285" s="211">
        <f t="shared" si="196"/>
        <v>0</v>
      </c>
    </row>
    <row r="286" spans="2:40" s="7" customFormat="1" ht="12" hidden="1" customHeight="1" outlineLevel="1">
      <c r="B286" s="245"/>
      <c r="C286" s="250" t="s">
        <v>771</v>
      </c>
      <c r="D286" s="250"/>
      <c r="E286" s="213"/>
      <c r="F286" s="213"/>
      <c r="G286" s="213"/>
      <c r="H286" s="213"/>
      <c r="I286" s="213"/>
      <c r="J286" s="213"/>
      <c r="K286" s="213"/>
      <c r="L286" s="213"/>
      <c r="M286" s="213"/>
      <c r="N286" s="213"/>
      <c r="O286" s="213"/>
      <c r="P286" s="213"/>
      <c r="Q286" s="213"/>
      <c r="R286" s="213"/>
      <c r="S286" s="213"/>
      <c r="T286" s="213"/>
      <c r="U286" s="213"/>
      <c r="V286" s="213"/>
      <c r="W286" s="211">
        <f>INDEX($C$199:$AN$221,MATCH("New Customers 1MS",$C$199:$C$221,0),MATCH($C286,$C$199:$AN$199,0))</f>
        <v>0</v>
      </c>
      <c r="X286" s="211">
        <f t="shared" ref="X286:AN286" si="197">$W$286*(E266)</f>
        <v>0</v>
      </c>
      <c r="Y286" s="211">
        <f t="shared" si="197"/>
        <v>0</v>
      </c>
      <c r="Z286" s="211">
        <f t="shared" si="197"/>
        <v>0</v>
      </c>
      <c r="AA286" s="211">
        <f t="shared" si="197"/>
        <v>0</v>
      </c>
      <c r="AB286" s="211">
        <f t="shared" si="197"/>
        <v>0</v>
      </c>
      <c r="AC286" s="211">
        <f t="shared" si="197"/>
        <v>0</v>
      </c>
      <c r="AD286" s="211">
        <f t="shared" si="197"/>
        <v>0</v>
      </c>
      <c r="AE286" s="211">
        <f t="shared" si="197"/>
        <v>0</v>
      </c>
      <c r="AF286" s="211">
        <f t="shared" si="197"/>
        <v>0</v>
      </c>
      <c r="AG286" s="211">
        <f t="shared" si="197"/>
        <v>0</v>
      </c>
      <c r="AH286" s="211">
        <f t="shared" si="197"/>
        <v>0</v>
      </c>
      <c r="AI286" s="211">
        <f t="shared" si="197"/>
        <v>0</v>
      </c>
      <c r="AJ286" s="211">
        <f t="shared" si="197"/>
        <v>0</v>
      </c>
      <c r="AK286" s="211">
        <f t="shared" si="197"/>
        <v>0</v>
      </c>
      <c r="AL286" s="211">
        <f t="shared" si="197"/>
        <v>0</v>
      </c>
      <c r="AM286" s="211">
        <f t="shared" si="197"/>
        <v>0</v>
      </c>
      <c r="AN286" s="211">
        <f t="shared" si="197"/>
        <v>0</v>
      </c>
    </row>
    <row r="287" spans="2:40" s="7" customFormat="1" ht="12" hidden="1" customHeight="1" outlineLevel="1">
      <c r="B287" s="245"/>
      <c r="C287" s="250" t="s">
        <v>772</v>
      </c>
      <c r="D287" s="250"/>
      <c r="E287" s="213"/>
      <c r="F287" s="213"/>
      <c r="G287" s="213"/>
      <c r="H287" s="213"/>
      <c r="I287" s="213"/>
      <c r="J287" s="213"/>
      <c r="K287" s="213"/>
      <c r="L287" s="213"/>
      <c r="M287" s="213"/>
      <c r="N287" s="213"/>
      <c r="O287" s="213"/>
      <c r="P287" s="213"/>
      <c r="Q287" s="213"/>
      <c r="R287" s="213"/>
      <c r="S287" s="213"/>
      <c r="T287" s="213"/>
      <c r="U287" s="213"/>
      <c r="V287" s="213"/>
      <c r="W287" s="213"/>
      <c r="X287" s="211">
        <f>INDEX($C$199:$AN$221,MATCH("New Customers 1MS",$C$199:$C$221,0),MATCH($C287,$C$199:$AN$199,0))</f>
        <v>0</v>
      </c>
      <c r="Y287" s="211">
        <f t="shared" ref="Y287:AN287" si="198">$X$287*(E266)</f>
        <v>0</v>
      </c>
      <c r="Z287" s="211">
        <f t="shared" si="198"/>
        <v>0</v>
      </c>
      <c r="AA287" s="211">
        <f t="shared" si="198"/>
        <v>0</v>
      </c>
      <c r="AB287" s="211">
        <f t="shared" si="198"/>
        <v>0</v>
      </c>
      <c r="AC287" s="211">
        <f t="shared" si="198"/>
        <v>0</v>
      </c>
      <c r="AD287" s="211">
        <f t="shared" si="198"/>
        <v>0</v>
      </c>
      <c r="AE287" s="211">
        <f t="shared" si="198"/>
        <v>0</v>
      </c>
      <c r="AF287" s="211">
        <f t="shared" si="198"/>
        <v>0</v>
      </c>
      <c r="AG287" s="211">
        <f t="shared" si="198"/>
        <v>0</v>
      </c>
      <c r="AH287" s="211">
        <f t="shared" si="198"/>
        <v>0</v>
      </c>
      <c r="AI287" s="211">
        <f t="shared" si="198"/>
        <v>0</v>
      </c>
      <c r="AJ287" s="211">
        <f t="shared" si="198"/>
        <v>0</v>
      </c>
      <c r="AK287" s="211">
        <f t="shared" si="198"/>
        <v>0</v>
      </c>
      <c r="AL287" s="211">
        <f t="shared" si="198"/>
        <v>0</v>
      </c>
      <c r="AM287" s="211">
        <f t="shared" si="198"/>
        <v>0</v>
      </c>
      <c r="AN287" s="211">
        <f t="shared" si="198"/>
        <v>0</v>
      </c>
    </row>
    <row r="288" spans="2:40" s="7" customFormat="1" ht="12" hidden="1" customHeight="1" outlineLevel="1">
      <c r="B288" s="245"/>
      <c r="C288" s="250" t="s">
        <v>773</v>
      </c>
      <c r="D288" s="250"/>
      <c r="E288" s="213"/>
      <c r="F288" s="213"/>
      <c r="G288" s="213"/>
      <c r="H288" s="213"/>
      <c r="I288" s="213"/>
      <c r="J288" s="213"/>
      <c r="K288" s="213"/>
      <c r="L288" s="213"/>
      <c r="M288" s="213"/>
      <c r="N288" s="213"/>
      <c r="O288" s="213"/>
      <c r="P288" s="213"/>
      <c r="Q288" s="213"/>
      <c r="R288" s="213"/>
      <c r="S288" s="213"/>
      <c r="T288" s="213"/>
      <c r="U288" s="213"/>
      <c r="V288" s="213"/>
      <c r="W288" s="213"/>
      <c r="X288" s="213"/>
      <c r="Y288" s="211">
        <f>INDEX($C$199:$AN$221,MATCH("New Customers 1MS",$C$199:$C$221,0),MATCH($C288,$C$199:$AN$199,0))</f>
        <v>0</v>
      </c>
      <c r="Z288" s="211">
        <f t="shared" ref="Z288:AN288" si="199">$Y$288*(E266)</f>
        <v>0</v>
      </c>
      <c r="AA288" s="211">
        <f t="shared" si="199"/>
        <v>0</v>
      </c>
      <c r="AB288" s="211">
        <f t="shared" si="199"/>
        <v>0</v>
      </c>
      <c r="AC288" s="211">
        <f t="shared" si="199"/>
        <v>0</v>
      </c>
      <c r="AD288" s="211">
        <f t="shared" si="199"/>
        <v>0</v>
      </c>
      <c r="AE288" s="211">
        <f t="shared" si="199"/>
        <v>0</v>
      </c>
      <c r="AF288" s="211">
        <f t="shared" si="199"/>
        <v>0</v>
      </c>
      <c r="AG288" s="211">
        <f t="shared" si="199"/>
        <v>0</v>
      </c>
      <c r="AH288" s="211">
        <f t="shared" si="199"/>
        <v>0</v>
      </c>
      <c r="AI288" s="211">
        <f t="shared" si="199"/>
        <v>0</v>
      </c>
      <c r="AJ288" s="211">
        <f t="shared" si="199"/>
        <v>0</v>
      </c>
      <c r="AK288" s="211">
        <f t="shared" si="199"/>
        <v>0</v>
      </c>
      <c r="AL288" s="211">
        <f t="shared" si="199"/>
        <v>0</v>
      </c>
      <c r="AM288" s="211">
        <f t="shared" si="199"/>
        <v>0</v>
      </c>
      <c r="AN288" s="211">
        <f t="shared" si="199"/>
        <v>0</v>
      </c>
    </row>
    <row r="289" spans="2:40" s="7" customFormat="1" ht="12" hidden="1" customHeight="1" outlineLevel="1">
      <c r="B289" s="245"/>
      <c r="C289" s="250" t="s">
        <v>774</v>
      </c>
      <c r="D289" s="250"/>
      <c r="E289" s="213"/>
      <c r="F289" s="213"/>
      <c r="G289" s="213"/>
      <c r="H289" s="213"/>
      <c r="I289" s="213"/>
      <c r="J289" s="213"/>
      <c r="K289" s="213"/>
      <c r="L289" s="213"/>
      <c r="M289" s="213"/>
      <c r="N289" s="213"/>
      <c r="O289" s="213"/>
      <c r="P289" s="213"/>
      <c r="Q289" s="213"/>
      <c r="R289" s="213"/>
      <c r="S289" s="213"/>
      <c r="T289" s="213"/>
      <c r="U289" s="213"/>
      <c r="V289" s="213"/>
      <c r="W289" s="213"/>
      <c r="X289" s="213"/>
      <c r="Y289" s="213"/>
      <c r="Z289" s="211">
        <f>INDEX($C$199:$AN$221,MATCH("New Customers 1MS",$C$199:$C$221,0),MATCH($C289,$C$199:$AN$199,0))</f>
        <v>0</v>
      </c>
      <c r="AA289" s="211">
        <f t="shared" ref="AA289:AN289" si="200">$Z$289*(E266)</f>
        <v>0</v>
      </c>
      <c r="AB289" s="211">
        <f t="shared" si="200"/>
        <v>0</v>
      </c>
      <c r="AC289" s="211">
        <f t="shared" si="200"/>
        <v>0</v>
      </c>
      <c r="AD289" s="211">
        <f t="shared" si="200"/>
        <v>0</v>
      </c>
      <c r="AE289" s="211">
        <f t="shared" si="200"/>
        <v>0</v>
      </c>
      <c r="AF289" s="211">
        <f t="shared" si="200"/>
        <v>0</v>
      </c>
      <c r="AG289" s="211">
        <f t="shared" si="200"/>
        <v>0</v>
      </c>
      <c r="AH289" s="211">
        <f t="shared" si="200"/>
        <v>0</v>
      </c>
      <c r="AI289" s="211">
        <f t="shared" si="200"/>
        <v>0</v>
      </c>
      <c r="AJ289" s="211">
        <f t="shared" si="200"/>
        <v>0</v>
      </c>
      <c r="AK289" s="211">
        <f t="shared" si="200"/>
        <v>0</v>
      </c>
      <c r="AL289" s="211">
        <f t="shared" si="200"/>
        <v>0</v>
      </c>
      <c r="AM289" s="211">
        <f t="shared" si="200"/>
        <v>0</v>
      </c>
      <c r="AN289" s="211">
        <f t="shared" si="200"/>
        <v>0</v>
      </c>
    </row>
    <row r="290" spans="2:40" s="7" customFormat="1" ht="12" hidden="1" customHeight="1" outlineLevel="1">
      <c r="B290" s="245"/>
      <c r="C290" s="250" t="s">
        <v>775</v>
      </c>
      <c r="D290" s="250"/>
      <c r="E290" s="213"/>
      <c r="F290" s="213"/>
      <c r="G290" s="213"/>
      <c r="H290" s="213"/>
      <c r="I290" s="213"/>
      <c r="J290" s="213"/>
      <c r="K290" s="213"/>
      <c r="L290" s="213"/>
      <c r="M290" s="213"/>
      <c r="N290" s="213"/>
      <c r="O290" s="213"/>
      <c r="P290" s="213"/>
      <c r="Q290" s="213"/>
      <c r="R290" s="213"/>
      <c r="S290" s="213"/>
      <c r="T290" s="213"/>
      <c r="U290" s="213"/>
      <c r="V290" s="213"/>
      <c r="W290" s="213"/>
      <c r="X290" s="213"/>
      <c r="Y290" s="213"/>
      <c r="Z290" s="213"/>
      <c r="AA290" s="211">
        <f>INDEX($C$199:$AN$221,MATCH("New Customers 1MS",$C$199:$C$221,0),MATCH($C290,$C$199:$AN$199,0))</f>
        <v>0</v>
      </c>
      <c r="AB290" s="211">
        <f t="shared" ref="AB290:AN290" si="201">$AA$290*(E266)</f>
        <v>0</v>
      </c>
      <c r="AC290" s="211">
        <f t="shared" si="201"/>
        <v>0</v>
      </c>
      <c r="AD290" s="211">
        <f t="shared" si="201"/>
        <v>0</v>
      </c>
      <c r="AE290" s="211">
        <f t="shared" si="201"/>
        <v>0</v>
      </c>
      <c r="AF290" s="211">
        <f t="shared" si="201"/>
        <v>0</v>
      </c>
      <c r="AG290" s="211">
        <f t="shared" si="201"/>
        <v>0</v>
      </c>
      <c r="AH290" s="211">
        <f t="shared" si="201"/>
        <v>0</v>
      </c>
      <c r="AI290" s="211">
        <f t="shared" si="201"/>
        <v>0</v>
      </c>
      <c r="AJ290" s="211">
        <f t="shared" si="201"/>
        <v>0</v>
      </c>
      <c r="AK290" s="211">
        <f t="shared" si="201"/>
        <v>0</v>
      </c>
      <c r="AL290" s="211">
        <f t="shared" si="201"/>
        <v>0</v>
      </c>
      <c r="AM290" s="211">
        <f t="shared" si="201"/>
        <v>0</v>
      </c>
      <c r="AN290" s="211">
        <f t="shared" si="201"/>
        <v>0</v>
      </c>
    </row>
    <row r="291" spans="2:40" s="7" customFormat="1" ht="12" hidden="1" customHeight="1" outlineLevel="1">
      <c r="B291" s="245"/>
      <c r="C291" s="250" t="s">
        <v>776</v>
      </c>
      <c r="D291" s="250"/>
      <c r="E291" s="213"/>
      <c r="F291" s="213"/>
      <c r="G291" s="213"/>
      <c r="H291" s="213"/>
      <c r="I291" s="213"/>
      <c r="J291" s="213"/>
      <c r="K291" s="213"/>
      <c r="L291" s="213"/>
      <c r="M291" s="213"/>
      <c r="N291" s="213"/>
      <c r="O291" s="213"/>
      <c r="P291" s="213"/>
      <c r="Q291" s="213"/>
      <c r="R291" s="213"/>
      <c r="S291" s="213"/>
      <c r="T291" s="213"/>
      <c r="U291" s="213"/>
      <c r="V291" s="213"/>
      <c r="W291" s="213"/>
      <c r="X291" s="213"/>
      <c r="Y291" s="213"/>
      <c r="Z291" s="213"/>
      <c r="AA291" s="213"/>
      <c r="AB291" s="211">
        <f>INDEX($C$199:$AN$221,MATCH("New Customers 1MS",$C$199:$C$221,0),MATCH($C291,$C$199:$AN$199,0))</f>
        <v>0</v>
      </c>
      <c r="AC291" s="211">
        <f t="shared" ref="AC291:AN291" si="202">$AB$291*(E266)</f>
        <v>0</v>
      </c>
      <c r="AD291" s="211">
        <f t="shared" si="202"/>
        <v>0</v>
      </c>
      <c r="AE291" s="211">
        <f t="shared" si="202"/>
        <v>0</v>
      </c>
      <c r="AF291" s="211">
        <f t="shared" si="202"/>
        <v>0</v>
      </c>
      <c r="AG291" s="211">
        <f t="shared" si="202"/>
        <v>0</v>
      </c>
      <c r="AH291" s="211">
        <f t="shared" si="202"/>
        <v>0</v>
      </c>
      <c r="AI291" s="211">
        <f t="shared" si="202"/>
        <v>0</v>
      </c>
      <c r="AJ291" s="211">
        <f t="shared" si="202"/>
        <v>0</v>
      </c>
      <c r="AK291" s="211">
        <f t="shared" si="202"/>
        <v>0</v>
      </c>
      <c r="AL291" s="211">
        <f t="shared" si="202"/>
        <v>0</v>
      </c>
      <c r="AM291" s="211">
        <f t="shared" si="202"/>
        <v>0</v>
      </c>
      <c r="AN291" s="211">
        <f t="shared" si="202"/>
        <v>0</v>
      </c>
    </row>
    <row r="292" spans="2:40" s="7" customFormat="1" ht="12" hidden="1" customHeight="1" outlineLevel="1">
      <c r="B292" s="245"/>
      <c r="C292" s="250" t="s">
        <v>777</v>
      </c>
      <c r="D292" s="250"/>
      <c r="E292" s="213"/>
      <c r="F292" s="213"/>
      <c r="G292" s="213"/>
      <c r="H292" s="213"/>
      <c r="I292" s="213"/>
      <c r="J292" s="213"/>
      <c r="K292" s="213"/>
      <c r="L292" s="213"/>
      <c r="M292" s="213"/>
      <c r="N292" s="213"/>
      <c r="O292" s="213"/>
      <c r="P292" s="213"/>
      <c r="Q292" s="213"/>
      <c r="R292" s="213"/>
      <c r="S292" s="213"/>
      <c r="T292" s="213"/>
      <c r="U292" s="213"/>
      <c r="V292" s="213"/>
      <c r="W292" s="213"/>
      <c r="X292" s="213"/>
      <c r="Y292" s="213"/>
      <c r="Z292" s="213"/>
      <c r="AA292" s="213"/>
      <c r="AB292" s="211"/>
      <c r="AC292" s="211">
        <f>INDEX($C$199:$AN$221,MATCH("New Customers 1MS",$C$199:$C$221,0),MATCH($C292,$C$199:$AN$199,0))</f>
        <v>0</v>
      </c>
      <c r="AD292" s="211">
        <f t="shared" ref="AD292:AN292" si="203">$AC$292*(E266)</f>
        <v>0</v>
      </c>
      <c r="AE292" s="211">
        <f t="shared" si="203"/>
        <v>0</v>
      </c>
      <c r="AF292" s="211">
        <f t="shared" si="203"/>
        <v>0</v>
      </c>
      <c r="AG292" s="211">
        <f t="shared" si="203"/>
        <v>0</v>
      </c>
      <c r="AH292" s="211">
        <f t="shared" si="203"/>
        <v>0</v>
      </c>
      <c r="AI292" s="211">
        <f t="shared" si="203"/>
        <v>0</v>
      </c>
      <c r="AJ292" s="211">
        <f t="shared" si="203"/>
        <v>0</v>
      </c>
      <c r="AK292" s="211">
        <f t="shared" si="203"/>
        <v>0</v>
      </c>
      <c r="AL292" s="211">
        <f t="shared" si="203"/>
        <v>0</v>
      </c>
      <c r="AM292" s="211">
        <f t="shared" si="203"/>
        <v>0</v>
      </c>
      <c r="AN292" s="211">
        <f t="shared" si="203"/>
        <v>0</v>
      </c>
    </row>
    <row r="293" spans="2:40" s="7" customFormat="1" ht="12" hidden="1" customHeight="1" outlineLevel="1">
      <c r="B293" s="245"/>
      <c r="C293" s="250" t="s">
        <v>778</v>
      </c>
      <c r="D293" s="250"/>
      <c r="E293" s="213"/>
      <c r="F293" s="213"/>
      <c r="G293" s="213"/>
      <c r="H293" s="213"/>
      <c r="I293" s="213"/>
      <c r="J293" s="213"/>
      <c r="K293" s="213"/>
      <c r="L293" s="213"/>
      <c r="M293" s="213"/>
      <c r="N293" s="213"/>
      <c r="O293" s="213"/>
      <c r="P293" s="213"/>
      <c r="Q293" s="213"/>
      <c r="R293" s="213"/>
      <c r="S293" s="213"/>
      <c r="T293" s="213"/>
      <c r="U293" s="213"/>
      <c r="V293" s="213"/>
      <c r="W293" s="213"/>
      <c r="X293" s="213"/>
      <c r="Y293" s="213"/>
      <c r="Z293" s="213"/>
      <c r="AA293" s="213"/>
      <c r="AB293" s="211"/>
      <c r="AC293" s="211"/>
      <c r="AD293" s="211">
        <f>INDEX($C$199:$AN$221,MATCH("New Customers 1MS",$C$199:$C$221,0),MATCH($C293,$C$199:$AN$199,0))</f>
        <v>0</v>
      </c>
      <c r="AE293" s="211">
        <f t="shared" ref="AE293:AN293" si="204">$AD$293*(E266)</f>
        <v>0</v>
      </c>
      <c r="AF293" s="211">
        <f t="shared" si="204"/>
        <v>0</v>
      </c>
      <c r="AG293" s="211">
        <f t="shared" si="204"/>
        <v>0</v>
      </c>
      <c r="AH293" s="211">
        <f t="shared" si="204"/>
        <v>0</v>
      </c>
      <c r="AI293" s="211">
        <f t="shared" si="204"/>
        <v>0</v>
      </c>
      <c r="AJ293" s="211">
        <f t="shared" si="204"/>
        <v>0</v>
      </c>
      <c r="AK293" s="211">
        <f t="shared" si="204"/>
        <v>0</v>
      </c>
      <c r="AL293" s="211">
        <f t="shared" si="204"/>
        <v>0</v>
      </c>
      <c r="AM293" s="211">
        <f t="shared" si="204"/>
        <v>0</v>
      </c>
      <c r="AN293" s="211">
        <f t="shared" si="204"/>
        <v>0</v>
      </c>
    </row>
    <row r="294" spans="2:40" s="7" customFormat="1" ht="12" hidden="1" customHeight="1" outlineLevel="1">
      <c r="B294" s="245"/>
      <c r="C294" s="250" t="s">
        <v>779</v>
      </c>
      <c r="D294" s="250"/>
      <c r="E294" s="213"/>
      <c r="F294" s="213"/>
      <c r="G294" s="213"/>
      <c r="H294" s="213"/>
      <c r="I294" s="213"/>
      <c r="J294" s="213"/>
      <c r="K294" s="213"/>
      <c r="L294" s="213"/>
      <c r="M294" s="213"/>
      <c r="N294" s="213"/>
      <c r="O294" s="213"/>
      <c r="P294" s="213"/>
      <c r="Q294" s="213"/>
      <c r="R294" s="213"/>
      <c r="S294" s="213"/>
      <c r="T294" s="213"/>
      <c r="U294" s="213"/>
      <c r="V294" s="213"/>
      <c r="W294" s="213"/>
      <c r="X294" s="213"/>
      <c r="Y294" s="213"/>
      <c r="Z294" s="213"/>
      <c r="AA294" s="213"/>
      <c r="AB294" s="211"/>
      <c r="AC294" s="211"/>
      <c r="AD294" s="211"/>
      <c r="AE294" s="211">
        <f>INDEX($C$199:$AN$221,MATCH("New Customers 1MS",$C$199:$C$221,0),MATCH($C294,$C$199:$AN$199,0))</f>
        <v>0</v>
      </c>
      <c r="AF294" s="211">
        <f t="shared" ref="AF294:AN294" si="205">$AE$294*(E266)</f>
        <v>0</v>
      </c>
      <c r="AG294" s="211">
        <f t="shared" si="205"/>
        <v>0</v>
      </c>
      <c r="AH294" s="211">
        <f t="shared" si="205"/>
        <v>0</v>
      </c>
      <c r="AI294" s="211">
        <f t="shared" si="205"/>
        <v>0</v>
      </c>
      <c r="AJ294" s="211">
        <f t="shared" si="205"/>
        <v>0</v>
      </c>
      <c r="AK294" s="211">
        <f t="shared" si="205"/>
        <v>0</v>
      </c>
      <c r="AL294" s="211">
        <f t="shared" si="205"/>
        <v>0</v>
      </c>
      <c r="AM294" s="211">
        <f t="shared" si="205"/>
        <v>0</v>
      </c>
      <c r="AN294" s="211">
        <f t="shared" si="205"/>
        <v>0</v>
      </c>
    </row>
    <row r="295" spans="2:40" s="7" customFormat="1" ht="12" hidden="1" customHeight="1" outlineLevel="1">
      <c r="B295" s="245"/>
      <c r="C295" s="250" t="s">
        <v>780</v>
      </c>
      <c r="D295" s="250"/>
      <c r="E295" s="213"/>
      <c r="F295" s="213"/>
      <c r="G295" s="213"/>
      <c r="H295" s="213"/>
      <c r="I295" s="213"/>
      <c r="J295" s="213"/>
      <c r="K295" s="213"/>
      <c r="L295" s="213"/>
      <c r="M295" s="213"/>
      <c r="N295" s="213"/>
      <c r="O295" s="213"/>
      <c r="P295" s="213"/>
      <c r="Q295" s="213"/>
      <c r="R295" s="213"/>
      <c r="S295" s="213"/>
      <c r="T295" s="213"/>
      <c r="U295" s="213"/>
      <c r="V295" s="213"/>
      <c r="W295" s="213"/>
      <c r="X295" s="213"/>
      <c r="Y295" s="213"/>
      <c r="Z295" s="213"/>
      <c r="AA295" s="213"/>
      <c r="AB295" s="211"/>
      <c r="AC295" s="211"/>
      <c r="AD295" s="211"/>
      <c r="AE295" s="211"/>
      <c r="AF295" s="211">
        <f>INDEX($C$199:$AN$221,MATCH("New Customers 1MS",$C$199:$C$221,0),MATCH($C295,$C$199:$AN$199,0))</f>
        <v>0</v>
      </c>
      <c r="AG295" s="211">
        <f t="shared" ref="AG295:AN295" si="206">$AF$295*(E266)</f>
        <v>0</v>
      </c>
      <c r="AH295" s="211">
        <f t="shared" si="206"/>
        <v>0</v>
      </c>
      <c r="AI295" s="211">
        <f t="shared" si="206"/>
        <v>0</v>
      </c>
      <c r="AJ295" s="211">
        <f t="shared" si="206"/>
        <v>0</v>
      </c>
      <c r="AK295" s="211">
        <f t="shared" si="206"/>
        <v>0</v>
      </c>
      <c r="AL295" s="211">
        <f t="shared" si="206"/>
        <v>0</v>
      </c>
      <c r="AM295" s="211">
        <f t="shared" si="206"/>
        <v>0</v>
      </c>
      <c r="AN295" s="211">
        <f t="shared" si="206"/>
        <v>0</v>
      </c>
    </row>
    <row r="296" spans="2:40" s="7" customFormat="1" ht="12" hidden="1" customHeight="1" outlineLevel="1">
      <c r="B296" s="245"/>
      <c r="C296" s="250" t="s">
        <v>781</v>
      </c>
      <c r="D296" s="250"/>
      <c r="E296" s="213"/>
      <c r="F296" s="213"/>
      <c r="G296" s="213"/>
      <c r="H296" s="213"/>
      <c r="I296" s="213"/>
      <c r="J296" s="213"/>
      <c r="K296" s="213"/>
      <c r="L296" s="213"/>
      <c r="M296" s="213"/>
      <c r="N296" s="213"/>
      <c r="O296" s="213"/>
      <c r="P296" s="213"/>
      <c r="Q296" s="213"/>
      <c r="R296" s="213"/>
      <c r="S296" s="213"/>
      <c r="T296" s="213"/>
      <c r="U296" s="213"/>
      <c r="V296" s="213"/>
      <c r="W296" s="213"/>
      <c r="X296" s="213"/>
      <c r="Y296" s="213"/>
      <c r="Z296" s="213"/>
      <c r="AA296" s="213"/>
      <c r="AB296" s="211"/>
      <c r="AC296" s="211"/>
      <c r="AD296" s="211"/>
      <c r="AE296" s="211"/>
      <c r="AF296" s="211"/>
      <c r="AG296" s="211">
        <f>INDEX($C$199:$AN$221,MATCH("New Customers 1MS",$C$199:$C$221,0),MATCH($C296,$C$199:$AN$199,0))</f>
        <v>0</v>
      </c>
      <c r="AH296" s="211">
        <f t="shared" ref="AH296:AN296" si="207">$AG$296*(E266)</f>
        <v>0</v>
      </c>
      <c r="AI296" s="211">
        <f t="shared" si="207"/>
        <v>0</v>
      </c>
      <c r="AJ296" s="211">
        <f t="shared" si="207"/>
        <v>0</v>
      </c>
      <c r="AK296" s="211">
        <f t="shared" si="207"/>
        <v>0</v>
      </c>
      <c r="AL296" s="211">
        <f t="shared" si="207"/>
        <v>0</v>
      </c>
      <c r="AM296" s="211">
        <f t="shared" si="207"/>
        <v>0</v>
      </c>
      <c r="AN296" s="211">
        <f t="shared" si="207"/>
        <v>0</v>
      </c>
    </row>
    <row r="297" spans="2:40" s="7" customFormat="1" ht="12" hidden="1" customHeight="1" outlineLevel="1">
      <c r="B297" s="245"/>
      <c r="C297" s="250" t="s">
        <v>782</v>
      </c>
      <c r="D297" s="250"/>
      <c r="E297" s="213"/>
      <c r="F297" s="213"/>
      <c r="G297" s="213"/>
      <c r="H297" s="213"/>
      <c r="I297" s="213"/>
      <c r="J297" s="213"/>
      <c r="K297" s="213"/>
      <c r="L297" s="213"/>
      <c r="M297" s="213"/>
      <c r="N297" s="213"/>
      <c r="O297" s="213"/>
      <c r="P297" s="213"/>
      <c r="Q297" s="213"/>
      <c r="R297" s="213"/>
      <c r="S297" s="213"/>
      <c r="T297" s="213"/>
      <c r="U297" s="213"/>
      <c r="V297" s="213"/>
      <c r="W297" s="213"/>
      <c r="X297" s="213"/>
      <c r="Y297" s="213"/>
      <c r="Z297" s="213"/>
      <c r="AA297" s="213"/>
      <c r="AB297" s="211"/>
      <c r="AC297" s="211"/>
      <c r="AD297" s="211"/>
      <c r="AE297" s="211"/>
      <c r="AF297" s="211"/>
      <c r="AG297" s="211"/>
      <c r="AH297" s="211">
        <f>INDEX($C$199:$AN$221,MATCH("New Customers 1MS",$C$199:$C$221,0),MATCH($C297,$C$199:$AN$199,0))</f>
        <v>0</v>
      </c>
      <c r="AI297" s="211">
        <f t="shared" ref="AI297:AN297" si="208">$AH$297*(E266)</f>
        <v>0</v>
      </c>
      <c r="AJ297" s="211">
        <f t="shared" si="208"/>
        <v>0</v>
      </c>
      <c r="AK297" s="211">
        <f t="shared" si="208"/>
        <v>0</v>
      </c>
      <c r="AL297" s="211">
        <f t="shared" si="208"/>
        <v>0</v>
      </c>
      <c r="AM297" s="211">
        <f t="shared" si="208"/>
        <v>0</v>
      </c>
      <c r="AN297" s="211">
        <f t="shared" si="208"/>
        <v>0</v>
      </c>
    </row>
    <row r="298" spans="2:40" s="7" customFormat="1" ht="12" hidden="1" customHeight="1" outlineLevel="1">
      <c r="B298" s="245"/>
      <c r="C298" s="250" t="s">
        <v>783</v>
      </c>
      <c r="D298" s="250"/>
      <c r="E298" s="213"/>
      <c r="F298" s="213"/>
      <c r="G298" s="213"/>
      <c r="H298" s="213"/>
      <c r="I298" s="213"/>
      <c r="J298" s="213"/>
      <c r="K298" s="213"/>
      <c r="L298" s="213"/>
      <c r="M298" s="213"/>
      <c r="N298" s="213"/>
      <c r="O298" s="213"/>
      <c r="P298" s="213"/>
      <c r="Q298" s="213"/>
      <c r="R298" s="213"/>
      <c r="S298" s="213"/>
      <c r="T298" s="213"/>
      <c r="U298" s="213"/>
      <c r="V298" s="213"/>
      <c r="W298" s="213"/>
      <c r="X298" s="213"/>
      <c r="Y298" s="213"/>
      <c r="Z298" s="213"/>
      <c r="AA298" s="213"/>
      <c r="AB298" s="211"/>
      <c r="AC298" s="211"/>
      <c r="AD298" s="211"/>
      <c r="AE298" s="211"/>
      <c r="AF298" s="211"/>
      <c r="AG298" s="211"/>
      <c r="AH298" s="211"/>
      <c r="AI298" s="211">
        <f>INDEX($C$199:$AN$221,MATCH("New Customers 1MS",$C$199:$C$221,0),MATCH($C298,$C$199:$AN$199,0))</f>
        <v>0</v>
      </c>
      <c r="AJ298" s="211">
        <f>$AI$298*(E266)</f>
        <v>0</v>
      </c>
      <c r="AK298" s="211">
        <f>$AI$298*(F266)</f>
        <v>0</v>
      </c>
      <c r="AL298" s="211">
        <f>$AI$298*(G266)</f>
        <v>0</v>
      </c>
      <c r="AM298" s="211">
        <f>$AI$298*(H266)</f>
        <v>0</v>
      </c>
      <c r="AN298" s="211">
        <f>$AI$298*(I266)</f>
        <v>0</v>
      </c>
    </row>
    <row r="299" spans="2:40" s="7" customFormat="1" ht="12" hidden="1" customHeight="1" outlineLevel="1">
      <c r="B299" s="245"/>
      <c r="C299" s="250" t="s">
        <v>784</v>
      </c>
      <c r="D299" s="250"/>
      <c r="E299" s="213"/>
      <c r="F299" s="213"/>
      <c r="G299" s="213"/>
      <c r="H299" s="213"/>
      <c r="I299" s="213"/>
      <c r="J299" s="213"/>
      <c r="K299" s="213"/>
      <c r="L299" s="213"/>
      <c r="M299" s="213"/>
      <c r="N299" s="213"/>
      <c r="O299" s="213"/>
      <c r="P299" s="213"/>
      <c r="Q299" s="213"/>
      <c r="R299" s="213"/>
      <c r="S299" s="213"/>
      <c r="T299" s="213"/>
      <c r="U299" s="213"/>
      <c r="V299" s="213"/>
      <c r="W299" s="213"/>
      <c r="X299" s="213"/>
      <c r="Y299" s="213"/>
      <c r="Z299" s="213"/>
      <c r="AA299" s="213"/>
      <c r="AB299" s="211"/>
      <c r="AC299" s="211"/>
      <c r="AD299" s="211"/>
      <c r="AE299" s="211"/>
      <c r="AF299" s="211"/>
      <c r="AG299" s="211"/>
      <c r="AH299" s="211"/>
      <c r="AI299" s="211"/>
      <c r="AJ299" s="211">
        <f>INDEX($C$199:$AN$221,MATCH("New Customers 1MS",$C$199:$C$221,0),MATCH($C299,$C$199:$AN$199,0))</f>
        <v>0</v>
      </c>
      <c r="AK299" s="211">
        <f>$AJ$299*(E266)</f>
        <v>0</v>
      </c>
      <c r="AL299" s="211">
        <f>$AJ$299*(F266)</f>
        <v>0</v>
      </c>
      <c r="AM299" s="211">
        <f>$AJ$299*(G266)</f>
        <v>0</v>
      </c>
      <c r="AN299" s="211">
        <f>$AJ$299*(H266)</f>
        <v>0</v>
      </c>
    </row>
    <row r="300" spans="2:40" s="7" customFormat="1" ht="12" hidden="1" customHeight="1" outlineLevel="1">
      <c r="B300" s="245"/>
      <c r="C300" s="250" t="s">
        <v>785</v>
      </c>
      <c r="D300" s="250"/>
      <c r="E300" s="213"/>
      <c r="F300" s="213"/>
      <c r="G300" s="213"/>
      <c r="H300" s="213"/>
      <c r="I300" s="213"/>
      <c r="J300" s="213"/>
      <c r="K300" s="213"/>
      <c r="L300" s="213"/>
      <c r="M300" s="213"/>
      <c r="N300" s="213"/>
      <c r="O300" s="213"/>
      <c r="P300" s="213"/>
      <c r="Q300" s="213"/>
      <c r="R300" s="213"/>
      <c r="S300" s="213"/>
      <c r="T300" s="213"/>
      <c r="U300" s="213"/>
      <c r="V300" s="213"/>
      <c r="W300" s="213"/>
      <c r="X300" s="213"/>
      <c r="Y300" s="213"/>
      <c r="Z300" s="213"/>
      <c r="AA300" s="213"/>
      <c r="AB300" s="211"/>
      <c r="AC300" s="211"/>
      <c r="AD300" s="211"/>
      <c r="AE300" s="211"/>
      <c r="AF300" s="211"/>
      <c r="AG300" s="211"/>
      <c r="AH300" s="211"/>
      <c r="AI300" s="211"/>
      <c r="AJ300" s="211"/>
      <c r="AK300" s="211">
        <f>INDEX($C$199:$AN$221,MATCH("New Customers 1MS",$C$199:$C$221,0),MATCH($C300,$C$199:$AN$199,0))</f>
        <v>0</v>
      </c>
      <c r="AL300" s="211">
        <f>$AK$300*(E266)</f>
        <v>0</v>
      </c>
      <c r="AM300" s="211">
        <f>$AK$300*(F266)</f>
        <v>0</v>
      </c>
      <c r="AN300" s="211">
        <f>$AK$300*(G266)</f>
        <v>0</v>
      </c>
    </row>
    <row r="301" spans="2:40" s="7" customFormat="1" ht="12" hidden="1" customHeight="1" outlineLevel="1">
      <c r="B301" s="245"/>
      <c r="C301" s="250" t="s">
        <v>786</v>
      </c>
      <c r="D301" s="250"/>
      <c r="E301" s="213"/>
      <c r="F301" s="213"/>
      <c r="G301" s="213"/>
      <c r="H301" s="213"/>
      <c r="I301" s="213"/>
      <c r="J301" s="213"/>
      <c r="K301" s="213"/>
      <c r="L301" s="213"/>
      <c r="M301" s="213"/>
      <c r="N301" s="213"/>
      <c r="O301" s="213"/>
      <c r="P301" s="213"/>
      <c r="Q301" s="213"/>
      <c r="R301" s="213"/>
      <c r="S301" s="213"/>
      <c r="T301" s="213"/>
      <c r="U301" s="213"/>
      <c r="V301" s="213"/>
      <c r="W301" s="213"/>
      <c r="X301" s="213"/>
      <c r="Y301" s="213"/>
      <c r="Z301" s="213"/>
      <c r="AA301" s="213"/>
      <c r="AB301" s="211"/>
      <c r="AC301" s="211"/>
      <c r="AD301" s="211"/>
      <c r="AE301" s="211"/>
      <c r="AF301" s="211"/>
      <c r="AG301" s="211"/>
      <c r="AH301" s="211"/>
      <c r="AI301" s="211"/>
      <c r="AJ301" s="211"/>
      <c r="AK301" s="211"/>
      <c r="AL301" s="211">
        <f>INDEX($C$199:$AN$221,MATCH("New Customers 1MS",$C$199:$C$221,0),MATCH($C301,$C$199:$AN$199,0))</f>
        <v>0</v>
      </c>
      <c r="AM301" s="211">
        <f>$AL$301*(E266)</f>
        <v>0</v>
      </c>
      <c r="AN301" s="211">
        <f>$AL$301*(F266)</f>
        <v>0</v>
      </c>
    </row>
    <row r="302" spans="2:40" s="7" customFormat="1" ht="12" hidden="1" customHeight="1" outlineLevel="1">
      <c r="B302" s="245"/>
      <c r="C302" s="250" t="s">
        <v>787</v>
      </c>
      <c r="D302" s="250"/>
      <c r="E302" s="213"/>
      <c r="F302" s="213"/>
      <c r="G302" s="213"/>
      <c r="H302" s="213"/>
      <c r="I302" s="213"/>
      <c r="J302" s="213"/>
      <c r="K302" s="213"/>
      <c r="L302" s="213"/>
      <c r="M302" s="213"/>
      <c r="N302" s="213"/>
      <c r="O302" s="213"/>
      <c r="P302" s="213"/>
      <c r="Q302" s="213"/>
      <c r="R302" s="213"/>
      <c r="S302" s="213"/>
      <c r="T302" s="213"/>
      <c r="U302" s="213"/>
      <c r="V302" s="213"/>
      <c r="W302" s="213"/>
      <c r="X302" s="213"/>
      <c r="Y302" s="213"/>
      <c r="Z302" s="213"/>
      <c r="AA302" s="213"/>
      <c r="AB302" s="211"/>
      <c r="AC302" s="211"/>
      <c r="AD302" s="211"/>
      <c r="AE302" s="211"/>
      <c r="AF302" s="211"/>
      <c r="AG302" s="211"/>
      <c r="AH302" s="211"/>
      <c r="AI302" s="211"/>
      <c r="AJ302" s="211"/>
      <c r="AK302" s="211"/>
      <c r="AL302" s="211"/>
      <c r="AM302" s="211">
        <f>INDEX($C$199:$AN$221,MATCH("New Customers 1MS",$C$199:$C$221,0),MATCH($C302,$C$199:$AN$199,0))</f>
        <v>0</v>
      </c>
      <c r="AN302" s="211">
        <f>$AM$302*(E266)</f>
        <v>0</v>
      </c>
    </row>
    <row r="303" spans="2:40" s="7" customFormat="1" ht="12" hidden="1" customHeight="1" outlineLevel="1">
      <c r="B303" s="245"/>
      <c r="C303" s="250" t="s">
        <v>788</v>
      </c>
      <c r="D303" s="250"/>
      <c r="E303" s="213"/>
      <c r="F303" s="213"/>
      <c r="G303" s="213"/>
      <c r="H303" s="213"/>
      <c r="I303" s="213"/>
      <c r="J303" s="213"/>
      <c r="K303" s="213"/>
      <c r="L303" s="213"/>
      <c r="M303" s="213"/>
      <c r="N303" s="213"/>
      <c r="O303" s="213"/>
      <c r="P303" s="213"/>
      <c r="Q303" s="213"/>
      <c r="R303" s="213"/>
      <c r="S303" s="213"/>
      <c r="T303" s="213"/>
      <c r="U303" s="213"/>
      <c r="V303" s="213"/>
      <c r="W303" s="213"/>
      <c r="X303" s="213"/>
      <c r="Y303" s="213"/>
      <c r="Z303" s="213"/>
      <c r="AA303" s="213"/>
      <c r="AB303" s="211"/>
      <c r="AC303" s="211"/>
      <c r="AD303" s="211"/>
      <c r="AE303" s="211"/>
      <c r="AF303" s="211"/>
      <c r="AG303" s="211"/>
      <c r="AH303" s="211"/>
      <c r="AI303" s="211"/>
      <c r="AJ303" s="211"/>
      <c r="AK303" s="211"/>
      <c r="AL303" s="211"/>
      <c r="AM303" s="211"/>
      <c r="AN303" s="211">
        <f>INDEX($C$199:$AN$221,MATCH("New Customers 1MS",$C$199:$C$221,0),MATCH($C303,$C$199:$AN$199,0))</f>
        <v>0</v>
      </c>
    </row>
    <row r="304" spans="2:40" s="7" customFormat="1" ht="12" hidden="1" customHeight="1" outlineLevel="1">
      <c r="B304" s="245"/>
      <c r="C304" s="250"/>
      <c r="D304" s="250"/>
      <c r="E304" s="213"/>
      <c r="F304" s="213"/>
      <c r="G304" s="213"/>
      <c r="H304" s="213"/>
      <c r="I304" s="213"/>
      <c r="J304" s="213"/>
      <c r="K304" s="213"/>
      <c r="L304" s="213"/>
      <c r="M304" s="213"/>
      <c r="N304" s="213"/>
      <c r="O304" s="213"/>
      <c r="P304" s="213"/>
      <c r="Q304" s="213"/>
      <c r="R304" s="213"/>
      <c r="S304" s="213"/>
      <c r="T304" s="213"/>
      <c r="U304" s="213"/>
      <c r="V304" s="213"/>
      <c r="W304" s="213"/>
      <c r="X304" s="213"/>
      <c r="Y304" s="213"/>
      <c r="Z304" s="213"/>
      <c r="AA304" s="213"/>
      <c r="AB304" s="211"/>
      <c r="AC304" s="211"/>
      <c r="AD304" s="211"/>
      <c r="AE304" s="211"/>
      <c r="AF304" s="211"/>
      <c r="AG304" s="211"/>
      <c r="AH304" s="211"/>
      <c r="AI304" s="211"/>
      <c r="AJ304" s="211"/>
      <c r="AK304" s="211"/>
      <c r="AL304" s="211"/>
      <c r="AM304" s="211"/>
      <c r="AN304" s="211"/>
    </row>
    <row r="305" spans="2:40 16380:16380" s="7" customFormat="1" ht="12" hidden="1" customHeight="1" outlineLevel="1">
      <c r="B305" s="245"/>
      <c r="C305" s="249" t="s">
        <v>854</v>
      </c>
      <c r="D305" s="250"/>
      <c r="E305" s="213"/>
      <c r="F305" s="213"/>
      <c r="G305" s="213"/>
      <c r="H305" s="213"/>
      <c r="I305" s="213"/>
      <c r="J305" s="213"/>
      <c r="K305" s="213"/>
      <c r="L305" s="213"/>
      <c r="M305" s="213"/>
      <c r="N305" s="213"/>
      <c r="O305" s="213"/>
      <c r="P305" s="213"/>
      <c r="Q305" s="213"/>
      <c r="R305" s="213"/>
      <c r="S305" s="213"/>
      <c r="T305" s="213"/>
      <c r="U305" s="213"/>
      <c r="V305" s="213"/>
      <c r="W305" s="213"/>
      <c r="X305" s="213"/>
      <c r="Y305" s="213"/>
      <c r="Z305" s="213"/>
      <c r="AA305" s="213"/>
      <c r="AB305" s="213"/>
      <c r="AC305" s="211"/>
    </row>
    <row r="306" spans="2:40 16380:16380" s="7" customFormat="1" ht="12" hidden="1" customHeight="1" outlineLevel="2">
      <c r="B306" s="239"/>
      <c r="C306" s="212" t="s">
        <v>850</v>
      </c>
      <c r="D306" s="212"/>
      <c r="E306" s="196" t="s">
        <v>753</v>
      </c>
      <c r="F306" s="196" t="s">
        <v>754</v>
      </c>
      <c r="G306" s="196" t="s">
        <v>755</v>
      </c>
      <c r="H306" s="196" t="s">
        <v>756</v>
      </c>
      <c r="I306" s="196" t="s">
        <v>757</v>
      </c>
      <c r="J306" s="196" t="s">
        <v>758</v>
      </c>
      <c r="K306" s="196" t="s">
        <v>759</v>
      </c>
      <c r="L306" s="196" t="s">
        <v>760</v>
      </c>
      <c r="M306" s="196" t="s">
        <v>761</v>
      </c>
      <c r="N306" s="196" t="s">
        <v>762</v>
      </c>
      <c r="O306" s="196" t="s">
        <v>763</v>
      </c>
      <c r="P306" s="196" t="s">
        <v>764</v>
      </c>
      <c r="Q306" s="196" t="s">
        <v>765</v>
      </c>
      <c r="R306" s="196" t="s">
        <v>766</v>
      </c>
      <c r="S306" s="196" t="s">
        <v>767</v>
      </c>
      <c r="T306" s="196" t="s">
        <v>768</v>
      </c>
      <c r="U306" s="196" t="s">
        <v>769</v>
      </c>
      <c r="V306" s="196" t="s">
        <v>770</v>
      </c>
      <c r="W306" s="196" t="s">
        <v>771</v>
      </c>
      <c r="X306" s="196" t="s">
        <v>772</v>
      </c>
      <c r="Y306" s="196" t="s">
        <v>773</v>
      </c>
      <c r="Z306" s="196" t="s">
        <v>774</v>
      </c>
      <c r="AA306" s="196" t="s">
        <v>775</v>
      </c>
      <c r="AB306" s="196" t="s">
        <v>776</v>
      </c>
      <c r="AC306" s="196" t="s">
        <v>777</v>
      </c>
      <c r="AD306" s="196" t="s">
        <v>778</v>
      </c>
      <c r="AE306" s="196" t="s">
        <v>779</v>
      </c>
      <c r="AF306" s="196" t="s">
        <v>780</v>
      </c>
      <c r="AG306" s="196" t="s">
        <v>781</v>
      </c>
      <c r="AH306" s="196" t="s">
        <v>782</v>
      </c>
      <c r="AI306" s="196" t="s">
        <v>783</v>
      </c>
      <c r="AJ306" s="196" t="s">
        <v>784</v>
      </c>
      <c r="AK306" s="196" t="s">
        <v>785</v>
      </c>
      <c r="AL306" s="196" t="s">
        <v>786</v>
      </c>
      <c r="AM306" s="196" t="s">
        <v>787</v>
      </c>
      <c r="AN306" s="196" t="s">
        <v>788</v>
      </c>
    </row>
    <row r="307" spans="2:40 16380:16380" s="7" customFormat="1" ht="12" hidden="1" customHeight="1" outlineLevel="3">
      <c r="B307" s="239"/>
      <c r="C307" s="247" t="s">
        <v>851</v>
      </c>
      <c r="D307" s="212"/>
      <c r="E307" s="345">
        <v>0.86</v>
      </c>
      <c r="F307" s="342"/>
      <c r="G307" s="342"/>
      <c r="H307" s="345">
        <v>0.42</v>
      </c>
      <c r="I307" s="342"/>
      <c r="J307" s="342"/>
      <c r="K307" s="345">
        <v>0.26</v>
      </c>
      <c r="L307" s="342"/>
      <c r="M307" s="342"/>
      <c r="N307" s="345">
        <v>0.16</v>
      </c>
      <c r="O307" s="342"/>
      <c r="P307" s="342"/>
      <c r="Q307" s="345">
        <v>0.1</v>
      </c>
      <c r="R307" s="342"/>
      <c r="S307" s="342"/>
      <c r="T307" s="345">
        <v>0.06</v>
      </c>
      <c r="U307" s="342"/>
      <c r="V307" s="342"/>
      <c r="W307" s="345">
        <v>0.03</v>
      </c>
      <c r="X307" s="342"/>
      <c r="Y307" s="342"/>
      <c r="Z307" s="345">
        <v>0.01</v>
      </c>
      <c r="AA307" s="342"/>
      <c r="AB307" s="342"/>
      <c r="AC307" s="345">
        <v>0.01</v>
      </c>
      <c r="AD307" s="342"/>
      <c r="AE307" s="342"/>
      <c r="AF307" s="345">
        <v>0.01</v>
      </c>
      <c r="AG307" s="342"/>
      <c r="AH307" s="342"/>
      <c r="AI307" s="345">
        <v>0.01</v>
      </c>
      <c r="AJ307" s="342"/>
      <c r="AK307" s="342"/>
      <c r="AL307" s="345">
        <v>0.01</v>
      </c>
      <c r="AM307" s="342"/>
      <c r="AN307" s="342"/>
    </row>
    <row r="308" spans="2:40 16380:16380" s="7" customFormat="1" ht="12" hidden="1" customHeight="1" outlineLevel="2">
      <c r="B308" s="245"/>
      <c r="C308" s="250" t="s">
        <v>753</v>
      </c>
      <c r="D308" s="250"/>
      <c r="E308" s="211">
        <f>INDEX($C$199:$AN$221, MATCH("New Customers 3MS", $C$199:$C$221, 0), MATCH($C308, $C$199:$AN$199, 0))</f>
        <v>0</v>
      </c>
      <c r="F308" s="211"/>
      <c r="G308" s="211"/>
      <c r="H308" s="211">
        <f>E308*(1-E307)</f>
        <v>0</v>
      </c>
      <c r="I308" s="211"/>
      <c r="J308" s="211"/>
      <c r="K308" s="211">
        <f>E308*(1-H307)</f>
        <v>0</v>
      </c>
      <c r="L308" s="211"/>
      <c r="M308" s="211"/>
      <c r="N308" s="211">
        <f>E308*(1-K307)</f>
        <v>0</v>
      </c>
      <c r="O308" s="211"/>
      <c r="P308" s="211"/>
      <c r="Q308" s="211">
        <f>E308*(1-N307)</f>
        <v>0</v>
      </c>
      <c r="R308" s="211"/>
      <c r="S308" s="211"/>
      <c r="T308" s="211">
        <f>E308*(1-Q307)</f>
        <v>0</v>
      </c>
      <c r="U308" s="211"/>
      <c r="V308" s="211"/>
      <c r="W308" s="211">
        <f>E308*(1-T307)</f>
        <v>0</v>
      </c>
      <c r="X308" s="211"/>
      <c r="Y308" s="211"/>
      <c r="Z308" s="211">
        <f>E308*(1-W307)</f>
        <v>0</v>
      </c>
      <c r="AA308" s="211"/>
      <c r="AB308" s="211"/>
      <c r="AC308" s="211">
        <f>E308*(1-Z307)</f>
        <v>0</v>
      </c>
      <c r="AD308" s="211"/>
      <c r="AE308" s="211"/>
      <c r="AF308" s="211">
        <f>E308*(1-AC307)</f>
        <v>0</v>
      </c>
      <c r="AG308" s="211"/>
      <c r="AH308" s="211"/>
      <c r="AI308" s="211">
        <f>E308*(1-AF307)</f>
        <v>0</v>
      </c>
      <c r="AJ308" s="211"/>
      <c r="AK308" s="211"/>
      <c r="AL308" s="211">
        <f>E308*(1-AI307)</f>
        <v>0</v>
      </c>
      <c r="AM308" s="211"/>
      <c r="AN308" s="211"/>
    </row>
    <row r="309" spans="2:40 16380:16380" s="7" customFormat="1" ht="12" hidden="1" customHeight="1" outlineLevel="2">
      <c r="B309" s="245"/>
      <c r="C309" s="250" t="s">
        <v>754</v>
      </c>
      <c r="D309" s="250"/>
      <c r="E309" s="213"/>
      <c r="F309" s="211">
        <f>INDEX($C$199:$AN$221, MATCH("New Customers 3MS", $C$199:$C$221, 0), MATCH($C309, $C$199:$AN$199, 0))</f>
        <v>0</v>
      </c>
      <c r="G309" s="211"/>
      <c r="H309" s="211"/>
      <c r="I309" s="211">
        <f>F309*(E307)</f>
        <v>0</v>
      </c>
      <c r="J309" s="211"/>
      <c r="K309" s="211"/>
      <c r="L309" s="211">
        <f>F309*(H307)</f>
        <v>0</v>
      </c>
      <c r="M309" s="211"/>
      <c r="N309" s="211"/>
      <c r="O309" s="211">
        <f>F309*(K307)</f>
        <v>0</v>
      </c>
      <c r="P309" s="211"/>
      <c r="Q309" s="211"/>
      <c r="R309" s="211">
        <f>F309*(N307)</f>
        <v>0</v>
      </c>
      <c r="S309" s="211"/>
      <c r="T309" s="211"/>
      <c r="U309" s="211">
        <f>F309*(Q307)</f>
        <v>0</v>
      </c>
      <c r="V309" s="211"/>
      <c r="W309" s="211"/>
      <c r="X309" s="211">
        <f>F309*(T307)</f>
        <v>0</v>
      </c>
      <c r="Y309" s="211"/>
      <c r="Z309" s="211"/>
      <c r="AA309" s="211">
        <f>F309*(W307)</f>
        <v>0</v>
      </c>
      <c r="AB309" s="211"/>
      <c r="AC309" s="211"/>
      <c r="AD309" s="211">
        <f>F309*(Z307)</f>
        <v>0</v>
      </c>
      <c r="AE309" s="211"/>
      <c r="AF309" s="211"/>
      <c r="AG309" s="211">
        <f>F309*(AC307)</f>
        <v>0</v>
      </c>
      <c r="AH309" s="211"/>
      <c r="AI309" s="211"/>
      <c r="AJ309" s="211">
        <f>F309*(AF307)</f>
        <v>0</v>
      </c>
      <c r="AK309" s="211"/>
      <c r="AL309" s="211"/>
      <c r="AM309" s="211">
        <f>F309*(AI307)</f>
        <v>0</v>
      </c>
      <c r="AN309" s="211"/>
      <c r="XEZ309" s="211"/>
    </row>
    <row r="310" spans="2:40 16380:16380" s="7" customFormat="1" ht="12" hidden="1" customHeight="1" outlineLevel="2">
      <c r="B310" s="245"/>
      <c r="C310" s="250" t="s">
        <v>755</v>
      </c>
      <c r="D310" s="250"/>
      <c r="E310" s="213"/>
      <c r="F310" s="213"/>
      <c r="G310" s="211">
        <f>INDEX($C$199:$AN$221, MATCH("New Customers 3MS", $C$199:$C$221, 0), MATCH($C310, $C$199:$AN$199, 0))</f>
        <v>0</v>
      </c>
      <c r="H310" s="211"/>
      <c r="I310" s="211"/>
      <c r="J310" s="211">
        <f>G310*(E307)</f>
        <v>0</v>
      </c>
      <c r="K310" s="211"/>
      <c r="L310" s="211"/>
      <c r="M310" s="211">
        <f>G310*(H307)</f>
        <v>0</v>
      </c>
      <c r="N310" s="211"/>
      <c r="O310" s="211"/>
      <c r="P310" s="211">
        <f>G310*(K307)</f>
        <v>0</v>
      </c>
      <c r="Q310" s="211"/>
      <c r="R310" s="211"/>
      <c r="S310" s="211">
        <f>G310*(N307)</f>
        <v>0</v>
      </c>
      <c r="T310" s="211"/>
      <c r="U310" s="211"/>
      <c r="V310" s="211">
        <f>G310*(Q307)</f>
        <v>0</v>
      </c>
      <c r="W310" s="211"/>
      <c r="X310" s="211"/>
      <c r="Y310" s="211">
        <f>G310*(T307)</f>
        <v>0</v>
      </c>
      <c r="Z310" s="211"/>
      <c r="AA310" s="211"/>
      <c r="AB310" s="211">
        <f>G310*(W307)</f>
        <v>0</v>
      </c>
      <c r="AC310" s="211"/>
      <c r="AD310" s="211"/>
      <c r="AE310" s="211">
        <f>G310*(Z307)</f>
        <v>0</v>
      </c>
      <c r="AF310" s="211"/>
      <c r="AG310" s="211"/>
      <c r="AH310" s="211">
        <f>G310*(AC307)</f>
        <v>0</v>
      </c>
      <c r="AI310" s="211"/>
      <c r="AJ310" s="211"/>
      <c r="AK310" s="211">
        <f>G310*(AF307)</f>
        <v>0</v>
      </c>
      <c r="AL310" s="211"/>
      <c r="AM310" s="211"/>
      <c r="AN310" s="211">
        <f>G310*(AI307)</f>
        <v>0</v>
      </c>
    </row>
    <row r="311" spans="2:40 16380:16380" s="7" customFormat="1" ht="12" hidden="1" customHeight="1" outlineLevel="2">
      <c r="B311" s="245"/>
      <c r="C311" s="250" t="s">
        <v>756</v>
      </c>
      <c r="D311" s="250"/>
      <c r="E311" s="213"/>
      <c r="F311" s="213"/>
      <c r="G311" s="213"/>
      <c r="H311" s="211">
        <f>INDEX($C$199:$AN$221, MATCH("New Customers 3MS", $C$199:$C$221, 0), MATCH($C311, $C$199:$AN$199, 0))</f>
        <v>0</v>
      </c>
      <c r="I311" s="211"/>
      <c r="J311" s="211"/>
      <c r="K311" s="211">
        <f>H311*(E307)</f>
        <v>0</v>
      </c>
      <c r="L311" s="211"/>
      <c r="M311" s="211"/>
      <c r="N311" s="211">
        <f>H311*(H307)</f>
        <v>0</v>
      </c>
      <c r="O311" s="211"/>
      <c r="P311" s="211"/>
      <c r="Q311" s="211">
        <f>H311*(K307)</f>
        <v>0</v>
      </c>
      <c r="R311" s="211"/>
      <c r="S311" s="211"/>
      <c r="T311" s="211">
        <f>H311*(N307)</f>
        <v>0</v>
      </c>
      <c r="U311" s="211"/>
      <c r="V311" s="211"/>
      <c r="W311" s="211">
        <f>H311*(Q307)</f>
        <v>0</v>
      </c>
      <c r="X311" s="211"/>
      <c r="Y311" s="211"/>
      <c r="Z311" s="211">
        <f>H311*(T307)</f>
        <v>0</v>
      </c>
      <c r="AA311" s="211"/>
      <c r="AB311" s="211"/>
      <c r="AC311" s="211">
        <f>H311*(W307)</f>
        <v>0</v>
      </c>
      <c r="AD311" s="211"/>
      <c r="AE311" s="211"/>
      <c r="AF311" s="211">
        <f>H311*(Z307)</f>
        <v>0</v>
      </c>
      <c r="AG311" s="211"/>
      <c r="AH311" s="211"/>
      <c r="AI311" s="211">
        <f>H311*(AC307)</f>
        <v>0</v>
      </c>
      <c r="AJ311" s="211"/>
      <c r="AK311" s="211"/>
      <c r="AL311" s="211">
        <f>H311*(AF307)</f>
        <v>0</v>
      </c>
      <c r="AM311" s="211"/>
      <c r="AN311" s="211"/>
    </row>
    <row r="312" spans="2:40 16380:16380" s="7" customFormat="1" ht="12" hidden="1" customHeight="1" outlineLevel="2">
      <c r="B312" s="245"/>
      <c r="C312" s="250" t="s">
        <v>757</v>
      </c>
      <c r="D312" s="250"/>
      <c r="E312" s="213"/>
      <c r="F312" s="213"/>
      <c r="G312" s="213"/>
      <c r="H312" s="213"/>
      <c r="I312" s="211">
        <f>INDEX($C$199:$AN$221, MATCH("New Customers 3MS", $C$199:$C$221, 0), MATCH($C312, $C$199:$AN$199, 0))</f>
        <v>0</v>
      </c>
      <c r="J312" s="211"/>
      <c r="K312" s="211"/>
      <c r="L312" s="211">
        <f>I312*(E307)</f>
        <v>0</v>
      </c>
      <c r="M312" s="211"/>
      <c r="N312" s="211"/>
      <c r="O312" s="211">
        <f>I312*(H307)</f>
        <v>0</v>
      </c>
      <c r="P312" s="211"/>
      <c r="Q312" s="211"/>
      <c r="R312" s="211">
        <f>I312*(K307)</f>
        <v>0</v>
      </c>
      <c r="S312" s="211"/>
      <c r="T312" s="211"/>
      <c r="U312" s="211">
        <f>I312*(N307)</f>
        <v>0</v>
      </c>
      <c r="V312" s="211"/>
      <c r="W312" s="211"/>
      <c r="X312" s="211">
        <f>I312*(Q307)</f>
        <v>0</v>
      </c>
      <c r="Y312" s="211"/>
      <c r="Z312" s="211"/>
      <c r="AA312" s="211">
        <f>I312*(T307)</f>
        <v>0</v>
      </c>
      <c r="AB312" s="211"/>
      <c r="AC312" s="211"/>
      <c r="AD312" s="211">
        <f>I312*(W307)</f>
        <v>0</v>
      </c>
      <c r="AE312" s="211"/>
      <c r="AF312" s="211"/>
      <c r="AG312" s="211">
        <f>I312*(Z307)</f>
        <v>0</v>
      </c>
      <c r="AH312" s="211"/>
      <c r="AI312" s="211"/>
      <c r="AJ312" s="211">
        <f>I312*(AC307)</f>
        <v>0</v>
      </c>
      <c r="AK312" s="211"/>
      <c r="AL312" s="211"/>
      <c r="AM312" s="211">
        <f>I312*(AF307)</f>
        <v>0</v>
      </c>
      <c r="AN312" s="211"/>
    </row>
    <row r="313" spans="2:40 16380:16380" s="7" customFormat="1" ht="12" hidden="1" customHeight="1" outlineLevel="2">
      <c r="B313" s="245"/>
      <c r="C313" s="250" t="s">
        <v>758</v>
      </c>
      <c r="D313" s="250"/>
      <c r="E313" s="213"/>
      <c r="F313" s="213"/>
      <c r="G313" s="213"/>
      <c r="H313" s="213"/>
      <c r="I313" s="213"/>
      <c r="J313" s="211">
        <f>INDEX($C$199:$AN$221, MATCH("New Customers 3MS", $C$199:$C$221, 0), MATCH($C313, $C$199:$AN$199, 0))</f>
        <v>0</v>
      </c>
      <c r="K313" s="211"/>
      <c r="L313" s="211"/>
      <c r="M313" s="211">
        <f>J313*(E307)</f>
        <v>0</v>
      </c>
      <c r="N313" s="211"/>
      <c r="O313" s="211"/>
      <c r="P313" s="211">
        <f>J313*(H307)</f>
        <v>0</v>
      </c>
      <c r="Q313" s="211"/>
      <c r="R313" s="211"/>
      <c r="S313" s="211">
        <f>J313*(K307)</f>
        <v>0</v>
      </c>
      <c r="T313" s="211"/>
      <c r="U313" s="211"/>
      <c r="V313" s="211">
        <f>J313*(N307)</f>
        <v>0</v>
      </c>
      <c r="W313" s="211"/>
      <c r="X313" s="211"/>
      <c r="Y313" s="211">
        <f>J313*(Q307)</f>
        <v>0</v>
      </c>
      <c r="Z313" s="211"/>
      <c r="AA313" s="211"/>
      <c r="AB313" s="211">
        <f>J313*(T307)</f>
        <v>0</v>
      </c>
      <c r="AC313" s="211"/>
      <c r="AD313" s="211"/>
      <c r="AE313" s="211">
        <f>J313*(W307)</f>
        <v>0</v>
      </c>
      <c r="AF313" s="211"/>
      <c r="AG313" s="211"/>
      <c r="AH313" s="211">
        <f>J313*(Z307)</f>
        <v>0</v>
      </c>
      <c r="AI313" s="211"/>
      <c r="AJ313" s="211"/>
      <c r="AK313" s="211">
        <f>J313*(AC307)</f>
        <v>0</v>
      </c>
      <c r="AL313" s="211"/>
      <c r="AM313" s="211"/>
      <c r="AN313" s="211">
        <f>J313*(AF307)</f>
        <v>0</v>
      </c>
    </row>
    <row r="314" spans="2:40 16380:16380" s="7" customFormat="1" ht="12" hidden="1" customHeight="1" outlineLevel="2">
      <c r="B314" s="245"/>
      <c r="C314" s="250" t="s">
        <v>759</v>
      </c>
      <c r="D314" s="250"/>
      <c r="E314" s="213"/>
      <c r="F314" s="213"/>
      <c r="G314" s="213"/>
      <c r="H314" s="213"/>
      <c r="I314" s="213"/>
      <c r="J314" s="213"/>
      <c r="K314" s="211">
        <f>INDEX($C$199:$AN$221, MATCH("New Customers 3MS", $C$199:$C$221, 0), MATCH($C314, $C$199:$AN$199, 0))</f>
        <v>0</v>
      </c>
      <c r="L314" s="211"/>
      <c r="M314" s="211"/>
      <c r="N314" s="211">
        <f>K314*(E307)</f>
        <v>0</v>
      </c>
      <c r="O314" s="211"/>
      <c r="P314" s="211"/>
      <c r="Q314" s="211">
        <f>K314*(H307)</f>
        <v>0</v>
      </c>
      <c r="R314" s="211"/>
      <c r="S314" s="211"/>
      <c r="T314" s="211">
        <f>K314*(K307)</f>
        <v>0</v>
      </c>
      <c r="U314" s="211"/>
      <c r="V314" s="211"/>
      <c r="W314" s="211">
        <f>K314*(N307)</f>
        <v>0</v>
      </c>
      <c r="X314" s="211"/>
      <c r="Y314" s="211"/>
      <c r="Z314" s="211">
        <f>K314*(Q307)</f>
        <v>0</v>
      </c>
      <c r="AA314" s="211"/>
      <c r="AB314" s="211"/>
      <c r="AC314" s="211">
        <f>K314*(T307)</f>
        <v>0</v>
      </c>
      <c r="AD314" s="211"/>
      <c r="AE314" s="211"/>
      <c r="AF314" s="211">
        <f>K314*(W307)</f>
        <v>0</v>
      </c>
      <c r="AG314" s="211"/>
      <c r="AH314" s="211"/>
      <c r="AI314" s="211">
        <f>K314*(Z307)</f>
        <v>0</v>
      </c>
      <c r="AJ314" s="211"/>
      <c r="AK314" s="211"/>
      <c r="AL314" s="211">
        <f>K314*(AC307)</f>
        <v>0</v>
      </c>
      <c r="AM314" s="211"/>
      <c r="AN314" s="211"/>
      <c r="XEZ314" s="211"/>
    </row>
    <row r="315" spans="2:40 16380:16380" s="7" customFormat="1" ht="12" hidden="1" customHeight="1" outlineLevel="2">
      <c r="B315" s="245"/>
      <c r="C315" s="250" t="s">
        <v>760</v>
      </c>
      <c r="D315" s="250"/>
      <c r="E315" s="213"/>
      <c r="F315" s="213"/>
      <c r="G315" s="213"/>
      <c r="H315" s="213"/>
      <c r="I315" s="213"/>
      <c r="J315" s="213"/>
      <c r="K315" s="213"/>
      <c r="L315" s="211">
        <f>INDEX($C$199:$AN$221, MATCH("New Customers 3MS", $C$199:$C$221, 0), MATCH($C315, $C$199:$AN$199, 0))</f>
        <v>0</v>
      </c>
      <c r="M315" s="211"/>
      <c r="N315" s="211"/>
      <c r="O315" s="211">
        <f>L315*(E307)</f>
        <v>0</v>
      </c>
      <c r="P315" s="211"/>
      <c r="Q315" s="211"/>
      <c r="R315" s="211">
        <f>L315*(H307)</f>
        <v>0</v>
      </c>
      <c r="S315" s="211"/>
      <c r="T315" s="211"/>
      <c r="U315" s="211">
        <f>L315*(K307)</f>
        <v>0</v>
      </c>
      <c r="V315" s="211"/>
      <c r="W315" s="211"/>
      <c r="X315" s="211">
        <f>L315*(N307)</f>
        <v>0</v>
      </c>
      <c r="Y315" s="211"/>
      <c r="Z315" s="211"/>
      <c r="AA315" s="211">
        <f>L315*(Q307)</f>
        <v>0</v>
      </c>
      <c r="AB315" s="211"/>
      <c r="AC315" s="211"/>
      <c r="AD315" s="211">
        <f>L315*(T307)</f>
        <v>0</v>
      </c>
      <c r="AE315" s="211"/>
      <c r="AF315" s="211"/>
      <c r="AG315" s="211">
        <f>L315*(W307)</f>
        <v>0</v>
      </c>
      <c r="AH315" s="211"/>
      <c r="AI315" s="211"/>
      <c r="AJ315" s="211">
        <f>L315*(Z307)</f>
        <v>0</v>
      </c>
      <c r="AK315" s="211"/>
      <c r="AL315" s="211"/>
      <c r="AM315" s="211">
        <f>L315*(AC307)</f>
        <v>0</v>
      </c>
      <c r="AN315" s="211"/>
      <c r="XEZ315" s="211"/>
    </row>
    <row r="316" spans="2:40 16380:16380" s="7" customFormat="1" ht="12" hidden="1" customHeight="1" outlineLevel="2">
      <c r="B316" s="245"/>
      <c r="C316" s="250" t="s">
        <v>761</v>
      </c>
      <c r="D316" s="250"/>
      <c r="E316" s="213"/>
      <c r="F316" s="213"/>
      <c r="G316" s="213"/>
      <c r="H316" s="213"/>
      <c r="I316" s="213"/>
      <c r="J316" s="213"/>
      <c r="K316" s="213"/>
      <c r="L316" s="213"/>
      <c r="M316" s="211">
        <f>INDEX($C$199:$AN$221, MATCH("New Customers 3MS", $C$199:$C$221, 0), MATCH($C316, $C$199:$AN$199, 0))</f>
        <v>0</v>
      </c>
      <c r="N316" s="211"/>
      <c r="O316" s="211"/>
      <c r="P316" s="211">
        <f>M316*(E307)</f>
        <v>0</v>
      </c>
      <c r="Q316" s="211"/>
      <c r="R316" s="211"/>
      <c r="S316" s="211">
        <f>M316*(H307)</f>
        <v>0</v>
      </c>
      <c r="T316" s="211"/>
      <c r="U316" s="211"/>
      <c r="V316" s="211">
        <f>M316*(K307)</f>
        <v>0</v>
      </c>
      <c r="W316" s="211"/>
      <c r="X316" s="211"/>
      <c r="Y316" s="211">
        <f>M316*(N307)</f>
        <v>0</v>
      </c>
      <c r="Z316" s="211"/>
      <c r="AA316" s="211"/>
      <c r="AB316" s="211">
        <f>M316*(Q307)</f>
        <v>0</v>
      </c>
      <c r="AC316" s="211"/>
      <c r="AD316" s="211"/>
      <c r="AE316" s="211">
        <f>M316*(T307)</f>
        <v>0</v>
      </c>
      <c r="AF316" s="211"/>
      <c r="AG316" s="211"/>
      <c r="AH316" s="211">
        <f>M316*(W307)</f>
        <v>0</v>
      </c>
      <c r="AI316" s="211"/>
      <c r="AJ316" s="211"/>
      <c r="AK316" s="211">
        <f>M316*(Z307)</f>
        <v>0</v>
      </c>
      <c r="AL316" s="211"/>
      <c r="AM316" s="211"/>
      <c r="AN316" s="211">
        <f>M316*(AC307)</f>
        <v>0</v>
      </c>
    </row>
    <row r="317" spans="2:40 16380:16380" s="7" customFormat="1" ht="12" hidden="1" customHeight="1" outlineLevel="2">
      <c r="B317" s="245"/>
      <c r="C317" s="250" t="s">
        <v>762</v>
      </c>
      <c r="D317" s="250"/>
      <c r="E317" s="213"/>
      <c r="F317" s="213"/>
      <c r="G317" s="213"/>
      <c r="H317" s="213"/>
      <c r="I317" s="213"/>
      <c r="J317" s="213"/>
      <c r="K317" s="213"/>
      <c r="L317" s="213"/>
      <c r="M317" s="213"/>
      <c r="N317" s="211">
        <f>INDEX($C$199:$AN$221, MATCH("New Customers 3MS", $C$199:$C$221, 0), MATCH($C317, $C$199:$AN$199, 0))</f>
        <v>0</v>
      </c>
      <c r="O317" s="211"/>
      <c r="P317" s="211"/>
      <c r="Q317" s="211">
        <f>N317*(E307)</f>
        <v>0</v>
      </c>
      <c r="R317" s="211"/>
      <c r="S317" s="211"/>
      <c r="T317" s="211">
        <f>N317*(H307)</f>
        <v>0</v>
      </c>
      <c r="U317" s="211"/>
      <c r="V317" s="211"/>
      <c r="W317" s="211">
        <f>N317*(K307)</f>
        <v>0</v>
      </c>
      <c r="X317" s="211"/>
      <c r="Y317" s="211"/>
      <c r="Z317" s="211">
        <f>N317*(N307)</f>
        <v>0</v>
      </c>
      <c r="AA317" s="211"/>
      <c r="AB317" s="211"/>
      <c r="AC317" s="211">
        <f>N317*(Q307)</f>
        <v>0</v>
      </c>
      <c r="AD317" s="211"/>
      <c r="AE317" s="211"/>
      <c r="AF317" s="211">
        <f>N317*(T307)</f>
        <v>0</v>
      </c>
      <c r="AG317" s="211"/>
      <c r="AH317" s="211"/>
      <c r="AI317" s="211">
        <f>N317*(W307)</f>
        <v>0</v>
      </c>
      <c r="AJ317" s="211"/>
      <c r="AK317" s="211"/>
      <c r="AL317" s="211">
        <f>N317*(Z307)</f>
        <v>0</v>
      </c>
      <c r="AM317" s="211"/>
      <c r="AN317" s="211"/>
      <c r="XEZ317" s="211"/>
    </row>
    <row r="318" spans="2:40 16380:16380" s="7" customFormat="1" ht="12" hidden="1" customHeight="1" outlineLevel="2">
      <c r="B318" s="245"/>
      <c r="C318" s="250" t="s">
        <v>763</v>
      </c>
      <c r="D318" s="250"/>
      <c r="E318" s="213"/>
      <c r="F318" s="213"/>
      <c r="G318" s="213"/>
      <c r="H318" s="213"/>
      <c r="I318" s="213"/>
      <c r="J318" s="213"/>
      <c r="K318" s="213"/>
      <c r="L318" s="213"/>
      <c r="M318" s="213"/>
      <c r="N318" s="213"/>
      <c r="O318" s="211">
        <f>INDEX($C$199:$AN$221, MATCH("New Customers 3MS", $C$199:$C$221, 0), MATCH($C318, $C$199:$AN$199, 0))</f>
        <v>0</v>
      </c>
      <c r="P318" s="211"/>
      <c r="Q318" s="211"/>
      <c r="R318" s="211">
        <f>O318*(E307)</f>
        <v>0</v>
      </c>
      <c r="S318" s="211"/>
      <c r="T318" s="211"/>
      <c r="U318" s="211">
        <f>O318*(H307)</f>
        <v>0</v>
      </c>
      <c r="V318" s="211"/>
      <c r="W318" s="211"/>
      <c r="X318" s="211">
        <f>O318*(K307)</f>
        <v>0</v>
      </c>
      <c r="Y318" s="211"/>
      <c r="Z318" s="211"/>
      <c r="AA318" s="211">
        <f>O318*(N307)</f>
        <v>0</v>
      </c>
      <c r="AB318" s="211"/>
      <c r="AC318" s="211"/>
      <c r="AD318" s="211">
        <f>O318*(Q307)</f>
        <v>0</v>
      </c>
      <c r="AE318" s="211"/>
      <c r="AF318" s="211"/>
      <c r="AG318" s="211">
        <f>O318*(T307)</f>
        <v>0</v>
      </c>
      <c r="AH318" s="211"/>
      <c r="AI318" s="211"/>
      <c r="AJ318" s="211">
        <f>O318*(W307)</f>
        <v>0</v>
      </c>
      <c r="AK318" s="211"/>
      <c r="AL318" s="211"/>
      <c r="AM318" s="211">
        <f>O318*(Z307)</f>
        <v>0</v>
      </c>
      <c r="AN318" s="211"/>
    </row>
    <row r="319" spans="2:40 16380:16380" s="7" customFormat="1" ht="12" hidden="1" customHeight="1" outlineLevel="2">
      <c r="B319" s="245"/>
      <c r="C319" s="250" t="s">
        <v>764</v>
      </c>
      <c r="D319" s="250"/>
      <c r="E319" s="213"/>
      <c r="F319" s="213"/>
      <c r="G319" s="213"/>
      <c r="H319" s="213"/>
      <c r="I319" s="213"/>
      <c r="J319" s="213"/>
      <c r="K319" s="213"/>
      <c r="L319" s="213"/>
      <c r="M319" s="213"/>
      <c r="N319" s="213"/>
      <c r="O319" s="213"/>
      <c r="P319" s="211">
        <f>INDEX($C$199:$AN$221, MATCH("New Customers 3MS", $C$199:$C$221, 0), MATCH($C319, $C$199:$AN$199, 0))</f>
        <v>0</v>
      </c>
      <c r="Q319" s="211"/>
      <c r="R319" s="211"/>
      <c r="S319" s="211">
        <f>P319*(E307)</f>
        <v>0</v>
      </c>
      <c r="T319" s="211"/>
      <c r="U319" s="211"/>
      <c r="V319" s="211">
        <f>P319*(H307)</f>
        <v>0</v>
      </c>
      <c r="W319" s="211"/>
      <c r="X319" s="211"/>
      <c r="Y319" s="211">
        <f>P319*(K307)</f>
        <v>0</v>
      </c>
      <c r="Z319" s="211"/>
      <c r="AA319" s="211"/>
      <c r="AB319" s="211">
        <f>P319*(N307)</f>
        <v>0</v>
      </c>
      <c r="AC319" s="211"/>
      <c r="AD319" s="211"/>
      <c r="AE319" s="211">
        <f>P319*(Q307)</f>
        <v>0</v>
      </c>
      <c r="AF319" s="211"/>
      <c r="AG319" s="211"/>
      <c r="AH319" s="211">
        <f>P319*(T307)</f>
        <v>0</v>
      </c>
      <c r="AI319" s="211"/>
      <c r="AJ319" s="211"/>
      <c r="AK319" s="211">
        <f>P319*(W307)</f>
        <v>0</v>
      </c>
      <c r="AL319" s="211"/>
      <c r="AM319" s="211"/>
      <c r="AN319" s="211">
        <f>P319*(Z307)</f>
        <v>0</v>
      </c>
    </row>
    <row r="320" spans="2:40 16380:16380" s="7" customFormat="1" ht="12" hidden="1" customHeight="1" outlineLevel="2">
      <c r="B320" s="245"/>
      <c r="C320" s="250" t="s">
        <v>765</v>
      </c>
      <c r="D320" s="250"/>
      <c r="E320" s="213"/>
      <c r="F320" s="213"/>
      <c r="G320" s="213"/>
      <c r="H320" s="213"/>
      <c r="I320" s="213"/>
      <c r="J320" s="213"/>
      <c r="K320" s="213"/>
      <c r="L320" s="213"/>
      <c r="M320" s="213"/>
      <c r="N320" s="213"/>
      <c r="O320" s="213"/>
      <c r="P320" s="213"/>
      <c r="Q320" s="211">
        <f>INDEX($C$199:$AN$221, MATCH("New Customers 3MS", $C$199:$C$221, 0), MATCH($C320, $C$199:$AN$199, 0))</f>
        <v>0</v>
      </c>
      <c r="R320" s="211"/>
      <c r="S320" s="211"/>
      <c r="T320" s="211">
        <f>Q320*(E307)</f>
        <v>0</v>
      </c>
      <c r="U320" s="211"/>
      <c r="V320" s="211"/>
      <c r="W320" s="211">
        <f>Q320*(H307)</f>
        <v>0</v>
      </c>
      <c r="X320" s="211"/>
      <c r="Y320" s="211"/>
      <c r="Z320" s="211">
        <f>Q320*(K307)</f>
        <v>0</v>
      </c>
      <c r="AA320" s="211"/>
      <c r="AB320" s="211"/>
      <c r="AC320" s="211">
        <f>Q320*(N307)</f>
        <v>0</v>
      </c>
      <c r="AD320" s="211"/>
      <c r="AE320" s="211"/>
      <c r="AF320" s="211">
        <f>Q320*(Q307)</f>
        <v>0</v>
      </c>
      <c r="AG320" s="211"/>
      <c r="AH320" s="211"/>
      <c r="AI320" s="211">
        <f>Q320*(T307)</f>
        <v>0</v>
      </c>
      <c r="AJ320" s="211"/>
      <c r="AK320" s="211"/>
      <c r="AL320" s="211">
        <f>Q320*(W307)</f>
        <v>0</v>
      </c>
      <c r="AM320" s="211"/>
      <c r="AN320" s="211"/>
    </row>
    <row r="321" spans="2:40 16380:16380" s="7" customFormat="1" ht="12" hidden="1" customHeight="1" outlineLevel="2">
      <c r="B321" s="245"/>
      <c r="C321" s="250" t="s">
        <v>766</v>
      </c>
      <c r="D321" s="250"/>
      <c r="E321" s="213"/>
      <c r="F321" s="213"/>
      <c r="G321" s="213"/>
      <c r="H321" s="213"/>
      <c r="I321" s="213"/>
      <c r="J321" s="213"/>
      <c r="K321" s="213"/>
      <c r="L321" s="213"/>
      <c r="M321" s="213"/>
      <c r="N321" s="213"/>
      <c r="O321" s="213"/>
      <c r="P321" s="213"/>
      <c r="Q321" s="213"/>
      <c r="R321" s="211">
        <f>INDEX($C$199:$AN$221, MATCH("New Customers 3MS", $C$199:$C$221, 0), MATCH($C321, $C$199:$AN$199, 0))</f>
        <v>0</v>
      </c>
      <c r="S321" s="211"/>
      <c r="T321" s="211"/>
      <c r="U321" s="211">
        <f>R321*(E307)</f>
        <v>0</v>
      </c>
      <c r="V321" s="211"/>
      <c r="W321" s="211"/>
      <c r="X321" s="211">
        <f>R321*(H307)</f>
        <v>0</v>
      </c>
      <c r="Y321" s="211"/>
      <c r="Z321" s="211"/>
      <c r="AA321" s="211">
        <f>R321*(K307)</f>
        <v>0</v>
      </c>
      <c r="AB321" s="211"/>
      <c r="AC321" s="211"/>
      <c r="AD321" s="211">
        <f>R321*(N307)</f>
        <v>0</v>
      </c>
      <c r="AE321" s="211"/>
      <c r="AF321" s="211"/>
      <c r="AG321" s="211">
        <f>R321*(Q307)</f>
        <v>0</v>
      </c>
      <c r="AH321" s="211"/>
      <c r="AI321" s="211"/>
      <c r="AJ321" s="211">
        <f>R321*(T307)</f>
        <v>0</v>
      </c>
      <c r="AK321" s="211"/>
      <c r="AL321" s="211"/>
      <c r="AM321" s="211">
        <f>R321*(W307)</f>
        <v>0</v>
      </c>
      <c r="AN321" s="211"/>
      <c r="XEZ321" s="211"/>
    </row>
    <row r="322" spans="2:40 16380:16380" s="7" customFormat="1" ht="12" hidden="1" customHeight="1" outlineLevel="2">
      <c r="B322" s="245"/>
      <c r="C322" s="250" t="s">
        <v>767</v>
      </c>
      <c r="D322" s="250"/>
      <c r="E322" s="213"/>
      <c r="F322" s="213"/>
      <c r="G322" s="213"/>
      <c r="H322" s="213"/>
      <c r="I322" s="213"/>
      <c r="J322" s="213"/>
      <c r="K322" s="213"/>
      <c r="L322" s="213"/>
      <c r="M322" s="213"/>
      <c r="N322" s="213"/>
      <c r="O322" s="213"/>
      <c r="P322" s="213"/>
      <c r="Q322" s="213"/>
      <c r="R322" s="213"/>
      <c r="S322" s="211">
        <f>INDEX($C$199:$AN$221, MATCH("New Customers 3MS", $C$199:$C$221, 0), MATCH($C322, $C$199:$AN$199, 0))</f>
        <v>0</v>
      </c>
      <c r="T322" s="211"/>
      <c r="U322" s="211"/>
      <c r="V322" s="211">
        <f>S322*(E307)</f>
        <v>0</v>
      </c>
      <c r="W322" s="211"/>
      <c r="X322" s="211"/>
      <c r="Y322" s="211">
        <f>S322*(H307)</f>
        <v>0</v>
      </c>
      <c r="Z322" s="211"/>
      <c r="AA322" s="211"/>
      <c r="AB322" s="211">
        <f>S322*(K307)</f>
        <v>0</v>
      </c>
      <c r="AC322" s="211"/>
      <c r="AD322" s="211"/>
      <c r="AE322" s="211">
        <f>S322*(N307)</f>
        <v>0</v>
      </c>
      <c r="AF322" s="211"/>
      <c r="AG322" s="211"/>
      <c r="AH322" s="211">
        <f>S322*(Q307)</f>
        <v>0</v>
      </c>
      <c r="AI322" s="211"/>
      <c r="AJ322" s="211"/>
      <c r="AK322" s="211">
        <f>S322*(T307)</f>
        <v>0</v>
      </c>
      <c r="AL322" s="211"/>
      <c r="AM322" s="211"/>
      <c r="AN322" s="211">
        <f>S322*(W307)</f>
        <v>0</v>
      </c>
    </row>
    <row r="323" spans="2:40 16380:16380" s="7" customFormat="1" ht="12" hidden="1" customHeight="1" outlineLevel="2">
      <c r="B323" s="245"/>
      <c r="C323" s="250" t="s">
        <v>768</v>
      </c>
      <c r="D323" s="250"/>
      <c r="E323" s="213"/>
      <c r="F323" s="213"/>
      <c r="G323" s="213"/>
      <c r="H323" s="213"/>
      <c r="I323" s="213"/>
      <c r="J323" s="213"/>
      <c r="K323" s="213"/>
      <c r="L323" s="213"/>
      <c r="M323" s="213"/>
      <c r="N323" s="213"/>
      <c r="O323" s="213"/>
      <c r="P323" s="213"/>
      <c r="Q323" s="213"/>
      <c r="R323" s="213"/>
      <c r="S323" s="213"/>
      <c r="T323" s="211">
        <f>INDEX($C$199:$AN$221, MATCH("New Customers 3MS", $C$199:$C$221, 0), MATCH($C323, $C$199:$AN$199, 0))</f>
        <v>0</v>
      </c>
      <c r="U323" s="211"/>
      <c r="V323" s="211"/>
      <c r="W323" s="211">
        <f>T323*(E307)</f>
        <v>0</v>
      </c>
      <c r="X323" s="211"/>
      <c r="Y323" s="211"/>
      <c r="Z323" s="211">
        <f>T323*(H307)</f>
        <v>0</v>
      </c>
      <c r="AA323" s="211"/>
      <c r="AB323" s="211"/>
      <c r="AC323" s="211">
        <f>T323*(K307)</f>
        <v>0</v>
      </c>
      <c r="AD323" s="211"/>
      <c r="AE323" s="211"/>
      <c r="AF323" s="211">
        <f>T323*(N307)</f>
        <v>0</v>
      </c>
      <c r="AG323" s="211"/>
      <c r="AH323" s="211"/>
      <c r="AI323" s="211">
        <f>T323*(Q307)</f>
        <v>0</v>
      </c>
      <c r="AJ323" s="211"/>
      <c r="AK323" s="211"/>
      <c r="AL323" s="211">
        <f>T323*(T307)</f>
        <v>0</v>
      </c>
      <c r="AM323" s="211"/>
      <c r="AN323" s="211"/>
    </row>
    <row r="324" spans="2:40 16380:16380" s="7" customFormat="1" ht="12" hidden="1" customHeight="1" outlineLevel="2">
      <c r="B324" s="245"/>
      <c r="C324" s="250" t="s">
        <v>769</v>
      </c>
      <c r="D324" s="250"/>
      <c r="E324" s="213"/>
      <c r="F324" s="213"/>
      <c r="G324" s="213"/>
      <c r="H324" s="213"/>
      <c r="I324" s="213"/>
      <c r="J324" s="213"/>
      <c r="K324" s="213"/>
      <c r="L324" s="213"/>
      <c r="M324" s="213"/>
      <c r="N324" s="213"/>
      <c r="O324" s="213"/>
      <c r="P324" s="213"/>
      <c r="Q324" s="213"/>
      <c r="R324" s="213"/>
      <c r="S324" s="213"/>
      <c r="T324" s="213"/>
      <c r="U324" s="211">
        <f>INDEX($C$199:$AN$221, MATCH("New Customers 3MS", $C$199:$C$221, 0), MATCH($C324, $C$199:$AN$199, 0))</f>
        <v>0</v>
      </c>
      <c r="V324" s="211"/>
      <c r="W324" s="211"/>
      <c r="X324" s="211">
        <f>U324*(E307)</f>
        <v>0</v>
      </c>
      <c r="Y324" s="211"/>
      <c r="Z324" s="211"/>
      <c r="AA324" s="211">
        <f>U324*(H307)</f>
        <v>0</v>
      </c>
      <c r="AB324" s="211"/>
      <c r="AC324" s="211"/>
      <c r="AD324" s="211">
        <f>U324*(K307)</f>
        <v>0</v>
      </c>
      <c r="AE324" s="211"/>
      <c r="AF324" s="211"/>
      <c r="AG324" s="211">
        <f>U324*(N307)</f>
        <v>0</v>
      </c>
      <c r="AH324" s="211"/>
      <c r="AI324" s="211"/>
      <c r="AJ324" s="211">
        <f>U324*(Q307)</f>
        <v>0</v>
      </c>
      <c r="AK324" s="211"/>
      <c r="AL324" s="211"/>
      <c r="AM324" s="211">
        <f>U324*(T307)</f>
        <v>0</v>
      </c>
      <c r="AN324" s="211"/>
    </row>
    <row r="325" spans="2:40 16380:16380" s="7" customFormat="1" ht="12" hidden="1" customHeight="1" outlineLevel="2">
      <c r="B325" s="245"/>
      <c r="C325" s="250" t="s">
        <v>770</v>
      </c>
      <c r="D325" s="250"/>
      <c r="E325" s="213"/>
      <c r="F325" s="213"/>
      <c r="G325" s="213"/>
      <c r="H325" s="213"/>
      <c r="I325" s="213"/>
      <c r="J325" s="213"/>
      <c r="K325" s="213"/>
      <c r="L325" s="213"/>
      <c r="M325" s="213"/>
      <c r="N325" s="213"/>
      <c r="O325" s="213"/>
      <c r="P325" s="213"/>
      <c r="Q325" s="213"/>
      <c r="R325" s="213"/>
      <c r="S325" s="213"/>
      <c r="T325" s="213"/>
      <c r="U325" s="213"/>
      <c r="V325" s="211">
        <f>INDEX($C$199:$AN$221, MATCH("New Customers 3MS", $C$199:$C$221, 0), MATCH($C325, $C$199:$AN$199, 0))</f>
        <v>0</v>
      </c>
      <c r="W325" s="211"/>
      <c r="X325" s="211"/>
      <c r="Y325" s="211">
        <f>V325*(E307)</f>
        <v>0</v>
      </c>
      <c r="Z325" s="211"/>
      <c r="AA325" s="211"/>
      <c r="AB325" s="211">
        <f>V325*(H307)</f>
        <v>0</v>
      </c>
      <c r="AC325" s="211"/>
      <c r="AD325" s="211"/>
      <c r="AE325" s="211">
        <f>V325*(K307)</f>
        <v>0</v>
      </c>
      <c r="AF325" s="211"/>
      <c r="AG325" s="211"/>
      <c r="AH325" s="211">
        <f>V325*(N307)</f>
        <v>0</v>
      </c>
      <c r="AI325" s="211"/>
      <c r="AJ325" s="211"/>
      <c r="AK325" s="211">
        <f>V325*(Q307)</f>
        <v>0</v>
      </c>
      <c r="AL325" s="211"/>
      <c r="AM325" s="211"/>
      <c r="AN325" s="211">
        <f>V325*(T307)</f>
        <v>0</v>
      </c>
    </row>
    <row r="326" spans="2:40 16380:16380" s="7" customFormat="1" ht="12" hidden="1" customHeight="1" outlineLevel="2">
      <c r="B326" s="245"/>
      <c r="C326" s="250" t="s">
        <v>771</v>
      </c>
      <c r="D326" s="250"/>
      <c r="E326" s="213"/>
      <c r="F326" s="213"/>
      <c r="G326" s="213"/>
      <c r="H326" s="213"/>
      <c r="I326" s="213"/>
      <c r="J326" s="213"/>
      <c r="K326" s="213"/>
      <c r="L326" s="213"/>
      <c r="M326" s="213"/>
      <c r="N326" s="213"/>
      <c r="O326" s="213"/>
      <c r="P326" s="213"/>
      <c r="Q326" s="213"/>
      <c r="R326" s="213"/>
      <c r="S326" s="213"/>
      <c r="T326" s="213"/>
      <c r="U326" s="213"/>
      <c r="V326" s="213"/>
      <c r="W326" s="211">
        <f>INDEX($C$199:$AN$221, MATCH("New Customers 3MS", $C$199:$C$221, 0), MATCH($C326, $C$199:$AN$199, 0))</f>
        <v>0</v>
      </c>
      <c r="X326" s="211"/>
      <c r="Y326" s="211"/>
      <c r="Z326" s="211">
        <f>W326*(E307)</f>
        <v>0</v>
      </c>
      <c r="AA326" s="211"/>
      <c r="AB326" s="211"/>
      <c r="AC326" s="211">
        <f>W326*(H307)</f>
        <v>0</v>
      </c>
      <c r="AD326" s="211"/>
      <c r="AE326" s="211"/>
      <c r="AF326" s="211">
        <f>W326*(K307)</f>
        <v>0</v>
      </c>
      <c r="AG326" s="211"/>
      <c r="AH326" s="211"/>
      <c r="AI326" s="211">
        <f>W326*(N307)</f>
        <v>0</v>
      </c>
      <c r="AJ326" s="211"/>
      <c r="AK326" s="211"/>
      <c r="AL326" s="211">
        <f>W326*(Q307)</f>
        <v>0</v>
      </c>
      <c r="AM326" s="211"/>
      <c r="AN326" s="211"/>
    </row>
    <row r="327" spans="2:40 16380:16380" s="7" customFormat="1" ht="12" hidden="1" customHeight="1" outlineLevel="2">
      <c r="B327" s="245"/>
      <c r="C327" s="250" t="s">
        <v>772</v>
      </c>
      <c r="D327" s="250"/>
      <c r="E327" s="213"/>
      <c r="F327" s="213"/>
      <c r="G327" s="213"/>
      <c r="H327" s="213"/>
      <c r="I327" s="213"/>
      <c r="J327" s="213"/>
      <c r="K327" s="213"/>
      <c r="L327" s="213"/>
      <c r="M327" s="213"/>
      <c r="N327" s="213"/>
      <c r="O327" s="213"/>
      <c r="P327" s="213"/>
      <c r="Q327" s="213"/>
      <c r="R327" s="213"/>
      <c r="S327" s="213"/>
      <c r="T327" s="213"/>
      <c r="U327" s="213"/>
      <c r="V327" s="213"/>
      <c r="W327" s="213"/>
      <c r="X327" s="211">
        <f>INDEX($C$199:$AN$221, MATCH("New Customers 3MS", $C$199:$C$221, 0), MATCH($C327, $C$199:$AN$199, 0))</f>
        <v>0</v>
      </c>
      <c r="Y327" s="211"/>
      <c r="Z327" s="211"/>
      <c r="AA327" s="211">
        <f>X327*(E307)</f>
        <v>0</v>
      </c>
      <c r="AB327" s="211"/>
      <c r="AC327" s="211"/>
      <c r="AD327" s="211">
        <f>X327*(H307)</f>
        <v>0</v>
      </c>
      <c r="AE327" s="211"/>
      <c r="AF327" s="211"/>
      <c r="AG327" s="211">
        <f>X327*(K307)</f>
        <v>0</v>
      </c>
      <c r="AH327" s="211"/>
      <c r="AI327" s="211"/>
      <c r="AJ327" s="211">
        <f>X327*(N307)</f>
        <v>0</v>
      </c>
      <c r="AK327" s="211"/>
      <c r="AL327" s="211"/>
      <c r="AM327" s="211">
        <f>X327*(Q307)</f>
        <v>0</v>
      </c>
      <c r="AN327" s="211"/>
    </row>
    <row r="328" spans="2:40 16380:16380" s="7" customFormat="1" ht="12" hidden="1" customHeight="1" outlineLevel="2">
      <c r="B328" s="245"/>
      <c r="C328" s="250" t="s">
        <v>773</v>
      </c>
      <c r="D328" s="250"/>
      <c r="E328" s="213"/>
      <c r="F328" s="213"/>
      <c r="G328" s="213"/>
      <c r="H328" s="213"/>
      <c r="I328" s="213"/>
      <c r="J328" s="213"/>
      <c r="K328" s="213"/>
      <c r="L328" s="213"/>
      <c r="M328" s="213"/>
      <c r="N328" s="213"/>
      <c r="O328" s="213"/>
      <c r="P328" s="213"/>
      <c r="Q328" s="213"/>
      <c r="R328" s="213"/>
      <c r="S328" s="213"/>
      <c r="T328" s="213"/>
      <c r="U328" s="213"/>
      <c r="V328" s="213"/>
      <c r="W328" s="213"/>
      <c r="X328" s="213"/>
      <c r="Y328" s="211">
        <f>INDEX($C$199:$AN$221, MATCH("New Customers 3MS", $C$199:$C$221, 0), MATCH($C328, $C$199:$AN$199, 0))</f>
        <v>0</v>
      </c>
      <c r="Z328" s="211"/>
      <c r="AA328" s="211"/>
      <c r="AB328" s="211">
        <f>Y328*(E307)</f>
        <v>0</v>
      </c>
      <c r="AC328" s="211"/>
      <c r="AD328" s="211"/>
      <c r="AE328" s="211">
        <f>Y328*(H307)</f>
        <v>0</v>
      </c>
      <c r="AF328" s="211"/>
      <c r="AG328" s="211"/>
      <c r="AH328" s="211">
        <f>Y328*(K307)</f>
        <v>0</v>
      </c>
      <c r="AI328" s="211"/>
      <c r="AJ328" s="211"/>
      <c r="AK328" s="211">
        <f>Y328*(N307)</f>
        <v>0</v>
      </c>
      <c r="AL328" s="211"/>
      <c r="AM328" s="211"/>
      <c r="AN328" s="211">
        <f>Y328*(Q307)</f>
        <v>0</v>
      </c>
    </row>
    <row r="329" spans="2:40 16380:16380" s="7" customFormat="1" ht="12" hidden="1" customHeight="1" outlineLevel="2">
      <c r="B329" s="245"/>
      <c r="C329" s="250" t="s">
        <v>774</v>
      </c>
      <c r="D329" s="250"/>
      <c r="E329" s="213"/>
      <c r="F329" s="213"/>
      <c r="G329" s="213"/>
      <c r="H329" s="213"/>
      <c r="I329" s="213"/>
      <c r="J329" s="213"/>
      <c r="K329" s="213"/>
      <c r="L329" s="213"/>
      <c r="M329" s="213"/>
      <c r="N329" s="213"/>
      <c r="O329" s="213"/>
      <c r="P329" s="213"/>
      <c r="Q329" s="213"/>
      <c r="R329" s="213"/>
      <c r="S329" s="213"/>
      <c r="T329" s="213"/>
      <c r="U329" s="213"/>
      <c r="V329" s="213"/>
      <c r="W329" s="213"/>
      <c r="X329" s="213"/>
      <c r="Y329" s="213"/>
      <c r="Z329" s="211">
        <f>INDEX($C$199:$AN$221, MATCH("New Customers 3MS", $C$199:$C$221, 0), MATCH($C329, $C$199:$AN$199, 0))</f>
        <v>0</v>
      </c>
      <c r="AA329" s="211"/>
      <c r="AB329" s="211"/>
      <c r="AC329" s="211">
        <f>Z329*(E307)</f>
        <v>0</v>
      </c>
      <c r="AD329" s="211"/>
      <c r="AE329" s="211"/>
      <c r="AF329" s="211">
        <f>Z329*(H307)</f>
        <v>0</v>
      </c>
      <c r="AG329" s="211"/>
      <c r="AH329" s="211"/>
      <c r="AI329" s="211">
        <f>Z329*(K307)</f>
        <v>0</v>
      </c>
      <c r="AJ329" s="211"/>
      <c r="AK329" s="211"/>
      <c r="AL329" s="211">
        <f>Z329*(N307)</f>
        <v>0</v>
      </c>
      <c r="AM329" s="211"/>
      <c r="AN329" s="211"/>
    </row>
    <row r="330" spans="2:40 16380:16380" s="7" customFormat="1" ht="12" hidden="1" customHeight="1" outlineLevel="2">
      <c r="B330" s="245"/>
      <c r="C330" s="250" t="s">
        <v>775</v>
      </c>
      <c r="D330" s="250"/>
      <c r="E330" s="213"/>
      <c r="F330" s="213"/>
      <c r="G330" s="213"/>
      <c r="H330" s="213"/>
      <c r="I330" s="213"/>
      <c r="J330" s="213"/>
      <c r="K330" s="213"/>
      <c r="L330" s="213"/>
      <c r="M330" s="213"/>
      <c r="N330" s="213"/>
      <c r="O330" s="213"/>
      <c r="P330" s="213"/>
      <c r="Q330" s="213"/>
      <c r="R330" s="213"/>
      <c r="S330" s="213"/>
      <c r="T330" s="213"/>
      <c r="U330" s="213"/>
      <c r="V330" s="213"/>
      <c r="W330" s="213"/>
      <c r="X330" s="213"/>
      <c r="Y330" s="213"/>
      <c r="Z330" s="213"/>
      <c r="AA330" s="211">
        <f>INDEX($C$199:$AN$221, MATCH("New Customers 3MS", $C$199:$C$221, 0), MATCH($C330, $C$199:$AN$199, 0))</f>
        <v>0</v>
      </c>
      <c r="AB330" s="211"/>
      <c r="AC330" s="211"/>
      <c r="AD330" s="211">
        <f>AA330*(E307)</f>
        <v>0</v>
      </c>
      <c r="AE330" s="211"/>
      <c r="AF330" s="211"/>
      <c r="AG330" s="211">
        <f>AA330*(H307)</f>
        <v>0</v>
      </c>
      <c r="AH330" s="211"/>
      <c r="AI330" s="211"/>
      <c r="AJ330" s="211">
        <f>AA330*(K307)</f>
        <v>0</v>
      </c>
      <c r="AK330" s="211"/>
      <c r="AL330" s="211"/>
      <c r="AM330" s="211">
        <f>AA330*(N307)</f>
        <v>0</v>
      </c>
      <c r="AN330" s="211"/>
    </row>
    <row r="331" spans="2:40 16380:16380" s="7" customFormat="1" ht="12" hidden="1" customHeight="1" outlineLevel="2">
      <c r="B331" s="245"/>
      <c r="C331" s="250" t="s">
        <v>776</v>
      </c>
      <c r="D331" s="250"/>
      <c r="E331" s="213"/>
      <c r="F331" s="213"/>
      <c r="G331" s="213"/>
      <c r="H331" s="213"/>
      <c r="I331" s="213"/>
      <c r="J331" s="213"/>
      <c r="K331" s="213"/>
      <c r="L331" s="213"/>
      <c r="M331" s="213"/>
      <c r="N331" s="213"/>
      <c r="O331" s="213"/>
      <c r="P331" s="213"/>
      <c r="Q331" s="213"/>
      <c r="R331" s="213"/>
      <c r="S331" s="213"/>
      <c r="T331" s="213"/>
      <c r="U331" s="213"/>
      <c r="V331" s="213"/>
      <c r="W331" s="213"/>
      <c r="X331" s="213"/>
      <c r="Y331" s="213"/>
      <c r="Z331" s="213"/>
      <c r="AA331" s="213"/>
      <c r="AB331" s="211">
        <f>INDEX($C$199:$AN$221, MATCH("New Customers 3MS", $C$199:$C$221, 0), MATCH($C331, $C$199:$AN$199, 0))</f>
        <v>0</v>
      </c>
      <c r="AC331" s="211"/>
      <c r="AD331" s="211"/>
      <c r="AE331" s="211">
        <f>AB331*(E307)</f>
        <v>0</v>
      </c>
      <c r="AF331" s="211"/>
      <c r="AG331" s="211"/>
      <c r="AH331" s="211">
        <f>AB331*(H307)</f>
        <v>0</v>
      </c>
      <c r="AI331" s="211"/>
      <c r="AJ331" s="211"/>
      <c r="AK331" s="211">
        <f>AB331*($K$153)</f>
        <v>0</v>
      </c>
      <c r="AL331" s="211"/>
      <c r="AM331" s="211"/>
      <c r="AN331" s="211">
        <f>AB331*(N307)</f>
        <v>0</v>
      </c>
    </row>
    <row r="332" spans="2:40 16380:16380" s="7" customFormat="1" ht="12" hidden="1" customHeight="1" outlineLevel="2">
      <c r="B332" s="245"/>
      <c r="C332" s="250" t="s">
        <v>777</v>
      </c>
      <c r="D332" s="250"/>
      <c r="E332" s="213"/>
      <c r="F332" s="213"/>
      <c r="G332" s="213"/>
      <c r="H332" s="213"/>
      <c r="I332" s="213"/>
      <c r="J332" s="213"/>
      <c r="K332" s="213"/>
      <c r="L332" s="213"/>
      <c r="M332" s="213"/>
      <c r="N332" s="213"/>
      <c r="O332" s="213"/>
      <c r="P332" s="213"/>
      <c r="Q332" s="213"/>
      <c r="R332" s="213"/>
      <c r="S332" s="213"/>
      <c r="T332" s="213"/>
      <c r="U332" s="213"/>
      <c r="V332" s="213"/>
      <c r="W332" s="213"/>
      <c r="X332" s="213"/>
      <c r="Y332" s="213"/>
      <c r="Z332" s="213"/>
      <c r="AA332" s="213"/>
      <c r="AB332" s="211"/>
      <c r="AC332" s="211">
        <f>INDEX($C$199:$AN$221, MATCH("New Customers 3MS", $C$199:$C$221, 0), MATCH($C332, $C$199:$AN$199, 0))</f>
        <v>0</v>
      </c>
      <c r="AD332" s="211"/>
      <c r="AE332" s="211"/>
      <c r="AF332" s="211">
        <f>AC332*($E$153)</f>
        <v>0</v>
      </c>
      <c r="AG332" s="211"/>
      <c r="AH332" s="211"/>
      <c r="AI332" s="211">
        <f>AB331*($H$153)</f>
        <v>0</v>
      </c>
      <c r="AJ332" s="211"/>
      <c r="AK332" s="211"/>
      <c r="AL332" s="211">
        <f>AC332*($K$153)</f>
        <v>0</v>
      </c>
      <c r="AM332" s="211"/>
      <c r="AN332" s="211"/>
    </row>
    <row r="333" spans="2:40 16380:16380" s="7" customFormat="1" ht="12" hidden="1" customHeight="1" outlineLevel="2">
      <c r="B333" s="245"/>
      <c r="C333" s="250" t="s">
        <v>778</v>
      </c>
      <c r="D333" s="250"/>
      <c r="E333" s="213"/>
      <c r="F333" s="213"/>
      <c r="G333" s="213"/>
      <c r="H333" s="213"/>
      <c r="I333" s="213"/>
      <c r="J333" s="213"/>
      <c r="K333" s="213"/>
      <c r="L333" s="213"/>
      <c r="M333" s="213"/>
      <c r="N333" s="213"/>
      <c r="O333" s="213"/>
      <c r="P333" s="213"/>
      <c r="Q333" s="213"/>
      <c r="R333" s="213"/>
      <c r="S333" s="213"/>
      <c r="T333" s="213"/>
      <c r="U333" s="213"/>
      <c r="V333" s="213"/>
      <c r="W333" s="213"/>
      <c r="X333" s="213"/>
      <c r="Y333" s="213"/>
      <c r="Z333" s="213"/>
      <c r="AA333" s="213"/>
      <c r="AB333" s="211"/>
      <c r="AC333" s="211"/>
      <c r="AD333" s="211">
        <f>INDEX($C$199:$AN$221, MATCH("New Customers 3MS", $C$199:$C$221, 0), MATCH($C333, $C$199:$AN$199, 0))</f>
        <v>0</v>
      </c>
      <c r="AE333" s="211"/>
      <c r="AF333" s="211"/>
      <c r="AG333" s="211">
        <f>AD333*($E$153)</f>
        <v>0</v>
      </c>
      <c r="AH333" s="211"/>
      <c r="AI333" s="211"/>
      <c r="AJ333" s="211">
        <f>AB331*($H$153)</f>
        <v>0</v>
      </c>
      <c r="AK333" s="211"/>
      <c r="AL333" s="211"/>
      <c r="AM333" s="211">
        <f>AD333*($K$153)</f>
        <v>0</v>
      </c>
      <c r="AN333" s="211"/>
    </row>
    <row r="334" spans="2:40 16380:16380" s="7" customFormat="1" ht="12" hidden="1" customHeight="1" outlineLevel="2">
      <c r="B334" s="245"/>
      <c r="C334" s="250" t="s">
        <v>779</v>
      </c>
      <c r="D334" s="250"/>
      <c r="E334" s="213"/>
      <c r="F334" s="213"/>
      <c r="G334" s="213"/>
      <c r="H334" s="213"/>
      <c r="I334" s="213"/>
      <c r="J334" s="213"/>
      <c r="K334" s="213"/>
      <c r="L334" s="213"/>
      <c r="M334" s="213"/>
      <c r="N334" s="213"/>
      <c r="O334" s="213"/>
      <c r="P334" s="213"/>
      <c r="Q334" s="213"/>
      <c r="R334" s="213"/>
      <c r="S334" s="213"/>
      <c r="T334" s="213"/>
      <c r="U334" s="213"/>
      <c r="V334" s="213"/>
      <c r="W334" s="213"/>
      <c r="X334" s="213"/>
      <c r="Y334" s="213"/>
      <c r="Z334" s="213"/>
      <c r="AA334" s="213"/>
      <c r="AB334" s="211"/>
      <c r="AC334" s="211"/>
      <c r="AD334" s="211"/>
      <c r="AE334" s="211">
        <f>INDEX($C$199:$AN$221, MATCH("New Customers 3MS", $C$199:$C$221, 0), MATCH($C334, $C$199:$AN$199, 0))</f>
        <v>0</v>
      </c>
      <c r="AF334" s="211"/>
      <c r="AG334" s="211"/>
      <c r="AH334" s="211">
        <f>AE334*($E$153)</f>
        <v>0</v>
      </c>
      <c r="AI334" s="211"/>
      <c r="AJ334" s="211"/>
      <c r="AK334" s="211">
        <f>AB331*($H$153)</f>
        <v>0</v>
      </c>
      <c r="AL334" s="211"/>
      <c r="AM334" s="211"/>
      <c r="AN334" s="211">
        <f>AE334*($K$153)</f>
        <v>0</v>
      </c>
    </row>
    <row r="335" spans="2:40 16380:16380" s="7" customFormat="1" ht="12" hidden="1" customHeight="1" outlineLevel="2">
      <c r="B335" s="245"/>
      <c r="C335" s="250" t="s">
        <v>780</v>
      </c>
      <c r="D335" s="250"/>
      <c r="E335" s="213"/>
      <c r="F335" s="213"/>
      <c r="G335" s="213"/>
      <c r="H335" s="213"/>
      <c r="I335" s="213"/>
      <c r="J335" s="213"/>
      <c r="K335" s="213"/>
      <c r="L335" s="213"/>
      <c r="M335" s="213"/>
      <c r="N335" s="213"/>
      <c r="O335" s="213"/>
      <c r="P335" s="213"/>
      <c r="Q335" s="213"/>
      <c r="R335" s="213"/>
      <c r="S335" s="213"/>
      <c r="T335" s="213"/>
      <c r="U335" s="213"/>
      <c r="V335" s="213"/>
      <c r="W335" s="213"/>
      <c r="X335" s="213"/>
      <c r="Y335" s="213"/>
      <c r="Z335" s="213"/>
      <c r="AA335" s="213"/>
      <c r="AB335" s="211"/>
      <c r="AC335" s="211"/>
      <c r="AD335" s="211"/>
      <c r="AE335" s="211"/>
      <c r="AF335" s="211">
        <f>INDEX($C$199:$AN$221, MATCH("New Customers 3MS", $C$199:$C$221, 0), MATCH($C335, $C$199:$AN$199, 0))</f>
        <v>0</v>
      </c>
      <c r="AG335" s="211"/>
      <c r="AH335" s="211"/>
      <c r="AI335" s="211">
        <f>AF335*($E$153)</f>
        <v>0</v>
      </c>
      <c r="AJ335" s="211"/>
      <c r="AK335" s="211"/>
      <c r="AL335" s="211">
        <f>AB331*($H$153)</f>
        <v>0</v>
      </c>
      <c r="AM335" s="211"/>
      <c r="AN335" s="211"/>
    </row>
    <row r="336" spans="2:40 16380:16380" s="7" customFormat="1" ht="12" hidden="1" customHeight="1" outlineLevel="2">
      <c r="B336" s="245"/>
      <c r="C336" s="250" t="s">
        <v>781</v>
      </c>
      <c r="D336" s="250"/>
      <c r="E336" s="213"/>
      <c r="F336" s="213"/>
      <c r="G336" s="213"/>
      <c r="H336" s="213"/>
      <c r="I336" s="213"/>
      <c r="J336" s="213"/>
      <c r="K336" s="213"/>
      <c r="L336" s="213"/>
      <c r="M336" s="213"/>
      <c r="N336" s="213"/>
      <c r="O336" s="213"/>
      <c r="P336" s="213"/>
      <c r="Q336" s="213"/>
      <c r="R336" s="213"/>
      <c r="S336" s="213"/>
      <c r="T336" s="213"/>
      <c r="U336" s="213"/>
      <c r="V336" s="213"/>
      <c r="W336" s="213"/>
      <c r="X336" s="213"/>
      <c r="Y336" s="213"/>
      <c r="Z336" s="213"/>
      <c r="AA336" s="213"/>
      <c r="AB336" s="211"/>
      <c r="AC336" s="211"/>
      <c r="AD336" s="211"/>
      <c r="AE336" s="211"/>
      <c r="AF336" s="211"/>
      <c r="AG336" s="211">
        <f>INDEX($C$199:$AN$221, MATCH("New Customers 3MS", $C$199:$C$221, 0), MATCH($C336, $C$199:$AN$199, 0))</f>
        <v>0</v>
      </c>
      <c r="AH336" s="211"/>
      <c r="AI336" s="211"/>
      <c r="AJ336" s="211">
        <f>AG336*($E$153)</f>
        <v>0</v>
      </c>
      <c r="AK336" s="211"/>
      <c r="AL336" s="211"/>
      <c r="AM336" s="211">
        <f>AB331*($H$153)</f>
        <v>0</v>
      </c>
      <c r="AN336" s="211"/>
    </row>
    <row r="337" spans="2:40" s="7" customFormat="1" ht="12" hidden="1" customHeight="1" outlineLevel="2">
      <c r="B337" s="245"/>
      <c r="C337" s="250" t="s">
        <v>782</v>
      </c>
      <c r="D337" s="250"/>
      <c r="E337" s="213"/>
      <c r="F337" s="213"/>
      <c r="G337" s="213"/>
      <c r="H337" s="213"/>
      <c r="I337" s="213"/>
      <c r="J337" s="213"/>
      <c r="K337" s="213"/>
      <c r="L337" s="213"/>
      <c r="M337" s="213"/>
      <c r="N337" s="213"/>
      <c r="O337" s="213"/>
      <c r="P337" s="213"/>
      <c r="Q337" s="213"/>
      <c r="R337" s="213"/>
      <c r="S337" s="213"/>
      <c r="T337" s="213"/>
      <c r="U337" s="213"/>
      <c r="V337" s="213"/>
      <c r="W337" s="213"/>
      <c r="X337" s="213"/>
      <c r="Y337" s="213"/>
      <c r="Z337" s="213"/>
      <c r="AA337" s="213"/>
      <c r="AB337" s="211"/>
      <c r="AC337" s="211"/>
      <c r="AD337" s="211"/>
      <c r="AE337" s="211"/>
      <c r="AF337" s="211"/>
      <c r="AG337" s="211"/>
      <c r="AH337" s="211">
        <f>INDEX($C$199:$AN$221, MATCH("New Customers 3MS", $C$199:$C$221, 0), MATCH($C337, $C$199:$AN$199, 0))</f>
        <v>0</v>
      </c>
      <c r="AI337" s="211"/>
      <c r="AJ337" s="211"/>
      <c r="AK337" s="211">
        <f>AH337*($E$153)</f>
        <v>0</v>
      </c>
      <c r="AL337" s="211"/>
      <c r="AM337" s="211"/>
      <c r="AN337" s="211">
        <f>AB331*($H$153)</f>
        <v>0</v>
      </c>
    </row>
    <row r="338" spans="2:40" s="7" customFormat="1" ht="12" hidden="1" customHeight="1" outlineLevel="2">
      <c r="B338" s="245"/>
      <c r="C338" s="250" t="s">
        <v>783</v>
      </c>
      <c r="D338" s="250"/>
      <c r="E338" s="213"/>
      <c r="F338" s="213"/>
      <c r="G338" s="213"/>
      <c r="H338" s="213"/>
      <c r="I338" s="213"/>
      <c r="J338" s="213"/>
      <c r="K338" s="213"/>
      <c r="L338" s="213"/>
      <c r="M338" s="213"/>
      <c r="N338" s="213"/>
      <c r="O338" s="213"/>
      <c r="P338" s="213"/>
      <c r="Q338" s="213"/>
      <c r="R338" s="213"/>
      <c r="S338" s="213"/>
      <c r="T338" s="213"/>
      <c r="U338" s="213"/>
      <c r="V338" s="213"/>
      <c r="W338" s="213"/>
      <c r="X338" s="213"/>
      <c r="Y338" s="213"/>
      <c r="Z338" s="213"/>
      <c r="AA338" s="213"/>
      <c r="AB338" s="211"/>
      <c r="AC338" s="211"/>
      <c r="AD338" s="211"/>
      <c r="AE338" s="211"/>
      <c r="AF338" s="211"/>
      <c r="AG338" s="211"/>
      <c r="AH338" s="211"/>
      <c r="AI338" s="211">
        <f>INDEX($C$199:$AN$221, MATCH("New Customers 3MS", $C$199:$C$221, 0), MATCH($C338, $C$199:$AN$199, 0))</f>
        <v>0</v>
      </c>
      <c r="AJ338" s="211"/>
      <c r="AK338" s="211"/>
      <c r="AL338" s="211">
        <f>AI338*($E$153)</f>
        <v>0</v>
      </c>
      <c r="AM338" s="211"/>
      <c r="AN338" s="211"/>
    </row>
    <row r="339" spans="2:40" s="7" customFormat="1" ht="12" hidden="1" customHeight="1" outlineLevel="2">
      <c r="B339" s="245"/>
      <c r="C339" s="250" t="s">
        <v>784</v>
      </c>
      <c r="D339" s="250"/>
      <c r="E339" s="213"/>
      <c r="F339" s="213"/>
      <c r="G339" s="213"/>
      <c r="H339" s="213"/>
      <c r="I339" s="213"/>
      <c r="J339" s="213"/>
      <c r="K339" s="213"/>
      <c r="L339" s="213"/>
      <c r="M339" s="213"/>
      <c r="N339" s="213"/>
      <c r="O339" s="213"/>
      <c r="P339" s="213"/>
      <c r="Q339" s="213"/>
      <c r="R339" s="213"/>
      <c r="S339" s="213"/>
      <c r="T339" s="213"/>
      <c r="U339" s="213"/>
      <c r="V339" s="213"/>
      <c r="W339" s="213"/>
      <c r="X339" s="213"/>
      <c r="Y339" s="213"/>
      <c r="Z339" s="213"/>
      <c r="AA339" s="213"/>
      <c r="AB339" s="211"/>
      <c r="AC339" s="211"/>
      <c r="AD339" s="211"/>
      <c r="AE339" s="211"/>
      <c r="AF339" s="211"/>
      <c r="AG339" s="211"/>
      <c r="AH339" s="211"/>
      <c r="AI339" s="211"/>
      <c r="AJ339" s="211">
        <f>INDEX($C$199:$AN$221, MATCH("New Customers 3MS", $C$199:$C$221, 0), MATCH($C339, $C$199:$AN$199, 0))</f>
        <v>0</v>
      </c>
      <c r="AK339" s="211"/>
      <c r="AL339" s="211"/>
      <c r="AM339" s="211">
        <f>AJ339*($E$153)</f>
        <v>0</v>
      </c>
      <c r="AN339" s="211"/>
    </row>
    <row r="340" spans="2:40" s="7" customFormat="1" ht="12" hidden="1" customHeight="1" outlineLevel="2">
      <c r="B340" s="245"/>
      <c r="C340" s="250" t="s">
        <v>785</v>
      </c>
      <c r="D340" s="250"/>
      <c r="E340" s="213"/>
      <c r="F340" s="213"/>
      <c r="G340" s="213"/>
      <c r="H340" s="213"/>
      <c r="I340" s="213"/>
      <c r="J340" s="213"/>
      <c r="K340" s="213"/>
      <c r="L340" s="213"/>
      <c r="M340" s="213"/>
      <c r="N340" s="213"/>
      <c r="O340" s="213"/>
      <c r="P340" s="213"/>
      <c r="Q340" s="213"/>
      <c r="R340" s="213"/>
      <c r="S340" s="213"/>
      <c r="T340" s="213"/>
      <c r="U340" s="213"/>
      <c r="V340" s="213"/>
      <c r="W340" s="213"/>
      <c r="X340" s="213"/>
      <c r="Y340" s="213"/>
      <c r="Z340" s="213"/>
      <c r="AA340" s="213"/>
      <c r="AB340" s="211"/>
      <c r="AC340" s="211"/>
      <c r="AD340" s="211"/>
      <c r="AE340" s="211"/>
      <c r="AF340" s="211"/>
      <c r="AG340" s="211"/>
      <c r="AH340" s="211"/>
      <c r="AI340" s="211"/>
      <c r="AJ340" s="211"/>
      <c r="AK340" s="211">
        <f>INDEX($C$199:$AN$221, MATCH("New Customers 3MS", $C$199:$C$221, 0), MATCH($C340, $C$199:$AN$199, 0))</f>
        <v>0</v>
      </c>
      <c r="AL340" s="211"/>
      <c r="AM340" s="211"/>
      <c r="AN340" s="211">
        <f>AK340*($E$153)</f>
        <v>0</v>
      </c>
    </row>
    <row r="341" spans="2:40" s="7" customFormat="1" ht="12" hidden="1" customHeight="1" outlineLevel="2">
      <c r="B341" s="245"/>
      <c r="C341" s="250" t="s">
        <v>786</v>
      </c>
      <c r="D341" s="250"/>
      <c r="E341" s="213"/>
      <c r="F341" s="213"/>
      <c r="G341" s="213"/>
      <c r="H341" s="213"/>
      <c r="I341" s="213"/>
      <c r="J341" s="213"/>
      <c r="K341" s="213"/>
      <c r="L341" s="213"/>
      <c r="M341" s="213"/>
      <c r="N341" s="213"/>
      <c r="O341" s="213"/>
      <c r="P341" s="213"/>
      <c r="Q341" s="213"/>
      <c r="R341" s="213"/>
      <c r="S341" s="213"/>
      <c r="T341" s="213"/>
      <c r="U341" s="213"/>
      <c r="V341" s="213"/>
      <c r="W341" s="213"/>
      <c r="X341" s="213"/>
      <c r="Y341" s="213"/>
      <c r="Z341" s="213"/>
      <c r="AA341" s="213"/>
      <c r="AB341" s="211"/>
      <c r="AC341" s="211"/>
      <c r="AD341" s="211"/>
      <c r="AE341" s="211"/>
      <c r="AF341" s="211"/>
      <c r="AG341" s="211"/>
      <c r="AH341" s="211"/>
      <c r="AI341" s="211"/>
      <c r="AJ341" s="211"/>
      <c r="AK341" s="211"/>
      <c r="AL341" s="211">
        <f>INDEX($C$199:$AN$221, MATCH("New Customers 3MS", $C$199:$C$221, 0), MATCH($C341, $C$199:$AN$199, 0))</f>
        <v>0</v>
      </c>
      <c r="AM341" s="211"/>
      <c r="AN341" s="211"/>
    </row>
    <row r="342" spans="2:40" s="7" customFormat="1" ht="12" hidden="1" customHeight="1" outlineLevel="2">
      <c r="B342" s="245"/>
      <c r="C342" s="250" t="s">
        <v>787</v>
      </c>
      <c r="D342" s="250"/>
      <c r="E342" s="213"/>
      <c r="F342" s="213"/>
      <c r="G342" s="213"/>
      <c r="H342" s="213"/>
      <c r="I342" s="213"/>
      <c r="J342" s="213"/>
      <c r="K342" s="213"/>
      <c r="L342" s="213"/>
      <c r="M342" s="213"/>
      <c r="N342" s="213"/>
      <c r="O342" s="213"/>
      <c r="P342" s="213"/>
      <c r="Q342" s="213"/>
      <c r="R342" s="213"/>
      <c r="S342" s="213"/>
      <c r="T342" s="213"/>
      <c r="U342" s="213"/>
      <c r="V342" s="213"/>
      <c r="W342" s="213"/>
      <c r="X342" s="213"/>
      <c r="Y342" s="213"/>
      <c r="Z342" s="213"/>
      <c r="AA342" s="213"/>
      <c r="AB342" s="211"/>
      <c r="AC342" s="211"/>
      <c r="AD342" s="211"/>
      <c r="AE342" s="211"/>
      <c r="AF342" s="211"/>
      <c r="AG342" s="211"/>
      <c r="AH342" s="211"/>
      <c r="AI342" s="211"/>
      <c r="AJ342" s="211"/>
      <c r="AK342" s="211"/>
      <c r="AL342" s="211"/>
      <c r="AM342" s="211">
        <f>INDEX($C$199:$AN$221, MATCH("New Customers 3MS", $C$199:$C$221, 0), MATCH($C342, $C$199:$AN$199, 0))</f>
        <v>0</v>
      </c>
      <c r="AN342" s="211"/>
    </row>
    <row r="343" spans="2:40" s="7" customFormat="1" ht="12" hidden="1" customHeight="1" outlineLevel="2">
      <c r="B343" s="245"/>
      <c r="C343" s="250" t="s">
        <v>788</v>
      </c>
      <c r="D343" s="250"/>
      <c r="E343" s="213"/>
      <c r="F343" s="213"/>
      <c r="G343" s="213"/>
      <c r="H343" s="213"/>
      <c r="I343" s="213"/>
      <c r="J343" s="213"/>
      <c r="K343" s="213"/>
      <c r="L343" s="213"/>
      <c r="M343" s="213"/>
      <c r="N343" s="213"/>
      <c r="O343" s="213"/>
      <c r="P343" s="213"/>
      <c r="Q343" s="213"/>
      <c r="R343" s="213"/>
      <c r="S343" s="213"/>
      <c r="T343" s="213"/>
      <c r="U343" s="213"/>
      <c r="V343" s="213"/>
      <c r="W343" s="213"/>
      <c r="X343" s="213"/>
      <c r="Y343" s="213"/>
      <c r="Z343" s="213"/>
      <c r="AA343" s="213"/>
      <c r="AB343" s="211"/>
      <c r="AC343" s="211"/>
      <c r="AD343" s="211"/>
      <c r="AE343" s="211"/>
      <c r="AF343" s="211"/>
      <c r="AG343" s="211"/>
      <c r="AH343" s="211"/>
      <c r="AI343" s="211"/>
      <c r="AJ343" s="211"/>
      <c r="AK343" s="211"/>
      <c r="AL343" s="211"/>
      <c r="AM343" s="211"/>
      <c r="AN343" s="211">
        <f>INDEX($C$199:$AN$221, MATCH("New Customers 3MS", $C$199:$C$221, 0), MATCH($C343, $C$199:$AN$199, 0))</f>
        <v>0</v>
      </c>
    </row>
    <row r="344" spans="2:40" s="7" customFormat="1" ht="12" hidden="1" customHeight="1" outlineLevel="1">
      <c r="B344" s="245"/>
      <c r="C344" s="250"/>
      <c r="D344" s="250"/>
      <c r="E344" s="213"/>
      <c r="F344" s="213"/>
      <c r="G344" s="213"/>
      <c r="H344" s="213"/>
      <c r="I344" s="213"/>
      <c r="J344" s="213"/>
      <c r="K344" s="213"/>
      <c r="L344" s="213"/>
      <c r="M344" s="213"/>
      <c r="N344" s="213"/>
      <c r="O344" s="213"/>
      <c r="P344" s="213"/>
      <c r="Q344" s="213"/>
      <c r="R344" s="213"/>
      <c r="S344" s="213"/>
      <c r="T344" s="213"/>
      <c r="U344" s="213"/>
      <c r="V344" s="213"/>
      <c r="W344" s="213"/>
      <c r="X344" s="213"/>
      <c r="Y344" s="213"/>
      <c r="Z344" s="213"/>
      <c r="AA344" s="213"/>
      <c r="AB344" s="211"/>
      <c r="AC344" s="211"/>
      <c r="AD344" s="211"/>
      <c r="AE344" s="211"/>
      <c r="AF344" s="211"/>
      <c r="AG344" s="211"/>
      <c r="AH344" s="211"/>
      <c r="AI344" s="211"/>
      <c r="AJ344" s="211"/>
      <c r="AK344" s="211"/>
      <c r="AL344" s="211"/>
      <c r="AM344" s="211"/>
      <c r="AN344" s="211"/>
    </row>
    <row r="345" spans="2:40" s="7" customFormat="1" ht="12" customHeight="1" collapsed="1">
      <c r="B345" s="239"/>
      <c r="C345" s="243" t="s">
        <v>855</v>
      </c>
      <c r="D345" s="212"/>
      <c r="E345" s="214"/>
      <c r="F345" s="214"/>
      <c r="G345" s="214"/>
      <c r="H345" s="214"/>
      <c r="I345" s="214"/>
      <c r="J345" s="214"/>
      <c r="K345" s="214"/>
      <c r="L345" s="214"/>
      <c r="M345" s="214"/>
      <c r="N345" s="214"/>
      <c r="O345" s="214"/>
      <c r="P345" s="214"/>
      <c r="Q345" s="214"/>
      <c r="R345" s="214"/>
      <c r="S345" s="214"/>
      <c r="T345" s="214"/>
      <c r="U345" s="214"/>
      <c r="V345" s="214"/>
      <c r="W345" s="214"/>
      <c r="X345" s="214"/>
      <c r="Y345" s="214"/>
      <c r="Z345" s="214"/>
      <c r="AA345" s="214"/>
      <c r="AB345" s="214"/>
      <c r="AC345" s="215"/>
    </row>
    <row r="346" spans="2:40" s="7" customFormat="1" ht="12" customHeight="1">
      <c r="B346" s="239"/>
      <c r="C346" s="214"/>
      <c r="D346" s="212"/>
      <c r="E346" s="214"/>
      <c r="F346" s="214"/>
      <c r="G346" s="214"/>
      <c r="H346" s="214"/>
      <c r="I346" s="214"/>
      <c r="J346" s="214"/>
      <c r="K346" s="214"/>
      <c r="L346" s="214"/>
      <c r="M346" s="214"/>
      <c r="N346" s="214"/>
      <c r="O346" s="214"/>
      <c r="P346" s="214"/>
      <c r="Q346" s="214"/>
      <c r="R346" s="214"/>
      <c r="S346" s="214"/>
      <c r="T346" s="214"/>
      <c r="U346" s="214"/>
      <c r="V346" s="214"/>
      <c r="W346" s="214"/>
      <c r="X346" s="214"/>
      <c r="Y346" s="214"/>
      <c r="Z346" s="214"/>
      <c r="AA346" s="214"/>
      <c r="AB346" s="214"/>
      <c r="AC346" s="214"/>
    </row>
    <row r="347" spans="2:40" s="7" customFormat="1">
      <c r="B347" s="235"/>
      <c r="C347" s="10"/>
      <c r="D347" s="10"/>
    </row>
    <row r="348" spans="2:40" s="207" customFormat="1">
      <c r="C348" s="248" t="s">
        <v>862</v>
      </c>
    </row>
    <row r="349" spans="2:40" s="7" customFormat="1" ht="12" customHeight="1">
      <c r="B349" s="237"/>
      <c r="C349" s="208"/>
      <c r="D349" s="208"/>
      <c r="E349" s="196" t="s">
        <v>753</v>
      </c>
      <c r="F349" s="196" t="s">
        <v>754</v>
      </c>
      <c r="G349" s="196" t="s">
        <v>755</v>
      </c>
      <c r="H349" s="196" t="s">
        <v>756</v>
      </c>
      <c r="I349" s="196" t="s">
        <v>757</v>
      </c>
      <c r="J349" s="196" t="s">
        <v>758</v>
      </c>
      <c r="K349" s="196" t="s">
        <v>759</v>
      </c>
      <c r="L349" s="196" t="s">
        <v>760</v>
      </c>
      <c r="M349" s="196" t="s">
        <v>761</v>
      </c>
      <c r="N349" s="196" t="s">
        <v>762</v>
      </c>
      <c r="O349" s="196" t="s">
        <v>763</v>
      </c>
      <c r="P349" s="196" t="s">
        <v>764</v>
      </c>
      <c r="Q349" s="196" t="s">
        <v>765</v>
      </c>
      <c r="R349" s="196" t="s">
        <v>766</v>
      </c>
      <c r="S349" s="196" t="s">
        <v>767</v>
      </c>
      <c r="T349" s="196" t="s">
        <v>768</v>
      </c>
      <c r="U349" s="196" t="s">
        <v>769</v>
      </c>
      <c r="V349" s="196" t="s">
        <v>770</v>
      </c>
      <c r="W349" s="196" t="s">
        <v>771</v>
      </c>
      <c r="X349" s="196" t="s">
        <v>772</v>
      </c>
      <c r="Y349" s="196" t="s">
        <v>773</v>
      </c>
      <c r="Z349" s="196" t="s">
        <v>774</v>
      </c>
      <c r="AA349" s="196" t="s">
        <v>775</v>
      </c>
      <c r="AB349" s="196" t="s">
        <v>776</v>
      </c>
      <c r="AC349" s="196" t="s">
        <v>777</v>
      </c>
      <c r="AD349" s="196" t="s">
        <v>778</v>
      </c>
      <c r="AE349" s="196" t="s">
        <v>779</v>
      </c>
      <c r="AF349" s="196" t="s">
        <v>780</v>
      </c>
      <c r="AG349" s="196" t="s">
        <v>781</v>
      </c>
      <c r="AH349" s="196" t="s">
        <v>782</v>
      </c>
      <c r="AI349" s="196" t="s">
        <v>783</v>
      </c>
      <c r="AJ349" s="196" t="s">
        <v>784</v>
      </c>
      <c r="AK349" s="196" t="s">
        <v>785</v>
      </c>
      <c r="AL349" s="196" t="s">
        <v>786</v>
      </c>
      <c r="AM349" s="196" t="s">
        <v>787</v>
      </c>
      <c r="AN349" s="196" t="s">
        <v>788</v>
      </c>
    </row>
    <row r="350" spans="2:40" s="7" customFormat="1" ht="12" customHeight="1">
      <c r="B350" s="239"/>
      <c r="C350" s="214" t="s">
        <v>821</v>
      </c>
      <c r="D350" s="214"/>
      <c r="E350" s="351"/>
      <c r="F350" s="351"/>
      <c r="G350" s="351"/>
      <c r="H350" s="351"/>
      <c r="I350" s="351"/>
      <c r="J350" s="351"/>
      <c r="K350" s="351"/>
      <c r="L350" s="351"/>
      <c r="M350" s="337">
        <f t="shared" ref="M350:AN350" si="209">M36*M41</f>
        <v>53950</v>
      </c>
      <c r="N350" s="337">
        <f t="shared" si="209"/>
        <v>58100</v>
      </c>
      <c r="O350" s="337">
        <f t="shared" si="209"/>
        <v>16600</v>
      </c>
      <c r="P350" s="337">
        <f t="shared" si="209"/>
        <v>16600</v>
      </c>
      <c r="Q350" s="337">
        <f t="shared" si="209"/>
        <v>14424.120000000003</v>
      </c>
      <c r="R350" s="337">
        <f t="shared" si="209"/>
        <v>28221.440000000002</v>
      </c>
      <c r="S350" s="337">
        <f t="shared" si="209"/>
        <v>31535.680000000008</v>
      </c>
      <c r="T350" s="337">
        <f t="shared" si="209"/>
        <v>18719.68</v>
      </c>
      <c r="U350" s="337">
        <f t="shared" si="209"/>
        <v>14218.160000000002</v>
      </c>
      <c r="V350" s="337">
        <f t="shared" si="209"/>
        <v>33459.920000000006</v>
      </c>
      <c r="W350" s="337">
        <f t="shared" si="209"/>
        <v>15704.64</v>
      </c>
      <c r="X350" s="337">
        <f t="shared" si="209"/>
        <v>16457.28</v>
      </c>
      <c r="Y350" s="337">
        <f t="shared" si="209"/>
        <v>57200</v>
      </c>
      <c r="Z350" s="337">
        <f t="shared" si="209"/>
        <v>56000</v>
      </c>
      <c r="AA350" s="337">
        <f t="shared" si="209"/>
        <v>17600</v>
      </c>
      <c r="AB350" s="337">
        <f t="shared" si="209"/>
        <v>19200</v>
      </c>
      <c r="AC350" s="337">
        <f t="shared" si="209"/>
        <v>14965.024500000001</v>
      </c>
      <c r="AD350" s="337">
        <f t="shared" si="209"/>
        <v>38063.667200000004</v>
      </c>
      <c r="AE350" s="337">
        <f t="shared" si="209"/>
        <v>35990.094800000006</v>
      </c>
      <c r="AF350" s="337">
        <f t="shared" si="209"/>
        <v>21363.834800000001</v>
      </c>
      <c r="AG350" s="337">
        <f t="shared" si="209"/>
        <v>16226.4751</v>
      </c>
      <c r="AH350" s="337">
        <f t="shared" si="209"/>
        <v>45129.0671</v>
      </c>
      <c r="AI350" s="337">
        <f t="shared" si="209"/>
        <v>6517.4255999999996</v>
      </c>
      <c r="AJ350" s="337">
        <f t="shared" si="209"/>
        <v>18781.870800000001</v>
      </c>
      <c r="AK350" s="337">
        <f t="shared" si="209"/>
        <v>65279.5</v>
      </c>
      <c r="AL350" s="337">
        <f t="shared" si="209"/>
        <v>58100</v>
      </c>
      <c r="AM350" s="337">
        <f t="shared" si="209"/>
        <v>20086.000000000004</v>
      </c>
      <c r="AN350" s="337">
        <f t="shared" si="209"/>
        <v>23904</v>
      </c>
    </row>
    <row r="351" spans="2:40" ht="12" customHeight="1">
      <c r="B351" s="301"/>
      <c r="C351" s="303" t="s">
        <v>827</v>
      </c>
      <c r="D351" s="303"/>
      <c r="E351" s="312"/>
      <c r="F351" s="312"/>
      <c r="G351" s="312"/>
      <c r="H351" s="312"/>
      <c r="I351" s="312"/>
      <c r="J351" s="312"/>
      <c r="K351" s="312"/>
      <c r="L351" s="312"/>
      <c r="M351" s="313">
        <v>35</v>
      </c>
      <c r="N351" s="313">
        <v>35</v>
      </c>
      <c r="O351" s="313">
        <v>35</v>
      </c>
      <c r="P351" s="313">
        <v>35</v>
      </c>
      <c r="Q351" s="313">
        <v>35</v>
      </c>
      <c r="R351" s="313">
        <v>35</v>
      </c>
      <c r="S351" s="313">
        <v>35</v>
      </c>
      <c r="T351" s="313">
        <v>35</v>
      </c>
      <c r="U351" s="313">
        <v>35</v>
      </c>
      <c r="V351" s="313">
        <v>35</v>
      </c>
      <c r="W351" s="313">
        <v>35</v>
      </c>
      <c r="X351" s="313">
        <v>35</v>
      </c>
      <c r="Y351" s="313">
        <v>35</v>
      </c>
      <c r="Z351" s="313">
        <v>35</v>
      </c>
      <c r="AA351" s="313">
        <v>35</v>
      </c>
      <c r="AB351" s="313">
        <v>35</v>
      </c>
      <c r="AC351" s="313">
        <v>35</v>
      </c>
      <c r="AD351" s="313">
        <v>35</v>
      </c>
      <c r="AE351" s="313">
        <v>35</v>
      </c>
      <c r="AF351" s="313">
        <v>35</v>
      </c>
      <c r="AG351" s="313">
        <v>35</v>
      </c>
      <c r="AH351" s="313">
        <v>35</v>
      </c>
      <c r="AI351" s="313">
        <v>35</v>
      </c>
      <c r="AJ351" s="313">
        <v>35</v>
      </c>
      <c r="AK351" s="313">
        <v>35</v>
      </c>
      <c r="AL351" s="313">
        <v>35</v>
      </c>
      <c r="AM351" s="313">
        <v>35</v>
      </c>
      <c r="AN351" s="313">
        <v>35</v>
      </c>
    </row>
    <row r="352" spans="2:40" s="7" customFormat="1" ht="12" customHeight="1">
      <c r="B352" s="239"/>
      <c r="C352" s="214" t="s">
        <v>829</v>
      </c>
      <c r="D352" s="214"/>
      <c r="E352" s="232"/>
      <c r="F352" s="232"/>
      <c r="G352" s="232"/>
      <c r="H352" s="232"/>
      <c r="I352" s="232"/>
      <c r="J352" s="232"/>
      <c r="K352" s="232"/>
      <c r="L352" s="232"/>
      <c r="M352" s="205">
        <f t="shared" ref="M352:AN352" si="210">M350/M351</f>
        <v>1541.4285714285713</v>
      </c>
      <c r="N352" s="205">
        <f t="shared" si="210"/>
        <v>1660</v>
      </c>
      <c r="O352" s="205">
        <f t="shared" si="210"/>
        <v>474.28571428571428</v>
      </c>
      <c r="P352" s="205">
        <f t="shared" si="210"/>
        <v>474.28571428571428</v>
      </c>
      <c r="Q352" s="205">
        <f t="shared" si="210"/>
        <v>412.11771428571438</v>
      </c>
      <c r="R352" s="205">
        <f t="shared" si="210"/>
        <v>806.32685714285719</v>
      </c>
      <c r="S352" s="205">
        <f t="shared" si="210"/>
        <v>901.01942857142876</v>
      </c>
      <c r="T352" s="205">
        <f t="shared" si="210"/>
        <v>534.84799999999996</v>
      </c>
      <c r="U352" s="205">
        <f t="shared" si="210"/>
        <v>406.23314285714292</v>
      </c>
      <c r="V352" s="205">
        <f t="shared" si="210"/>
        <v>955.99771428571444</v>
      </c>
      <c r="W352" s="205">
        <f t="shared" si="210"/>
        <v>448.70400000000001</v>
      </c>
      <c r="X352" s="205">
        <f t="shared" si="210"/>
        <v>470.20799999999997</v>
      </c>
      <c r="Y352" s="205">
        <f t="shared" si="210"/>
        <v>1634.2857142857142</v>
      </c>
      <c r="Z352" s="205">
        <f t="shared" si="210"/>
        <v>1600</v>
      </c>
      <c r="AA352" s="205">
        <f t="shared" si="210"/>
        <v>502.85714285714283</v>
      </c>
      <c r="AB352" s="205">
        <f t="shared" si="210"/>
        <v>548.57142857142856</v>
      </c>
      <c r="AC352" s="205">
        <f t="shared" si="210"/>
        <v>427.57212857142861</v>
      </c>
      <c r="AD352" s="205">
        <f t="shared" si="210"/>
        <v>1087.5333485714286</v>
      </c>
      <c r="AE352" s="205">
        <f t="shared" si="210"/>
        <v>1028.2884228571431</v>
      </c>
      <c r="AF352" s="205">
        <f t="shared" si="210"/>
        <v>610.39528000000007</v>
      </c>
      <c r="AG352" s="205">
        <f t="shared" si="210"/>
        <v>463.61357428571426</v>
      </c>
      <c r="AH352" s="205">
        <f t="shared" si="210"/>
        <v>1289.4019171428572</v>
      </c>
      <c r="AI352" s="205">
        <f t="shared" si="210"/>
        <v>186.21215999999998</v>
      </c>
      <c r="AJ352" s="205">
        <f t="shared" si="210"/>
        <v>536.62487999999996</v>
      </c>
      <c r="AK352" s="205">
        <f t="shared" si="210"/>
        <v>1865.1285714285714</v>
      </c>
      <c r="AL352" s="205">
        <f t="shared" si="210"/>
        <v>1660</v>
      </c>
      <c r="AM352" s="205">
        <f t="shared" si="210"/>
        <v>573.88571428571436</v>
      </c>
      <c r="AN352" s="205">
        <f t="shared" si="210"/>
        <v>682.97142857142853</v>
      </c>
    </row>
    <row r="353" spans="2:40" ht="12" customHeight="1">
      <c r="B353" s="301"/>
      <c r="C353" s="303" t="s">
        <v>830</v>
      </c>
      <c r="D353" s="303"/>
      <c r="E353" s="314"/>
      <c r="F353" s="314"/>
      <c r="G353" s="314"/>
      <c r="H353" s="314"/>
      <c r="I353" s="314"/>
      <c r="J353" s="314"/>
      <c r="K353" s="314"/>
      <c r="L353" s="314"/>
      <c r="M353" s="315">
        <v>0</v>
      </c>
      <c r="N353" s="315">
        <v>0</v>
      </c>
      <c r="O353" s="315">
        <v>0</v>
      </c>
      <c r="P353" s="315">
        <v>0</v>
      </c>
      <c r="Q353" s="315">
        <v>0</v>
      </c>
      <c r="R353" s="315">
        <v>0</v>
      </c>
      <c r="S353" s="315">
        <v>0</v>
      </c>
      <c r="T353" s="315">
        <v>0</v>
      </c>
      <c r="U353" s="315">
        <v>0</v>
      </c>
      <c r="V353" s="315">
        <v>0</v>
      </c>
      <c r="W353" s="315">
        <v>0</v>
      </c>
      <c r="X353" s="315">
        <v>0</v>
      </c>
      <c r="Y353" s="315">
        <v>0</v>
      </c>
      <c r="Z353" s="315">
        <v>0</v>
      </c>
      <c r="AA353" s="315">
        <v>0</v>
      </c>
      <c r="AB353" s="315">
        <v>0</v>
      </c>
      <c r="AC353" s="315">
        <v>0</v>
      </c>
      <c r="AD353" s="315">
        <v>0</v>
      </c>
      <c r="AE353" s="315">
        <v>0</v>
      </c>
      <c r="AF353" s="315">
        <v>0</v>
      </c>
      <c r="AG353" s="315">
        <v>0</v>
      </c>
      <c r="AH353" s="315">
        <v>0</v>
      </c>
      <c r="AI353" s="315">
        <v>0</v>
      </c>
      <c r="AJ353" s="315">
        <v>0</v>
      </c>
      <c r="AK353" s="315">
        <v>0</v>
      </c>
      <c r="AL353" s="315">
        <v>0</v>
      </c>
      <c r="AM353" s="315">
        <v>0</v>
      </c>
      <c r="AN353" s="315">
        <v>0</v>
      </c>
    </row>
    <row r="354" spans="2:40" s="7" customFormat="1" ht="12" customHeight="1">
      <c r="B354" s="239"/>
      <c r="C354" s="214" t="s">
        <v>831</v>
      </c>
      <c r="D354" s="214"/>
      <c r="E354" s="232"/>
      <c r="F354" s="232"/>
      <c r="G354" s="232"/>
      <c r="H354" s="232"/>
      <c r="I354" s="232"/>
      <c r="J354" s="232"/>
      <c r="K354" s="232"/>
      <c r="L354" s="232"/>
      <c r="M354" s="205">
        <f t="shared" ref="M354:AN354" si="211">M352*M353</f>
        <v>0</v>
      </c>
      <c r="N354" s="205">
        <f t="shared" si="211"/>
        <v>0</v>
      </c>
      <c r="O354" s="205">
        <f t="shared" si="211"/>
        <v>0</v>
      </c>
      <c r="P354" s="205">
        <f t="shared" si="211"/>
        <v>0</v>
      </c>
      <c r="Q354" s="205">
        <f t="shared" si="211"/>
        <v>0</v>
      </c>
      <c r="R354" s="205">
        <f t="shared" si="211"/>
        <v>0</v>
      </c>
      <c r="S354" s="205">
        <f t="shared" si="211"/>
        <v>0</v>
      </c>
      <c r="T354" s="205">
        <f t="shared" si="211"/>
        <v>0</v>
      </c>
      <c r="U354" s="205">
        <f t="shared" si="211"/>
        <v>0</v>
      </c>
      <c r="V354" s="205">
        <f t="shared" si="211"/>
        <v>0</v>
      </c>
      <c r="W354" s="205">
        <f t="shared" si="211"/>
        <v>0</v>
      </c>
      <c r="X354" s="205">
        <f t="shared" si="211"/>
        <v>0</v>
      </c>
      <c r="Y354" s="205">
        <f t="shared" si="211"/>
        <v>0</v>
      </c>
      <c r="Z354" s="205">
        <f t="shared" si="211"/>
        <v>0</v>
      </c>
      <c r="AA354" s="205">
        <f t="shared" si="211"/>
        <v>0</v>
      </c>
      <c r="AB354" s="205">
        <f t="shared" si="211"/>
        <v>0</v>
      </c>
      <c r="AC354" s="205">
        <f t="shared" si="211"/>
        <v>0</v>
      </c>
      <c r="AD354" s="205">
        <f t="shared" si="211"/>
        <v>0</v>
      </c>
      <c r="AE354" s="205">
        <f t="shared" si="211"/>
        <v>0</v>
      </c>
      <c r="AF354" s="205">
        <f t="shared" si="211"/>
        <v>0</v>
      </c>
      <c r="AG354" s="205">
        <f t="shared" si="211"/>
        <v>0</v>
      </c>
      <c r="AH354" s="205">
        <f t="shared" si="211"/>
        <v>0</v>
      </c>
      <c r="AI354" s="205">
        <f t="shared" si="211"/>
        <v>0</v>
      </c>
      <c r="AJ354" s="205">
        <f t="shared" si="211"/>
        <v>0</v>
      </c>
      <c r="AK354" s="205">
        <f t="shared" si="211"/>
        <v>0</v>
      </c>
      <c r="AL354" s="205">
        <f t="shared" si="211"/>
        <v>0</v>
      </c>
      <c r="AM354" s="205">
        <f t="shared" si="211"/>
        <v>0</v>
      </c>
      <c r="AN354" s="205">
        <f t="shared" si="211"/>
        <v>0</v>
      </c>
    </row>
    <row r="355" spans="2:40" s="7" customFormat="1" ht="12" customHeight="1">
      <c r="B355" s="239"/>
      <c r="C355" s="214" t="s">
        <v>833</v>
      </c>
      <c r="D355" s="214"/>
      <c r="E355" s="232">
        <f>239+35</f>
        <v>274</v>
      </c>
      <c r="F355" s="232">
        <f>1199+40</f>
        <v>1239</v>
      </c>
      <c r="G355" s="232">
        <f>1572+18</f>
        <v>1590</v>
      </c>
      <c r="H355" s="232">
        <f>21+269</f>
        <v>290</v>
      </c>
      <c r="I355" s="232">
        <f>23+487</f>
        <v>510</v>
      </c>
      <c r="J355" s="232">
        <f>1551+72</f>
        <v>1623</v>
      </c>
      <c r="K355" s="232">
        <f>1676+57</f>
        <v>1733</v>
      </c>
      <c r="L355" s="232">
        <f>28+247</f>
        <v>275</v>
      </c>
      <c r="M355" s="205">
        <f t="shared" ref="M355:AN355" si="212">M352+M354</f>
        <v>1541.4285714285713</v>
      </c>
      <c r="N355" s="205">
        <f t="shared" si="212"/>
        <v>1660</v>
      </c>
      <c r="O355" s="205">
        <f t="shared" si="212"/>
        <v>474.28571428571428</v>
      </c>
      <c r="P355" s="205">
        <f t="shared" si="212"/>
        <v>474.28571428571428</v>
      </c>
      <c r="Q355" s="205">
        <f t="shared" si="212"/>
        <v>412.11771428571438</v>
      </c>
      <c r="R355" s="205">
        <f t="shared" si="212"/>
        <v>806.32685714285719</v>
      </c>
      <c r="S355" s="205">
        <f t="shared" si="212"/>
        <v>901.01942857142876</v>
      </c>
      <c r="T355" s="205">
        <f t="shared" si="212"/>
        <v>534.84799999999996</v>
      </c>
      <c r="U355" s="205">
        <f t="shared" si="212"/>
        <v>406.23314285714292</v>
      </c>
      <c r="V355" s="205">
        <f t="shared" si="212"/>
        <v>955.99771428571444</v>
      </c>
      <c r="W355" s="205">
        <f t="shared" si="212"/>
        <v>448.70400000000001</v>
      </c>
      <c r="X355" s="205">
        <f t="shared" si="212"/>
        <v>470.20799999999997</v>
      </c>
      <c r="Y355" s="205">
        <f t="shared" si="212"/>
        <v>1634.2857142857142</v>
      </c>
      <c r="Z355" s="205">
        <f t="shared" si="212"/>
        <v>1600</v>
      </c>
      <c r="AA355" s="205">
        <f t="shared" si="212"/>
        <v>502.85714285714283</v>
      </c>
      <c r="AB355" s="205">
        <f t="shared" si="212"/>
        <v>548.57142857142856</v>
      </c>
      <c r="AC355" s="205">
        <f t="shared" si="212"/>
        <v>427.57212857142861</v>
      </c>
      <c r="AD355" s="205">
        <f t="shared" si="212"/>
        <v>1087.5333485714286</v>
      </c>
      <c r="AE355" s="205">
        <f t="shared" si="212"/>
        <v>1028.2884228571431</v>
      </c>
      <c r="AF355" s="205">
        <f t="shared" si="212"/>
        <v>610.39528000000007</v>
      </c>
      <c r="AG355" s="205">
        <f t="shared" si="212"/>
        <v>463.61357428571426</v>
      </c>
      <c r="AH355" s="205">
        <f t="shared" si="212"/>
        <v>1289.4019171428572</v>
      </c>
      <c r="AI355" s="205">
        <f t="shared" si="212"/>
        <v>186.21215999999998</v>
      </c>
      <c r="AJ355" s="205">
        <f t="shared" si="212"/>
        <v>536.62487999999996</v>
      </c>
      <c r="AK355" s="205">
        <f t="shared" si="212"/>
        <v>1865.1285714285714</v>
      </c>
      <c r="AL355" s="205">
        <f t="shared" si="212"/>
        <v>1660</v>
      </c>
      <c r="AM355" s="205">
        <f t="shared" si="212"/>
        <v>573.88571428571436</v>
      </c>
      <c r="AN355" s="205">
        <f t="shared" si="212"/>
        <v>682.97142857142853</v>
      </c>
    </row>
    <row r="356" spans="2:40" s="7" customFormat="1" ht="12" customHeight="1">
      <c r="B356" s="239"/>
      <c r="C356" s="214" t="s">
        <v>834</v>
      </c>
      <c r="D356" s="214"/>
      <c r="E356" s="232">
        <v>35</v>
      </c>
      <c r="F356" s="232">
        <v>40</v>
      </c>
      <c r="G356" s="232">
        <v>18</v>
      </c>
      <c r="H356" s="232">
        <v>21</v>
      </c>
      <c r="I356" s="232">
        <v>23</v>
      </c>
      <c r="J356" s="232">
        <v>72</v>
      </c>
      <c r="K356" s="232">
        <v>57</v>
      </c>
      <c r="L356" s="232">
        <v>28</v>
      </c>
      <c r="M356" s="205">
        <f t="shared" ref="M356:AN356" si="213">M364+M365</f>
        <v>92.48571428571428</v>
      </c>
      <c r="N356" s="205">
        <f t="shared" si="213"/>
        <v>99.6</v>
      </c>
      <c r="O356" s="205">
        <f t="shared" si="213"/>
        <v>28.457142857142856</v>
      </c>
      <c r="P356" s="205">
        <f t="shared" si="213"/>
        <v>28.457142857142856</v>
      </c>
      <c r="Q356" s="205">
        <f t="shared" si="213"/>
        <v>24.727062857142862</v>
      </c>
      <c r="R356" s="205">
        <f t="shared" si="213"/>
        <v>48.37961142857143</v>
      </c>
      <c r="S356" s="205">
        <f t="shared" si="213"/>
        <v>54.061165714285721</v>
      </c>
      <c r="T356" s="205">
        <f t="shared" si="213"/>
        <v>32.090879999999999</v>
      </c>
      <c r="U356" s="205">
        <f t="shared" si="213"/>
        <v>24.373988571428576</v>
      </c>
      <c r="V356" s="205">
        <f t="shared" si="213"/>
        <v>57.359862857142865</v>
      </c>
      <c r="W356" s="205">
        <f t="shared" si="213"/>
        <v>26.922239999999999</v>
      </c>
      <c r="X356" s="205">
        <f t="shared" si="213"/>
        <v>28.212479999999996</v>
      </c>
      <c r="Y356" s="205">
        <f t="shared" si="213"/>
        <v>98.05714285714285</v>
      </c>
      <c r="Z356" s="205">
        <f t="shared" si="213"/>
        <v>96</v>
      </c>
      <c r="AA356" s="205">
        <f t="shared" si="213"/>
        <v>30.171428571428567</v>
      </c>
      <c r="AB356" s="205">
        <f t="shared" si="213"/>
        <v>32.914285714285711</v>
      </c>
      <c r="AC356" s="205">
        <f t="shared" si="213"/>
        <v>25.654327714285717</v>
      </c>
      <c r="AD356" s="205">
        <f t="shared" si="213"/>
        <v>65.252000914285716</v>
      </c>
      <c r="AE356" s="205">
        <f t="shared" si="213"/>
        <v>61.697305371428584</v>
      </c>
      <c r="AF356" s="205">
        <f t="shared" si="213"/>
        <v>36.623716800000004</v>
      </c>
      <c r="AG356" s="205">
        <f t="shared" si="213"/>
        <v>27.816814457142854</v>
      </c>
      <c r="AH356" s="205">
        <f t="shared" si="213"/>
        <v>77.364115028571433</v>
      </c>
      <c r="AI356" s="205">
        <f t="shared" si="213"/>
        <v>11.172729599999998</v>
      </c>
      <c r="AJ356" s="205">
        <f t="shared" si="213"/>
        <v>32.197492799999999</v>
      </c>
      <c r="AK356" s="205">
        <f t="shared" si="213"/>
        <v>111.90771428571428</v>
      </c>
      <c r="AL356" s="205">
        <f t="shared" si="213"/>
        <v>99.6</v>
      </c>
      <c r="AM356" s="205">
        <f t="shared" si="213"/>
        <v>34.433142857142862</v>
      </c>
      <c r="AN356" s="205">
        <f t="shared" si="213"/>
        <v>40.978285714285711</v>
      </c>
    </row>
    <row r="357" spans="2:40" s="7" customFormat="1" ht="12" customHeight="1">
      <c r="B357" s="239"/>
      <c r="C357" s="214" t="s">
        <v>835</v>
      </c>
      <c r="D357" s="214"/>
      <c r="E357" s="232"/>
      <c r="F357" s="232"/>
      <c r="G357" s="232"/>
      <c r="H357" s="232"/>
      <c r="I357" s="232"/>
      <c r="J357" s="232"/>
      <c r="K357" s="232"/>
      <c r="L357" s="232"/>
      <c r="M357" s="205"/>
      <c r="N357" s="205"/>
      <c r="O357" s="205"/>
      <c r="P357" s="205"/>
      <c r="Q357" s="205"/>
      <c r="R357" s="205"/>
      <c r="S357" s="205"/>
      <c r="T357" s="205"/>
      <c r="U357" s="205"/>
      <c r="V357" s="205"/>
      <c r="W357" s="205"/>
      <c r="X357" s="205"/>
      <c r="Y357" s="205"/>
      <c r="Z357" s="205"/>
      <c r="AA357" s="205"/>
      <c r="AB357" s="205"/>
      <c r="AC357" s="205"/>
      <c r="AD357" s="205"/>
      <c r="AE357" s="205"/>
      <c r="AF357" s="205"/>
      <c r="AG357" s="205"/>
      <c r="AH357" s="205"/>
      <c r="AI357" s="205"/>
      <c r="AJ357" s="205"/>
      <c r="AK357" s="205"/>
      <c r="AL357" s="205"/>
      <c r="AM357" s="205"/>
      <c r="AN357" s="205"/>
    </row>
    <row r="358" spans="2:40" s="7" customFormat="1" ht="12" customHeight="1">
      <c r="B358" s="239"/>
      <c r="C358" s="214" t="s">
        <v>836</v>
      </c>
      <c r="D358" s="214"/>
      <c r="E358" s="232"/>
      <c r="F358" s="232"/>
      <c r="G358" s="232"/>
      <c r="H358" s="232"/>
      <c r="I358" s="232"/>
      <c r="J358" s="232"/>
      <c r="K358" s="232"/>
      <c r="L358" s="232"/>
      <c r="M358" s="205"/>
      <c r="N358" s="205"/>
      <c r="O358" s="205"/>
      <c r="P358" s="205"/>
      <c r="Q358" s="205"/>
      <c r="R358" s="205"/>
      <c r="S358" s="205"/>
      <c r="T358" s="205"/>
      <c r="U358" s="205"/>
      <c r="V358" s="205"/>
      <c r="W358" s="205"/>
      <c r="X358" s="205"/>
      <c r="Y358" s="205"/>
      <c r="Z358" s="205"/>
      <c r="AA358" s="205"/>
      <c r="AB358" s="205"/>
      <c r="AC358" s="205"/>
      <c r="AD358" s="205"/>
      <c r="AE358" s="205"/>
      <c r="AF358" s="205"/>
      <c r="AG358" s="205"/>
      <c r="AH358" s="205"/>
      <c r="AI358" s="205"/>
      <c r="AJ358" s="205"/>
      <c r="AK358" s="205"/>
      <c r="AL358" s="205"/>
      <c r="AM358" s="205"/>
      <c r="AN358" s="205"/>
    </row>
    <row r="359" spans="2:40" ht="12" customHeight="1">
      <c r="B359" s="301" t="s">
        <v>880</v>
      </c>
      <c r="C359" s="303" t="s">
        <v>837</v>
      </c>
      <c r="D359" s="303"/>
      <c r="E359" s="317">
        <f>1-(E356/E355)</f>
        <v>0.87226277372262773</v>
      </c>
      <c r="F359" s="317">
        <f t="shared" ref="F359:I359" si="214">1-(F356/F355)</f>
        <v>0.96771589991928975</v>
      </c>
      <c r="G359" s="317">
        <f t="shared" si="214"/>
        <v>0.98867924528301887</v>
      </c>
      <c r="H359" s="317">
        <f t="shared" si="214"/>
        <v>0.92758620689655169</v>
      </c>
      <c r="I359" s="317">
        <f t="shared" si="214"/>
        <v>0.95490196078431377</v>
      </c>
      <c r="J359" s="317">
        <f>1551/1623</f>
        <v>0.95563770794824399</v>
      </c>
      <c r="K359" s="317">
        <f>1676/1733</f>
        <v>0.96710905943450665</v>
      </c>
      <c r="L359" s="317">
        <f>247/275</f>
        <v>0.89818181818181819</v>
      </c>
      <c r="M359" s="318">
        <v>0.94</v>
      </c>
      <c r="N359" s="318">
        <v>0.94</v>
      </c>
      <c r="O359" s="318">
        <v>0.94</v>
      </c>
      <c r="P359" s="318">
        <v>0.94</v>
      </c>
      <c r="Q359" s="318">
        <v>0.94</v>
      </c>
      <c r="R359" s="318">
        <v>0.94</v>
      </c>
      <c r="S359" s="318">
        <v>0.94</v>
      </c>
      <c r="T359" s="318">
        <v>0.94</v>
      </c>
      <c r="U359" s="318">
        <v>0.94</v>
      </c>
      <c r="V359" s="318">
        <v>0.94</v>
      </c>
      <c r="W359" s="318">
        <v>0.94</v>
      </c>
      <c r="X359" s="318">
        <v>0.94</v>
      </c>
      <c r="Y359" s="318">
        <v>0.94</v>
      </c>
      <c r="Z359" s="318">
        <v>0.94</v>
      </c>
      <c r="AA359" s="318">
        <v>0.94</v>
      </c>
      <c r="AB359" s="318">
        <v>0.94</v>
      </c>
      <c r="AC359" s="318">
        <v>0.94</v>
      </c>
      <c r="AD359" s="318">
        <v>0.94</v>
      </c>
      <c r="AE359" s="318">
        <v>0.94</v>
      </c>
      <c r="AF359" s="318">
        <v>0.94</v>
      </c>
      <c r="AG359" s="318">
        <v>0.94</v>
      </c>
      <c r="AH359" s="318">
        <v>0.94</v>
      </c>
      <c r="AI359" s="318">
        <v>0.94</v>
      </c>
      <c r="AJ359" s="318">
        <v>0.94</v>
      </c>
      <c r="AK359" s="318">
        <v>0.94</v>
      </c>
      <c r="AL359" s="318">
        <v>0.94</v>
      </c>
      <c r="AM359" s="318">
        <v>0.94</v>
      </c>
      <c r="AN359" s="318">
        <v>0.94</v>
      </c>
    </row>
    <row r="360" spans="2:40" ht="12" customHeight="1">
      <c r="B360" s="301"/>
      <c r="C360" s="303" t="s">
        <v>839</v>
      </c>
      <c r="D360" s="303"/>
      <c r="E360" s="317">
        <f>1-E359</f>
        <v>0.12773722627737227</v>
      </c>
      <c r="F360" s="317">
        <f t="shared" ref="F360:I360" si="215">1-F359</f>
        <v>3.2284100080710254E-2</v>
      </c>
      <c r="G360" s="317">
        <f t="shared" si="215"/>
        <v>1.132075471698113E-2</v>
      </c>
      <c r="H360" s="317">
        <f t="shared" si="215"/>
        <v>7.241379310344831E-2</v>
      </c>
      <c r="I360" s="317">
        <f t="shared" si="215"/>
        <v>4.5098039215686225E-2</v>
      </c>
      <c r="J360" s="317">
        <f>1-J359</f>
        <v>4.4362292051756014E-2</v>
      </c>
      <c r="K360" s="317">
        <f>1-K359</f>
        <v>3.2890940565493354E-2</v>
      </c>
      <c r="L360" s="317">
        <f>1-L359</f>
        <v>0.10181818181818181</v>
      </c>
      <c r="M360" s="318">
        <v>0.06</v>
      </c>
      <c r="N360" s="318">
        <v>0.06</v>
      </c>
      <c r="O360" s="318">
        <v>0.06</v>
      </c>
      <c r="P360" s="318">
        <v>0.06</v>
      </c>
      <c r="Q360" s="318">
        <v>0.06</v>
      </c>
      <c r="R360" s="318">
        <v>0.06</v>
      </c>
      <c r="S360" s="318">
        <v>0.06</v>
      </c>
      <c r="T360" s="318">
        <v>0.06</v>
      </c>
      <c r="U360" s="318">
        <v>0.06</v>
      </c>
      <c r="V360" s="318">
        <v>0.06</v>
      </c>
      <c r="W360" s="318">
        <v>0.06</v>
      </c>
      <c r="X360" s="318">
        <v>0.06</v>
      </c>
      <c r="Y360" s="318">
        <v>0.06</v>
      </c>
      <c r="Z360" s="318">
        <v>0.06</v>
      </c>
      <c r="AA360" s="318">
        <v>0.06</v>
      </c>
      <c r="AB360" s="318">
        <v>0.06</v>
      </c>
      <c r="AC360" s="318">
        <v>0.06</v>
      </c>
      <c r="AD360" s="318">
        <v>0.06</v>
      </c>
      <c r="AE360" s="318">
        <v>0.06</v>
      </c>
      <c r="AF360" s="318">
        <v>0.06</v>
      </c>
      <c r="AG360" s="318">
        <v>0.06</v>
      </c>
      <c r="AH360" s="318">
        <v>0.06</v>
      </c>
      <c r="AI360" s="318">
        <v>0.06</v>
      </c>
      <c r="AJ360" s="318">
        <v>0.06</v>
      </c>
      <c r="AK360" s="318">
        <v>0.06</v>
      </c>
      <c r="AL360" s="318">
        <v>0.06</v>
      </c>
      <c r="AM360" s="318">
        <v>0.06</v>
      </c>
      <c r="AN360" s="318">
        <v>0.06</v>
      </c>
    </row>
    <row r="361" spans="2:40" ht="12" customHeight="1">
      <c r="B361" s="301"/>
      <c r="C361" s="303" t="s">
        <v>840</v>
      </c>
      <c r="D361" s="303"/>
      <c r="E361" s="317">
        <v>0</v>
      </c>
      <c r="F361" s="317">
        <v>0</v>
      </c>
      <c r="G361" s="317">
        <v>0</v>
      </c>
      <c r="H361" s="317">
        <v>0</v>
      </c>
      <c r="I361" s="317">
        <v>0</v>
      </c>
      <c r="J361" s="317">
        <v>0</v>
      </c>
      <c r="K361" s="317">
        <v>0</v>
      </c>
      <c r="L361" s="317">
        <v>0</v>
      </c>
      <c r="M361" s="318">
        <v>0</v>
      </c>
      <c r="N361" s="318">
        <v>0</v>
      </c>
      <c r="O361" s="318">
        <v>0</v>
      </c>
      <c r="P361" s="318">
        <v>0</v>
      </c>
      <c r="Q361" s="318">
        <v>0</v>
      </c>
      <c r="R361" s="318">
        <v>0</v>
      </c>
      <c r="S361" s="318">
        <v>0</v>
      </c>
      <c r="T361" s="318">
        <v>0</v>
      </c>
      <c r="U361" s="318">
        <v>0</v>
      </c>
      <c r="V361" s="318">
        <v>0</v>
      </c>
      <c r="W361" s="318">
        <v>0</v>
      </c>
      <c r="X361" s="318">
        <v>0</v>
      </c>
      <c r="Y361" s="318">
        <v>0</v>
      </c>
      <c r="Z361" s="318">
        <v>0</v>
      </c>
      <c r="AA361" s="318">
        <v>0</v>
      </c>
      <c r="AB361" s="318">
        <v>0</v>
      </c>
      <c r="AC361" s="318">
        <v>0</v>
      </c>
      <c r="AD361" s="318">
        <v>0</v>
      </c>
      <c r="AE361" s="318">
        <v>0</v>
      </c>
      <c r="AF361" s="318">
        <v>0</v>
      </c>
      <c r="AG361" s="318">
        <v>0</v>
      </c>
      <c r="AH361" s="318">
        <v>0</v>
      </c>
      <c r="AI361" s="318">
        <v>0</v>
      </c>
      <c r="AJ361" s="318">
        <v>0</v>
      </c>
      <c r="AK361" s="318">
        <v>0</v>
      </c>
      <c r="AL361" s="318">
        <v>0</v>
      </c>
      <c r="AM361" s="318">
        <v>0</v>
      </c>
      <c r="AN361" s="318">
        <v>0</v>
      </c>
    </row>
    <row r="362" spans="2:40" s="7" customFormat="1" ht="12" customHeight="1">
      <c r="B362" s="237"/>
      <c r="C362" s="208"/>
      <c r="D362" s="208"/>
      <c r="E362" s="216"/>
      <c r="F362" s="216"/>
      <c r="G362" s="216"/>
      <c r="H362" s="216"/>
      <c r="I362" s="216"/>
      <c r="J362" s="216"/>
      <c r="K362" s="216"/>
      <c r="L362" s="216"/>
      <c r="M362" s="216"/>
      <c r="N362" s="216"/>
      <c r="O362" s="216"/>
      <c r="P362" s="216"/>
      <c r="Q362" s="216"/>
      <c r="R362" s="216"/>
      <c r="S362" s="216"/>
      <c r="T362" s="216"/>
      <c r="U362" s="216"/>
      <c r="V362" s="216"/>
      <c r="W362" s="216"/>
      <c r="X362" s="216"/>
      <c r="Y362" s="216"/>
      <c r="Z362" s="216"/>
      <c r="AA362" s="216"/>
      <c r="AB362" s="216"/>
      <c r="AC362" s="216"/>
      <c r="AD362" s="216"/>
      <c r="AE362" s="216"/>
      <c r="AF362" s="216"/>
      <c r="AG362" s="216"/>
      <c r="AH362" s="216"/>
      <c r="AI362" s="216"/>
      <c r="AJ362" s="216"/>
      <c r="AK362" s="216"/>
      <c r="AL362" s="216"/>
      <c r="AM362" s="216"/>
      <c r="AN362" s="216"/>
    </row>
    <row r="363" spans="2:40" s="7" customFormat="1" ht="12" customHeight="1">
      <c r="B363" s="239"/>
      <c r="C363" s="214" t="s">
        <v>841</v>
      </c>
      <c r="D363" s="214"/>
      <c r="E363" s="209">
        <f>E355*E359</f>
        <v>239</v>
      </c>
      <c r="F363" s="209">
        <f>F355*F359</f>
        <v>1199</v>
      </c>
      <c r="G363" s="209">
        <f t="shared" ref="G363:I363" si="216">G355*G359</f>
        <v>1572</v>
      </c>
      <c r="H363" s="209">
        <f>H355*H359</f>
        <v>269</v>
      </c>
      <c r="I363" s="209">
        <f t="shared" si="216"/>
        <v>487</v>
      </c>
      <c r="J363" s="209">
        <f t="shared" ref="J363:AN363" si="217">J355*J359</f>
        <v>1551</v>
      </c>
      <c r="K363" s="209">
        <f t="shared" si="217"/>
        <v>1676</v>
      </c>
      <c r="L363" s="209">
        <f t="shared" si="217"/>
        <v>247</v>
      </c>
      <c r="M363" s="209">
        <f t="shared" si="217"/>
        <v>1448.9428571428571</v>
      </c>
      <c r="N363" s="209">
        <f t="shared" si="217"/>
        <v>1560.3999999999999</v>
      </c>
      <c r="O363" s="209">
        <f t="shared" si="217"/>
        <v>445.82857142857142</v>
      </c>
      <c r="P363" s="209">
        <f t="shared" si="217"/>
        <v>445.82857142857142</v>
      </c>
      <c r="Q363" s="209">
        <f t="shared" si="217"/>
        <v>387.39065142857152</v>
      </c>
      <c r="R363" s="209">
        <f t="shared" si="217"/>
        <v>757.94724571428571</v>
      </c>
      <c r="S363" s="209">
        <f t="shared" si="217"/>
        <v>846.95826285714304</v>
      </c>
      <c r="T363" s="209">
        <f t="shared" si="217"/>
        <v>502.75711999999993</v>
      </c>
      <c r="U363" s="209">
        <f t="shared" si="217"/>
        <v>381.85915428571434</v>
      </c>
      <c r="V363" s="209">
        <f t="shared" si="217"/>
        <v>898.63785142857148</v>
      </c>
      <c r="W363" s="209">
        <f t="shared" si="217"/>
        <v>421.78175999999996</v>
      </c>
      <c r="X363" s="209">
        <f t="shared" si="217"/>
        <v>441.99551999999994</v>
      </c>
      <c r="Y363" s="209">
        <f t="shared" si="217"/>
        <v>1536.2285714285713</v>
      </c>
      <c r="Z363" s="209">
        <f t="shared" si="217"/>
        <v>1504</v>
      </c>
      <c r="AA363" s="209">
        <f t="shared" si="217"/>
        <v>472.68571428571425</v>
      </c>
      <c r="AB363" s="209">
        <f t="shared" si="217"/>
        <v>515.65714285714284</v>
      </c>
      <c r="AC363" s="209">
        <f t="shared" si="217"/>
        <v>401.91780085714288</v>
      </c>
      <c r="AD363" s="209">
        <f t="shared" si="217"/>
        <v>1022.2813476571429</v>
      </c>
      <c r="AE363" s="209">
        <f t="shared" si="217"/>
        <v>966.59111748571445</v>
      </c>
      <c r="AF363" s="209">
        <f t="shared" si="217"/>
        <v>573.77156320000006</v>
      </c>
      <c r="AG363" s="209">
        <f t="shared" si="217"/>
        <v>435.7967598285714</v>
      </c>
      <c r="AH363" s="209">
        <f t="shared" si="217"/>
        <v>1212.0378021142858</v>
      </c>
      <c r="AI363" s="209">
        <f t="shared" si="217"/>
        <v>175.03943039999999</v>
      </c>
      <c r="AJ363" s="209">
        <f t="shared" si="217"/>
        <v>504.42738719999994</v>
      </c>
      <c r="AK363" s="209">
        <f t="shared" si="217"/>
        <v>1753.2208571428571</v>
      </c>
      <c r="AL363" s="209">
        <f t="shared" si="217"/>
        <v>1560.3999999999999</v>
      </c>
      <c r="AM363" s="209">
        <f t="shared" si="217"/>
        <v>539.45257142857145</v>
      </c>
      <c r="AN363" s="209">
        <f t="shared" si="217"/>
        <v>641.99314285714274</v>
      </c>
    </row>
    <row r="364" spans="2:40" s="7" customFormat="1" ht="12" customHeight="1">
      <c r="B364" s="239"/>
      <c r="C364" s="214" t="s">
        <v>842</v>
      </c>
      <c r="D364" s="214"/>
      <c r="E364" s="209">
        <f>E355*E360</f>
        <v>35</v>
      </c>
      <c r="F364" s="209">
        <f t="shared" ref="F364:I364" si="218">F355*F360</f>
        <v>40.000000000000007</v>
      </c>
      <c r="G364" s="209">
        <f t="shared" si="218"/>
        <v>17.999999999999996</v>
      </c>
      <c r="H364" s="209">
        <f>H355*H360</f>
        <v>21.000000000000011</v>
      </c>
      <c r="I364" s="209">
        <f t="shared" si="218"/>
        <v>22.999999999999975</v>
      </c>
      <c r="J364" s="209">
        <f t="shared" ref="J364:AN364" si="219">J355*J360</f>
        <v>72.000000000000014</v>
      </c>
      <c r="K364" s="209">
        <f t="shared" si="219"/>
        <v>56.999999999999986</v>
      </c>
      <c r="L364" s="209">
        <f t="shared" si="219"/>
        <v>27.999999999999996</v>
      </c>
      <c r="M364" s="209">
        <f t="shared" si="219"/>
        <v>92.48571428571428</v>
      </c>
      <c r="N364" s="209">
        <f t="shared" si="219"/>
        <v>99.6</v>
      </c>
      <c r="O364" s="209">
        <f t="shared" si="219"/>
        <v>28.457142857142856</v>
      </c>
      <c r="P364" s="209">
        <f t="shared" si="219"/>
        <v>28.457142857142856</v>
      </c>
      <c r="Q364" s="209">
        <f t="shared" si="219"/>
        <v>24.727062857142862</v>
      </c>
      <c r="R364" s="209">
        <f t="shared" si="219"/>
        <v>48.37961142857143</v>
      </c>
      <c r="S364" s="209">
        <f t="shared" si="219"/>
        <v>54.061165714285721</v>
      </c>
      <c r="T364" s="209">
        <f t="shared" si="219"/>
        <v>32.090879999999999</v>
      </c>
      <c r="U364" s="209">
        <f t="shared" si="219"/>
        <v>24.373988571428576</v>
      </c>
      <c r="V364" s="209">
        <f t="shared" si="219"/>
        <v>57.359862857142865</v>
      </c>
      <c r="W364" s="209">
        <f t="shared" si="219"/>
        <v>26.922239999999999</v>
      </c>
      <c r="X364" s="209">
        <f t="shared" si="219"/>
        <v>28.212479999999996</v>
      </c>
      <c r="Y364" s="209">
        <f t="shared" si="219"/>
        <v>98.05714285714285</v>
      </c>
      <c r="Z364" s="209">
        <f t="shared" si="219"/>
        <v>96</v>
      </c>
      <c r="AA364" s="209">
        <f t="shared" si="219"/>
        <v>30.171428571428567</v>
      </c>
      <c r="AB364" s="209">
        <f t="shared" si="219"/>
        <v>32.914285714285711</v>
      </c>
      <c r="AC364" s="209">
        <f t="shared" si="219"/>
        <v>25.654327714285717</v>
      </c>
      <c r="AD364" s="209">
        <f t="shared" si="219"/>
        <v>65.252000914285716</v>
      </c>
      <c r="AE364" s="209">
        <f t="shared" si="219"/>
        <v>61.697305371428584</v>
      </c>
      <c r="AF364" s="209">
        <f t="shared" si="219"/>
        <v>36.623716800000004</v>
      </c>
      <c r="AG364" s="209">
        <f t="shared" si="219"/>
        <v>27.816814457142854</v>
      </c>
      <c r="AH364" s="209">
        <f t="shared" si="219"/>
        <v>77.364115028571433</v>
      </c>
      <c r="AI364" s="209">
        <f t="shared" si="219"/>
        <v>11.172729599999998</v>
      </c>
      <c r="AJ364" s="209">
        <f t="shared" si="219"/>
        <v>32.197492799999999</v>
      </c>
      <c r="AK364" s="209">
        <f t="shared" si="219"/>
        <v>111.90771428571428</v>
      </c>
      <c r="AL364" s="209">
        <f t="shared" si="219"/>
        <v>99.6</v>
      </c>
      <c r="AM364" s="209">
        <f t="shared" si="219"/>
        <v>34.433142857142862</v>
      </c>
      <c r="AN364" s="209">
        <f t="shared" si="219"/>
        <v>40.978285714285711</v>
      </c>
    </row>
    <row r="365" spans="2:40" s="7" customFormat="1" ht="12" customHeight="1">
      <c r="B365" s="239"/>
      <c r="C365" s="214" t="s">
        <v>843</v>
      </c>
      <c r="D365" s="214"/>
      <c r="E365" s="209">
        <f>E355*E361</f>
        <v>0</v>
      </c>
      <c r="F365" s="209">
        <f t="shared" ref="F365:I365" si="220">F355*F361</f>
        <v>0</v>
      </c>
      <c r="G365" s="209">
        <f t="shared" si="220"/>
        <v>0</v>
      </c>
      <c r="H365" s="209">
        <f t="shared" si="220"/>
        <v>0</v>
      </c>
      <c r="I365" s="209">
        <f t="shared" si="220"/>
        <v>0</v>
      </c>
      <c r="J365" s="209">
        <f t="shared" ref="J365:AN365" si="221">J355*J361</f>
        <v>0</v>
      </c>
      <c r="K365" s="209">
        <f t="shared" si="221"/>
        <v>0</v>
      </c>
      <c r="L365" s="209">
        <f t="shared" si="221"/>
        <v>0</v>
      </c>
      <c r="M365" s="209">
        <f t="shared" si="221"/>
        <v>0</v>
      </c>
      <c r="N365" s="209">
        <f t="shared" si="221"/>
        <v>0</v>
      </c>
      <c r="O365" s="209">
        <f t="shared" si="221"/>
        <v>0</v>
      </c>
      <c r="P365" s="209">
        <f t="shared" si="221"/>
        <v>0</v>
      </c>
      <c r="Q365" s="209">
        <f t="shared" si="221"/>
        <v>0</v>
      </c>
      <c r="R365" s="209">
        <f t="shared" si="221"/>
        <v>0</v>
      </c>
      <c r="S365" s="209">
        <f t="shared" si="221"/>
        <v>0</v>
      </c>
      <c r="T365" s="209">
        <f t="shared" si="221"/>
        <v>0</v>
      </c>
      <c r="U365" s="209">
        <f t="shared" si="221"/>
        <v>0</v>
      </c>
      <c r="V365" s="209">
        <f t="shared" si="221"/>
        <v>0</v>
      </c>
      <c r="W365" s="209">
        <f t="shared" si="221"/>
        <v>0</v>
      </c>
      <c r="X365" s="209">
        <f t="shared" si="221"/>
        <v>0</v>
      </c>
      <c r="Y365" s="209">
        <f t="shared" si="221"/>
        <v>0</v>
      </c>
      <c r="Z365" s="209">
        <f t="shared" si="221"/>
        <v>0</v>
      </c>
      <c r="AA365" s="209">
        <f t="shared" si="221"/>
        <v>0</v>
      </c>
      <c r="AB365" s="209">
        <f t="shared" si="221"/>
        <v>0</v>
      </c>
      <c r="AC365" s="209">
        <f t="shared" si="221"/>
        <v>0</v>
      </c>
      <c r="AD365" s="209">
        <f t="shared" si="221"/>
        <v>0</v>
      </c>
      <c r="AE365" s="209">
        <f t="shared" si="221"/>
        <v>0</v>
      </c>
      <c r="AF365" s="209">
        <f t="shared" si="221"/>
        <v>0</v>
      </c>
      <c r="AG365" s="209">
        <f t="shared" si="221"/>
        <v>0</v>
      </c>
      <c r="AH365" s="209">
        <f t="shared" si="221"/>
        <v>0</v>
      </c>
      <c r="AI365" s="209">
        <f t="shared" si="221"/>
        <v>0</v>
      </c>
      <c r="AJ365" s="209">
        <f t="shared" si="221"/>
        <v>0</v>
      </c>
      <c r="AK365" s="209">
        <f t="shared" si="221"/>
        <v>0</v>
      </c>
      <c r="AL365" s="209">
        <f t="shared" si="221"/>
        <v>0</v>
      </c>
      <c r="AM365" s="209">
        <f t="shared" si="221"/>
        <v>0</v>
      </c>
      <c r="AN365" s="209">
        <f t="shared" si="221"/>
        <v>0</v>
      </c>
    </row>
    <row r="366" spans="2:40" s="7" customFormat="1" ht="12" customHeight="1">
      <c r="B366" s="239"/>
      <c r="C366" s="214" t="s">
        <v>844</v>
      </c>
      <c r="D366" s="214"/>
      <c r="E366" s="209">
        <f>IF((SUM(E376:E412)-E363)&lt;2,ROUNDUP(SUM(E376:E412),0)-E363,ROUNDDOWN(SUM(E376:E412),0)-E363)</f>
        <v>418</v>
      </c>
      <c r="F366" s="209">
        <f t="shared" ref="F366:I366" si="222">IF((SUM(F376:F412)-F363)&lt;2,ROUNDUP(SUM(F376:F412),0)-F363,ROUNDDOWN(SUM(F376:F412),0)-F363)</f>
        <v>520</v>
      </c>
      <c r="G366" s="209">
        <f t="shared" si="222"/>
        <v>1498</v>
      </c>
      <c r="H366" s="209">
        <f>IF((SUM(H376:H412)-H363)&lt;2,ROUNDUP(SUM(H376:H412),0)-H363,ROUNDDOWN(SUM(H376:H412),0)-H363)</f>
        <v>3097</v>
      </c>
      <c r="I366" s="209">
        <f t="shared" si="222"/>
        <v>303</v>
      </c>
      <c r="J366" s="209">
        <f t="shared" ref="J366:AN366" si="223">IF((SUM(J376:J412)-J363)&lt;2,ROUNDUP(SUM(J376:J412),0)-J363,ROUNDDOWN(SUM(J376:J412),0)-J363)</f>
        <v>272</v>
      </c>
      <c r="K366" s="209">
        <f t="shared" si="223"/>
        <v>245</v>
      </c>
      <c r="L366" s="209">
        <f t="shared" si="223"/>
        <v>220</v>
      </c>
      <c r="M366" s="209">
        <f t="shared" si="223"/>
        <v>198.05714285714294</v>
      </c>
      <c r="N366" s="209">
        <f t="shared" si="223"/>
        <v>178.60000000000014</v>
      </c>
      <c r="O366" s="209">
        <f t="shared" si="223"/>
        <v>160.17142857142858</v>
      </c>
      <c r="P366" s="209">
        <f t="shared" si="223"/>
        <v>144.17142857142858</v>
      </c>
      <c r="Q366" s="209">
        <f t="shared" si="223"/>
        <v>129.60934857142848</v>
      </c>
      <c r="R366" s="209">
        <f t="shared" si="223"/>
        <v>117.05275428571429</v>
      </c>
      <c r="S366" s="209">
        <f t="shared" si="223"/>
        <v>105.04173714285696</v>
      </c>
      <c r="T366" s="209">
        <f t="shared" si="223"/>
        <v>94.242880000000071</v>
      </c>
      <c r="U366" s="209">
        <f t="shared" si="223"/>
        <v>85.140845714285661</v>
      </c>
      <c r="V366" s="209">
        <f t="shared" si="223"/>
        <v>76.36214857142852</v>
      </c>
      <c r="W366" s="209">
        <f t="shared" si="223"/>
        <v>69.218240000000037</v>
      </c>
      <c r="X366" s="209">
        <f t="shared" si="223"/>
        <v>62.004480000000058</v>
      </c>
      <c r="Y366" s="209">
        <f t="shared" si="223"/>
        <v>55.771428571428714</v>
      </c>
      <c r="Z366" s="209">
        <f t="shared" si="223"/>
        <v>50</v>
      </c>
      <c r="AA366" s="209">
        <f t="shared" si="223"/>
        <v>45.314285714285745</v>
      </c>
      <c r="AB366" s="209">
        <f t="shared" si="223"/>
        <v>40.342857142857156</v>
      </c>
      <c r="AC366" s="209">
        <f t="shared" si="223"/>
        <v>36.082199142857121</v>
      </c>
      <c r="AD366" s="209">
        <f t="shared" si="223"/>
        <v>32.718652342857126</v>
      </c>
      <c r="AE366" s="209">
        <f t="shared" si="223"/>
        <v>29.408882514285551</v>
      </c>
      <c r="AF366" s="209">
        <f t="shared" si="223"/>
        <v>26.22843679999994</v>
      </c>
      <c r="AG366" s="209">
        <f t="shared" si="223"/>
        <v>23.203240171428604</v>
      </c>
      <c r="AH366" s="209">
        <f t="shared" si="223"/>
        <v>20.962197885714204</v>
      </c>
      <c r="AI366" s="209">
        <f t="shared" si="223"/>
        <v>18.960569600000014</v>
      </c>
      <c r="AJ366" s="209">
        <f t="shared" si="223"/>
        <v>17.572612800000059</v>
      </c>
      <c r="AK366" s="209">
        <f t="shared" si="223"/>
        <v>15.779142857142915</v>
      </c>
      <c r="AL366" s="209">
        <f t="shared" si="223"/>
        <v>13.600000000000136</v>
      </c>
      <c r="AM366" s="209">
        <f t="shared" si="223"/>
        <v>12.547428571428554</v>
      </c>
      <c r="AN366" s="209">
        <f t="shared" si="223"/>
        <v>11.006857142857257</v>
      </c>
    </row>
    <row r="367" spans="2:40" s="7" customFormat="1" ht="12" customHeight="1">
      <c r="B367" s="239"/>
      <c r="C367" s="214" t="s">
        <v>845</v>
      </c>
      <c r="D367" s="214"/>
      <c r="E367" s="209">
        <f>IF((SUM(E417:E453)-E364)&lt;2,ROUNDUP(SUM(E417:E453),0)-E364,ROUNDDOWN(SUM(E417:E453),0)-E364)</f>
        <v>322</v>
      </c>
      <c r="F367" s="209">
        <f t="shared" ref="F367:I367" si="224">IF((SUM(F417:F453)-F364)&lt;2,ROUNDUP(SUM(F417:F453),0)-F364,ROUNDDOWN(SUM(F417:F453),0)-F364)</f>
        <v>380</v>
      </c>
      <c r="G367" s="209">
        <f t="shared" si="224"/>
        <v>483</v>
      </c>
      <c r="H367" s="209">
        <f>IF((SUM(H417:H453)-H364)&lt;2,ROUNDUP(SUM(H417:H453),0)-H364,ROUNDDOWN(SUM(H417:H453),0)-H364)</f>
        <v>366</v>
      </c>
      <c r="I367" s="209">
        <f t="shared" si="224"/>
        <v>309</v>
      </c>
      <c r="J367" s="209">
        <f t="shared" ref="J367:AN367" si="225">IF((SUM(J417:J453)-J364)&lt;2,ROUNDUP(SUM(J417:J453),0)-J364,ROUNDDOWN(SUM(J417:J453),0)-J364)</f>
        <v>279</v>
      </c>
      <c r="K367" s="209">
        <f t="shared" si="225"/>
        <v>254</v>
      </c>
      <c r="L367" s="209">
        <f t="shared" si="225"/>
        <v>232</v>
      </c>
      <c r="M367" s="209">
        <f t="shared" si="225"/>
        <v>210.51428571428573</v>
      </c>
      <c r="N367" s="209">
        <f t="shared" si="225"/>
        <v>193.4</v>
      </c>
      <c r="O367" s="209">
        <f t="shared" si="225"/>
        <v>178.54285714285714</v>
      </c>
      <c r="P367" s="209">
        <f t="shared" si="225"/>
        <v>162.54285714285714</v>
      </c>
      <c r="Q367" s="209">
        <f t="shared" si="225"/>
        <v>149.27293714285713</v>
      </c>
      <c r="R367" s="209">
        <f t="shared" si="225"/>
        <v>135.62038857142858</v>
      </c>
      <c r="S367" s="209">
        <f t="shared" si="225"/>
        <v>123.93883428571428</v>
      </c>
      <c r="T367" s="209">
        <f t="shared" si="225"/>
        <v>113.90912</v>
      </c>
      <c r="U367" s="209">
        <f t="shared" si="225"/>
        <v>104.62601142857142</v>
      </c>
      <c r="V367" s="209">
        <f t="shared" si="225"/>
        <v>96.640137142857128</v>
      </c>
      <c r="W367" s="209">
        <f t="shared" si="225"/>
        <v>89.077759999999998</v>
      </c>
      <c r="X367" s="209">
        <f t="shared" si="225"/>
        <v>81.787520000000001</v>
      </c>
      <c r="Y367" s="209">
        <f t="shared" si="225"/>
        <v>75.94285714285715</v>
      </c>
      <c r="Z367" s="209">
        <f t="shared" si="225"/>
        <v>74</v>
      </c>
      <c r="AA367" s="209">
        <f t="shared" si="225"/>
        <v>69.828571428571436</v>
      </c>
      <c r="AB367" s="209">
        <f t="shared" si="225"/>
        <v>64.085714285714289</v>
      </c>
      <c r="AC367" s="209">
        <f t="shared" si="225"/>
        <v>60.345672285714286</v>
      </c>
      <c r="AD367" s="209">
        <f t="shared" si="225"/>
        <v>56.747999085714284</v>
      </c>
      <c r="AE367" s="209">
        <f t="shared" si="225"/>
        <v>53.302694628571416</v>
      </c>
      <c r="AF367" s="209">
        <f t="shared" si="225"/>
        <v>48.376283199999996</v>
      </c>
      <c r="AG367" s="209">
        <f t="shared" si="225"/>
        <v>43.183185542857146</v>
      </c>
      <c r="AH367" s="209">
        <f t="shared" si="225"/>
        <v>39.635884971428567</v>
      </c>
      <c r="AI367" s="209">
        <f t="shared" si="225"/>
        <v>38.827270400000003</v>
      </c>
      <c r="AJ367" s="209">
        <f t="shared" si="225"/>
        <v>32.802507200000001</v>
      </c>
      <c r="AK367" s="209">
        <f t="shared" si="225"/>
        <v>32.092285714285723</v>
      </c>
      <c r="AL367" s="209">
        <f t="shared" si="225"/>
        <v>33.400000000000006</v>
      </c>
      <c r="AM367" s="209">
        <f t="shared" si="225"/>
        <v>30.566857142857138</v>
      </c>
      <c r="AN367" s="209">
        <f t="shared" si="225"/>
        <v>25.021714285714289</v>
      </c>
    </row>
    <row r="368" spans="2:40" s="7" customFormat="1" ht="12" customHeight="1">
      <c r="B368" s="239"/>
      <c r="C368" s="214" t="s">
        <v>846</v>
      </c>
      <c r="D368" s="214"/>
      <c r="E368" s="209">
        <f t="shared" ref="E368:I368" si="226">IF((SUM(E458:E481)-E365)&lt;1,ROUNDUP(SUM(E458:E481),0)-E365,ROUNDDOWN(SUM(E458:E481),0)-E365)</f>
        <v>0</v>
      </c>
      <c r="F368" s="209">
        <f t="shared" si="226"/>
        <v>0</v>
      </c>
      <c r="G368" s="209">
        <f t="shared" si="226"/>
        <v>0</v>
      </c>
      <c r="H368" s="209">
        <f t="shared" si="226"/>
        <v>0</v>
      </c>
      <c r="I368" s="209">
        <f t="shared" si="226"/>
        <v>0</v>
      </c>
      <c r="J368" s="209">
        <f t="shared" ref="J368:AN368" si="227">IF((SUM(J458:J481)-J365)&lt;1,ROUNDUP(SUM(J458:J481),0)-J365,ROUNDDOWN(SUM(J458:J481),0)-J365)</f>
        <v>0</v>
      </c>
      <c r="K368" s="209">
        <f t="shared" si="227"/>
        <v>0</v>
      </c>
      <c r="L368" s="209">
        <f t="shared" si="227"/>
        <v>0</v>
      </c>
      <c r="M368" s="209">
        <f t="shared" si="227"/>
        <v>0</v>
      </c>
      <c r="N368" s="209">
        <f t="shared" si="227"/>
        <v>0</v>
      </c>
      <c r="O368" s="209">
        <f t="shared" si="227"/>
        <v>0</v>
      </c>
      <c r="P368" s="209">
        <f t="shared" si="227"/>
        <v>0</v>
      </c>
      <c r="Q368" s="209">
        <f t="shared" si="227"/>
        <v>0</v>
      </c>
      <c r="R368" s="209">
        <f t="shared" si="227"/>
        <v>0</v>
      </c>
      <c r="S368" s="209">
        <f t="shared" si="227"/>
        <v>0</v>
      </c>
      <c r="T368" s="209">
        <f t="shared" si="227"/>
        <v>0</v>
      </c>
      <c r="U368" s="209">
        <f t="shared" si="227"/>
        <v>0</v>
      </c>
      <c r="V368" s="209">
        <f t="shared" si="227"/>
        <v>0</v>
      </c>
      <c r="W368" s="209">
        <f t="shared" si="227"/>
        <v>0</v>
      </c>
      <c r="X368" s="209">
        <f t="shared" si="227"/>
        <v>0</v>
      </c>
      <c r="Y368" s="209">
        <f t="shared" si="227"/>
        <v>0</v>
      </c>
      <c r="Z368" s="209">
        <f t="shared" si="227"/>
        <v>0</v>
      </c>
      <c r="AA368" s="209">
        <f t="shared" si="227"/>
        <v>0</v>
      </c>
      <c r="AB368" s="209">
        <f t="shared" si="227"/>
        <v>0</v>
      </c>
      <c r="AC368" s="209">
        <f t="shared" si="227"/>
        <v>0</v>
      </c>
      <c r="AD368" s="209">
        <f t="shared" si="227"/>
        <v>0</v>
      </c>
      <c r="AE368" s="209">
        <f t="shared" si="227"/>
        <v>0</v>
      </c>
      <c r="AF368" s="209">
        <f t="shared" si="227"/>
        <v>0</v>
      </c>
      <c r="AG368" s="209">
        <f t="shared" si="227"/>
        <v>0</v>
      </c>
      <c r="AH368" s="209">
        <f t="shared" si="227"/>
        <v>0</v>
      </c>
      <c r="AI368" s="209">
        <f t="shared" si="227"/>
        <v>0</v>
      </c>
      <c r="AJ368" s="209">
        <f t="shared" si="227"/>
        <v>0</v>
      </c>
      <c r="AK368" s="209">
        <f t="shared" si="227"/>
        <v>0</v>
      </c>
      <c r="AL368" s="209">
        <f t="shared" si="227"/>
        <v>0</v>
      </c>
      <c r="AM368" s="209">
        <f t="shared" si="227"/>
        <v>0</v>
      </c>
      <c r="AN368" s="209">
        <f t="shared" si="227"/>
        <v>0</v>
      </c>
    </row>
    <row r="369" spans="2:40" s="7" customFormat="1" ht="12" customHeight="1">
      <c r="B369" s="237"/>
      <c r="C369" s="214" t="s">
        <v>833</v>
      </c>
      <c r="D369" s="214"/>
      <c r="E369" s="210">
        <f>SUM(E363:E365)</f>
        <v>274</v>
      </c>
      <c r="F369" s="210">
        <f>SUM(F363:F365)</f>
        <v>1239</v>
      </c>
      <c r="G369" s="210">
        <f t="shared" ref="G369:I369" si="228">SUM(G363:G365)</f>
        <v>1590</v>
      </c>
      <c r="H369" s="210">
        <f t="shared" si="228"/>
        <v>290</v>
      </c>
      <c r="I369" s="210">
        <f t="shared" si="228"/>
        <v>510</v>
      </c>
      <c r="J369" s="210">
        <f t="shared" ref="J369:AN369" si="229">SUM(J363:J365)</f>
        <v>1623</v>
      </c>
      <c r="K369" s="210">
        <f t="shared" si="229"/>
        <v>1733</v>
      </c>
      <c r="L369" s="210">
        <f t="shared" si="229"/>
        <v>275</v>
      </c>
      <c r="M369" s="210">
        <f t="shared" si="229"/>
        <v>1541.4285714285713</v>
      </c>
      <c r="N369" s="210">
        <f t="shared" si="229"/>
        <v>1659.9999999999998</v>
      </c>
      <c r="O369" s="210">
        <f t="shared" si="229"/>
        <v>474.28571428571428</v>
      </c>
      <c r="P369" s="210">
        <f t="shared" si="229"/>
        <v>474.28571428571428</v>
      </c>
      <c r="Q369" s="210">
        <f t="shared" si="229"/>
        <v>412.11771428571438</v>
      </c>
      <c r="R369" s="210">
        <f t="shared" si="229"/>
        <v>806.32685714285719</v>
      </c>
      <c r="S369" s="210">
        <f t="shared" si="229"/>
        <v>901.01942857142876</v>
      </c>
      <c r="T369" s="210">
        <f t="shared" si="229"/>
        <v>534.84799999999996</v>
      </c>
      <c r="U369" s="210">
        <f t="shared" si="229"/>
        <v>406.23314285714292</v>
      </c>
      <c r="V369" s="210">
        <f t="shared" si="229"/>
        <v>955.99771428571432</v>
      </c>
      <c r="W369" s="210">
        <f t="shared" si="229"/>
        <v>448.70399999999995</v>
      </c>
      <c r="X369" s="210">
        <f t="shared" si="229"/>
        <v>470.20799999999991</v>
      </c>
      <c r="Y369" s="210">
        <f t="shared" si="229"/>
        <v>1634.2857142857142</v>
      </c>
      <c r="Z369" s="210">
        <f t="shared" si="229"/>
        <v>1600</v>
      </c>
      <c r="AA369" s="210">
        <f t="shared" si="229"/>
        <v>502.85714285714283</v>
      </c>
      <c r="AB369" s="210">
        <f t="shared" si="229"/>
        <v>548.57142857142856</v>
      </c>
      <c r="AC369" s="210">
        <f t="shared" si="229"/>
        <v>427.57212857142861</v>
      </c>
      <c r="AD369" s="210">
        <f t="shared" si="229"/>
        <v>1087.5333485714286</v>
      </c>
      <c r="AE369" s="210">
        <f t="shared" si="229"/>
        <v>1028.2884228571431</v>
      </c>
      <c r="AF369" s="210">
        <f t="shared" si="229"/>
        <v>610.39528000000007</v>
      </c>
      <c r="AG369" s="210">
        <f t="shared" si="229"/>
        <v>463.61357428571426</v>
      </c>
      <c r="AH369" s="210">
        <f t="shared" si="229"/>
        <v>1289.4019171428572</v>
      </c>
      <c r="AI369" s="210">
        <f t="shared" si="229"/>
        <v>186.21215999999998</v>
      </c>
      <c r="AJ369" s="210">
        <f t="shared" si="229"/>
        <v>536.62487999999996</v>
      </c>
      <c r="AK369" s="210">
        <f t="shared" si="229"/>
        <v>1865.1285714285714</v>
      </c>
      <c r="AL369" s="210">
        <f t="shared" si="229"/>
        <v>1659.9999999999998</v>
      </c>
      <c r="AM369" s="210">
        <f t="shared" si="229"/>
        <v>573.88571428571436</v>
      </c>
      <c r="AN369" s="210">
        <f t="shared" si="229"/>
        <v>682.97142857142842</v>
      </c>
    </row>
    <row r="370" spans="2:40" s="7" customFormat="1" ht="12" customHeight="1">
      <c r="B370" s="237"/>
      <c r="C370" s="214" t="s">
        <v>847</v>
      </c>
      <c r="D370" s="214"/>
      <c r="E370" s="210">
        <f t="shared" ref="E370:I370" si="230">SUM(E366:E368)</f>
        <v>740</v>
      </c>
      <c r="F370" s="210">
        <f t="shared" si="230"/>
        <v>900</v>
      </c>
      <c r="G370" s="210">
        <f t="shared" si="230"/>
        <v>1981</v>
      </c>
      <c r="H370" s="210">
        <f t="shared" si="230"/>
        <v>3463</v>
      </c>
      <c r="I370" s="210">
        <f t="shared" si="230"/>
        <v>612</v>
      </c>
      <c r="J370" s="210">
        <f t="shared" ref="J370:AN370" si="231">SUM(J366:J368)</f>
        <v>551</v>
      </c>
      <c r="K370" s="210">
        <f t="shared" si="231"/>
        <v>499</v>
      </c>
      <c r="L370" s="210">
        <f t="shared" si="231"/>
        <v>452</v>
      </c>
      <c r="M370" s="210">
        <f t="shared" si="231"/>
        <v>408.57142857142867</v>
      </c>
      <c r="N370" s="210">
        <f t="shared" si="231"/>
        <v>372.00000000000011</v>
      </c>
      <c r="O370" s="210">
        <f t="shared" si="231"/>
        <v>338.71428571428572</v>
      </c>
      <c r="P370" s="210">
        <f t="shared" si="231"/>
        <v>306.71428571428572</v>
      </c>
      <c r="Q370" s="210">
        <f t="shared" si="231"/>
        <v>278.88228571428562</v>
      </c>
      <c r="R370" s="210">
        <f t="shared" si="231"/>
        <v>252.67314285714286</v>
      </c>
      <c r="S370" s="210">
        <f t="shared" si="231"/>
        <v>228.98057142857124</v>
      </c>
      <c r="T370" s="210">
        <f t="shared" si="231"/>
        <v>208.15200000000007</v>
      </c>
      <c r="U370" s="210">
        <f t="shared" si="231"/>
        <v>189.76685714285708</v>
      </c>
      <c r="V370" s="210">
        <f t="shared" si="231"/>
        <v>173.00228571428565</v>
      </c>
      <c r="W370" s="210">
        <f t="shared" si="231"/>
        <v>158.29600000000005</v>
      </c>
      <c r="X370" s="210">
        <f t="shared" si="231"/>
        <v>143.79200000000006</v>
      </c>
      <c r="Y370" s="210">
        <f t="shared" si="231"/>
        <v>131.71428571428586</v>
      </c>
      <c r="Z370" s="210">
        <f t="shared" si="231"/>
        <v>124</v>
      </c>
      <c r="AA370" s="210">
        <f t="shared" si="231"/>
        <v>115.14285714285718</v>
      </c>
      <c r="AB370" s="210">
        <f t="shared" si="231"/>
        <v>104.42857142857144</v>
      </c>
      <c r="AC370" s="210">
        <f t="shared" si="231"/>
        <v>96.427871428571407</v>
      </c>
      <c r="AD370" s="210">
        <f t="shared" si="231"/>
        <v>89.46665142857141</v>
      </c>
      <c r="AE370" s="210">
        <f t="shared" si="231"/>
        <v>82.711577142856967</v>
      </c>
      <c r="AF370" s="210">
        <f t="shared" si="231"/>
        <v>74.604719999999929</v>
      </c>
      <c r="AG370" s="210">
        <f t="shared" si="231"/>
        <v>66.38642571428575</v>
      </c>
      <c r="AH370" s="210">
        <f t="shared" si="231"/>
        <v>60.598082857142771</v>
      </c>
      <c r="AI370" s="210">
        <f t="shared" si="231"/>
        <v>57.787840000000017</v>
      </c>
      <c r="AJ370" s="210">
        <f t="shared" si="231"/>
        <v>50.375120000000059</v>
      </c>
      <c r="AK370" s="210">
        <f t="shared" si="231"/>
        <v>47.871428571428638</v>
      </c>
      <c r="AL370" s="210">
        <f t="shared" si="231"/>
        <v>47.000000000000142</v>
      </c>
      <c r="AM370" s="210">
        <f t="shared" si="231"/>
        <v>43.114285714285693</v>
      </c>
      <c r="AN370" s="210">
        <f t="shared" si="231"/>
        <v>36.028571428571546</v>
      </c>
    </row>
    <row r="371" spans="2:40" s="7" customFormat="1" ht="12" customHeight="1">
      <c r="B371" s="237"/>
      <c r="C371" s="252" t="s">
        <v>848</v>
      </c>
      <c r="D371" s="214"/>
      <c r="E371" s="205">
        <f>SUM(E369:E370)</f>
        <v>1014</v>
      </c>
      <c r="F371" s="205">
        <f t="shared" ref="F371:I371" si="232">SUM(F369:F370)</f>
        <v>2139</v>
      </c>
      <c r="G371" s="205">
        <f t="shared" si="232"/>
        <v>3571</v>
      </c>
      <c r="H371" s="205">
        <f t="shared" si="232"/>
        <v>3753</v>
      </c>
      <c r="I371" s="205">
        <f t="shared" si="232"/>
        <v>1122</v>
      </c>
      <c r="J371" s="205">
        <f t="shared" ref="J371:AN371" si="233">SUM(J369:J370)</f>
        <v>2174</v>
      </c>
      <c r="K371" s="205">
        <f t="shared" si="233"/>
        <v>2232</v>
      </c>
      <c r="L371" s="205">
        <f t="shared" si="233"/>
        <v>727</v>
      </c>
      <c r="M371" s="205">
        <f t="shared" si="233"/>
        <v>1950</v>
      </c>
      <c r="N371" s="205">
        <f t="shared" si="233"/>
        <v>2032</v>
      </c>
      <c r="O371" s="205">
        <f t="shared" si="233"/>
        <v>813</v>
      </c>
      <c r="P371" s="205">
        <f t="shared" si="233"/>
        <v>781</v>
      </c>
      <c r="Q371" s="205">
        <f t="shared" si="233"/>
        <v>691</v>
      </c>
      <c r="R371" s="205">
        <f t="shared" si="233"/>
        <v>1059</v>
      </c>
      <c r="S371" s="205">
        <f t="shared" si="233"/>
        <v>1130</v>
      </c>
      <c r="T371" s="205">
        <f t="shared" si="233"/>
        <v>743</v>
      </c>
      <c r="U371" s="205">
        <f t="shared" si="233"/>
        <v>596</v>
      </c>
      <c r="V371" s="205">
        <f t="shared" si="233"/>
        <v>1129</v>
      </c>
      <c r="W371" s="205">
        <f t="shared" si="233"/>
        <v>607</v>
      </c>
      <c r="X371" s="205">
        <f t="shared" si="233"/>
        <v>614</v>
      </c>
      <c r="Y371" s="205">
        <f t="shared" si="233"/>
        <v>1766</v>
      </c>
      <c r="Z371" s="205">
        <f t="shared" si="233"/>
        <v>1724</v>
      </c>
      <c r="AA371" s="205">
        <f t="shared" si="233"/>
        <v>618</v>
      </c>
      <c r="AB371" s="205">
        <f t="shared" si="233"/>
        <v>653</v>
      </c>
      <c r="AC371" s="205">
        <f t="shared" si="233"/>
        <v>524</v>
      </c>
      <c r="AD371" s="205">
        <f t="shared" si="233"/>
        <v>1177</v>
      </c>
      <c r="AE371" s="205">
        <f t="shared" si="233"/>
        <v>1111</v>
      </c>
      <c r="AF371" s="205">
        <f t="shared" si="233"/>
        <v>685</v>
      </c>
      <c r="AG371" s="205">
        <f t="shared" si="233"/>
        <v>530</v>
      </c>
      <c r="AH371" s="205">
        <f t="shared" si="233"/>
        <v>1350</v>
      </c>
      <c r="AI371" s="205">
        <f t="shared" si="233"/>
        <v>244</v>
      </c>
      <c r="AJ371" s="205">
        <f t="shared" si="233"/>
        <v>587</v>
      </c>
      <c r="AK371" s="205">
        <f t="shared" si="233"/>
        <v>1913</v>
      </c>
      <c r="AL371" s="205">
        <f t="shared" si="233"/>
        <v>1707</v>
      </c>
      <c r="AM371" s="205">
        <f t="shared" si="233"/>
        <v>617</v>
      </c>
      <c r="AN371" s="205">
        <f t="shared" si="233"/>
        <v>719</v>
      </c>
    </row>
    <row r="372" spans="2:40" s="7" customFormat="1" ht="12" customHeight="1">
      <c r="B372" s="239"/>
      <c r="C372" s="214"/>
      <c r="D372" s="214"/>
      <c r="E372" s="211"/>
      <c r="F372" s="211"/>
      <c r="G372" s="211"/>
      <c r="H372" s="211"/>
      <c r="I372" s="211"/>
      <c r="J372" s="211"/>
      <c r="K372" s="211"/>
      <c r="L372" s="211"/>
      <c r="M372" s="211"/>
      <c r="N372" s="211"/>
      <c r="O372" s="211"/>
      <c r="P372" s="211"/>
      <c r="Q372" s="211"/>
      <c r="R372" s="211"/>
      <c r="S372" s="211"/>
      <c r="T372" s="211"/>
      <c r="U372" s="211"/>
      <c r="V372" s="211"/>
      <c r="W372" s="211"/>
      <c r="X372" s="211"/>
      <c r="Y372" s="211"/>
      <c r="Z372" s="211"/>
      <c r="AA372" s="211"/>
      <c r="AB372" s="211"/>
      <c r="AC372" s="211"/>
      <c r="AD372" s="211"/>
      <c r="AE372" s="211"/>
      <c r="AF372" s="211"/>
      <c r="AG372" s="211"/>
      <c r="AH372" s="211"/>
      <c r="AI372" s="211"/>
      <c r="AJ372" s="211"/>
      <c r="AK372" s="211"/>
      <c r="AL372" s="211"/>
      <c r="AM372" s="211"/>
      <c r="AN372" s="211"/>
    </row>
    <row r="373" spans="2:40" s="7" customFormat="1" ht="12" hidden="1" customHeight="1" outlineLevel="1">
      <c r="B373" s="239"/>
      <c r="C373" s="243" t="s">
        <v>849</v>
      </c>
      <c r="D373" s="214"/>
      <c r="O373" s="212"/>
      <c r="P373" s="212"/>
      <c r="Q373" s="212"/>
      <c r="R373" s="212"/>
      <c r="S373" s="212"/>
      <c r="T373" s="212"/>
      <c r="U373" s="212"/>
      <c r="V373" s="212"/>
      <c r="W373" s="212"/>
      <c r="X373" s="212"/>
      <c r="Y373" s="212"/>
      <c r="Z373" s="212"/>
      <c r="AA373" s="212"/>
      <c r="AB373" s="212"/>
      <c r="AC373" s="212"/>
      <c r="AD373" s="212"/>
      <c r="AE373" s="212"/>
      <c r="AF373" s="212"/>
      <c r="AG373" s="212"/>
      <c r="AH373" s="212"/>
      <c r="AI373" s="212"/>
      <c r="AJ373" s="212"/>
      <c r="AK373" s="212"/>
      <c r="AL373" s="212"/>
      <c r="AM373" s="212"/>
      <c r="AN373" s="212"/>
    </row>
    <row r="374" spans="2:40" s="7" customFormat="1" ht="12" hidden="1" customHeight="1" outlineLevel="1">
      <c r="B374" s="239"/>
      <c r="C374" s="214" t="s">
        <v>850</v>
      </c>
      <c r="D374" s="214"/>
      <c r="E374" s="196" t="s">
        <v>753</v>
      </c>
      <c r="F374" s="196" t="s">
        <v>754</v>
      </c>
      <c r="G374" s="196" t="s">
        <v>755</v>
      </c>
      <c r="H374" s="196" t="s">
        <v>756</v>
      </c>
      <c r="I374" s="196" t="s">
        <v>757</v>
      </c>
      <c r="J374" s="196" t="s">
        <v>758</v>
      </c>
      <c r="K374" s="196" t="s">
        <v>759</v>
      </c>
      <c r="L374" s="196" t="s">
        <v>760</v>
      </c>
      <c r="M374" s="196" t="s">
        <v>761</v>
      </c>
      <c r="N374" s="196" t="s">
        <v>762</v>
      </c>
      <c r="O374" s="196" t="s">
        <v>763</v>
      </c>
      <c r="P374" s="196" t="s">
        <v>764</v>
      </c>
      <c r="Q374" s="196" t="s">
        <v>765</v>
      </c>
      <c r="R374" s="196" t="s">
        <v>766</v>
      </c>
      <c r="S374" s="196" t="s">
        <v>767</v>
      </c>
      <c r="T374" s="196" t="s">
        <v>768</v>
      </c>
      <c r="U374" s="196" t="s">
        <v>769</v>
      </c>
      <c r="V374" s="196" t="s">
        <v>770</v>
      </c>
      <c r="W374" s="196" t="s">
        <v>771</v>
      </c>
      <c r="X374" s="196" t="s">
        <v>772</v>
      </c>
      <c r="Y374" s="196" t="s">
        <v>773</v>
      </c>
      <c r="Z374" s="196" t="s">
        <v>774</v>
      </c>
      <c r="AA374" s="196" t="s">
        <v>775</v>
      </c>
      <c r="AB374" s="196" t="s">
        <v>776</v>
      </c>
      <c r="AC374" s="196" t="s">
        <v>777</v>
      </c>
      <c r="AD374" s="196" t="s">
        <v>778</v>
      </c>
      <c r="AE374" s="196" t="s">
        <v>779</v>
      </c>
      <c r="AF374" s="196" t="s">
        <v>780</v>
      </c>
      <c r="AG374" s="196" t="s">
        <v>781</v>
      </c>
      <c r="AH374" s="196" t="s">
        <v>782</v>
      </c>
      <c r="AI374" s="196" t="s">
        <v>783</v>
      </c>
      <c r="AJ374" s="196" t="s">
        <v>784</v>
      </c>
      <c r="AK374" s="196" t="s">
        <v>785</v>
      </c>
      <c r="AL374" s="196" t="s">
        <v>786</v>
      </c>
      <c r="AM374" s="196" t="s">
        <v>787</v>
      </c>
      <c r="AN374" s="196" t="s">
        <v>788</v>
      </c>
    </row>
    <row r="375" spans="2:40" s="7" customFormat="1" ht="12" hidden="1" customHeight="1" outlineLevel="2">
      <c r="B375" s="239"/>
      <c r="C375" s="212" t="s">
        <v>851</v>
      </c>
      <c r="D375" s="212"/>
      <c r="E375" s="344">
        <v>0</v>
      </c>
      <c r="F375" s="344">
        <v>0</v>
      </c>
      <c r="G375" s="344">
        <v>0</v>
      </c>
      <c r="H375" s="344">
        <v>0</v>
      </c>
      <c r="I375" s="344">
        <v>0</v>
      </c>
      <c r="J375" s="344">
        <v>0</v>
      </c>
      <c r="K375" s="344">
        <v>0</v>
      </c>
      <c r="L375" s="344">
        <v>0</v>
      </c>
      <c r="M375" s="344">
        <v>0</v>
      </c>
      <c r="N375" s="344">
        <v>0</v>
      </c>
      <c r="O375" s="344">
        <v>0</v>
      </c>
      <c r="P375" s="344">
        <v>0</v>
      </c>
      <c r="Q375" s="344">
        <v>0</v>
      </c>
      <c r="R375" s="344">
        <v>0</v>
      </c>
      <c r="S375" s="344">
        <v>0</v>
      </c>
      <c r="T375" s="344">
        <v>0</v>
      </c>
      <c r="U375" s="344">
        <v>0</v>
      </c>
      <c r="V375" s="344">
        <v>0</v>
      </c>
      <c r="W375" s="344">
        <v>0</v>
      </c>
      <c r="X375" s="344">
        <v>0</v>
      </c>
      <c r="Y375" s="344">
        <v>0</v>
      </c>
      <c r="Z375" s="344">
        <v>0</v>
      </c>
      <c r="AA375" s="344">
        <v>0</v>
      </c>
      <c r="AB375" s="344">
        <v>0</v>
      </c>
      <c r="AC375" s="344">
        <v>0</v>
      </c>
      <c r="AD375" s="344">
        <v>0</v>
      </c>
      <c r="AE375" s="344">
        <v>0</v>
      </c>
      <c r="AF375" s="344">
        <v>0</v>
      </c>
      <c r="AG375" s="344">
        <v>0</v>
      </c>
      <c r="AH375" s="344">
        <v>0</v>
      </c>
      <c r="AI375" s="344">
        <v>0</v>
      </c>
      <c r="AJ375" s="344">
        <v>0</v>
      </c>
      <c r="AK375" s="344">
        <v>0</v>
      </c>
      <c r="AL375" s="344">
        <v>0</v>
      </c>
      <c r="AM375" s="344">
        <v>0</v>
      </c>
      <c r="AN375" s="344">
        <v>0</v>
      </c>
    </row>
    <row r="376" spans="2:40" s="7" customFormat="1" ht="12" hidden="1" customHeight="1" outlineLevel="1">
      <c r="B376" s="239"/>
      <c r="C376" s="213" t="s">
        <v>861</v>
      </c>
      <c r="D376" s="214"/>
      <c r="E376" s="211">
        <v>418</v>
      </c>
      <c r="F376" s="211">
        <v>520</v>
      </c>
      <c r="G376" s="211">
        <v>1498</v>
      </c>
      <c r="H376" s="211">
        <v>3097</v>
      </c>
      <c r="I376" s="211">
        <v>303</v>
      </c>
      <c r="J376" s="211">
        <f t="shared" ref="J376:AN376" si="234">I376*90%</f>
        <v>272.7</v>
      </c>
      <c r="K376" s="211">
        <f t="shared" si="234"/>
        <v>245.43</v>
      </c>
      <c r="L376" s="211">
        <f t="shared" si="234"/>
        <v>220.887</v>
      </c>
      <c r="M376" s="211">
        <f t="shared" si="234"/>
        <v>198.79830000000001</v>
      </c>
      <c r="N376" s="211">
        <f t="shared" si="234"/>
        <v>178.91847000000001</v>
      </c>
      <c r="O376" s="211">
        <f t="shared" si="234"/>
        <v>161.02662300000003</v>
      </c>
      <c r="P376" s="211">
        <f t="shared" si="234"/>
        <v>144.92396070000004</v>
      </c>
      <c r="Q376" s="211">
        <f t="shared" si="234"/>
        <v>130.43156463000003</v>
      </c>
      <c r="R376" s="211">
        <f t="shared" si="234"/>
        <v>117.38840816700002</v>
      </c>
      <c r="S376" s="211">
        <f t="shared" si="234"/>
        <v>105.64956735030002</v>
      </c>
      <c r="T376" s="211">
        <f t="shared" si="234"/>
        <v>95.084610615270023</v>
      </c>
      <c r="U376" s="211">
        <f t="shared" si="234"/>
        <v>85.576149553743022</v>
      </c>
      <c r="V376" s="211">
        <f t="shared" si="234"/>
        <v>77.018534598368717</v>
      </c>
      <c r="W376" s="211">
        <f t="shared" si="234"/>
        <v>69.316681138531848</v>
      </c>
      <c r="X376" s="211">
        <f t="shared" si="234"/>
        <v>62.385013024678663</v>
      </c>
      <c r="Y376" s="211">
        <f t="shared" si="234"/>
        <v>56.146511722210796</v>
      </c>
      <c r="Z376" s="211">
        <f t="shared" si="234"/>
        <v>50.531860549989716</v>
      </c>
      <c r="AA376" s="211">
        <f t="shared" si="234"/>
        <v>45.478674494990749</v>
      </c>
      <c r="AB376" s="211">
        <f t="shared" si="234"/>
        <v>40.930807045491676</v>
      </c>
      <c r="AC376" s="211">
        <f t="shared" si="234"/>
        <v>36.83772634094251</v>
      </c>
      <c r="AD376" s="211">
        <f t="shared" si="234"/>
        <v>33.153953706848263</v>
      </c>
      <c r="AE376" s="211">
        <f t="shared" si="234"/>
        <v>29.838558336163437</v>
      </c>
      <c r="AF376" s="211">
        <f t="shared" si="234"/>
        <v>26.854702502547095</v>
      </c>
      <c r="AG376" s="211">
        <f t="shared" si="234"/>
        <v>24.169232252292385</v>
      </c>
      <c r="AH376" s="211">
        <f t="shared" si="234"/>
        <v>21.752309027063149</v>
      </c>
      <c r="AI376" s="211">
        <f t="shared" si="234"/>
        <v>19.577078124356834</v>
      </c>
      <c r="AJ376" s="211">
        <f t="shared" si="234"/>
        <v>17.619370311921152</v>
      </c>
      <c r="AK376" s="211">
        <f t="shared" si="234"/>
        <v>15.857433280729037</v>
      </c>
      <c r="AL376" s="211">
        <f t="shared" si="234"/>
        <v>14.271689952656134</v>
      </c>
      <c r="AM376" s="211">
        <f t="shared" si="234"/>
        <v>12.84452095739052</v>
      </c>
      <c r="AN376" s="211">
        <f t="shared" si="234"/>
        <v>11.560068861651468</v>
      </c>
    </row>
    <row r="377" spans="2:40" s="7" customFormat="1" ht="12" hidden="1" customHeight="1" outlineLevel="1">
      <c r="B377" s="245"/>
      <c r="C377" s="213" t="s">
        <v>753</v>
      </c>
      <c r="D377" s="213"/>
      <c r="E377" s="211">
        <f>INDEX($C$349:$AN$371,MATCH("New Customers One-Time",$C$349:$C$371,0),MATCH($C377,$C$349:$AN$349,0))</f>
        <v>239</v>
      </c>
      <c r="F377" s="211">
        <f t="shared" ref="F377:AN377" si="235">$E377*(E375)</f>
        <v>0</v>
      </c>
      <c r="G377" s="211">
        <f t="shared" si="235"/>
        <v>0</v>
      </c>
      <c r="H377" s="211">
        <f t="shared" si="235"/>
        <v>0</v>
      </c>
      <c r="I377" s="211">
        <f t="shared" si="235"/>
        <v>0</v>
      </c>
      <c r="J377" s="211">
        <f t="shared" si="235"/>
        <v>0</v>
      </c>
      <c r="K377" s="211">
        <f t="shared" si="235"/>
        <v>0</v>
      </c>
      <c r="L377" s="211">
        <f t="shared" si="235"/>
        <v>0</v>
      </c>
      <c r="M377" s="211">
        <f t="shared" si="235"/>
        <v>0</v>
      </c>
      <c r="N377" s="211">
        <f t="shared" si="235"/>
        <v>0</v>
      </c>
      <c r="O377" s="211">
        <f t="shared" si="235"/>
        <v>0</v>
      </c>
      <c r="P377" s="211">
        <f t="shared" si="235"/>
        <v>0</v>
      </c>
      <c r="Q377" s="211">
        <f t="shared" si="235"/>
        <v>0</v>
      </c>
      <c r="R377" s="211">
        <f t="shared" si="235"/>
        <v>0</v>
      </c>
      <c r="S377" s="211">
        <f t="shared" si="235"/>
        <v>0</v>
      </c>
      <c r="T377" s="211">
        <f t="shared" si="235"/>
        <v>0</v>
      </c>
      <c r="U377" s="211">
        <f t="shared" si="235"/>
        <v>0</v>
      </c>
      <c r="V377" s="211">
        <f t="shared" si="235"/>
        <v>0</v>
      </c>
      <c r="W377" s="211">
        <f t="shared" si="235"/>
        <v>0</v>
      </c>
      <c r="X377" s="211">
        <f t="shared" si="235"/>
        <v>0</v>
      </c>
      <c r="Y377" s="211">
        <f t="shared" si="235"/>
        <v>0</v>
      </c>
      <c r="Z377" s="211">
        <f t="shared" si="235"/>
        <v>0</v>
      </c>
      <c r="AA377" s="211">
        <f t="shared" si="235"/>
        <v>0</v>
      </c>
      <c r="AB377" s="211">
        <f t="shared" si="235"/>
        <v>0</v>
      </c>
      <c r="AC377" s="211">
        <f t="shared" si="235"/>
        <v>0</v>
      </c>
      <c r="AD377" s="211">
        <f t="shared" si="235"/>
        <v>0</v>
      </c>
      <c r="AE377" s="211">
        <f t="shared" si="235"/>
        <v>0</v>
      </c>
      <c r="AF377" s="211">
        <f t="shared" si="235"/>
        <v>0</v>
      </c>
      <c r="AG377" s="211">
        <f t="shared" si="235"/>
        <v>0</v>
      </c>
      <c r="AH377" s="211">
        <f t="shared" si="235"/>
        <v>0</v>
      </c>
      <c r="AI377" s="211">
        <f t="shared" si="235"/>
        <v>0</v>
      </c>
      <c r="AJ377" s="211">
        <f t="shared" si="235"/>
        <v>0</v>
      </c>
      <c r="AK377" s="211">
        <f t="shared" si="235"/>
        <v>0</v>
      </c>
      <c r="AL377" s="211">
        <f t="shared" si="235"/>
        <v>0</v>
      </c>
      <c r="AM377" s="211">
        <f t="shared" si="235"/>
        <v>0</v>
      </c>
      <c r="AN377" s="211">
        <f t="shared" si="235"/>
        <v>0</v>
      </c>
    </row>
    <row r="378" spans="2:40" s="7" customFormat="1" ht="12" hidden="1" customHeight="1" outlineLevel="1">
      <c r="B378" s="245"/>
      <c r="C378" s="213" t="s">
        <v>754</v>
      </c>
      <c r="D378" s="213"/>
      <c r="E378" s="213"/>
      <c r="F378" s="211">
        <f>INDEX($C$349:$AN$371,MATCH("New Customers One-Time",$C$349:$C$371,0),MATCH($C378,$C$349:$AN$349,0))</f>
        <v>1199</v>
      </c>
      <c r="G378" s="211">
        <f t="shared" ref="G378:AN378" si="236">$F378*(E375)</f>
        <v>0</v>
      </c>
      <c r="H378" s="211">
        <f t="shared" si="236"/>
        <v>0</v>
      </c>
      <c r="I378" s="211">
        <f t="shared" si="236"/>
        <v>0</v>
      </c>
      <c r="J378" s="211">
        <f t="shared" si="236"/>
        <v>0</v>
      </c>
      <c r="K378" s="211">
        <f t="shared" si="236"/>
        <v>0</v>
      </c>
      <c r="L378" s="211">
        <f t="shared" si="236"/>
        <v>0</v>
      </c>
      <c r="M378" s="211">
        <f t="shared" si="236"/>
        <v>0</v>
      </c>
      <c r="N378" s="211">
        <f t="shared" si="236"/>
        <v>0</v>
      </c>
      <c r="O378" s="211">
        <f t="shared" si="236"/>
        <v>0</v>
      </c>
      <c r="P378" s="211">
        <f t="shared" si="236"/>
        <v>0</v>
      </c>
      <c r="Q378" s="211">
        <f t="shared" si="236"/>
        <v>0</v>
      </c>
      <c r="R378" s="211">
        <f t="shared" si="236"/>
        <v>0</v>
      </c>
      <c r="S378" s="211">
        <f t="shared" si="236"/>
        <v>0</v>
      </c>
      <c r="T378" s="211">
        <f t="shared" si="236"/>
        <v>0</v>
      </c>
      <c r="U378" s="211">
        <f t="shared" si="236"/>
        <v>0</v>
      </c>
      <c r="V378" s="211">
        <f t="shared" si="236"/>
        <v>0</v>
      </c>
      <c r="W378" s="211">
        <f t="shared" si="236"/>
        <v>0</v>
      </c>
      <c r="X378" s="211">
        <f t="shared" si="236"/>
        <v>0</v>
      </c>
      <c r="Y378" s="211">
        <f t="shared" si="236"/>
        <v>0</v>
      </c>
      <c r="Z378" s="211">
        <f t="shared" si="236"/>
        <v>0</v>
      </c>
      <c r="AA378" s="211">
        <f t="shared" si="236"/>
        <v>0</v>
      </c>
      <c r="AB378" s="211">
        <f t="shared" si="236"/>
        <v>0</v>
      </c>
      <c r="AC378" s="211">
        <f t="shared" si="236"/>
        <v>0</v>
      </c>
      <c r="AD378" s="211">
        <f t="shared" si="236"/>
        <v>0</v>
      </c>
      <c r="AE378" s="211">
        <f t="shared" si="236"/>
        <v>0</v>
      </c>
      <c r="AF378" s="211">
        <f t="shared" si="236"/>
        <v>0</v>
      </c>
      <c r="AG378" s="211">
        <f t="shared" si="236"/>
        <v>0</v>
      </c>
      <c r="AH378" s="211">
        <f t="shared" si="236"/>
        <v>0</v>
      </c>
      <c r="AI378" s="211">
        <f t="shared" si="236"/>
        <v>0</v>
      </c>
      <c r="AJ378" s="211">
        <f t="shared" si="236"/>
        <v>0</v>
      </c>
      <c r="AK378" s="211">
        <f t="shared" si="236"/>
        <v>0</v>
      </c>
      <c r="AL378" s="211">
        <f t="shared" si="236"/>
        <v>0</v>
      </c>
      <c r="AM378" s="211">
        <f t="shared" si="236"/>
        <v>0</v>
      </c>
      <c r="AN378" s="211">
        <f t="shared" si="236"/>
        <v>0</v>
      </c>
    </row>
    <row r="379" spans="2:40" s="7" customFormat="1" ht="12" hidden="1" customHeight="1" outlineLevel="1">
      <c r="B379" s="245"/>
      <c r="C379" s="213" t="s">
        <v>755</v>
      </c>
      <c r="D379" s="213"/>
      <c r="E379" s="213"/>
      <c r="G379" s="211">
        <f>INDEX($C$349:$AN$371,MATCH("New Customers One-Time",$C$349:$C$371,0),MATCH($C379,$C$349:$AN$349,0))</f>
        <v>1572</v>
      </c>
      <c r="H379" s="211">
        <f t="shared" ref="H379:AN379" si="237">$G379*(E375)</f>
        <v>0</v>
      </c>
      <c r="I379" s="211">
        <f t="shared" si="237"/>
        <v>0</v>
      </c>
      <c r="J379" s="211">
        <f t="shared" si="237"/>
        <v>0</v>
      </c>
      <c r="K379" s="211">
        <f t="shared" si="237"/>
        <v>0</v>
      </c>
      <c r="L379" s="211">
        <f t="shared" si="237"/>
        <v>0</v>
      </c>
      <c r="M379" s="211">
        <f t="shared" si="237"/>
        <v>0</v>
      </c>
      <c r="N379" s="211">
        <f t="shared" si="237"/>
        <v>0</v>
      </c>
      <c r="O379" s="211">
        <f t="shared" si="237"/>
        <v>0</v>
      </c>
      <c r="P379" s="211">
        <f t="shared" si="237"/>
        <v>0</v>
      </c>
      <c r="Q379" s="211">
        <f t="shared" si="237"/>
        <v>0</v>
      </c>
      <c r="R379" s="211">
        <f t="shared" si="237"/>
        <v>0</v>
      </c>
      <c r="S379" s="211">
        <f t="shared" si="237"/>
        <v>0</v>
      </c>
      <c r="T379" s="211">
        <f t="shared" si="237"/>
        <v>0</v>
      </c>
      <c r="U379" s="211">
        <f t="shared" si="237"/>
        <v>0</v>
      </c>
      <c r="V379" s="211">
        <f t="shared" si="237"/>
        <v>0</v>
      </c>
      <c r="W379" s="211">
        <f t="shared" si="237"/>
        <v>0</v>
      </c>
      <c r="X379" s="211">
        <f t="shared" si="237"/>
        <v>0</v>
      </c>
      <c r="Y379" s="211">
        <f t="shared" si="237"/>
        <v>0</v>
      </c>
      <c r="Z379" s="211">
        <f t="shared" si="237"/>
        <v>0</v>
      </c>
      <c r="AA379" s="211">
        <f t="shared" si="237"/>
        <v>0</v>
      </c>
      <c r="AB379" s="211">
        <f t="shared" si="237"/>
        <v>0</v>
      </c>
      <c r="AC379" s="211">
        <f t="shared" si="237"/>
        <v>0</v>
      </c>
      <c r="AD379" s="211">
        <f t="shared" si="237"/>
        <v>0</v>
      </c>
      <c r="AE379" s="211">
        <f t="shared" si="237"/>
        <v>0</v>
      </c>
      <c r="AF379" s="211">
        <f t="shared" si="237"/>
        <v>0</v>
      </c>
      <c r="AG379" s="211">
        <f t="shared" si="237"/>
        <v>0</v>
      </c>
      <c r="AH379" s="211">
        <f t="shared" si="237"/>
        <v>0</v>
      </c>
      <c r="AI379" s="211">
        <f t="shared" si="237"/>
        <v>0</v>
      </c>
      <c r="AJ379" s="211">
        <f t="shared" si="237"/>
        <v>0</v>
      </c>
      <c r="AK379" s="211">
        <f t="shared" si="237"/>
        <v>0</v>
      </c>
      <c r="AL379" s="211">
        <f t="shared" si="237"/>
        <v>0</v>
      </c>
      <c r="AM379" s="211">
        <f t="shared" si="237"/>
        <v>0</v>
      </c>
      <c r="AN379" s="211">
        <f t="shared" si="237"/>
        <v>0</v>
      </c>
    </row>
    <row r="380" spans="2:40" s="7" customFormat="1" ht="12" hidden="1" customHeight="1" outlineLevel="1">
      <c r="B380" s="245"/>
      <c r="C380" s="213" t="s">
        <v>756</v>
      </c>
      <c r="D380" s="213"/>
      <c r="E380" s="213"/>
      <c r="F380" s="213"/>
      <c r="G380" s="213"/>
      <c r="H380" s="211">
        <f>INDEX($C$349:$AN$371,MATCH("New Customers One-Time",$C$349:$C$371,0),MATCH($C380,$C$349:$AN$349,0))</f>
        <v>269</v>
      </c>
      <c r="I380" s="211">
        <f t="shared" ref="I380:AN380" si="238">$H380*(E375)</f>
        <v>0</v>
      </c>
      <c r="J380" s="211">
        <f t="shared" si="238"/>
        <v>0</v>
      </c>
      <c r="K380" s="211">
        <f t="shared" si="238"/>
        <v>0</v>
      </c>
      <c r="L380" s="211">
        <f t="shared" si="238"/>
        <v>0</v>
      </c>
      <c r="M380" s="211">
        <f t="shared" si="238"/>
        <v>0</v>
      </c>
      <c r="N380" s="211">
        <f t="shared" si="238"/>
        <v>0</v>
      </c>
      <c r="O380" s="211">
        <f t="shared" si="238"/>
        <v>0</v>
      </c>
      <c r="P380" s="211">
        <f t="shared" si="238"/>
        <v>0</v>
      </c>
      <c r="Q380" s="211">
        <f t="shared" si="238"/>
        <v>0</v>
      </c>
      <c r="R380" s="211">
        <f t="shared" si="238"/>
        <v>0</v>
      </c>
      <c r="S380" s="211">
        <f t="shared" si="238"/>
        <v>0</v>
      </c>
      <c r="T380" s="211">
        <f t="shared" si="238"/>
        <v>0</v>
      </c>
      <c r="U380" s="211">
        <f t="shared" si="238"/>
        <v>0</v>
      </c>
      <c r="V380" s="211">
        <f t="shared" si="238"/>
        <v>0</v>
      </c>
      <c r="W380" s="211">
        <f t="shared" si="238"/>
        <v>0</v>
      </c>
      <c r="X380" s="211">
        <f t="shared" si="238"/>
        <v>0</v>
      </c>
      <c r="Y380" s="211">
        <f t="shared" si="238"/>
        <v>0</v>
      </c>
      <c r="Z380" s="211">
        <f t="shared" si="238"/>
        <v>0</v>
      </c>
      <c r="AA380" s="211">
        <f t="shared" si="238"/>
        <v>0</v>
      </c>
      <c r="AB380" s="211">
        <f t="shared" si="238"/>
        <v>0</v>
      </c>
      <c r="AC380" s="211">
        <f t="shared" si="238"/>
        <v>0</v>
      </c>
      <c r="AD380" s="211">
        <f t="shared" si="238"/>
        <v>0</v>
      </c>
      <c r="AE380" s="211">
        <f t="shared" si="238"/>
        <v>0</v>
      </c>
      <c r="AF380" s="211">
        <f t="shared" si="238"/>
        <v>0</v>
      </c>
      <c r="AG380" s="211">
        <f t="shared" si="238"/>
        <v>0</v>
      </c>
      <c r="AH380" s="211">
        <f t="shared" si="238"/>
        <v>0</v>
      </c>
      <c r="AI380" s="211">
        <f t="shared" si="238"/>
        <v>0</v>
      </c>
      <c r="AJ380" s="211">
        <f t="shared" si="238"/>
        <v>0</v>
      </c>
      <c r="AK380" s="211">
        <f t="shared" si="238"/>
        <v>0</v>
      </c>
      <c r="AL380" s="211">
        <f t="shared" si="238"/>
        <v>0</v>
      </c>
      <c r="AM380" s="211">
        <f t="shared" si="238"/>
        <v>0</v>
      </c>
      <c r="AN380" s="211">
        <f t="shared" si="238"/>
        <v>0</v>
      </c>
    </row>
    <row r="381" spans="2:40" s="7" customFormat="1" ht="12" hidden="1" customHeight="1" outlineLevel="1">
      <c r="B381" s="245"/>
      <c r="C381" s="213" t="s">
        <v>757</v>
      </c>
      <c r="D381" s="213"/>
      <c r="E381" s="213"/>
      <c r="F381" s="213"/>
      <c r="G381" s="213"/>
      <c r="H381" s="213"/>
      <c r="I381" s="211">
        <f>INDEX($C$349:$AN$371,MATCH("New Customers One-Time",$C$349:$C$371,0),MATCH($C381,$C$349:$AN$349,0))</f>
        <v>487</v>
      </c>
      <c r="J381" s="211">
        <f t="shared" ref="J381:AN381" si="239">$I381*(E375)</f>
        <v>0</v>
      </c>
      <c r="K381" s="211">
        <f t="shared" si="239"/>
        <v>0</v>
      </c>
      <c r="L381" s="211">
        <f t="shared" si="239"/>
        <v>0</v>
      </c>
      <c r="M381" s="211">
        <f t="shared" si="239"/>
        <v>0</v>
      </c>
      <c r="N381" s="211">
        <f t="shared" si="239"/>
        <v>0</v>
      </c>
      <c r="O381" s="211">
        <f t="shared" si="239"/>
        <v>0</v>
      </c>
      <c r="P381" s="211">
        <f t="shared" si="239"/>
        <v>0</v>
      </c>
      <c r="Q381" s="211">
        <f t="shared" si="239"/>
        <v>0</v>
      </c>
      <c r="R381" s="211">
        <f t="shared" si="239"/>
        <v>0</v>
      </c>
      <c r="S381" s="211">
        <f t="shared" si="239"/>
        <v>0</v>
      </c>
      <c r="T381" s="211">
        <f t="shared" si="239"/>
        <v>0</v>
      </c>
      <c r="U381" s="211">
        <f t="shared" si="239"/>
        <v>0</v>
      </c>
      <c r="V381" s="211">
        <f t="shared" si="239"/>
        <v>0</v>
      </c>
      <c r="W381" s="211">
        <f t="shared" si="239"/>
        <v>0</v>
      </c>
      <c r="X381" s="211">
        <f t="shared" si="239"/>
        <v>0</v>
      </c>
      <c r="Y381" s="211">
        <f t="shared" si="239"/>
        <v>0</v>
      </c>
      <c r="Z381" s="211">
        <f t="shared" si="239"/>
        <v>0</v>
      </c>
      <c r="AA381" s="211">
        <f t="shared" si="239"/>
        <v>0</v>
      </c>
      <c r="AB381" s="211">
        <f t="shared" si="239"/>
        <v>0</v>
      </c>
      <c r="AC381" s="211">
        <f t="shared" si="239"/>
        <v>0</v>
      </c>
      <c r="AD381" s="211">
        <f t="shared" si="239"/>
        <v>0</v>
      </c>
      <c r="AE381" s="211">
        <f t="shared" si="239"/>
        <v>0</v>
      </c>
      <c r="AF381" s="211">
        <f t="shared" si="239"/>
        <v>0</v>
      </c>
      <c r="AG381" s="211">
        <f t="shared" si="239"/>
        <v>0</v>
      </c>
      <c r="AH381" s="211">
        <f t="shared" si="239"/>
        <v>0</v>
      </c>
      <c r="AI381" s="211">
        <f t="shared" si="239"/>
        <v>0</v>
      </c>
      <c r="AJ381" s="211">
        <f t="shared" si="239"/>
        <v>0</v>
      </c>
      <c r="AK381" s="211">
        <f t="shared" si="239"/>
        <v>0</v>
      </c>
      <c r="AL381" s="211">
        <f t="shared" si="239"/>
        <v>0</v>
      </c>
      <c r="AM381" s="211">
        <f t="shared" si="239"/>
        <v>0</v>
      </c>
      <c r="AN381" s="211">
        <f t="shared" si="239"/>
        <v>0</v>
      </c>
    </row>
    <row r="382" spans="2:40" s="7" customFormat="1" ht="12" hidden="1" customHeight="1" outlineLevel="1">
      <c r="B382" s="245"/>
      <c r="C382" s="213" t="s">
        <v>758</v>
      </c>
      <c r="D382" s="213"/>
      <c r="E382" s="213"/>
      <c r="F382" s="213"/>
      <c r="G382" s="213"/>
      <c r="H382" s="213"/>
      <c r="I382" s="213"/>
      <c r="J382" s="211">
        <f>INDEX($C$349:$AN$371,MATCH("New Customers One-Time",$C$349:$C$371,0),MATCH($C382,$C$349:$AN$349,0))</f>
        <v>1551</v>
      </c>
      <c r="K382" s="211">
        <f t="shared" ref="K382:AN382" si="240">$J382*(E375)</f>
        <v>0</v>
      </c>
      <c r="L382" s="211">
        <f t="shared" si="240"/>
        <v>0</v>
      </c>
      <c r="M382" s="211">
        <f t="shared" si="240"/>
        <v>0</v>
      </c>
      <c r="N382" s="211">
        <f t="shared" si="240"/>
        <v>0</v>
      </c>
      <c r="O382" s="211">
        <f t="shared" si="240"/>
        <v>0</v>
      </c>
      <c r="P382" s="211">
        <f t="shared" si="240"/>
        <v>0</v>
      </c>
      <c r="Q382" s="211">
        <f t="shared" si="240"/>
        <v>0</v>
      </c>
      <c r="R382" s="211">
        <f t="shared" si="240"/>
        <v>0</v>
      </c>
      <c r="S382" s="211">
        <f t="shared" si="240"/>
        <v>0</v>
      </c>
      <c r="T382" s="211">
        <f t="shared" si="240"/>
        <v>0</v>
      </c>
      <c r="U382" s="211">
        <f t="shared" si="240"/>
        <v>0</v>
      </c>
      <c r="V382" s="211">
        <f t="shared" si="240"/>
        <v>0</v>
      </c>
      <c r="W382" s="211">
        <f t="shared" si="240"/>
        <v>0</v>
      </c>
      <c r="X382" s="211">
        <f t="shared" si="240"/>
        <v>0</v>
      </c>
      <c r="Y382" s="211">
        <f t="shared" si="240"/>
        <v>0</v>
      </c>
      <c r="Z382" s="211">
        <f t="shared" si="240"/>
        <v>0</v>
      </c>
      <c r="AA382" s="211">
        <f t="shared" si="240"/>
        <v>0</v>
      </c>
      <c r="AB382" s="211">
        <f t="shared" si="240"/>
        <v>0</v>
      </c>
      <c r="AC382" s="211">
        <f t="shared" si="240"/>
        <v>0</v>
      </c>
      <c r="AD382" s="211">
        <f t="shared" si="240"/>
        <v>0</v>
      </c>
      <c r="AE382" s="211">
        <f t="shared" si="240"/>
        <v>0</v>
      </c>
      <c r="AF382" s="211">
        <f t="shared" si="240"/>
        <v>0</v>
      </c>
      <c r="AG382" s="211">
        <f t="shared" si="240"/>
        <v>0</v>
      </c>
      <c r="AH382" s="211">
        <f t="shared" si="240"/>
        <v>0</v>
      </c>
      <c r="AI382" s="211">
        <f t="shared" si="240"/>
        <v>0</v>
      </c>
      <c r="AJ382" s="211">
        <f t="shared" si="240"/>
        <v>0</v>
      </c>
      <c r="AK382" s="211">
        <f t="shared" si="240"/>
        <v>0</v>
      </c>
      <c r="AL382" s="211">
        <f t="shared" si="240"/>
        <v>0</v>
      </c>
      <c r="AM382" s="211">
        <f t="shared" si="240"/>
        <v>0</v>
      </c>
      <c r="AN382" s="211">
        <f t="shared" si="240"/>
        <v>0</v>
      </c>
    </row>
    <row r="383" spans="2:40" s="7" customFormat="1" ht="12" hidden="1" customHeight="1" outlineLevel="1">
      <c r="B383" s="245"/>
      <c r="C383" s="213" t="s">
        <v>759</v>
      </c>
      <c r="D383" s="213"/>
      <c r="E383" s="213"/>
      <c r="F383" s="213"/>
      <c r="G383" s="213"/>
      <c r="H383" s="213"/>
      <c r="I383" s="213"/>
      <c r="J383" s="213"/>
      <c r="K383" s="211">
        <f>INDEX($C$349:$AN$371,MATCH("New Customers One-Time",$C$349:$C$371,0),MATCH($C383,$C$349:$AN$349,0))</f>
        <v>1676</v>
      </c>
      <c r="L383" s="211">
        <f t="shared" ref="L383:AN383" si="241">$K383*(E375)</f>
        <v>0</v>
      </c>
      <c r="M383" s="211">
        <f t="shared" si="241"/>
        <v>0</v>
      </c>
      <c r="N383" s="211">
        <f t="shared" si="241"/>
        <v>0</v>
      </c>
      <c r="O383" s="211">
        <f t="shared" si="241"/>
        <v>0</v>
      </c>
      <c r="P383" s="211">
        <f t="shared" si="241"/>
        <v>0</v>
      </c>
      <c r="Q383" s="211">
        <f t="shared" si="241"/>
        <v>0</v>
      </c>
      <c r="R383" s="211">
        <f t="shared" si="241"/>
        <v>0</v>
      </c>
      <c r="S383" s="211">
        <f t="shared" si="241"/>
        <v>0</v>
      </c>
      <c r="T383" s="211">
        <f t="shared" si="241"/>
        <v>0</v>
      </c>
      <c r="U383" s="211">
        <f t="shared" si="241"/>
        <v>0</v>
      </c>
      <c r="V383" s="211">
        <f t="shared" si="241"/>
        <v>0</v>
      </c>
      <c r="W383" s="211">
        <f t="shared" si="241"/>
        <v>0</v>
      </c>
      <c r="X383" s="211">
        <f t="shared" si="241"/>
        <v>0</v>
      </c>
      <c r="Y383" s="211">
        <f t="shared" si="241"/>
        <v>0</v>
      </c>
      <c r="Z383" s="211">
        <f t="shared" si="241"/>
        <v>0</v>
      </c>
      <c r="AA383" s="211">
        <f t="shared" si="241"/>
        <v>0</v>
      </c>
      <c r="AB383" s="211">
        <f t="shared" si="241"/>
        <v>0</v>
      </c>
      <c r="AC383" s="211">
        <f t="shared" si="241"/>
        <v>0</v>
      </c>
      <c r="AD383" s="211">
        <f t="shared" si="241"/>
        <v>0</v>
      </c>
      <c r="AE383" s="211">
        <f t="shared" si="241"/>
        <v>0</v>
      </c>
      <c r="AF383" s="211">
        <f t="shared" si="241"/>
        <v>0</v>
      </c>
      <c r="AG383" s="211">
        <f t="shared" si="241"/>
        <v>0</v>
      </c>
      <c r="AH383" s="211">
        <f t="shared" si="241"/>
        <v>0</v>
      </c>
      <c r="AI383" s="211">
        <f t="shared" si="241"/>
        <v>0</v>
      </c>
      <c r="AJ383" s="211">
        <f t="shared" si="241"/>
        <v>0</v>
      </c>
      <c r="AK383" s="211">
        <f t="shared" si="241"/>
        <v>0</v>
      </c>
      <c r="AL383" s="211">
        <f t="shared" si="241"/>
        <v>0</v>
      </c>
      <c r="AM383" s="211">
        <f t="shared" si="241"/>
        <v>0</v>
      </c>
      <c r="AN383" s="211">
        <f t="shared" si="241"/>
        <v>0</v>
      </c>
    </row>
    <row r="384" spans="2:40" s="7" customFormat="1" ht="12" hidden="1" customHeight="1" outlineLevel="1">
      <c r="B384" s="245"/>
      <c r="C384" s="213" t="s">
        <v>760</v>
      </c>
      <c r="D384" s="213"/>
      <c r="E384" s="213"/>
      <c r="F384" s="213"/>
      <c r="G384" s="213"/>
      <c r="H384" s="213"/>
      <c r="I384" s="213"/>
      <c r="J384" s="213"/>
      <c r="K384" s="213"/>
      <c r="L384" s="211">
        <f>INDEX($C$349:$AN$371,MATCH("New Customers One-Time",$C$349:$C$371,0),MATCH($C384,$C$349:$AN$349,0))</f>
        <v>247</v>
      </c>
      <c r="M384" s="211">
        <f t="shared" ref="M384:AN384" si="242">$L384*(E375)</f>
        <v>0</v>
      </c>
      <c r="N384" s="211">
        <f t="shared" si="242"/>
        <v>0</v>
      </c>
      <c r="O384" s="211">
        <f t="shared" si="242"/>
        <v>0</v>
      </c>
      <c r="P384" s="211">
        <f t="shared" si="242"/>
        <v>0</v>
      </c>
      <c r="Q384" s="211">
        <f t="shared" si="242"/>
        <v>0</v>
      </c>
      <c r="R384" s="211">
        <f t="shared" si="242"/>
        <v>0</v>
      </c>
      <c r="S384" s="211">
        <f t="shared" si="242"/>
        <v>0</v>
      </c>
      <c r="T384" s="211">
        <f t="shared" si="242"/>
        <v>0</v>
      </c>
      <c r="U384" s="211">
        <f t="shared" si="242"/>
        <v>0</v>
      </c>
      <c r="V384" s="211">
        <f t="shared" si="242"/>
        <v>0</v>
      </c>
      <c r="W384" s="211">
        <f t="shared" si="242"/>
        <v>0</v>
      </c>
      <c r="X384" s="211">
        <f t="shared" si="242"/>
        <v>0</v>
      </c>
      <c r="Y384" s="211">
        <f t="shared" si="242"/>
        <v>0</v>
      </c>
      <c r="Z384" s="211">
        <f t="shared" si="242"/>
        <v>0</v>
      </c>
      <c r="AA384" s="211">
        <f t="shared" si="242"/>
        <v>0</v>
      </c>
      <c r="AB384" s="211">
        <f t="shared" si="242"/>
        <v>0</v>
      </c>
      <c r="AC384" s="211">
        <f t="shared" si="242"/>
        <v>0</v>
      </c>
      <c r="AD384" s="211">
        <f t="shared" si="242"/>
        <v>0</v>
      </c>
      <c r="AE384" s="211">
        <f t="shared" si="242"/>
        <v>0</v>
      </c>
      <c r="AF384" s="211">
        <f t="shared" si="242"/>
        <v>0</v>
      </c>
      <c r="AG384" s="211">
        <f t="shared" si="242"/>
        <v>0</v>
      </c>
      <c r="AH384" s="211">
        <f t="shared" si="242"/>
        <v>0</v>
      </c>
      <c r="AI384" s="211">
        <f t="shared" si="242"/>
        <v>0</v>
      </c>
      <c r="AJ384" s="211">
        <f t="shared" si="242"/>
        <v>0</v>
      </c>
      <c r="AK384" s="211">
        <f t="shared" si="242"/>
        <v>0</v>
      </c>
      <c r="AL384" s="211">
        <f t="shared" si="242"/>
        <v>0</v>
      </c>
      <c r="AM384" s="211">
        <f t="shared" si="242"/>
        <v>0</v>
      </c>
      <c r="AN384" s="211">
        <f t="shared" si="242"/>
        <v>0</v>
      </c>
    </row>
    <row r="385" spans="2:40" s="7" customFormat="1" ht="12" hidden="1" customHeight="1" outlineLevel="1">
      <c r="B385" s="245"/>
      <c r="C385" s="213" t="s">
        <v>761</v>
      </c>
      <c r="D385" s="213"/>
      <c r="E385" s="213"/>
      <c r="F385" s="213"/>
      <c r="G385" s="213"/>
      <c r="H385" s="213"/>
      <c r="I385" s="213"/>
      <c r="J385" s="213"/>
      <c r="K385" s="213"/>
      <c r="L385" s="213"/>
      <c r="M385" s="211">
        <f>INDEX($C$349:$AN$371,MATCH("New Customers One-Time",$C$349:$C$371,0),MATCH($C385,$C$349:$AN$349,0))</f>
        <v>1448.9428571428571</v>
      </c>
      <c r="N385" s="211">
        <f t="shared" ref="N385:AN385" si="243">$M385*(E375)</f>
        <v>0</v>
      </c>
      <c r="O385" s="211">
        <f t="shared" si="243"/>
        <v>0</v>
      </c>
      <c r="P385" s="211">
        <f t="shared" si="243"/>
        <v>0</v>
      </c>
      <c r="Q385" s="211">
        <f t="shared" si="243"/>
        <v>0</v>
      </c>
      <c r="R385" s="211">
        <f t="shared" si="243"/>
        <v>0</v>
      </c>
      <c r="S385" s="211">
        <f t="shared" si="243"/>
        <v>0</v>
      </c>
      <c r="T385" s="211">
        <f t="shared" si="243"/>
        <v>0</v>
      </c>
      <c r="U385" s="211">
        <f t="shared" si="243"/>
        <v>0</v>
      </c>
      <c r="V385" s="211">
        <f t="shared" si="243"/>
        <v>0</v>
      </c>
      <c r="W385" s="211">
        <f t="shared" si="243"/>
        <v>0</v>
      </c>
      <c r="X385" s="211">
        <f t="shared" si="243"/>
        <v>0</v>
      </c>
      <c r="Y385" s="211">
        <f t="shared" si="243"/>
        <v>0</v>
      </c>
      <c r="Z385" s="211">
        <f t="shared" si="243"/>
        <v>0</v>
      </c>
      <c r="AA385" s="211">
        <f t="shared" si="243"/>
        <v>0</v>
      </c>
      <c r="AB385" s="211">
        <f t="shared" si="243"/>
        <v>0</v>
      </c>
      <c r="AC385" s="211">
        <f t="shared" si="243"/>
        <v>0</v>
      </c>
      <c r="AD385" s="211">
        <f t="shared" si="243"/>
        <v>0</v>
      </c>
      <c r="AE385" s="211">
        <f t="shared" si="243"/>
        <v>0</v>
      </c>
      <c r="AF385" s="211">
        <f t="shared" si="243"/>
        <v>0</v>
      </c>
      <c r="AG385" s="211">
        <f t="shared" si="243"/>
        <v>0</v>
      </c>
      <c r="AH385" s="211">
        <f t="shared" si="243"/>
        <v>0</v>
      </c>
      <c r="AI385" s="211">
        <f t="shared" si="243"/>
        <v>0</v>
      </c>
      <c r="AJ385" s="211">
        <f t="shared" si="243"/>
        <v>0</v>
      </c>
      <c r="AK385" s="211">
        <f t="shared" si="243"/>
        <v>0</v>
      </c>
      <c r="AL385" s="211">
        <f t="shared" si="243"/>
        <v>0</v>
      </c>
      <c r="AM385" s="211">
        <f t="shared" si="243"/>
        <v>0</v>
      </c>
      <c r="AN385" s="211">
        <f t="shared" si="243"/>
        <v>0</v>
      </c>
    </row>
    <row r="386" spans="2:40" s="7" customFormat="1" ht="12" hidden="1" customHeight="1" outlineLevel="1">
      <c r="B386" s="245"/>
      <c r="C386" s="213" t="s">
        <v>762</v>
      </c>
      <c r="D386" s="213"/>
      <c r="E386" s="213"/>
      <c r="F386" s="213"/>
      <c r="G386" s="213"/>
      <c r="H386" s="213"/>
      <c r="I386" s="213"/>
      <c r="J386" s="213"/>
      <c r="K386" s="213"/>
      <c r="L386" s="213"/>
      <c r="M386" s="213"/>
      <c r="N386" s="211">
        <f>INDEX($C$349:$AN$371,MATCH("New Customers One-Time",$C$349:$C$371,0),MATCH($C386,$C$349:$AN$349,0))</f>
        <v>1560.3999999999999</v>
      </c>
      <c r="O386" s="211">
        <f t="shared" ref="O386:AN386" si="244">$N386*(E375)</f>
        <v>0</v>
      </c>
      <c r="P386" s="211">
        <f t="shared" si="244"/>
        <v>0</v>
      </c>
      <c r="Q386" s="211">
        <f t="shared" si="244"/>
        <v>0</v>
      </c>
      <c r="R386" s="211">
        <f t="shared" si="244"/>
        <v>0</v>
      </c>
      <c r="S386" s="211">
        <f t="shared" si="244"/>
        <v>0</v>
      </c>
      <c r="T386" s="211">
        <f t="shared" si="244"/>
        <v>0</v>
      </c>
      <c r="U386" s="211">
        <f t="shared" si="244"/>
        <v>0</v>
      </c>
      <c r="V386" s="211">
        <f t="shared" si="244"/>
        <v>0</v>
      </c>
      <c r="W386" s="211">
        <f t="shared" si="244"/>
        <v>0</v>
      </c>
      <c r="X386" s="211">
        <f t="shared" si="244"/>
        <v>0</v>
      </c>
      <c r="Y386" s="211">
        <f t="shared" si="244"/>
        <v>0</v>
      </c>
      <c r="Z386" s="211">
        <f t="shared" si="244"/>
        <v>0</v>
      </c>
      <c r="AA386" s="211">
        <f t="shared" si="244"/>
        <v>0</v>
      </c>
      <c r="AB386" s="211">
        <f t="shared" si="244"/>
        <v>0</v>
      </c>
      <c r="AC386" s="211">
        <f t="shared" si="244"/>
        <v>0</v>
      </c>
      <c r="AD386" s="211">
        <f t="shared" si="244"/>
        <v>0</v>
      </c>
      <c r="AE386" s="211">
        <f t="shared" si="244"/>
        <v>0</v>
      </c>
      <c r="AF386" s="211">
        <f t="shared" si="244"/>
        <v>0</v>
      </c>
      <c r="AG386" s="211">
        <f t="shared" si="244"/>
        <v>0</v>
      </c>
      <c r="AH386" s="211">
        <f t="shared" si="244"/>
        <v>0</v>
      </c>
      <c r="AI386" s="211">
        <f t="shared" si="244"/>
        <v>0</v>
      </c>
      <c r="AJ386" s="211">
        <f t="shared" si="244"/>
        <v>0</v>
      </c>
      <c r="AK386" s="211">
        <f t="shared" si="244"/>
        <v>0</v>
      </c>
      <c r="AL386" s="211">
        <f t="shared" si="244"/>
        <v>0</v>
      </c>
      <c r="AM386" s="211">
        <f t="shared" si="244"/>
        <v>0</v>
      </c>
      <c r="AN386" s="211">
        <f t="shared" si="244"/>
        <v>0</v>
      </c>
    </row>
    <row r="387" spans="2:40" s="7" customFormat="1" ht="12" hidden="1" customHeight="1" outlineLevel="1">
      <c r="B387" s="245"/>
      <c r="C387" s="213" t="s">
        <v>763</v>
      </c>
      <c r="D387" s="213"/>
      <c r="E387" s="213"/>
      <c r="F387" s="213"/>
      <c r="G387" s="213"/>
      <c r="H387" s="213"/>
      <c r="I387" s="213"/>
      <c r="J387" s="213"/>
      <c r="K387" s="213"/>
      <c r="L387" s="213"/>
      <c r="M387" s="213"/>
      <c r="N387" s="213"/>
      <c r="O387" s="211">
        <f>INDEX($C$349:$AN$371,MATCH("New Customers One-Time",$C$349:$C$371,0),MATCH($C387,$C$349:$AN$349,0))</f>
        <v>445.82857142857142</v>
      </c>
      <c r="P387" s="211">
        <f t="shared" ref="P387:AN387" si="245">$O387*(E375)</f>
        <v>0</v>
      </c>
      <c r="Q387" s="211">
        <f t="shared" si="245"/>
        <v>0</v>
      </c>
      <c r="R387" s="211">
        <f t="shared" si="245"/>
        <v>0</v>
      </c>
      <c r="S387" s="211">
        <f t="shared" si="245"/>
        <v>0</v>
      </c>
      <c r="T387" s="211">
        <f t="shared" si="245"/>
        <v>0</v>
      </c>
      <c r="U387" s="211">
        <f t="shared" si="245"/>
        <v>0</v>
      </c>
      <c r="V387" s="211">
        <f t="shared" si="245"/>
        <v>0</v>
      </c>
      <c r="W387" s="211">
        <f t="shared" si="245"/>
        <v>0</v>
      </c>
      <c r="X387" s="211">
        <f t="shared" si="245"/>
        <v>0</v>
      </c>
      <c r="Y387" s="211">
        <f t="shared" si="245"/>
        <v>0</v>
      </c>
      <c r="Z387" s="211">
        <f t="shared" si="245"/>
        <v>0</v>
      </c>
      <c r="AA387" s="211">
        <f t="shared" si="245"/>
        <v>0</v>
      </c>
      <c r="AB387" s="211">
        <f t="shared" si="245"/>
        <v>0</v>
      </c>
      <c r="AC387" s="211">
        <f t="shared" si="245"/>
        <v>0</v>
      </c>
      <c r="AD387" s="211">
        <f t="shared" si="245"/>
        <v>0</v>
      </c>
      <c r="AE387" s="211">
        <f t="shared" si="245"/>
        <v>0</v>
      </c>
      <c r="AF387" s="211">
        <f t="shared" si="245"/>
        <v>0</v>
      </c>
      <c r="AG387" s="211">
        <f t="shared" si="245"/>
        <v>0</v>
      </c>
      <c r="AH387" s="211">
        <f t="shared" si="245"/>
        <v>0</v>
      </c>
      <c r="AI387" s="211">
        <f t="shared" si="245"/>
        <v>0</v>
      </c>
      <c r="AJ387" s="211">
        <f t="shared" si="245"/>
        <v>0</v>
      </c>
      <c r="AK387" s="211">
        <f t="shared" si="245"/>
        <v>0</v>
      </c>
      <c r="AL387" s="211">
        <f t="shared" si="245"/>
        <v>0</v>
      </c>
      <c r="AM387" s="211">
        <f t="shared" si="245"/>
        <v>0</v>
      </c>
      <c r="AN387" s="211">
        <f t="shared" si="245"/>
        <v>0</v>
      </c>
    </row>
    <row r="388" spans="2:40" s="7" customFormat="1" ht="12" hidden="1" customHeight="1" outlineLevel="1">
      <c r="B388" s="245"/>
      <c r="C388" s="213" t="s">
        <v>764</v>
      </c>
      <c r="D388" s="213"/>
      <c r="E388" s="213"/>
      <c r="F388" s="213"/>
      <c r="G388" s="213"/>
      <c r="H388" s="213"/>
      <c r="I388" s="213"/>
      <c r="J388" s="213"/>
      <c r="K388" s="213"/>
      <c r="L388" s="213"/>
      <c r="M388" s="213"/>
      <c r="N388" s="213"/>
      <c r="O388" s="213"/>
      <c r="P388" s="211">
        <f>INDEX($C$349:$AN$371,MATCH("New Customers One-Time",$C$349:$C$371,0),MATCH($C388,$C$349:$AN$349,0))</f>
        <v>445.82857142857142</v>
      </c>
      <c r="Q388" s="211">
        <f t="shared" ref="Q388:AN388" si="246">$P388*(E375)</f>
        <v>0</v>
      </c>
      <c r="R388" s="211">
        <f t="shared" si="246"/>
        <v>0</v>
      </c>
      <c r="S388" s="211">
        <f t="shared" si="246"/>
        <v>0</v>
      </c>
      <c r="T388" s="211">
        <f t="shared" si="246"/>
        <v>0</v>
      </c>
      <c r="U388" s="211">
        <f t="shared" si="246"/>
        <v>0</v>
      </c>
      <c r="V388" s="211">
        <f t="shared" si="246"/>
        <v>0</v>
      </c>
      <c r="W388" s="211">
        <f t="shared" si="246"/>
        <v>0</v>
      </c>
      <c r="X388" s="211">
        <f t="shared" si="246"/>
        <v>0</v>
      </c>
      <c r="Y388" s="211">
        <f t="shared" si="246"/>
        <v>0</v>
      </c>
      <c r="Z388" s="211">
        <f t="shared" si="246"/>
        <v>0</v>
      </c>
      <c r="AA388" s="211">
        <f t="shared" si="246"/>
        <v>0</v>
      </c>
      <c r="AB388" s="211">
        <f t="shared" si="246"/>
        <v>0</v>
      </c>
      <c r="AC388" s="211">
        <f t="shared" si="246"/>
        <v>0</v>
      </c>
      <c r="AD388" s="211">
        <f t="shared" si="246"/>
        <v>0</v>
      </c>
      <c r="AE388" s="211">
        <f t="shared" si="246"/>
        <v>0</v>
      </c>
      <c r="AF388" s="211">
        <f t="shared" si="246"/>
        <v>0</v>
      </c>
      <c r="AG388" s="211">
        <f t="shared" si="246"/>
        <v>0</v>
      </c>
      <c r="AH388" s="211">
        <f t="shared" si="246"/>
        <v>0</v>
      </c>
      <c r="AI388" s="211">
        <f t="shared" si="246"/>
        <v>0</v>
      </c>
      <c r="AJ388" s="211">
        <f t="shared" si="246"/>
        <v>0</v>
      </c>
      <c r="AK388" s="211">
        <f t="shared" si="246"/>
        <v>0</v>
      </c>
      <c r="AL388" s="211">
        <f t="shared" si="246"/>
        <v>0</v>
      </c>
      <c r="AM388" s="211">
        <f t="shared" si="246"/>
        <v>0</v>
      </c>
      <c r="AN388" s="211">
        <f t="shared" si="246"/>
        <v>0</v>
      </c>
    </row>
    <row r="389" spans="2:40" s="7" customFormat="1" ht="12" hidden="1" customHeight="1" outlineLevel="1">
      <c r="B389" s="245"/>
      <c r="C389" s="213" t="s">
        <v>765</v>
      </c>
      <c r="D389" s="213"/>
      <c r="E389" s="213"/>
      <c r="F389" s="213"/>
      <c r="G389" s="213"/>
      <c r="H389" s="213"/>
      <c r="I389" s="213"/>
      <c r="J389" s="213"/>
      <c r="K389" s="213"/>
      <c r="L389" s="213"/>
      <c r="M389" s="213"/>
      <c r="N389" s="213"/>
      <c r="O389" s="213"/>
      <c r="P389" s="213"/>
      <c r="Q389" s="211">
        <f>INDEX($C$349:$AN$371,MATCH("New Customers One-Time",$C$349:$C$371,0),MATCH($C389,$C$349:$AN$349,0))</f>
        <v>387.39065142857152</v>
      </c>
      <c r="R389" s="211">
        <f t="shared" ref="R389:AN389" si="247">$Q389*(E375)</f>
        <v>0</v>
      </c>
      <c r="S389" s="211">
        <f t="shared" si="247"/>
        <v>0</v>
      </c>
      <c r="T389" s="211">
        <f t="shared" si="247"/>
        <v>0</v>
      </c>
      <c r="U389" s="211">
        <f t="shared" si="247"/>
        <v>0</v>
      </c>
      <c r="V389" s="211">
        <f t="shared" si="247"/>
        <v>0</v>
      </c>
      <c r="W389" s="211">
        <f t="shared" si="247"/>
        <v>0</v>
      </c>
      <c r="X389" s="211">
        <f t="shared" si="247"/>
        <v>0</v>
      </c>
      <c r="Y389" s="211">
        <f t="shared" si="247"/>
        <v>0</v>
      </c>
      <c r="Z389" s="211">
        <f t="shared" si="247"/>
        <v>0</v>
      </c>
      <c r="AA389" s="211">
        <f t="shared" si="247"/>
        <v>0</v>
      </c>
      <c r="AB389" s="211">
        <f t="shared" si="247"/>
        <v>0</v>
      </c>
      <c r="AC389" s="211">
        <f t="shared" si="247"/>
        <v>0</v>
      </c>
      <c r="AD389" s="211">
        <f t="shared" si="247"/>
        <v>0</v>
      </c>
      <c r="AE389" s="211">
        <f t="shared" si="247"/>
        <v>0</v>
      </c>
      <c r="AF389" s="211">
        <f t="shared" si="247"/>
        <v>0</v>
      </c>
      <c r="AG389" s="211">
        <f t="shared" si="247"/>
        <v>0</v>
      </c>
      <c r="AH389" s="211">
        <f t="shared" si="247"/>
        <v>0</v>
      </c>
      <c r="AI389" s="211">
        <f t="shared" si="247"/>
        <v>0</v>
      </c>
      <c r="AJ389" s="211">
        <f t="shared" si="247"/>
        <v>0</v>
      </c>
      <c r="AK389" s="211">
        <f t="shared" si="247"/>
        <v>0</v>
      </c>
      <c r="AL389" s="211">
        <f t="shared" si="247"/>
        <v>0</v>
      </c>
      <c r="AM389" s="211">
        <f t="shared" si="247"/>
        <v>0</v>
      </c>
      <c r="AN389" s="211">
        <f t="shared" si="247"/>
        <v>0</v>
      </c>
    </row>
    <row r="390" spans="2:40" s="7" customFormat="1" ht="12" hidden="1" customHeight="1" outlineLevel="1">
      <c r="B390" s="245"/>
      <c r="C390" s="213" t="s">
        <v>766</v>
      </c>
      <c r="D390" s="213"/>
      <c r="E390" s="213"/>
      <c r="F390" s="213"/>
      <c r="G390" s="213"/>
      <c r="H390" s="213"/>
      <c r="I390" s="213"/>
      <c r="J390" s="213"/>
      <c r="K390" s="213"/>
      <c r="L390" s="213"/>
      <c r="M390" s="213"/>
      <c r="N390" s="213"/>
      <c r="O390" s="213"/>
      <c r="P390" s="213"/>
      <c r="Q390" s="213"/>
      <c r="R390" s="211">
        <f>INDEX($C$349:$AN$371,MATCH("New Customers One-Time",$C$349:$C$371,0),MATCH($C390,$C$349:$AN$349,0))</f>
        <v>757.94724571428571</v>
      </c>
      <c r="S390" s="211">
        <f t="shared" ref="S390:AN390" si="248">$R390*(E375)</f>
        <v>0</v>
      </c>
      <c r="T390" s="211">
        <f t="shared" si="248"/>
        <v>0</v>
      </c>
      <c r="U390" s="211">
        <f t="shared" si="248"/>
        <v>0</v>
      </c>
      <c r="V390" s="211">
        <f t="shared" si="248"/>
        <v>0</v>
      </c>
      <c r="W390" s="211">
        <f t="shared" si="248"/>
        <v>0</v>
      </c>
      <c r="X390" s="211">
        <f t="shared" si="248"/>
        <v>0</v>
      </c>
      <c r="Y390" s="211">
        <f t="shared" si="248"/>
        <v>0</v>
      </c>
      <c r="Z390" s="211">
        <f t="shared" si="248"/>
        <v>0</v>
      </c>
      <c r="AA390" s="211">
        <f t="shared" si="248"/>
        <v>0</v>
      </c>
      <c r="AB390" s="211">
        <f t="shared" si="248"/>
        <v>0</v>
      </c>
      <c r="AC390" s="211">
        <f t="shared" si="248"/>
        <v>0</v>
      </c>
      <c r="AD390" s="211">
        <f t="shared" si="248"/>
        <v>0</v>
      </c>
      <c r="AE390" s="211">
        <f t="shared" si="248"/>
        <v>0</v>
      </c>
      <c r="AF390" s="211">
        <f t="shared" si="248"/>
        <v>0</v>
      </c>
      <c r="AG390" s="211">
        <f t="shared" si="248"/>
        <v>0</v>
      </c>
      <c r="AH390" s="211">
        <f t="shared" si="248"/>
        <v>0</v>
      </c>
      <c r="AI390" s="211">
        <f t="shared" si="248"/>
        <v>0</v>
      </c>
      <c r="AJ390" s="211">
        <f t="shared" si="248"/>
        <v>0</v>
      </c>
      <c r="AK390" s="211">
        <f t="shared" si="248"/>
        <v>0</v>
      </c>
      <c r="AL390" s="211">
        <f t="shared" si="248"/>
        <v>0</v>
      </c>
      <c r="AM390" s="211">
        <f t="shared" si="248"/>
        <v>0</v>
      </c>
      <c r="AN390" s="211">
        <f t="shared" si="248"/>
        <v>0</v>
      </c>
    </row>
    <row r="391" spans="2:40" s="7" customFormat="1" ht="12" hidden="1" customHeight="1" outlineLevel="1">
      <c r="B391" s="245"/>
      <c r="C391" s="213" t="s">
        <v>767</v>
      </c>
      <c r="D391" s="213"/>
      <c r="E391" s="213"/>
      <c r="F391" s="213"/>
      <c r="G391" s="213"/>
      <c r="H391" s="213"/>
      <c r="I391" s="213"/>
      <c r="J391" s="213"/>
      <c r="K391" s="213"/>
      <c r="L391" s="213"/>
      <c r="M391" s="213"/>
      <c r="N391" s="213"/>
      <c r="O391" s="213"/>
      <c r="P391" s="213"/>
      <c r="Q391" s="213"/>
      <c r="R391" s="213"/>
      <c r="S391" s="211">
        <f>INDEX($C$349:$AN$371,MATCH("New Customers One-Time",$C$349:$C$371,0),MATCH($C391,$C$349:$AN$349,0))</f>
        <v>846.95826285714304</v>
      </c>
      <c r="T391" s="211">
        <f t="shared" ref="T391:AN391" si="249">$S391*(E375)</f>
        <v>0</v>
      </c>
      <c r="U391" s="211">
        <f t="shared" si="249"/>
        <v>0</v>
      </c>
      <c r="V391" s="211">
        <f t="shared" si="249"/>
        <v>0</v>
      </c>
      <c r="W391" s="211">
        <f t="shared" si="249"/>
        <v>0</v>
      </c>
      <c r="X391" s="211">
        <f t="shared" si="249"/>
        <v>0</v>
      </c>
      <c r="Y391" s="211">
        <f t="shared" si="249"/>
        <v>0</v>
      </c>
      <c r="Z391" s="211">
        <f t="shared" si="249"/>
        <v>0</v>
      </c>
      <c r="AA391" s="211">
        <f t="shared" si="249"/>
        <v>0</v>
      </c>
      <c r="AB391" s="211">
        <f t="shared" si="249"/>
        <v>0</v>
      </c>
      <c r="AC391" s="211">
        <f t="shared" si="249"/>
        <v>0</v>
      </c>
      <c r="AD391" s="211">
        <f t="shared" si="249"/>
        <v>0</v>
      </c>
      <c r="AE391" s="211">
        <f t="shared" si="249"/>
        <v>0</v>
      </c>
      <c r="AF391" s="211">
        <f t="shared" si="249"/>
        <v>0</v>
      </c>
      <c r="AG391" s="211">
        <f t="shared" si="249"/>
        <v>0</v>
      </c>
      <c r="AH391" s="211">
        <f t="shared" si="249"/>
        <v>0</v>
      </c>
      <c r="AI391" s="211">
        <f t="shared" si="249"/>
        <v>0</v>
      </c>
      <c r="AJ391" s="211">
        <f t="shared" si="249"/>
        <v>0</v>
      </c>
      <c r="AK391" s="211">
        <f t="shared" si="249"/>
        <v>0</v>
      </c>
      <c r="AL391" s="211">
        <f t="shared" si="249"/>
        <v>0</v>
      </c>
      <c r="AM391" s="211">
        <f t="shared" si="249"/>
        <v>0</v>
      </c>
      <c r="AN391" s="211">
        <f t="shared" si="249"/>
        <v>0</v>
      </c>
    </row>
    <row r="392" spans="2:40" s="7" customFormat="1" ht="12" hidden="1" customHeight="1" outlineLevel="1">
      <c r="B392" s="245"/>
      <c r="C392" s="213" t="s">
        <v>768</v>
      </c>
      <c r="D392" s="213"/>
      <c r="E392" s="213"/>
      <c r="F392" s="213"/>
      <c r="G392" s="213"/>
      <c r="H392" s="213"/>
      <c r="I392" s="213"/>
      <c r="J392" s="213"/>
      <c r="K392" s="213"/>
      <c r="L392" s="213"/>
      <c r="M392" s="213"/>
      <c r="N392" s="213"/>
      <c r="O392" s="213"/>
      <c r="P392" s="213"/>
      <c r="Q392" s="213"/>
      <c r="R392" s="213"/>
      <c r="S392" s="213"/>
      <c r="T392" s="211">
        <f>INDEX($C$349:$AN$371,MATCH("New Customers One-Time",$C$349:$C$371,0),MATCH($C392,$C$349:$AN$349,0))</f>
        <v>502.75711999999993</v>
      </c>
      <c r="U392" s="211">
        <f t="shared" ref="U392:AN392" si="250">$T392*(E375)</f>
        <v>0</v>
      </c>
      <c r="V392" s="211">
        <f t="shared" si="250"/>
        <v>0</v>
      </c>
      <c r="W392" s="211">
        <f t="shared" si="250"/>
        <v>0</v>
      </c>
      <c r="X392" s="211">
        <f t="shared" si="250"/>
        <v>0</v>
      </c>
      <c r="Y392" s="211">
        <f t="shared" si="250"/>
        <v>0</v>
      </c>
      <c r="Z392" s="211">
        <f t="shared" si="250"/>
        <v>0</v>
      </c>
      <c r="AA392" s="211">
        <f t="shared" si="250"/>
        <v>0</v>
      </c>
      <c r="AB392" s="211">
        <f t="shared" si="250"/>
        <v>0</v>
      </c>
      <c r="AC392" s="211">
        <f t="shared" si="250"/>
        <v>0</v>
      </c>
      <c r="AD392" s="211">
        <f t="shared" si="250"/>
        <v>0</v>
      </c>
      <c r="AE392" s="211">
        <f t="shared" si="250"/>
        <v>0</v>
      </c>
      <c r="AF392" s="211">
        <f t="shared" si="250"/>
        <v>0</v>
      </c>
      <c r="AG392" s="211">
        <f t="shared" si="250"/>
        <v>0</v>
      </c>
      <c r="AH392" s="211">
        <f t="shared" si="250"/>
        <v>0</v>
      </c>
      <c r="AI392" s="211">
        <f t="shared" si="250"/>
        <v>0</v>
      </c>
      <c r="AJ392" s="211">
        <f t="shared" si="250"/>
        <v>0</v>
      </c>
      <c r="AK392" s="211">
        <f t="shared" si="250"/>
        <v>0</v>
      </c>
      <c r="AL392" s="211">
        <f t="shared" si="250"/>
        <v>0</v>
      </c>
      <c r="AM392" s="211">
        <f t="shared" si="250"/>
        <v>0</v>
      </c>
      <c r="AN392" s="211">
        <f t="shared" si="250"/>
        <v>0</v>
      </c>
    </row>
    <row r="393" spans="2:40" s="7" customFormat="1" ht="12" hidden="1" customHeight="1" outlineLevel="1">
      <c r="B393" s="245"/>
      <c r="C393" s="213" t="s">
        <v>769</v>
      </c>
      <c r="D393" s="213"/>
      <c r="E393" s="213"/>
      <c r="F393" s="213"/>
      <c r="G393" s="213"/>
      <c r="H393" s="213"/>
      <c r="I393" s="213"/>
      <c r="J393" s="213"/>
      <c r="K393" s="213"/>
      <c r="L393" s="213"/>
      <c r="M393" s="213"/>
      <c r="N393" s="213"/>
      <c r="O393" s="213"/>
      <c r="P393" s="213"/>
      <c r="Q393" s="213"/>
      <c r="R393" s="213"/>
      <c r="S393" s="213"/>
      <c r="T393" s="213"/>
      <c r="U393" s="211">
        <f>INDEX($C$349:$AN$371,MATCH("New Customers One-Time",$C$349:$C$371,0),MATCH($C393,$C$349:$AN$349,0))</f>
        <v>381.85915428571434</v>
      </c>
      <c r="V393" s="211">
        <f t="shared" ref="V393:AN393" si="251">$U393*(E375)</f>
        <v>0</v>
      </c>
      <c r="W393" s="211">
        <f t="shared" si="251"/>
        <v>0</v>
      </c>
      <c r="X393" s="211">
        <f t="shared" si="251"/>
        <v>0</v>
      </c>
      <c r="Y393" s="211">
        <f t="shared" si="251"/>
        <v>0</v>
      </c>
      <c r="Z393" s="211">
        <f t="shared" si="251"/>
        <v>0</v>
      </c>
      <c r="AA393" s="211">
        <f t="shared" si="251"/>
        <v>0</v>
      </c>
      <c r="AB393" s="211">
        <f t="shared" si="251"/>
        <v>0</v>
      </c>
      <c r="AC393" s="211">
        <f t="shared" si="251"/>
        <v>0</v>
      </c>
      <c r="AD393" s="211">
        <f t="shared" si="251"/>
        <v>0</v>
      </c>
      <c r="AE393" s="211">
        <f t="shared" si="251"/>
        <v>0</v>
      </c>
      <c r="AF393" s="211">
        <f t="shared" si="251"/>
        <v>0</v>
      </c>
      <c r="AG393" s="211">
        <f t="shared" si="251"/>
        <v>0</v>
      </c>
      <c r="AH393" s="211">
        <f t="shared" si="251"/>
        <v>0</v>
      </c>
      <c r="AI393" s="211">
        <f t="shared" si="251"/>
        <v>0</v>
      </c>
      <c r="AJ393" s="211">
        <f t="shared" si="251"/>
        <v>0</v>
      </c>
      <c r="AK393" s="211">
        <f t="shared" si="251"/>
        <v>0</v>
      </c>
      <c r="AL393" s="211">
        <f t="shared" si="251"/>
        <v>0</v>
      </c>
      <c r="AM393" s="211">
        <f t="shared" si="251"/>
        <v>0</v>
      </c>
      <c r="AN393" s="211">
        <f t="shared" si="251"/>
        <v>0</v>
      </c>
    </row>
    <row r="394" spans="2:40" s="7" customFormat="1" ht="12" hidden="1" customHeight="1" outlineLevel="1">
      <c r="B394" s="245"/>
      <c r="C394" s="213" t="s">
        <v>770</v>
      </c>
      <c r="D394" s="213"/>
      <c r="E394" s="213"/>
      <c r="F394" s="213"/>
      <c r="G394" s="213"/>
      <c r="H394" s="213"/>
      <c r="I394" s="213"/>
      <c r="J394" s="213"/>
      <c r="K394" s="213"/>
      <c r="L394" s="213"/>
      <c r="M394" s="213"/>
      <c r="N394" s="213"/>
      <c r="O394" s="213"/>
      <c r="P394" s="213"/>
      <c r="Q394" s="213"/>
      <c r="R394" s="213"/>
      <c r="S394" s="213"/>
      <c r="T394" s="213"/>
      <c r="U394" s="213"/>
      <c r="V394" s="211">
        <f>INDEX($C$349:$AN$371,MATCH("New Customers One-Time",$C$349:$C$371,0),MATCH($C394,$C$349:$AN$349,0))</f>
        <v>898.63785142857148</v>
      </c>
      <c r="W394" s="211">
        <f t="shared" ref="W394:AN394" si="252">$V394*(E375)</f>
        <v>0</v>
      </c>
      <c r="X394" s="211">
        <f t="shared" si="252"/>
        <v>0</v>
      </c>
      <c r="Y394" s="211">
        <f t="shared" si="252"/>
        <v>0</v>
      </c>
      <c r="Z394" s="211">
        <f t="shared" si="252"/>
        <v>0</v>
      </c>
      <c r="AA394" s="211">
        <f t="shared" si="252"/>
        <v>0</v>
      </c>
      <c r="AB394" s="211">
        <f t="shared" si="252"/>
        <v>0</v>
      </c>
      <c r="AC394" s="211">
        <f t="shared" si="252"/>
        <v>0</v>
      </c>
      <c r="AD394" s="211">
        <f t="shared" si="252"/>
        <v>0</v>
      </c>
      <c r="AE394" s="211">
        <f t="shared" si="252"/>
        <v>0</v>
      </c>
      <c r="AF394" s="211">
        <f t="shared" si="252"/>
        <v>0</v>
      </c>
      <c r="AG394" s="211">
        <f t="shared" si="252"/>
        <v>0</v>
      </c>
      <c r="AH394" s="211">
        <f t="shared" si="252"/>
        <v>0</v>
      </c>
      <c r="AI394" s="211">
        <f t="shared" si="252"/>
        <v>0</v>
      </c>
      <c r="AJ394" s="211">
        <f t="shared" si="252"/>
        <v>0</v>
      </c>
      <c r="AK394" s="211">
        <f t="shared" si="252"/>
        <v>0</v>
      </c>
      <c r="AL394" s="211">
        <f t="shared" si="252"/>
        <v>0</v>
      </c>
      <c r="AM394" s="211">
        <f t="shared" si="252"/>
        <v>0</v>
      </c>
      <c r="AN394" s="211">
        <f t="shared" si="252"/>
        <v>0</v>
      </c>
    </row>
    <row r="395" spans="2:40" s="7" customFormat="1" ht="12" hidden="1" customHeight="1" outlineLevel="1">
      <c r="B395" s="245"/>
      <c r="C395" s="213" t="s">
        <v>771</v>
      </c>
      <c r="D395" s="213"/>
      <c r="E395" s="213"/>
      <c r="F395" s="213"/>
      <c r="G395" s="213"/>
      <c r="H395" s="213"/>
      <c r="I395" s="213"/>
      <c r="J395" s="213"/>
      <c r="K395" s="213"/>
      <c r="L395" s="213"/>
      <c r="M395" s="213"/>
      <c r="N395" s="213"/>
      <c r="O395" s="213"/>
      <c r="P395" s="213"/>
      <c r="Q395" s="213"/>
      <c r="R395" s="213"/>
      <c r="S395" s="213"/>
      <c r="T395" s="213"/>
      <c r="U395" s="213"/>
      <c r="V395" s="213"/>
      <c r="W395" s="211">
        <f>INDEX($C$349:$AN$371,MATCH("New Customers One-Time",$C$349:$C$371,0),MATCH($C395,$C$349:$AN$349,0))</f>
        <v>421.78175999999996</v>
      </c>
      <c r="X395" s="211">
        <f t="shared" ref="X395:AN395" si="253">$W395*(E375)</f>
        <v>0</v>
      </c>
      <c r="Y395" s="211">
        <f t="shared" si="253"/>
        <v>0</v>
      </c>
      <c r="Z395" s="211">
        <f t="shared" si="253"/>
        <v>0</v>
      </c>
      <c r="AA395" s="211">
        <f t="shared" si="253"/>
        <v>0</v>
      </c>
      <c r="AB395" s="211">
        <f t="shared" si="253"/>
        <v>0</v>
      </c>
      <c r="AC395" s="211">
        <f t="shared" si="253"/>
        <v>0</v>
      </c>
      <c r="AD395" s="211">
        <f t="shared" si="253"/>
        <v>0</v>
      </c>
      <c r="AE395" s="211">
        <f t="shared" si="253"/>
        <v>0</v>
      </c>
      <c r="AF395" s="211">
        <f t="shared" si="253"/>
        <v>0</v>
      </c>
      <c r="AG395" s="211">
        <f t="shared" si="253"/>
        <v>0</v>
      </c>
      <c r="AH395" s="211">
        <f t="shared" si="253"/>
        <v>0</v>
      </c>
      <c r="AI395" s="211">
        <f t="shared" si="253"/>
        <v>0</v>
      </c>
      <c r="AJ395" s="211">
        <f t="shared" si="253"/>
        <v>0</v>
      </c>
      <c r="AK395" s="211">
        <f t="shared" si="253"/>
        <v>0</v>
      </c>
      <c r="AL395" s="211">
        <f t="shared" si="253"/>
        <v>0</v>
      </c>
      <c r="AM395" s="211">
        <f t="shared" si="253"/>
        <v>0</v>
      </c>
      <c r="AN395" s="211">
        <f t="shared" si="253"/>
        <v>0</v>
      </c>
    </row>
    <row r="396" spans="2:40" s="7" customFormat="1" ht="12" hidden="1" customHeight="1" outlineLevel="1">
      <c r="B396" s="245"/>
      <c r="C396" s="213" t="s">
        <v>772</v>
      </c>
      <c r="D396" s="213"/>
      <c r="E396" s="213"/>
      <c r="F396" s="213"/>
      <c r="G396" s="213"/>
      <c r="H396" s="213"/>
      <c r="I396" s="213"/>
      <c r="J396" s="213"/>
      <c r="K396" s="213"/>
      <c r="L396" s="213"/>
      <c r="M396" s="213"/>
      <c r="N396" s="213"/>
      <c r="O396" s="213"/>
      <c r="P396" s="213"/>
      <c r="Q396" s="213"/>
      <c r="R396" s="213"/>
      <c r="S396" s="213"/>
      <c r="T396" s="213"/>
      <c r="U396" s="213"/>
      <c r="V396" s="213"/>
      <c r="W396" s="213"/>
      <c r="X396" s="211">
        <f>INDEX($C$349:$AN$371,MATCH("New Customers One-Time",$C$349:$C$371,0),MATCH($C396,$C$349:$AN$349,0))</f>
        <v>441.99551999999994</v>
      </c>
      <c r="Y396" s="211">
        <f t="shared" ref="Y396:AN396" si="254">$X396*(E375)</f>
        <v>0</v>
      </c>
      <c r="Z396" s="211">
        <f t="shared" si="254"/>
        <v>0</v>
      </c>
      <c r="AA396" s="211">
        <f t="shared" si="254"/>
        <v>0</v>
      </c>
      <c r="AB396" s="211">
        <f t="shared" si="254"/>
        <v>0</v>
      </c>
      <c r="AC396" s="211">
        <f t="shared" si="254"/>
        <v>0</v>
      </c>
      <c r="AD396" s="211">
        <f t="shared" si="254"/>
        <v>0</v>
      </c>
      <c r="AE396" s="211">
        <f t="shared" si="254"/>
        <v>0</v>
      </c>
      <c r="AF396" s="211">
        <f t="shared" si="254"/>
        <v>0</v>
      </c>
      <c r="AG396" s="211">
        <f t="shared" si="254"/>
        <v>0</v>
      </c>
      <c r="AH396" s="211">
        <f t="shared" si="254"/>
        <v>0</v>
      </c>
      <c r="AI396" s="211">
        <f t="shared" si="254"/>
        <v>0</v>
      </c>
      <c r="AJ396" s="211">
        <f t="shared" si="254"/>
        <v>0</v>
      </c>
      <c r="AK396" s="211">
        <f t="shared" si="254"/>
        <v>0</v>
      </c>
      <c r="AL396" s="211">
        <f t="shared" si="254"/>
        <v>0</v>
      </c>
      <c r="AM396" s="211">
        <f t="shared" si="254"/>
        <v>0</v>
      </c>
      <c r="AN396" s="211">
        <f t="shared" si="254"/>
        <v>0</v>
      </c>
    </row>
    <row r="397" spans="2:40" s="7" customFormat="1" ht="12" hidden="1" customHeight="1" outlineLevel="1">
      <c r="B397" s="245"/>
      <c r="C397" s="213" t="s">
        <v>773</v>
      </c>
      <c r="D397" s="213"/>
      <c r="E397" s="213"/>
      <c r="F397" s="213"/>
      <c r="G397" s="213"/>
      <c r="H397" s="213"/>
      <c r="I397" s="213"/>
      <c r="J397" s="213"/>
      <c r="K397" s="213"/>
      <c r="L397" s="213"/>
      <c r="M397" s="213"/>
      <c r="N397" s="213"/>
      <c r="O397" s="213"/>
      <c r="P397" s="213"/>
      <c r="Q397" s="213"/>
      <c r="R397" s="213"/>
      <c r="S397" s="213"/>
      <c r="T397" s="213"/>
      <c r="U397" s="213"/>
      <c r="V397" s="213"/>
      <c r="W397" s="213"/>
      <c r="X397" s="213"/>
      <c r="Y397" s="211">
        <f>INDEX($C$349:$AN$371,MATCH("New Customers One-Time",$C$349:$C$371,0),MATCH($C397,$C$349:$AN$349,0))</f>
        <v>1536.2285714285713</v>
      </c>
      <c r="Z397" s="211">
        <f t="shared" ref="Z397:AN397" si="255">$Y397*(E375)</f>
        <v>0</v>
      </c>
      <c r="AA397" s="211">
        <f t="shared" si="255"/>
        <v>0</v>
      </c>
      <c r="AB397" s="211">
        <f t="shared" si="255"/>
        <v>0</v>
      </c>
      <c r="AC397" s="211">
        <f t="shared" si="255"/>
        <v>0</v>
      </c>
      <c r="AD397" s="211">
        <f t="shared" si="255"/>
        <v>0</v>
      </c>
      <c r="AE397" s="211">
        <f t="shared" si="255"/>
        <v>0</v>
      </c>
      <c r="AF397" s="211">
        <f t="shared" si="255"/>
        <v>0</v>
      </c>
      <c r="AG397" s="211">
        <f t="shared" si="255"/>
        <v>0</v>
      </c>
      <c r="AH397" s="211">
        <f t="shared" si="255"/>
        <v>0</v>
      </c>
      <c r="AI397" s="211">
        <f t="shared" si="255"/>
        <v>0</v>
      </c>
      <c r="AJ397" s="211">
        <f t="shared" si="255"/>
        <v>0</v>
      </c>
      <c r="AK397" s="211">
        <f t="shared" si="255"/>
        <v>0</v>
      </c>
      <c r="AL397" s="211">
        <f t="shared" si="255"/>
        <v>0</v>
      </c>
      <c r="AM397" s="211">
        <f t="shared" si="255"/>
        <v>0</v>
      </c>
      <c r="AN397" s="211">
        <f t="shared" si="255"/>
        <v>0</v>
      </c>
    </row>
    <row r="398" spans="2:40" s="7" customFormat="1" ht="12" hidden="1" customHeight="1" outlineLevel="1">
      <c r="B398" s="245"/>
      <c r="C398" s="213" t="s">
        <v>774</v>
      </c>
      <c r="D398" s="213"/>
      <c r="E398" s="213"/>
      <c r="F398" s="213"/>
      <c r="G398" s="213"/>
      <c r="H398" s="213"/>
      <c r="I398" s="213"/>
      <c r="J398" s="213"/>
      <c r="K398" s="213"/>
      <c r="L398" s="213"/>
      <c r="M398" s="213"/>
      <c r="N398" s="213"/>
      <c r="O398" s="213"/>
      <c r="P398" s="213"/>
      <c r="Q398" s="213"/>
      <c r="R398" s="213"/>
      <c r="S398" s="213"/>
      <c r="T398" s="213"/>
      <c r="U398" s="213"/>
      <c r="V398" s="213"/>
      <c r="W398" s="213"/>
      <c r="X398" s="213"/>
      <c r="Y398" s="213"/>
      <c r="Z398" s="211">
        <f>INDEX($C$349:$AN$371,MATCH("New Customers One-Time",$C$349:$C$371,0),MATCH($C398,$C$349:$AN$349,0))</f>
        <v>1504</v>
      </c>
      <c r="AA398" s="211">
        <f t="shared" ref="AA398:AN398" si="256">$Z398*(E375)</f>
        <v>0</v>
      </c>
      <c r="AB398" s="211">
        <f t="shared" si="256"/>
        <v>0</v>
      </c>
      <c r="AC398" s="211">
        <f t="shared" si="256"/>
        <v>0</v>
      </c>
      <c r="AD398" s="211">
        <f t="shared" si="256"/>
        <v>0</v>
      </c>
      <c r="AE398" s="211">
        <f t="shared" si="256"/>
        <v>0</v>
      </c>
      <c r="AF398" s="211">
        <f t="shared" si="256"/>
        <v>0</v>
      </c>
      <c r="AG398" s="211">
        <f t="shared" si="256"/>
        <v>0</v>
      </c>
      <c r="AH398" s="211">
        <f t="shared" si="256"/>
        <v>0</v>
      </c>
      <c r="AI398" s="211">
        <f t="shared" si="256"/>
        <v>0</v>
      </c>
      <c r="AJ398" s="211">
        <f t="shared" si="256"/>
        <v>0</v>
      </c>
      <c r="AK398" s="211">
        <f t="shared" si="256"/>
        <v>0</v>
      </c>
      <c r="AL398" s="211">
        <f t="shared" si="256"/>
        <v>0</v>
      </c>
      <c r="AM398" s="211">
        <f t="shared" si="256"/>
        <v>0</v>
      </c>
      <c r="AN398" s="211">
        <f t="shared" si="256"/>
        <v>0</v>
      </c>
    </row>
    <row r="399" spans="2:40" s="7" customFormat="1" ht="12" hidden="1" customHeight="1" outlineLevel="1">
      <c r="B399" s="245"/>
      <c r="C399" s="213" t="s">
        <v>775</v>
      </c>
      <c r="D399" s="213"/>
      <c r="E399" s="213"/>
      <c r="F399" s="213"/>
      <c r="G399" s="213"/>
      <c r="H399" s="213"/>
      <c r="I399" s="213"/>
      <c r="J399" s="213"/>
      <c r="K399" s="213"/>
      <c r="L399" s="213"/>
      <c r="M399" s="213"/>
      <c r="N399" s="213"/>
      <c r="O399" s="213"/>
      <c r="P399" s="213"/>
      <c r="Q399" s="213"/>
      <c r="R399" s="213"/>
      <c r="S399" s="213"/>
      <c r="T399" s="213"/>
      <c r="U399" s="213"/>
      <c r="V399" s="213"/>
      <c r="W399" s="213"/>
      <c r="X399" s="213"/>
      <c r="Y399" s="213"/>
      <c r="Z399" s="213"/>
      <c r="AA399" s="211">
        <f>INDEX($C$349:$AN$371,MATCH("New Customers One-Time",$C$349:$C$371,0),MATCH($C399,$C$349:$AN$349,0))</f>
        <v>472.68571428571425</v>
      </c>
      <c r="AB399" s="211">
        <f t="shared" ref="AB399:AN399" si="257">$AA399*(E375)</f>
        <v>0</v>
      </c>
      <c r="AC399" s="211">
        <f t="shared" si="257"/>
        <v>0</v>
      </c>
      <c r="AD399" s="211">
        <f t="shared" si="257"/>
        <v>0</v>
      </c>
      <c r="AE399" s="211">
        <f t="shared" si="257"/>
        <v>0</v>
      </c>
      <c r="AF399" s="211">
        <f t="shared" si="257"/>
        <v>0</v>
      </c>
      <c r="AG399" s="211">
        <f t="shared" si="257"/>
        <v>0</v>
      </c>
      <c r="AH399" s="211">
        <f t="shared" si="257"/>
        <v>0</v>
      </c>
      <c r="AI399" s="211">
        <f t="shared" si="257"/>
        <v>0</v>
      </c>
      <c r="AJ399" s="211">
        <f t="shared" si="257"/>
        <v>0</v>
      </c>
      <c r="AK399" s="211">
        <f t="shared" si="257"/>
        <v>0</v>
      </c>
      <c r="AL399" s="211">
        <f t="shared" si="257"/>
        <v>0</v>
      </c>
      <c r="AM399" s="211">
        <f t="shared" si="257"/>
        <v>0</v>
      </c>
      <c r="AN399" s="211">
        <f t="shared" si="257"/>
        <v>0</v>
      </c>
    </row>
    <row r="400" spans="2:40" s="7" customFormat="1" ht="12" hidden="1" customHeight="1" outlineLevel="1">
      <c r="B400" s="245"/>
      <c r="C400" s="213" t="s">
        <v>776</v>
      </c>
      <c r="D400" s="213"/>
      <c r="E400" s="213"/>
      <c r="F400" s="213"/>
      <c r="G400" s="213"/>
      <c r="H400" s="213"/>
      <c r="I400" s="213"/>
      <c r="J400" s="213"/>
      <c r="K400" s="213"/>
      <c r="L400" s="213"/>
      <c r="M400" s="213"/>
      <c r="N400" s="213"/>
      <c r="O400" s="213"/>
      <c r="P400" s="213"/>
      <c r="Q400" s="213"/>
      <c r="R400" s="213"/>
      <c r="S400" s="213"/>
      <c r="T400" s="213"/>
      <c r="U400" s="213"/>
      <c r="V400" s="213"/>
      <c r="W400" s="213"/>
      <c r="X400" s="213"/>
      <c r="Y400" s="213"/>
      <c r="Z400" s="213"/>
      <c r="AA400" s="213"/>
      <c r="AB400" s="211">
        <f>INDEX($C$349:$AN$371,MATCH("New Customers One-Time",$C$349:$C$371,0),MATCH($C400,$C$349:$AN$349,0))</f>
        <v>515.65714285714284</v>
      </c>
      <c r="AC400" s="211">
        <f t="shared" ref="AC400:AN400" si="258">$AB400*(E375)</f>
        <v>0</v>
      </c>
      <c r="AD400" s="211">
        <f t="shared" si="258"/>
        <v>0</v>
      </c>
      <c r="AE400" s="211">
        <f t="shared" si="258"/>
        <v>0</v>
      </c>
      <c r="AF400" s="211">
        <f t="shared" si="258"/>
        <v>0</v>
      </c>
      <c r="AG400" s="211">
        <f t="shared" si="258"/>
        <v>0</v>
      </c>
      <c r="AH400" s="211">
        <f t="shared" si="258"/>
        <v>0</v>
      </c>
      <c r="AI400" s="211">
        <f t="shared" si="258"/>
        <v>0</v>
      </c>
      <c r="AJ400" s="211">
        <f t="shared" si="258"/>
        <v>0</v>
      </c>
      <c r="AK400" s="211">
        <f t="shared" si="258"/>
        <v>0</v>
      </c>
      <c r="AL400" s="211">
        <f t="shared" si="258"/>
        <v>0</v>
      </c>
      <c r="AM400" s="211">
        <f t="shared" si="258"/>
        <v>0</v>
      </c>
      <c r="AN400" s="211">
        <f t="shared" si="258"/>
        <v>0</v>
      </c>
    </row>
    <row r="401" spans="2:40" s="7" customFormat="1" ht="12" hidden="1" customHeight="1" outlineLevel="1">
      <c r="B401" s="245"/>
      <c r="C401" s="213" t="s">
        <v>777</v>
      </c>
      <c r="D401" s="213"/>
      <c r="E401" s="213"/>
      <c r="F401" s="213"/>
      <c r="G401" s="213"/>
      <c r="H401" s="213"/>
      <c r="I401" s="213"/>
      <c r="J401" s="213"/>
      <c r="K401" s="213"/>
      <c r="L401" s="213"/>
      <c r="M401" s="213"/>
      <c r="N401" s="213"/>
      <c r="O401" s="213"/>
      <c r="P401" s="213"/>
      <c r="Q401" s="213"/>
      <c r="R401" s="213"/>
      <c r="S401" s="213"/>
      <c r="T401" s="213"/>
      <c r="U401" s="213"/>
      <c r="V401" s="213"/>
      <c r="W401" s="213"/>
      <c r="X401" s="213"/>
      <c r="Y401" s="213"/>
      <c r="Z401" s="213"/>
      <c r="AA401" s="213"/>
      <c r="AB401" s="211"/>
      <c r="AC401" s="211">
        <f>INDEX($C$349:$AN$371,MATCH("New Customers One-Time",$C$349:$C$371,0),MATCH($C401,$C$349:$AN$349,0))</f>
        <v>401.91780085714288</v>
      </c>
      <c r="AD401" s="211">
        <f t="shared" ref="AD401:AN401" si="259">$AC401*(E375)</f>
        <v>0</v>
      </c>
      <c r="AE401" s="211">
        <f t="shared" si="259"/>
        <v>0</v>
      </c>
      <c r="AF401" s="211">
        <f t="shared" si="259"/>
        <v>0</v>
      </c>
      <c r="AG401" s="211">
        <f t="shared" si="259"/>
        <v>0</v>
      </c>
      <c r="AH401" s="211">
        <f t="shared" si="259"/>
        <v>0</v>
      </c>
      <c r="AI401" s="211">
        <f t="shared" si="259"/>
        <v>0</v>
      </c>
      <c r="AJ401" s="211">
        <f t="shared" si="259"/>
        <v>0</v>
      </c>
      <c r="AK401" s="211">
        <f t="shared" si="259"/>
        <v>0</v>
      </c>
      <c r="AL401" s="211">
        <f t="shared" si="259"/>
        <v>0</v>
      </c>
      <c r="AM401" s="211">
        <f t="shared" si="259"/>
        <v>0</v>
      </c>
      <c r="AN401" s="211">
        <f t="shared" si="259"/>
        <v>0</v>
      </c>
    </row>
    <row r="402" spans="2:40" s="7" customFormat="1" ht="12" hidden="1" customHeight="1" outlineLevel="1">
      <c r="B402" s="245"/>
      <c r="C402" s="213" t="s">
        <v>778</v>
      </c>
      <c r="D402" s="213"/>
      <c r="E402" s="213"/>
      <c r="F402" s="213"/>
      <c r="G402" s="213"/>
      <c r="H402" s="213"/>
      <c r="I402" s="213"/>
      <c r="J402" s="213"/>
      <c r="K402" s="213"/>
      <c r="L402" s="213"/>
      <c r="M402" s="213"/>
      <c r="N402" s="213"/>
      <c r="O402" s="213"/>
      <c r="P402" s="213"/>
      <c r="Q402" s="213"/>
      <c r="R402" s="213"/>
      <c r="S402" s="213"/>
      <c r="T402" s="213"/>
      <c r="U402" s="213"/>
      <c r="V402" s="213"/>
      <c r="W402" s="213"/>
      <c r="X402" s="213"/>
      <c r="Y402" s="213"/>
      <c r="Z402" s="213"/>
      <c r="AA402" s="213"/>
      <c r="AB402" s="211"/>
      <c r="AC402" s="211"/>
      <c r="AD402" s="211">
        <f>INDEX($C$349:$AN$371,MATCH("New Customers One-Time",$C$349:$C$371,0),MATCH($C402,$C$349:$AN$349,0))</f>
        <v>1022.2813476571429</v>
      </c>
      <c r="AE402" s="211">
        <f t="shared" ref="AE402:AN402" si="260">$AD402*(E375)</f>
        <v>0</v>
      </c>
      <c r="AF402" s="211">
        <f t="shared" si="260"/>
        <v>0</v>
      </c>
      <c r="AG402" s="211">
        <f t="shared" si="260"/>
        <v>0</v>
      </c>
      <c r="AH402" s="211">
        <f t="shared" si="260"/>
        <v>0</v>
      </c>
      <c r="AI402" s="211">
        <f t="shared" si="260"/>
        <v>0</v>
      </c>
      <c r="AJ402" s="211">
        <f t="shared" si="260"/>
        <v>0</v>
      </c>
      <c r="AK402" s="211">
        <f t="shared" si="260"/>
        <v>0</v>
      </c>
      <c r="AL402" s="211">
        <f t="shared" si="260"/>
        <v>0</v>
      </c>
      <c r="AM402" s="211">
        <f t="shared" si="260"/>
        <v>0</v>
      </c>
      <c r="AN402" s="211">
        <f t="shared" si="260"/>
        <v>0</v>
      </c>
    </row>
    <row r="403" spans="2:40" s="7" customFormat="1" ht="12" hidden="1" customHeight="1" outlineLevel="1">
      <c r="B403" s="245"/>
      <c r="C403" s="213" t="s">
        <v>779</v>
      </c>
      <c r="D403" s="213"/>
      <c r="E403" s="213"/>
      <c r="F403" s="213"/>
      <c r="G403" s="213"/>
      <c r="H403" s="213"/>
      <c r="I403" s="213"/>
      <c r="J403" s="213"/>
      <c r="K403" s="213"/>
      <c r="L403" s="213"/>
      <c r="M403" s="213"/>
      <c r="N403" s="213"/>
      <c r="O403" s="213"/>
      <c r="P403" s="213"/>
      <c r="Q403" s="213"/>
      <c r="R403" s="213"/>
      <c r="S403" s="213"/>
      <c r="T403" s="213"/>
      <c r="U403" s="213"/>
      <c r="V403" s="213"/>
      <c r="W403" s="213"/>
      <c r="X403" s="213"/>
      <c r="Y403" s="213"/>
      <c r="Z403" s="213"/>
      <c r="AA403" s="213"/>
      <c r="AB403" s="211"/>
      <c r="AC403" s="211"/>
      <c r="AD403" s="211"/>
      <c r="AE403" s="211">
        <f>INDEX($C$349:$AN$371,MATCH("New Customers One-Time",$C$349:$C$371,0),MATCH($C403,$C$349:$AN$349,0))</f>
        <v>966.59111748571445</v>
      </c>
      <c r="AF403" s="211">
        <f t="shared" ref="AF403:AN403" si="261">$AE403*(E375)</f>
        <v>0</v>
      </c>
      <c r="AG403" s="211">
        <f t="shared" si="261"/>
        <v>0</v>
      </c>
      <c r="AH403" s="211">
        <f t="shared" si="261"/>
        <v>0</v>
      </c>
      <c r="AI403" s="211">
        <f t="shared" si="261"/>
        <v>0</v>
      </c>
      <c r="AJ403" s="211">
        <f t="shared" si="261"/>
        <v>0</v>
      </c>
      <c r="AK403" s="211">
        <f t="shared" si="261"/>
        <v>0</v>
      </c>
      <c r="AL403" s="211">
        <f t="shared" si="261"/>
        <v>0</v>
      </c>
      <c r="AM403" s="211">
        <f t="shared" si="261"/>
        <v>0</v>
      </c>
      <c r="AN403" s="211">
        <f t="shared" si="261"/>
        <v>0</v>
      </c>
    </row>
    <row r="404" spans="2:40" s="7" customFormat="1" ht="12" hidden="1" customHeight="1" outlineLevel="1">
      <c r="B404" s="245"/>
      <c r="C404" s="213" t="s">
        <v>780</v>
      </c>
      <c r="D404" s="213"/>
      <c r="E404" s="213"/>
      <c r="F404" s="213"/>
      <c r="G404" s="213"/>
      <c r="H404" s="213"/>
      <c r="I404" s="213"/>
      <c r="J404" s="213"/>
      <c r="K404" s="213"/>
      <c r="L404" s="213"/>
      <c r="M404" s="213"/>
      <c r="N404" s="213"/>
      <c r="O404" s="213"/>
      <c r="P404" s="213"/>
      <c r="Q404" s="213"/>
      <c r="R404" s="213"/>
      <c r="S404" s="213"/>
      <c r="T404" s="213"/>
      <c r="U404" s="213"/>
      <c r="V404" s="213"/>
      <c r="W404" s="213"/>
      <c r="X404" s="213"/>
      <c r="Y404" s="213"/>
      <c r="Z404" s="213"/>
      <c r="AA404" s="213"/>
      <c r="AB404" s="211"/>
      <c r="AC404" s="211"/>
      <c r="AD404" s="211"/>
      <c r="AE404" s="211"/>
      <c r="AF404" s="211">
        <f>INDEX($C$349:$AN$371,MATCH("New Customers One-Time",$C$349:$C$371,0),MATCH($C404,$C$349:$AN$349,0))</f>
        <v>573.77156320000006</v>
      </c>
      <c r="AG404" s="211">
        <f t="shared" ref="AG404:AN404" si="262">$AF404*(E375)</f>
        <v>0</v>
      </c>
      <c r="AH404" s="211">
        <f t="shared" si="262"/>
        <v>0</v>
      </c>
      <c r="AI404" s="211">
        <f t="shared" si="262"/>
        <v>0</v>
      </c>
      <c r="AJ404" s="211">
        <f t="shared" si="262"/>
        <v>0</v>
      </c>
      <c r="AK404" s="211">
        <f t="shared" si="262"/>
        <v>0</v>
      </c>
      <c r="AL404" s="211">
        <f t="shared" si="262"/>
        <v>0</v>
      </c>
      <c r="AM404" s="211">
        <f t="shared" si="262"/>
        <v>0</v>
      </c>
      <c r="AN404" s="211">
        <f t="shared" si="262"/>
        <v>0</v>
      </c>
    </row>
    <row r="405" spans="2:40" s="7" customFormat="1" ht="12" hidden="1" customHeight="1" outlineLevel="1">
      <c r="B405" s="245"/>
      <c r="C405" s="213" t="s">
        <v>781</v>
      </c>
      <c r="D405" s="213"/>
      <c r="E405" s="213"/>
      <c r="F405" s="213"/>
      <c r="G405" s="213"/>
      <c r="H405" s="213"/>
      <c r="I405" s="213"/>
      <c r="J405" s="213"/>
      <c r="K405" s="213"/>
      <c r="L405" s="213"/>
      <c r="M405" s="213"/>
      <c r="N405" s="213"/>
      <c r="O405" s="213"/>
      <c r="P405" s="213"/>
      <c r="Q405" s="213"/>
      <c r="R405" s="213"/>
      <c r="S405" s="213"/>
      <c r="T405" s="213"/>
      <c r="U405" s="213"/>
      <c r="V405" s="213"/>
      <c r="W405" s="213"/>
      <c r="X405" s="213"/>
      <c r="Y405" s="213"/>
      <c r="Z405" s="213"/>
      <c r="AA405" s="213"/>
      <c r="AB405" s="211"/>
      <c r="AC405" s="211"/>
      <c r="AD405" s="211"/>
      <c r="AE405" s="211"/>
      <c r="AF405" s="211"/>
      <c r="AG405" s="211">
        <f>INDEX($C$349:$AN$371,MATCH("New Customers One-Time",$C$349:$C$371,0),MATCH($C405,$C$349:$AN$349,0))</f>
        <v>435.7967598285714</v>
      </c>
      <c r="AH405" s="211">
        <f t="shared" ref="AH405:AN405" si="263">$AG405*(E375)</f>
        <v>0</v>
      </c>
      <c r="AI405" s="211">
        <f t="shared" si="263"/>
        <v>0</v>
      </c>
      <c r="AJ405" s="211">
        <f t="shared" si="263"/>
        <v>0</v>
      </c>
      <c r="AK405" s="211">
        <f t="shared" si="263"/>
        <v>0</v>
      </c>
      <c r="AL405" s="211">
        <f t="shared" si="263"/>
        <v>0</v>
      </c>
      <c r="AM405" s="211">
        <f t="shared" si="263"/>
        <v>0</v>
      </c>
      <c r="AN405" s="211">
        <f t="shared" si="263"/>
        <v>0</v>
      </c>
    </row>
    <row r="406" spans="2:40" s="7" customFormat="1" ht="12" hidden="1" customHeight="1" outlineLevel="1">
      <c r="B406" s="245"/>
      <c r="C406" s="213" t="s">
        <v>782</v>
      </c>
      <c r="D406" s="213"/>
      <c r="E406" s="213"/>
      <c r="F406" s="213"/>
      <c r="G406" s="213"/>
      <c r="H406" s="213"/>
      <c r="I406" s="213"/>
      <c r="J406" s="213"/>
      <c r="K406" s="213"/>
      <c r="L406" s="213"/>
      <c r="M406" s="213"/>
      <c r="N406" s="213"/>
      <c r="O406" s="213"/>
      <c r="P406" s="213"/>
      <c r="Q406" s="213"/>
      <c r="R406" s="213"/>
      <c r="S406" s="213"/>
      <c r="T406" s="213"/>
      <c r="U406" s="213"/>
      <c r="V406" s="213"/>
      <c r="W406" s="213"/>
      <c r="X406" s="213"/>
      <c r="Y406" s="213"/>
      <c r="Z406" s="213"/>
      <c r="AA406" s="213"/>
      <c r="AB406" s="211"/>
      <c r="AC406" s="211"/>
      <c r="AD406" s="211"/>
      <c r="AE406" s="211"/>
      <c r="AF406" s="211"/>
      <c r="AG406" s="211"/>
      <c r="AH406" s="211">
        <f>INDEX($C$349:$AN$371,MATCH("New Customers One-Time",$C$349:$C$371,0),MATCH($C406,$C$349:$AN$349,0))</f>
        <v>1212.0378021142858</v>
      </c>
      <c r="AI406" s="211">
        <f t="shared" ref="AI406:AN406" si="264">$AH406*(E375)</f>
        <v>0</v>
      </c>
      <c r="AJ406" s="211">
        <f t="shared" si="264"/>
        <v>0</v>
      </c>
      <c r="AK406" s="211">
        <f t="shared" si="264"/>
        <v>0</v>
      </c>
      <c r="AL406" s="211">
        <f t="shared" si="264"/>
        <v>0</v>
      </c>
      <c r="AM406" s="211">
        <f t="shared" si="264"/>
        <v>0</v>
      </c>
      <c r="AN406" s="211">
        <f t="shared" si="264"/>
        <v>0</v>
      </c>
    </row>
    <row r="407" spans="2:40" s="7" customFormat="1" ht="12" hidden="1" customHeight="1" outlineLevel="1">
      <c r="B407" s="245"/>
      <c r="C407" s="213" t="s">
        <v>783</v>
      </c>
      <c r="D407" s="213"/>
      <c r="E407" s="213"/>
      <c r="F407" s="213"/>
      <c r="G407" s="213"/>
      <c r="H407" s="213"/>
      <c r="I407" s="213"/>
      <c r="J407" s="213"/>
      <c r="K407" s="213"/>
      <c r="L407" s="213"/>
      <c r="M407" s="213"/>
      <c r="N407" s="213"/>
      <c r="O407" s="213"/>
      <c r="P407" s="213"/>
      <c r="Q407" s="213"/>
      <c r="R407" s="213"/>
      <c r="S407" s="213"/>
      <c r="T407" s="213"/>
      <c r="U407" s="213"/>
      <c r="V407" s="213"/>
      <c r="W407" s="213"/>
      <c r="X407" s="213"/>
      <c r="Y407" s="213"/>
      <c r="Z407" s="213"/>
      <c r="AA407" s="213"/>
      <c r="AB407" s="211"/>
      <c r="AC407" s="211"/>
      <c r="AD407" s="211"/>
      <c r="AE407" s="211"/>
      <c r="AF407" s="211"/>
      <c r="AG407" s="211"/>
      <c r="AH407" s="211"/>
      <c r="AI407" s="211">
        <f>INDEX($C$349:$AN$371,MATCH("New Customers One-Time",$C$349:$C$371,0),MATCH($C407,$C$349:$AN$349,0))</f>
        <v>175.03943039999999</v>
      </c>
      <c r="AJ407" s="211">
        <f>$AI407*(E375)</f>
        <v>0</v>
      </c>
      <c r="AK407" s="211">
        <f>$AI407*(F375)</f>
        <v>0</v>
      </c>
      <c r="AL407" s="211">
        <f>$AI407*(G375)</f>
        <v>0</v>
      </c>
      <c r="AM407" s="211">
        <f>$AI407*(H375)</f>
        <v>0</v>
      </c>
      <c r="AN407" s="211">
        <f>$AI407*(I375)</f>
        <v>0</v>
      </c>
    </row>
    <row r="408" spans="2:40" s="7" customFormat="1" ht="12" hidden="1" customHeight="1" outlineLevel="1">
      <c r="B408" s="245"/>
      <c r="C408" s="213" t="s">
        <v>784</v>
      </c>
      <c r="D408" s="213"/>
      <c r="E408" s="213"/>
      <c r="F408" s="213"/>
      <c r="G408" s="213"/>
      <c r="H408" s="213"/>
      <c r="I408" s="213"/>
      <c r="J408" s="213"/>
      <c r="K408" s="213"/>
      <c r="L408" s="213"/>
      <c r="M408" s="213"/>
      <c r="N408" s="213"/>
      <c r="O408" s="213"/>
      <c r="P408" s="213"/>
      <c r="Q408" s="213"/>
      <c r="R408" s="213"/>
      <c r="S408" s="213"/>
      <c r="T408" s="213"/>
      <c r="U408" s="213"/>
      <c r="V408" s="213"/>
      <c r="W408" s="213"/>
      <c r="X408" s="213"/>
      <c r="Y408" s="213"/>
      <c r="Z408" s="213"/>
      <c r="AA408" s="213"/>
      <c r="AB408" s="211"/>
      <c r="AC408" s="211"/>
      <c r="AD408" s="211"/>
      <c r="AE408" s="211"/>
      <c r="AF408" s="211"/>
      <c r="AG408" s="211"/>
      <c r="AH408" s="211"/>
      <c r="AI408" s="211"/>
      <c r="AJ408" s="211">
        <f>INDEX($C$349:$AN$371,MATCH("New Customers One-Time",$C$349:$C$371,0),MATCH($C408,$C$349:$AN$349,0))</f>
        <v>504.42738719999994</v>
      </c>
      <c r="AK408" s="211">
        <f>$AJ408*(E375)</f>
        <v>0</v>
      </c>
      <c r="AL408" s="211">
        <f>$AJ408*(F375)</f>
        <v>0</v>
      </c>
      <c r="AM408" s="211">
        <f>$AJ408*(G375)</f>
        <v>0</v>
      </c>
      <c r="AN408" s="211">
        <f>$AJ408*(H375)</f>
        <v>0</v>
      </c>
    </row>
    <row r="409" spans="2:40" s="7" customFormat="1" ht="12" hidden="1" customHeight="1" outlineLevel="1">
      <c r="B409" s="245"/>
      <c r="C409" s="213" t="s">
        <v>785</v>
      </c>
      <c r="D409" s="213"/>
      <c r="E409" s="213"/>
      <c r="F409" s="213"/>
      <c r="G409" s="213"/>
      <c r="H409" s="213"/>
      <c r="I409" s="213"/>
      <c r="J409" s="213"/>
      <c r="K409" s="213"/>
      <c r="L409" s="213"/>
      <c r="M409" s="213"/>
      <c r="N409" s="213"/>
      <c r="O409" s="213"/>
      <c r="P409" s="213"/>
      <c r="Q409" s="213"/>
      <c r="R409" s="213"/>
      <c r="S409" s="213"/>
      <c r="T409" s="213"/>
      <c r="U409" s="213"/>
      <c r="V409" s="213"/>
      <c r="W409" s="213"/>
      <c r="X409" s="213"/>
      <c r="Y409" s="213"/>
      <c r="Z409" s="213"/>
      <c r="AA409" s="213"/>
      <c r="AB409" s="211"/>
      <c r="AC409" s="211"/>
      <c r="AD409" s="211"/>
      <c r="AE409" s="211"/>
      <c r="AF409" s="211"/>
      <c r="AG409" s="211"/>
      <c r="AH409" s="211"/>
      <c r="AI409" s="211"/>
      <c r="AJ409" s="211"/>
      <c r="AK409" s="211">
        <f>INDEX($C$349:$AN$371,MATCH("New Customers One-Time",$C$349:$C$371,0),MATCH($C409,$C$349:$AN$349,0))</f>
        <v>1753.2208571428571</v>
      </c>
      <c r="AL409" s="211">
        <f>$AK409*(E375)</f>
        <v>0</v>
      </c>
      <c r="AM409" s="211">
        <f>$AK409*(F375)</f>
        <v>0</v>
      </c>
      <c r="AN409" s="211">
        <f>$AK409*(G375)</f>
        <v>0</v>
      </c>
    </row>
    <row r="410" spans="2:40" s="7" customFormat="1" ht="12" hidden="1" customHeight="1" outlineLevel="1">
      <c r="B410" s="245"/>
      <c r="C410" s="213" t="s">
        <v>786</v>
      </c>
      <c r="D410" s="213"/>
      <c r="E410" s="213"/>
      <c r="F410" s="213"/>
      <c r="G410" s="213"/>
      <c r="H410" s="213"/>
      <c r="I410" s="213"/>
      <c r="J410" s="213"/>
      <c r="K410" s="213"/>
      <c r="L410" s="213"/>
      <c r="M410" s="213"/>
      <c r="N410" s="213"/>
      <c r="O410" s="213"/>
      <c r="P410" s="213"/>
      <c r="Q410" s="213"/>
      <c r="R410" s="213"/>
      <c r="S410" s="213"/>
      <c r="T410" s="213"/>
      <c r="U410" s="213"/>
      <c r="V410" s="213"/>
      <c r="W410" s="213"/>
      <c r="X410" s="213"/>
      <c r="Y410" s="213"/>
      <c r="Z410" s="213"/>
      <c r="AA410" s="213"/>
      <c r="AB410" s="211"/>
      <c r="AC410" s="211"/>
      <c r="AD410" s="211"/>
      <c r="AE410" s="211"/>
      <c r="AF410" s="211"/>
      <c r="AG410" s="211"/>
      <c r="AH410" s="211"/>
      <c r="AI410" s="211"/>
      <c r="AJ410" s="211"/>
      <c r="AK410" s="211"/>
      <c r="AL410" s="211">
        <f>INDEX($C$349:$AN$371,MATCH("New Customers One-Time",$C$349:$C$371,0),MATCH($C410,$C$349:$AN$349,0))</f>
        <v>1560.3999999999999</v>
      </c>
      <c r="AM410" s="211">
        <f>$AL410*(E375)</f>
        <v>0</v>
      </c>
      <c r="AN410" s="211">
        <f>$AL410*(F375)</f>
        <v>0</v>
      </c>
    </row>
    <row r="411" spans="2:40" s="7" customFormat="1" ht="12" hidden="1" customHeight="1" outlineLevel="1">
      <c r="B411" s="245"/>
      <c r="C411" s="213" t="s">
        <v>787</v>
      </c>
      <c r="D411" s="213"/>
      <c r="E411" s="213"/>
      <c r="F411" s="213"/>
      <c r="G411" s="213"/>
      <c r="H411" s="213"/>
      <c r="I411" s="213"/>
      <c r="J411" s="213"/>
      <c r="K411" s="213"/>
      <c r="L411" s="213"/>
      <c r="M411" s="213"/>
      <c r="N411" s="213"/>
      <c r="O411" s="213"/>
      <c r="P411" s="213"/>
      <c r="Q411" s="213"/>
      <c r="R411" s="213"/>
      <c r="S411" s="213"/>
      <c r="T411" s="213"/>
      <c r="U411" s="213"/>
      <c r="V411" s="213"/>
      <c r="W411" s="213"/>
      <c r="X411" s="213"/>
      <c r="Y411" s="213"/>
      <c r="Z411" s="213"/>
      <c r="AA411" s="213"/>
      <c r="AB411" s="211"/>
      <c r="AC411" s="211"/>
      <c r="AD411" s="211"/>
      <c r="AE411" s="211"/>
      <c r="AF411" s="211"/>
      <c r="AG411" s="211"/>
      <c r="AH411" s="211"/>
      <c r="AI411" s="211"/>
      <c r="AJ411" s="211"/>
      <c r="AK411" s="211"/>
      <c r="AL411" s="211"/>
      <c r="AM411" s="211">
        <f>INDEX($C$349:$AN$371,MATCH("New Customers One-Time",$C$349:$C$371,0),MATCH($C411,$C$349:$AN$349,0))</f>
        <v>539.45257142857145</v>
      </c>
      <c r="AN411" s="211">
        <f>$AM411*(E375)</f>
        <v>0</v>
      </c>
    </row>
    <row r="412" spans="2:40" s="7" customFormat="1" ht="12" hidden="1" customHeight="1" outlineLevel="1">
      <c r="B412" s="245"/>
      <c r="C412" s="213" t="s">
        <v>788</v>
      </c>
      <c r="D412" s="213"/>
      <c r="E412" s="213"/>
      <c r="F412" s="213"/>
      <c r="G412" s="213"/>
      <c r="H412" s="213"/>
      <c r="I412" s="213"/>
      <c r="J412" s="213"/>
      <c r="K412" s="213"/>
      <c r="L412" s="213"/>
      <c r="M412" s="213"/>
      <c r="N412" s="213"/>
      <c r="O412" s="213"/>
      <c r="P412" s="213"/>
      <c r="Q412" s="213"/>
      <c r="R412" s="213"/>
      <c r="S412" s="213"/>
      <c r="T412" s="213"/>
      <c r="U412" s="213"/>
      <c r="V412" s="213"/>
      <c r="W412" s="213"/>
      <c r="X412" s="213"/>
      <c r="Y412" s="213"/>
      <c r="Z412" s="213"/>
      <c r="AA412" s="213"/>
      <c r="AB412" s="211"/>
      <c r="AC412" s="211"/>
      <c r="AD412" s="211"/>
      <c r="AE412" s="211"/>
      <c r="AF412" s="211"/>
      <c r="AG412" s="211"/>
      <c r="AH412" s="211"/>
      <c r="AI412" s="211"/>
      <c r="AJ412" s="211"/>
      <c r="AK412" s="211"/>
      <c r="AL412" s="211"/>
      <c r="AM412" s="211"/>
      <c r="AN412" s="211">
        <f>INDEX($C$349:$AN$371,MATCH("New Customers One-Time",$C$349:$C$371,0),MATCH($C412,$C$349:$AN$349,0))</f>
        <v>641.99314285714274</v>
      </c>
    </row>
    <row r="413" spans="2:40" s="7" customFormat="1" ht="12" hidden="1" customHeight="1" outlineLevel="1">
      <c r="B413" s="245"/>
      <c r="C413" s="213"/>
      <c r="D413" s="213"/>
      <c r="E413" s="213"/>
      <c r="F413" s="213"/>
      <c r="G413" s="213"/>
      <c r="H413" s="213"/>
      <c r="I413" s="213"/>
      <c r="J413" s="213"/>
      <c r="K413" s="213"/>
      <c r="L413" s="213"/>
      <c r="M413" s="213"/>
      <c r="N413" s="213"/>
      <c r="O413" s="213"/>
      <c r="P413" s="213"/>
      <c r="Q413" s="213"/>
      <c r="R413" s="213"/>
      <c r="S413" s="213"/>
      <c r="T413" s="213"/>
      <c r="U413" s="213"/>
      <c r="V413" s="213"/>
      <c r="W413" s="213"/>
      <c r="X413" s="213"/>
      <c r="Y413" s="213"/>
      <c r="Z413" s="213"/>
      <c r="AA413" s="213"/>
      <c r="AB413" s="211"/>
      <c r="AC413" s="211"/>
      <c r="AD413" s="211"/>
      <c r="AE413" s="211"/>
      <c r="AF413" s="211"/>
      <c r="AG413" s="211"/>
      <c r="AH413" s="211"/>
      <c r="AI413" s="211"/>
      <c r="AJ413" s="211"/>
      <c r="AK413" s="211"/>
      <c r="AL413" s="211"/>
      <c r="AM413" s="211"/>
      <c r="AN413" s="211"/>
    </row>
    <row r="414" spans="2:40" s="7" customFormat="1" ht="12" hidden="1" customHeight="1" outlineLevel="1">
      <c r="B414" s="245"/>
      <c r="C414" s="243" t="s">
        <v>853</v>
      </c>
      <c r="D414" s="213"/>
      <c r="E414" s="213"/>
      <c r="F414" s="213"/>
      <c r="G414" s="213"/>
      <c r="H414" s="213"/>
      <c r="I414" s="213"/>
      <c r="J414" s="213"/>
      <c r="K414" s="213"/>
      <c r="L414" s="213"/>
      <c r="M414" s="213"/>
      <c r="N414" s="213"/>
      <c r="O414" s="213"/>
      <c r="P414" s="213"/>
      <c r="Q414" s="213"/>
      <c r="R414" s="213"/>
      <c r="S414" s="213"/>
      <c r="T414" s="213"/>
      <c r="U414" s="213"/>
      <c r="V414" s="213"/>
      <c r="W414" s="213"/>
      <c r="X414" s="213"/>
      <c r="Y414" s="213"/>
      <c r="Z414" s="213"/>
      <c r="AA414" s="213"/>
      <c r="AB414" s="213"/>
      <c r="AC414" s="211"/>
    </row>
    <row r="415" spans="2:40" s="7" customFormat="1" ht="12" hidden="1" customHeight="1" outlineLevel="1">
      <c r="B415" s="239"/>
      <c r="C415" s="214" t="s">
        <v>850</v>
      </c>
      <c r="D415" s="214"/>
      <c r="E415" s="196" t="s">
        <v>753</v>
      </c>
      <c r="F415" s="196" t="s">
        <v>754</v>
      </c>
      <c r="G415" s="196" t="s">
        <v>755</v>
      </c>
      <c r="H415" s="196" t="s">
        <v>756</v>
      </c>
      <c r="I415" s="196" t="s">
        <v>757</v>
      </c>
      <c r="J415" s="196" t="s">
        <v>758</v>
      </c>
      <c r="K415" s="196" t="s">
        <v>759</v>
      </c>
      <c r="L415" s="196" t="s">
        <v>760</v>
      </c>
      <c r="M415" s="196" t="s">
        <v>761</v>
      </c>
      <c r="N415" s="196" t="s">
        <v>762</v>
      </c>
      <c r="O415" s="196" t="s">
        <v>763</v>
      </c>
      <c r="P415" s="196" t="s">
        <v>764</v>
      </c>
      <c r="Q415" s="196" t="s">
        <v>765</v>
      </c>
      <c r="R415" s="196" t="s">
        <v>766</v>
      </c>
      <c r="S415" s="196" t="s">
        <v>767</v>
      </c>
      <c r="T415" s="196" t="s">
        <v>768</v>
      </c>
      <c r="U415" s="196" t="s">
        <v>769</v>
      </c>
      <c r="V415" s="196" t="s">
        <v>770</v>
      </c>
      <c r="W415" s="196" t="s">
        <v>771</v>
      </c>
      <c r="X415" s="196" t="s">
        <v>772</v>
      </c>
      <c r="Y415" s="196" t="s">
        <v>773</v>
      </c>
      <c r="Z415" s="196" t="s">
        <v>774</v>
      </c>
      <c r="AA415" s="196" t="s">
        <v>775</v>
      </c>
      <c r="AB415" s="196" t="s">
        <v>776</v>
      </c>
      <c r="AC415" s="196" t="s">
        <v>777</v>
      </c>
      <c r="AD415" s="196" t="s">
        <v>778</v>
      </c>
      <c r="AE415" s="196" t="s">
        <v>779</v>
      </c>
      <c r="AF415" s="196" t="s">
        <v>780</v>
      </c>
      <c r="AG415" s="196" t="s">
        <v>781</v>
      </c>
      <c r="AH415" s="196" t="s">
        <v>782</v>
      </c>
      <c r="AI415" s="196" t="s">
        <v>783</v>
      </c>
      <c r="AJ415" s="196" t="s">
        <v>784</v>
      </c>
      <c r="AK415" s="196" t="s">
        <v>785</v>
      </c>
      <c r="AL415" s="196" t="s">
        <v>786</v>
      </c>
      <c r="AM415" s="196" t="s">
        <v>787</v>
      </c>
      <c r="AN415" s="196" t="s">
        <v>788</v>
      </c>
    </row>
    <row r="416" spans="2:40" s="7" customFormat="1" ht="12" hidden="1" customHeight="1" outlineLevel="2">
      <c r="B416" s="239"/>
      <c r="C416" s="247" t="s">
        <v>851</v>
      </c>
      <c r="D416" s="214"/>
      <c r="E416" s="345">
        <v>0.04</v>
      </c>
      <c r="F416" s="345">
        <v>0.04</v>
      </c>
      <c r="G416" s="345">
        <v>0.04</v>
      </c>
      <c r="H416" s="345">
        <v>0.04</v>
      </c>
      <c r="I416" s="345">
        <v>0.03</v>
      </c>
      <c r="J416" s="345">
        <v>0.03</v>
      </c>
      <c r="K416" s="345">
        <v>0.03</v>
      </c>
      <c r="L416" s="345">
        <v>0.03</v>
      </c>
      <c r="M416" s="345">
        <v>0.02</v>
      </c>
      <c r="N416" s="345">
        <v>0.02</v>
      </c>
      <c r="O416" s="345">
        <v>0.02</v>
      </c>
      <c r="P416" s="345">
        <v>0.03</v>
      </c>
      <c r="Q416" s="345">
        <v>0.03</v>
      </c>
      <c r="R416" s="345">
        <v>0.01</v>
      </c>
      <c r="S416" s="345">
        <v>0.01</v>
      </c>
      <c r="T416" s="345">
        <v>0.01</v>
      </c>
      <c r="U416" s="345">
        <v>0.01</v>
      </c>
      <c r="V416" s="345">
        <v>0.01</v>
      </c>
      <c r="W416" s="345">
        <v>0.01</v>
      </c>
      <c r="X416" s="345">
        <v>0.01</v>
      </c>
      <c r="Y416" s="345">
        <v>0.01</v>
      </c>
      <c r="Z416" s="345">
        <v>0.01</v>
      </c>
      <c r="AA416" s="345">
        <v>0.01</v>
      </c>
      <c r="AB416" s="345">
        <v>0.01</v>
      </c>
      <c r="AC416" s="345">
        <v>0.01</v>
      </c>
      <c r="AD416" s="345">
        <v>0.01</v>
      </c>
      <c r="AE416" s="345">
        <v>0.01</v>
      </c>
      <c r="AF416" s="345">
        <v>0.01</v>
      </c>
      <c r="AG416" s="345">
        <v>0.01</v>
      </c>
      <c r="AH416" s="345">
        <v>0.01</v>
      </c>
      <c r="AI416" s="345">
        <v>0.01</v>
      </c>
      <c r="AJ416" s="345">
        <v>0.01</v>
      </c>
      <c r="AK416" s="345">
        <v>0.01</v>
      </c>
      <c r="AL416" s="345">
        <v>0.01</v>
      </c>
      <c r="AM416" s="345">
        <v>0.01</v>
      </c>
      <c r="AN416" s="345">
        <v>0.01</v>
      </c>
    </row>
    <row r="417" spans="2:40" s="214" customFormat="1" ht="12" hidden="1" customHeight="1" outlineLevel="1">
      <c r="C417" s="213" t="s">
        <v>861</v>
      </c>
      <c r="E417" s="211">
        <v>322</v>
      </c>
      <c r="F417" s="211">
        <v>379</v>
      </c>
      <c r="G417" s="211">
        <v>480</v>
      </c>
      <c r="H417" s="211">
        <v>363</v>
      </c>
      <c r="I417" s="211">
        <v>305</v>
      </c>
      <c r="J417" s="211">
        <f t="shared" ref="J417:AN417" si="265">I417*0.9</f>
        <v>274.5</v>
      </c>
      <c r="K417" s="211">
        <f t="shared" si="265"/>
        <v>247.05</v>
      </c>
      <c r="L417" s="211">
        <f t="shared" si="265"/>
        <v>222.34500000000003</v>
      </c>
      <c r="M417" s="211">
        <f t="shared" si="265"/>
        <v>200.11050000000003</v>
      </c>
      <c r="N417" s="211">
        <f t="shared" si="265"/>
        <v>180.09945000000002</v>
      </c>
      <c r="O417" s="211">
        <f t="shared" si="265"/>
        <v>162.08950500000003</v>
      </c>
      <c r="P417" s="211">
        <f t="shared" si="265"/>
        <v>145.88055450000004</v>
      </c>
      <c r="Q417" s="211">
        <f t="shared" si="265"/>
        <v>131.29249905000003</v>
      </c>
      <c r="R417" s="211">
        <f t="shared" si="265"/>
        <v>118.16324914500004</v>
      </c>
      <c r="S417" s="211">
        <f t="shared" si="265"/>
        <v>106.34692423050004</v>
      </c>
      <c r="T417" s="211">
        <f t="shared" si="265"/>
        <v>95.712231807450038</v>
      </c>
      <c r="U417" s="211">
        <f t="shared" si="265"/>
        <v>86.14100862670503</v>
      </c>
      <c r="V417" s="211">
        <f t="shared" si="265"/>
        <v>77.526907764034533</v>
      </c>
      <c r="W417" s="211">
        <f t="shared" si="265"/>
        <v>69.774216987631078</v>
      </c>
      <c r="X417" s="211">
        <f t="shared" si="265"/>
        <v>62.796795288867969</v>
      </c>
      <c r="Y417" s="211">
        <f t="shared" si="265"/>
        <v>56.517115759981174</v>
      </c>
      <c r="Z417" s="211">
        <f t="shared" si="265"/>
        <v>50.86540418398306</v>
      </c>
      <c r="AA417" s="211">
        <f t="shared" si="265"/>
        <v>45.778863765584752</v>
      </c>
      <c r="AB417" s="211">
        <f t="shared" si="265"/>
        <v>41.200977389026278</v>
      </c>
      <c r="AC417" s="211">
        <f t="shared" si="265"/>
        <v>37.080879650123649</v>
      </c>
      <c r="AD417" s="211">
        <f t="shared" si="265"/>
        <v>33.372791685111288</v>
      </c>
      <c r="AE417" s="211">
        <f t="shared" si="265"/>
        <v>30.035512516600161</v>
      </c>
      <c r="AF417" s="211">
        <f t="shared" si="265"/>
        <v>27.031961264940144</v>
      </c>
      <c r="AG417" s="211">
        <f t="shared" si="265"/>
        <v>24.32876513844613</v>
      </c>
      <c r="AH417" s="211">
        <f t="shared" si="265"/>
        <v>21.895888624601518</v>
      </c>
      <c r="AI417" s="211">
        <f t="shared" si="265"/>
        <v>19.706299762141366</v>
      </c>
      <c r="AJ417" s="211">
        <f t="shared" si="265"/>
        <v>17.735669785927229</v>
      </c>
      <c r="AK417" s="211">
        <f t="shared" si="265"/>
        <v>15.962102807334507</v>
      </c>
      <c r="AL417" s="211">
        <f t="shared" si="265"/>
        <v>14.365892526601057</v>
      </c>
      <c r="AM417" s="211">
        <f t="shared" si="265"/>
        <v>12.929303273940951</v>
      </c>
      <c r="AN417" s="211">
        <f t="shared" si="265"/>
        <v>11.636372946546857</v>
      </c>
    </row>
    <row r="418" spans="2:40" s="7" customFormat="1" ht="12" hidden="1" customHeight="1" outlineLevel="1">
      <c r="B418" s="245"/>
      <c r="C418" s="213" t="s">
        <v>753</v>
      </c>
      <c r="D418" s="213"/>
      <c r="E418" s="211">
        <f>INDEX($C$349:$AN$371,MATCH("New Customers 1MS",$C$349:$C$371,0),MATCH($C418,$C$349:$AN$349,0))</f>
        <v>35</v>
      </c>
      <c r="F418" s="211">
        <f t="shared" ref="F418:AN418" si="266">$E418*(E416)</f>
        <v>1.4000000000000001</v>
      </c>
      <c r="G418" s="211">
        <f t="shared" si="266"/>
        <v>1.4000000000000001</v>
      </c>
      <c r="H418" s="211">
        <f t="shared" si="266"/>
        <v>1.4000000000000001</v>
      </c>
      <c r="I418" s="211">
        <f t="shared" si="266"/>
        <v>1.4000000000000001</v>
      </c>
      <c r="J418" s="211">
        <f t="shared" si="266"/>
        <v>1.05</v>
      </c>
      <c r="K418" s="211">
        <f t="shared" si="266"/>
        <v>1.05</v>
      </c>
      <c r="L418" s="211">
        <f t="shared" si="266"/>
        <v>1.05</v>
      </c>
      <c r="M418" s="211">
        <f t="shared" si="266"/>
        <v>1.05</v>
      </c>
      <c r="N418" s="211">
        <f t="shared" si="266"/>
        <v>0.70000000000000007</v>
      </c>
      <c r="O418" s="211">
        <f t="shared" si="266"/>
        <v>0.70000000000000007</v>
      </c>
      <c r="P418" s="211">
        <f t="shared" si="266"/>
        <v>0.70000000000000007</v>
      </c>
      <c r="Q418" s="211">
        <f t="shared" si="266"/>
        <v>1.05</v>
      </c>
      <c r="R418" s="211">
        <f t="shared" si="266"/>
        <v>1.05</v>
      </c>
      <c r="S418" s="211">
        <f t="shared" si="266"/>
        <v>0.35000000000000003</v>
      </c>
      <c r="T418" s="211">
        <f t="shared" si="266"/>
        <v>0.35000000000000003</v>
      </c>
      <c r="U418" s="211">
        <f t="shared" si="266"/>
        <v>0.35000000000000003</v>
      </c>
      <c r="V418" s="211">
        <f t="shared" si="266"/>
        <v>0.35000000000000003</v>
      </c>
      <c r="W418" s="211">
        <f t="shared" si="266"/>
        <v>0.35000000000000003</v>
      </c>
      <c r="X418" s="211">
        <f t="shared" si="266"/>
        <v>0.35000000000000003</v>
      </c>
      <c r="Y418" s="211">
        <f t="shared" si="266"/>
        <v>0.35000000000000003</v>
      </c>
      <c r="Z418" s="211">
        <f t="shared" si="266"/>
        <v>0.35000000000000003</v>
      </c>
      <c r="AA418" s="211">
        <f t="shared" si="266"/>
        <v>0.35000000000000003</v>
      </c>
      <c r="AB418" s="211">
        <f t="shared" si="266"/>
        <v>0.35000000000000003</v>
      </c>
      <c r="AC418" s="211">
        <f t="shared" si="266"/>
        <v>0.35000000000000003</v>
      </c>
      <c r="AD418" s="211">
        <f t="shared" si="266"/>
        <v>0.35000000000000003</v>
      </c>
      <c r="AE418" s="211">
        <f t="shared" si="266"/>
        <v>0.35000000000000003</v>
      </c>
      <c r="AF418" s="211">
        <f t="shared" si="266"/>
        <v>0.35000000000000003</v>
      </c>
      <c r="AG418" s="211">
        <f t="shared" si="266"/>
        <v>0.35000000000000003</v>
      </c>
      <c r="AH418" s="211">
        <f t="shared" si="266"/>
        <v>0.35000000000000003</v>
      </c>
      <c r="AI418" s="211">
        <f t="shared" si="266"/>
        <v>0.35000000000000003</v>
      </c>
      <c r="AJ418" s="211">
        <f t="shared" si="266"/>
        <v>0.35000000000000003</v>
      </c>
      <c r="AK418" s="211">
        <f t="shared" si="266"/>
        <v>0.35000000000000003</v>
      </c>
      <c r="AL418" s="211">
        <f t="shared" si="266"/>
        <v>0.35000000000000003</v>
      </c>
      <c r="AM418" s="211">
        <f t="shared" si="266"/>
        <v>0.35000000000000003</v>
      </c>
      <c r="AN418" s="211">
        <f t="shared" si="266"/>
        <v>0.35000000000000003</v>
      </c>
    </row>
    <row r="419" spans="2:40" s="7" customFormat="1" ht="12" hidden="1" customHeight="1" outlineLevel="1">
      <c r="B419" s="245"/>
      <c r="C419" s="213" t="s">
        <v>754</v>
      </c>
      <c r="D419" s="213"/>
      <c r="E419" s="213"/>
      <c r="F419" s="211">
        <f>INDEX($C$349:$AN$371,MATCH("New Customers 1MS",$C$349:$C$371,0),MATCH($C419,$C$349:$AN$349,0))</f>
        <v>40.000000000000007</v>
      </c>
      <c r="G419" s="211">
        <f t="shared" ref="G419:AN419" si="267">$F419*(E416)</f>
        <v>1.6000000000000003</v>
      </c>
      <c r="H419" s="211">
        <f t="shared" si="267"/>
        <v>1.6000000000000003</v>
      </c>
      <c r="I419" s="211">
        <f t="shared" si="267"/>
        <v>1.6000000000000003</v>
      </c>
      <c r="J419" s="211">
        <f t="shared" si="267"/>
        <v>1.6000000000000003</v>
      </c>
      <c r="K419" s="211">
        <f t="shared" si="267"/>
        <v>1.2000000000000002</v>
      </c>
      <c r="L419" s="211">
        <f t="shared" si="267"/>
        <v>1.2000000000000002</v>
      </c>
      <c r="M419" s="211">
        <f t="shared" si="267"/>
        <v>1.2000000000000002</v>
      </c>
      <c r="N419" s="211">
        <f t="shared" si="267"/>
        <v>1.2000000000000002</v>
      </c>
      <c r="O419" s="211">
        <f t="shared" si="267"/>
        <v>0.80000000000000016</v>
      </c>
      <c r="P419" s="211">
        <f t="shared" si="267"/>
        <v>0.80000000000000016</v>
      </c>
      <c r="Q419" s="211">
        <f t="shared" si="267"/>
        <v>0.80000000000000016</v>
      </c>
      <c r="R419" s="211">
        <f t="shared" si="267"/>
        <v>1.2000000000000002</v>
      </c>
      <c r="S419" s="211">
        <f t="shared" si="267"/>
        <v>1.2000000000000002</v>
      </c>
      <c r="T419" s="211">
        <f t="shared" si="267"/>
        <v>0.40000000000000008</v>
      </c>
      <c r="U419" s="211">
        <f t="shared" si="267"/>
        <v>0.40000000000000008</v>
      </c>
      <c r="V419" s="211">
        <f t="shared" si="267"/>
        <v>0.40000000000000008</v>
      </c>
      <c r="W419" s="211">
        <f t="shared" si="267"/>
        <v>0.40000000000000008</v>
      </c>
      <c r="X419" s="211">
        <f t="shared" si="267"/>
        <v>0.40000000000000008</v>
      </c>
      <c r="Y419" s="211">
        <f t="shared" si="267"/>
        <v>0.40000000000000008</v>
      </c>
      <c r="Z419" s="211">
        <f t="shared" si="267"/>
        <v>0.40000000000000008</v>
      </c>
      <c r="AA419" s="211">
        <f t="shared" si="267"/>
        <v>0.40000000000000008</v>
      </c>
      <c r="AB419" s="211">
        <f t="shared" si="267"/>
        <v>0.40000000000000008</v>
      </c>
      <c r="AC419" s="211">
        <f t="shared" si="267"/>
        <v>0.40000000000000008</v>
      </c>
      <c r="AD419" s="211">
        <f t="shared" si="267"/>
        <v>0.40000000000000008</v>
      </c>
      <c r="AE419" s="211">
        <f t="shared" si="267"/>
        <v>0.40000000000000008</v>
      </c>
      <c r="AF419" s="211">
        <f t="shared" si="267"/>
        <v>0.40000000000000008</v>
      </c>
      <c r="AG419" s="211">
        <f t="shared" si="267"/>
        <v>0.40000000000000008</v>
      </c>
      <c r="AH419" s="211">
        <f t="shared" si="267"/>
        <v>0.40000000000000008</v>
      </c>
      <c r="AI419" s="211">
        <f t="shared" si="267"/>
        <v>0.40000000000000008</v>
      </c>
      <c r="AJ419" s="211">
        <f t="shared" si="267"/>
        <v>0.40000000000000008</v>
      </c>
      <c r="AK419" s="211">
        <f t="shared" si="267"/>
        <v>0.40000000000000008</v>
      </c>
      <c r="AL419" s="211">
        <f t="shared" si="267"/>
        <v>0.40000000000000008</v>
      </c>
      <c r="AM419" s="211">
        <f t="shared" si="267"/>
        <v>0.40000000000000008</v>
      </c>
      <c r="AN419" s="211">
        <f t="shared" si="267"/>
        <v>0.40000000000000008</v>
      </c>
    </row>
    <row r="420" spans="2:40" s="7" customFormat="1" ht="12" hidden="1" customHeight="1" outlineLevel="1">
      <c r="B420" s="245"/>
      <c r="C420" s="213" t="s">
        <v>755</v>
      </c>
      <c r="D420" s="213"/>
      <c r="E420" s="213"/>
      <c r="G420" s="211">
        <f>INDEX($C$349:$AN$371,MATCH("New Customers 1MS",$C$349:$C$371,0),MATCH($C420,$C$349:$AN$349,0))</f>
        <v>17.999999999999996</v>
      </c>
      <c r="H420" s="211">
        <f>G420*(E416)</f>
        <v>0.71999999999999986</v>
      </c>
      <c r="I420" s="211">
        <f>G420*(F416)</f>
        <v>0.71999999999999986</v>
      </c>
      <c r="J420" s="211">
        <f>G420*(G416)</f>
        <v>0.71999999999999986</v>
      </c>
      <c r="K420" s="211">
        <f>G420*(H416)</f>
        <v>0.71999999999999986</v>
      </c>
      <c r="L420" s="211">
        <f>G420*(I416)</f>
        <v>0.53999999999999992</v>
      </c>
      <c r="M420" s="211">
        <f>G420*(J416)</f>
        <v>0.53999999999999992</v>
      </c>
      <c r="N420" s="211">
        <f>G420*(K416)</f>
        <v>0.53999999999999992</v>
      </c>
      <c r="O420" s="211">
        <f>G420*(L416)</f>
        <v>0.53999999999999992</v>
      </c>
      <c r="P420" s="211">
        <f>G420*(M416)</f>
        <v>0.35999999999999993</v>
      </c>
      <c r="Q420" s="211">
        <f>G420*(N416)</f>
        <v>0.35999999999999993</v>
      </c>
      <c r="R420" s="211">
        <f>G420*(O416)</f>
        <v>0.35999999999999993</v>
      </c>
      <c r="S420" s="211">
        <f>G420*(P416)</f>
        <v>0.53999999999999992</v>
      </c>
      <c r="T420" s="211">
        <f>G420*(Q416)</f>
        <v>0.53999999999999992</v>
      </c>
      <c r="U420" s="211">
        <f>G420*(R416)</f>
        <v>0.17999999999999997</v>
      </c>
      <c r="V420" s="211">
        <f>G420*(S416)</f>
        <v>0.17999999999999997</v>
      </c>
      <c r="W420" s="211">
        <f>G420*(T416)</f>
        <v>0.17999999999999997</v>
      </c>
      <c r="X420" s="211">
        <f>G420*(U416)</f>
        <v>0.17999999999999997</v>
      </c>
      <c r="Y420" s="211">
        <f>G420*(V416)</f>
        <v>0.17999999999999997</v>
      </c>
      <c r="Z420" s="211">
        <f>G420*(W416)</f>
        <v>0.17999999999999997</v>
      </c>
      <c r="AA420" s="211">
        <f>G420*(X416)</f>
        <v>0.17999999999999997</v>
      </c>
      <c r="AB420" s="211">
        <f>G420*(Y416)</f>
        <v>0.17999999999999997</v>
      </c>
      <c r="AC420" s="211">
        <f>G420*(Z416)</f>
        <v>0.17999999999999997</v>
      </c>
      <c r="AD420" s="211">
        <f>G420*(AA416)</f>
        <v>0.17999999999999997</v>
      </c>
      <c r="AE420" s="211">
        <f>G420*(AB416)</f>
        <v>0.17999999999999997</v>
      </c>
      <c r="AF420" s="211">
        <f>G420*(AC416)</f>
        <v>0.17999999999999997</v>
      </c>
      <c r="AG420" s="211">
        <f>G420*(AD416)</f>
        <v>0.17999999999999997</v>
      </c>
      <c r="AH420" s="211">
        <f>G420*(AE416)</f>
        <v>0.17999999999999997</v>
      </c>
      <c r="AI420" s="211">
        <f>G420*(AF416)</f>
        <v>0.17999999999999997</v>
      </c>
      <c r="AJ420" s="211">
        <f>G420*(AG416)</f>
        <v>0.17999999999999997</v>
      </c>
      <c r="AK420" s="211">
        <f>G420*(AH416)</f>
        <v>0.17999999999999997</v>
      </c>
      <c r="AL420" s="211">
        <f>G420*(AI416)</f>
        <v>0.17999999999999997</v>
      </c>
      <c r="AM420" s="211">
        <f>G420*(AJ416)</f>
        <v>0.17999999999999997</v>
      </c>
      <c r="AN420" s="211">
        <f>G420*(AK416)</f>
        <v>0.17999999999999997</v>
      </c>
    </row>
    <row r="421" spans="2:40" s="7" customFormat="1" ht="12" hidden="1" customHeight="1" outlineLevel="1">
      <c r="B421" s="245"/>
      <c r="C421" s="213" t="s">
        <v>756</v>
      </c>
      <c r="D421" s="213"/>
      <c r="E421" s="213"/>
      <c r="F421" s="213"/>
      <c r="G421" s="213"/>
      <c r="H421" s="211">
        <f>INDEX($C$349:$AN$371,MATCH("New Customers 1MS",$C$349:$C$371,0),MATCH($C421,$C$349:$AN$349,0))</f>
        <v>21.000000000000011</v>
      </c>
      <c r="I421" s="211">
        <f>H421*(E416)</f>
        <v>0.84000000000000041</v>
      </c>
      <c r="J421" s="211">
        <f>H421*(F416)</f>
        <v>0.84000000000000041</v>
      </c>
      <c r="K421" s="211">
        <f>H421*(G416)</f>
        <v>0.84000000000000041</v>
      </c>
      <c r="L421" s="211">
        <f>H421*(H416)</f>
        <v>0.84000000000000041</v>
      </c>
      <c r="M421" s="211">
        <f>H421*(I416)</f>
        <v>0.63000000000000034</v>
      </c>
      <c r="N421" s="211">
        <f>H421*(J416)</f>
        <v>0.63000000000000034</v>
      </c>
      <c r="O421" s="211">
        <f>H421*(K416)</f>
        <v>0.63000000000000034</v>
      </c>
      <c r="P421" s="211">
        <f>H421*(L416)</f>
        <v>0.63000000000000034</v>
      </c>
      <c r="Q421" s="211">
        <f>H421*(M416)</f>
        <v>0.42000000000000021</v>
      </c>
      <c r="R421" s="211">
        <f>H421*(N416)</f>
        <v>0.42000000000000021</v>
      </c>
      <c r="S421" s="211">
        <f>H421*(O416)</f>
        <v>0.42000000000000021</v>
      </c>
      <c r="T421" s="211">
        <f>H421*(P416)</f>
        <v>0.63000000000000034</v>
      </c>
      <c r="U421" s="211">
        <f>H421*(Q416)</f>
        <v>0.63000000000000034</v>
      </c>
      <c r="V421" s="211">
        <f>H421*(R416)</f>
        <v>0.2100000000000001</v>
      </c>
      <c r="W421" s="211">
        <f>H421*(S416)</f>
        <v>0.2100000000000001</v>
      </c>
      <c r="X421" s="211">
        <f>H421*(T416)</f>
        <v>0.2100000000000001</v>
      </c>
      <c r="Y421" s="211">
        <f>H421*(U416)</f>
        <v>0.2100000000000001</v>
      </c>
      <c r="Z421" s="211">
        <f>H421*(V416)</f>
        <v>0.2100000000000001</v>
      </c>
      <c r="AA421" s="211">
        <f>H421*(W416)</f>
        <v>0.2100000000000001</v>
      </c>
      <c r="AB421" s="211">
        <f>H421*(X416)</f>
        <v>0.2100000000000001</v>
      </c>
      <c r="AC421" s="211">
        <f>H421*(Y416)</f>
        <v>0.2100000000000001</v>
      </c>
      <c r="AD421" s="211">
        <f>H421*(Z416)</f>
        <v>0.2100000000000001</v>
      </c>
      <c r="AE421" s="211">
        <f>H421*(AA416)</f>
        <v>0.2100000000000001</v>
      </c>
      <c r="AF421" s="211">
        <f>H421*(AB416)</f>
        <v>0.2100000000000001</v>
      </c>
      <c r="AG421" s="211">
        <f>H421*(AC416)</f>
        <v>0.2100000000000001</v>
      </c>
      <c r="AH421" s="211">
        <f>H421*(AD416)</f>
        <v>0.2100000000000001</v>
      </c>
      <c r="AI421" s="211">
        <f>H421*(AE416)</f>
        <v>0.2100000000000001</v>
      </c>
      <c r="AJ421" s="211">
        <f>H421*(AF416)</f>
        <v>0.2100000000000001</v>
      </c>
      <c r="AK421" s="211">
        <f>H421*(AG416)</f>
        <v>0.2100000000000001</v>
      </c>
      <c r="AL421" s="211">
        <f>H421*(AH416)</f>
        <v>0.2100000000000001</v>
      </c>
      <c r="AM421" s="211">
        <f>H421*(AI416)</f>
        <v>0.2100000000000001</v>
      </c>
      <c r="AN421" s="211">
        <f>H421*(AJ416)</f>
        <v>0.2100000000000001</v>
      </c>
    </row>
    <row r="422" spans="2:40" s="7" customFormat="1" ht="12" hidden="1" customHeight="1" outlineLevel="1">
      <c r="B422" s="245"/>
      <c r="C422" s="213" t="s">
        <v>757</v>
      </c>
      <c r="D422" s="213"/>
      <c r="E422" s="213"/>
      <c r="F422" s="213"/>
      <c r="G422" s="213"/>
      <c r="H422" s="213"/>
      <c r="I422" s="211">
        <f>INDEX($C$349:$AN$371,MATCH("New Customers 1MS",$C$349:$C$371,0),MATCH($C422,$C$349:$AN$349,0))</f>
        <v>22.999999999999975</v>
      </c>
      <c r="J422" s="211">
        <f>I422*(E416)</f>
        <v>0.91999999999999904</v>
      </c>
      <c r="K422" s="211">
        <f>I422*(F416)</f>
        <v>0.91999999999999904</v>
      </c>
      <c r="L422" s="211">
        <f>I422*(G416)</f>
        <v>0.91999999999999904</v>
      </c>
      <c r="M422" s="211">
        <f>I422*(H416)</f>
        <v>0.91999999999999904</v>
      </c>
      <c r="N422" s="211">
        <f>I422*(I416)</f>
        <v>0.68999999999999928</v>
      </c>
      <c r="O422" s="211">
        <f>I422*(J416)</f>
        <v>0.68999999999999928</v>
      </c>
      <c r="P422" s="211">
        <f>I422*(K416)</f>
        <v>0.68999999999999928</v>
      </c>
      <c r="Q422" s="211">
        <f>I422*(L416)</f>
        <v>0.68999999999999928</v>
      </c>
      <c r="R422" s="211">
        <f>I422*(M416)</f>
        <v>0.45999999999999952</v>
      </c>
      <c r="S422" s="211">
        <f>I422*(N416)</f>
        <v>0.45999999999999952</v>
      </c>
      <c r="T422" s="211">
        <f>I422*(O416)</f>
        <v>0.45999999999999952</v>
      </c>
      <c r="U422" s="211">
        <f>I422*(P416)</f>
        <v>0.68999999999999928</v>
      </c>
      <c r="V422" s="211">
        <f>I422*(Q416)</f>
        <v>0.68999999999999928</v>
      </c>
      <c r="W422" s="211">
        <f>I422*(R416)</f>
        <v>0.22999999999999976</v>
      </c>
      <c r="X422" s="211">
        <f>I422*(S416)</f>
        <v>0.22999999999999976</v>
      </c>
      <c r="Y422" s="211">
        <f>I422*(T416)</f>
        <v>0.22999999999999976</v>
      </c>
      <c r="Z422" s="211">
        <f>I422*(U416)</f>
        <v>0.22999999999999976</v>
      </c>
      <c r="AA422" s="211">
        <f>I422*(V416)</f>
        <v>0.22999999999999976</v>
      </c>
      <c r="AB422" s="211">
        <f>I422*(W416)</f>
        <v>0.22999999999999976</v>
      </c>
      <c r="AC422" s="211">
        <f>I422*(X416)</f>
        <v>0.22999999999999976</v>
      </c>
      <c r="AD422" s="211">
        <f>I422*(Y416)</f>
        <v>0.22999999999999976</v>
      </c>
      <c r="AE422" s="211">
        <f>I422*(Z416)</f>
        <v>0.22999999999999976</v>
      </c>
      <c r="AF422" s="211">
        <f>I422*(AA416)</f>
        <v>0.22999999999999976</v>
      </c>
      <c r="AG422" s="211">
        <f>I422*(AB416)</f>
        <v>0.22999999999999976</v>
      </c>
      <c r="AH422" s="211">
        <f>I422*(AC416)</f>
        <v>0.22999999999999976</v>
      </c>
      <c r="AI422" s="211">
        <f>I422*(AD416)</f>
        <v>0.22999999999999976</v>
      </c>
      <c r="AJ422" s="211">
        <f>I422*(AE416)</f>
        <v>0.22999999999999976</v>
      </c>
      <c r="AK422" s="211">
        <f>I422*(AF416)</f>
        <v>0.22999999999999976</v>
      </c>
      <c r="AL422" s="211">
        <f>I422*(AG416)</f>
        <v>0.22999999999999976</v>
      </c>
      <c r="AM422" s="211">
        <f>I422*(AH416)</f>
        <v>0.22999999999999976</v>
      </c>
      <c r="AN422" s="211">
        <f>I422*(AI416)</f>
        <v>0.22999999999999976</v>
      </c>
    </row>
    <row r="423" spans="2:40" s="7" customFormat="1" ht="12" hidden="1" customHeight="1" outlineLevel="1">
      <c r="B423" s="245"/>
      <c r="C423" s="213" t="s">
        <v>758</v>
      </c>
      <c r="D423" s="213"/>
      <c r="E423" s="213"/>
      <c r="F423" s="213"/>
      <c r="G423" s="213"/>
      <c r="H423" s="213"/>
      <c r="I423" s="213"/>
      <c r="J423" s="211">
        <f>INDEX($C$349:$AN$371,MATCH("New Customers 1MS",$C$349:$C$371,0),MATCH($C423,$C$349:$AN$349,0))</f>
        <v>72.000000000000014</v>
      </c>
      <c r="K423" s="211">
        <f>J423*(E416)</f>
        <v>2.8800000000000008</v>
      </c>
      <c r="L423" s="211">
        <f>J423*(F416)</f>
        <v>2.8800000000000008</v>
      </c>
      <c r="M423" s="211">
        <f>J423*(G416)</f>
        <v>2.8800000000000008</v>
      </c>
      <c r="N423" s="211">
        <f>J423*(H416)</f>
        <v>2.8800000000000008</v>
      </c>
      <c r="O423" s="211">
        <f>J423*(I416)</f>
        <v>2.16</v>
      </c>
      <c r="P423" s="211">
        <f>J423*(J416)</f>
        <v>2.16</v>
      </c>
      <c r="Q423" s="211">
        <f>J423*(K416)</f>
        <v>2.16</v>
      </c>
      <c r="R423" s="211">
        <f>J423*(L416)</f>
        <v>2.16</v>
      </c>
      <c r="S423" s="211">
        <f>J423*(M416)</f>
        <v>1.4400000000000004</v>
      </c>
      <c r="T423" s="211">
        <f>J423*(N416)</f>
        <v>1.4400000000000004</v>
      </c>
      <c r="U423" s="211">
        <f>J423*(O416)</f>
        <v>1.4400000000000004</v>
      </c>
      <c r="V423" s="211">
        <f>J423*(P416)</f>
        <v>2.16</v>
      </c>
      <c r="W423" s="211">
        <f>J423*(Q416)</f>
        <v>2.16</v>
      </c>
      <c r="X423" s="211">
        <f>J423*(R416)</f>
        <v>0.7200000000000002</v>
      </c>
      <c r="Y423" s="211">
        <f>J423*(S416)</f>
        <v>0.7200000000000002</v>
      </c>
      <c r="Z423" s="211">
        <f>J423*(T416)</f>
        <v>0.7200000000000002</v>
      </c>
      <c r="AA423" s="211">
        <f>J423*(U416)</f>
        <v>0.7200000000000002</v>
      </c>
      <c r="AB423" s="211">
        <f>J423*(V416)</f>
        <v>0.7200000000000002</v>
      </c>
      <c r="AC423" s="211">
        <f>J423*(W416)</f>
        <v>0.7200000000000002</v>
      </c>
      <c r="AD423" s="211">
        <f>J423*(X416)</f>
        <v>0.7200000000000002</v>
      </c>
      <c r="AE423" s="211">
        <f>J423*(Y416)</f>
        <v>0.7200000000000002</v>
      </c>
      <c r="AF423" s="211">
        <f>J423*(Z416)</f>
        <v>0.7200000000000002</v>
      </c>
      <c r="AG423" s="211">
        <f>J423*(AA416)</f>
        <v>0.7200000000000002</v>
      </c>
      <c r="AH423" s="211">
        <f>J423*(AB416)</f>
        <v>0.7200000000000002</v>
      </c>
      <c r="AI423" s="211">
        <f>J423*(AC416)</f>
        <v>0.7200000000000002</v>
      </c>
      <c r="AJ423" s="211">
        <f>J423*(AD416)</f>
        <v>0.7200000000000002</v>
      </c>
      <c r="AK423" s="211">
        <f>J423*(AE416)</f>
        <v>0.7200000000000002</v>
      </c>
      <c r="AL423" s="211">
        <f>J423*(AF416)</f>
        <v>0.7200000000000002</v>
      </c>
      <c r="AM423" s="211">
        <f>J423*(AG416)</f>
        <v>0.7200000000000002</v>
      </c>
      <c r="AN423" s="211">
        <f>J423*(AH416)</f>
        <v>0.7200000000000002</v>
      </c>
    </row>
    <row r="424" spans="2:40" s="7" customFormat="1" ht="12" hidden="1" customHeight="1" outlineLevel="1">
      <c r="B424" s="245"/>
      <c r="C424" s="213" t="s">
        <v>759</v>
      </c>
      <c r="D424" s="213"/>
      <c r="E424" s="213"/>
      <c r="F424" s="213"/>
      <c r="G424" s="213"/>
      <c r="H424" s="213"/>
      <c r="I424" s="213"/>
      <c r="J424" s="213"/>
      <c r="K424" s="211">
        <f>INDEX($C$349:$AN$371,MATCH("New Customers 1MS",$C$349:$C$371,0),MATCH($C424,$C$349:$AN$349,0))</f>
        <v>56.999999999999986</v>
      </c>
      <c r="L424" s="211">
        <f>K424*(E416)</f>
        <v>2.2799999999999994</v>
      </c>
      <c r="M424" s="211">
        <f>K424*(F416)</f>
        <v>2.2799999999999994</v>
      </c>
      <c r="N424" s="211">
        <f>K424*(G416)</f>
        <v>2.2799999999999994</v>
      </c>
      <c r="O424" s="211">
        <f>K424*(H416)</f>
        <v>2.2799999999999994</v>
      </c>
      <c r="P424" s="211">
        <f>K424*(I416)</f>
        <v>1.7099999999999995</v>
      </c>
      <c r="Q424" s="211">
        <f>K424*(J416)</f>
        <v>1.7099999999999995</v>
      </c>
      <c r="R424" s="211">
        <f>K424*(K416)</f>
        <v>1.7099999999999995</v>
      </c>
      <c r="S424" s="211">
        <f>K424*(L416)</f>
        <v>1.7099999999999995</v>
      </c>
      <c r="T424" s="211">
        <f>K424*(M416)</f>
        <v>1.1399999999999997</v>
      </c>
      <c r="U424" s="211">
        <f>K424*(N416)</f>
        <v>1.1399999999999997</v>
      </c>
      <c r="V424" s="211">
        <f>K424*(O416)</f>
        <v>1.1399999999999997</v>
      </c>
      <c r="W424" s="211">
        <f>K424*(P416)</f>
        <v>1.7099999999999995</v>
      </c>
      <c r="X424" s="211">
        <f>K424*(Q416)</f>
        <v>1.7099999999999995</v>
      </c>
      <c r="Y424" s="211">
        <f>K424*(R416)</f>
        <v>0.56999999999999984</v>
      </c>
      <c r="Z424" s="211">
        <f>K424*(S416)</f>
        <v>0.56999999999999984</v>
      </c>
      <c r="AA424" s="211">
        <f>K424*(T416)</f>
        <v>0.56999999999999984</v>
      </c>
      <c r="AB424" s="211">
        <f>K424*(U416)</f>
        <v>0.56999999999999984</v>
      </c>
      <c r="AC424" s="211">
        <f>K424*(V416)</f>
        <v>0.56999999999999984</v>
      </c>
      <c r="AD424" s="211">
        <f>K424*(W416)</f>
        <v>0.56999999999999984</v>
      </c>
      <c r="AE424" s="211">
        <f>K424*(X416)</f>
        <v>0.56999999999999984</v>
      </c>
      <c r="AF424" s="211">
        <f>K424*(Y416)</f>
        <v>0.56999999999999984</v>
      </c>
      <c r="AG424" s="211">
        <f>K424*(Z416)</f>
        <v>0.56999999999999984</v>
      </c>
      <c r="AH424" s="211">
        <f>K424*(AA416)</f>
        <v>0.56999999999999984</v>
      </c>
      <c r="AI424" s="211">
        <f>K424*(AB416)</f>
        <v>0.56999999999999984</v>
      </c>
      <c r="AJ424" s="211">
        <f>K424*(AC416)</f>
        <v>0.56999999999999984</v>
      </c>
      <c r="AK424" s="211">
        <f>K424*(AD416)</f>
        <v>0.56999999999999984</v>
      </c>
      <c r="AL424" s="211">
        <f>K424*(AE416)</f>
        <v>0.56999999999999984</v>
      </c>
      <c r="AM424" s="211">
        <f>K424*(AF416)</f>
        <v>0.56999999999999984</v>
      </c>
      <c r="AN424" s="211">
        <f>K424*(AG416)</f>
        <v>0.56999999999999984</v>
      </c>
    </row>
    <row r="425" spans="2:40" s="7" customFormat="1" ht="12" hidden="1" customHeight="1" outlineLevel="1">
      <c r="B425" s="245"/>
      <c r="C425" s="213" t="s">
        <v>760</v>
      </c>
      <c r="D425" s="213"/>
      <c r="E425" s="213"/>
      <c r="F425" s="213"/>
      <c r="G425" s="213"/>
      <c r="H425" s="213"/>
      <c r="I425" s="213"/>
      <c r="J425" s="213"/>
      <c r="K425" s="213"/>
      <c r="L425" s="211">
        <f>INDEX($C$349:$AN$371,MATCH("New Customers 1MS",$C$349:$C$371,0),MATCH($C425,$C$349:$AN$349,0))</f>
        <v>27.999999999999996</v>
      </c>
      <c r="M425" s="211">
        <f>L425*(E416)</f>
        <v>1.1199999999999999</v>
      </c>
      <c r="N425" s="211">
        <f>L425*(F416)</f>
        <v>1.1199999999999999</v>
      </c>
      <c r="O425" s="211">
        <f>L425*(G416)</f>
        <v>1.1199999999999999</v>
      </c>
      <c r="P425" s="211">
        <f>L425*(H416)</f>
        <v>1.1199999999999999</v>
      </c>
      <c r="Q425" s="211">
        <f>L425*(I416)</f>
        <v>0.83999999999999986</v>
      </c>
      <c r="R425" s="211">
        <f>L425*(J416)</f>
        <v>0.83999999999999986</v>
      </c>
      <c r="S425" s="211">
        <f>L425*(K416)</f>
        <v>0.83999999999999986</v>
      </c>
      <c r="T425" s="211">
        <f>L425*(L416)</f>
        <v>0.83999999999999986</v>
      </c>
      <c r="U425" s="211">
        <f>L425*(M416)</f>
        <v>0.55999999999999994</v>
      </c>
      <c r="V425" s="211">
        <f>L425*(N416)</f>
        <v>0.55999999999999994</v>
      </c>
      <c r="W425" s="211">
        <f>L425*(O416)</f>
        <v>0.55999999999999994</v>
      </c>
      <c r="X425" s="211">
        <f>L425*(P416)</f>
        <v>0.83999999999999986</v>
      </c>
      <c r="Y425" s="211">
        <f>L425*(Q416)</f>
        <v>0.83999999999999986</v>
      </c>
      <c r="Z425" s="211">
        <f>L425*(R416)</f>
        <v>0.27999999999999997</v>
      </c>
      <c r="AA425" s="211">
        <f>L425*(S416)</f>
        <v>0.27999999999999997</v>
      </c>
      <c r="AB425" s="211">
        <f>L425*(T416)</f>
        <v>0.27999999999999997</v>
      </c>
      <c r="AC425" s="211">
        <f>L425*(U416)</f>
        <v>0.27999999999999997</v>
      </c>
      <c r="AD425" s="211">
        <f>L425*(V416)</f>
        <v>0.27999999999999997</v>
      </c>
      <c r="AE425" s="211">
        <f>L425*(W416)</f>
        <v>0.27999999999999997</v>
      </c>
      <c r="AF425" s="211">
        <f>L425*(X416)</f>
        <v>0.27999999999999997</v>
      </c>
      <c r="AG425" s="211">
        <f>L425*(Y416)</f>
        <v>0.27999999999999997</v>
      </c>
      <c r="AH425" s="211">
        <f>L425*(Z416)</f>
        <v>0.27999999999999997</v>
      </c>
      <c r="AI425" s="211">
        <f>L425*(AA416)</f>
        <v>0.27999999999999997</v>
      </c>
      <c r="AJ425" s="211">
        <f>L425*(AB416)</f>
        <v>0.27999999999999997</v>
      </c>
      <c r="AK425" s="211">
        <f>L425*(AC416)</f>
        <v>0.27999999999999997</v>
      </c>
      <c r="AL425" s="211">
        <f>L425*(AD416)</f>
        <v>0.27999999999999997</v>
      </c>
      <c r="AM425" s="211">
        <f>L425*(AE416)</f>
        <v>0.27999999999999997</v>
      </c>
      <c r="AN425" s="211">
        <f>L425*(AF416)</f>
        <v>0.27999999999999997</v>
      </c>
    </row>
    <row r="426" spans="2:40" s="7" customFormat="1" ht="12" hidden="1" customHeight="1" outlineLevel="1">
      <c r="B426" s="245"/>
      <c r="C426" s="213" t="s">
        <v>761</v>
      </c>
      <c r="D426" s="213"/>
      <c r="E426" s="213"/>
      <c r="F426" s="213"/>
      <c r="G426" s="213"/>
      <c r="H426" s="213"/>
      <c r="I426" s="213"/>
      <c r="J426" s="213"/>
      <c r="K426" s="213"/>
      <c r="L426" s="213"/>
      <c r="M426" s="211">
        <f>INDEX($C$349:$AN$371,MATCH("New Customers 1MS",$C$349:$C$371,0),MATCH($C426,$C$349:$AN$349,0))</f>
        <v>92.48571428571428</v>
      </c>
      <c r="N426" s="211">
        <f>M426*(E416)</f>
        <v>3.6994285714285713</v>
      </c>
      <c r="O426" s="211">
        <f>M426*(F416)</f>
        <v>3.6994285714285713</v>
      </c>
      <c r="P426" s="211">
        <f>M426*(G416)</f>
        <v>3.6994285714285713</v>
      </c>
      <c r="Q426" s="211">
        <f>M426*(H416)</f>
        <v>3.6994285714285713</v>
      </c>
      <c r="R426" s="211">
        <f>M426*(I416)</f>
        <v>2.7745714285714285</v>
      </c>
      <c r="S426" s="211">
        <f>M426*(J416)</f>
        <v>2.7745714285714285</v>
      </c>
      <c r="T426" s="211">
        <f>M426*(K416)</f>
        <v>2.7745714285714285</v>
      </c>
      <c r="U426" s="211">
        <f>M426*(L416)</f>
        <v>2.7745714285714285</v>
      </c>
      <c r="V426" s="211">
        <f>M426*(M416)</f>
        <v>1.8497142857142856</v>
      </c>
      <c r="W426" s="211">
        <f>M426*(N416)</f>
        <v>1.8497142857142856</v>
      </c>
      <c r="X426" s="211">
        <f>M426*(O416)</f>
        <v>1.8497142857142856</v>
      </c>
      <c r="Y426" s="211">
        <f>M426*(P416)</f>
        <v>2.7745714285714285</v>
      </c>
      <c r="Z426" s="211">
        <f>M426*(Q416)</f>
        <v>2.7745714285714285</v>
      </c>
      <c r="AA426" s="211">
        <f>M426*(R416)</f>
        <v>0.92485714285714282</v>
      </c>
      <c r="AB426" s="211">
        <f>M426*(S416)</f>
        <v>0.92485714285714282</v>
      </c>
      <c r="AC426" s="211">
        <f>M426*(T416)</f>
        <v>0.92485714285714282</v>
      </c>
      <c r="AD426" s="211">
        <f>M426*(U416)</f>
        <v>0.92485714285714282</v>
      </c>
      <c r="AE426" s="211">
        <f>M426*(V416)</f>
        <v>0.92485714285714282</v>
      </c>
      <c r="AF426" s="211">
        <f>M426*(W416)</f>
        <v>0.92485714285714282</v>
      </c>
      <c r="AG426" s="211">
        <f>M426*(X416)</f>
        <v>0.92485714285714282</v>
      </c>
      <c r="AH426" s="211">
        <f>M426*(Y416)</f>
        <v>0.92485714285714282</v>
      </c>
      <c r="AI426" s="211">
        <f>M426*(Z416)</f>
        <v>0.92485714285714282</v>
      </c>
      <c r="AJ426" s="211">
        <f>M426*(AA416)</f>
        <v>0.92485714285714282</v>
      </c>
      <c r="AK426" s="211">
        <f>M426*(AB416)</f>
        <v>0.92485714285714282</v>
      </c>
      <c r="AL426" s="211">
        <f>M426*(AC416)</f>
        <v>0.92485714285714282</v>
      </c>
      <c r="AM426" s="211">
        <f>M426*(AD416)</f>
        <v>0.92485714285714282</v>
      </c>
      <c r="AN426" s="211">
        <f>M426*(AE416)</f>
        <v>0.92485714285714282</v>
      </c>
    </row>
    <row r="427" spans="2:40" s="7" customFormat="1" ht="12" hidden="1" customHeight="1" outlineLevel="1">
      <c r="B427" s="245"/>
      <c r="C427" s="213" t="s">
        <v>762</v>
      </c>
      <c r="D427" s="213"/>
      <c r="E427" s="213"/>
      <c r="F427" s="213"/>
      <c r="G427" s="213"/>
      <c r="H427" s="213"/>
      <c r="I427" s="213"/>
      <c r="J427" s="213"/>
      <c r="K427" s="213"/>
      <c r="L427" s="213"/>
      <c r="M427" s="213"/>
      <c r="N427" s="211">
        <f>INDEX($C$349:$AN$371,MATCH("New Customers 1MS",$C$349:$C$371,0),MATCH($C427,$C$349:$AN$349,0))</f>
        <v>99.6</v>
      </c>
      <c r="O427" s="211">
        <f>N427*(E416)</f>
        <v>3.984</v>
      </c>
      <c r="P427" s="211">
        <f>N427*(F416)</f>
        <v>3.984</v>
      </c>
      <c r="Q427" s="211">
        <f>N427*(G416)</f>
        <v>3.984</v>
      </c>
      <c r="R427" s="211">
        <f>N427*(H416)</f>
        <v>3.984</v>
      </c>
      <c r="S427" s="211">
        <f>N427*(I416)</f>
        <v>2.9879999999999995</v>
      </c>
      <c r="T427" s="211">
        <f>N427*(J416)</f>
        <v>2.9879999999999995</v>
      </c>
      <c r="U427" s="211">
        <f>N427*(K416)</f>
        <v>2.9879999999999995</v>
      </c>
      <c r="V427" s="211">
        <f>N427*(L416)</f>
        <v>2.9879999999999995</v>
      </c>
      <c r="W427" s="211">
        <f>N427*(M416)</f>
        <v>1.992</v>
      </c>
      <c r="X427" s="211">
        <f>N427*(N416)</f>
        <v>1.992</v>
      </c>
      <c r="Y427" s="211">
        <f>N427*(O416)</f>
        <v>1.992</v>
      </c>
      <c r="Z427" s="211">
        <f>N427*(P416)</f>
        <v>2.9879999999999995</v>
      </c>
      <c r="AA427" s="211">
        <f>N427*(Q416)</f>
        <v>2.9879999999999995</v>
      </c>
      <c r="AB427" s="211">
        <f>N427*(R416)</f>
        <v>0.996</v>
      </c>
      <c r="AC427" s="211">
        <f>N427*(S416)</f>
        <v>0.996</v>
      </c>
      <c r="AD427" s="211">
        <f>N427*(T416)</f>
        <v>0.996</v>
      </c>
      <c r="AE427" s="211">
        <f>N427*(U416)</f>
        <v>0.996</v>
      </c>
      <c r="AF427" s="211">
        <f>N427*(V416)</f>
        <v>0.996</v>
      </c>
      <c r="AG427" s="211">
        <f>N427*(W416)</f>
        <v>0.996</v>
      </c>
      <c r="AH427" s="211">
        <f>N427*(X416)</f>
        <v>0.996</v>
      </c>
      <c r="AI427" s="211">
        <f>N427*(Y416)</f>
        <v>0.996</v>
      </c>
      <c r="AJ427" s="211">
        <f>N427*(Z416)</f>
        <v>0.996</v>
      </c>
      <c r="AK427" s="211">
        <f>N427*(AA416)</f>
        <v>0.996</v>
      </c>
      <c r="AL427" s="211">
        <f>N427*(AB416)</f>
        <v>0.996</v>
      </c>
      <c r="AM427" s="211">
        <f>N427*(AC416)</f>
        <v>0.996</v>
      </c>
      <c r="AN427" s="211">
        <f>N427*(AD416)</f>
        <v>0.996</v>
      </c>
    </row>
    <row r="428" spans="2:40" s="7" customFormat="1" ht="12" hidden="1" customHeight="1" outlineLevel="1">
      <c r="B428" s="245"/>
      <c r="C428" s="213" t="s">
        <v>763</v>
      </c>
      <c r="D428" s="213"/>
      <c r="E428" s="213"/>
      <c r="F428" s="213"/>
      <c r="G428" s="213"/>
      <c r="H428" s="213"/>
      <c r="I428" s="213"/>
      <c r="J428" s="213"/>
      <c r="K428" s="213"/>
      <c r="L428" s="213"/>
      <c r="M428" s="213"/>
      <c r="N428" s="213"/>
      <c r="O428" s="211">
        <f>INDEX($C$349:$AN$371,MATCH("New Customers 1MS",$C$349:$C$371,0),MATCH($C428,$C$349:$AN$349,0))</f>
        <v>28.457142857142856</v>
      </c>
      <c r="P428" s="211">
        <f>O428*(E416)</f>
        <v>1.1382857142857143</v>
      </c>
      <c r="Q428" s="211">
        <f>O428*(F416)</f>
        <v>1.1382857142857143</v>
      </c>
      <c r="R428" s="211">
        <f>O428*(G416)</f>
        <v>1.1382857142857143</v>
      </c>
      <c r="S428" s="211">
        <f>O428*(H416)</f>
        <v>1.1382857142857143</v>
      </c>
      <c r="T428" s="211">
        <f>O428*(I416)</f>
        <v>0.85371428571428565</v>
      </c>
      <c r="U428" s="211">
        <f>O428*(J416)</f>
        <v>0.85371428571428565</v>
      </c>
      <c r="V428" s="211">
        <f>O428*(K416)</f>
        <v>0.85371428571428565</v>
      </c>
      <c r="W428" s="211">
        <f>O428*(L416)</f>
        <v>0.85371428571428565</v>
      </c>
      <c r="X428" s="211">
        <f>O428*(M416)</f>
        <v>0.56914285714285717</v>
      </c>
      <c r="Y428" s="211">
        <f>O428*(N416)</f>
        <v>0.56914285714285717</v>
      </c>
      <c r="Z428" s="211">
        <f>O428*(O416)</f>
        <v>0.56914285714285717</v>
      </c>
      <c r="AA428" s="211">
        <f>O428*(P416)</f>
        <v>0.85371428571428565</v>
      </c>
      <c r="AB428" s="211">
        <f>O428*(Q416)</f>
        <v>0.85371428571428565</v>
      </c>
      <c r="AC428" s="211">
        <f>O428*(R416)</f>
        <v>0.28457142857142859</v>
      </c>
      <c r="AD428" s="211">
        <f>O428*(S416)</f>
        <v>0.28457142857142859</v>
      </c>
      <c r="AE428" s="211">
        <f>O428*(T416)</f>
        <v>0.28457142857142859</v>
      </c>
      <c r="AF428" s="211">
        <f>O428*(U416)</f>
        <v>0.28457142857142859</v>
      </c>
      <c r="AG428" s="211">
        <f>O428*(V416)</f>
        <v>0.28457142857142859</v>
      </c>
      <c r="AH428" s="211">
        <f>O428*(W416)</f>
        <v>0.28457142857142859</v>
      </c>
      <c r="AI428" s="211">
        <f>O428*(X416)</f>
        <v>0.28457142857142859</v>
      </c>
      <c r="AJ428" s="211">
        <f>O428*(Y416)</f>
        <v>0.28457142857142859</v>
      </c>
      <c r="AK428" s="211">
        <f>O428*(Z416)</f>
        <v>0.28457142857142859</v>
      </c>
      <c r="AL428" s="211">
        <f>O428*(AA416)</f>
        <v>0.28457142857142859</v>
      </c>
      <c r="AM428" s="211">
        <f>O428*(AB416)</f>
        <v>0.28457142857142859</v>
      </c>
      <c r="AN428" s="211">
        <f>O428*(AC416)</f>
        <v>0.28457142857142859</v>
      </c>
    </row>
    <row r="429" spans="2:40" s="7" customFormat="1" ht="12" hidden="1" customHeight="1" outlineLevel="1">
      <c r="B429" s="245"/>
      <c r="C429" s="213" t="s">
        <v>764</v>
      </c>
      <c r="D429" s="213"/>
      <c r="E429" s="213"/>
      <c r="F429" s="213"/>
      <c r="G429" s="213"/>
      <c r="H429" s="213"/>
      <c r="I429" s="213"/>
      <c r="J429" s="213"/>
      <c r="K429" s="213"/>
      <c r="L429" s="213"/>
      <c r="M429" s="213"/>
      <c r="N429" s="213"/>
      <c r="O429" s="213"/>
      <c r="P429" s="211">
        <f>INDEX($C$349:$AN$371,MATCH("New Customers 1MS",$C$349:$C$371,0),MATCH($C429,$C$349:$AN$349,0))</f>
        <v>28.457142857142856</v>
      </c>
      <c r="Q429" s="211">
        <f>P429*(E416)</f>
        <v>1.1382857142857143</v>
      </c>
      <c r="R429" s="211">
        <f>P429*(F416)</f>
        <v>1.1382857142857143</v>
      </c>
      <c r="S429" s="211">
        <f>P429*(G416)</f>
        <v>1.1382857142857143</v>
      </c>
      <c r="T429" s="211">
        <f>P429*(H416)</f>
        <v>1.1382857142857143</v>
      </c>
      <c r="U429" s="211">
        <f>P429*(I416)</f>
        <v>0.85371428571428565</v>
      </c>
      <c r="V429" s="211">
        <f>P429*(J416)</f>
        <v>0.85371428571428565</v>
      </c>
      <c r="W429" s="211">
        <f>P429*(K416)</f>
        <v>0.85371428571428565</v>
      </c>
      <c r="X429" s="211">
        <f>P429*(L416)</f>
        <v>0.85371428571428565</v>
      </c>
      <c r="Y429" s="211">
        <f>P429*(M416)</f>
        <v>0.56914285714285717</v>
      </c>
      <c r="Z429" s="211">
        <f>P429*(N416)</f>
        <v>0.56914285714285717</v>
      </c>
      <c r="AA429" s="211">
        <f>P429*(O416)</f>
        <v>0.56914285714285717</v>
      </c>
      <c r="AB429" s="211">
        <f>P429*(P416)</f>
        <v>0.85371428571428565</v>
      </c>
      <c r="AC429" s="211">
        <f>P429*(Q416)</f>
        <v>0.85371428571428565</v>
      </c>
      <c r="AD429" s="211">
        <f>P429*(R416)</f>
        <v>0.28457142857142859</v>
      </c>
      <c r="AE429" s="211">
        <f>P429*(S416)</f>
        <v>0.28457142857142859</v>
      </c>
      <c r="AF429" s="211">
        <f>P429*(T416)</f>
        <v>0.28457142857142859</v>
      </c>
      <c r="AG429" s="211">
        <f>P429*(U416)</f>
        <v>0.28457142857142859</v>
      </c>
      <c r="AH429" s="211">
        <f>P429*(V416)</f>
        <v>0.28457142857142859</v>
      </c>
      <c r="AI429" s="211">
        <f>P429*(W416)</f>
        <v>0.28457142857142859</v>
      </c>
      <c r="AJ429" s="211">
        <f>P429*(X416)</f>
        <v>0.28457142857142859</v>
      </c>
      <c r="AK429" s="211">
        <f>P429*(Y416)</f>
        <v>0.28457142857142859</v>
      </c>
      <c r="AL429" s="211">
        <f>P429*(Z416)</f>
        <v>0.28457142857142859</v>
      </c>
      <c r="AM429" s="211">
        <f>P429*(AA416)</f>
        <v>0.28457142857142859</v>
      </c>
      <c r="AN429" s="211">
        <f>P429*(AB416)</f>
        <v>0.28457142857142859</v>
      </c>
    </row>
    <row r="430" spans="2:40" s="7" customFormat="1" ht="12" hidden="1" customHeight="1" outlineLevel="1">
      <c r="B430" s="245"/>
      <c r="C430" s="213" t="s">
        <v>765</v>
      </c>
      <c r="D430" s="213"/>
      <c r="E430" s="213"/>
      <c r="F430" s="213"/>
      <c r="G430" s="213"/>
      <c r="H430" s="213"/>
      <c r="I430" s="213"/>
      <c r="J430" s="213"/>
      <c r="K430" s="213"/>
      <c r="L430" s="213"/>
      <c r="M430" s="213"/>
      <c r="N430" s="213"/>
      <c r="O430" s="213"/>
      <c r="P430" s="213"/>
      <c r="Q430" s="211">
        <f>INDEX($C$349:$AN$371,MATCH("New Customers 1MS",$C$349:$C$371,0),MATCH($C430,$C$349:$AN$349,0))</f>
        <v>24.727062857142862</v>
      </c>
      <c r="R430" s="211">
        <f>Q430*(E416)</f>
        <v>0.98908251428571448</v>
      </c>
      <c r="S430" s="211">
        <f>Q430*(F416)</f>
        <v>0.98908251428571448</v>
      </c>
      <c r="T430" s="211">
        <f>Q430*(G416)</f>
        <v>0.98908251428571448</v>
      </c>
      <c r="U430" s="211">
        <f>Q430*(H416)</f>
        <v>0.98908251428571448</v>
      </c>
      <c r="V430" s="211">
        <f>Q430*(I416)</f>
        <v>0.7418118857142858</v>
      </c>
      <c r="W430" s="211">
        <f>Q430*(J416)</f>
        <v>0.7418118857142858</v>
      </c>
      <c r="X430" s="211">
        <f>Q430*(K416)</f>
        <v>0.7418118857142858</v>
      </c>
      <c r="Y430" s="211">
        <f>Q430*(L416)</f>
        <v>0.7418118857142858</v>
      </c>
      <c r="Z430" s="211">
        <f>Q430*(M416)</f>
        <v>0.49454125714285724</v>
      </c>
      <c r="AA430" s="211">
        <f>Q430*(N416)</f>
        <v>0.49454125714285724</v>
      </c>
      <c r="AB430" s="211">
        <f>Q430*(O416)</f>
        <v>0.49454125714285724</v>
      </c>
      <c r="AC430" s="211">
        <f>Q430*(P416)</f>
        <v>0.7418118857142858</v>
      </c>
      <c r="AD430" s="211">
        <f>Q430*(Q416)</f>
        <v>0.7418118857142858</v>
      </c>
      <c r="AE430" s="211">
        <f>Q430*(R416)</f>
        <v>0.24727062857142862</v>
      </c>
      <c r="AF430" s="211">
        <f>Q430*(S416)</f>
        <v>0.24727062857142862</v>
      </c>
      <c r="AG430" s="211">
        <f>Q430*(T416)</f>
        <v>0.24727062857142862</v>
      </c>
      <c r="AH430" s="211">
        <f>Q430*(U416)</f>
        <v>0.24727062857142862</v>
      </c>
      <c r="AI430" s="211">
        <f>Q430*(V416)</f>
        <v>0.24727062857142862</v>
      </c>
      <c r="AJ430" s="211">
        <f>Q430*(W416)</f>
        <v>0.24727062857142862</v>
      </c>
      <c r="AK430" s="211">
        <f>Q430*(X416)</f>
        <v>0.24727062857142862</v>
      </c>
      <c r="AL430" s="211">
        <f>Q430*(Y416)</f>
        <v>0.24727062857142862</v>
      </c>
      <c r="AM430" s="211">
        <f>Q430*(Z416)</f>
        <v>0.24727062857142862</v>
      </c>
      <c r="AN430" s="211">
        <f>Q430*(AA416)</f>
        <v>0.24727062857142862</v>
      </c>
    </row>
    <row r="431" spans="2:40" s="7" customFormat="1" ht="12" hidden="1" customHeight="1" outlineLevel="1">
      <c r="B431" s="245"/>
      <c r="C431" s="213" t="s">
        <v>766</v>
      </c>
      <c r="D431" s="213"/>
      <c r="E431" s="213"/>
      <c r="F431" s="213"/>
      <c r="G431" s="213"/>
      <c r="H431" s="213"/>
      <c r="I431" s="213"/>
      <c r="J431" s="213"/>
      <c r="K431" s="213"/>
      <c r="L431" s="213"/>
      <c r="M431" s="213"/>
      <c r="N431" s="213"/>
      <c r="O431" s="213"/>
      <c r="P431" s="213"/>
      <c r="Q431" s="213"/>
      <c r="R431" s="211">
        <f>INDEX($C$349:$AN$371,MATCH("New Customers 1MS",$C$349:$C$371,0),MATCH($C431,$C$349:$AN$349,0))</f>
        <v>48.37961142857143</v>
      </c>
      <c r="S431" s="211">
        <f>R431*(E416)</f>
        <v>1.9351844571428571</v>
      </c>
      <c r="T431" s="211">
        <f>R431*(F416)</f>
        <v>1.9351844571428571</v>
      </c>
      <c r="U431" s="211">
        <f>R431*(G416)</f>
        <v>1.9351844571428571</v>
      </c>
      <c r="V431" s="211">
        <f>R431*(H416)</f>
        <v>1.9351844571428571</v>
      </c>
      <c r="W431" s="211">
        <f>R431*(I416)</f>
        <v>1.4513883428571428</v>
      </c>
      <c r="X431" s="211">
        <f>R431*(J416)</f>
        <v>1.4513883428571428</v>
      </c>
      <c r="Y431" s="211">
        <f>R431*(K416)</f>
        <v>1.4513883428571428</v>
      </c>
      <c r="Z431" s="211">
        <f>R431*(L416)</f>
        <v>1.4513883428571428</v>
      </c>
      <c r="AA431" s="211">
        <f>R431*(M416)</f>
        <v>0.96759222857142857</v>
      </c>
      <c r="AB431" s="211">
        <f>R431*(N416)</f>
        <v>0.96759222857142857</v>
      </c>
      <c r="AC431" s="211">
        <f>R431*(O416)</f>
        <v>0.96759222857142857</v>
      </c>
      <c r="AD431" s="211">
        <f>R431*(P416)</f>
        <v>1.4513883428571428</v>
      </c>
      <c r="AE431" s="211">
        <f>R431*(Q416)</f>
        <v>1.4513883428571428</v>
      </c>
      <c r="AF431" s="211">
        <f>R431*(R416)</f>
        <v>0.48379611428571428</v>
      </c>
      <c r="AG431" s="211">
        <f>R431*(S416)</f>
        <v>0.48379611428571428</v>
      </c>
      <c r="AH431" s="211">
        <f>R431*(T416)</f>
        <v>0.48379611428571428</v>
      </c>
      <c r="AI431" s="211">
        <f>R431*(U416)</f>
        <v>0.48379611428571428</v>
      </c>
      <c r="AJ431" s="211">
        <f>R431*(V416)</f>
        <v>0.48379611428571428</v>
      </c>
      <c r="AK431" s="211">
        <f>R431*(W416)</f>
        <v>0.48379611428571428</v>
      </c>
      <c r="AL431" s="211">
        <f>R431*(X416)</f>
        <v>0.48379611428571428</v>
      </c>
      <c r="AM431" s="211">
        <f>R431*(Y416)</f>
        <v>0.48379611428571428</v>
      </c>
      <c r="AN431" s="211">
        <f>R431*(Z416)</f>
        <v>0.48379611428571428</v>
      </c>
    </row>
    <row r="432" spans="2:40" s="7" customFormat="1" ht="12" hidden="1" customHeight="1" outlineLevel="1">
      <c r="B432" s="245"/>
      <c r="C432" s="213" t="s">
        <v>767</v>
      </c>
      <c r="D432" s="213"/>
      <c r="E432" s="213"/>
      <c r="F432" s="213"/>
      <c r="G432" s="213"/>
      <c r="H432" s="213"/>
      <c r="I432" s="213"/>
      <c r="J432" s="213"/>
      <c r="K432" s="213"/>
      <c r="L432" s="213"/>
      <c r="M432" s="213"/>
      <c r="N432" s="213"/>
      <c r="O432" s="213"/>
      <c r="P432" s="213"/>
      <c r="Q432" s="213"/>
      <c r="R432" s="213"/>
      <c r="S432" s="211">
        <f>INDEX($C$349:$AN$371,MATCH("New Customers 1MS",$C$349:$C$371,0),MATCH($C432,$C$349:$AN$349,0))</f>
        <v>54.061165714285721</v>
      </c>
      <c r="T432" s="211">
        <f>S432*(E416)</f>
        <v>2.1624466285714288</v>
      </c>
      <c r="U432" s="211">
        <f>S432*(F416)</f>
        <v>2.1624466285714288</v>
      </c>
      <c r="V432" s="211">
        <f>S432*(G416)</f>
        <v>2.1624466285714288</v>
      </c>
      <c r="W432" s="211">
        <f>S432*(H416)</f>
        <v>2.1624466285714288</v>
      </c>
      <c r="X432" s="211">
        <f>S432*(I416)</f>
        <v>1.6218349714285716</v>
      </c>
      <c r="Y432" s="211">
        <f>S432*(J416)</f>
        <v>1.6218349714285716</v>
      </c>
      <c r="Z432" s="211">
        <f>S432*(K416)</f>
        <v>1.6218349714285716</v>
      </c>
      <c r="AA432" s="211">
        <f>S432*(L416)</f>
        <v>1.6218349714285716</v>
      </c>
      <c r="AB432" s="211">
        <f>S432*(M416)</f>
        <v>1.0812233142857144</v>
      </c>
      <c r="AC432" s="211">
        <f>S432*(N416)</f>
        <v>1.0812233142857144</v>
      </c>
      <c r="AD432" s="211">
        <f>S432*(O416)</f>
        <v>1.0812233142857144</v>
      </c>
      <c r="AE432" s="211">
        <f>S432*(P416)</f>
        <v>1.6218349714285716</v>
      </c>
      <c r="AF432" s="211">
        <f>S432*(Q416)</f>
        <v>1.6218349714285716</v>
      </c>
      <c r="AG432" s="211">
        <f>S432*(R416)</f>
        <v>0.54061165714285719</v>
      </c>
      <c r="AH432" s="211">
        <f>S432*(S416)</f>
        <v>0.54061165714285719</v>
      </c>
      <c r="AI432" s="211">
        <f>S432*(T416)</f>
        <v>0.54061165714285719</v>
      </c>
      <c r="AJ432" s="211">
        <f>S432*(U416)</f>
        <v>0.54061165714285719</v>
      </c>
      <c r="AK432" s="211">
        <f>S432*(V416)</f>
        <v>0.54061165714285719</v>
      </c>
      <c r="AL432" s="211">
        <f>S432*(W416)</f>
        <v>0.54061165714285719</v>
      </c>
      <c r="AM432" s="211">
        <f>S432*(X416)</f>
        <v>0.54061165714285719</v>
      </c>
      <c r="AN432" s="211">
        <f>S432*(Y416)</f>
        <v>0.54061165714285719</v>
      </c>
    </row>
    <row r="433" spans="2:40" s="7" customFormat="1" ht="12" hidden="1" customHeight="1" outlineLevel="1">
      <c r="B433" s="245"/>
      <c r="C433" s="213" t="s">
        <v>768</v>
      </c>
      <c r="D433" s="213"/>
      <c r="E433" s="213"/>
      <c r="F433" s="213"/>
      <c r="G433" s="213"/>
      <c r="H433" s="213"/>
      <c r="I433" s="213"/>
      <c r="J433" s="213"/>
      <c r="K433" s="213"/>
      <c r="L433" s="213"/>
      <c r="M433" s="213"/>
      <c r="N433" s="213"/>
      <c r="O433" s="213"/>
      <c r="P433" s="213"/>
      <c r="Q433" s="213"/>
      <c r="R433" s="213"/>
      <c r="S433" s="213"/>
      <c r="T433" s="211">
        <f>INDEX($C$349:$AN$371,MATCH("New Customers 1MS",$C$349:$C$371,0),MATCH($C433,$C$349:$AN$349,0))</f>
        <v>32.090879999999999</v>
      </c>
      <c r="U433" s="211">
        <f>T433*(E416)</f>
        <v>1.2836352</v>
      </c>
      <c r="V433" s="211">
        <f>T433*(F416)</f>
        <v>1.2836352</v>
      </c>
      <c r="W433" s="211">
        <f>T433*(G416)</f>
        <v>1.2836352</v>
      </c>
      <c r="X433" s="211">
        <f>T433*(H416)</f>
        <v>1.2836352</v>
      </c>
      <c r="Y433" s="211">
        <f>T433*(I416)</f>
        <v>0.96272639999999987</v>
      </c>
      <c r="Z433" s="211">
        <f>T433*(J416)</f>
        <v>0.96272639999999987</v>
      </c>
      <c r="AA433" s="211">
        <f>T433*(K416)</f>
        <v>0.96272639999999987</v>
      </c>
      <c r="AB433" s="211">
        <f>T433*(L416)</f>
        <v>0.96272639999999987</v>
      </c>
      <c r="AC433" s="211">
        <f>T433*(M416)</f>
        <v>0.64181759999999999</v>
      </c>
      <c r="AD433" s="211">
        <f>T433*(N416)</f>
        <v>0.64181759999999999</v>
      </c>
      <c r="AE433" s="211">
        <f>T433*(O416)</f>
        <v>0.64181759999999999</v>
      </c>
      <c r="AF433" s="211">
        <f>T433*(P416)</f>
        <v>0.96272639999999987</v>
      </c>
      <c r="AG433" s="211">
        <f>T433*(Q416)</f>
        <v>0.96272639999999987</v>
      </c>
      <c r="AH433" s="211">
        <f>T433*(R416)</f>
        <v>0.32090879999999999</v>
      </c>
      <c r="AI433" s="211">
        <f>T433*(S416)</f>
        <v>0.32090879999999999</v>
      </c>
      <c r="AJ433" s="211">
        <f>T433*(T416)</f>
        <v>0.32090879999999999</v>
      </c>
      <c r="AK433" s="211">
        <f>T433*(U416)</f>
        <v>0.32090879999999999</v>
      </c>
      <c r="AL433" s="211">
        <f>T433*(V416)</f>
        <v>0.32090879999999999</v>
      </c>
      <c r="AM433" s="211">
        <f>T433*(W416)</f>
        <v>0.32090879999999999</v>
      </c>
      <c r="AN433" s="211">
        <f>T433*(X416)</f>
        <v>0.32090879999999999</v>
      </c>
    </row>
    <row r="434" spans="2:40" s="7" customFormat="1" ht="12" hidden="1" customHeight="1" outlineLevel="1">
      <c r="B434" s="245"/>
      <c r="C434" s="213" t="s">
        <v>769</v>
      </c>
      <c r="D434" s="213"/>
      <c r="E434" s="213"/>
      <c r="F434" s="213"/>
      <c r="G434" s="213"/>
      <c r="H434" s="213"/>
      <c r="I434" s="213"/>
      <c r="J434" s="213"/>
      <c r="K434" s="213"/>
      <c r="L434" s="213"/>
      <c r="M434" s="213"/>
      <c r="N434" s="213"/>
      <c r="O434" s="213"/>
      <c r="P434" s="213"/>
      <c r="Q434" s="213"/>
      <c r="R434" s="213"/>
      <c r="S434" s="213"/>
      <c r="T434" s="213"/>
      <c r="U434" s="211">
        <f>INDEX($C$349:$AN$371,MATCH("New Customers 1MS",$C$349:$C$371,0),MATCH($C434,$C$349:$AN$349,0))</f>
        <v>24.373988571428576</v>
      </c>
      <c r="V434" s="211">
        <f>U434*(E416)</f>
        <v>0.97495954285714304</v>
      </c>
      <c r="W434" s="211">
        <f>U434*(F416)</f>
        <v>0.97495954285714304</v>
      </c>
      <c r="X434" s="211">
        <f>U434*(G416)</f>
        <v>0.97495954285714304</v>
      </c>
      <c r="Y434" s="211">
        <f>U434*(H416)</f>
        <v>0.97495954285714304</v>
      </c>
      <c r="Z434" s="211">
        <f>U434*(I416)</f>
        <v>0.7312196571428573</v>
      </c>
      <c r="AA434" s="211">
        <f>U434*(J416)</f>
        <v>0.7312196571428573</v>
      </c>
      <c r="AB434" s="211">
        <f>U434*(K416)</f>
        <v>0.7312196571428573</v>
      </c>
      <c r="AC434" s="211">
        <f>U434*(L416)</f>
        <v>0.7312196571428573</v>
      </c>
      <c r="AD434" s="211">
        <f>U434*(M416)</f>
        <v>0.48747977142857152</v>
      </c>
      <c r="AE434" s="211">
        <f>U434*(N416)</f>
        <v>0.48747977142857152</v>
      </c>
      <c r="AF434" s="211">
        <f>U434*(O416)</f>
        <v>0.48747977142857152</v>
      </c>
      <c r="AG434" s="211">
        <f>U434*(P416)</f>
        <v>0.7312196571428573</v>
      </c>
      <c r="AH434" s="211">
        <f>U434*(Q416)</f>
        <v>0.7312196571428573</v>
      </c>
      <c r="AI434" s="211">
        <f>U434*(R416)</f>
        <v>0.24373988571428576</v>
      </c>
      <c r="AJ434" s="211">
        <f>U434*(S416)</f>
        <v>0.24373988571428576</v>
      </c>
      <c r="AK434" s="211">
        <f>U434*(T416)</f>
        <v>0.24373988571428576</v>
      </c>
      <c r="AL434" s="211">
        <f>U434*(U416)</f>
        <v>0.24373988571428576</v>
      </c>
      <c r="AM434" s="211">
        <f>U434*(V416)</f>
        <v>0.24373988571428576</v>
      </c>
      <c r="AN434" s="211">
        <f>U434*(W416)</f>
        <v>0.24373988571428576</v>
      </c>
    </row>
    <row r="435" spans="2:40" s="7" customFormat="1" ht="12" hidden="1" customHeight="1" outlineLevel="1">
      <c r="B435" s="245"/>
      <c r="C435" s="213" t="s">
        <v>770</v>
      </c>
      <c r="D435" s="213"/>
      <c r="E435" s="213"/>
      <c r="F435" s="213"/>
      <c r="G435" s="213"/>
      <c r="H435" s="213"/>
      <c r="I435" s="213"/>
      <c r="J435" s="213"/>
      <c r="K435" s="213"/>
      <c r="L435" s="213"/>
      <c r="M435" s="213"/>
      <c r="N435" s="213"/>
      <c r="O435" s="213"/>
      <c r="P435" s="213"/>
      <c r="Q435" s="213"/>
      <c r="R435" s="213"/>
      <c r="S435" s="213"/>
      <c r="T435" s="213"/>
      <c r="U435" s="213"/>
      <c r="V435" s="211">
        <f>INDEX($C$349:$AN$371,MATCH("New Customers 1MS",$C$349:$C$371,0),MATCH($C435,$C$349:$AN$349,0))</f>
        <v>57.359862857142865</v>
      </c>
      <c r="W435" s="211">
        <f>V435*(E416)</f>
        <v>2.2943945142857145</v>
      </c>
      <c r="X435" s="211">
        <f>V435*(F416)</f>
        <v>2.2943945142857145</v>
      </c>
      <c r="Y435" s="211">
        <f>V435*(G416)</f>
        <v>2.2943945142857145</v>
      </c>
      <c r="Z435" s="211">
        <f>V435*(H416)</f>
        <v>2.2943945142857145</v>
      </c>
      <c r="AA435" s="211">
        <f>V435*(I416)</f>
        <v>1.720795885714286</v>
      </c>
      <c r="AB435" s="211">
        <f>V435*(J416)</f>
        <v>1.720795885714286</v>
      </c>
      <c r="AC435" s="211">
        <f>V435*(K416)</f>
        <v>1.720795885714286</v>
      </c>
      <c r="AD435" s="211">
        <f>V435*(L416)</f>
        <v>1.720795885714286</v>
      </c>
      <c r="AE435" s="211">
        <f>V435*(M416)</f>
        <v>1.1471972571428573</v>
      </c>
      <c r="AF435" s="211">
        <f>V435*(N416)</f>
        <v>1.1471972571428573</v>
      </c>
      <c r="AG435" s="211">
        <f>V435*(O416)</f>
        <v>1.1471972571428573</v>
      </c>
      <c r="AH435" s="211">
        <f>V435*(P416)</f>
        <v>1.720795885714286</v>
      </c>
      <c r="AI435" s="211">
        <f>V435*(Q416)</f>
        <v>1.720795885714286</v>
      </c>
      <c r="AJ435" s="211">
        <f>V435*(R416)</f>
        <v>0.57359862857142863</v>
      </c>
      <c r="AK435" s="211">
        <f>V435*(S416)</f>
        <v>0.57359862857142863</v>
      </c>
      <c r="AL435" s="211">
        <f>V435*(T416)</f>
        <v>0.57359862857142863</v>
      </c>
      <c r="AM435" s="211">
        <f>V435*(U416)</f>
        <v>0.57359862857142863</v>
      </c>
      <c r="AN435" s="211">
        <f>V435*(V416)</f>
        <v>0.57359862857142863</v>
      </c>
    </row>
    <row r="436" spans="2:40" s="7" customFormat="1" ht="12" hidden="1" customHeight="1" outlineLevel="1">
      <c r="B436" s="245"/>
      <c r="C436" s="213" t="s">
        <v>771</v>
      </c>
      <c r="D436" s="213"/>
      <c r="E436" s="213"/>
      <c r="F436" s="213"/>
      <c r="G436" s="213"/>
      <c r="H436" s="213"/>
      <c r="I436" s="213"/>
      <c r="J436" s="213"/>
      <c r="K436" s="213"/>
      <c r="L436" s="213"/>
      <c r="M436" s="213"/>
      <c r="N436" s="213"/>
      <c r="O436" s="213"/>
      <c r="P436" s="213"/>
      <c r="Q436" s="213"/>
      <c r="R436" s="213"/>
      <c r="S436" s="213"/>
      <c r="T436" s="213"/>
      <c r="U436" s="213"/>
      <c r="V436" s="213"/>
      <c r="W436" s="211">
        <f>INDEX($C$349:$AN$371,MATCH("New Customers 1MS",$C$349:$C$371,0),MATCH($C436,$C$349:$AN$349,0))</f>
        <v>26.922239999999999</v>
      </c>
      <c r="X436" s="211">
        <f>W436*(E416)</f>
        <v>1.0768895999999999</v>
      </c>
      <c r="Y436" s="211">
        <f>W436*(F416)</f>
        <v>1.0768895999999999</v>
      </c>
      <c r="Z436" s="211">
        <f>W436*(G416)</f>
        <v>1.0768895999999999</v>
      </c>
      <c r="AA436" s="211">
        <f>W436*(H416)</f>
        <v>1.0768895999999999</v>
      </c>
      <c r="AB436" s="211">
        <f>W436*(I416)</f>
        <v>0.80766719999999992</v>
      </c>
      <c r="AC436" s="211">
        <f>W436*(J416)</f>
        <v>0.80766719999999992</v>
      </c>
      <c r="AD436" s="211">
        <f>W436*(K416)</f>
        <v>0.80766719999999992</v>
      </c>
      <c r="AE436" s="211">
        <f>W436*(L416)</f>
        <v>0.80766719999999992</v>
      </c>
      <c r="AF436" s="211">
        <f>W436*(M416)</f>
        <v>0.53844479999999995</v>
      </c>
      <c r="AG436" s="211">
        <f>W436*(N416)</f>
        <v>0.53844479999999995</v>
      </c>
      <c r="AH436" s="211">
        <f>W436*(O416)</f>
        <v>0.53844479999999995</v>
      </c>
      <c r="AI436" s="211">
        <f>W436*(P416)</f>
        <v>0.80766719999999992</v>
      </c>
      <c r="AJ436" s="211">
        <f>W436*(Q416)</f>
        <v>0.80766719999999992</v>
      </c>
      <c r="AK436" s="211">
        <f>W436*(R416)</f>
        <v>0.26922239999999997</v>
      </c>
      <c r="AL436" s="211">
        <f>W436*(S416)</f>
        <v>0.26922239999999997</v>
      </c>
      <c r="AM436" s="211">
        <f>W436*(T416)</f>
        <v>0.26922239999999997</v>
      </c>
      <c r="AN436" s="211">
        <f>W436*(U416)</f>
        <v>0.26922239999999997</v>
      </c>
    </row>
    <row r="437" spans="2:40" s="7" customFormat="1" ht="12" hidden="1" customHeight="1" outlineLevel="1">
      <c r="B437" s="245"/>
      <c r="C437" s="213" t="s">
        <v>772</v>
      </c>
      <c r="D437" s="213"/>
      <c r="E437" s="213"/>
      <c r="F437" s="213"/>
      <c r="G437" s="213"/>
      <c r="H437" s="213"/>
      <c r="I437" s="213"/>
      <c r="J437" s="213"/>
      <c r="K437" s="213"/>
      <c r="L437" s="213"/>
      <c r="M437" s="213"/>
      <c r="N437" s="213"/>
      <c r="O437" s="213"/>
      <c r="P437" s="213"/>
      <c r="Q437" s="213"/>
      <c r="R437" s="213"/>
      <c r="S437" s="213"/>
      <c r="T437" s="213"/>
      <c r="U437" s="213"/>
      <c r="V437" s="213"/>
      <c r="W437" s="213"/>
      <c r="X437" s="211">
        <f>INDEX($C$349:$AN$371,MATCH("New Customers 1MS",$C$349:$C$371,0),MATCH($C437,$C$349:$AN$349,0))</f>
        <v>28.212479999999996</v>
      </c>
      <c r="Y437" s="211">
        <f>X437*(E416)</f>
        <v>1.1284991999999998</v>
      </c>
      <c r="Z437" s="211">
        <f>X437*(F416)</f>
        <v>1.1284991999999998</v>
      </c>
      <c r="AA437" s="211">
        <f>X437*(G416)</f>
        <v>1.1284991999999998</v>
      </c>
      <c r="AB437" s="211">
        <f>X437*(H416)</f>
        <v>1.1284991999999998</v>
      </c>
      <c r="AC437" s="211">
        <f>X437*(I416)</f>
        <v>0.84637439999999986</v>
      </c>
      <c r="AD437" s="211">
        <f>X437*(J416)</f>
        <v>0.84637439999999986</v>
      </c>
      <c r="AE437" s="211">
        <f>X437*(K416)</f>
        <v>0.84637439999999986</v>
      </c>
      <c r="AF437" s="211">
        <f>X437*(L416)</f>
        <v>0.84637439999999986</v>
      </c>
      <c r="AG437" s="211">
        <f>X437*(M416)</f>
        <v>0.56424959999999991</v>
      </c>
      <c r="AH437" s="211">
        <f>X437*(N416)</f>
        <v>0.56424959999999991</v>
      </c>
      <c r="AI437" s="211">
        <f>X437*(O416)</f>
        <v>0.56424959999999991</v>
      </c>
      <c r="AJ437" s="211">
        <f>X437*(P416)</f>
        <v>0.84637439999999986</v>
      </c>
      <c r="AK437" s="211">
        <f>X437*(Q416)</f>
        <v>0.84637439999999986</v>
      </c>
      <c r="AL437" s="211">
        <f>X437*(R416)</f>
        <v>0.28212479999999995</v>
      </c>
      <c r="AM437" s="211">
        <f>X437*(S416)</f>
        <v>0.28212479999999995</v>
      </c>
      <c r="AN437" s="211">
        <f>X437*(T416)</f>
        <v>0.28212479999999995</v>
      </c>
    </row>
    <row r="438" spans="2:40" s="7" customFormat="1" ht="12" hidden="1" customHeight="1" outlineLevel="1">
      <c r="B438" s="245"/>
      <c r="C438" s="213" t="s">
        <v>773</v>
      </c>
      <c r="D438" s="213"/>
      <c r="E438" s="213"/>
      <c r="F438" s="213"/>
      <c r="G438" s="213"/>
      <c r="H438" s="213"/>
      <c r="I438" s="213"/>
      <c r="J438" s="213"/>
      <c r="K438" s="213"/>
      <c r="L438" s="213"/>
      <c r="M438" s="213"/>
      <c r="N438" s="213"/>
      <c r="O438" s="213"/>
      <c r="P438" s="213"/>
      <c r="Q438" s="213"/>
      <c r="R438" s="213"/>
      <c r="S438" s="213"/>
      <c r="T438" s="213"/>
      <c r="U438" s="213"/>
      <c r="V438" s="213"/>
      <c r="W438" s="213"/>
      <c r="X438" s="213"/>
      <c r="Y438" s="211">
        <f>INDEX($C$349:$AN$371,MATCH("New Customers 1MS",$C$349:$C$371,0),MATCH($C438,$C$349:$AN$349,0))</f>
        <v>98.05714285714285</v>
      </c>
      <c r="Z438" s="211">
        <f>Y438*(E416)</f>
        <v>3.9222857142857142</v>
      </c>
      <c r="AA438" s="211">
        <f>Y438*(F416)</f>
        <v>3.9222857142857142</v>
      </c>
      <c r="AB438" s="211">
        <f>Y438*(G416)</f>
        <v>3.9222857142857142</v>
      </c>
      <c r="AC438" s="211">
        <f>Y438*(H416)</f>
        <v>3.9222857142857142</v>
      </c>
      <c r="AD438" s="211">
        <f>Y438*(I416)</f>
        <v>2.9417142857142853</v>
      </c>
      <c r="AE438" s="211">
        <f>Y438*(J416)</f>
        <v>2.9417142857142853</v>
      </c>
      <c r="AF438" s="211">
        <f>Y438*(K416)</f>
        <v>2.9417142857142853</v>
      </c>
      <c r="AG438" s="211">
        <f>Y438*(L416)</f>
        <v>2.9417142857142853</v>
      </c>
      <c r="AH438" s="211">
        <f>Y438*(M416)</f>
        <v>1.9611428571428571</v>
      </c>
      <c r="AI438" s="211">
        <f>Y438*(N416)</f>
        <v>1.9611428571428571</v>
      </c>
      <c r="AJ438" s="211">
        <f>Y438*(O416)</f>
        <v>1.9611428571428571</v>
      </c>
      <c r="AK438" s="211">
        <f>Y438*(P416)</f>
        <v>2.9417142857142853</v>
      </c>
      <c r="AL438" s="211">
        <f>Y438*(Q416)</f>
        <v>2.9417142857142853</v>
      </c>
      <c r="AM438" s="211">
        <f>Y438*(R416)</f>
        <v>0.98057142857142854</v>
      </c>
      <c r="AN438" s="211">
        <f>Y438*(S416)</f>
        <v>0.98057142857142854</v>
      </c>
    </row>
    <row r="439" spans="2:40" s="7" customFormat="1" ht="12" hidden="1" customHeight="1" outlineLevel="1">
      <c r="B439" s="245"/>
      <c r="C439" s="213" t="s">
        <v>774</v>
      </c>
      <c r="D439" s="213"/>
      <c r="E439" s="213"/>
      <c r="F439" s="213"/>
      <c r="G439" s="213"/>
      <c r="H439" s="213"/>
      <c r="I439" s="213"/>
      <c r="J439" s="213"/>
      <c r="K439" s="213"/>
      <c r="L439" s="213"/>
      <c r="M439" s="213"/>
      <c r="N439" s="213"/>
      <c r="O439" s="213"/>
      <c r="P439" s="213"/>
      <c r="Q439" s="213"/>
      <c r="R439" s="213"/>
      <c r="S439" s="213"/>
      <c r="T439" s="213"/>
      <c r="U439" s="213"/>
      <c r="V439" s="213"/>
      <c r="W439" s="213"/>
      <c r="X439" s="213"/>
      <c r="Y439" s="213"/>
      <c r="Z439" s="211">
        <f>INDEX($C$349:$AN$371,MATCH("New Customers 1MS",$C$349:$C$371,0),MATCH($C439,$C$349:$AN$349,0))</f>
        <v>96</v>
      </c>
      <c r="AA439" s="211">
        <f>Z439*(E416)</f>
        <v>3.84</v>
      </c>
      <c r="AB439" s="211">
        <f>Z439*(F416)</f>
        <v>3.84</v>
      </c>
      <c r="AC439" s="211">
        <f>Z439*(G416)</f>
        <v>3.84</v>
      </c>
      <c r="AD439" s="211">
        <f>Z439*(H416)</f>
        <v>3.84</v>
      </c>
      <c r="AE439" s="211">
        <f>Z439*(I416)</f>
        <v>2.88</v>
      </c>
      <c r="AF439" s="211">
        <f>Z439*(J416)</f>
        <v>2.88</v>
      </c>
      <c r="AG439" s="211">
        <f>Z439*(K416)</f>
        <v>2.88</v>
      </c>
      <c r="AH439" s="211">
        <f>Z439*(L416)</f>
        <v>2.88</v>
      </c>
      <c r="AI439" s="211">
        <f>Z439*(M416)</f>
        <v>1.92</v>
      </c>
      <c r="AJ439" s="211">
        <f>Z439*(N416)</f>
        <v>1.92</v>
      </c>
      <c r="AK439" s="211">
        <f>Z439*(O416)</f>
        <v>1.92</v>
      </c>
      <c r="AL439" s="211">
        <f>Z439*(P416)</f>
        <v>2.88</v>
      </c>
      <c r="AM439" s="211">
        <f>Z439*(Q416)</f>
        <v>2.88</v>
      </c>
      <c r="AN439" s="211">
        <f>Z439*(R416)</f>
        <v>0.96</v>
      </c>
    </row>
    <row r="440" spans="2:40" s="7" customFormat="1" ht="12" hidden="1" customHeight="1" outlineLevel="1">
      <c r="B440" s="245"/>
      <c r="C440" s="213" t="s">
        <v>775</v>
      </c>
      <c r="D440" s="213"/>
      <c r="E440" s="213"/>
      <c r="F440" s="213"/>
      <c r="G440" s="213"/>
      <c r="H440" s="213"/>
      <c r="I440" s="213"/>
      <c r="J440" s="213"/>
      <c r="K440" s="213"/>
      <c r="L440" s="213"/>
      <c r="M440" s="213"/>
      <c r="N440" s="213"/>
      <c r="O440" s="213"/>
      <c r="P440" s="213"/>
      <c r="Q440" s="213"/>
      <c r="R440" s="213"/>
      <c r="S440" s="213"/>
      <c r="T440" s="213"/>
      <c r="U440" s="213"/>
      <c r="V440" s="213"/>
      <c r="W440" s="213"/>
      <c r="X440" s="213"/>
      <c r="Y440" s="213"/>
      <c r="Z440" s="213"/>
      <c r="AA440" s="211">
        <f>INDEX($C$349:$AN$371,MATCH("New Customers 1MS",$C$349:$C$371,0),MATCH($C440,$C$349:$AN$349,0))</f>
        <v>30.171428571428567</v>
      </c>
      <c r="AB440" s="211">
        <f>AA440*(E416)</f>
        <v>1.2068571428571426</v>
      </c>
      <c r="AC440" s="211">
        <f>AA440*(F416)</f>
        <v>1.2068571428571426</v>
      </c>
      <c r="AD440" s="211">
        <f>AA440*(G416)</f>
        <v>1.2068571428571426</v>
      </c>
      <c r="AE440" s="211">
        <f>AA440*(H416)</f>
        <v>1.2068571428571426</v>
      </c>
      <c r="AF440" s="211">
        <f>AA440*(I416)</f>
        <v>0.90514285714285703</v>
      </c>
      <c r="AG440" s="211">
        <f>AA440*(J416)</f>
        <v>0.90514285714285703</v>
      </c>
      <c r="AH440" s="211">
        <f>AA440*(K416)</f>
        <v>0.90514285714285703</v>
      </c>
      <c r="AI440" s="211">
        <f>AA440*(L416)</f>
        <v>0.90514285714285703</v>
      </c>
      <c r="AJ440" s="211">
        <f>AA440*(M416)</f>
        <v>0.60342857142857131</v>
      </c>
      <c r="AK440" s="211">
        <f>AA440*(N416)</f>
        <v>0.60342857142857131</v>
      </c>
      <c r="AL440" s="211">
        <f>AA440*(O416)</f>
        <v>0.60342857142857131</v>
      </c>
      <c r="AM440" s="211">
        <f>AA440*(P416)</f>
        <v>0.90514285714285703</v>
      </c>
      <c r="AN440" s="211">
        <f>AA440*(Q416)</f>
        <v>0.90514285714285703</v>
      </c>
    </row>
    <row r="441" spans="2:40" s="7" customFormat="1" ht="12" hidden="1" customHeight="1" outlineLevel="1">
      <c r="B441" s="245"/>
      <c r="C441" s="213" t="s">
        <v>776</v>
      </c>
      <c r="D441" s="213"/>
      <c r="E441" s="213"/>
      <c r="F441" s="213"/>
      <c r="G441" s="213"/>
      <c r="H441" s="213"/>
      <c r="I441" s="213"/>
      <c r="J441" s="213"/>
      <c r="K441" s="213"/>
      <c r="L441" s="213"/>
      <c r="M441" s="213"/>
      <c r="N441" s="213"/>
      <c r="O441" s="213"/>
      <c r="P441" s="213"/>
      <c r="Q441" s="213"/>
      <c r="R441" s="213"/>
      <c r="S441" s="213"/>
      <c r="T441" s="213"/>
      <c r="U441" s="213"/>
      <c r="V441" s="213"/>
      <c r="W441" s="213"/>
      <c r="X441" s="213"/>
      <c r="Y441" s="213"/>
      <c r="Z441" s="213"/>
      <c r="AA441" s="213"/>
      <c r="AB441" s="211">
        <f>INDEX($C$349:$AN$371,MATCH("New Customers 1MS",$C$349:$C$371,0),MATCH($C441,$C$349:$AN$349,0))</f>
        <v>32.914285714285711</v>
      </c>
      <c r="AC441" s="211">
        <f>AB441*(E416)</f>
        <v>1.3165714285714285</v>
      </c>
      <c r="AD441" s="211">
        <f>AB441*(F416)</f>
        <v>1.3165714285714285</v>
      </c>
      <c r="AE441" s="211">
        <f>AB441*(G416)</f>
        <v>1.3165714285714285</v>
      </c>
      <c r="AF441" s="211">
        <f>AB441*(H416)</f>
        <v>1.3165714285714285</v>
      </c>
      <c r="AG441" s="211">
        <f>AB441*(I416)</f>
        <v>0.98742857142857132</v>
      </c>
      <c r="AH441" s="211">
        <f>AB441*(J416)</f>
        <v>0.98742857142857132</v>
      </c>
      <c r="AI441" s="211">
        <f>AB441*(K416)</f>
        <v>0.98742857142857132</v>
      </c>
      <c r="AJ441" s="211">
        <f>AB441*(L416)</f>
        <v>0.98742857142857132</v>
      </c>
      <c r="AK441" s="211">
        <f>AB441*(M416)</f>
        <v>0.65828571428571425</v>
      </c>
      <c r="AL441" s="211">
        <f>AB441*(N416)</f>
        <v>0.65828571428571425</v>
      </c>
      <c r="AM441" s="211">
        <f>AB441*(O416)</f>
        <v>0.65828571428571425</v>
      </c>
      <c r="AN441" s="211">
        <f>AB441*(P416)</f>
        <v>0.98742857142857132</v>
      </c>
    </row>
    <row r="442" spans="2:40" s="7" customFormat="1" ht="12" hidden="1" customHeight="1" outlineLevel="1">
      <c r="B442" s="245"/>
      <c r="C442" s="213" t="s">
        <v>777</v>
      </c>
      <c r="D442" s="213"/>
      <c r="E442" s="213"/>
      <c r="F442" s="213"/>
      <c r="G442" s="213"/>
      <c r="H442" s="213"/>
      <c r="I442" s="213"/>
      <c r="J442" s="213"/>
      <c r="K442" s="213"/>
      <c r="L442" s="213"/>
      <c r="M442" s="213"/>
      <c r="N442" s="213"/>
      <c r="O442" s="213"/>
      <c r="P442" s="213"/>
      <c r="Q442" s="213"/>
      <c r="R442" s="213"/>
      <c r="S442" s="213"/>
      <c r="T442" s="213"/>
      <c r="U442" s="213"/>
      <c r="V442" s="213"/>
      <c r="W442" s="213"/>
      <c r="X442" s="213"/>
      <c r="Y442" s="213"/>
      <c r="Z442" s="213"/>
      <c r="AA442" s="213"/>
      <c r="AB442" s="211"/>
      <c r="AC442" s="211">
        <f>INDEX($C$349:$AN$371,MATCH("New Customers 1MS",$C$349:$C$371,0),MATCH($C442,$C$349:$AN$349,0))</f>
        <v>25.654327714285717</v>
      </c>
      <c r="AD442" s="211">
        <f>AC442*(E416)</f>
        <v>1.0261731085714287</v>
      </c>
      <c r="AE442" s="211">
        <f>AC442*($F$70)</f>
        <v>0</v>
      </c>
      <c r="AF442" s="211">
        <f>AC442*($G$70)</f>
        <v>0</v>
      </c>
      <c r="AG442" s="211">
        <f>AC442*($H$70)</f>
        <v>0</v>
      </c>
      <c r="AH442" s="211">
        <f>AC442*($I$70)</f>
        <v>0</v>
      </c>
      <c r="AI442" s="211">
        <f>AC442*($J$70)</f>
        <v>0</v>
      </c>
      <c r="AJ442" s="211">
        <f>AC442*($K$70)</f>
        <v>0</v>
      </c>
      <c r="AK442" s="211">
        <f>AC442*($L$70)</f>
        <v>0</v>
      </c>
      <c r="AL442" s="211">
        <f>AC442*($M$70)</f>
        <v>0</v>
      </c>
      <c r="AM442" s="211">
        <f>AC442*($N$70)</f>
        <v>0</v>
      </c>
      <c r="AN442" s="211">
        <f>AC442*(O416)</f>
        <v>0.51308655428571437</v>
      </c>
    </row>
    <row r="443" spans="2:40" s="7" customFormat="1" ht="12" hidden="1" customHeight="1" outlineLevel="1">
      <c r="B443" s="245"/>
      <c r="C443" s="213" t="s">
        <v>778</v>
      </c>
      <c r="D443" s="213"/>
      <c r="E443" s="213"/>
      <c r="F443" s="213"/>
      <c r="G443" s="213"/>
      <c r="H443" s="213"/>
      <c r="I443" s="213"/>
      <c r="J443" s="213"/>
      <c r="K443" s="213"/>
      <c r="L443" s="213"/>
      <c r="M443" s="213"/>
      <c r="N443" s="213"/>
      <c r="O443" s="213"/>
      <c r="P443" s="213"/>
      <c r="Q443" s="213"/>
      <c r="R443" s="213"/>
      <c r="S443" s="213"/>
      <c r="T443" s="213"/>
      <c r="U443" s="213"/>
      <c r="V443" s="213"/>
      <c r="W443" s="213"/>
      <c r="X443" s="213"/>
      <c r="Y443" s="213"/>
      <c r="Z443" s="213"/>
      <c r="AA443" s="213"/>
      <c r="AB443" s="211"/>
      <c r="AC443" s="211"/>
      <c r="AD443" s="211">
        <f>INDEX($C$349:$AN$371,MATCH("New Customers 1MS",$C$349:$C$371,0),MATCH($C443,$C$349:$AN$349,0))</f>
        <v>65.252000914285716</v>
      </c>
      <c r="AE443" s="211">
        <f>AD443*(E416)</f>
        <v>2.6100800365714285</v>
      </c>
      <c r="AF443" s="211">
        <f>AD443*($F$70)</f>
        <v>0</v>
      </c>
      <c r="AG443" s="211">
        <f>AD443*($G$70)</f>
        <v>0</v>
      </c>
      <c r="AH443" s="211">
        <f>AD443*($H$70)</f>
        <v>0</v>
      </c>
      <c r="AI443" s="211">
        <f>AD443*($I$70)</f>
        <v>0</v>
      </c>
      <c r="AJ443" s="211">
        <f>AD443*($J$70)</f>
        <v>0</v>
      </c>
      <c r="AK443" s="211">
        <f>AD443*($K$70)</f>
        <v>0</v>
      </c>
      <c r="AL443" s="211">
        <f>AD443*($L$70)</f>
        <v>0</v>
      </c>
      <c r="AM443" s="211">
        <f>AD443*($M$70)</f>
        <v>0</v>
      </c>
      <c r="AN443" s="211">
        <f>AD443*($N$70)</f>
        <v>0</v>
      </c>
    </row>
    <row r="444" spans="2:40" s="7" customFormat="1" ht="12" hidden="1" customHeight="1" outlineLevel="1">
      <c r="B444" s="245"/>
      <c r="C444" s="213" t="s">
        <v>779</v>
      </c>
      <c r="D444" s="213"/>
      <c r="E444" s="213"/>
      <c r="F444" s="213"/>
      <c r="G444" s="213"/>
      <c r="H444" s="213"/>
      <c r="I444" s="213"/>
      <c r="J444" s="213"/>
      <c r="K444" s="213"/>
      <c r="L444" s="213"/>
      <c r="M444" s="213"/>
      <c r="N444" s="213"/>
      <c r="O444" s="213"/>
      <c r="P444" s="213"/>
      <c r="Q444" s="213"/>
      <c r="R444" s="213"/>
      <c r="S444" s="213"/>
      <c r="T444" s="213"/>
      <c r="U444" s="213"/>
      <c r="V444" s="213"/>
      <c r="W444" s="213"/>
      <c r="X444" s="213"/>
      <c r="Y444" s="213"/>
      <c r="Z444" s="213"/>
      <c r="AA444" s="213"/>
      <c r="AB444" s="211"/>
      <c r="AC444" s="211"/>
      <c r="AD444" s="211"/>
      <c r="AE444" s="211">
        <f>INDEX($C$349:$AN$371,MATCH("New Customers 1MS",$C$349:$C$371,0),MATCH($C444,$C$349:$AN$349,0))</f>
        <v>61.697305371428584</v>
      </c>
      <c r="AF444" s="211">
        <f>AE444*(E416)</f>
        <v>2.4678922148571436</v>
      </c>
      <c r="AG444" s="211">
        <f>AE444*($F$70)</f>
        <v>0</v>
      </c>
      <c r="AH444" s="211">
        <f>AE444*($G$70)</f>
        <v>0</v>
      </c>
      <c r="AI444" s="211">
        <f>AE444*($H$70)</f>
        <v>0</v>
      </c>
      <c r="AJ444" s="211">
        <f>AE444*($I$70)</f>
        <v>0</v>
      </c>
      <c r="AK444" s="211">
        <f>AE444*($J$70)</f>
        <v>0</v>
      </c>
      <c r="AL444" s="211">
        <f>AE444*($K$70)</f>
        <v>0</v>
      </c>
      <c r="AM444" s="211">
        <f>AE444*($L$70)</f>
        <v>0</v>
      </c>
      <c r="AN444" s="211">
        <f>AE444*($M$70)</f>
        <v>0</v>
      </c>
    </row>
    <row r="445" spans="2:40" s="7" customFormat="1" ht="12" hidden="1" customHeight="1" outlineLevel="1">
      <c r="B445" s="245"/>
      <c r="C445" s="213" t="s">
        <v>780</v>
      </c>
      <c r="D445" s="213"/>
      <c r="E445" s="213"/>
      <c r="F445" s="213"/>
      <c r="G445" s="213"/>
      <c r="H445" s="213"/>
      <c r="I445" s="213"/>
      <c r="J445" s="213"/>
      <c r="K445" s="213"/>
      <c r="L445" s="213"/>
      <c r="M445" s="213"/>
      <c r="N445" s="213"/>
      <c r="O445" s="213"/>
      <c r="P445" s="213"/>
      <c r="Q445" s="213"/>
      <c r="R445" s="213"/>
      <c r="S445" s="213"/>
      <c r="T445" s="213"/>
      <c r="U445" s="213"/>
      <c r="V445" s="213"/>
      <c r="W445" s="213"/>
      <c r="X445" s="213"/>
      <c r="Y445" s="213"/>
      <c r="Z445" s="213"/>
      <c r="AA445" s="213"/>
      <c r="AB445" s="211"/>
      <c r="AC445" s="211"/>
      <c r="AD445" s="211"/>
      <c r="AE445" s="211"/>
      <c r="AF445" s="211">
        <f>INDEX($C$349:$AN$371,MATCH("New Customers 1MS",$C$349:$C$371,0),MATCH($C445,$C$349:$AN$349,0))</f>
        <v>36.623716800000004</v>
      </c>
      <c r="AG445" s="211">
        <f>AF445*(E416)</f>
        <v>1.4649486720000002</v>
      </c>
      <c r="AH445" s="211">
        <f>AF445*($F$70)</f>
        <v>0</v>
      </c>
      <c r="AI445" s="211">
        <f>AF445*($G$70)</f>
        <v>0</v>
      </c>
      <c r="AJ445" s="211">
        <f>AF445*($H$70)</f>
        <v>0</v>
      </c>
      <c r="AK445" s="211">
        <f>AF445*($I$70)</f>
        <v>0</v>
      </c>
      <c r="AL445" s="211">
        <f>AF445*($J$70)</f>
        <v>0</v>
      </c>
      <c r="AM445" s="211">
        <f>AF445*($K$70)</f>
        <v>0</v>
      </c>
      <c r="AN445" s="211">
        <f>AF445*($L$70)</f>
        <v>0</v>
      </c>
    </row>
    <row r="446" spans="2:40" s="7" customFormat="1" ht="12" hidden="1" customHeight="1" outlineLevel="1">
      <c r="B446" s="245"/>
      <c r="C446" s="213" t="s">
        <v>781</v>
      </c>
      <c r="D446" s="213"/>
      <c r="E446" s="213"/>
      <c r="F446" s="213"/>
      <c r="G446" s="213"/>
      <c r="H446" s="213"/>
      <c r="I446" s="213"/>
      <c r="J446" s="213"/>
      <c r="K446" s="213"/>
      <c r="L446" s="213"/>
      <c r="M446" s="213"/>
      <c r="N446" s="213"/>
      <c r="O446" s="213"/>
      <c r="P446" s="213"/>
      <c r="Q446" s="213"/>
      <c r="R446" s="213"/>
      <c r="S446" s="213"/>
      <c r="T446" s="213"/>
      <c r="U446" s="213"/>
      <c r="V446" s="213"/>
      <c r="W446" s="213"/>
      <c r="X446" s="213"/>
      <c r="Y446" s="213"/>
      <c r="Z446" s="213"/>
      <c r="AA446" s="213"/>
      <c r="AB446" s="211"/>
      <c r="AC446" s="211"/>
      <c r="AD446" s="211"/>
      <c r="AE446" s="211"/>
      <c r="AF446" s="211"/>
      <c r="AG446" s="211">
        <f>INDEX($C$349:$AN$371,MATCH("New Customers 1MS",$C$349:$C$371,0),MATCH($C446,$C$349:$AN$349,0))</f>
        <v>27.816814457142854</v>
      </c>
      <c r="AH446" s="211">
        <f>AG446*(E416)</f>
        <v>1.1126725782857141</v>
      </c>
      <c r="AI446" s="211">
        <f>AG446*($F$70)</f>
        <v>0</v>
      </c>
      <c r="AJ446" s="211">
        <f>AG446*($G$70)</f>
        <v>0</v>
      </c>
      <c r="AK446" s="211">
        <f>AG446*($H$70)</f>
        <v>0</v>
      </c>
      <c r="AL446" s="211">
        <f>AG446*($I$70)</f>
        <v>0</v>
      </c>
      <c r="AM446" s="211">
        <f>AG446*($J$70)</f>
        <v>0</v>
      </c>
      <c r="AN446" s="211">
        <f>AG446*($K$70)</f>
        <v>0</v>
      </c>
    </row>
    <row r="447" spans="2:40" s="7" customFormat="1" ht="12" hidden="1" customHeight="1" outlineLevel="1">
      <c r="B447" s="245"/>
      <c r="C447" s="213" t="s">
        <v>782</v>
      </c>
      <c r="D447" s="213"/>
      <c r="E447" s="213"/>
      <c r="F447" s="213"/>
      <c r="G447" s="213"/>
      <c r="H447" s="213"/>
      <c r="I447" s="213"/>
      <c r="J447" s="213"/>
      <c r="K447" s="213"/>
      <c r="L447" s="213"/>
      <c r="M447" s="213"/>
      <c r="N447" s="213"/>
      <c r="O447" s="213"/>
      <c r="P447" s="213"/>
      <c r="Q447" s="213"/>
      <c r="R447" s="213"/>
      <c r="S447" s="213"/>
      <c r="T447" s="213"/>
      <c r="U447" s="213"/>
      <c r="V447" s="213"/>
      <c r="W447" s="213"/>
      <c r="X447" s="213"/>
      <c r="Y447" s="213"/>
      <c r="Z447" s="213"/>
      <c r="AA447" s="213"/>
      <c r="AB447" s="211"/>
      <c r="AC447" s="211"/>
      <c r="AD447" s="211"/>
      <c r="AE447" s="211"/>
      <c r="AF447" s="211"/>
      <c r="AG447" s="211"/>
      <c r="AH447" s="211">
        <f>INDEX($C$349:$AN$371,MATCH("New Customers 1MS",$C$349:$C$371,0),MATCH($C447,$C$349:$AN$349,0))</f>
        <v>77.364115028571433</v>
      </c>
      <c r="AI447" s="211">
        <f>AH447*(E416)</f>
        <v>3.0945646011428574</v>
      </c>
      <c r="AJ447" s="211">
        <f>AH447*($F$70)</f>
        <v>0</v>
      </c>
      <c r="AK447" s="211">
        <f>AH447*($G$70)</f>
        <v>0</v>
      </c>
      <c r="AL447" s="211">
        <f>AH447*($H$70)</f>
        <v>0</v>
      </c>
      <c r="AM447" s="211">
        <f>AH447*($I$70)</f>
        <v>0</v>
      </c>
      <c r="AN447" s="211">
        <f>AH447*($J$70)</f>
        <v>0</v>
      </c>
    </row>
    <row r="448" spans="2:40" s="7" customFormat="1" ht="12" hidden="1" customHeight="1" outlineLevel="1">
      <c r="B448" s="245"/>
      <c r="C448" s="213" t="s">
        <v>783</v>
      </c>
      <c r="D448" s="213"/>
      <c r="E448" s="213"/>
      <c r="F448" s="213"/>
      <c r="G448" s="213"/>
      <c r="H448" s="213"/>
      <c r="I448" s="213"/>
      <c r="J448" s="213"/>
      <c r="K448" s="213"/>
      <c r="L448" s="213"/>
      <c r="M448" s="213"/>
      <c r="N448" s="213"/>
      <c r="O448" s="213"/>
      <c r="P448" s="213"/>
      <c r="Q448" s="213"/>
      <c r="R448" s="213"/>
      <c r="S448" s="213"/>
      <c r="T448" s="213"/>
      <c r="U448" s="213"/>
      <c r="V448" s="213"/>
      <c r="W448" s="213"/>
      <c r="X448" s="213"/>
      <c r="Y448" s="213"/>
      <c r="Z448" s="213"/>
      <c r="AA448" s="213"/>
      <c r="AB448" s="211"/>
      <c r="AC448" s="211"/>
      <c r="AD448" s="211"/>
      <c r="AE448" s="211"/>
      <c r="AF448" s="211"/>
      <c r="AG448" s="211"/>
      <c r="AH448" s="211"/>
      <c r="AI448" s="211">
        <f>INDEX($C$349:$AN$371,MATCH("New Customers 1MS",$C$349:$C$371,0),MATCH($C448,$C$349:$AN$349,0))</f>
        <v>11.172729599999998</v>
      </c>
      <c r="AJ448" s="211">
        <f>AI448*(E416)</f>
        <v>0.44690918399999996</v>
      </c>
      <c r="AK448" s="211">
        <f>AI448*($F$70)</f>
        <v>0</v>
      </c>
      <c r="AL448" s="211">
        <f>AI448*($G$70)</f>
        <v>0</v>
      </c>
      <c r="AM448" s="211">
        <f>AI448*($H$70)</f>
        <v>0</v>
      </c>
      <c r="AN448" s="211">
        <f>AI448*($I$70)</f>
        <v>0</v>
      </c>
    </row>
    <row r="449" spans="2:40" s="7" customFormat="1" ht="12" hidden="1" customHeight="1" outlineLevel="1">
      <c r="B449" s="245"/>
      <c r="C449" s="213" t="s">
        <v>784</v>
      </c>
      <c r="D449" s="213"/>
      <c r="E449" s="213"/>
      <c r="F449" s="213"/>
      <c r="G449" s="213"/>
      <c r="H449" s="213"/>
      <c r="I449" s="213"/>
      <c r="J449" s="213"/>
      <c r="K449" s="213"/>
      <c r="L449" s="213"/>
      <c r="M449" s="213"/>
      <c r="N449" s="213"/>
      <c r="O449" s="213"/>
      <c r="P449" s="213"/>
      <c r="Q449" s="213"/>
      <c r="R449" s="213"/>
      <c r="S449" s="213"/>
      <c r="T449" s="213"/>
      <c r="U449" s="213"/>
      <c r="V449" s="213"/>
      <c r="W449" s="213"/>
      <c r="X449" s="213"/>
      <c r="Y449" s="213"/>
      <c r="Z449" s="213"/>
      <c r="AA449" s="213"/>
      <c r="AB449" s="211"/>
      <c r="AC449" s="211"/>
      <c r="AD449" s="211"/>
      <c r="AE449" s="211"/>
      <c r="AF449" s="211"/>
      <c r="AG449" s="211"/>
      <c r="AH449" s="211"/>
      <c r="AI449" s="211"/>
      <c r="AJ449" s="211">
        <f>INDEX($C$349:$AN$371,MATCH("New Customers 1MS",$C$349:$C$371,0),MATCH($C449,$C$349:$AN$349,0))</f>
        <v>32.197492799999999</v>
      </c>
      <c r="AK449" s="211">
        <f>AJ449*(E416)</f>
        <v>1.287899712</v>
      </c>
      <c r="AL449" s="211">
        <f>AJ449*($F$70)</f>
        <v>0</v>
      </c>
      <c r="AM449" s="211">
        <f>AJ449*($G$70)</f>
        <v>0</v>
      </c>
      <c r="AN449" s="211">
        <f>AJ449*($H$70)</f>
        <v>0</v>
      </c>
    </row>
    <row r="450" spans="2:40" s="7" customFormat="1" ht="12" hidden="1" customHeight="1" outlineLevel="1">
      <c r="B450" s="245"/>
      <c r="C450" s="213" t="s">
        <v>785</v>
      </c>
      <c r="D450" s="213"/>
      <c r="E450" s="213"/>
      <c r="F450" s="213"/>
      <c r="G450" s="213"/>
      <c r="H450" s="213"/>
      <c r="I450" s="213"/>
      <c r="J450" s="213"/>
      <c r="K450" s="213"/>
      <c r="L450" s="213"/>
      <c r="M450" s="213"/>
      <c r="N450" s="213"/>
      <c r="O450" s="213"/>
      <c r="P450" s="213"/>
      <c r="Q450" s="213"/>
      <c r="R450" s="213"/>
      <c r="S450" s="213"/>
      <c r="T450" s="213"/>
      <c r="U450" s="213"/>
      <c r="V450" s="213"/>
      <c r="W450" s="213"/>
      <c r="X450" s="213"/>
      <c r="Y450" s="213"/>
      <c r="Z450" s="213"/>
      <c r="AA450" s="213"/>
      <c r="AB450" s="211"/>
      <c r="AC450" s="211"/>
      <c r="AD450" s="211"/>
      <c r="AE450" s="211"/>
      <c r="AF450" s="211"/>
      <c r="AG450" s="211"/>
      <c r="AH450" s="211"/>
      <c r="AI450" s="211"/>
      <c r="AJ450" s="211"/>
      <c r="AK450" s="211">
        <f>INDEX($C$349:$AN$371,MATCH("New Customers 1MS",$C$349:$C$371,0),MATCH($C450,$C$349:$AN$349,0))</f>
        <v>111.90771428571428</v>
      </c>
      <c r="AL450" s="211">
        <f>AK450*(E416)</f>
        <v>4.4763085714285715</v>
      </c>
      <c r="AM450" s="211">
        <f>AK450*($F$70)</f>
        <v>0</v>
      </c>
      <c r="AN450" s="211">
        <f>AK450*($G$70)</f>
        <v>0</v>
      </c>
    </row>
    <row r="451" spans="2:40" s="7" customFormat="1" ht="12" hidden="1" customHeight="1" outlineLevel="1">
      <c r="B451" s="245"/>
      <c r="C451" s="213" t="s">
        <v>786</v>
      </c>
      <c r="D451" s="213"/>
      <c r="E451" s="213"/>
      <c r="F451" s="213"/>
      <c r="G451" s="213"/>
      <c r="H451" s="213"/>
      <c r="I451" s="213"/>
      <c r="J451" s="213"/>
      <c r="K451" s="213"/>
      <c r="L451" s="213"/>
      <c r="M451" s="213"/>
      <c r="N451" s="213"/>
      <c r="O451" s="213"/>
      <c r="P451" s="213"/>
      <c r="Q451" s="213"/>
      <c r="R451" s="213"/>
      <c r="S451" s="213"/>
      <c r="T451" s="213"/>
      <c r="U451" s="213"/>
      <c r="V451" s="213"/>
      <c r="W451" s="213"/>
      <c r="X451" s="213"/>
      <c r="Y451" s="213"/>
      <c r="Z451" s="213"/>
      <c r="AA451" s="213"/>
      <c r="AB451" s="211"/>
      <c r="AC451" s="211"/>
      <c r="AD451" s="211"/>
      <c r="AE451" s="211"/>
      <c r="AF451" s="211"/>
      <c r="AG451" s="211"/>
      <c r="AH451" s="211"/>
      <c r="AI451" s="211"/>
      <c r="AJ451" s="211"/>
      <c r="AK451" s="211"/>
      <c r="AL451" s="211">
        <f>INDEX($C$349:$AN$371,MATCH("New Customers 1MS",$C$349:$C$371,0),MATCH($C451,$C$349:$AN$349,0))</f>
        <v>99.6</v>
      </c>
      <c r="AM451" s="211">
        <f>AL451*(E416)</f>
        <v>3.984</v>
      </c>
      <c r="AN451" s="211">
        <f>AL451*($F$70)</f>
        <v>0</v>
      </c>
    </row>
    <row r="452" spans="2:40" s="7" customFormat="1" ht="12" hidden="1" customHeight="1" outlineLevel="1">
      <c r="B452" s="245"/>
      <c r="C452" s="213" t="s">
        <v>787</v>
      </c>
      <c r="D452" s="213"/>
      <c r="E452" s="213"/>
      <c r="F452" s="213"/>
      <c r="G452" s="213"/>
      <c r="H452" s="213"/>
      <c r="I452" s="213"/>
      <c r="J452" s="213"/>
      <c r="K452" s="213"/>
      <c r="L452" s="213"/>
      <c r="M452" s="213"/>
      <c r="N452" s="213"/>
      <c r="O452" s="213"/>
      <c r="P452" s="213"/>
      <c r="Q452" s="213"/>
      <c r="R452" s="213"/>
      <c r="S452" s="213"/>
      <c r="T452" s="213"/>
      <c r="U452" s="213"/>
      <c r="V452" s="213"/>
      <c r="W452" s="213"/>
      <c r="X452" s="213"/>
      <c r="Y452" s="213"/>
      <c r="Z452" s="213"/>
      <c r="AA452" s="213"/>
      <c r="AB452" s="211"/>
      <c r="AC452" s="211"/>
      <c r="AD452" s="211"/>
      <c r="AE452" s="211"/>
      <c r="AF452" s="211"/>
      <c r="AG452" s="211"/>
      <c r="AH452" s="211"/>
      <c r="AI452" s="211"/>
      <c r="AJ452" s="211"/>
      <c r="AK452" s="211"/>
      <c r="AL452" s="211"/>
      <c r="AM452" s="211">
        <f>INDEX($C$349:$AN$371,MATCH("New Customers 1MS",$C$349:$C$371,0),MATCH($C452,$C$349:$AN$349,0))</f>
        <v>34.433142857142862</v>
      </c>
      <c r="AN452" s="211">
        <f>AM452*(E416)</f>
        <v>1.3773257142857145</v>
      </c>
    </row>
    <row r="453" spans="2:40" s="7" customFormat="1" ht="12" hidden="1" customHeight="1" outlineLevel="1">
      <c r="B453" s="245"/>
      <c r="C453" s="213" t="s">
        <v>788</v>
      </c>
      <c r="D453" s="213"/>
      <c r="E453" s="213"/>
      <c r="F453" s="213"/>
      <c r="G453" s="213"/>
      <c r="H453" s="213"/>
      <c r="I453" s="213"/>
      <c r="J453" s="213"/>
      <c r="K453" s="213"/>
      <c r="L453" s="213"/>
      <c r="M453" s="213"/>
      <c r="N453" s="213"/>
      <c r="O453" s="213"/>
      <c r="P453" s="213"/>
      <c r="Q453" s="213"/>
      <c r="R453" s="213"/>
      <c r="S453" s="213"/>
      <c r="T453" s="213"/>
      <c r="U453" s="213"/>
      <c r="V453" s="213"/>
      <c r="W453" s="213"/>
      <c r="X453" s="213"/>
      <c r="Y453" s="213"/>
      <c r="Z453" s="213"/>
      <c r="AA453" s="213"/>
      <c r="AB453" s="211"/>
      <c r="AC453" s="211"/>
      <c r="AD453" s="211"/>
      <c r="AE453" s="211"/>
      <c r="AF453" s="211"/>
      <c r="AG453" s="211"/>
      <c r="AH453" s="211"/>
      <c r="AI453" s="211"/>
      <c r="AJ453" s="211"/>
      <c r="AK453" s="211"/>
      <c r="AL453" s="211"/>
      <c r="AM453" s="211"/>
      <c r="AN453" s="211">
        <f>INDEX($C$349:$AN$371,MATCH("New Customers 1MS",$C$349:$C$371,0),MATCH($C453,$C$349:$AN$349,0))</f>
        <v>40.978285714285711</v>
      </c>
    </row>
    <row r="454" spans="2:40" s="7" customFormat="1" ht="12" hidden="1" customHeight="1" outlineLevel="1">
      <c r="B454" s="245"/>
      <c r="C454" s="213"/>
      <c r="D454" s="213"/>
      <c r="E454" s="213"/>
      <c r="F454" s="213"/>
      <c r="G454" s="213"/>
      <c r="H454" s="213"/>
      <c r="I454" s="213"/>
      <c r="J454" s="213"/>
      <c r="K454" s="213"/>
      <c r="L454" s="213"/>
      <c r="M454" s="213"/>
      <c r="N454" s="213"/>
      <c r="O454" s="213"/>
      <c r="P454" s="213"/>
      <c r="Q454" s="213"/>
      <c r="R454" s="213"/>
      <c r="S454" s="213"/>
      <c r="T454" s="213"/>
      <c r="U454" s="213"/>
      <c r="V454" s="213"/>
      <c r="W454" s="213"/>
      <c r="X454" s="213"/>
      <c r="Y454" s="213"/>
      <c r="Z454" s="213"/>
      <c r="AA454" s="213"/>
      <c r="AB454" s="211"/>
      <c r="AC454" s="211"/>
      <c r="AD454" s="211"/>
      <c r="AE454" s="211"/>
      <c r="AF454" s="211"/>
      <c r="AG454" s="211"/>
      <c r="AH454" s="211"/>
      <c r="AI454" s="211"/>
      <c r="AJ454" s="211"/>
      <c r="AK454" s="211"/>
      <c r="AL454" s="211"/>
      <c r="AM454" s="211"/>
      <c r="AN454" s="211"/>
    </row>
    <row r="455" spans="2:40" s="7" customFormat="1" ht="12" hidden="1" customHeight="1" outlineLevel="2">
      <c r="B455" s="245"/>
      <c r="C455" s="243" t="s">
        <v>854</v>
      </c>
      <c r="D455" s="213"/>
      <c r="E455" s="213"/>
      <c r="F455" s="213"/>
      <c r="G455" s="213"/>
      <c r="H455" s="213"/>
      <c r="I455" s="213"/>
      <c r="J455" s="213"/>
      <c r="K455" s="213"/>
      <c r="L455" s="213"/>
      <c r="M455" s="213"/>
      <c r="N455" s="213"/>
      <c r="O455" s="213"/>
      <c r="P455" s="213"/>
      <c r="Q455" s="213"/>
      <c r="R455" s="213"/>
      <c r="S455" s="213"/>
      <c r="T455" s="213"/>
      <c r="U455" s="213"/>
      <c r="V455" s="213"/>
      <c r="W455" s="213"/>
      <c r="X455" s="213"/>
      <c r="Y455" s="213"/>
      <c r="Z455" s="213"/>
      <c r="AA455" s="213"/>
      <c r="AB455" s="213"/>
      <c r="AC455" s="211"/>
    </row>
    <row r="456" spans="2:40" s="7" customFormat="1" hidden="1" outlineLevel="2">
      <c r="B456" s="239"/>
      <c r="C456" s="214" t="s">
        <v>850</v>
      </c>
      <c r="D456" s="214"/>
      <c r="E456" s="196" t="s">
        <v>753</v>
      </c>
      <c r="F456" s="196" t="s">
        <v>754</v>
      </c>
      <c r="G456" s="196" t="s">
        <v>755</v>
      </c>
      <c r="H456" s="196" t="s">
        <v>756</v>
      </c>
      <c r="I456" s="196" t="s">
        <v>757</v>
      </c>
      <c r="J456" s="196" t="s">
        <v>758</v>
      </c>
      <c r="K456" s="196" t="s">
        <v>759</v>
      </c>
      <c r="L456" s="196" t="s">
        <v>760</v>
      </c>
      <c r="M456" s="196" t="s">
        <v>761</v>
      </c>
      <c r="N456" s="196" t="s">
        <v>762</v>
      </c>
      <c r="O456" s="196" t="s">
        <v>763</v>
      </c>
      <c r="P456" s="196" t="s">
        <v>764</v>
      </c>
      <c r="Q456" s="196" t="s">
        <v>765</v>
      </c>
      <c r="R456" s="196" t="s">
        <v>766</v>
      </c>
      <c r="S456" s="196" t="s">
        <v>767</v>
      </c>
      <c r="T456" s="196" t="s">
        <v>768</v>
      </c>
      <c r="U456" s="196" t="s">
        <v>769</v>
      </c>
      <c r="V456" s="196" t="s">
        <v>770</v>
      </c>
      <c r="W456" s="196" t="s">
        <v>771</v>
      </c>
      <c r="X456" s="196" t="s">
        <v>772</v>
      </c>
      <c r="Y456" s="196" t="s">
        <v>773</v>
      </c>
      <c r="Z456" s="196" t="s">
        <v>774</v>
      </c>
      <c r="AA456" s="196" t="s">
        <v>775</v>
      </c>
      <c r="AB456" s="196" t="s">
        <v>776</v>
      </c>
      <c r="AC456" s="196" t="s">
        <v>777</v>
      </c>
      <c r="AD456" s="196" t="s">
        <v>778</v>
      </c>
      <c r="AE456" s="196" t="s">
        <v>779</v>
      </c>
      <c r="AF456" s="196" t="s">
        <v>780</v>
      </c>
      <c r="AG456" s="196" t="s">
        <v>781</v>
      </c>
      <c r="AH456" s="196" t="s">
        <v>782</v>
      </c>
      <c r="AI456" s="196" t="s">
        <v>783</v>
      </c>
      <c r="AJ456" s="196" t="s">
        <v>784</v>
      </c>
      <c r="AK456" s="196" t="s">
        <v>785</v>
      </c>
      <c r="AL456" s="196" t="s">
        <v>786</v>
      </c>
      <c r="AM456" s="196" t="s">
        <v>787</v>
      </c>
      <c r="AN456" s="196" t="s">
        <v>788</v>
      </c>
    </row>
    <row r="457" spans="2:40" s="7" customFormat="1" ht="12" hidden="1" customHeight="1" outlineLevel="3">
      <c r="B457" s="239"/>
      <c r="C457" s="247" t="s">
        <v>851</v>
      </c>
      <c r="D457" s="214"/>
      <c r="E457" s="345">
        <v>0.86</v>
      </c>
      <c r="F457" s="342"/>
      <c r="G457" s="342"/>
      <c r="H457" s="345">
        <v>0.42</v>
      </c>
      <c r="I457" s="342"/>
      <c r="J457" s="342"/>
      <c r="K457" s="345">
        <v>0.26</v>
      </c>
      <c r="L457" s="342"/>
      <c r="M457" s="342"/>
      <c r="N457" s="345">
        <v>0.16</v>
      </c>
      <c r="O457" s="342"/>
      <c r="P457" s="342"/>
      <c r="Q457" s="345">
        <v>0.1</v>
      </c>
      <c r="R457" s="342"/>
      <c r="S457" s="342"/>
      <c r="T457" s="345">
        <v>0.06</v>
      </c>
      <c r="U457" s="342"/>
      <c r="V457" s="342"/>
      <c r="W457" s="345">
        <v>0.03</v>
      </c>
      <c r="X457" s="342"/>
      <c r="Y457" s="342"/>
      <c r="Z457" s="345">
        <v>0.01</v>
      </c>
      <c r="AA457" s="342"/>
      <c r="AB457" s="342"/>
      <c r="AC457" s="345">
        <v>0.01</v>
      </c>
      <c r="AD457" s="342"/>
      <c r="AE457" s="342"/>
      <c r="AF457" s="345">
        <v>0.01</v>
      </c>
      <c r="AG457" s="342"/>
      <c r="AH457" s="342"/>
      <c r="AI457" s="345">
        <v>0.01</v>
      </c>
      <c r="AJ457" s="342"/>
      <c r="AK457" s="342"/>
      <c r="AL457" s="345">
        <v>0.01</v>
      </c>
      <c r="AM457" s="342"/>
      <c r="AN457" s="342"/>
    </row>
    <row r="458" spans="2:40" s="7" customFormat="1" ht="12" hidden="1" customHeight="1" outlineLevel="2">
      <c r="B458" s="245"/>
      <c r="C458" s="213" t="s">
        <v>753</v>
      </c>
      <c r="D458" s="213"/>
      <c r="E458" s="211">
        <f>INDEX($C$349:$AN$371, MATCH("New Customers 3MS", $C$349:$C$371, 0), MATCH($C458, $C$349:$AN$349, 0))</f>
        <v>0</v>
      </c>
      <c r="F458" s="211"/>
      <c r="G458" s="211"/>
      <c r="H458" s="211">
        <f>E458*(1-E457)</f>
        <v>0</v>
      </c>
      <c r="I458" s="211"/>
      <c r="J458" s="211"/>
      <c r="K458" s="211">
        <f>E458*(1-H457)</f>
        <v>0</v>
      </c>
      <c r="L458" s="211"/>
      <c r="M458" s="211"/>
      <c r="N458" s="211">
        <f>E458*(1-K457)</f>
        <v>0</v>
      </c>
      <c r="O458" s="211"/>
      <c r="P458" s="211"/>
      <c r="Q458" s="211">
        <f>E458*(1-N457)</f>
        <v>0</v>
      </c>
      <c r="R458" s="211"/>
      <c r="S458" s="211"/>
      <c r="T458" s="211">
        <f>E458*(1-Q457)</f>
        <v>0</v>
      </c>
      <c r="U458" s="211"/>
      <c r="V458" s="211"/>
      <c r="W458" s="211">
        <f>E458*(1-T457)</f>
        <v>0</v>
      </c>
      <c r="X458" s="211"/>
      <c r="Y458" s="211"/>
      <c r="Z458" s="211">
        <f>E458*(1-W457)</f>
        <v>0</v>
      </c>
      <c r="AA458" s="211"/>
      <c r="AB458" s="211"/>
      <c r="AC458" s="211">
        <f>E458*(1-Z457)</f>
        <v>0</v>
      </c>
      <c r="AD458" s="211"/>
      <c r="AE458" s="211"/>
      <c r="AF458" s="211">
        <f>E458*(1-AC457)</f>
        <v>0</v>
      </c>
      <c r="AG458" s="211"/>
      <c r="AH458" s="211"/>
      <c r="AI458" s="211">
        <f>E458*(1-AF457)</f>
        <v>0</v>
      </c>
      <c r="AJ458" s="211"/>
      <c r="AK458" s="211"/>
      <c r="AL458" s="211">
        <f>E458*(1-AI457)</f>
        <v>0</v>
      </c>
      <c r="AM458" s="211"/>
      <c r="AN458" s="211"/>
    </row>
    <row r="459" spans="2:40" s="7" customFormat="1" ht="12" hidden="1" customHeight="1" outlineLevel="2">
      <c r="B459" s="245"/>
      <c r="C459" s="213" t="s">
        <v>754</v>
      </c>
      <c r="D459" s="213"/>
      <c r="E459" s="213"/>
      <c r="F459" s="211">
        <f>INDEX($C$349:$AN$371, MATCH("New Customers 3MS", $C$349:$C$371, 0), MATCH($C459, $C$349:$AN$349, 0))</f>
        <v>0</v>
      </c>
      <c r="G459" s="211"/>
      <c r="H459" s="211"/>
      <c r="I459" s="211">
        <f>F459*(E457)</f>
        <v>0</v>
      </c>
      <c r="J459" s="211"/>
      <c r="K459" s="211"/>
      <c r="L459" s="211">
        <f>F459*(H457)</f>
        <v>0</v>
      </c>
      <c r="M459" s="211"/>
      <c r="N459" s="211"/>
      <c r="O459" s="211">
        <f>F459*(K457)</f>
        <v>0</v>
      </c>
      <c r="P459" s="211"/>
      <c r="Q459" s="211"/>
      <c r="R459" s="211">
        <f>F459*(N457)</f>
        <v>0</v>
      </c>
      <c r="S459" s="211"/>
      <c r="T459" s="211"/>
      <c r="U459" s="211">
        <f>F459*(Q457)</f>
        <v>0</v>
      </c>
      <c r="V459" s="211"/>
      <c r="W459" s="211"/>
      <c r="X459" s="211">
        <f>F459*(T457)</f>
        <v>0</v>
      </c>
      <c r="Y459" s="211"/>
      <c r="Z459" s="211"/>
      <c r="AA459" s="211">
        <f>F459*(W457)</f>
        <v>0</v>
      </c>
      <c r="AB459" s="211"/>
      <c r="AC459" s="211"/>
      <c r="AD459" s="211">
        <f>F459*(Z457)</f>
        <v>0</v>
      </c>
      <c r="AE459" s="211"/>
      <c r="AF459" s="211"/>
      <c r="AG459" s="211">
        <f>F459*(AC457)</f>
        <v>0</v>
      </c>
      <c r="AH459" s="211"/>
      <c r="AI459" s="211"/>
      <c r="AJ459" s="211">
        <f>F459*(AF457)</f>
        <v>0</v>
      </c>
      <c r="AK459" s="211"/>
      <c r="AL459" s="211"/>
      <c r="AM459" s="211">
        <f>F459*(AI457)</f>
        <v>0</v>
      </c>
      <c r="AN459" s="211"/>
    </row>
    <row r="460" spans="2:40" s="7" customFormat="1" ht="12" hidden="1" customHeight="1" outlineLevel="2">
      <c r="B460" s="245"/>
      <c r="C460" s="213" t="s">
        <v>755</v>
      </c>
      <c r="D460" s="213"/>
      <c r="E460" s="213"/>
      <c r="F460" s="213"/>
      <c r="G460" s="211">
        <f>INDEX($C$349:$AN$371, MATCH("New Customers 3MS", $C$349:$C$371, 0), MATCH($C460, $C$349:$AN$349, 0))</f>
        <v>0</v>
      </c>
      <c r="H460" s="211"/>
      <c r="I460" s="211"/>
      <c r="J460" s="211">
        <f>G460*(E457)</f>
        <v>0</v>
      </c>
      <c r="K460" s="211"/>
      <c r="L460" s="211"/>
      <c r="M460" s="211">
        <f>G460*(H457)</f>
        <v>0</v>
      </c>
      <c r="N460" s="211"/>
      <c r="O460" s="211"/>
      <c r="P460" s="211">
        <f>G460*(K457)</f>
        <v>0</v>
      </c>
      <c r="Q460" s="211"/>
      <c r="R460" s="211"/>
      <c r="S460" s="211">
        <f>G460*(N457)</f>
        <v>0</v>
      </c>
      <c r="T460" s="211"/>
      <c r="U460" s="211"/>
      <c r="V460" s="211">
        <f>G460*(Q457)</f>
        <v>0</v>
      </c>
      <c r="W460" s="211"/>
      <c r="X460" s="211"/>
      <c r="Y460" s="211">
        <f>G460*(T457)</f>
        <v>0</v>
      </c>
      <c r="Z460" s="211"/>
      <c r="AA460" s="211"/>
      <c r="AB460" s="211">
        <f>G460*(W457)</f>
        <v>0</v>
      </c>
      <c r="AC460" s="211"/>
      <c r="AD460" s="211"/>
      <c r="AE460" s="211">
        <f>G460*(Z457)</f>
        <v>0</v>
      </c>
      <c r="AF460" s="211"/>
      <c r="AG460" s="211"/>
      <c r="AH460" s="211">
        <f>G460*(AC457)</f>
        <v>0</v>
      </c>
      <c r="AI460" s="211"/>
      <c r="AJ460" s="211"/>
      <c r="AK460" s="211">
        <f>G460*(AF457)</f>
        <v>0</v>
      </c>
      <c r="AL460" s="211"/>
      <c r="AM460" s="211"/>
      <c r="AN460" s="211">
        <f>G460*(AI457)</f>
        <v>0</v>
      </c>
    </row>
    <row r="461" spans="2:40" s="7" customFormat="1" ht="12" hidden="1" customHeight="1" outlineLevel="2">
      <c r="B461" s="245"/>
      <c r="C461" s="213" t="s">
        <v>756</v>
      </c>
      <c r="D461" s="213"/>
      <c r="E461" s="213"/>
      <c r="F461" s="213"/>
      <c r="G461" s="213"/>
      <c r="H461" s="211">
        <f>INDEX($C$349:$AN$371, MATCH("New Customers 3MS", $C$349:$C$371, 0), MATCH($C461, $C$349:$AN$349, 0))</f>
        <v>0</v>
      </c>
      <c r="I461" s="211"/>
      <c r="J461" s="211"/>
      <c r="K461" s="211">
        <f>H461*(E457)</f>
        <v>0</v>
      </c>
      <c r="L461" s="211"/>
      <c r="M461" s="211"/>
      <c r="N461" s="211">
        <f>H461*(H457)</f>
        <v>0</v>
      </c>
      <c r="O461" s="211"/>
      <c r="P461" s="211"/>
      <c r="Q461" s="211">
        <f>H461*(K457)</f>
        <v>0</v>
      </c>
      <c r="R461" s="211"/>
      <c r="S461" s="211"/>
      <c r="T461" s="211">
        <f>H461*(N457)</f>
        <v>0</v>
      </c>
      <c r="U461" s="211"/>
      <c r="V461" s="211"/>
      <c r="W461" s="211">
        <f>H461*(Q457)</f>
        <v>0</v>
      </c>
      <c r="X461" s="211"/>
      <c r="Y461" s="211"/>
      <c r="Z461" s="211">
        <f>H461*(T457)</f>
        <v>0</v>
      </c>
      <c r="AA461" s="211"/>
      <c r="AB461" s="211"/>
      <c r="AC461" s="211">
        <f>H461*(W457)</f>
        <v>0</v>
      </c>
      <c r="AD461" s="211"/>
      <c r="AE461" s="211"/>
      <c r="AF461" s="211">
        <f>H461*(Z457)</f>
        <v>0</v>
      </c>
      <c r="AG461" s="211"/>
      <c r="AH461" s="211"/>
      <c r="AI461" s="211">
        <f>H461*(AC457)</f>
        <v>0</v>
      </c>
      <c r="AJ461" s="211"/>
      <c r="AK461" s="211"/>
      <c r="AL461" s="211">
        <f>H461*(AF457)</f>
        <v>0</v>
      </c>
      <c r="AM461" s="211"/>
      <c r="AN461" s="211"/>
    </row>
    <row r="462" spans="2:40" s="7" customFormat="1" ht="12" hidden="1" customHeight="1" outlineLevel="2">
      <c r="B462" s="245"/>
      <c r="C462" s="213" t="s">
        <v>757</v>
      </c>
      <c r="D462" s="213"/>
      <c r="E462" s="213"/>
      <c r="F462" s="213"/>
      <c r="G462" s="213"/>
      <c r="H462" s="213"/>
      <c r="I462" s="211">
        <f>INDEX($C$349:$AN$371, MATCH("New Customers 3MS", $C$349:$C$371, 0), MATCH($C462, $C$349:$AN$349, 0))</f>
        <v>0</v>
      </c>
      <c r="J462" s="211"/>
      <c r="K462" s="211"/>
      <c r="L462" s="211">
        <f>I462*(E457)</f>
        <v>0</v>
      </c>
      <c r="M462" s="211"/>
      <c r="N462" s="211"/>
      <c r="O462" s="211">
        <f>I462*(H457)</f>
        <v>0</v>
      </c>
      <c r="P462" s="211"/>
      <c r="Q462" s="211"/>
      <c r="R462" s="211">
        <f>I462*(K457)</f>
        <v>0</v>
      </c>
      <c r="S462" s="211"/>
      <c r="T462" s="211"/>
      <c r="U462" s="211">
        <f>I462*(N457)</f>
        <v>0</v>
      </c>
      <c r="V462" s="211"/>
      <c r="W462" s="211"/>
      <c r="X462" s="211">
        <f>I462*(Q457)</f>
        <v>0</v>
      </c>
      <c r="Y462" s="211"/>
      <c r="Z462" s="211"/>
      <c r="AA462" s="211">
        <f>I462*(T457)</f>
        <v>0</v>
      </c>
      <c r="AB462" s="211"/>
      <c r="AC462" s="211"/>
      <c r="AD462" s="211">
        <f>I462*(W457)</f>
        <v>0</v>
      </c>
      <c r="AE462" s="211"/>
      <c r="AF462" s="211"/>
      <c r="AG462" s="211">
        <f>I462*(Z457)</f>
        <v>0</v>
      </c>
      <c r="AH462" s="211"/>
      <c r="AI462" s="211"/>
      <c r="AJ462" s="211">
        <f>I462*(AC457)</f>
        <v>0</v>
      </c>
      <c r="AK462" s="211"/>
      <c r="AL462" s="211"/>
      <c r="AM462" s="211">
        <f>I462*(AF457)</f>
        <v>0</v>
      </c>
      <c r="AN462" s="211"/>
    </row>
    <row r="463" spans="2:40" s="7" customFormat="1" ht="12" hidden="1" customHeight="1" outlineLevel="2">
      <c r="B463" s="245"/>
      <c r="C463" s="213" t="s">
        <v>758</v>
      </c>
      <c r="D463" s="213"/>
      <c r="E463" s="213"/>
      <c r="F463" s="213"/>
      <c r="G463" s="213"/>
      <c r="H463" s="213"/>
      <c r="I463" s="213"/>
      <c r="J463" s="211">
        <f>INDEX($C$349:$AN$371, MATCH("New Customers 3MS", $C$349:$C$371, 0), MATCH($C463, $C$349:$AN$349, 0))</f>
        <v>0</v>
      </c>
      <c r="K463" s="211"/>
      <c r="L463" s="211"/>
      <c r="M463" s="211">
        <f>J463*(E457)</f>
        <v>0</v>
      </c>
      <c r="N463" s="211"/>
      <c r="O463" s="211"/>
      <c r="P463" s="211">
        <f>J463*(H457)</f>
        <v>0</v>
      </c>
      <c r="Q463" s="211"/>
      <c r="R463" s="211"/>
      <c r="S463" s="211">
        <f>J463*(K457)</f>
        <v>0</v>
      </c>
      <c r="T463" s="211"/>
      <c r="U463" s="211"/>
      <c r="V463" s="211">
        <f>J463*(N457)</f>
        <v>0</v>
      </c>
      <c r="W463" s="211"/>
      <c r="X463" s="211"/>
      <c r="Y463" s="211">
        <f>J463*(Q457)</f>
        <v>0</v>
      </c>
      <c r="Z463" s="211"/>
      <c r="AA463" s="211"/>
      <c r="AB463" s="211">
        <f>J463*(T457)</f>
        <v>0</v>
      </c>
      <c r="AC463" s="211"/>
      <c r="AD463" s="211"/>
      <c r="AE463" s="211">
        <f>J463*(W457)</f>
        <v>0</v>
      </c>
      <c r="AF463" s="211"/>
      <c r="AG463" s="211"/>
      <c r="AH463" s="211">
        <f>J463*(Z457)</f>
        <v>0</v>
      </c>
      <c r="AI463" s="211"/>
      <c r="AJ463" s="211"/>
      <c r="AK463" s="211">
        <f>J463*(AC457)</f>
        <v>0</v>
      </c>
      <c r="AL463" s="211"/>
      <c r="AM463" s="211"/>
      <c r="AN463" s="211">
        <f>J463*(AF457)</f>
        <v>0</v>
      </c>
    </row>
    <row r="464" spans="2:40" s="7" customFormat="1" ht="12" hidden="1" customHeight="1" outlineLevel="2">
      <c r="B464" s="245"/>
      <c r="C464" s="213" t="s">
        <v>759</v>
      </c>
      <c r="D464" s="213"/>
      <c r="E464" s="213"/>
      <c r="F464" s="213"/>
      <c r="G464" s="213"/>
      <c r="H464" s="213"/>
      <c r="I464" s="213"/>
      <c r="J464" s="213"/>
      <c r="K464" s="211">
        <f>INDEX($C$349:$AN$371, MATCH("New Customers 3MS", $C$349:$C$371, 0), MATCH($C464, $C$349:$AN$349, 0))</f>
        <v>0</v>
      </c>
      <c r="L464" s="211"/>
      <c r="M464" s="211"/>
      <c r="N464" s="211">
        <f>K464*(E457)</f>
        <v>0</v>
      </c>
      <c r="O464" s="211"/>
      <c r="P464" s="211"/>
      <c r="Q464" s="211">
        <f>K464*(H457)</f>
        <v>0</v>
      </c>
      <c r="R464" s="211"/>
      <c r="S464" s="211"/>
      <c r="T464" s="211">
        <f>K464*(K457)</f>
        <v>0</v>
      </c>
      <c r="U464" s="211"/>
      <c r="V464" s="211"/>
      <c r="W464" s="211">
        <f>K464*(N457)</f>
        <v>0</v>
      </c>
      <c r="X464" s="211"/>
      <c r="Y464" s="211"/>
      <c r="Z464" s="211">
        <f>K464*(Q457)</f>
        <v>0</v>
      </c>
      <c r="AA464" s="211"/>
      <c r="AB464" s="211"/>
      <c r="AC464" s="211">
        <f>K464*(T457)</f>
        <v>0</v>
      </c>
      <c r="AD464" s="211"/>
      <c r="AE464" s="211"/>
      <c r="AF464" s="211">
        <f>K464*(W457)</f>
        <v>0</v>
      </c>
      <c r="AG464" s="211"/>
      <c r="AH464" s="211"/>
      <c r="AI464" s="211">
        <f>K464*(Z457)</f>
        <v>0</v>
      </c>
      <c r="AJ464" s="211"/>
      <c r="AK464" s="211"/>
      <c r="AL464" s="211">
        <f>K464*(AC457)</f>
        <v>0</v>
      </c>
      <c r="AM464" s="211"/>
      <c r="AN464" s="211"/>
    </row>
    <row r="465" spans="2:40" s="7" customFormat="1" ht="12" hidden="1" customHeight="1" outlineLevel="2">
      <c r="B465" s="245"/>
      <c r="C465" s="213" t="s">
        <v>760</v>
      </c>
      <c r="D465" s="213"/>
      <c r="E465" s="213"/>
      <c r="F465" s="213"/>
      <c r="G465" s="213"/>
      <c r="H465" s="213"/>
      <c r="I465" s="213"/>
      <c r="J465" s="213"/>
      <c r="K465" s="213"/>
      <c r="L465" s="211">
        <f>INDEX($C$349:$AN$371, MATCH("New Customers 3MS", $C$349:$C$371, 0), MATCH($C465, $C$349:$AN$349, 0))</f>
        <v>0</v>
      </c>
      <c r="M465" s="211"/>
      <c r="N465" s="211"/>
      <c r="O465" s="211">
        <f>L465*(E457)</f>
        <v>0</v>
      </c>
      <c r="P465" s="211"/>
      <c r="Q465" s="211"/>
      <c r="R465" s="211">
        <f>L465*(H457)</f>
        <v>0</v>
      </c>
      <c r="S465" s="211"/>
      <c r="T465" s="211"/>
      <c r="U465" s="211">
        <f>L465*(K457)</f>
        <v>0</v>
      </c>
      <c r="V465" s="211"/>
      <c r="W465" s="211"/>
      <c r="X465" s="211">
        <f>L465*(N457)</f>
        <v>0</v>
      </c>
      <c r="Y465" s="211"/>
      <c r="Z465" s="211"/>
      <c r="AA465" s="211">
        <f>L465*(Q457)</f>
        <v>0</v>
      </c>
      <c r="AB465" s="211"/>
      <c r="AC465" s="211"/>
      <c r="AD465" s="211">
        <f>L465*(T457)</f>
        <v>0</v>
      </c>
      <c r="AE465" s="211"/>
      <c r="AF465" s="211"/>
      <c r="AG465" s="211">
        <f>L465*(W457)</f>
        <v>0</v>
      </c>
      <c r="AH465" s="211"/>
      <c r="AI465" s="211"/>
      <c r="AJ465" s="211">
        <f>L465*(Z457)</f>
        <v>0</v>
      </c>
      <c r="AK465" s="211"/>
      <c r="AL465" s="211"/>
      <c r="AM465" s="211">
        <f>L465*(AC457)</f>
        <v>0</v>
      </c>
      <c r="AN465" s="211"/>
    </row>
    <row r="466" spans="2:40" s="7" customFormat="1" ht="12" hidden="1" customHeight="1" outlineLevel="2">
      <c r="B466" s="245"/>
      <c r="C466" s="213" t="s">
        <v>761</v>
      </c>
      <c r="D466" s="213"/>
      <c r="E466" s="213"/>
      <c r="F466" s="213"/>
      <c r="G466" s="213"/>
      <c r="H466" s="213"/>
      <c r="I466" s="213"/>
      <c r="J466" s="213"/>
      <c r="K466" s="213"/>
      <c r="L466" s="213"/>
      <c r="M466" s="211">
        <f>INDEX($C$349:$AN$371, MATCH("New Customers 3MS", $C$349:$C$371, 0), MATCH($C466, $C$349:$AN$349, 0))</f>
        <v>0</v>
      </c>
      <c r="N466" s="211"/>
      <c r="O466" s="211"/>
      <c r="P466" s="211">
        <f>M466*(E457)</f>
        <v>0</v>
      </c>
      <c r="Q466" s="211"/>
      <c r="R466" s="211"/>
      <c r="S466" s="211">
        <f>M466*(H457)</f>
        <v>0</v>
      </c>
      <c r="T466" s="211"/>
      <c r="U466" s="211"/>
      <c r="V466" s="211">
        <f>M466*(K457)</f>
        <v>0</v>
      </c>
      <c r="W466" s="211"/>
      <c r="X466" s="211"/>
      <c r="Y466" s="211">
        <f>M466*(N457)</f>
        <v>0</v>
      </c>
      <c r="Z466" s="211"/>
      <c r="AA466" s="211"/>
      <c r="AB466" s="211">
        <f>M466*(Q457)</f>
        <v>0</v>
      </c>
      <c r="AC466" s="211"/>
      <c r="AD466" s="211"/>
      <c r="AE466" s="211">
        <f>M466*(T457)</f>
        <v>0</v>
      </c>
      <c r="AF466" s="211"/>
      <c r="AG466" s="211"/>
      <c r="AH466" s="211">
        <f>M466*(W457)</f>
        <v>0</v>
      </c>
      <c r="AI466" s="211"/>
      <c r="AJ466" s="211"/>
      <c r="AK466" s="211">
        <f>M466*(Z457)</f>
        <v>0</v>
      </c>
      <c r="AL466" s="211"/>
      <c r="AM466" s="211"/>
      <c r="AN466" s="211">
        <f>M466*(AC457)</f>
        <v>0</v>
      </c>
    </row>
    <row r="467" spans="2:40" s="7" customFormat="1" ht="12" hidden="1" customHeight="1" outlineLevel="2">
      <c r="B467" s="245"/>
      <c r="C467" s="213" t="s">
        <v>762</v>
      </c>
      <c r="D467" s="213"/>
      <c r="E467" s="213"/>
      <c r="F467" s="213"/>
      <c r="G467" s="213"/>
      <c r="H467" s="213"/>
      <c r="I467" s="213"/>
      <c r="J467" s="213"/>
      <c r="K467" s="213"/>
      <c r="L467" s="213"/>
      <c r="M467" s="213"/>
      <c r="N467" s="211">
        <f>INDEX($C$349:$AN$371, MATCH("New Customers 3MS", $C$349:$C$371, 0), MATCH($C467, $C$349:$AN$349, 0))</f>
        <v>0</v>
      </c>
      <c r="O467" s="211"/>
      <c r="P467" s="211"/>
      <c r="Q467" s="211">
        <f>N467*(E457)</f>
        <v>0</v>
      </c>
      <c r="R467" s="211"/>
      <c r="S467" s="211"/>
      <c r="T467" s="211">
        <f>N467*(H457)</f>
        <v>0</v>
      </c>
      <c r="U467" s="211"/>
      <c r="V467" s="211"/>
      <c r="W467" s="211">
        <f>N467*(K457)</f>
        <v>0</v>
      </c>
      <c r="X467" s="211"/>
      <c r="Y467" s="211"/>
      <c r="Z467" s="211">
        <f>N467*(N457)</f>
        <v>0</v>
      </c>
      <c r="AA467" s="211"/>
      <c r="AB467" s="211"/>
      <c r="AC467" s="211">
        <f>N467*(Q457)</f>
        <v>0</v>
      </c>
      <c r="AD467" s="211"/>
      <c r="AE467" s="211"/>
      <c r="AF467" s="211">
        <f>N467*(T457)</f>
        <v>0</v>
      </c>
      <c r="AG467" s="211"/>
      <c r="AH467" s="211"/>
      <c r="AI467" s="211">
        <f>N467*(W457)</f>
        <v>0</v>
      </c>
      <c r="AJ467" s="211"/>
      <c r="AK467" s="211"/>
      <c r="AL467" s="211">
        <f>N467*(Z457)</f>
        <v>0</v>
      </c>
      <c r="AM467" s="211"/>
      <c r="AN467" s="211"/>
    </row>
    <row r="468" spans="2:40" s="7" customFormat="1" ht="12" hidden="1" customHeight="1" outlineLevel="2">
      <c r="B468" s="245"/>
      <c r="C468" s="213" t="s">
        <v>763</v>
      </c>
      <c r="D468" s="213"/>
      <c r="E468" s="213"/>
      <c r="F468" s="213"/>
      <c r="G468" s="213"/>
      <c r="H468" s="213"/>
      <c r="I468" s="213"/>
      <c r="J468" s="213"/>
      <c r="K468" s="213"/>
      <c r="L468" s="213"/>
      <c r="M468" s="213"/>
      <c r="N468" s="213"/>
      <c r="O468" s="211">
        <f>INDEX($C$349:$AN$371, MATCH("New Customers 3MS", $C$349:$C$371, 0), MATCH($C468, $C$349:$AN$349, 0))</f>
        <v>0</v>
      </c>
      <c r="P468" s="211"/>
      <c r="Q468" s="211"/>
      <c r="R468" s="211">
        <f>O468*(E457)</f>
        <v>0</v>
      </c>
      <c r="S468" s="211"/>
      <c r="T468" s="211"/>
      <c r="U468" s="211">
        <f>O468*(H457)</f>
        <v>0</v>
      </c>
      <c r="V468" s="211"/>
      <c r="W468" s="211"/>
      <c r="X468" s="211">
        <f>O468*(K457)</f>
        <v>0</v>
      </c>
      <c r="Y468" s="211"/>
      <c r="Z468" s="211"/>
      <c r="AA468" s="211">
        <f>O468*(N457)</f>
        <v>0</v>
      </c>
      <c r="AB468" s="211"/>
      <c r="AC468" s="211"/>
      <c r="AD468" s="211">
        <f>O468*(Q457)</f>
        <v>0</v>
      </c>
      <c r="AE468" s="211"/>
      <c r="AF468" s="211"/>
      <c r="AG468" s="211">
        <f>O468*(T457)</f>
        <v>0</v>
      </c>
      <c r="AH468" s="211"/>
      <c r="AI468" s="211"/>
      <c r="AJ468" s="211">
        <f>O468*(W457)</f>
        <v>0</v>
      </c>
      <c r="AK468" s="211"/>
      <c r="AL468" s="211"/>
      <c r="AM468" s="211">
        <f>O468*(Z457)</f>
        <v>0</v>
      </c>
      <c r="AN468" s="211"/>
    </row>
    <row r="469" spans="2:40" s="7" customFormat="1" ht="12" hidden="1" customHeight="1" outlineLevel="2">
      <c r="B469" s="245"/>
      <c r="C469" s="213" t="s">
        <v>764</v>
      </c>
      <c r="D469" s="213"/>
      <c r="E469" s="213"/>
      <c r="F469" s="213"/>
      <c r="G469" s="213"/>
      <c r="H469" s="213"/>
      <c r="I469" s="213"/>
      <c r="J469" s="213"/>
      <c r="K469" s="213"/>
      <c r="L469" s="213"/>
      <c r="M469" s="213"/>
      <c r="N469" s="213"/>
      <c r="O469" s="213"/>
      <c r="P469" s="211">
        <f>INDEX($C$349:$AN$371, MATCH("New Customers 3MS", $C$349:$C$371, 0), MATCH($C469, $C$349:$AN$349, 0))</f>
        <v>0</v>
      </c>
      <c r="Q469" s="211"/>
      <c r="R469" s="211"/>
      <c r="S469" s="211">
        <f>P469*(E457)</f>
        <v>0</v>
      </c>
      <c r="T469" s="211"/>
      <c r="U469" s="211"/>
      <c r="V469" s="211">
        <f>P469*(H457)</f>
        <v>0</v>
      </c>
      <c r="W469" s="211"/>
      <c r="X469" s="211"/>
      <c r="Y469" s="211">
        <f>P469*(K457)</f>
        <v>0</v>
      </c>
      <c r="Z469" s="211"/>
      <c r="AA469" s="211"/>
      <c r="AB469" s="211">
        <f>P469*(N457)</f>
        <v>0</v>
      </c>
      <c r="AC469" s="211"/>
      <c r="AD469" s="211"/>
      <c r="AE469" s="211">
        <f>P469*(Q457)</f>
        <v>0</v>
      </c>
      <c r="AF469" s="211"/>
      <c r="AG469" s="211"/>
      <c r="AH469" s="211">
        <f>P469*(T457)</f>
        <v>0</v>
      </c>
      <c r="AI469" s="211"/>
      <c r="AJ469" s="211"/>
      <c r="AK469" s="211">
        <f>P469*(W457)</f>
        <v>0</v>
      </c>
      <c r="AL469" s="211"/>
      <c r="AM469" s="211"/>
      <c r="AN469" s="211">
        <f>P469*(Z457)</f>
        <v>0</v>
      </c>
    </row>
    <row r="470" spans="2:40" s="7" customFormat="1" ht="12" hidden="1" customHeight="1" outlineLevel="2">
      <c r="B470" s="245"/>
      <c r="C470" s="213" t="s">
        <v>765</v>
      </c>
      <c r="D470" s="213"/>
      <c r="E470" s="213"/>
      <c r="F470" s="213"/>
      <c r="G470" s="213"/>
      <c r="H470" s="213"/>
      <c r="I470" s="213"/>
      <c r="J470" s="213"/>
      <c r="K470" s="213"/>
      <c r="L470" s="213"/>
      <c r="M470" s="213"/>
      <c r="N470" s="213"/>
      <c r="O470" s="213"/>
      <c r="P470" s="213"/>
      <c r="Q470" s="211">
        <f>INDEX($C$349:$AN$371, MATCH("New Customers 3MS", $C$349:$C$371, 0), MATCH($C470, $C$349:$AN$349, 0))</f>
        <v>0</v>
      </c>
      <c r="R470" s="211"/>
      <c r="S470" s="211"/>
      <c r="T470" s="211">
        <f>Q470*(E457)</f>
        <v>0</v>
      </c>
      <c r="U470" s="211"/>
      <c r="V470" s="211"/>
      <c r="W470" s="211">
        <f>Q470*(H457)</f>
        <v>0</v>
      </c>
      <c r="X470" s="211"/>
      <c r="Y470" s="211"/>
      <c r="Z470" s="211">
        <f>Q470*(K457)</f>
        <v>0</v>
      </c>
      <c r="AA470" s="211"/>
      <c r="AB470" s="211"/>
      <c r="AC470" s="211">
        <f>Q470*(N457)</f>
        <v>0</v>
      </c>
      <c r="AD470" s="211"/>
      <c r="AE470" s="211"/>
      <c r="AF470" s="211">
        <f>Q470*(Q457)</f>
        <v>0</v>
      </c>
      <c r="AG470" s="211"/>
      <c r="AH470" s="211"/>
      <c r="AI470" s="211">
        <f>Q470*(T457)</f>
        <v>0</v>
      </c>
      <c r="AJ470" s="211"/>
      <c r="AK470" s="211"/>
      <c r="AL470" s="211">
        <f>Q470*(W457)</f>
        <v>0</v>
      </c>
      <c r="AM470" s="211"/>
      <c r="AN470" s="211"/>
    </row>
    <row r="471" spans="2:40" s="7" customFormat="1" ht="12" hidden="1" customHeight="1" outlineLevel="2">
      <c r="B471" s="245"/>
      <c r="C471" s="213" t="s">
        <v>766</v>
      </c>
      <c r="D471" s="213"/>
      <c r="E471" s="213"/>
      <c r="F471" s="213"/>
      <c r="G471" s="213"/>
      <c r="H471" s="213"/>
      <c r="I471" s="213"/>
      <c r="J471" s="213"/>
      <c r="K471" s="213"/>
      <c r="L471" s="213"/>
      <c r="M471" s="213"/>
      <c r="N471" s="213"/>
      <c r="O471" s="213"/>
      <c r="P471" s="213"/>
      <c r="Q471" s="213"/>
      <c r="R471" s="211">
        <f>INDEX($C$349:$AN$371, MATCH("New Customers 3MS", $C$349:$C$371, 0), MATCH($C471, $C$349:$AN$349, 0))</f>
        <v>0</v>
      </c>
      <c r="S471" s="211"/>
      <c r="T471" s="211"/>
      <c r="U471" s="211">
        <f>R471*(E457)</f>
        <v>0</v>
      </c>
      <c r="V471" s="211"/>
      <c r="W471" s="211"/>
      <c r="X471" s="211">
        <f>R471*(H457)</f>
        <v>0</v>
      </c>
      <c r="Y471" s="211"/>
      <c r="Z471" s="211"/>
      <c r="AA471" s="211">
        <f>R471*(K457)</f>
        <v>0</v>
      </c>
      <c r="AB471" s="211"/>
      <c r="AC471" s="211"/>
      <c r="AD471" s="211">
        <f>R471*(N457)</f>
        <v>0</v>
      </c>
      <c r="AE471" s="211"/>
      <c r="AF471" s="211"/>
      <c r="AG471" s="211">
        <f>R471*(Q457)</f>
        <v>0</v>
      </c>
      <c r="AH471" s="211"/>
      <c r="AI471" s="211"/>
      <c r="AJ471" s="211">
        <f>R471*(T457)</f>
        <v>0</v>
      </c>
      <c r="AK471" s="211"/>
      <c r="AL471" s="211"/>
      <c r="AM471" s="211">
        <f>R471*(W457)</f>
        <v>0</v>
      </c>
      <c r="AN471" s="211"/>
    </row>
    <row r="472" spans="2:40" s="7" customFormat="1" ht="12" hidden="1" customHeight="1" outlineLevel="2">
      <c r="B472" s="245"/>
      <c r="C472" s="213" t="s">
        <v>767</v>
      </c>
      <c r="D472" s="213"/>
      <c r="E472" s="213"/>
      <c r="F472" s="213"/>
      <c r="G472" s="213"/>
      <c r="H472" s="213"/>
      <c r="I472" s="213"/>
      <c r="J472" s="213"/>
      <c r="K472" s="213"/>
      <c r="L472" s="213"/>
      <c r="M472" s="213"/>
      <c r="N472" s="213"/>
      <c r="O472" s="213"/>
      <c r="P472" s="213"/>
      <c r="Q472" s="213"/>
      <c r="R472" s="213"/>
      <c r="S472" s="211">
        <f>INDEX($C$349:$AN$371, MATCH("New Customers 3MS", $C$349:$C$371, 0), MATCH($C472, $C$349:$AN$349, 0))</f>
        <v>0</v>
      </c>
      <c r="T472" s="211"/>
      <c r="U472" s="211"/>
      <c r="V472" s="211">
        <f>S472*(E457)</f>
        <v>0</v>
      </c>
      <c r="W472" s="211"/>
      <c r="X472" s="211"/>
      <c r="Y472" s="211">
        <f>S472*(H457)</f>
        <v>0</v>
      </c>
      <c r="Z472" s="211"/>
      <c r="AA472" s="211"/>
      <c r="AB472" s="211">
        <f>S472*(K457)</f>
        <v>0</v>
      </c>
      <c r="AC472" s="211"/>
      <c r="AD472" s="211"/>
      <c r="AE472" s="211">
        <f>S472*(N457)</f>
        <v>0</v>
      </c>
      <c r="AF472" s="211"/>
      <c r="AG472" s="211"/>
      <c r="AH472" s="211">
        <f>S472*(Q457)</f>
        <v>0</v>
      </c>
      <c r="AI472" s="211"/>
      <c r="AJ472" s="211"/>
      <c r="AK472" s="211">
        <f>S472*(T457)</f>
        <v>0</v>
      </c>
      <c r="AL472" s="211"/>
      <c r="AM472" s="211"/>
      <c r="AN472" s="211">
        <f>S472*(W457)</f>
        <v>0</v>
      </c>
    </row>
    <row r="473" spans="2:40" s="7" customFormat="1" ht="12" hidden="1" customHeight="1" outlineLevel="2">
      <c r="B473" s="245"/>
      <c r="C473" s="213" t="s">
        <v>768</v>
      </c>
      <c r="D473" s="213"/>
      <c r="E473" s="213"/>
      <c r="F473" s="213"/>
      <c r="G473" s="213"/>
      <c r="H473" s="213"/>
      <c r="I473" s="213"/>
      <c r="J473" s="213"/>
      <c r="K473" s="213"/>
      <c r="L473" s="213"/>
      <c r="M473" s="213"/>
      <c r="N473" s="213"/>
      <c r="O473" s="213"/>
      <c r="P473" s="213"/>
      <c r="Q473" s="213"/>
      <c r="R473" s="213"/>
      <c r="S473" s="213"/>
      <c r="T473" s="211">
        <f>INDEX($C$349:$AN$371, MATCH("New Customers 3MS", $C$349:$C$371, 0), MATCH($C473, $C$349:$AN$349, 0))</f>
        <v>0</v>
      </c>
      <c r="U473" s="211"/>
      <c r="V473" s="211"/>
      <c r="W473" s="211">
        <f>T473*(E457)</f>
        <v>0</v>
      </c>
      <c r="X473" s="211"/>
      <c r="Y473" s="211"/>
      <c r="Z473" s="211">
        <f>T473*(H457)</f>
        <v>0</v>
      </c>
      <c r="AA473" s="211"/>
      <c r="AB473" s="211"/>
      <c r="AC473" s="211">
        <f>T473*(K457)</f>
        <v>0</v>
      </c>
      <c r="AD473" s="211"/>
      <c r="AE473" s="211"/>
      <c r="AF473" s="211">
        <f>T473*(N457)</f>
        <v>0</v>
      </c>
      <c r="AG473" s="211"/>
      <c r="AH473" s="211"/>
      <c r="AI473" s="211">
        <f>T473*(Q457)</f>
        <v>0</v>
      </c>
      <c r="AJ473" s="211"/>
      <c r="AK473" s="211"/>
      <c r="AL473" s="211">
        <f>T473*(T457)</f>
        <v>0</v>
      </c>
      <c r="AM473" s="211"/>
      <c r="AN473" s="211"/>
    </row>
    <row r="474" spans="2:40" s="7" customFormat="1" ht="12" hidden="1" customHeight="1" outlineLevel="2">
      <c r="B474" s="245"/>
      <c r="C474" s="213" t="s">
        <v>769</v>
      </c>
      <c r="D474" s="213"/>
      <c r="E474" s="213"/>
      <c r="F474" s="213"/>
      <c r="G474" s="213"/>
      <c r="H474" s="213"/>
      <c r="I474" s="213"/>
      <c r="J474" s="213"/>
      <c r="K474" s="213"/>
      <c r="L474" s="213"/>
      <c r="M474" s="213"/>
      <c r="N474" s="213"/>
      <c r="O474" s="213"/>
      <c r="P474" s="213"/>
      <c r="Q474" s="213"/>
      <c r="R474" s="213"/>
      <c r="S474" s="213"/>
      <c r="T474" s="213"/>
      <c r="U474" s="211">
        <f>INDEX($C$349:$AN$371, MATCH("New Customers 3MS", $C$349:$C$371, 0), MATCH($C474, $C$349:$AN$349, 0))</f>
        <v>0</v>
      </c>
      <c r="V474" s="211"/>
      <c r="W474" s="211"/>
      <c r="X474" s="211">
        <f>U474*(E457)</f>
        <v>0</v>
      </c>
      <c r="Y474" s="211"/>
      <c r="Z474" s="211"/>
      <c r="AA474" s="211">
        <f>U474*(H457)</f>
        <v>0</v>
      </c>
      <c r="AB474" s="211"/>
      <c r="AC474" s="211"/>
      <c r="AD474" s="211">
        <f>U474*(K457)</f>
        <v>0</v>
      </c>
      <c r="AE474" s="211"/>
      <c r="AF474" s="211"/>
      <c r="AG474" s="211">
        <f>U474*(N457)</f>
        <v>0</v>
      </c>
      <c r="AH474" s="211"/>
      <c r="AI474" s="211"/>
      <c r="AJ474" s="211">
        <f>U474*(Q457)</f>
        <v>0</v>
      </c>
      <c r="AK474" s="211"/>
      <c r="AL474" s="211"/>
      <c r="AM474" s="211">
        <f>U474*(T457)</f>
        <v>0</v>
      </c>
      <c r="AN474" s="211"/>
    </row>
    <row r="475" spans="2:40" s="7" customFormat="1" ht="12" hidden="1" customHeight="1" outlineLevel="2">
      <c r="B475" s="245"/>
      <c r="C475" s="213" t="s">
        <v>770</v>
      </c>
      <c r="D475" s="213"/>
      <c r="E475" s="213"/>
      <c r="F475" s="213"/>
      <c r="G475" s="213"/>
      <c r="H475" s="213"/>
      <c r="I475" s="213"/>
      <c r="J475" s="213"/>
      <c r="K475" s="213"/>
      <c r="L475" s="213"/>
      <c r="M475" s="213"/>
      <c r="N475" s="213"/>
      <c r="O475" s="213"/>
      <c r="P475" s="213"/>
      <c r="Q475" s="213"/>
      <c r="R475" s="213"/>
      <c r="S475" s="213"/>
      <c r="T475" s="213"/>
      <c r="U475" s="213"/>
      <c r="V475" s="211">
        <f>INDEX($C$349:$AN$371, MATCH("New Customers 3MS", $C$349:$C$371, 0), MATCH($C475, $C$349:$AN$349, 0))</f>
        <v>0</v>
      </c>
      <c r="W475" s="211"/>
      <c r="X475" s="211"/>
      <c r="Y475" s="211">
        <f>V475*(E457)</f>
        <v>0</v>
      </c>
      <c r="Z475" s="211"/>
      <c r="AA475" s="211"/>
      <c r="AB475" s="211">
        <f>V475*(H457)</f>
        <v>0</v>
      </c>
      <c r="AC475" s="211"/>
      <c r="AD475" s="211"/>
      <c r="AE475" s="211">
        <f>V475*(K457)</f>
        <v>0</v>
      </c>
      <c r="AF475" s="211"/>
      <c r="AG475" s="211"/>
      <c r="AH475" s="211">
        <f>V475*(N457)</f>
        <v>0</v>
      </c>
      <c r="AI475" s="211"/>
      <c r="AJ475" s="211"/>
      <c r="AK475" s="211">
        <f>V475*(Q457)</f>
        <v>0</v>
      </c>
      <c r="AL475" s="211"/>
      <c r="AM475" s="211"/>
      <c r="AN475" s="211">
        <f>V475*(T457)</f>
        <v>0</v>
      </c>
    </row>
    <row r="476" spans="2:40" s="7" customFormat="1" ht="12" hidden="1" customHeight="1" outlineLevel="2">
      <c r="B476" s="245"/>
      <c r="C476" s="213" t="s">
        <v>771</v>
      </c>
      <c r="D476" s="213"/>
      <c r="E476" s="213"/>
      <c r="F476" s="213"/>
      <c r="G476" s="213"/>
      <c r="H476" s="213"/>
      <c r="I476" s="213"/>
      <c r="J476" s="213"/>
      <c r="K476" s="213"/>
      <c r="L476" s="213"/>
      <c r="M476" s="213"/>
      <c r="N476" s="213"/>
      <c r="O476" s="213"/>
      <c r="P476" s="213"/>
      <c r="Q476" s="213"/>
      <c r="R476" s="213"/>
      <c r="S476" s="213"/>
      <c r="T476" s="213"/>
      <c r="U476" s="213"/>
      <c r="V476" s="213"/>
      <c r="W476" s="211">
        <f>INDEX($C$349:$AN$371, MATCH("New Customers 3MS", $C$349:$C$371, 0), MATCH($C476, $C$349:$AN$349, 0))</f>
        <v>0</v>
      </c>
      <c r="X476" s="211"/>
      <c r="Y476" s="211"/>
      <c r="Z476" s="211">
        <f>W476*(E457)</f>
        <v>0</v>
      </c>
      <c r="AA476" s="211"/>
      <c r="AB476" s="211"/>
      <c r="AC476" s="211">
        <f>W476*(H457)</f>
        <v>0</v>
      </c>
      <c r="AD476" s="211"/>
      <c r="AE476" s="211"/>
      <c r="AF476" s="211">
        <f>W476*(K457)</f>
        <v>0</v>
      </c>
      <c r="AG476" s="211"/>
      <c r="AH476" s="211"/>
      <c r="AI476" s="211">
        <f>W476*(N457)</f>
        <v>0</v>
      </c>
      <c r="AJ476" s="211"/>
      <c r="AK476" s="211"/>
      <c r="AL476" s="211">
        <f>W476*(Q457)</f>
        <v>0</v>
      </c>
      <c r="AM476" s="211"/>
      <c r="AN476" s="211"/>
    </row>
    <row r="477" spans="2:40" s="7" customFormat="1" ht="12" hidden="1" customHeight="1" outlineLevel="2">
      <c r="B477" s="245"/>
      <c r="C477" s="213" t="s">
        <v>772</v>
      </c>
      <c r="D477" s="213"/>
      <c r="E477" s="213"/>
      <c r="F477" s="213"/>
      <c r="G477" s="213"/>
      <c r="H477" s="213"/>
      <c r="I477" s="213"/>
      <c r="J477" s="213"/>
      <c r="K477" s="213"/>
      <c r="L477" s="213"/>
      <c r="M477" s="213"/>
      <c r="N477" s="213"/>
      <c r="O477" s="213"/>
      <c r="P477" s="213"/>
      <c r="Q477" s="213"/>
      <c r="R477" s="213"/>
      <c r="S477" s="213"/>
      <c r="T477" s="213"/>
      <c r="U477" s="213"/>
      <c r="V477" s="213"/>
      <c r="W477" s="213"/>
      <c r="X477" s="211">
        <f>INDEX($C$349:$AN$371, MATCH("New Customers 3MS", $C$349:$C$371, 0), MATCH($C477, $C$349:$AN$349, 0))</f>
        <v>0</v>
      </c>
      <c r="Y477" s="211"/>
      <c r="Z477" s="211"/>
      <c r="AA477" s="211">
        <f>X477*(E457)</f>
        <v>0</v>
      </c>
      <c r="AB477" s="211"/>
      <c r="AC477" s="211"/>
      <c r="AD477" s="211">
        <f>X477*(H457)</f>
        <v>0</v>
      </c>
      <c r="AE477" s="211"/>
      <c r="AF477" s="211"/>
      <c r="AG477" s="211">
        <f>X477*(K457)</f>
        <v>0</v>
      </c>
      <c r="AH477" s="211"/>
      <c r="AI477" s="211"/>
      <c r="AJ477" s="211">
        <f>X477*(N457)</f>
        <v>0</v>
      </c>
      <c r="AK477" s="211"/>
      <c r="AL477" s="211"/>
      <c r="AM477" s="211">
        <f>X477*(Q457)</f>
        <v>0</v>
      </c>
      <c r="AN477" s="211"/>
    </row>
    <row r="478" spans="2:40" s="7" customFormat="1" ht="12" hidden="1" customHeight="1" outlineLevel="2">
      <c r="B478" s="245"/>
      <c r="C478" s="213" t="s">
        <v>773</v>
      </c>
      <c r="D478" s="213"/>
      <c r="E478" s="213"/>
      <c r="F478" s="213"/>
      <c r="G478" s="213"/>
      <c r="H478" s="213"/>
      <c r="I478" s="213"/>
      <c r="J478" s="213"/>
      <c r="K478" s="213"/>
      <c r="L478" s="213"/>
      <c r="M478" s="213"/>
      <c r="N478" s="213"/>
      <c r="O478" s="213"/>
      <c r="P478" s="213"/>
      <c r="Q478" s="213"/>
      <c r="R478" s="213"/>
      <c r="S478" s="213"/>
      <c r="T478" s="213"/>
      <c r="U478" s="213"/>
      <c r="V478" s="213"/>
      <c r="W478" s="213"/>
      <c r="X478" s="213"/>
      <c r="Y478" s="211">
        <f>INDEX($C$349:$AN$371, MATCH("New Customers 3MS", $C$349:$C$371, 0), MATCH($C478, $C$349:$AN$349, 0))</f>
        <v>0</v>
      </c>
      <c r="Z478" s="211"/>
      <c r="AA478" s="211"/>
      <c r="AB478" s="211">
        <f>Y478*(E457)</f>
        <v>0</v>
      </c>
      <c r="AC478" s="211"/>
      <c r="AD478" s="211"/>
      <c r="AE478" s="211">
        <f>Y478*(H457)</f>
        <v>0</v>
      </c>
      <c r="AF478" s="211"/>
      <c r="AG478" s="211"/>
      <c r="AH478" s="211">
        <f>Y478*(K457)</f>
        <v>0</v>
      </c>
      <c r="AI478" s="211"/>
      <c r="AJ478" s="211"/>
      <c r="AK478" s="211">
        <f>Y478*(N457)</f>
        <v>0</v>
      </c>
      <c r="AL478" s="211"/>
      <c r="AM478" s="211"/>
      <c r="AN478" s="211">
        <f>Y478*(Q457)</f>
        <v>0</v>
      </c>
    </row>
    <row r="479" spans="2:40" s="7" customFormat="1" ht="12" hidden="1" customHeight="1" outlineLevel="2">
      <c r="B479" s="245"/>
      <c r="C479" s="213" t="s">
        <v>774</v>
      </c>
      <c r="D479" s="213"/>
      <c r="E479" s="213"/>
      <c r="F479" s="213"/>
      <c r="G479" s="213"/>
      <c r="H479" s="213"/>
      <c r="I479" s="213"/>
      <c r="J479" s="213"/>
      <c r="K479" s="213"/>
      <c r="L479" s="213"/>
      <c r="M479" s="213"/>
      <c r="N479" s="213"/>
      <c r="O479" s="213"/>
      <c r="P479" s="213"/>
      <c r="Q479" s="213"/>
      <c r="R479" s="213"/>
      <c r="S479" s="213"/>
      <c r="T479" s="213"/>
      <c r="U479" s="213"/>
      <c r="V479" s="213"/>
      <c r="W479" s="213"/>
      <c r="X479" s="213"/>
      <c r="Y479" s="213"/>
      <c r="Z479" s="211">
        <f>INDEX($C$349:$AN$371, MATCH("New Customers 3MS", $C$349:$C$371, 0), MATCH($C479, $C$349:$AN$349, 0))</f>
        <v>0</v>
      </c>
      <c r="AA479" s="211"/>
      <c r="AB479" s="211"/>
      <c r="AC479" s="211">
        <f>Z479*(E457)</f>
        <v>0</v>
      </c>
      <c r="AD479" s="211"/>
      <c r="AE479" s="211"/>
      <c r="AF479" s="211">
        <f>Z479*(H457)</f>
        <v>0</v>
      </c>
      <c r="AG479" s="211"/>
      <c r="AH479" s="211"/>
      <c r="AI479" s="211">
        <f>Z479*(K457)</f>
        <v>0</v>
      </c>
      <c r="AJ479" s="211"/>
      <c r="AK479" s="211"/>
      <c r="AL479" s="211">
        <f>Z479*(N457)</f>
        <v>0</v>
      </c>
      <c r="AM479" s="211"/>
      <c r="AN479" s="211"/>
    </row>
    <row r="480" spans="2:40" s="7" customFormat="1" ht="12" hidden="1" customHeight="1" outlineLevel="2">
      <c r="B480" s="245"/>
      <c r="C480" s="213" t="s">
        <v>775</v>
      </c>
      <c r="D480" s="213"/>
      <c r="E480" s="213"/>
      <c r="F480" s="213"/>
      <c r="G480" s="213"/>
      <c r="H480" s="213"/>
      <c r="I480" s="213"/>
      <c r="J480" s="213"/>
      <c r="K480" s="213"/>
      <c r="L480" s="213"/>
      <c r="M480" s="213"/>
      <c r="N480" s="213"/>
      <c r="O480" s="213"/>
      <c r="P480" s="213"/>
      <c r="Q480" s="213"/>
      <c r="R480" s="213"/>
      <c r="S480" s="213"/>
      <c r="T480" s="213"/>
      <c r="U480" s="213"/>
      <c r="V480" s="213"/>
      <c r="W480" s="213"/>
      <c r="X480" s="213"/>
      <c r="Y480" s="213"/>
      <c r="Z480" s="213"/>
      <c r="AA480" s="211">
        <f>INDEX($C$349:$AN$371, MATCH("New Customers 3MS", $C$349:$C$371, 0), MATCH($C480, $C$349:$AN$349, 0))</f>
        <v>0</v>
      </c>
      <c r="AB480" s="211"/>
      <c r="AC480" s="211"/>
      <c r="AD480" s="211">
        <f>AA480*(E457)</f>
        <v>0</v>
      </c>
      <c r="AE480" s="211"/>
      <c r="AF480" s="211"/>
      <c r="AG480" s="211">
        <f>AA480*(H457)</f>
        <v>0</v>
      </c>
      <c r="AH480" s="211"/>
      <c r="AI480" s="211"/>
      <c r="AJ480" s="211">
        <f>AA480*(K457)</f>
        <v>0</v>
      </c>
      <c r="AK480" s="211"/>
      <c r="AL480" s="211"/>
      <c r="AM480" s="211">
        <f>AA480*(N457)</f>
        <v>0</v>
      </c>
      <c r="AN480" s="211"/>
    </row>
    <row r="481" spans="2:40" s="7" customFormat="1" ht="12" hidden="1" customHeight="1" outlineLevel="2">
      <c r="B481" s="245"/>
      <c r="C481" s="213" t="s">
        <v>776</v>
      </c>
      <c r="D481" s="213"/>
      <c r="E481" s="213"/>
      <c r="F481" s="213"/>
      <c r="G481" s="213"/>
      <c r="H481" s="213"/>
      <c r="I481" s="213"/>
      <c r="J481" s="213"/>
      <c r="K481" s="213"/>
      <c r="L481" s="213"/>
      <c r="M481" s="213"/>
      <c r="N481" s="213"/>
      <c r="O481" s="213"/>
      <c r="P481" s="213"/>
      <c r="Q481" s="213"/>
      <c r="R481" s="213"/>
      <c r="S481" s="213"/>
      <c r="T481" s="213"/>
      <c r="U481" s="213"/>
      <c r="V481" s="213"/>
      <c r="W481" s="213"/>
      <c r="X481" s="213"/>
      <c r="Y481" s="213"/>
      <c r="Z481" s="213"/>
      <c r="AA481" s="213"/>
      <c r="AB481" s="211">
        <f>INDEX($C$349:$AN$371, MATCH("New Customers 3MS", $C$349:$C$371, 0), MATCH($C481, $C$349:$AN$349, 0))</f>
        <v>0</v>
      </c>
      <c r="AC481" s="211"/>
      <c r="AD481" s="211"/>
      <c r="AE481" s="211">
        <f>AB481*(E457)</f>
        <v>0</v>
      </c>
      <c r="AF481" s="211"/>
      <c r="AG481" s="211"/>
      <c r="AH481" s="211">
        <f>AB481*(H457)</f>
        <v>0</v>
      </c>
      <c r="AI481" s="211"/>
      <c r="AJ481" s="211"/>
      <c r="AK481" s="211">
        <f>AB481*($K$153)</f>
        <v>0</v>
      </c>
      <c r="AL481" s="211"/>
      <c r="AM481" s="211"/>
      <c r="AN481" s="211">
        <f>AB481*(N457)</f>
        <v>0</v>
      </c>
    </row>
    <row r="482" spans="2:40" s="7" customFormat="1" ht="12" hidden="1" customHeight="1" outlineLevel="2">
      <c r="B482" s="245"/>
      <c r="C482" s="213" t="s">
        <v>777</v>
      </c>
      <c r="D482" s="213"/>
      <c r="E482" s="213"/>
      <c r="F482" s="213"/>
      <c r="G482" s="213"/>
      <c r="H482" s="213"/>
      <c r="I482" s="213"/>
      <c r="J482" s="213"/>
      <c r="K482" s="213"/>
      <c r="L482" s="213"/>
      <c r="M482" s="213"/>
      <c r="N482" s="213"/>
      <c r="O482" s="213"/>
      <c r="P482" s="213"/>
      <c r="Q482" s="213"/>
      <c r="R482" s="213"/>
      <c r="S482" s="213"/>
      <c r="T482" s="213"/>
      <c r="U482" s="213"/>
      <c r="V482" s="213"/>
      <c r="W482" s="213"/>
      <c r="X482" s="213"/>
      <c r="Y482" s="213"/>
      <c r="Z482" s="213"/>
      <c r="AA482" s="213"/>
      <c r="AB482" s="211"/>
      <c r="AC482" s="211">
        <f>INDEX($C$349:$AN$371, MATCH("New Customers 3MS", $C$349:$C$371, 0), MATCH($C482, $C$349:$AN$349, 0))</f>
        <v>0</v>
      </c>
      <c r="AD482" s="211"/>
      <c r="AE482" s="211"/>
      <c r="AF482" s="211">
        <f>AC482*($E$153)</f>
        <v>0</v>
      </c>
      <c r="AG482" s="211"/>
      <c r="AH482" s="211"/>
      <c r="AI482" s="211">
        <f>AB481*($H$153)</f>
        <v>0</v>
      </c>
      <c r="AJ482" s="211"/>
      <c r="AK482" s="211"/>
      <c r="AL482" s="211">
        <f>AC482*($K$153)</f>
        <v>0</v>
      </c>
      <c r="AM482" s="211"/>
      <c r="AN482" s="211"/>
    </row>
    <row r="483" spans="2:40" s="7" customFormat="1" ht="12" hidden="1" customHeight="1" outlineLevel="2">
      <c r="B483" s="245"/>
      <c r="C483" s="213" t="s">
        <v>778</v>
      </c>
      <c r="D483" s="213"/>
      <c r="E483" s="213"/>
      <c r="F483" s="213"/>
      <c r="G483" s="213"/>
      <c r="H483" s="213"/>
      <c r="I483" s="213"/>
      <c r="J483" s="213"/>
      <c r="K483" s="213"/>
      <c r="L483" s="213"/>
      <c r="M483" s="213"/>
      <c r="N483" s="213"/>
      <c r="O483" s="213"/>
      <c r="P483" s="213"/>
      <c r="Q483" s="213"/>
      <c r="R483" s="213"/>
      <c r="S483" s="213"/>
      <c r="T483" s="213"/>
      <c r="U483" s="213"/>
      <c r="V483" s="213"/>
      <c r="W483" s="213"/>
      <c r="X483" s="213"/>
      <c r="Y483" s="213"/>
      <c r="Z483" s="213"/>
      <c r="AA483" s="213"/>
      <c r="AB483" s="211"/>
      <c r="AC483" s="211"/>
      <c r="AD483" s="211">
        <f>INDEX($C$349:$AN$371, MATCH("New Customers 3MS", $C$349:$C$371, 0), MATCH($C483, $C$349:$AN$349, 0))</f>
        <v>0</v>
      </c>
      <c r="AE483" s="211"/>
      <c r="AF483" s="211"/>
      <c r="AG483" s="211">
        <f>AD483*($E$153)</f>
        <v>0</v>
      </c>
      <c r="AH483" s="211"/>
      <c r="AI483" s="211"/>
      <c r="AJ483" s="211">
        <f>AB481*($H$153)</f>
        <v>0</v>
      </c>
      <c r="AK483" s="211"/>
      <c r="AL483" s="211"/>
      <c r="AM483" s="211">
        <f>AD483*($K$153)</f>
        <v>0</v>
      </c>
      <c r="AN483" s="211"/>
    </row>
    <row r="484" spans="2:40" s="7" customFormat="1" ht="12" hidden="1" customHeight="1" outlineLevel="2">
      <c r="B484" s="245"/>
      <c r="C484" s="213" t="s">
        <v>779</v>
      </c>
      <c r="D484" s="213"/>
      <c r="E484" s="213"/>
      <c r="F484" s="213"/>
      <c r="G484" s="213"/>
      <c r="H484" s="213"/>
      <c r="I484" s="213"/>
      <c r="J484" s="213"/>
      <c r="K484" s="213"/>
      <c r="L484" s="213"/>
      <c r="M484" s="213"/>
      <c r="N484" s="213"/>
      <c r="O484" s="213"/>
      <c r="P484" s="213"/>
      <c r="Q484" s="213"/>
      <c r="R484" s="213"/>
      <c r="S484" s="213"/>
      <c r="T484" s="213"/>
      <c r="U484" s="213"/>
      <c r="V484" s="213"/>
      <c r="W484" s="213"/>
      <c r="X484" s="213"/>
      <c r="Y484" s="213"/>
      <c r="Z484" s="213"/>
      <c r="AA484" s="213"/>
      <c r="AB484" s="211"/>
      <c r="AC484" s="211"/>
      <c r="AD484" s="211"/>
      <c r="AE484" s="211">
        <f>INDEX($C$349:$AN$371, MATCH("New Customers 3MS", $C$349:$C$371, 0), MATCH($C484, $C$349:$AN$349, 0))</f>
        <v>0</v>
      </c>
      <c r="AF484" s="211"/>
      <c r="AG484" s="211"/>
      <c r="AH484" s="211">
        <f>AE484*($E$153)</f>
        <v>0</v>
      </c>
      <c r="AI484" s="211"/>
      <c r="AJ484" s="211"/>
      <c r="AK484" s="211">
        <f>AB481*($H$153)</f>
        <v>0</v>
      </c>
      <c r="AL484" s="211"/>
      <c r="AM484" s="211"/>
      <c r="AN484" s="211">
        <f>AE484*($K$153)</f>
        <v>0</v>
      </c>
    </row>
    <row r="485" spans="2:40" s="7" customFormat="1" ht="12" hidden="1" customHeight="1" outlineLevel="2">
      <c r="B485" s="245"/>
      <c r="C485" s="213" t="s">
        <v>780</v>
      </c>
      <c r="D485" s="213"/>
      <c r="E485" s="213"/>
      <c r="F485" s="213"/>
      <c r="G485" s="213"/>
      <c r="H485" s="213"/>
      <c r="I485" s="213"/>
      <c r="J485" s="213"/>
      <c r="K485" s="213"/>
      <c r="L485" s="213"/>
      <c r="M485" s="213"/>
      <c r="N485" s="213"/>
      <c r="O485" s="213"/>
      <c r="P485" s="213"/>
      <c r="Q485" s="213"/>
      <c r="R485" s="213"/>
      <c r="S485" s="213"/>
      <c r="T485" s="213"/>
      <c r="U485" s="213"/>
      <c r="V485" s="213"/>
      <c r="W485" s="213"/>
      <c r="X485" s="213"/>
      <c r="Y485" s="213"/>
      <c r="Z485" s="213"/>
      <c r="AA485" s="213"/>
      <c r="AB485" s="211"/>
      <c r="AC485" s="211"/>
      <c r="AD485" s="211"/>
      <c r="AE485" s="211"/>
      <c r="AF485" s="211">
        <f>INDEX($C$349:$AN$371, MATCH("New Customers 3MS", $C$349:$C$371, 0), MATCH($C485, $C$349:$AN$349, 0))</f>
        <v>0</v>
      </c>
      <c r="AG485" s="211"/>
      <c r="AH485" s="211"/>
      <c r="AI485" s="211">
        <f>AF485*($E$153)</f>
        <v>0</v>
      </c>
      <c r="AJ485" s="211"/>
      <c r="AK485" s="211"/>
      <c r="AL485" s="211">
        <f>AB481*($H$153)</f>
        <v>0</v>
      </c>
      <c r="AM485" s="211"/>
      <c r="AN485" s="211"/>
    </row>
    <row r="486" spans="2:40" s="7" customFormat="1" ht="12" hidden="1" customHeight="1" outlineLevel="2">
      <c r="B486" s="245"/>
      <c r="C486" s="213" t="s">
        <v>781</v>
      </c>
      <c r="D486" s="213"/>
      <c r="E486" s="213"/>
      <c r="F486" s="213"/>
      <c r="G486" s="213"/>
      <c r="H486" s="213"/>
      <c r="I486" s="213"/>
      <c r="J486" s="213"/>
      <c r="K486" s="213"/>
      <c r="L486" s="213"/>
      <c r="M486" s="213"/>
      <c r="N486" s="213"/>
      <c r="O486" s="213"/>
      <c r="P486" s="213"/>
      <c r="Q486" s="213"/>
      <c r="R486" s="213"/>
      <c r="S486" s="213"/>
      <c r="T486" s="213"/>
      <c r="U486" s="213"/>
      <c r="V486" s="213"/>
      <c r="W486" s="213"/>
      <c r="X486" s="213"/>
      <c r="Y486" s="213"/>
      <c r="Z486" s="213"/>
      <c r="AA486" s="213"/>
      <c r="AB486" s="211"/>
      <c r="AC486" s="211"/>
      <c r="AD486" s="211"/>
      <c r="AE486" s="211"/>
      <c r="AF486" s="211"/>
      <c r="AG486" s="211">
        <f>INDEX($C$349:$AN$371, MATCH("New Customers 3MS", $C$349:$C$371, 0), MATCH($C486, $C$349:$AN$349, 0))</f>
        <v>0</v>
      </c>
      <c r="AH486" s="211"/>
      <c r="AI486" s="211"/>
      <c r="AJ486" s="211">
        <f>AG486*($E$153)</f>
        <v>0</v>
      </c>
      <c r="AK486" s="211"/>
      <c r="AL486" s="211"/>
      <c r="AM486" s="211">
        <f>AB481*($H$153)</f>
        <v>0</v>
      </c>
      <c r="AN486" s="211"/>
    </row>
    <row r="487" spans="2:40" s="7" customFormat="1" ht="12" hidden="1" customHeight="1" outlineLevel="2">
      <c r="B487" s="245"/>
      <c r="C487" s="213" t="s">
        <v>782</v>
      </c>
      <c r="D487" s="213"/>
      <c r="E487" s="213"/>
      <c r="F487" s="213"/>
      <c r="G487" s="213"/>
      <c r="H487" s="213"/>
      <c r="I487" s="213"/>
      <c r="J487" s="213"/>
      <c r="K487" s="213"/>
      <c r="L487" s="213"/>
      <c r="M487" s="213"/>
      <c r="N487" s="213"/>
      <c r="O487" s="213"/>
      <c r="P487" s="213"/>
      <c r="Q487" s="213"/>
      <c r="R487" s="213"/>
      <c r="S487" s="213"/>
      <c r="T487" s="213"/>
      <c r="U487" s="213"/>
      <c r="V487" s="213"/>
      <c r="W487" s="213"/>
      <c r="X487" s="213"/>
      <c r="Y487" s="213"/>
      <c r="Z487" s="213"/>
      <c r="AA487" s="213"/>
      <c r="AB487" s="211"/>
      <c r="AC487" s="211"/>
      <c r="AD487" s="211"/>
      <c r="AE487" s="211"/>
      <c r="AF487" s="211"/>
      <c r="AG487" s="211"/>
      <c r="AH487" s="211">
        <f>INDEX($C$349:$AN$371, MATCH("New Customers 3MS", $C$349:$C$371, 0), MATCH($C487, $C$349:$AN$349, 0))</f>
        <v>0</v>
      </c>
      <c r="AI487" s="211"/>
      <c r="AJ487" s="211"/>
      <c r="AK487" s="211">
        <f>AH487*($E$153)</f>
        <v>0</v>
      </c>
      <c r="AL487" s="211"/>
      <c r="AM487" s="211"/>
      <c r="AN487" s="211">
        <f>AB481*($H$153)</f>
        <v>0</v>
      </c>
    </row>
    <row r="488" spans="2:40" s="7" customFormat="1" ht="12" hidden="1" customHeight="1" outlineLevel="2">
      <c r="B488" s="245"/>
      <c r="C488" s="213" t="s">
        <v>783</v>
      </c>
      <c r="D488" s="213"/>
      <c r="E488" s="213"/>
      <c r="F488" s="213"/>
      <c r="G488" s="213"/>
      <c r="H488" s="213"/>
      <c r="I488" s="213"/>
      <c r="J488" s="213"/>
      <c r="K488" s="213"/>
      <c r="L488" s="213"/>
      <c r="M488" s="213"/>
      <c r="N488" s="213"/>
      <c r="O488" s="213"/>
      <c r="P488" s="213"/>
      <c r="Q488" s="213"/>
      <c r="R488" s="213"/>
      <c r="S488" s="213"/>
      <c r="T488" s="213"/>
      <c r="U488" s="213"/>
      <c r="V488" s="213"/>
      <c r="W488" s="213"/>
      <c r="X488" s="213"/>
      <c r="Y488" s="213"/>
      <c r="Z488" s="213"/>
      <c r="AA488" s="213"/>
      <c r="AB488" s="211"/>
      <c r="AC488" s="211"/>
      <c r="AD488" s="211"/>
      <c r="AE488" s="211"/>
      <c r="AF488" s="211"/>
      <c r="AG488" s="211"/>
      <c r="AH488" s="211"/>
      <c r="AI488" s="211">
        <f>INDEX($C$349:$AN$371, MATCH("New Customers 3MS", $C$349:$C$371, 0), MATCH($C488, $C$349:$AN$349, 0))</f>
        <v>0</v>
      </c>
      <c r="AJ488" s="211"/>
      <c r="AK488" s="211"/>
      <c r="AL488" s="211">
        <f>AI488*($E$153)</f>
        <v>0</v>
      </c>
      <c r="AM488" s="211"/>
      <c r="AN488" s="211"/>
    </row>
    <row r="489" spans="2:40" s="7" customFormat="1" ht="12" hidden="1" customHeight="1" outlineLevel="2">
      <c r="B489" s="245"/>
      <c r="C489" s="213" t="s">
        <v>784</v>
      </c>
      <c r="D489" s="213"/>
      <c r="E489" s="213"/>
      <c r="F489" s="213"/>
      <c r="G489" s="213"/>
      <c r="H489" s="213"/>
      <c r="I489" s="213"/>
      <c r="J489" s="213"/>
      <c r="K489" s="213"/>
      <c r="L489" s="213"/>
      <c r="M489" s="213"/>
      <c r="N489" s="213"/>
      <c r="O489" s="213"/>
      <c r="P489" s="213"/>
      <c r="Q489" s="213"/>
      <c r="R489" s="213"/>
      <c r="S489" s="213"/>
      <c r="T489" s="213"/>
      <c r="U489" s="213"/>
      <c r="V489" s="213"/>
      <c r="W489" s="213"/>
      <c r="X489" s="213"/>
      <c r="Y489" s="213"/>
      <c r="Z489" s="213"/>
      <c r="AA489" s="213"/>
      <c r="AB489" s="211"/>
      <c r="AC489" s="211"/>
      <c r="AD489" s="211"/>
      <c r="AE489" s="211"/>
      <c r="AF489" s="211"/>
      <c r="AG489" s="211"/>
      <c r="AH489" s="211"/>
      <c r="AI489" s="211"/>
      <c r="AJ489" s="211">
        <f>INDEX($C$349:$AN$371, MATCH("New Customers 3MS", $C$349:$C$371, 0), MATCH($C489, $C$349:$AN$349, 0))</f>
        <v>0</v>
      </c>
      <c r="AK489" s="211"/>
      <c r="AL489" s="211"/>
      <c r="AM489" s="211">
        <f>AJ489*($E$153)</f>
        <v>0</v>
      </c>
      <c r="AN489" s="211"/>
    </row>
    <row r="490" spans="2:40" s="7" customFormat="1" ht="12" hidden="1" customHeight="1" outlineLevel="2">
      <c r="B490" s="245"/>
      <c r="C490" s="213" t="s">
        <v>785</v>
      </c>
      <c r="D490" s="213"/>
      <c r="E490" s="213"/>
      <c r="F490" s="213"/>
      <c r="G490" s="213"/>
      <c r="H490" s="213"/>
      <c r="I490" s="213"/>
      <c r="J490" s="213"/>
      <c r="K490" s="213"/>
      <c r="L490" s="213"/>
      <c r="M490" s="213"/>
      <c r="N490" s="213"/>
      <c r="O490" s="213"/>
      <c r="P490" s="213"/>
      <c r="Q490" s="213"/>
      <c r="R490" s="213"/>
      <c r="S490" s="213"/>
      <c r="T490" s="213"/>
      <c r="U490" s="213"/>
      <c r="V490" s="213"/>
      <c r="W490" s="213"/>
      <c r="X490" s="213"/>
      <c r="Y490" s="213"/>
      <c r="Z490" s="213"/>
      <c r="AA490" s="213"/>
      <c r="AB490" s="211"/>
      <c r="AC490" s="211"/>
      <c r="AD490" s="211"/>
      <c r="AE490" s="211"/>
      <c r="AF490" s="211"/>
      <c r="AG490" s="211"/>
      <c r="AH490" s="211"/>
      <c r="AI490" s="211"/>
      <c r="AJ490" s="211"/>
      <c r="AK490" s="211">
        <f>INDEX($C$349:$AN$371, MATCH("New Customers 3MS", $C$349:$C$371, 0), MATCH($C490, $C$349:$AN$349, 0))</f>
        <v>0</v>
      </c>
      <c r="AL490" s="211"/>
      <c r="AM490" s="211"/>
      <c r="AN490" s="211">
        <f>AK490*($E$153)</f>
        <v>0</v>
      </c>
    </row>
    <row r="491" spans="2:40" s="7" customFormat="1" ht="12" hidden="1" customHeight="1" outlineLevel="2">
      <c r="B491" s="245"/>
      <c r="C491" s="213" t="s">
        <v>786</v>
      </c>
      <c r="D491" s="213"/>
      <c r="E491" s="213"/>
      <c r="F491" s="213"/>
      <c r="G491" s="213"/>
      <c r="H491" s="213"/>
      <c r="I491" s="213"/>
      <c r="J491" s="213"/>
      <c r="K491" s="213"/>
      <c r="L491" s="213"/>
      <c r="M491" s="213"/>
      <c r="N491" s="213"/>
      <c r="O491" s="213"/>
      <c r="P491" s="213"/>
      <c r="Q491" s="213"/>
      <c r="R491" s="213"/>
      <c r="S491" s="213"/>
      <c r="T491" s="213"/>
      <c r="U491" s="213"/>
      <c r="V491" s="213"/>
      <c r="W491" s="213"/>
      <c r="X491" s="213"/>
      <c r="Y491" s="213"/>
      <c r="Z491" s="213"/>
      <c r="AA491" s="213"/>
      <c r="AB491" s="211"/>
      <c r="AC491" s="211"/>
      <c r="AD491" s="211"/>
      <c r="AE491" s="211"/>
      <c r="AF491" s="211"/>
      <c r="AG491" s="211"/>
      <c r="AH491" s="211"/>
      <c r="AI491" s="211"/>
      <c r="AJ491" s="211"/>
      <c r="AK491" s="211"/>
      <c r="AL491" s="211">
        <f>INDEX($C$349:$AN$371, MATCH("New Customers 3MS", $C$349:$C$371, 0), MATCH($C491, $C$349:$AN$349, 0))</f>
        <v>0</v>
      </c>
      <c r="AM491" s="211"/>
      <c r="AN491" s="211"/>
    </row>
    <row r="492" spans="2:40" s="7" customFormat="1" ht="12" hidden="1" customHeight="1" outlineLevel="2">
      <c r="B492" s="245"/>
      <c r="C492" s="213" t="s">
        <v>787</v>
      </c>
      <c r="D492" s="213"/>
      <c r="E492" s="213"/>
      <c r="F492" s="213"/>
      <c r="G492" s="213"/>
      <c r="H492" s="213"/>
      <c r="I492" s="213"/>
      <c r="J492" s="213"/>
      <c r="K492" s="213"/>
      <c r="L492" s="213"/>
      <c r="M492" s="213"/>
      <c r="N492" s="213"/>
      <c r="O492" s="213"/>
      <c r="P492" s="213"/>
      <c r="Q492" s="213"/>
      <c r="R492" s="213"/>
      <c r="S492" s="213"/>
      <c r="T492" s="213"/>
      <c r="U492" s="213"/>
      <c r="V492" s="213"/>
      <c r="W492" s="213"/>
      <c r="X492" s="213"/>
      <c r="Y492" s="213"/>
      <c r="Z492" s="213"/>
      <c r="AA492" s="213"/>
      <c r="AB492" s="211"/>
      <c r="AC492" s="211"/>
      <c r="AD492" s="211"/>
      <c r="AE492" s="211"/>
      <c r="AF492" s="211"/>
      <c r="AG492" s="211"/>
      <c r="AH492" s="211"/>
      <c r="AI492" s="211"/>
      <c r="AJ492" s="211"/>
      <c r="AK492" s="211"/>
      <c r="AL492" s="211"/>
      <c r="AM492" s="211">
        <f>INDEX($C$349:$AN$371, MATCH("New Customers 3MS", $C$349:$C$371, 0), MATCH($C492, $C$349:$AN$349, 0))</f>
        <v>0</v>
      </c>
      <c r="AN492" s="211"/>
    </row>
    <row r="493" spans="2:40" s="7" customFormat="1" ht="12" hidden="1" customHeight="1" outlineLevel="2">
      <c r="B493" s="245"/>
      <c r="C493" s="213" t="s">
        <v>788</v>
      </c>
      <c r="D493" s="213"/>
      <c r="E493" s="213"/>
      <c r="F493" s="213"/>
      <c r="G493" s="213"/>
      <c r="H493" s="213"/>
      <c r="I493" s="213"/>
      <c r="J493" s="213"/>
      <c r="K493" s="213"/>
      <c r="L493" s="213"/>
      <c r="M493" s="213"/>
      <c r="N493" s="213"/>
      <c r="O493" s="213"/>
      <c r="P493" s="213"/>
      <c r="Q493" s="213"/>
      <c r="R493" s="213"/>
      <c r="S493" s="213"/>
      <c r="T493" s="213"/>
      <c r="U493" s="213"/>
      <c r="V493" s="213"/>
      <c r="W493" s="213"/>
      <c r="X493" s="213"/>
      <c r="Y493" s="213"/>
      <c r="Z493" s="213"/>
      <c r="AA493" s="213"/>
      <c r="AB493" s="211"/>
      <c r="AC493" s="211"/>
      <c r="AD493" s="211"/>
      <c r="AE493" s="211"/>
      <c r="AF493" s="211"/>
      <c r="AG493" s="211"/>
      <c r="AH493" s="211"/>
      <c r="AI493" s="211"/>
      <c r="AJ493" s="211"/>
      <c r="AK493" s="211"/>
      <c r="AL493" s="211"/>
      <c r="AM493" s="211"/>
      <c r="AN493" s="211">
        <f>INDEX($C$349:$AN$371, MATCH("New Customers 3MS", $C$349:$C$371, 0), MATCH($C493, $C$349:$AN$349, 0))</f>
        <v>0</v>
      </c>
    </row>
    <row r="494" spans="2:40" s="7" customFormat="1" ht="12" hidden="1" customHeight="1" outlineLevel="1" collapsed="1">
      <c r="B494" s="239"/>
      <c r="C494" s="214"/>
      <c r="D494" s="214"/>
      <c r="E494" s="214"/>
      <c r="F494" s="214"/>
      <c r="G494" s="214"/>
      <c r="H494" s="214"/>
      <c r="I494" s="214"/>
      <c r="J494" s="214"/>
      <c r="K494" s="214"/>
      <c r="L494" s="214"/>
      <c r="M494" s="214"/>
      <c r="N494" s="214"/>
      <c r="O494" s="214"/>
      <c r="P494" s="214"/>
      <c r="Q494" s="214"/>
      <c r="R494" s="214"/>
      <c r="S494" s="214"/>
      <c r="T494" s="214"/>
      <c r="U494" s="214"/>
      <c r="V494" s="214"/>
      <c r="W494" s="214"/>
      <c r="X494" s="214"/>
      <c r="Y494" s="214"/>
      <c r="Z494" s="214"/>
      <c r="AA494" s="214"/>
      <c r="AB494" s="214"/>
      <c r="AC494" s="212"/>
    </row>
    <row r="495" spans="2:40" s="7" customFormat="1" ht="12" customHeight="1" collapsed="1">
      <c r="B495" s="239"/>
      <c r="C495" s="243" t="s">
        <v>855</v>
      </c>
      <c r="D495" s="214"/>
      <c r="E495" s="214"/>
      <c r="F495" s="214"/>
      <c r="G495" s="214"/>
      <c r="H495" s="214"/>
      <c r="I495" s="214"/>
      <c r="J495" s="214"/>
      <c r="K495" s="214"/>
      <c r="L495" s="214"/>
      <c r="M495" s="214"/>
      <c r="N495" s="214"/>
      <c r="O495" s="214"/>
      <c r="P495" s="214"/>
      <c r="Q495" s="214"/>
      <c r="R495" s="214"/>
      <c r="S495" s="214"/>
      <c r="T495" s="214"/>
      <c r="U495" s="214"/>
      <c r="V495" s="214"/>
      <c r="W495" s="214"/>
      <c r="X495" s="214"/>
      <c r="Y495" s="214"/>
      <c r="Z495" s="214"/>
      <c r="AA495" s="214"/>
      <c r="AB495" s="214"/>
      <c r="AC495" s="214"/>
    </row>
    <row r="496" spans="2:40" s="7" customFormat="1" ht="12" customHeight="1">
      <c r="B496" s="239"/>
      <c r="C496" s="243"/>
      <c r="D496" s="214"/>
      <c r="E496" s="214"/>
      <c r="F496" s="214"/>
      <c r="G496" s="214"/>
      <c r="H496" s="214"/>
      <c r="I496" s="214"/>
      <c r="J496" s="214"/>
      <c r="K496" s="214"/>
      <c r="L496" s="214"/>
      <c r="M496" s="214"/>
      <c r="N496" s="214"/>
      <c r="O496" s="214"/>
      <c r="P496" s="214"/>
      <c r="Q496" s="214"/>
      <c r="R496" s="214"/>
      <c r="S496" s="214"/>
      <c r="T496" s="214"/>
      <c r="U496" s="214"/>
      <c r="V496" s="214"/>
      <c r="W496" s="214"/>
      <c r="X496" s="214"/>
      <c r="Y496" s="214"/>
      <c r="Z496" s="214"/>
      <c r="AA496" s="214"/>
      <c r="AB496" s="214"/>
      <c r="AC496" s="214"/>
    </row>
    <row r="497" spans="2:2" s="7" customFormat="1">
      <c r="B497" s="235"/>
    </row>
    <row r="498" spans="2:2" s="7" customFormat="1">
      <c r="B498" s="235"/>
    </row>
    <row r="499" spans="2:2" s="7" customFormat="1">
      <c r="B499" s="235"/>
    </row>
    <row r="500" spans="2:2" s="7" customFormat="1">
      <c r="B500" s="235"/>
    </row>
    <row r="501" spans="2:2" s="7" customFormat="1">
      <c r="B501" s="235"/>
    </row>
    <row r="502" spans="2:2" s="7" customFormat="1">
      <c r="B502" s="235"/>
    </row>
    <row r="503" spans="2:2" s="7" customFormat="1">
      <c r="B503" s="235"/>
    </row>
    <row r="504" spans="2:2" s="7" customFormat="1">
      <c r="B504" s="235"/>
    </row>
    <row r="505" spans="2:2" s="7" customFormat="1">
      <c r="B505" s="235"/>
    </row>
  </sheetData>
  <sheetProtection algorithmName="SHA-512" hashValue="XFanZoK1W295NgG8ggcZhL+Va7b83FOjYdG0otDpjAMBuh90pBPN8+9fg1C66YA53vZtffP9uIvBkQHkBF5bRg==" saltValue="TWS3qRtepjwqyU/e7kvq2Q==" spinCount="100000" sheet="1" objects="1" scenarios="1"/>
  <hyperlinks>
    <hyperlink ref="B209" r:id="rId1" xr:uid="{30B5B1D4-C01E-4674-A1D8-3C7FAB22DAD6}"/>
  </hyperlinks>
  <pageMargins left="0.7" right="0.7" top="0.75" bottom="0.75" header="0.3" footer="0.3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ABD63-FA82-4228-BF8D-458CA759E1F5}">
  <sheetPr codeName="Sheet31"/>
  <dimension ref="B1:XEZ501"/>
  <sheetViews>
    <sheetView showGridLines="0" topLeftCell="D1" zoomScaleNormal="100" workbookViewId="0">
      <selection activeCell="AC4" sqref="Q4:AC4"/>
    </sheetView>
  </sheetViews>
  <sheetFormatPr baseColWidth="10" defaultColWidth="8.5" defaultRowHeight="11" outlineLevelRow="3" outlineLevelCol="1"/>
  <cols>
    <col min="1" max="1" width="6" style="283" customWidth="1"/>
    <col min="2" max="2" width="4.1640625" style="282" customWidth="1"/>
    <col min="3" max="3" width="29.5" style="283" bestFit="1" customWidth="1"/>
    <col min="4" max="4" width="10.5" style="283" customWidth="1"/>
    <col min="5" max="6" width="7.5" style="283" bestFit="1" customWidth="1" outlineLevel="1"/>
    <col min="7" max="8" width="8.5" style="283" bestFit="1" customWidth="1" outlineLevel="1"/>
    <col min="9" max="12" width="7.5" style="283" bestFit="1" customWidth="1" outlineLevel="1"/>
    <col min="13" max="21" width="7.5" style="283" bestFit="1" customWidth="1"/>
    <col min="22" max="28" width="7.1640625" style="283" bestFit="1" customWidth="1"/>
    <col min="29" max="29" width="7.1640625" style="283" bestFit="1" customWidth="1" outlineLevel="1"/>
    <col min="30" max="40" width="7.5" style="283" bestFit="1" customWidth="1" outlineLevel="1"/>
    <col min="41" max="16384" width="8.5" style="283"/>
  </cols>
  <sheetData>
    <row r="1" spans="2:40" s="7" customFormat="1">
      <c r="B1" s="235"/>
      <c r="E1" s="217" t="s">
        <v>180</v>
      </c>
      <c r="F1" s="217" t="s">
        <v>180</v>
      </c>
      <c r="G1" s="217" t="s">
        <v>180</v>
      </c>
      <c r="H1" s="217" t="s">
        <v>180</v>
      </c>
      <c r="I1" s="217" t="s">
        <v>180</v>
      </c>
      <c r="J1" s="217" t="s">
        <v>180</v>
      </c>
      <c r="K1" s="217" t="s">
        <v>180</v>
      </c>
      <c r="L1" s="217" t="s">
        <v>180</v>
      </c>
      <c r="M1" s="7" t="s">
        <v>42</v>
      </c>
      <c r="N1" s="7" t="s">
        <v>42</v>
      </c>
      <c r="O1" s="7" t="s">
        <v>42</v>
      </c>
      <c r="P1" s="7" t="s">
        <v>42</v>
      </c>
      <c r="Q1" s="7" t="s">
        <v>42</v>
      </c>
      <c r="R1" s="7" t="s">
        <v>42</v>
      </c>
      <c r="S1" s="7" t="s">
        <v>42</v>
      </c>
      <c r="T1" s="7" t="s">
        <v>42</v>
      </c>
      <c r="U1" s="7" t="s">
        <v>42</v>
      </c>
      <c r="V1" s="7" t="s">
        <v>42</v>
      </c>
      <c r="W1" s="7" t="s">
        <v>42</v>
      </c>
      <c r="X1" s="7" t="s">
        <v>42</v>
      </c>
      <c r="Y1" s="7" t="s">
        <v>42</v>
      </c>
      <c r="Z1" s="7" t="s">
        <v>42</v>
      </c>
      <c r="AA1" s="7" t="s">
        <v>42</v>
      </c>
      <c r="AB1" s="7" t="s">
        <v>42</v>
      </c>
      <c r="AC1" s="7" t="s">
        <v>42</v>
      </c>
      <c r="AD1" s="7" t="s">
        <v>42</v>
      </c>
      <c r="AE1" s="7" t="s">
        <v>42</v>
      </c>
      <c r="AF1" s="7" t="s">
        <v>42</v>
      </c>
      <c r="AG1" s="7" t="s">
        <v>42</v>
      </c>
      <c r="AH1" s="7" t="s">
        <v>42</v>
      </c>
      <c r="AI1" s="7" t="s">
        <v>42</v>
      </c>
      <c r="AJ1" s="7" t="s">
        <v>42</v>
      </c>
      <c r="AK1" s="7" t="s">
        <v>42</v>
      </c>
      <c r="AL1" s="7" t="s">
        <v>42</v>
      </c>
      <c r="AM1" s="7" t="s">
        <v>42</v>
      </c>
      <c r="AN1" s="7" t="s">
        <v>42</v>
      </c>
    </row>
    <row r="2" spans="2:40" s="7" customFormat="1">
      <c r="B2" s="235"/>
      <c r="E2" s="218">
        <v>45689</v>
      </c>
      <c r="F2" s="218">
        <v>45717</v>
      </c>
      <c r="G2" s="218">
        <v>45748</v>
      </c>
      <c r="H2" s="218">
        <v>45778</v>
      </c>
      <c r="I2" s="218">
        <v>45809</v>
      </c>
      <c r="J2" s="218">
        <v>45839</v>
      </c>
      <c r="K2" s="218">
        <v>45870</v>
      </c>
      <c r="L2" s="218">
        <v>45901</v>
      </c>
      <c r="M2" s="195">
        <v>45931</v>
      </c>
      <c r="N2" s="195">
        <v>45962</v>
      </c>
      <c r="O2" s="195">
        <v>45992</v>
      </c>
      <c r="P2" s="195">
        <v>46023</v>
      </c>
      <c r="Q2" s="258">
        <v>46054</v>
      </c>
      <c r="R2" s="258">
        <v>46082</v>
      </c>
      <c r="S2" s="258">
        <v>46113</v>
      </c>
      <c r="T2" s="258">
        <v>46143</v>
      </c>
      <c r="U2" s="258">
        <v>46174</v>
      </c>
      <c r="V2" s="258">
        <v>46204</v>
      </c>
      <c r="W2" s="258">
        <v>46235</v>
      </c>
      <c r="X2" s="258">
        <v>46266</v>
      </c>
      <c r="Y2" s="258">
        <v>46296</v>
      </c>
      <c r="Z2" s="258">
        <v>46327</v>
      </c>
      <c r="AA2" s="258">
        <v>46357</v>
      </c>
      <c r="AB2" s="258">
        <v>46388</v>
      </c>
      <c r="AC2" s="195">
        <v>46419</v>
      </c>
      <c r="AD2" s="195">
        <v>46447</v>
      </c>
      <c r="AE2" s="195">
        <v>46478</v>
      </c>
      <c r="AF2" s="195">
        <v>46508</v>
      </c>
      <c r="AG2" s="195">
        <v>46539</v>
      </c>
      <c r="AH2" s="195">
        <v>46569</v>
      </c>
      <c r="AI2" s="195">
        <v>46600</v>
      </c>
      <c r="AJ2" s="195">
        <v>46631</v>
      </c>
      <c r="AK2" s="195">
        <v>46661</v>
      </c>
      <c r="AL2" s="195">
        <v>46692</v>
      </c>
      <c r="AM2" s="195">
        <v>46722</v>
      </c>
      <c r="AN2" s="195">
        <v>46753</v>
      </c>
    </row>
    <row r="3" spans="2:40" s="7" customFormat="1">
      <c r="B3" s="235" t="s">
        <v>686</v>
      </c>
      <c r="E3" s="219" t="s">
        <v>753</v>
      </c>
      <c r="F3" s="219" t="s">
        <v>754</v>
      </c>
      <c r="G3" s="219" t="s">
        <v>755</v>
      </c>
      <c r="H3" s="219" t="s">
        <v>756</v>
      </c>
      <c r="I3" s="219" t="s">
        <v>757</v>
      </c>
      <c r="J3" s="219" t="s">
        <v>758</v>
      </c>
      <c r="K3" s="219" t="s">
        <v>759</v>
      </c>
      <c r="L3" s="219" t="s">
        <v>760</v>
      </c>
      <c r="M3" s="196" t="s">
        <v>761</v>
      </c>
      <c r="N3" s="196" t="s">
        <v>762</v>
      </c>
      <c r="O3" s="196" t="s">
        <v>763</v>
      </c>
      <c r="P3" s="196" t="s">
        <v>764</v>
      </c>
      <c r="Q3" s="259" t="s">
        <v>765</v>
      </c>
      <c r="R3" s="259" t="s">
        <v>766</v>
      </c>
      <c r="S3" s="259" t="s">
        <v>767</v>
      </c>
      <c r="T3" s="259" t="s">
        <v>768</v>
      </c>
      <c r="U3" s="259" t="s">
        <v>769</v>
      </c>
      <c r="V3" s="259" t="s">
        <v>770</v>
      </c>
      <c r="W3" s="259" t="s">
        <v>771</v>
      </c>
      <c r="X3" s="259" t="s">
        <v>772</v>
      </c>
      <c r="Y3" s="259" t="s">
        <v>773</v>
      </c>
      <c r="Z3" s="259" t="s">
        <v>774</v>
      </c>
      <c r="AA3" s="259" t="s">
        <v>775</v>
      </c>
      <c r="AB3" s="259" t="s">
        <v>776</v>
      </c>
      <c r="AC3" s="196" t="s">
        <v>777</v>
      </c>
      <c r="AD3" s="196" t="s">
        <v>778</v>
      </c>
      <c r="AE3" s="196" t="s">
        <v>779</v>
      </c>
      <c r="AF3" s="196" t="s">
        <v>780</v>
      </c>
      <c r="AG3" s="196" t="s">
        <v>781</v>
      </c>
      <c r="AH3" s="196" t="s">
        <v>782</v>
      </c>
      <c r="AI3" s="196" t="s">
        <v>783</v>
      </c>
      <c r="AJ3" s="196" t="s">
        <v>784</v>
      </c>
      <c r="AK3" s="196" t="s">
        <v>785</v>
      </c>
      <c r="AL3" s="196" t="s">
        <v>786</v>
      </c>
      <c r="AM3" s="196" t="s">
        <v>787</v>
      </c>
      <c r="AN3" s="196" t="s">
        <v>788</v>
      </c>
    </row>
    <row r="4" spans="2:40">
      <c r="B4" s="282" t="s">
        <v>905</v>
      </c>
      <c r="C4" s="283" t="s">
        <v>790</v>
      </c>
      <c r="E4" s="285">
        <v>35514</v>
      </c>
      <c r="F4" s="285">
        <v>90088</v>
      </c>
      <c r="G4" s="285">
        <v>87260</v>
      </c>
      <c r="H4" s="285">
        <v>39678</v>
      </c>
      <c r="I4" s="285">
        <v>30988</v>
      </c>
      <c r="J4" s="285">
        <v>93459</v>
      </c>
      <c r="K4" s="285">
        <v>87059</v>
      </c>
      <c r="L4" s="285">
        <v>36560</v>
      </c>
      <c r="M4" s="382">
        <v>180000</v>
      </c>
      <c r="N4" s="382">
        <v>120000</v>
      </c>
      <c r="O4" s="382">
        <v>103416</v>
      </c>
      <c r="P4" s="382">
        <v>73785</v>
      </c>
      <c r="Q4" s="382">
        <f t="shared" ref="Q4:AB4" si="0">E4*Q5</f>
        <v>60373.799999999996</v>
      </c>
      <c r="R4" s="382">
        <f t="shared" si="0"/>
        <v>126123.2</v>
      </c>
      <c r="S4" s="382">
        <f t="shared" si="0"/>
        <v>104712</v>
      </c>
      <c r="T4" s="382">
        <f t="shared" si="0"/>
        <v>59517</v>
      </c>
      <c r="U4" s="382">
        <f t="shared" si="0"/>
        <v>46482</v>
      </c>
      <c r="V4" s="382">
        <f t="shared" si="0"/>
        <v>121496.7</v>
      </c>
      <c r="W4" s="382">
        <f t="shared" si="0"/>
        <v>69647.199999999997</v>
      </c>
      <c r="X4" s="382">
        <f t="shared" si="0"/>
        <v>47528</v>
      </c>
      <c r="Y4" s="382">
        <f t="shared" si="0"/>
        <v>198000.00000000003</v>
      </c>
      <c r="Z4" s="382">
        <f t="shared" si="0"/>
        <v>156000</v>
      </c>
      <c r="AA4" s="382">
        <f t="shared" si="0"/>
        <v>103416</v>
      </c>
      <c r="AB4" s="382">
        <f t="shared" si="0"/>
        <v>88542</v>
      </c>
      <c r="AC4" s="286">
        <f>Q4*AC5</f>
        <v>72448.56</v>
      </c>
      <c r="AD4" s="286">
        <f>R4*AD5</f>
        <v>163960.16</v>
      </c>
      <c r="AE4" s="286">
        <f>S4*AE5</f>
        <v>125654.39999999999</v>
      </c>
      <c r="AF4" s="286">
        <f>T4*AF5</f>
        <v>71420.399999999994</v>
      </c>
      <c r="AG4" s="286">
        <f t="shared" ref="AG4:AM4" si="1">U4*AG5</f>
        <v>55778.400000000001</v>
      </c>
      <c r="AH4" s="286">
        <f t="shared" si="1"/>
        <v>157945.71</v>
      </c>
      <c r="AI4" s="286">
        <f t="shared" si="1"/>
        <v>55717.760000000002</v>
      </c>
      <c r="AJ4" s="286">
        <f t="shared" si="1"/>
        <v>61786.400000000001</v>
      </c>
      <c r="AK4" s="286">
        <f t="shared" si="1"/>
        <v>237600.00000000003</v>
      </c>
      <c r="AL4" s="286">
        <f t="shared" si="1"/>
        <v>202800</v>
      </c>
      <c r="AM4" s="286">
        <f t="shared" si="1"/>
        <v>82732.800000000003</v>
      </c>
      <c r="AN4" s="286">
        <f>AB4*AN5</f>
        <v>88542</v>
      </c>
    </row>
    <row r="5" spans="2:40">
      <c r="C5" s="283" t="s">
        <v>791</v>
      </c>
      <c r="E5" s="285"/>
      <c r="F5" s="285"/>
      <c r="G5" s="285"/>
      <c r="H5" s="285"/>
      <c r="I5" s="285"/>
      <c r="J5" s="285"/>
      <c r="K5" s="285"/>
      <c r="L5" s="285"/>
      <c r="M5" s="383">
        <v>1</v>
      </c>
      <c r="N5" s="383">
        <v>1</v>
      </c>
      <c r="O5" s="383">
        <v>1</v>
      </c>
      <c r="P5" s="383">
        <v>0.7</v>
      </c>
      <c r="Q5" s="383">
        <v>1.7</v>
      </c>
      <c r="R5" s="383">
        <v>1.4</v>
      </c>
      <c r="S5" s="383">
        <v>1.2</v>
      </c>
      <c r="T5" s="383">
        <v>1.5</v>
      </c>
      <c r="U5" s="383">
        <v>1.5</v>
      </c>
      <c r="V5" s="383">
        <v>1.3</v>
      </c>
      <c r="W5" s="383">
        <v>0.8</v>
      </c>
      <c r="X5" s="383">
        <v>1.3</v>
      </c>
      <c r="Y5" s="383">
        <v>1.1000000000000001</v>
      </c>
      <c r="Z5" s="383">
        <v>1.3</v>
      </c>
      <c r="AA5" s="383">
        <v>1</v>
      </c>
      <c r="AB5" s="383">
        <v>1.2</v>
      </c>
      <c r="AC5" s="384">
        <v>1.2</v>
      </c>
      <c r="AD5" s="384">
        <v>1.3</v>
      </c>
      <c r="AE5" s="384">
        <v>1.2</v>
      </c>
      <c r="AF5" s="384">
        <v>1.2</v>
      </c>
      <c r="AG5" s="290">
        <v>1.2</v>
      </c>
      <c r="AH5" s="290">
        <v>1.3</v>
      </c>
      <c r="AI5" s="290">
        <v>0.8</v>
      </c>
      <c r="AJ5" s="290">
        <v>1.3</v>
      </c>
      <c r="AK5" s="290">
        <v>1.2</v>
      </c>
      <c r="AL5" s="290">
        <v>1.3</v>
      </c>
      <c r="AM5" s="290">
        <v>0.8</v>
      </c>
      <c r="AN5" s="290">
        <v>1</v>
      </c>
    </row>
    <row r="6" spans="2:40">
      <c r="B6" s="282" t="s">
        <v>906</v>
      </c>
      <c r="C6" s="283" t="s">
        <v>793</v>
      </c>
      <c r="E6" s="291">
        <v>2.5499999999999998E-2</v>
      </c>
      <c r="F6" s="291">
        <v>4.4900000000000002E-2</v>
      </c>
      <c r="G6" s="291">
        <v>4.24E-2</v>
      </c>
      <c r="H6" s="291">
        <v>2.3300000000000001E-2</v>
      </c>
      <c r="I6" s="291">
        <v>2.9600000000000001E-2</v>
      </c>
      <c r="J6" s="291">
        <v>5.5500000000000001E-2</v>
      </c>
      <c r="K6" s="291">
        <v>4.9700000000000001E-2</v>
      </c>
      <c r="L6" s="291">
        <v>1.9599999999999999E-2</v>
      </c>
      <c r="M6" s="376">
        <v>0.04</v>
      </c>
      <c r="N6" s="376">
        <v>0.04</v>
      </c>
      <c r="O6" s="376">
        <v>0.04</v>
      </c>
      <c r="P6" s="376">
        <v>0.04</v>
      </c>
      <c r="Q6" s="376">
        <v>2.7E-2</v>
      </c>
      <c r="R6" s="376">
        <v>4.2999999999999997E-2</v>
      </c>
      <c r="S6" s="376">
        <v>4.2000000000000003E-2</v>
      </c>
      <c r="T6" s="376">
        <v>2.5000000000000001E-2</v>
      </c>
      <c r="U6" s="376">
        <v>2.5999999999999999E-2</v>
      </c>
      <c r="V6" s="376">
        <v>5.5E-2</v>
      </c>
      <c r="W6" s="376">
        <v>2.1999999999999999E-2</v>
      </c>
      <c r="X6" s="376">
        <v>2.5000000000000001E-2</v>
      </c>
      <c r="Y6" s="376">
        <v>0.04</v>
      </c>
      <c r="Z6" s="376">
        <v>0.04</v>
      </c>
      <c r="AA6" s="376">
        <v>0.02</v>
      </c>
      <c r="AB6" s="376">
        <v>2.5000000000000001E-2</v>
      </c>
      <c r="AC6" s="292">
        <v>2.7E-2</v>
      </c>
      <c r="AD6" s="292">
        <v>4.2999999999999997E-2</v>
      </c>
      <c r="AE6" s="292">
        <v>4.2000000000000003E-2</v>
      </c>
      <c r="AF6" s="292">
        <v>2.5000000000000001E-2</v>
      </c>
      <c r="AG6" s="292">
        <v>2.5999999999999999E-2</v>
      </c>
      <c r="AH6" s="292">
        <v>5.5E-2</v>
      </c>
      <c r="AI6" s="292">
        <v>2.1999999999999999E-2</v>
      </c>
      <c r="AJ6" s="292">
        <v>2.5000000000000001E-2</v>
      </c>
      <c r="AK6" s="292">
        <v>0.04</v>
      </c>
      <c r="AL6" s="292">
        <v>0.04</v>
      </c>
      <c r="AM6" s="292">
        <v>0.02</v>
      </c>
      <c r="AN6" s="292">
        <v>2.5000000000000001E-2</v>
      </c>
    </row>
    <row r="7" spans="2:40" s="7" customFormat="1">
      <c r="B7" s="235"/>
      <c r="C7" s="7" t="s">
        <v>794</v>
      </c>
      <c r="E7" s="321">
        <f t="shared" ref="E7:I7" si="2">E4*E6</f>
        <v>905.60699999999997</v>
      </c>
      <c r="F7" s="321">
        <f t="shared" si="2"/>
        <v>4044.9512000000004</v>
      </c>
      <c r="G7" s="321">
        <f t="shared" si="2"/>
        <v>3699.8240000000001</v>
      </c>
      <c r="H7" s="321">
        <f t="shared" si="2"/>
        <v>924.49740000000008</v>
      </c>
      <c r="I7" s="321">
        <f t="shared" si="2"/>
        <v>917.24480000000005</v>
      </c>
      <c r="J7" s="321">
        <f>J4*J6</f>
        <v>5186.9745000000003</v>
      </c>
      <c r="K7" s="321">
        <f t="shared" ref="K7:AN7" si="3">K4*K6</f>
        <v>4326.8323</v>
      </c>
      <c r="L7" s="321">
        <f t="shared" si="3"/>
        <v>716.57600000000002</v>
      </c>
      <c r="M7" s="322">
        <f t="shared" si="3"/>
        <v>7200</v>
      </c>
      <c r="N7" s="322">
        <f t="shared" si="3"/>
        <v>4800</v>
      </c>
      <c r="O7" s="322">
        <f t="shared" si="3"/>
        <v>4136.6400000000003</v>
      </c>
      <c r="P7" s="322">
        <f t="shared" si="3"/>
        <v>2951.4</v>
      </c>
      <c r="Q7" s="322">
        <f t="shared" si="3"/>
        <v>1630.0925999999999</v>
      </c>
      <c r="R7" s="322">
        <f t="shared" si="3"/>
        <v>5423.2975999999999</v>
      </c>
      <c r="S7" s="322">
        <f t="shared" si="3"/>
        <v>4397.9040000000005</v>
      </c>
      <c r="T7" s="322">
        <f t="shared" si="3"/>
        <v>1487.9250000000002</v>
      </c>
      <c r="U7" s="322">
        <f t="shared" si="3"/>
        <v>1208.5319999999999</v>
      </c>
      <c r="V7" s="322">
        <f t="shared" si="3"/>
        <v>6682.3185000000003</v>
      </c>
      <c r="W7" s="322">
        <f t="shared" si="3"/>
        <v>1532.2384</v>
      </c>
      <c r="X7" s="322">
        <f t="shared" si="3"/>
        <v>1188.2</v>
      </c>
      <c r="Y7" s="322">
        <f t="shared" si="3"/>
        <v>7920.0000000000009</v>
      </c>
      <c r="Z7" s="322">
        <f t="shared" si="3"/>
        <v>6240</v>
      </c>
      <c r="AA7" s="322">
        <f t="shared" si="3"/>
        <v>2068.3200000000002</v>
      </c>
      <c r="AB7" s="322">
        <f t="shared" si="3"/>
        <v>2213.5500000000002</v>
      </c>
      <c r="AC7" s="322">
        <f t="shared" si="3"/>
        <v>1956.11112</v>
      </c>
      <c r="AD7" s="322">
        <f t="shared" si="3"/>
        <v>7050.2868799999997</v>
      </c>
      <c r="AE7" s="322">
        <f t="shared" si="3"/>
        <v>5277.4848000000002</v>
      </c>
      <c r="AF7" s="322">
        <f t="shared" si="3"/>
        <v>1785.51</v>
      </c>
      <c r="AG7" s="322">
        <f t="shared" si="3"/>
        <v>1450.2384</v>
      </c>
      <c r="AH7" s="322">
        <f t="shared" si="3"/>
        <v>8687.0140499999998</v>
      </c>
      <c r="AI7" s="322">
        <f t="shared" si="3"/>
        <v>1225.79072</v>
      </c>
      <c r="AJ7" s="322">
        <f t="shared" si="3"/>
        <v>1544.66</v>
      </c>
      <c r="AK7" s="322">
        <f t="shared" si="3"/>
        <v>9504.0000000000018</v>
      </c>
      <c r="AL7" s="322">
        <f t="shared" si="3"/>
        <v>8112</v>
      </c>
      <c r="AM7" s="322">
        <f t="shared" si="3"/>
        <v>1654.6560000000002</v>
      </c>
      <c r="AN7" s="322">
        <f t="shared" si="3"/>
        <v>2213.5500000000002</v>
      </c>
    </row>
    <row r="8" spans="2:40">
      <c r="C8" s="283" t="s">
        <v>795</v>
      </c>
      <c r="E8" s="291">
        <f>E12/E13</f>
        <v>0.44306651634723787</v>
      </c>
      <c r="F8" s="291">
        <f t="shared" ref="F8:L8" si="4">F12/F13</f>
        <v>0.50977964842782864</v>
      </c>
      <c r="G8" s="291">
        <f t="shared" si="4"/>
        <v>0.41138211382113821</v>
      </c>
      <c r="H8" s="291">
        <f t="shared" si="4"/>
        <v>0.38681318681318683</v>
      </c>
      <c r="I8" s="291">
        <f t="shared" si="4"/>
        <v>0.44918032786885248</v>
      </c>
      <c r="J8" s="291">
        <f t="shared" si="4"/>
        <v>0.47100889060688056</v>
      </c>
      <c r="K8" s="291">
        <f t="shared" si="4"/>
        <v>0.38962242297892052</v>
      </c>
      <c r="L8" s="291">
        <f t="shared" si="4"/>
        <v>0.34788732394366195</v>
      </c>
      <c r="M8" s="376">
        <v>0.5</v>
      </c>
      <c r="N8" s="376">
        <v>0.5</v>
      </c>
      <c r="O8" s="376">
        <v>0.35</v>
      </c>
      <c r="P8" s="376">
        <v>0.35</v>
      </c>
      <c r="Q8" s="376">
        <v>0.3</v>
      </c>
      <c r="R8" s="376">
        <v>0.45</v>
      </c>
      <c r="S8" s="376">
        <v>0.38</v>
      </c>
      <c r="T8" s="376">
        <v>0.3</v>
      </c>
      <c r="U8" s="376">
        <v>0.42</v>
      </c>
      <c r="V8" s="376">
        <v>0.48</v>
      </c>
      <c r="W8" s="376">
        <v>0.35</v>
      </c>
      <c r="X8" s="376">
        <v>0.35</v>
      </c>
      <c r="Y8" s="376">
        <v>0.5</v>
      </c>
      <c r="Z8" s="376">
        <v>0.5</v>
      </c>
      <c r="AA8" s="376">
        <v>0.32</v>
      </c>
      <c r="AB8" s="376">
        <v>0.32</v>
      </c>
      <c r="AC8" s="292">
        <v>0.3</v>
      </c>
      <c r="AD8" s="292">
        <v>0.45</v>
      </c>
      <c r="AE8" s="292">
        <v>0.38</v>
      </c>
      <c r="AF8" s="292">
        <v>0.3</v>
      </c>
      <c r="AG8" s="292">
        <v>0.42</v>
      </c>
      <c r="AH8" s="292">
        <v>0.48</v>
      </c>
      <c r="AI8" s="292">
        <v>0.35</v>
      </c>
      <c r="AJ8" s="292">
        <v>0.35</v>
      </c>
      <c r="AK8" s="292">
        <v>0.5</v>
      </c>
      <c r="AL8" s="292">
        <v>0.5</v>
      </c>
      <c r="AM8" s="292">
        <v>0.32</v>
      </c>
      <c r="AN8" s="292">
        <v>0.32</v>
      </c>
    </row>
    <row r="9" spans="2:40" s="7" customFormat="1" ht="14.5" customHeight="1">
      <c r="B9" s="235"/>
      <c r="C9" s="7" t="s">
        <v>865</v>
      </c>
      <c r="E9" s="321">
        <v>369</v>
      </c>
      <c r="F9" s="321">
        <v>1934</v>
      </c>
      <c r="G9" s="321">
        <v>2109</v>
      </c>
      <c r="H9" s="321">
        <v>482</v>
      </c>
      <c r="I9" s="321">
        <v>470</v>
      </c>
      <c r="J9" s="321">
        <v>2634</v>
      </c>
      <c r="K9" s="321">
        <v>2568</v>
      </c>
      <c r="L9" s="321">
        <v>419</v>
      </c>
      <c r="M9" s="322">
        <f t="shared" ref="M9:AN9" si="5">M58+M213+M363</f>
        <v>2803.0572570364493</v>
      </c>
      <c r="N9" s="322">
        <f t="shared" si="5"/>
        <v>2428.5755069806996</v>
      </c>
      <c r="O9" s="322">
        <f t="shared" si="5"/>
        <v>1214.2877534903498</v>
      </c>
      <c r="P9" s="322">
        <f t="shared" si="5"/>
        <v>1216.5709219858156</v>
      </c>
      <c r="Q9" s="322">
        <f t="shared" si="5"/>
        <v>663.02855999999997</v>
      </c>
      <c r="R9" s="322">
        <f t="shared" si="5"/>
        <v>1602.1555199999998</v>
      </c>
      <c r="S9" s="322">
        <f t="shared" si="5"/>
        <v>1604.52864</v>
      </c>
      <c r="T9" s="322">
        <f t="shared" si="5"/>
        <v>1067.5085421513002</v>
      </c>
      <c r="U9" s="322">
        <f t="shared" si="5"/>
        <v>855.58852021276596</v>
      </c>
      <c r="V9" s="322">
        <f t="shared" si="5"/>
        <v>2317.5761336879432</v>
      </c>
      <c r="W9" s="322">
        <f t="shared" si="5"/>
        <v>914.52215315602837</v>
      </c>
      <c r="X9" s="322">
        <f t="shared" si="5"/>
        <v>823.41490585106385</v>
      </c>
      <c r="Y9" s="322">
        <f t="shared" si="5"/>
        <v>3163.0843971631207</v>
      </c>
      <c r="Z9" s="322">
        <f t="shared" si="5"/>
        <v>2919.7702127659572</v>
      </c>
      <c r="AA9" s="322">
        <f t="shared" si="5"/>
        <v>973.25673758865253</v>
      </c>
      <c r="AB9" s="322">
        <f t="shared" si="5"/>
        <v>973.25673758865253</v>
      </c>
      <c r="AC9" s="322">
        <f t="shared" si="5"/>
        <v>943.41668601418439</v>
      </c>
      <c r="AD9" s="322">
        <f t="shared" si="5"/>
        <v>2368.7414456453898</v>
      </c>
      <c r="AE9" s="322">
        <f t="shared" si="5"/>
        <v>1863.9107427163128</v>
      </c>
      <c r="AF9" s="322">
        <f t="shared" si="5"/>
        <v>1174.2593963664303</v>
      </c>
      <c r="AG9" s="322">
        <f t="shared" si="5"/>
        <v>1429.6837332446808</v>
      </c>
      <c r="AH9" s="322">
        <f t="shared" si="5"/>
        <v>3472.0629970744681</v>
      </c>
      <c r="AI9" s="322">
        <f t="shared" si="5"/>
        <v>638.5833487576831</v>
      </c>
      <c r="AJ9" s="322">
        <f t="shared" si="5"/>
        <v>1190.8221984219858</v>
      </c>
      <c r="AK9" s="322">
        <f t="shared" si="5"/>
        <v>4112.0097163120572</v>
      </c>
      <c r="AL9" s="322">
        <f t="shared" si="5"/>
        <v>3503.7242553191491</v>
      </c>
      <c r="AM9" s="322">
        <f t="shared" si="5"/>
        <v>681.27971631205673</v>
      </c>
      <c r="AN9" s="322">
        <f t="shared" si="5"/>
        <v>973.25673758865253</v>
      </c>
    </row>
    <row r="10" spans="2:40" s="7" customFormat="1">
      <c r="B10" s="235"/>
      <c r="C10" s="7" t="s">
        <v>866</v>
      </c>
      <c r="E10" s="321">
        <v>77</v>
      </c>
      <c r="F10" s="321">
        <v>37</v>
      </c>
      <c r="G10" s="321">
        <v>29</v>
      </c>
      <c r="H10" s="321">
        <v>25</v>
      </c>
      <c r="I10" s="321">
        <v>7</v>
      </c>
      <c r="J10" s="321">
        <v>73</v>
      </c>
      <c r="K10" s="321">
        <v>39</v>
      </c>
      <c r="L10" s="321">
        <v>28</v>
      </c>
      <c r="M10" s="322">
        <f t="shared" ref="M10:AN10" si="6">M59+M60+M214+M215+M365+M364</f>
        <v>10.942742963550796</v>
      </c>
      <c r="N10" s="322">
        <f t="shared" si="6"/>
        <v>21.885485927101591</v>
      </c>
      <c r="O10" s="322">
        <f t="shared" si="6"/>
        <v>10.942742963550796</v>
      </c>
      <c r="P10" s="322">
        <f t="shared" si="6"/>
        <v>8.6595744680851059</v>
      </c>
      <c r="Q10" s="322">
        <f t="shared" si="6"/>
        <v>7.7547200000000007</v>
      </c>
      <c r="R10" s="322">
        <f t="shared" si="6"/>
        <v>12.516839999999998</v>
      </c>
      <c r="S10" s="322">
        <f t="shared" si="6"/>
        <v>12.535380000000002</v>
      </c>
      <c r="T10" s="322">
        <f t="shared" si="6"/>
        <v>7.5985456737588652</v>
      </c>
      <c r="U10" s="322">
        <f t="shared" si="6"/>
        <v>9.3430579787234045</v>
      </c>
      <c r="V10" s="322">
        <f t="shared" si="6"/>
        <v>16.982163297872344</v>
      </c>
      <c r="W10" s="322">
        <f t="shared" si="6"/>
        <v>6.8923608510638292</v>
      </c>
      <c r="X10" s="322">
        <f t="shared" si="6"/>
        <v>9.1795819148936175</v>
      </c>
      <c r="Y10" s="322">
        <f t="shared" si="6"/>
        <v>22.514893617021279</v>
      </c>
      <c r="Z10" s="322">
        <f t="shared" si="6"/>
        <v>20.782978723404256</v>
      </c>
      <c r="AA10" s="322">
        <f t="shared" si="6"/>
        <v>6.9276595744680858</v>
      </c>
      <c r="AB10" s="322">
        <f t="shared" si="6"/>
        <v>6.9276595744680858</v>
      </c>
      <c r="AC10" s="322">
        <f t="shared" si="6"/>
        <v>6.7152575319148937</v>
      </c>
      <c r="AD10" s="322">
        <f t="shared" si="6"/>
        <v>16.860745702127659</v>
      </c>
      <c r="AE10" s="322">
        <f t="shared" si="6"/>
        <v>13.267351361702131</v>
      </c>
      <c r="AF10" s="322">
        <f t="shared" si="6"/>
        <v>8.3584002411347527</v>
      </c>
      <c r="AG10" s="322">
        <f t="shared" si="6"/>
        <v>10.176515425531916</v>
      </c>
      <c r="AH10" s="322">
        <f t="shared" si="6"/>
        <v>24.714209042553193</v>
      </c>
      <c r="AI10" s="322">
        <f t="shared" si="6"/>
        <v>4.5454481631205672</v>
      </c>
      <c r="AJ10" s="322">
        <f t="shared" si="6"/>
        <v>8.4762945744680867</v>
      </c>
      <c r="AK10" s="322">
        <f t="shared" si="6"/>
        <v>29.269361702127661</v>
      </c>
      <c r="AL10" s="322">
        <f t="shared" si="6"/>
        <v>24.939574468085109</v>
      </c>
      <c r="AM10" s="322">
        <f t="shared" si="6"/>
        <v>4.84936170212766</v>
      </c>
      <c r="AN10" s="322">
        <f t="shared" si="6"/>
        <v>6.9276595744680858</v>
      </c>
    </row>
    <row r="11" spans="2:40" s="7" customFormat="1">
      <c r="B11" s="235"/>
      <c r="C11" s="7" t="s">
        <v>798</v>
      </c>
      <c r="E11" s="321">
        <v>48</v>
      </c>
      <c r="F11" s="321">
        <v>9</v>
      </c>
      <c r="G11" s="321">
        <v>34</v>
      </c>
      <c r="H11" s="321">
        <v>51</v>
      </c>
      <c r="I11" s="321">
        <v>27</v>
      </c>
      <c r="J11" s="321">
        <v>30</v>
      </c>
      <c r="K11" s="321">
        <v>28</v>
      </c>
      <c r="L11" s="321">
        <v>16</v>
      </c>
      <c r="M11" s="322">
        <f t="shared" ref="M11:AN11" si="7">M63+M62+M217+M218+M366+M367</f>
        <v>516.05725703644919</v>
      </c>
      <c r="N11" s="322">
        <f t="shared" si="7"/>
        <v>425.11451407289837</v>
      </c>
      <c r="O11" s="322">
        <f t="shared" si="7"/>
        <v>362.55725703644919</v>
      </c>
      <c r="P11" s="322">
        <f t="shared" si="7"/>
        <v>407.84042553191489</v>
      </c>
      <c r="Q11" s="322">
        <f t="shared" si="7"/>
        <v>328.00919999999996</v>
      </c>
      <c r="R11" s="322">
        <f t="shared" si="7"/>
        <v>275.97920000000022</v>
      </c>
      <c r="S11" s="322">
        <f t="shared" si="7"/>
        <v>328.75440000000003</v>
      </c>
      <c r="T11" s="322">
        <f t="shared" si="7"/>
        <v>256.50080432624122</v>
      </c>
      <c r="U11" s="322">
        <f t="shared" si="7"/>
        <v>211.51591702127658</v>
      </c>
      <c r="V11" s="322">
        <f t="shared" si="7"/>
        <v>270.72696170212794</v>
      </c>
      <c r="W11" s="322">
        <f t="shared" si="7"/>
        <v>206.63946414893621</v>
      </c>
      <c r="X11" s="322">
        <f t="shared" si="7"/>
        <v>170.0116430851063</v>
      </c>
      <c r="Y11" s="322">
        <f t="shared" si="7"/>
        <v>230.98510638297873</v>
      </c>
      <c r="Z11" s="322">
        <f t="shared" si="7"/>
        <v>174.21702127659574</v>
      </c>
      <c r="AA11" s="322">
        <f t="shared" si="7"/>
        <v>144.07234042553193</v>
      </c>
      <c r="AB11" s="322">
        <f t="shared" si="7"/>
        <v>211.07234042553193</v>
      </c>
      <c r="AC11" s="322">
        <f t="shared" si="7"/>
        <v>157.43062246808512</v>
      </c>
      <c r="AD11" s="322">
        <f t="shared" si="7"/>
        <v>127.88331429787279</v>
      </c>
      <c r="AE11" s="322">
        <f t="shared" si="7"/>
        <v>194.64560363829719</v>
      </c>
      <c r="AF11" s="322">
        <f t="shared" si="7"/>
        <v>146.05088475886521</v>
      </c>
      <c r="AG11" s="322">
        <f t="shared" si="7"/>
        <v>119.3101720744681</v>
      </c>
      <c r="AH11" s="322">
        <f t="shared" si="7"/>
        <v>186.34947845744682</v>
      </c>
      <c r="AI11" s="322">
        <f t="shared" si="7"/>
        <v>139.1268293368795</v>
      </c>
      <c r="AJ11" s="322">
        <f t="shared" si="7"/>
        <v>116.31054292553196</v>
      </c>
      <c r="AK11" s="322">
        <f t="shared" si="7"/>
        <v>182.18063829787215</v>
      </c>
      <c r="AL11" s="322">
        <f t="shared" si="7"/>
        <v>140.26042553191471</v>
      </c>
      <c r="AM11" s="322">
        <f t="shared" si="7"/>
        <v>119.55063829787231</v>
      </c>
      <c r="AN11" s="322">
        <f t="shared" si="7"/>
        <v>187.07234042553191</v>
      </c>
    </row>
    <row r="12" spans="2:40" s="7" customFormat="1">
      <c r="B12" s="235"/>
      <c r="C12" s="7" t="s">
        <v>799</v>
      </c>
      <c r="E12" s="321">
        <v>393</v>
      </c>
      <c r="F12" s="321">
        <v>2059</v>
      </c>
      <c r="G12" s="321">
        <v>1518</v>
      </c>
      <c r="H12" s="321">
        <v>352</v>
      </c>
      <c r="I12" s="321">
        <v>411</v>
      </c>
      <c r="J12" s="321">
        <v>2437</v>
      </c>
      <c r="K12" s="321">
        <v>1682</v>
      </c>
      <c r="L12" s="321">
        <v>247</v>
      </c>
      <c r="M12" s="322">
        <f t="shared" ref="M12:AN12" si="8">(M61+M216+M366)+(M7*M8)</f>
        <v>3816.9427429635507</v>
      </c>
      <c r="N12" s="322">
        <f t="shared" si="8"/>
        <v>2597.4244930193004</v>
      </c>
      <c r="O12" s="322">
        <f t="shared" si="8"/>
        <v>1627.5362465096503</v>
      </c>
      <c r="P12" s="322">
        <f t="shared" si="8"/>
        <v>1195.4190780141844</v>
      </c>
      <c r="Q12" s="322">
        <f t="shared" si="8"/>
        <v>635.99921999999992</v>
      </c>
      <c r="R12" s="322">
        <f t="shared" si="8"/>
        <v>2574.3284000000003</v>
      </c>
      <c r="S12" s="322">
        <f t="shared" si="8"/>
        <v>1793.6748800000003</v>
      </c>
      <c r="T12" s="322">
        <f t="shared" si="8"/>
        <v>556.86895784869989</v>
      </c>
      <c r="U12" s="322">
        <f t="shared" si="8"/>
        <v>607.99491978723393</v>
      </c>
      <c r="V12" s="322">
        <f t="shared" si="8"/>
        <v>3299.936746312057</v>
      </c>
      <c r="W12" s="322">
        <f t="shared" si="8"/>
        <v>620.76128684397156</v>
      </c>
      <c r="X12" s="322">
        <f t="shared" si="8"/>
        <v>492.4550941489361</v>
      </c>
      <c r="Y12" s="322">
        <f t="shared" si="8"/>
        <v>4030.9156028368798</v>
      </c>
      <c r="Z12" s="322">
        <f t="shared" si="8"/>
        <v>3185.2297872340428</v>
      </c>
      <c r="AA12" s="322">
        <f t="shared" si="8"/>
        <v>720.60566241134757</v>
      </c>
      <c r="AB12" s="322">
        <f t="shared" si="8"/>
        <v>762.0792624113476</v>
      </c>
      <c r="AC12" s="322">
        <f t="shared" si="8"/>
        <v>637.41664998581564</v>
      </c>
      <c r="AD12" s="322">
        <f t="shared" si="8"/>
        <v>3218.8876503546107</v>
      </c>
      <c r="AE12" s="322">
        <f t="shared" si="8"/>
        <v>2047.5334812836873</v>
      </c>
      <c r="AF12" s="322">
        <f t="shared" si="8"/>
        <v>575.39360363356968</v>
      </c>
      <c r="AG12" s="322">
        <f t="shared" si="8"/>
        <v>645.41639475531906</v>
      </c>
      <c r="AH12" s="322">
        <f t="shared" si="8"/>
        <v>4202.703746925531</v>
      </c>
      <c r="AI12" s="322">
        <f t="shared" si="8"/>
        <v>460.44340324231683</v>
      </c>
      <c r="AJ12" s="322">
        <f t="shared" si="8"/>
        <v>568.80880157801425</v>
      </c>
      <c r="AK12" s="322">
        <f t="shared" si="8"/>
        <v>4778.9902836879437</v>
      </c>
      <c r="AL12" s="322">
        <f t="shared" si="8"/>
        <v>4081.2757446808509</v>
      </c>
      <c r="AM12" s="322">
        <f t="shared" si="8"/>
        <v>553.21020368794336</v>
      </c>
      <c r="AN12" s="322">
        <f t="shared" si="8"/>
        <v>730.0792624113476</v>
      </c>
    </row>
    <row r="13" spans="2:40" s="7" customFormat="1">
      <c r="B13" s="235" t="s">
        <v>907</v>
      </c>
      <c r="C13" s="7" t="s">
        <v>801</v>
      </c>
      <c r="E13" s="323">
        <f>SUM(E9:E12)</f>
        <v>887</v>
      </c>
      <c r="F13" s="323">
        <f t="shared" ref="F13:AN13" si="9">SUM(F9:F12)</f>
        <v>4039</v>
      </c>
      <c r="G13" s="323">
        <f t="shared" si="9"/>
        <v>3690</v>
      </c>
      <c r="H13" s="323">
        <f t="shared" si="9"/>
        <v>910</v>
      </c>
      <c r="I13" s="323">
        <f t="shared" si="9"/>
        <v>915</v>
      </c>
      <c r="J13" s="323">
        <f>SUM(J9:J12)</f>
        <v>5174</v>
      </c>
      <c r="K13" s="323">
        <f t="shared" si="9"/>
        <v>4317</v>
      </c>
      <c r="L13" s="323">
        <f t="shared" si="9"/>
        <v>710</v>
      </c>
      <c r="M13" s="324">
        <f t="shared" si="9"/>
        <v>7147</v>
      </c>
      <c r="N13" s="324">
        <f t="shared" si="9"/>
        <v>5473</v>
      </c>
      <c r="O13" s="324">
        <f t="shared" si="9"/>
        <v>3215.3239999999996</v>
      </c>
      <c r="P13" s="324">
        <f t="shared" si="9"/>
        <v>2828.49</v>
      </c>
      <c r="Q13" s="324">
        <f t="shared" si="9"/>
        <v>1634.7916999999998</v>
      </c>
      <c r="R13" s="324">
        <f t="shared" si="9"/>
        <v>4464.9799600000006</v>
      </c>
      <c r="S13" s="324">
        <f t="shared" si="9"/>
        <v>3739.4933000000001</v>
      </c>
      <c r="T13" s="324">
        <f t="shared" si="9"/>
        <v>1888.4768500000002</v>
      </c>
      <c r="U13" s="324">
        <f t="shared" si="9"/>
        <v>1684.442415</v>
      </c>
      <c r="V13" s="324">
        <f t="shared" si="9"/>
        <v>5905.2220050000005</v>
      </c>
      <c r="W13" s="324">
        <f t="shared" si="9"/>
        <v>1748.8152649999997</v>
      </c>
      <c r="X13" s="324">
        <f t="shared" si="9"/>
        <v>1495.0612249999997</v>
      </c>
      <c r="Y13" s="324">
        <f t="shared" si="9"/>
        <v>7447.5</v>
      </c>
      <c r="Z13" s="324">
        <f t="shared" si="9"/>
        <v>6300</v>
      </c>
      <c r="AA13" s="324">
        <f t="shared" si="9"/>
        <v>1844.8624</v>
      </c>
      <c r="AB13" s="324">
        <f t="shared" si="9"/>
        <v>1953.336</v>
      </c>
      <c r="AC13" s="324">
        <f t="shared" si="9"/>
        <v>1744.979216</v>
      </c>
      <c r="AD13" s="324">
        <f t="shared" si="9"/>
        <v>5732.3731560000015</v>
      </c>
      <c r="AE13" s="324">
        <f t="shared" si="9"/>
        <v>4119.3571789999996</v>
      </c>
      <c r="AF13" s="324">
        <f t="shared" si="9"/>
        <v>1904.0622850000002</v>
      </c>
      <c r="AG13" s="324">
        <f t="shared" si="9"/>
        <v>2204.5868154999998</v>
      </c>
      <c r="AH13" s="324">
        <f t="shared" si="9"/>
        <v>7885.8304314999987</v>
      </c>
      <c r="AI13" s="324">
        <f t="shared" si="9"/>
        <v>1242.6990295000001</v>
      </c>
      <c r="AJ13" s="324">
        <f t="shared" si="9"/>
        <v>1884.4178375000001</v>
      </c>
      <c r="AK13" s="324">
        <f t="shared" si="9"/>
        <v>9102.4500000000007</v>
      </c>
      <c r="AL13" s="324">
        <f t="shared" si="9"/>
        <v>7750.2</v>
      </c>
      <c r="AM13" s="324">
        <f t="shared" si="9"/>
        <v>1358.8899200000001</v>
      </c>
      <c r="AN13" s="324">
        <f t="shared" si="9"/>
        <v>1897.336</v>
      </c>
    </row>
    <row r="14" spans="2:40" s="7" customFormat="1">
      <c r="B14" s="235"/>
      <c r="E14" s="217"/>
      <c r="F14" s="217"/>
      <c r="G14" s="217"/>
      <c r="H14" s="217"/>
      <c r="I14" s="217"/>
      <c r="J14" s="217"/>
      <c r="K14" s="217"/>
      <c r="L14" s="217"/>
    </row>
    <row r="15" spans="2:40">
      <c r="B15" s="282" t="s">
        <v>908</v>
      </c>
      <c r="C15" s="283" t="s">
        <v>803</v>
      </c>
      <c r="E15" s="296">
        <v>41.87</v>
      </c>
      <c r="F15" s="296">
        <v>42.25</v>
      </c>
      <c r="G15" s="296">
        <v>42.19</v>
      </c>
      <c r="H15" s="296">
        <v>37.78</v>
      </c>
      <c r="I15" s="296">
        <v>40.93</v>
      </c>
      <c r="J15" s="296">
        <v>43.34</v>
      </c>
      <c r="K15" s="296">
        <v>42.19</v>
      </c>
      <c r="L15" s="296">
        <v>43.78</v>
      </c>
      <c r="M15" s="377">
        <v>43.78</v>
      </c>
      <c r="N15" s="377">
        <v>43.78</v>
      </c>
      <c r="O15" s="377">
        <v>43.78</v>
      </c>
      <c r="P15" s="377">
        <v>43.78</v>
      </c>
      <c r="Q15" s="377">
        <v>41.5</v>
      </c>
      <c r="R15" s="377">
        <v>42</v>
      </c>
      <c r="S15" s="377">
        <v>42</v>
      </c>
      <c r="T15" s="377">
        <v>38</v>
      </c>
      <c r="U15" s="377">
        <v>40</v>
      </c>
      <c r="V15" s="377">
        <v>43</v>
      </c>
      <c r="W15" s="377">
        <v>41</v>
      </c>
      <c r="X15" s="377">
        <v>42</v>
      </c>
      <c r="Y15" s="377">
        <v>42</v>
      </c>
      <c r="Z15" s="377">
        <v>42</v>
      </c>
      <c r="AA15" s="377">
        <v>42</v>
      </c>
      <c r="AB15" s="377">
        <v>41</v>
      </c>
      <c r="AC15" s="297">
        <v>41.5</v>
      </c>
      <c r="AD15" s="297">
        <v>42</v>
      </c>
      <c r="AE15" s="297">
        <v>42</v>
      </c>
      <c r="AF15" s="297">
        <v>38</v>
      </c>
      <c r="AG15" s="297">
        <v>40</v>
      </c>
      <c r="AH15" s="297">
        <v>43</v>
      </c>
      <c r="AI15" s="297">
        <v>41</v>
      </c>
      <c r="AJ15" s="297">
        <v>42</v>
      </c>
      <c r="AK15" s="297">
        <v>42</v>
      </c>
      <c r="AL15" s="297">
        <v>42</v>
      </c>
      <c r="AM15" s="297">
        <v>42</v>
      </c>
      <c r="AN15" s="297">
        <v>41</v>
      </c>
    </row>
    <row r="16" spans="2:40" s="7" customFormat="1">
      <c r="B16" s="354"/>
      <c r="C16" s="7" t="s">
        <v>804</v>
      </c>
      <c r="E16" s="321">
        <f t="shared" ref="E16:AN16" si="10">E15*E12</f>
        <v>16454.91</v>
      </c>
      <c r="F16" s="321">
        <f t="shared" si="10"/>
        <v>86992.75</v>
      </c>
      <c r="G16" s="321">
        <f t="shared" si="10"/>
        <v>64044.42</v>
      </c>
      <c r="H16" s="321">
        <f t="shared" si="10"/>
        <v>13298.560000000001</v>
      </c>
      <c r="I16" s="321">
        <f t="shared" si="10"/>
        <v>16822.23</v>
      </c>
      <c r="J16" s="321">
        <f t="shared" si="10"/>
        <v>105619.58</v>
      </c>
      <c r="K16" s="321">
        <f t="shared" si="10"/>
        <v>70963.58</v>
      </c>
      <c r="L16" s="321">
        <f t="shared" si="10"/>
        <v>10813.66</v>
      </c>
      <c r="M16" s="322">
        <f t="shared" si="10"/>
        <v>167105.75328694427</v>
      </c>
      <c r="N16" s="322">
        <f t="shared" si="10"/>
        <v>113715.24430438498</v>
      </c>
      <c r="O16" s="322">
        <f t="shared" si="10"/>
        <v>71253.53687219249</v>
      </c>
      <c r="P16" s="322">
        <f t="shared" si="10"/>
        <v>52335.447235460997</v>
      </c>
      <c r="Q16" s="322">
        <f t="shared" si="10"/>
        <v>26393.967629999996</v>
      </c>
      <c r="R16" s="322">
        <f t="shared" si="10"/>
        <v>108121.79280000001</v>
      </c>
      <c r="S16" s="322">
        <f t="shared" si="10"/>
        <v>75334.344960000017</v>
      </c>
      <c r="T16" s="322">
        <f t="shared" si="10"/>
        <v>21161.020398250595</v>
      </c>
      <c r="U16" s="322">
        <f t="shared" si="10"/>
        <v>24319.796791489356</v>
      </c>
      <c r="V16" s="322">
        <f t="shared" si="10"/>
        <v>141897.28009141845</v>
      </c>
      <c r="W16" s="322">
        <f t="shared" si="10"/>
        <v>25451.212760602833</v>
      </c>
      <c r="X16" s="322">
        <f t="shared" si="10"/>
        <v>20683.113954255317</v>
      </c>
      <c r="Y16" s="322">
        <f t="shared" si="10"/>
        <v>169298.45531914895</v>
      </c>
      <c r="Z16" s="322">
        <f t="shared" si="10"/>
        <v>133779.65106382981</v>
      </c>
      <c r="AA16" s="322">
        <f t="shared" si="10"/>
        <v>30265.437821276599</v>
      </c>
      <c r="AB16" s="322">
        <f t="shared" si="10"/>
        <v>31245.249758865251</v>
      </c>
      <c r="AC16" s="322">
        <f t="shared" si="10"/>
        <v>26452.790974411349</v>
      </c>
      <c r="AD16" s="322">
        <f t="shared" si="10"/>
        <v>135193.28131489365</v>
      </c>
      <c r="AE16" s="322">
        <f t="shared" si="10"/>
        <v>85996.406213914859</v>
      </c>
      <c r="AF16" s="322">
        <f t="shared" si="10"/>
        <v>21864.956938075647</v>
      </c>
      <c r="AG16" s="322">
        <f t="shared" si="10"/>
        <v>25816.655790212761</v>
      </c>
      <c r="AH16" s="322">
        <f t="shared" si="10"/>
        <v>180716.26111779784</v>
      </c>
      <c r="AI16" s="322">
        <f t="shared" si="10"/>
        <v>18878.179532934992</v>
      </c>
      <c r="AJ16" s="322">
        <f t="shared" si="10"/>
        <v>23889.9696662766</v>
      </c>
      <c r="AK16" s="322">
        <f t="shared" si="10"/>
        <v>200717.59191489362</v>
      </c>
      <c r="AL16" s="322">
        <f t="shared" si="10"/>
        <v>171413.58127659574</v>
      </c>
      <c r="AM16" s="322">
        <f t="shared" si="10"/>
        <v>23234.828554893622</v>
      </c>
      <c r="AN16" s="322">
        <f t="shared" si="10"/>
        <v>29933.249758865251</v>
      </c>
    </row>
    <row r="17" spans="2:40">
      <c r="C17" s="283" t="s">
        <v>805</v>
      </c>
      <c r="E17" s="296">
        <v>27.42</v>
      </c>
      <c r="F17" s="296">
        <v>48.35</v>
      </c>
      <c r="G17" s="296">
        <v>46.81</v>
      </c>
      <c r="H17" s="296">
        <v>45.56</v>
      </c>
      <c r="I17" s="296">
        <v>50.25</v>
      </c>
      <c r="J17" s="296">
        <v>45.82</v>
      </c>
      <c r="K17" s="296">
        <v>45.27</v>
      </c>
      <c r="L17" s="296">
        <v>48.51</v>
      </c>
      <c r="M17" s="297">
        <f t="shared" ref="M17:AN17" si="11">L17</f>
        <v>48.51</v>
      </c>
      <c r="N17" s="297">
        <f t="shared" si="11"/>
        <v>48.51</v>
      </c>
      <c r="O17" s="297">
        <f t="shared" si="11"/>
        <v>48.51</v>
      </c>
      <c r="P17" s="297">
        <f t="shared" si="11"/>
        <v>48.51</v>
      </c>
      <c r="Q17" s="297">
        <f t="shared" si="11"/>
        <v>48.51</v>
      </c>
      <c r="R17" s="297">
        <f t="shared" si="11"/>
        <v>48.51</v>
      </c>
      <c r="S17" s="297">
        <f t="shared" si="11"/>
        <v>48.51</v>
      </c>
      <c r="T17" s="297">
        <f t="shared" si="11"/>
        <v>48.51</v>
      </c>
      <c r="U17" s="297">
        <f t="shared" si="11"/>
        <v>48.51</v>
      </c>
      <c r="V17" s="297">
        <f t="shared" si="11"/>
        <v>48.51</v>
      </c>
      <c r="W17" s="297">
        <f t="shared" si="11"/>
        <v>48.51</v>
      </c>
      <c r="X17" s="297">
        <f t="shared" si="11"/>
        <v>48.51</v>
      </c>
      <c r="Y17" s="297">
        <f t="shared" si="11"/>
        <v>48.51</v>
      </c>
      <c r="Z17" s="297">
        <f t="shared" si="11"/>
        <v>48.51</v>
      </c>
      <c r="AA17" s="297">
        <f t="shared" si="11"/>
        <v>48.51</v>
      </c>
      <c r="AB17" s="297">
        <f t="shared" si="11"/>
        <v>48.51</v>
      </c>
      <c r="AC17" s="297">
        <f t="shared" si="11"/>
        <v>48.51</v>
      </c>
      <c r="AD17" s="297">
        <f t="shared" si="11"/>
        <v>48.51</v>
      </c>
      <c r="AE17" s="297">
        <f t="shared" si="11"/>
        <v>48.51</v>
      </c>
      <c r="AF17" s="297">
        <f t="shared" si="11"/>
        <v>48.51</v>
      </c>
      <c r="AG17" s="297">
        <f t="shared" si="11"/>
        <v>48.51</v>
      </c>
      <c r="AH17" s="297">
        <f t="shared" si="11"/>
        <v>48.51</v>
      </c>
      <c r="AI17" s="297">
        <f t="shared" si="11"/>
        <v>48.51</v>
      </c>
      <c r="AJ17" s="297">
        <f t="shared" si="11"/>
        <v>48.51</v>
      </c>
      <c r="AK17" s="297">
        <f t="shared" si="11"/>
        <v>48.51</v>
      </c>
      <c r="AL17" s="297">
        <f t="shared" si="11"/>
        <v>48.51</v>
      </c>
      <c r="AM17" s="297">
        <f t="shared" si="11"/>
        <v>48.51</v>
      </c>
      <c r="AN17" s="297">
        <f t="shared" si="11"/>
        <v>48.51</v>
      </c>
    </row>
    <row r="18" spans="2:40" s="7" customFormat="1">
      <c r="B18" s="235"/>
      <c r="C18" s="7" t="s">
        <v>806</v>
      </c>
      <c r="E18" s="321">
        <f>E11*E17</f>
        <v>1316.16</v>
      </c>
      <c r="F18" s="321">
        <f>F11*F17</f>
        <v>435.15000000000003</v>
      </c>
      <c r="G18" s="321">
        <f>G11*G17</f>
        <v>1591.54</v>
      </c>
      <c r="H18" s="321">
        <f>H11*H17</f>
        <v>2323.56</v>
      </c>
      <c r="I18" s="321">
        <f>I11*I17</f>
        <v>1356.75</v>
      </c>
      <c r="J18" s="321">
        <f t="shared" ref="J18:AN18" si="12">J11*J15</f>
        <v>1300.2</v>
      </c>
      <c r="K18" s="321">
        <f t="shared" si="12"/>
        <v>1181.32</v>
      </c>
      <c r="L18" s="321">
        <f t="shared" si="12"/>
        <v>700.48</v>
      </c>
      <c r="M18" s="322">
        <f t="shared" si="12"/>
        <v>22592.986713055747</v>
      </c>
      <c r="N18" s="322">
        <f t="shared" si="12"/>
        <v>18611.513426111491</v>
      </c>
      <c r="O18" s="322">
        <f t="shared" si="12"/>
        <v>15872.756713055745</v>
      </c>
      <c r="P18" s="322">
        <f t="shared" si="12"/>
        <v>17855.253829787234</v>
      </c>
      <c r="Q18" s="322">
        <f t="shared" si="12"/>
        <v>13612.381799999999</v>
      </c>
      <c r="R18" s="322">
        <f t="shared" si="12"/>
        <v>11591.126400000008</v>
      </c>
      <c r="S18" s="322">
        <f t="shared" si="12"/>
        <v>13807.684800000001</v>
      </c>
      <c r="T18" s="322">
        <f t="shared" si="12"/>
        <v>9747.030564397166</v>
      </c>
      <c r="U18" s="322">
        <f t="shared" si="12"/>
        <v>8460.6366808510629</v>
      </c>
      <c r="V18" s="322">
        <f t="shared" si="12"/>
        <v>11641.259353191501</v>
      </c>
      <c r="W18" s="322">
        <f t="shared" si="12"/>
        <v>8472.2180301063854</v>
      </c>
      <c r="X18" s="322">
        <f t="shared" si="12"/>
        <v>7140.4890095744649</v>
      </c>
      <c r="Y18" s="322">
        <f t="shared" si="12"/>
        <v>9701.3744680851069</v>
      </c>
      <c r="Z18" s="322">
        <f t="shared" si="12"/>
        <v>7317.1148936170212</v>
      </c>
      <c r="AA18" s="322">
        <f t="shared" si="12"/>
        <v>6051.038297872341</v>
      </c>
      <c r="AB18" s="322">
        <f t="shared" si="12"/>
        <v>8653.9659574468096</v>
      </c>
      <c r="AC18" s="322">
        <f t="shared" si="12"/>
        <v>6533.3708324255322</v>
      </c>
      <c r="AD18" s="322">
        <f t="shared" si="12"/>
        <v>5371.0992005106573</v>
      </c>
      <c r="AE18" s="322">
        <f t="shared" si="12"/>
        <v>8175.1153528084815</v>
      </c>
      <c r="AF18" s="322">
        <f t="shared" si="12"/>
        <v>5549.9336208368777</v>
      </c>
      <c r="AG18" s="322">
        <f t="shared" si="12"/>
        <v>4772.4068829787238</v>
      </c>
      <c r="AH18" s="322">
        <f t="shared" si="12"/>
        <v>8013.0275736702133</v>
      </c>
      <c r="AI18" s="322">
        <f t="shared" si="12"/>
        <v>5704.2000028120592</v>
      </c>
      <c r="AJ18" s="322">
        <f t="shared" si="12"/>
        <v>4885.0428028723427</v>
      </c>
      <c r="AK18" s="322">
        <f t="shared" si="12"/>
        <v>7651.5868085106304</v>
      </c>
      <c r="AL18" s="322">
        <f t="shared" si="12"/>
        <v>5890.9378723404179</v>
      </c>
      <c r="AM18" s="322">
        <f t="shared" si="12"/>
        <v>5021.1268085106367</v>
      </c>
      <c r="AN18" s="322">
        <f t="shared" si="12"/>
        <v>7669.9659574468078</v>
      </c>
    </row>
    <row r="19" spans="2:40" s="7" customFormat="1">
      <c r="B19" s="235"/>
      <c r="E19" s="217"/>
      <c r="F19" s="217"/>
      <c r="G19" s="217"/>
      <c r="H19" s="217"/>
      <c r="I19" s="217"/>
      <c r="J19" s="217"/>
      <c r="K19" s="217"/>
      <c r="L19" s="217"/>
    </row>
    <row r="20" spans="2:40">
      <c r="C20" s="283" t="s">
        <v>869</v>
      </c>
      <c r="E20" s="296">
        <v>43.81</v>
      </c>
      <c r="F20" s="296">
        <v>41.21</v>
      </c>
      <c r="G20" s="296">
        <v>42.35</v>
      </c>
      <c r="H20" s="296">
        <v>38.19</v>
      </c>
      <c r="I20" s="296">
        <v>40.36</v>
      </c>
      <c r="J20" s="296">
        <v>43.75</v>
      </c>
      <c r="K20" s="296">
        <v>42.16</v>
      </c>
      <c r="L20" s="296">
        <v>44.13</v>
      </c>
      <c r="M20" s="378">
        <v>40</v>
      </c>
      <c r="N20" s="378">
        <v>40</v>
      </c>
      <c r="O20" s="378">
        <v>40</v>
      </c>
      <c r="P20" s="378">
        <v>40</v>
      </c>
      <c r="Q20" s="378">
        <v>44</v>
      </c>
      <c r="R20" s="378">
        <v>41</v>
      </c>
      <c r="S20" s="378">
        <v>41</v>
      </c>
      <c r="T20" s="378">
        <v>38</v>
      </c>
      <c r="U20" s="378">
        <v>38</v>
      </c>
      <c r="V20" s="378">
        <v>43</v>
      </c>
      <c r="W20" s="378">
        <v>41</v>
      </c>
      <c r="X20" s="378">
        <v>43</v>
      </c>
      <c r="Y20" s="378">
        <v>43</v>
      </c>
      <c r="Z20" s="378">
        <v>43</v>
      </c>
      <c r="AA20" s="378">
        <v>40</v>
      </c>
      <c r="AB20" s="378">
        <v>38</v>
      </c>
      <c r="AC20" s="297">
        <v>44</v>
      </c>
      <c r="AD20" s="297">
        <v>41</v>
      </c>
      <c r="AE20" s="297">
        <v>41</v>
      </c>
      <c r="AF20" s="297">
        <v>38</v>
      </c>
      <c r="AG20" s="297">
        <v>38</v>
      </c>
      <c r="AH20" s="297">
        <v>43</v>
      </c>
      <c r="AI20" s="297">
        <v>41</v>
      </c>
      <c r="AJ20" s="297">
        <v>43</v>
      </c>
      <c r="AK20" s="297">
        <v>43</v>
      </c>
      <c r="AL20" s="297">
        <v>43</v>
      </c>
      <c r="AM20" s="297">
        <v>40</v>
      </c>
      <c r="AN20" s="297">
        <v>38</v>
      </c>
    </row>
    <row r="21" spans="2:40" s="7" customFormat="1">
      <c r="B21" s="235"/>
      <c r="C21" s="7" t="s">
        <v>808</v>
      </c>
      <c r="E21" s="321">
        <f t="shared" ref="E21:AN21" si="13">E9*E20</f>
        <v>16165.890000000001</v>
      </c>
      <c r="F21" s="321">
        <f t="shared" si="13"/>
        <v>79700.14</v>
      </c>
      <c r="G21" s="321">
        <f t="shared" si="13"/>
        <v>89316.150000000009</v>
      </c>
      <c r="H21" s="321">
        <f t="shared" si="13"/>
        <v>18407.579999999998</v>
      </c>
      <c r="I21" s="321">
        <f t="shared" si="13"/>
        <v>18969.2</v>
      </c>
      <c r="J21" s="321">
        <f t="shared" si="13"/>
        <v>115237.5</v>
      </c>
      <c r="K21" s="321">
        <f t="shared" si="13"/>
        <v>108266.87999999999</v>
      </c>
      <c r="L21" s="321">
        <f t="shared" si="13"/>
        <v>18490.47</v>
      </c>
      <c r="M21" s="322">
        <f t="shared" si="13"/>
        <v>112122.29028145797</v>
      </c>
      <c r="N21" s="322">
        <f t="shared" si="13"/>
        <v>97143.020279227989</v>
      </c>
      <c r="O21" s="322">
        <f t="shared" si="13"/>
        <v>48571.510139613994</v>
      </c>
      <c r="P21" s="322">
        <f t="shared" si="13"/>
        <v>48662.836879432623</v>
      </c>
      <c r="Q21" s="322">
        <f t="shared" si="13"/>
        <v>29173.25664</v>
      </c>
      <c r="R21" s="322">
        <f t="shared" si="13"/>
        <v>65688.376319999996</v>
      </c>
      <c r="S21" s="322">
        <f t="shared" si="13"/>
        <v>65785.674239999993</v>
      </c>
      <c r="T21" s="322">
        <f t="shared" si="13"/>
        <v>40565.324601749409</v>
      </c>
      <c r="U21" s="322">
        <f t="shared" si="13"/>
        <v>32512.363768085106</v>
      </c>
      <c r="V21" s="322">
        <f t="shared" si="13"/>
        <v>99655.77374858156</v>
      </c>
      <c r="W21" s="322">
        <f t="shared" si="13"/>
        <v>37495.408279397161</v>
      </c>
      <c r="X21" s="322">
        <f t="shared" si="13"/>
        <v>35406.840951595746</v>
      </c>
      <c r="Y21" s="322">
        <f t="shared" si="13"/>
        <v>136012.6290780142</v>
      </c>
      <c r="Z21" s="322">
        <f t="shared" si="13"/>
        <v>125550.11914893617</v>
      </c>
      <c r="AA21" s="322">
        <f t="shared" si="13"/>
        <v>38930.2695035461</v>
      </c>
      <c r="AB21" s="322">
        <f t="shared" si="13"/>
        <v>36983.756028368793</v>
      </c>
      <c r="AC21" s="322">
        <f t="shared" si="13"/>
        <v>41510.334184624116</v>
      </c>
      <c r="AD21" s="322">
        <f t="shared" si="13"/>
        <v>97118.399271460978</v>
      </c>
      <c r="AE21" s="322">
        <f t="shared" si="13"/>
        <v>76420.340451368829</v>
      </c>
      <c r="AF21" s="322">
        <f t="shared" si="13"/>
        <v>44621.857061924355</v>
      </c>
      <c r="AG21" s="322">
        <f t="shared" si="13"/>
        <v>54327.981863297871</v>
      </c>
      <c r="AH21" s="322">
        <f t="shared" si="13"/>
        <v>149298.70887420213</v>
      </c>
      <c r="AI21" s="322">
        <f t="shared" si="13"/>
        <v>26181.917299065008</v>
      </c>
      <c r="AJ21" s="322">
        <f t="shared" si="13"/>
        <v>51205.354532145393</v>
      </c>
      <c r="AK21" s="322">
        <f t="shared" si="13"/>
        <v>176816.41780141846</v>
      </c>
      <c r="AL21" s="322">
        <f t="shared" si="13"/>
        <v>150660.14297872342</v>
      </c>
      <c r="AM21" s="322">
        <f t="shared" si="13"/>
        <v>27251.188652482269</v>
      </c>
      <c r="AN21" s="322">
        <f t="shared" si="13"/>
        <v>36983.756028368793</v>
      </c>
    </row>
    <row r="22" spans="2:40">
      <c r="C22" s="283" t="s">
        <v>809</v>
      </c>
      <c r="E22" s="296">
        <v>51.9</v>
      </c>
      <c r="F22" s="296">
        <v>53.18</v>
      </c>
      <c r="G22" s="296">
        <v>69.150000000000006</v>
      </c>
      <c r="H22" s="296">
        <v>47.57</v>
      </c>
      <c r="I22" s="296">
        <v>64.099999999999994</v>
      </c>
      <c r="J22" s="296">
        <v>63.43</v>
      </c>
      <c r="K22" s="296">
        <v>63.78</v>
      </c>
      <c r="L22" s="296">
        <v>60.18</v>
      </c>
      <c r="M22" s="297">
        <f t="shared" ref="M22:AN22" si="14">L22</f>
        <v>60.18</v>
      </c>
      <c r="N22" s="297">
        <f t="shared" si="14"/>
        <v>60.18</v>
      </c>
      <c r="O22" s="297">
        <f t="shared" si="14"/>
        <v>60.18</v>
      </c>
      <c r="P22" s="297">
        <f t="shared" si="14"/>
        <v>60.18</v>
      </c>
      <c r="Q22" s="297">
        <f t="shared" si="14"/>
        <v>60.18</v>
      </c>
      <c r="R22" s="297">
        <f t="shared" si="14"/>
        <v>60.18</v>
      </c>
      <c r="S22" s="297">
        <f t="shared" si="14"/>
        <v>60.18</v>
      </c>
      <c r="T22" s="297">
        <f t="shared" si="14"/>
        <v>60.18</v>
      </c>
      <c r="U22" s="297">
        <f t="shared" si="14"/>
        <v>60.18</v>
      </c>
      <c r="V22" s="297">
        <f t="shared" si="14"/>
        <v>60.18</v>
      </c>
      <c r="W22" s="297">
        <f t="shared" si="14"/>
        <v>60.18</v>
      </c>
      <c r="X22" s="297">
        <f t="shared" si="14"/>
        <v>60.18</v>
      </c>
      <c r="Y22" s="297">
        <f t="shared" si="14"/>
        <v>60.18</v>
      </c>
      <c r="Z22" s="297">
        <f t="shared" si="14"/>
        <v>60.18</v>
      </c>
      <c r="AA22" s="297">
        <f t="shared" si="14"/>
        <v>60.18</v>
      </c>
      <c r="AB22" s="297">
        <f t="shared" si="14"/>
        <v>60.18</v>
      </c>
      <c r="AC22" s="297">
        <f t="shared" si="14"/>
        <v>60.18</v>
      </c>
      <c r="AD22" s="297">
        <f t="shared" si="14"/>
        <v>60.18</v>
      </c>
      <c r="AE22" s="297">
        <f t="shared" si="14"/>
        <v>60.18</v>
      </c>
      <c r="AF22" s="297">
        <f t="shared" si="14"/>
        <v>60.18</v>
      </c>
      <c r="AG22" s="297">
        <f t="shared" si="14"/>
        <v>60.18</v>
      </c>
      <c r="AH22" s="297">
        <f t="shared" si="14"/>
        <v>60.18</v>
      </c>
      <c r="AI22" s="297">
        <f t="shared" si="14"/>
        <v>60.18</v>
      </c>
      <c r="AJ22" s="297">
        <f t="shared" si="14"/>
        <v>60.18</v>
      </c>
      <c r="AK22" s="297">
        <f t="shared" si="14"/>
        <v>60.18</v>
      </c>
      <c r="AL22" s="297">
        <f t="shared" si="14"/>
        <v>60.18</v>
      </c>
      <c r="AM22" s="297">
        <f t="shared" si="14"/>
        <v>60.18</v>
      </c>
      <c r="AN22" s="297">
        <f t="shared" si="14"/>
        <v>60.18</v>
      </c>
    </row>
    <row r="23" spans="2:40" s="7" customFormat="1">
      <c r="B23" s="235"/>
      <c r="C23" s="7" t="s">
        <v>810</v>
      </c>
      <c r="E23" s="321">
        <f>E22*E10</f>
        <v>3996.2999999999997</v>
      </c>
      <c r="F23" s="321">
        <f>F22*F10</f>
        <v>1967.66</v>
      </c>
      <c r="G23" s="321">
        <f>G22*G10</f>
        <v>2005.3500000000001</v>
      </c>
      <c r="H23" s="321">
        <f>H22*H10</f>
        <v>1189.25</v>
      </c>
      <c r="I23" s="321">
        <f>I22*I10</f>
        <v>448.69999999999993</v>
      </c>
      <c r="J23" s="321">
        <f t="shared" ref="J23:AN23" si="15">J20*J10</f>
        <v>3193.75</v>
      </c>
      <c r="K23" s="321">
        <f t="shared" si="15"/>
        <v>1644.2399999999998</v>
      </c>
      <c r="L23" s="321">
        <f t="shared" si="15"/>
        <v>1235.6400000000001</v>
      </c>
      <c r="M23" s="322">
        <f t="shared" si="15"/>
        <v>437.70971854203185</v>
      </c>
      <c r="N23" s="322">
        <f t="shared" si="15"/>
        <v>875.4194370840637</v>
      </c>
      <c r="O23" s="322">
        <f t="shared" si="15"/>
        <v>437.70971854203185</v>
      </c>
      <c r="P23" s="322">
        <f t="shared" si="15"/>
        <v>346.38297872340422</v>
      </c>
      <c r="Q23" s="322">
        <f t="shared" si="15"/>
        <v>341.20768000000004</v>
      </c>
      <c r="R23" s="322">
        <f t="shared" si="15"/>
        <v>513.19043999999997</v>
      </c>
      <c r="S23" s="322">
        <f t="shared" si="15"/>
        <v>513.95058000000006</v>
      </c>
      <c r="T23" s="322">
        <f t="shared" si="15"/>
        <v>288.7447356028369</v>
      </c>
      <c r="U23" s="322">
        <f t="shared" si="15"/>
        <v>355.03620319148939</v>
      </c>
      <c r="V23" s="322">
        <f t="shared" si="15"/>
        <v>730.23302180851078</v>
      </c>
      <c r="W23" s="322">
        <f t="shared" si="15"/>
        <v>282.58679489361703</v>
      </c>
      <c r="X23" s="322">
        <f t="shared" si="15"/>
        <v>394.72202234042555</v>
      </c>
      <c r="Y23" s="322">
        <f t="shared" si="15"/>
        <v>968.14042553191496</v>
      </c>
      <c r="Z23" s="322">
        <f t="shared" si="15"/>
        <v>893.66808510638293</v>
      </c>
      <c r="AA23" s="322">
        <f t="shared" si="15"/>
        <v>277.10638297872345</v>
      </c>
      <c r="AB23" s="322">
        <f t="shared" si="15"/>
        <v>263.25106382978726</v>
      </c>
      <c r="AC23" s="322">
        <f t="shared" si="15"/>
        <v>295.47133140425535</v>
      </c>
      <c r="AD23" s="322">
        <f t="shared" si="15"/>
        <v>691.29057378723405</v>
      </c>
      <c r="AE23" s="322">
        <f t="shared" si="15"/>
        <v>543.9614058297874</v>
      </c>
      <c r="AF23" s="322">
        <f t="shared" si="15"/>
        <v>317.61920916312062</v>
      </c>
      <c r="AG23" s="322">
        <f t="shared" si="15"/>
        <v>386.70758617021278</v>
      </c>
      <c r="AH23" s="322">
        <f t="shared" si="15"/>
        <v>1062.7109888297873</v>
      </c>
      <c r="AI23" s="322">
        <f t="shared" si="15"/>
        <v>186.36337468794326</v>
      </c>
      <c r="AJ23" s="322">
        <f t="shared" si="15"/>
        <v>364.48066670212773</v>
      </c>
      <c r="AK23" s="322">
        <f t="shared" si="15"/>
        <v>1258.5825531914895</v>
      </c>
      <c r="AL23" s="322">
        <f t="shared" si="15"/>
        <v>1072.4017021276597</v>
      </c>
      <c r="AM23" s="322">
        <f t="shared" si="15"/>
        <v>193.97446808510639</v>
      </c>
      <c r="AN23" s="322">
        <f t="shared" si="15"/>
        <v>263.25106382978726</v>
      </c>
    </row>
    <row r="24" spans="2:40" s="7" customFormat="1">
      <c r="B24" s="235"/>
      <c r="E24" s="217"/>
      <c r="F24" s="217"/>
      <c r="G24" s="217"/>
      <c r="H24" s="217"/>
      <c r="I24" s="217"/>
      <c r="J24" s="217"/>
      <c r="K24" s="217"/>
      <c r="L24" s="217"/>
    </row>
    <row r="25" spans="2:40" s="7" customFormat="1">
      <c r="B25" s="237"/>
      <c r="C25" s="7" t="s">
        <v>870</v>
      </c>
      <c r="E25" s="227">
        <f t="shared" ref="E25:AN25" si="16">(E21+E16+E18+E23)</f>
        <v>37933.260000000009</v>
      </c>
      <c r="F25" s="227">
        <f t="shared" si="16"/>
        <v>169095.7</v>
      </c>
      <c r="G25" s="227">
        <f t="shared" si="16"/>
        <v>156957.46000000002</v>
      </c>
      <c r="H25" s="227">
        <f t="shared" si="16"/>
        <v>35218.949999999997</v>
      </c>
      <c r="I25" s="227">
        <f>(I21+I16+I18+I23)</f>
        <v>37596.879999999997</v>
      </c>
      <c r="J25" s="227">
        <f t="shared" si="16"/>
        <v>225351.03000000003</v>
      </c>
      <c r="K25" s="227">
        <f t="shared" si="16"/>
        <v>182056.02</v>
      </c>
      <c r="L25" s="227">
        <f t="shared" si="16"/>
        <v>31240.25</v>
      </c>
      <c r="M25" s="201">
        <f t="shared" si="16"/>
        <v>302258.74000000005</v>
      </c>
      <c r="N25" s="201">
        <f t="shared" si="16"/>
        <v>230345.19744680851</v>
      </c>
      <c r="O25" s="201">
        <f t="shared" si="16"/>
        <v>136135.51344340426</v>
      </c>
      <c r="P25" s="201">
        <f t="shared" si="16"/>
        <v>119199.92092340425</v>
      </c>
      <c r="Q25" s="201">
        <f t="shared" si="16"/>
        <v>69520.813750000001</v>
      </c>
      <c r="R25" s="201">
        <f t="shared" si="16"/>
        <v>185914.48596000002</v>
      </c>
      <c r="S25" s="201">
        <f t="shared" si="16"/>
        <v>155441.65458</v>
      </c>
      <c r="T25" s="201">
        <f t="shared" si="16"/>
        <v>71762.12030000001</v>
      </c>
      <c r="U25" s="201">
        <f t="shared" si="16"/>
        <v>65647.833443617012</v>
      </c>
      <c r="V25" s="201">
        <f t="shared" si="16"/>
        <v>253924.54621500001</v>
      </c>
      <c r="W25" s="201">
        <f t="shared" si="16"/>
        <v>71701.425865000012</v>
      </c>
      <c r="X25" s="201">
        <f t="shared" si="16"/>
        <v>63625.165937765945</v>
      </c>
      <c r="Y25" s="201">
        <f t="shared" si="16"/>
        <v>315980.59929078014</v>
      </c>
      <c r="Z25" s="201">
        <f t="shared" si="16"/>
        <v>267540.55319148937</v>
      </c>
      <c r="AA25" s="201">
        <f t="shared" si="16"/>
        <v>75523.852005673747</v>
      </c>
      <c r="AB25" s="201">
        <f t="shared" si="16"/>
        <v>77146.222808510633</v>
      </c>
      <c r="AC25" s="201">
        <f t="shared" si="16"/>
        <v>74791.967322865254</v>
      </c>
      <c r="AD25" s="201">
        <f t="shared" si="16"/>
        <v>238374.07036065252</v>
      </c>
      <c r="AE25" s="201">
        <f t="shared" si="16"/>
        <v>171135.82342392195</v>
      </c>
      <c r="AF25" s="201">
        <f t="shared" si="16"/>
        <v>72354.366829999999</v>
      </c>
      <c r="AG25" s="201">
        <f t="shared" si="16"/>
        <v>85303.752122659585</v>
      </c>
      <c r="AH25" s="201">
        <f t="shared" si="16"/>
        <v>339090.70855449996</v>
      </c>
      <c r="AI25" s="201">
        <f t="shared" si="16"/>
        <v>50950.660209499998</v>
      </c>
      <c r="AJ25" s="201">
        <f t="shared" si="16"/>
        <v>80344.847667996466</v>
      </c>
      <c r="AK25" s="201">
        <f t="shared" si="16"/>
        <v>386444.17907801422</v>
      </c>
      <c r="AL25" s="201">
        <f t="shared" si="16"/>
        <v>329037.06382978725</v>
      </c>
      <c r="AM25" s="201">
        <f t="shared" si="16"/>
        <v>55701.11848397163</v>
      </c>
      <c r="AN25" s="201">
        <f t="shared" si="16"/>
        <v>74850.222808510633</v>
      </c>
    </row>
    <row r="26" spans="2:40" s="7" customFormat="1">
      <c r="B26" s="235" t="s">
        <v>909</v>
      </c>
      <c r="C26" s="238" t="s">
        <v>812</v>
      </c>
      <c r="E26" s="228">
        <v>30630.57</v>
      </c>
      <c r="F26" s="228">
        <v>133935</v>
      </c>
      <c r="G26" s="228">
        <v>124056</v>
      </c>
      <c r="H26" s="228">
        <v>27875</v>
      </c>
      <c r="I26" s="228">
        <v>29706</v>
      </c>
      <c r="J26" s="228">
        <v>179549</v>
      </c>
      <c r="K26" s="228">
        <v>144353</v>
      </c>
      <c r="L26" s="228">
        <v>25070</v>
      </c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2"/>
      <c r="AC26" s="202"/>
      <c r="AD26" s="202"/>
      <c r="AE26" s="202"/>
      <c r="AF26" s="202"/>
      <c r="AG26" s="202"/>
      <c r="AH26" s="202"/>
      <c r="AI26" s="202"/>
      <c r="AJ26" s="202"/>
      <c r="AK26" s="202"/>
      <c r="AL26" s="202"/>
      <c r="AM26" s="202"/>
      <c r="AN26" s="202"/>
    </row>
    <row r="27" spans="2:40" s="7" customFormat="1">
      <c r="B27" s="237"/>
      <c r="C27" s="7" t="s">
        <v>872</v>
      </c>
      <c r="E27" s="229">
        <f t="shared" ref="E27:H27" si="17">E26-E25</f>
        <v>-7302.6900000000096</v>
      </c>
      <c r="F27" s="229">
        <f t="shared" si="17"/>
        <v>-35160.700000000012</v>
      </c>
      <c r="G27" s="229">
        <f t="shared" si="17"/>
        <v>-32901.460000000021</v>
      </c>
      <c r="H27" s="229">
        <f t="shared" si="17"/>
        <v>-7343.9499999999971</v>
      </c>
      <c r="I27" s="229">
        <f>I26-I25</f>
        <v>-7890.8799999999974</v>
      </c>
      <c r="J27" s="229">
        <f>J26-J25</f>
        <v>-45802.030000000028</v>
      </c>
      <c r="K27" s="229">
        <f>K26-K25</f>
        <v>-37703.01999999999</v>
      </c>
      <c r="L27" s="229">
        <f>L26-L25</f>
        <v>-6170.25</v>
      </c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</row>
    <row r="28" spans="2:40" s="7" customFormat="1">
      <c r="B28" s="235"/>
      <c r="E28" s="326">
        <f>E27/E26</f>
        <v>-0.23841182191516547</v>
      </c>
      <c r="F28" s="326">
        <f t="shared" ref="F28:H28" si="18">F27/F26</f>
        <v>-0.26252062567663426</v>
      </c>
      <c r="G28" s="326">
        <f t="shared" si="18"/>
        <v>-0.26521458051202701</v>
      </c>
      <c r="H28" s="326">
        <f t="shared" si="18"/>
        <v>-0.26346008968609858</v>
      </c>
      <c r="I28" s="326">
        <f>I27/I26</f>
        <v>-0.26563253214838745</v>
      </c>
      <c r="J28" s="326">
        <f>J27/J26</f>
        <v>-0.25509487660750008</v>
      </c>
      <c r="K28" s="326">
        <f>K27/K26</f>
        <v>-0.26118625868530609</v>
      </c>
      <c r="L28" s="326">
        <f>L27/L26</f>
        <v>-0.24612086158755483</v>
      </c>
    </row>
    <row r="29" spans="2:40">
      <c r="C29" s="283" t="s">
        <v>814</v>
      </c>
      <c r="E29" s="293">
        <v>0</v>
      </c>
      <c r="F29" s="293">
        <v>0</v>
      </c>
      <c r="G29" s="293">
        <v>0</v>
      </c>
      <c r="H29" s="293">
        <v>0</v>
      </c>
      <c r="I29" s="293">
        <v>0</v>
      </c>
      <c r="J29" s="293">
        <v>0</v>
      </c>
      <c r="K29" s="293">
        <v>0</v>
      </c>
      <c r="L29" s="293">
        <v>0</v>
      </c>
      <c r="M29" s="299">
        <v>0</v>
      </c>
      <c r="N29" s="299">
        <v>0</v>
      </c>
      <c r="O29" s="299">
        <v>0</v>
      </c>
      <c r="P29" s="299">
        <v>0</v>
      </c>
      <c r="Q29" s="386">
        <v>1000</v>
      </c>
      <c r="R29" s="386">
        <v>1000</v>
      </c>
      <c r="S29" s="386">
        <v>1500</v>
      </c>
      <c r="T29" s="386">
        <v>1000</v>
      </c>
      <c r="U29" s="386">
        <v>1000</v>
      </c>
      <c r="V29" s="386">
        <v>1000</v>
      </c>
      <c r="W29" s="386">
        <v>1000</v>
      </c>
      <c r="X29" s="386">
        <v>1000</v>
      </c>
      <c r="Y29" s="386">
        <v>1000</v>
      </c>
      <c r="Z29" s="386">
        <v>1500</v>
      </c>
      <c r="AA29" s="386">
        <v>2000</v>
      </c>
      <c r="AB29" s="386">
        <v>1000</v>
      </c>
      <c r="AC29" s="299">
        <v>0</v>
      </c>
      <c r="AD29" s="299">
        <v>0</v>
      </c>
      <c r="AE29" s="299">
        <v>0</v>
      </c>
      <c r="AF29" s="299">
        <v>0</v>
      </c>
      <c r="AG29" s="299">
        <v>0</v>
      </c>
      <c r="AH29" s="299">
        <v>0</v>
      </c>
      <c r="AI29" s="299">
        <v>0</v>
      </c>
      <c r="AJ29" s="299">
        <v>0</v>
      </c>
      <c r="AK29" s="299">
        <v>0</v>
      </c>
      <c r="AL29" s="299">
        <v>0</v>
      </c>
      <c r="AM29" s="299">
        <v>0</v>
      </c>
      <c r="AN29" s="299">
        <v>0</v>
      </c>
    </row>
    <row r="30" spans="2:40" s="7" customFormat="1">
      <c r="B30" s="235"/>
      <c r="E30" s="363"/>
      <c r="F30" s="363"/>
      <c r="G30" s="363"/>
      <c r="H30" s="363"/>
      <c r="I30" s="363"/>
      <c r="J30" s="322"/>
    </row>
    <row r="31" spans="2:40" s="7" customFormat="1">
      <c r="B31" s="235"/>
      <c r="E31" s="363"/>
      <c r="F31" s="363"/>
      <c r="G31" s="363"/>
      <c r="H31" s="363"/>
      <c r="I31" s="363"/>
      <c r="J31" s="322"/>
    </row>
    <row r="32" spans="2:40">
      <c r="C32" s="348" t="s">
        <v>815</v>
      </c>
      <c r="E32" s="362"/>
      <c r="F32" s="362"/>
      <c r="G32" s="362"/>
      <c r="H32" s="362"/>
      <c r="I32" s="362"/>
      <c r="J32" s="295"/>
      <c r="K32" s="348"/>
      <c r="L32" s="348"/>
      <c r="M32" s="355" t="s">
        <v>816</v>
      </c>
      <c r="N32" s="356" t="s">
        <v>817</v>
      </c>
      <c r="O32" s="355" t="s">
        <v>816</v>
      </c>
      <c r="P32" s="355" t="s">
        <v>816</v>
      </c>
      <c r="Q32" s="379" t="s">
        <v>816</v>
      </c>
      <c r="R32" s="379" t="s">
        <v>874</v>
      </c>
      <c r="S32" s="379" t="s">
        <v>874</v>
      </c>
      <c r="T32" s="379" t="s">
        <v>816</v>
      </c>
      <c r="U32" s="379" t="s">
        <v>816</v>
      </c>
      <c r="V32" s="379" t="s">
        <v>874</v>
      </c>
      <c r="W32" s="379" t="s">
        <v>816</v>
      </c>
      <c r="X32" s="379" t="s">
        <v>816</v>
      </c>
      <c r="Y32" s="379" t="s">
        <v>874</v>
      </c>
      <c r="Z32" s="379" t="s">
        <v>874</v>
      </c>
      <c r="AA32" s="379" t="s">
        <v>816</v>
      </c>
      <c r="AB32" s="379" t="s">
        <v>816</v>
      </c>
      <c r="AC32" s="355" t="s">
        <v>816</v>
      </c>
      <c r="AD32" s="355" t="s">
        <v>874</v>
      </c>
      <c r="AE32" s="355" t="s">
        <v>874</v>
      </c>
      <c r="AF32" s="355" t="s">
        <v>816</v>
      </c>
      <c r="AG32" s="355" t="s">
        <v>816</v>
      </c>
      <c r="AH32" s="355" t="s">
        <v>874</v>
      </c>
      <c r="AI32" s="355" t="s">
        <v>816</v>
      </c>
      <c r="AJ32" s="355" t="s">
        <v>816</v>
      </c>
      <c r="AK32" s="355" t="s">
        <v>874</v>
      </c>
      <c r="AL32" s="355" t="s">
        <v>874</v>
      </c>
      <c r="AM32" s="355" t="s">
        <v>816</v>
      </c>
      <c r="AN32" s="355" t="s">
        <v>816</v>
      </c>
    </row>
    <row r="33" spans="2:40" s="7" customFormat="1">
      <c r="B33" s="235"/>
      <c r="E33" s="363"/>
      <c r="F33" s="363"/>
      <c r="G33" s="363"/>
      <c r="H33" s="363"/>
      <c r="I33" s="363"/>
    </row>
    <row r="34" spans="2:40" s="7" customFormat="1" ht="12" customHeight="1">
      <c r="B34" s="237" t="s">
        <v>819</v>
      </c>
      <c r="C34" s="208" t="s">
        <v>208</v>
      </c>
      <c r="D34" s="208"/>
      <c r="E34" s="364">
        <v>45689</v>
      </c>
      <c r="F34" s="364">
        <v>45717</v>
      </c>
      <c r="G34" s="364">
        <v>45748</v>
      </c>
      <c r="H34" s="364">
        <v>45778</v>
      </c>
      <c r="I34" s="364">
        <v>45809</v>
      </c>
      <c r="J34" s="195">
        <v>45839</v>
      </c>
      <c r="K34" s="195">
        <v>45870</v>
      </c>
      <c r="L34" s="195">
        <v>45901</v>
      </c>
      <c r="M34" s="195">
        <v>45931</v>
      </c>
      <c r="N34" s="195">
        <v>45962</v>
      </c>
      <c r="O34" s="195">
        <v>45992</v>
      </c>
      <c r="P34" s="195">
        <v>46023</v>
      </c>
      <c r="Q34" s="195">
        <v>46054</v>
      </c>
      <c r="R34" s="195">
        <v>46082</v>
      </c>
      <c r="S34" s="195">
        <v>46113</v>
      </c>
      <c r="T34" s="195">
        <v>46143</v>
      </c>
      <c r="U34" s="195">
        <v>46174</v>
      </c>
      <c r="V34" s="195">
        <v>46204</v>
      </c>
      <c r="W34" s="195">
        <v>46235</v>
      </c>
      <c r="X34" s="195">
        <v>46266</v>
      </c>
      <c r="Y34" s="195">
        <v>46296</v>
      </c>
      <c r="Z34" s="195">
        <v>46327</v>
      </c>
      <c r="AA34" s="195">
        <v>46357</v>
      </c>
      <c r="AB34" s="195">
        <v>46388</v>
      </c>
      <c r="AC34" s="195">
        <v>46419</v>
      </c>
      <c r="AD34" s="195">
        <v>46447</v>
      </c>
      <c r="AE34" s="195">
        <v>46478</v>
      </c>
      <c r="AF34" s="195">
        <v>46508</v>
      </c>
      <c r="AG34" s="195">
        <v>46539</v>
      </c>
      <c r="AH34" s="195">
        <v>46569</v>
      </c>
      <c r="AI34" s="195">
        <v>46600</v>
      </c>
      <c r="AJ34" s="195">
        <v>46631</v>
      </c>
      <c r="AK34" s="195">
        <v>46661</v>
      </c>
      <c r="AL34" s="195">
        <v>46692</v>
      </c>
      <c r="AM34" s="195">
        <v>46722</v>
      </c>
      <c r="AN34" s="195">
        <v>46753</v>
      </c>
    </row>
    <row r="35" spans="2:40" s="7" customFormat="1" ht="12" customHeight="1">
      <c r="B35" s="237"/>
      <c r="C35" s="208"/>
      <c r="D35" s="208"/>
      <c r="E35" s="365" t="s">
        <v>753</v>
      </c>
      <c r="F35" s="365" t="s">
        <v>754</v>
      </c>
      <c r="G35" s="365" t="s">
        <v>755</v>
      </c>
      <c r="H35" s="365" t="s">
        <v>756</v>
      </c>
      <c r="I35" s="365" t="s">
        <v>757</v>
      </c>
      <c r="J35" s="196" t="s">
        <v>758</v>
      </c>
      <c r="K35" s="196" t="s">
        <v>759</v>
      </c>
      <c r="L35" s="196" t="s">
        <v>760</v>
      </c>
      <c r="M35" s="196" t="s">
        <v>761</v>
      </c>
      <c r="N35" s="196" t="s">
        <v>762</v>
      </c>
      <c r="O35" s="196" t="s">
        <v>763</v>
      </c>
      <c r="P35" s="196" t="s">
        <v>764</v>
      </c>
      <c r="Q35" s="196" t="s">
        <v>765</v>
      </c>
      <c r="R35" s="196" t="s">
        <v>766</v>
      </c>
      <c r="S35" s="196" t="s">
        <v>767</v>
      </c>
      <c r="T35" s="196" t="s">
        <v>768</v>
      </c>
      <c r="U35" s="196" t="s">
        <v>769</v>
      </c>
      <c r="V35" s="196" t="s">
        <v>770</v>
      </c>
      <c r="W35" s="196" t="s">
        <v>771</v>
      </c>
      <c r="X35" s="196" t="s">
        <v>772</v>
      </c>
      <c r="Y35" s="196" t="s">
        <v>773</v>
      </c>
      <c r="Z35" s="196" t="s">
        <v>774</v>
      </c>
      <c r="AA35" s="196" t="s">
        <v>775</v>
      </c>
      <c r="AB35" s="196" t="s">
        <v>776</v>
      </c>
      <c r="AC35" s="196" t="s">
        <v>777</v>
      </c>
      <c r="AD35" s="196" t="s">
        <v>778</v>
      </c>
      <c r="AE35" s="196" t="s">
        <v>779</v>
      </c>
      <c r="AF35" s="196" t="s">
        <v>780</v>
      </c>
      <c r="AG35" s="196" t="s">
        <v>781</v>
      </c>
      <c r="AH35" s="196" t="s">
        <v>782</v>
      </c>
      <c r="AI35" s="196" t="s">
        <v>783</v>
      </c>
      <c r="AJ35" s="196" t="s">
        <v>784</v>
      </c>
      <c r="AK35" s="196" t="s">
        <v>785</v>
      </c>
      <c r="AL35" s="196" t="s">
        <v>786</v>
      </c>
      <c r="AM35" s="196" t="s">
        <v>787</v>
      </c>
      <c r="AN35" s="196" t="s">
        <v>788</v>
      </c>
    </row>
    <row r="36" spans="2:40" ht="12" customHeight="1">
      <c r="B36" s="301" t="s">
        <v>910</v>
      </c>
      <c r="C36" s="302" t="s">
        <v>821</v>
      </c>
      <c r="D36" s="303"/>
      <c r="E36" s="304">
        <v>11404</v>
      </c>
      <c r="F36" s="304">
        <v>29802</v>
      </c>
      <c r="G36" s="304">
        <v>37986</v>
      </c>
      <c r="H36" s="304">
        <v>18803</v>
      </c>
      <c r="I36" s="304">
        <v>15669</v>
      </c>
      <c r="J36" s="304">
        <v>38053</v>
      </c>
      <c r="K36" s="304">
        <v>32137</v>
      </c>
      <c r="L36" s="304">
        <v>15059</v>
      </c>
      <c r="M36" s="305">
        <v>60000</v>
      </c>
      <c r="N36" s="305">
        <f t="shared" ref="N36" si="19">M36</f>
        <v>60000</v>
      </c>
      <c r="O36" s="305">
        <v>30000</v>
      </c>
      <c r="P36" s="305">
        <v>30000</v>
      </c>
      <c r="Q36" s="385">
        <f t="shared" ref="Q36:AA36" si="20">E36*Q37</f>
        <v>19386.8</v>
      </c>
      <c r="R36" s="385">
        <f t="shared" si="20"/>
        <v>41722.799999999996</v>
      </c>
      <c r="S36" s="385">
        <f t="shared" si="20"/>
        <v>41784.600000000006</v>
      </c>
      <c r="T36" s="385">
        <f t="shared" si="20"/>
        <v>26324.199999999997</v>
      </c>
      <c r="U36" s="385">
        <f t="shared" si="20"/>
        <v>23503.5</v>
      </c>
      <c r="V36" s="385">
        <f t="shared" si="20"/>
        <v>57079.5</v>
      </c>
      <c r="W36" s="385">
        <f t="shared" si="20"/>
        <v>22495.899999999998</v>
      </c>
      <c r="X36" s="385">
        <f t="shared" si="20"/>
        <v>22588.5</v>
      </c>
      <c r="Y36" s="385">
        <f t="shared" si="20"/>
        <v>78000</v>
      </c>
      <c r="Z36" s="385">
        <f t="shared" si="20"/>
        <v>72000</v>
      </c>
      <c r="AA36" s="385">
        <f t="shared" si="20"/>
        <v>24000</v>
      </c>
      <c r="AB36" s="385">
        <f>P36*AB37</f>
        <v>24000</v>
      </c>
      <c r="AC36" s="305">
        <f t="shared" ref="AC36:AN36" si="21">Q36*AC37</f>
        <v>23264.16</v>
      </c>
      <c r="AD36" s="305">
        <f t="shared" si="21"/>
        <v>58411.919999999991</v>
      </c>
      <c r="AE36" s="305">
        <f t="shared" si="21"/>
        <v>45963.060000000012</v>
      </c>
      <c r="AF36" s="305">
        <f t="shared" si="21"/>
        <v>28956.62</v>
      </c>
      <c r="AG36" s="305">
        <f t="shared" si="21"/>
        <v>35255.25</v>
      </c>
      <c r="AH36" s="305">
        <f t="shared" si="21"/>
        <v>85619.25</v>
      </c>
      <c r="AI36" s="305">
        <f t="shared" si="21"/>
        <v>15747.129999999997</v>
      </c>
      <c r="AJ36" s="305">
        <f t="shared" si="21"/>
        <v>29365.05</v>
      </c>
      <c r="AK36" s="305">
        <f t="shared" si="21"/>
        <v>101400</v>
      </c>
      <c r="AL36" s="305">
        <f t="shared" si="21"/>
        <v>86400</v>
      </c>
      <c r="AM36" s="305">
        <f t="shared" si="21"/>
        <v>16800</v>
      </c>
      <c r="AN36" s="305">
        <f t="shared" si="21"/>
        <v>24000</v>
      </c>
    </row>
    <row r="37" spans="2:40" ht="12" customHeight="1">
      <c r="B37" s="301"/>
      <c r="C37" s="302" t="s">
        <v>887</v>
      </c>
      <c r="D37" s="303"/>
      <c r="E37" s="306"/>
      <c r="F37" s="306"/>
      <c r="G37" s="306"/>
      <c r="H37" s="306"/>
      <c r="I37" s="306"/>
      <c r="J37" s="306"/>
      <c r="K37" s="306"/>
      <c r="L37" s="306"/>
      <c r="M37" s="305"/>
      <c r="N37" s="305"/>
      <c r="O37" s="305"/>
      <c r="P37" s="305"/>
      <c r="Q37" s="380">
        <v>1.7</v>
      </c>
      <c r="R37" s="380">
        <v>1.4</v>
      </c>
      <c r="S37" s="380">
        <v>1.1000000000000001</v>
      </c>
      <c r="T37" s="380">
        <v>1.4</v>
      </c>
      <c r="U37" s="380">
        <v>1.5</v>
      </c>
      <c r="V37" s="380">
        <v>1.5</v>
      </c>
      <c r="W37" s="380">
        <v>0.7</v>
      </c>
      <c r="X37" s="380">
        <v>1.5</v>
      </c>
      <c r="Y37" s="380">
        <v>1.3</v>
      </c>
      <c r="Z37" s="380">
        <v>1.2</v>
      </c>
      <c r="AA37" s="380">
        <v>0.8</v>
      </c>
      <c r="AB37" s="380">
        <v>0.8</v>
      </c>
      <c r="AC37" s="360">
        <v>1.2</v>
      </c>
      <c r="AD37" s="360">
        <v>1.4</v>
      </c>
      <c r="AE37" s="360">
        <v>1.1000000000000001</v>
      </c>
      <c r="AF37" s="360">
        <v>1.1000000000000001</v>
      </c>
      <c r="AG37" s="360">
        <v>1.5</v>
      </c>
      <c r="AH37" s="360">
        <v>1.5</v>
      </c>
      <c r="AI37" s="360">
        <v>0.7</v>
      </c>
      <c r="AJ37" s="360">
        <v>1.3</v>
      </c>
      <c r="AK37" s="360">
        <v>1.3</v>
      </c>
      <c r="AL37" s="360">
        <v>1.2</v>
      </c>
      <c r="AM37" s="360">
        <v>0.7</v>
      </c>
      <c r="AN37" s="360">
        <v>1</v>
      </c>
    </row>
    <row r="38" spans="2:40">
      <c r="C38" s="350" t="s">
        <v>822</v>
      </c>
      <c r="D38" s="303"/>
      <c r="J38" s="306"/>
      <c r="K38" s="306"/>
      <c r="L38" s="306"/>
    </row>
    <row r="39" spans="2:40">
      <c r="C39" s="308" t="s">
        <v>751</v>
      </c>
      <c r="E39" s="309"/>
      <c r="F39" s="309"/>
      <c r="G39" s="309"/>
      <c r="H39" s="309"/>
      <c r="I39" s="309"/>
      <c r="J39" s="306"/>
      <c r="K39" s="306"/>
      <c r="L39" s="306"/>
      <c r="M39" s="310">
        <v>0</v>
      </c>
      <c r="N39" s="310">
        <v>0.05</v>
      </c>
      <c r="O39" s="310">
        <v>0.05</v>
      </c>
      <c r="P39" s="310">
        <v>0.05</v>
      </c>
      <c r="Q39" s="381">
        <v>0</v>
      </c>
      <c r="R39" s="381">
        <v>0</v>
      </c>
      <c r="S39" s="381">
        <v>0</v>
      </c>
      <c r="T39" s="381">
        <v>0.05</v>
      </c>
      <c r="U39" s="381">
        <v>0.05</v>
      </c>
      <c r="V39" s="381">
        <v>0.05</v>
      </c>
      <c r="W39" s="381">
        <v>0.05</v>
      </c>
      <c r="X39" s="381">
        <v>0.05</v>
      </c>
      <c r="Y39" s="381">
        <v>0.05</v>
      </c>
      <c r="Z39" s="381">
        <v>0.05</v>
      </c>
      <c r="AA39" s="381">
        <v>0.05</v>
      </c>
      <c r="AB39" s="310">
        <v>0.05</v>
      </c>
      <c r="AC39" s="310">
        <v>0.05</v>
      </c>
      <c r="AD39" s="310">
        <v>0.05</v>
      </c>
      <c r="AE39" s="310">
        <v>0.05</v>
      </c>
      <c r="AF39" s="310">
        <v>0.05</v>
      </c>
      <c r="AG39" s="310">
        <v>0.05</v>
      </c>
      <c r="AH39" s="310">
        <v>0.05</v>
      </c>
      <c r="AI39" s="310">
        <v>0.05</v>
      </c>
      <c r="AJ39" s="310">
        <v>0.05</v>
      </c>
      <c r="AK39" s="310">
        <v>0.05</v>
      </c>
      <c r="AL39" s="310">
        <v>0.05</v>
      </c>
      <c r="AM39" s="310">
        <v>0.05</v>
      </c>
      <c r="AN39" s="310">
        <v>0.05</v>
      </c>
    </row>
    <row r="40" spans="2:40">
      <c r="C40" s="308" t="s">
        <v>823</v>
      </c>
      <c r="E40" s="309"/>
      <c r="F40" s="309"/>
      <c r="G40" s="309"/>
      <c r="H40" s="309"/>
      <c r="I40" s="309"/>
      <c r="J40" s="306"/>
      <c r="K40" s="306"/>
      <c r="L40" s="306"/>
      <c r="M40" s="310">
        <v>0.1</v>
      </c>
      <c r="N40" s="310">
        <v>0.2</v>
      </c>
      <c r="O40" s="310">
        <v>0.2</v>
      </c>
      <c r="P40" s="310">
        <v>0.2</v>
      </c>
      <c r="Q40" s="381">
        <v>0.4</v>
      </c>
      <c r="R40" s="381">
        <v>0.3</v>
      </c>
      <c r="S40" s="381">
        <v>0.3</v>
      </c>
      <c r="T40" s="381">
        <v>0.2</v>
      </c>
      <c r="U40" s="381">
        <v>0.3</v>
      </c>
      <c r="V40" s="381">
        <v>0.2</v>
      </c>
      <c r="W40" s="381">
        <v>0.2</v>
      </c>
      <c r="X40" s="381">
        <v>0.3</v>
      </c>
      <c r="Y40" s="381">
        <v>0.2</v>
      </c>
      <c r="Z40" s="381">
        <v>0.2</v>
      </c>
      <c r="AA40" s="381">
        <v>0.2</v>
      </c>
      <c r="AB40" s="310">
        <v>0.2</v>
      </c>
      <c r="AC40" s="310">
        <v>0.2</v>
      </c>
      <c r="AD40" s="310">
        <v>0.2</v>
      </c>
      <c r="AE40" s="310">
        <v>0.2</v>
      </c>
      <c r="AF40" s="310">
        <v>0.2</v>
      </c>
      <c r="AG40" s="310">
        <v>0.2</v>
      </c>
      <c r="AH40" s="310">
        <v>0.2</v>
      </c>
      <c r="AI40" s="310">
        <v>0.2</v>
      </c>
      <c r="AJ40" s="310">
        <v>0.2</v>
      </c>
      <c r="AK40" s="310">
        <v>0.2</v>
      </c>
      <c r="AL40" s="310">
        <v>0.2</v>
      </c>
      <c r="AM40" s="310">
        <v>0.2</v>
      </c>
      <c r="AN40" s="310">
        <v>0.2</v>
      </c>
    </row>
    <row r="41" spans="2:40">
      <c r="C41" s="308" t="s">
        <v>824</v>
      </c>
      <c r="E41" s="309"/>
      <c r="F41" s="309"/>
      <c r="G41" s="309"/>
      <c r="H41" s="309"/>
      <c r="I41" s="309"/>
      <c r="J41" s="306"/>
      <c r="K41" s="306"/>
      <c r="L41" s="306"/>
      <c r="M41" s="310">
        <v>0.9</v>
      </c>
      <c r="N41" s="310">
        <v>0.75</v>
      </c>
      <c r="O41" s="310">
        <v>0.75</v>
      </c>
      <c r="P41" s="310">
        <v>0.75</v>
      </c>
      <c r="Q41" s="381">
        <v>0.6</v>
      </c>
      <c r="R41" s="381">
        <v>0.7</v>
      </c>
      <c r="S41" s="381">
        <v>0.7</v>
      </c>
      <c r="T41" s="381">
        <v>0.75</v>
      </c>
      <c r="U41" s="381">
        <v>0.65</v>
      </c>
      <c r="V41" s="381">
        <v>0.75</v>
      </c>
      <c r="W41" s="381">
        <v>0.75</v>
      </c>
      <c r="X41" s="381">
        <v>0.65</v>
      </c>
      <c r="Y41" s="381">
        <v>0.75</v>
      </c>
      <c r="Z41" s="381">
        <v>0.75</v>
      </c>
      <c r="AA41" s="381">
        <v>0.75</v>
      </c>
      <c r="AB41" s="310">
        <v>0.75</v>
      </c>
      <c r="AC41" s="310">
        <v>0.75</v>
      </c>
      <c r="AD41" s="310">
        <v>0.75</v>
      </c>
      <c r="AE41" s="310">
        <v>0.75</v>
      </c>
      <c r="AF41" s="310">
        <v>0.75</v>
      </c>
      <c r="AG41" s="310">
        <v>0.75</v>
      </c>
      <c r="AH41" s="310">
        <v>0.75</v>
      </c>
      <c r="AI41" s="310">
        <v>0.75</v>
      </c>
      <c r="AJ41" s="310">
        <v>0.75</v>
      </c>
      <c r="AK41" s="310">
        <v>0.75</v>
      </c>
      <c r="AL41" s="310">
        <v>0.75</v>
      </c>
      <c r="AM41" s="310">
        <v>0.75</v>
      </c>
      <c r="AN41" s="310">
        <v>0.75</v>
      </c>
    </row>
    <row r="42" spans="2:40">
      <c r="J42" s="306"/>
      <c r="K42" s="306"/>
      <c r="L42" s="306"/>
      <c r="M42" s="311"/>
      <c r="N42" s="311"/>
      <c r="O42" s="311"/>
      <c r="P42" s="311"/>
      <c r="Q42" s="311"/>
      <c r="R42" s="311"/>
      <c r="S42" s="311"/>
      <c r="T42" s="311"/>
      <c r="U42" s="311"/>
      <c r="V42" s="311"/>
      <c r="W42" s="311"/>
      <c r="X42" s="311"/>
      <c r="Y42" s="311"/>
      <c r="Z42" s="311"/>
      <c r="AA42" s="311"/>
      <c r="AB42" s="311"/>
      <c r="AC42" s="311"/>
      <c r="AD42" s="311"/>
      <c r="AE42" s="311"/>
      <c r="AF42" s="311"/>
      <c r="AG42" s="311"/>
      <c r="AH42" s="311"/>
      <c r="AI42" s="311"/>
      <c r="AJ42" s="311"/>
      <c r="AK42" s="311"/>
      <c r="AL42" s="311"/>
      <c r="AM42" s="311"/>
      <c r="AN42" s="311"/>
    </row>
    <row r="43" spans="2:40" s="207" customFormat="1">
      <c r="C43" s="242" t="s">
        <v>825</v>
      </c>
    </row>
    <row r="44" spans="2:40" s="7" customFormat="1" ht="12" customHeight="1" outlineLevel="1">
      <c r="B44" s="235"/>
      <c r="C44" s="208"/>
      <c r="D44" s="208"/>
      <c r="E44" s="196" t="s">
        <v>753</v>
      </c>
      <c r="F44" s="196" t="s">
        <v>754</v>
      </c>
      <c r="G44" s="196" t="s">
        <v>755</v>
      </c>
      <c r="H44" s="196" t="s">
        <v>756</v>
      </c>
      <c r="I44" s="196" t="s">
        <v>757</v>
      </c>
      <c r="J44" s="196" t="s">
        <v>758</v>
      </c>
      <c r="K44" s="196" t="s">
        <v>759</v>
      </c>
      <c r="L44" s="196" t="s">
        <v>760</v>
      </c>
      <c r="M44" s="196" t="s">
        <v>761</v>
      </c>
      <c r="N44" s="196" t="s">
        <v>762</v>
      </c>
      <c r="O44" s="196" t="s">
        <v>763</v>
      </c>
      <c r="P44" s="196" t="s">
        <v>764</v>
      </c>
      <c r="Q44" s="196" t="s">
        <v>765</v>
      </c>
      <c r="R44" s="196" t="s">
        <v>766</v>
      </c>
      <c r="S44" s="196" t="s">
        <v>767</v>
      </c>
      <c r="T44" s="196" t="s">
        <v>768</v>
      </c>
      <c r="U44" s="196" t="s">
        <v>769</v>
      </c>
      <c r="V44" s="196" t="s">
        <v>770</v>
      </c>
      <c r="W44" s="196" t="s">
        <v>771</v>
      </c>
      <c r="X44" s="196" t="s">
        <v>772</v>
      </c>
      <c r="Y44" s="196" t="s">
        <v>773</v>
      </c>
      <c r="Z44" s="196" t="s">
        <v>774</v>
      </c>
      <c r="AA44" s="196" t="s">
        <v>775</v>
      </c>
      <c r="AB44" s="196" t="s">
        <v>776</v>
      </c>
      <c r="AC44" s="196" t="s">
        <v>777</v>
      </c>
      <c r="AD44" s="196" t="s">
        <v>778</v>
      </c>
      <c r="AE44" s="196" t="s">
        <v>779</v>
      </c>
      <c r="AF44" s="196" t="s">
        <v>780</v>
      </c>
      <c r="AG44" s="196" t="s">
        <v>781</v>
      </c>
      <c r="AH44" s="196" t="s">
        <v>782</v>
      </c>
      <c r="AI44" s="196" t="s">
        <v>783</v>
      </c>
      <c r="AJ44" s="196" t="s">
        <v>784</v>
      </c>
      <c r="AK44" s="196" t="s">
        <v>785</v>
      </c>
      <c r="AL44" s="196" t="s">
        <v>786</v>
      </c>
      <c r="AM44" s="196" t="s">
        <v>787</v>
      </c>
      <c r="AN44" s="196" t="s">
        <v>788</v>
      </c>
    </row>
    <row r="45" spans="2:40" s="7" customFormat="1" ht="12" customHeight="1" outlineLevel="1">
      <c r="B45" s="239"/>
      <c r="C45" s="214" t="s">
        <v>821</v>
      </c>
      <c r="D45" s="212"/>
      <c r="E45" s="337"/>
      <c r="F45" s="337"/>
      <c r="G45" s="337"/>
      <c r="H45" s="337"/>
      <c r="I45" s="337"/>
      <c r="J45" s="337">
        <f>J36*J39</f>
        <v>0</v>
      </c>
      <c r="K45" s="337">
        <f t="shared" ref="K45:AN45" si="22">K36*K39</f>
        <v>0</v>
      </c>
      <c r="L45" s="337">
        <f t="shared" si="22"/>
        <v>0</v>
      </c>
      <c r="M45" s="337">
        <f t="shared" si="22"/>
        <v>0</v>
      </c>
      <c r="N45" s="337">
        <f t="shared" si="22"/>
        <v>3000</v>
      </c>
      <c r="O45" s="337">
        <f t="shared" si="22"/>
        <v>1500</v>
      </c>
      <c r="P45" s="337">
        <f t="shared" si="22"/>
        <v>1500</v>
      </c>
      <c r="Q45" s="337">
        <f t="shared" si="22"/>
        <v>0</v>
      </c>
      <c r="R45" s="337">
        <f t="shared" si="22"/>
        <v>0</v>
      </c>
      <c r="S45" s="337">
        <f t="shared" si="22"/>
        <v>0</v>
      </c>
      <c r="T45" s="337">
        <f t="shared" si="22"/>
        <v>1316.21</v>
      </c>
      <c r="U45" s="337">
        <f t="shared" si="22"/>
        <v>1175.175</v>
      </c>
      <c r="V45" s="337">
        <f t="shared" si="22"/>
        <v>2853.9750000000004</v>
      </c>
      <c r="W45" s="337">
        <f t="shared" si="22"/>
        <v>1124.7949999999998</v>
      </c>
      <c r="X45" s="337">
        <f t="shared" si="22"/>
        <v>1129.425</v>
      </c>
      <c r="Y45" s="337">
        <f t="shared" si="22"/>
        <v>3900</v>
      </c>
      <c r="Z45" s="337">
        <f t="shared" si="22"/>
        <v>3600</v>
      </c>
      <c r="AA45" s="337">
        <f t="shared" si="22"/>
        <v>1200</v>
      </c>
      <c r="AB45" s="337">
        <f t="shared" si="22"/>
        <v>1200</v>
      </c>
      <c r="AC45" s="337">
        <f t="shared" si="22"/>
        <v>1163.2080000000001</v>
      </c>
      <c r="AD45" s="337">
        <f t="shared" si="22"/>
        <v>2920.5959999999995</v>
      </c>
      <c r="AE45" s="337">
        <f t="shared" si="22"/>
        <v>2298.1530000000007</v>
      </c>
      <c r="AF45" s="337">
        <f t="shared" si="22"/>
        <v>1447.8310000000001</v>
      </c>
      <c r="AG45" s="337">
        <f t="shared" si="22"/>
        <v>1762.7625</v>
      </c>
      <c r="AH45" s="337">
        <f t="shared" si="22"/>
        <v>4280.9625000000005</v>
      </c>
      <c r="AI45" s="337">
        <f t="shared" si="22"/>
        <v>787.35649999999987</v>
      </c>
      <c r="AJ45" s="337">
        <f t="shared" si="22"/>
        <v>1468.2525000000001</v>
      </c>
      <c r="AK45" s="337">
        <f t="shared" si="22"/>
        <v>5070</v>
      </c>
      <c r="AL45" s="337">
        <f t="shared" si="22"/>
        <v>4320</v>
      </c>
      <c r="AM45" s="337">
        <f t="shared" si="22"/>
        <v>840</v>
      </c>
      <c r="AN45" s="337">
        <f t="shared" si="22"/>
        <v>1200</v>
      </c>
    </row>
    <row r="46" spans="2:40" ht="12" customHeight="1" outlineLevel="1">
      <c r="B46" s="301" t="s">
        <v>856</v>
      </c>
      <c r="C46" s="303" t="s">
        <v>827</v>
      </c>
      <c r="D46" s="302"/>
      <c r="E46" s="312"/>
      <c r="F46" s="312"/>
      <c r="G46" s="312"/>
      <c r="H46" s="312"/>
      <c r="I46" s="312"/>
      <c r="J46" s="312"/>
      <c r="K46" s="312"/>
      <c r="L46" s="312"/>
      <c r="M46" s="313">
        <v>84.6</v>
      </c>
      <c r="N46" s="313">
        <v>84.6</v>
      </c>
      <c r="O46" s="313">
        <v>84.6</v>
      </c>
      <c r="P46" s="313">
        <v>84.6</v>
      </c>
      <c r="Q46" s="313">
        <v>84.6</v>
      </c>
      <c r="R46" s="313">
        <v>84.6</v>
      </c>
      <c r="S46" s="313">
        <v>84.6</v>
      </c>
      <c r="T46" s="313">
        <v>84.6</v>
      </c>
      <c r="U46" s="313">
        <v>84.6</v>
      </c>
      <c r="V46" s="313">
        <v>84.6</v>
      </c>
      <c r="W46" s="313">
        <v>84.6</v>
      </c>
      <c r="X46" s="313">
        <v>84.6</v>
      </c>
      <c r="Y46" s="313">
        <v>84.6</v>
      </c>
      <c r="Z46" s="313">
        <v>84.6</v>
      </c>
      <c r="AA46" s="313">
        <v>84.6</v>
      </c>
      <c r="AB46" s="313">
        <v>84.6</v>
      </c>
      <c r="AC46" s="313">
        <v>84.6</v>
      </c>
      <c r="AD46" s="313">
        <v>84.6</v>
      </c>
      <c r="AE46" s="313">
        <v>84.6</v>
      </c>
      <c r="AF46" s="313">
        <v>84.6</v>
      </c>
      <c r="AG46" s="313">
        <v>84.6</v>
      </c>
      <c r="AH46" s="313">
        <v>84.6</v>
      </c>
      <c r="AI46" s="313">
        <v>84.6</v>
      </c>
      <c r="AJ46" s="313">
        <v>84.6</v>
      </c>
      <c r="AK46" s="313">
        <v>84.6</v>
      </c>
      <c r="AL46" s="313">
        <v>84.6</v>
      </c>
      <c r="AM46" s="313">
        <v>84.6</v>
      </c>
      <c r="AN46" s="313">
        <v>84.6</v>
      </c>
    </row>
    <row r="47" spans="2:40" s="7" customFormat="1" ht="12" customHeight="1" outlineLevel="1">
      <c r="B47" s="239" t="s">
        <v>828</v>
      </c>
      <c r="C47" s="214" t="s">
        <v>829</v>
      </c>
      <c r="D47" s="212"/>
      <c r="E47" s="232"/>
      <c r="F47" s="232"/>
      <c r="G47" s="232"/>
      <c r="H47" s="232"/>
      <c r="I47" s="232"/>
      <c r="J47" s="232"/>
      <c r="K47" s="232"/>
      <c r="L47" s="232"/>
      <c r="M47" s="205">
        <f t="shared" ref="M47:AN47" si="23">M45/M46</f>
        <v>0</v>
      </c>
      <c r="N47" s="205">
        <f t="shared" si="23"/>
        <v>35.460992907801419</v>
      </c>
      <c r="O47" s="205">
        <f t="shared" si="23"/>
        <v>17.730496453900709</v>
      </c>
      <c r="P47" s="205">
        <f t="shared" si="23"/>
        <v>17.730496453900709</v>
      </c>
      <c r="Q47" s="205">
        <f t="shared" si="23"/>
        <v>0</v>
      </c>
      <c r="R47" s="205">
        <f t="shared" si="23"/>
        <v>0</v>
      </c>
      <c r="S47" s="205">
        <f t="shared" si="23"/>
        <v>0</v>
      </c>
      <c r="T47" s="205">
        <f t="shared" si="23"/>
        <v>15.558037825059102</v>
      </c>
      <c r="U47" s="205">
        <f t="shared" si="23"/>
        <v>13.89095744680851</v>
      </c>
      <c r="V47" s="205">
        <f t="shared" si="23"/>
        <v>33.73492907801419</v>
      </c>
      <c r="W47" s="205">
        <f t="shared" si="23"/>
        <v>13.295449172576831</v>
      </c>
      <c r="X47" s="205">
        <f t="shared" si="23"/>
        <v>13.350177304964539</v>
      </c>
      <c r="Y47" s="205">
        <f t="shared" si="23"/>
        <v>46.09929078014185</v>
      </c>
      <c r="Z47" s="205">
        <f t="shared" si="23"/>
        <v>42.553191489361708</v>
      </c>
      <c r="AA47" s="205">
        <f t="shared" si="23"/>
        <v>14.184397163120568</v>
      </c>
      <c r="AB47" s="205">
        <f t="shared" si="23"/>
        <v>14.184397163120568</v>
      </c>
      <c r="AC47" s="205">
        <f t="shared" si="23"/>
        <v>13.749503546099293</v>
      </c>
      <c r="AD47" s="205">
        <f t="shared" si="23"/>
        <v>34.522411347517725</v>
      </c>
      <c r="AE47" s="205">
        <f t="shared" si="23"/>
        <v>27.164929078014193</v>
      </c>
      <c r="AF47" s="205">
        <f t="shared" si="23"/>
        <v>17.113841607565014</v>
      </c>
      <c r="AG47" s="205">
        <f t="shared" si="23"/>
        <v>20.836436170212767</v>
      </c>
      <c r="AH47" s="205">
        <f t="shared" si="23"/>
        <v>50.602393617021285</v>
      </c>
      <c r="AI47" s="205">
        <f t="shared" si="23"/>
        <v>9.3068144208037822</v>
      </c>
      <c r="AJ47" s="205">
        <f t="shared" si="23"/>
        <v>17.355230496453903</v>
      </c>
      <c r="AK47" s="205">
        <f t="shared" si="23"/>
        <v>59.929078014184398</v>
      </c>
      <c r="AL47" s="205">
        <f t="shared" si="23"/>
        <v>51.063829787234049</v>
      </c>
      <c r="AM47" s="205">
        <f t="shared" si="23"/>
        <v>9.9290780141843982</v>
      </c>
      <c r="AN47" s="205">
        <f t="shared" si="23"/>
        <v>14.184397163120568</v>
      </c>
    </row>
    <row r="48" spans="2:40" ht="12" customHeight="1" outlineLevel="1">
      <c r="B48" s="301"/>
      <c r="C48" s="303" t="s">
        <v>830</v>
      </c>
      <c r="D48" s="302"/>
      <c r="E48" s="314">
        <v>0</v>
      </c>
      <c r="F48" s="314">
        <v>0</v>
      </c>
      <c r="G48" s="314">
        <v>0</v>
      </c>
      <c r="H48" s="314">
        <v>0</v>
      </c>
      <c r="I48" s="314">
        <v>0</v>
      </c>
      <c r="J48" s="314">
        <v>0</v>
      </c>
      <c r="K48" s="314">
        <v>0</v>
      </c>
      <c r="L48" s="314">
        <v>0</v>
      </c>
      <c r="M48" s="315">
        <v>0</v>
      </c>
      <c r="N48" s="315">
        <v>0</v>
      </c>
      <c r="O48" s="315">
        <v>0</v>
      </c>
      <c r="P48" s="315">
        <v>0</v>
      </c>
      <c r="Q48" s="315">
        <v>0</v>
      </c>
      <c r="R48" s="315">
        <f>Q48</f>
        <v>0</v>
      </c>
      <c r="S48" s="315">
        <f t="shared" ref="S48:AN48" si="24">R48</f>
        <v>0</v>
      </c>
      <c r="T48" s="315">
        <f t="shared" si="24"/>
        <v>0</v>
      </c>
      <c r="U48" s="315">
        <v>0.1</v>
      </c>
      <c r="V48" s="315">
        <f t="shared" si="24"/>
        <v>0.1</v>
      </c>
      <c r="W48" s="315">
        <v>0.2</v>
      </c>
      <c r="X48" s="315">
        <f t="shared" si="24"/>
        <v>0.2</v>
      </c>
      <c r="Y48" s="315">
        <v>0</v>
      </c>
      <c r="Z48" s="315">
        <f t="shared" si="24"/>
        <v>0</v>
      </c>
      <c r="AA48" s="315">
        <f t="shared" si="24"/>
        <v>0</v>
      </c>
      <c r="AB48" s="315">
        <f t="shared" si="24"/>
        <v>0</v>
      </c>
      <c r="AC48" s="315">
        <f t="shared" si="24"/>
        <v>0</v>
      </c>
      <c r="AD48" s="315">
        <f t="shared" si="24"/>
        <v>0</v>
      </c>
      <c r="AE48" s="315">
        <f t="shared" si="24"/>
        <v>0</v>
      </c>
      <c r="AF48" s="315">
        <f t="shared" si="24"/>
        <v>0</v>
      </c>
      <c r="AG48" s="315">
        <f t="shared" si="24"/>
        <v>0</v>
      </c>
      <c r="AH48" s="315">
        <f t="shared" si="24"/>
        <v>0</v>
      </c>
      <c r="AI48" s="315">
        <f t="shared" si="24"/>
        <v>0</v>
      </c>
      <c r="AJ48" s="315">
        <f t="shared" si="24"/>
        <v>0</v>
      </c>
      <c r="AK48" s="315">
        <f t="shared" si="24"/>
        <v>0</v>
      </c>
      <c r="AL48" s="315">
        <f t="shared" si="24"/>
        <v>0</v>
      </c>
      <c r="AM48" s="315">
        <f t="shared" si="24"/>
        <v>0</v>
      </c>
      <c r="AN48" s="315">
        <f t="shared" si="24"/>
        <v>0</v>
      </c>
    </row>
    <row r="49" spans="2:40" s="7" customFormat="1" ht="12" customHeight="1" outlineLevel="1">
      <c r="B49" s="239"/>
      <c r="C49" s="214" t="s">
        <v>831</v>
      </c>
      <c r="D49" s="212"/>
      <c r="E49" s="232">
        <f t="shared" ref="E49:I49" si="25">E47*E48</f>
        <v>0</v>
      </c>
      <c r="F49" s="232">
        <f t="shared" si="25"/>
        <v>0</v>
      </c>
      <c r="G49" s="232">
        <f t="shared" si="25"/>
        <v>0</v>
      </c>
      <c r="H49" s="232">
        <f t="shared" si="25"/>
        <v>0</v>
      </c>
      <c r="I49" s="232">
        <f t="shared" si="25"/>
        <v>0</v>
      </c>
      <c r="J49" s="232">
        <f t="shared" ref="J49:AN49" si="26">J47*J48</f>
        <v>0</v>
      </c>
      <c r="K49" s="232">
        <f t="shared" si="26"/>
        <v>0</v>
      </c>
      <c r="L49" s="232">
        <f t="shared" si="26"/>
        <v>0</v>
      </c>
      <c r="M49" s="205">
        <f t="shared" si="26"/>
        <v>0</v>
      </c>
      <c r="N49" s="205">
        <f t="shared" si="26"/>
        <v>0</v>
      </c>
      <c r="O49" s="205">
        <f t="shared" si="26"/>
        <v>0</v>
      </c>
      <c r="P49" s="205">
        <f t="shared" si="26"/>
        <v>0</v>
      </c>
      <c r="Q49" s="205">
        <f t="shared" si="26"/>
        <v>0</v>
      </c>
      <c r="R49" s="205">
        <f t="shared" si="26"/>
        <v>0</v>
      </c>
      <c r="S49" s="205">
        <f t="shared" si="26"/>
        <v>0</v>
      </c>
      <c r="T49" s="205">
        <f t="shared" si="26"/>
        <v>0</v>
      </c>
      <c r="U49" s="205">
        <f t="shared" si="26"/>
        <v>1.3890957446808512</v>
      </c>
      <c r="V49" s="205">
        <f t="shared" si="26"/>
        <v>3.3734929078014191</v>
      </c>
      <c r="W49" s="205">
        <f t="shared" si="26"/>
        <v>2.6590898345153664</v>
      </c>
      <c r="X49" s="205">
        <f t="shared" si="26"/>
        <v>2.6700354609929082</v>
      </c>
      <c r="Y49" s="205">
        <f t="shared" si="26"/>
        <v>0</v>
      </c>
      <c r="Z49" s="205">
        <f t="shared" si="26"/>
        <v>0</v>
      </c>
      <c r="AA49" s="205">
        <f t="shared" si="26"/>
        <v>0</v>
      </c>
      <c r="AB49" s="205">
        <f t="shared" si="26"/>
        <v>0</v>
      </c>
      <c r="AC49" s="205">
        <f t="shared" si="26"/>
        <v>0</v>
      </c>
      <c r="AD49" s="205">
        <f t="shared" si="26"/>
        <v>0</v>
      </c>
      <c r="AE49" s="205">
        <f t="shared" si="26"/>
        <v>0</v>
      </c>
      <c r="AF49" s="205">
        <f t="shared" si="26"/>
        <v>0</v>
      </c>
      <c r="AG49" s="205">
        <f t="shared" si="26"/>
        <v>0</v>
      </c>
      <c r="AH49" s="205">
        <f t="shared" si="26"/>
        <v>0</v>
      </c>
      <c r="AI49" s="205">
        <f t="shared" si="26"/>
        <v>0</v>
      </c>
      <c r="AJ49" s="205">
        <f t="shared" si="26"/>
        <v>0</v>
      </c>
      <c r="AK49" s="205">
        <f t="shared" si="26"/>
        <v>0</v>
      </c>
      <c r="AL49" s="205">
        <f t="shared" si="26"/>
        <v>0</v>
      </c>
      <c r="AM49" s="205">
        <f t="shared" si="26"/>
        <v>0</v>
      </c>
      <c r="AN49" s="205">
        <f t="shared" si="26"/>
        <v>0</v>
      </c>
    </row>
    <row r="50" spans="2:40" s="7" customFormat="1" ht="12" customHeight="1" outlineLevel="1">
      <c r="B50" s="239" t="s">
        <v>911</v>
      </c>
      <c r="C50" s="214" t="s">
        <v>833</v>
      </c>
      <c r="D50" s="212"/>
      <c r="E50" s="232">
        <f>4+3</f>
        <v>7</v>
      </c>
      <c r="F50" s="232">
        <v>9</v>
      </c>
      <c r="G50" s="232">
        <v>18</v>
      </c>
      <c r="H50" s="232">
        <v>8</v>
      </c>
      <c r="I50" s="232">
        <v>8</v>
      </c>
      <c r="J50" s="232">
        <f>8+7</f>
        <v>15</v>
      </c>
      <c r="K50" s="232">
        <f>4</f>
        <v>4</v>
      </c>
      <c r="L50" s="232">
        <f>4</f>
        <v>4</v>
      </c>
      <c r="M50" s="205">
        <f t="shared" ref="M50:AN50" si="27">M47+M49</f>
        <v>0</v>
      </c>
      <c r="N50" s="205">
        <f t="shared" si="27"/>
        <v>35.460992907801419</v>
      </c>
      <c r="O50" s="205">
        <f t="shared" si="27"/>
        <v>17.730496453900709</v>
      </c>
      <c r="P50" s="205">
        <f t="shared" si="27"/>
        <v>17.730496453900709</v>
      </c>
      <c r="Q50" s="205">
        <f t="shared" si="27"/>
        <v>0</v>
      </c>
      <c r="R50" s="205">
        <f t="shared" si="27"/>
        <v>0</v>
      </c>
      <c r="S50" s="205">
        <f>S47+S49</f>
        <v>0</v>
      </c>
      <c r="T50" s="205">
        <f t="shared" si="27"/>
        <v>15.558037825059102</v>
      </c>
      <c r="U50" s="205">
        <f t="shared" si="27"/>
        <v>15.280053191489362</v>
      </c>
      <c r="V50" s="205">
        <f t="shared" si="27"/>
        <v>37.10842198581561</v>
      </c>
      <c r="W50" s="205">
        <f t="shared" si="27"/>
        <v>15.954539007092198</v>
      </c>
      <c r="X50" s="205">
        <f t="shared" si="27"/>
        <v>16.020212765957446</v>
      </c>
      <c r="Y50" s="205">
        <f t="shared" si="27"/>
        <v>46.09929078014185</v>
      </c>
      <c r="Z50" s="205">
        <f t="shared" si="27"/>
        <v>42.553191489361708</v>
      </c>
      <c r="AA50" s="205">
        <f t="shared" si="27"/>
        <v>14.184397163120568</v>
      </c>
      <c r="AB50" s="205">
        <f t="shared" si="27"/>
        <v>14.184397163120568</v>
      </c>
      <c r="AC50" s="205">
        <f t="shared" si="27"/>
        <v>13.749503546099293</v>
      </c>
      <c r="AD50" s="205">
        <f t="shared" si="27"/>
        <v>34.522411347517725</v>
      </c>
      <c r="AE50" s="205">
        <f t="shared" si="27"/>
        <v>27.164929078014193</v>
      </c>
      <c r="AF50" s="205">
        <f t="shared" si="27"/>
        <v>17.113841607565014</v>
      </c>
      <c r="AG50" s="205">
        <f t="shared" si="27"/>
        <v>20.836436170212767</v>
      </c>
      <c r="AH50" s="205">
        <f t="shared" si="27"/>
        <v>50.602393617021285</v>
      </c>
      <c r="AI50" s="205">
        <f t="shared" si="27"/>
        <v>9.3068144208037822</v>
      </c>
      <c r="AJ50" s="205">
        <f t="shared" si="27"/>
        <v>17.355230496453903</v>
      </c>
      <c r="AK50" s="205">
        <f t="shared" si="27"/>
        <v>59.929078014184398</v>
      </c>
      <c r="AL50" s="205">
        <f t="shared" si="27"/>
        <v>51.063829787234049</v>
      </c>
      <c r="AM50" s="205">
        <f t="shared" si="27"/>
        <v>9.9290780141843982</v>
      </c>
      <c r="AN50" s="205">
        <f t="shared" si="27"/>
        <v>14.184397163120568</v>
      </c>
    </row>
    <row r="51" spans="2:40" s="7" customFormat="1" ht="12" customHeight="1" outlineLevel="1">
      <c r="B51" s="239"/>
      <c r="C51" s="214" t="s">
        <v>834</v>
      </c>
      <c r="D51" s="212"/>
      <c r="E51" s="232">
        <v>3</v>
      </c>
      <c r="F51" s="232">
        <v>5</v>
      </c>
      <c r="G51" s="232">
        <v>5</v>
      </c>
      <c r="H51" s="232">
        <v>3</v>
      </c>
      <c r="I51" s="232">
        <v>2</v>
      </c>
      <c r="J51" s="232">
        <v>7</v>
      </c>
      <c r="K51" s="232">
        <v>2</v>
      </c>
      <c r="L51" s="232">
        <v>2</v>
      </c>
      <c r="M51" s="205">
        <f t="shared" ref="M51:AN51" si="28">M59+M60</f>
        <v>0</v>
      </c>
      <c r="N51" s="205">
        <f t="shared" si="28"/>
        <v>0</v>
      </c>
      <c r="O51" s="205">
        <f t="shared" si="28"/>
        <v>0</v>
      </c>
      <c r="P51" s="205">
        <f t="shared" si="28"/>
        <v>2.6595744680851063</v>
      </c>
      <c r="Q51" s="205">
        <f t="shared" si="28"/>
        <v>0</v>
      </c>
      <c r="R51" s="205">
        <f t="shared" si="28"/>
        <v>0</v>
      </c>
      <c r="S51" s="205">
        <f t="shared" si="28"/>
        <v>0</v>
      </c>
      <c r="T51" s="205">
        <f t="shared" si="28"/>
        <v>2.3337056737588653</v>
      </c>
      <c r="U51" s="205">
        <f t="shared" si="28"/>
        <v>2.292007978723404</v>
      </c>
      <c r="V51" s="205">
        <f t="shared" si="28"/>
        <v>5.5662632978723412</v>
      </c>
      <c r="W51" s="205">
        <f t="shared" si="28"/>
        <v>2.3931808510638297</v>
      </c>
      <c r="X51" s="205">
        <f t="shared" si="28"/>
        <v>2.4030319148936168</v>
      </c>
      <c r="Y51" s="205">
        <f t="shared" si="28"/>
        <v>6.9148936170212769</v>
      </c>
      <c r="Z51" s="205">
        <f t="shared" si="28"/>
        <v>6.3829787234042561</v>
      </c>
      <c r="AA51" s="205">
        <f t="shared" si="28"/>
        <v>2.1276595744680851</v>
      </c>
      <c r="AB51" s="205">
        <f t="shared" si="28"/>
        <v>2.1276595744680851</v>
      </c>
      <c r="AC51" s="205">
        <f t="shared" si="28"/>
        <v>2.0624255319148936</v>
      </c>
      <c r="AD51" s="205">
        <f t="shared" si="28"/>
        <v>5.1783617021276589</v>
      </c>
      <c r="AE51" s="205">
        <f t="shared" si="28"/>
        <v>4.0747393617021288</v>
      </c>
      <c r="AF51" s="205">
        <f t="shared" si="28"/>
        <v>2.5670762411347519</v>
      </c>
      <c r="AG51" s="205">
        <f t="shared" si="28"/>
        <v>3.1254654255319152</v>
      </c>
      <c r="AH51" s="205">
        <f t="shared" si="28"/>
        <v>7.5903590425531924</v>
      </c>
      <c r="AI51" s="205">
        <f t="shared" si="28"/>
        <v>1.3960221631205674</v>
      </c>
      <c r="AJ51" s="205">
        <f t="shared" si="28"/>
        <v>2.6032845744680855</v>
      </c>
      <c r="AK51" s="205">
        <f t="shared" si="28"/>
        <v>8.9893617021276597</v>
      </c>
      <c r="AL51" s="205">
        <f t="shared" si="28"/>
        <v>7.6595744680851068</v>
      </c>
      <c r="AM51" s="205">
        <f t="shared" si="28"/>
        <v>1.4893617021276597</v>
      </c>
      <c r="AN51" s="205">
        <f t="shared" si="28"/>
        <v>2.1276595744680851</v>
      </c>
    </row>
    <row r="52" spans="2:40" s="7" customFormat="1" ht="12" customHeight="1" outlineLevel="1">
      <c r="B52" s="239"/>
      <c r="C52" s="214" t="s">
        <v>835</v>
      </c>
      <c r="D52" s="212"/>
      <c r="E52" s="232">
        <f>E45/E50</f>
        <v>0</v>
      </c>
      <c r="F52" s="232">
        <f t="shared" ref="F52:I52" si="29">F45/F50</f>
        <v>0</v>
      </c>
      <c r="G52" s="232">
        <f t="shared" si="29"/>
        <v>0</v>
      </c>
      <c r="H52" s="232">
        <f t="shared" si="29"/>
        <v>0</v>
      </c>
      <c r="I52" s="232">
        <f t="shared" si="29"/>
        <v>0</v>
      </c>
      <c r="J52" s="232">
        <f>J45/J50</f>
        <v>0</v>
      </c>
      <c r="K52" s="232">
        <f>K45/K50</f>
        <v>0</v>
      </c>
      <c r="L52" s="232">
        <f>L45/L50</f>
        <v>0</v>
      </c>
      <c r="M52" s="205" t="e">
        <f t="shared" ref="M52:AN52" si="30">M45/M50</f>
        <v>#DIV/0!</v>
      </c>
      <c r="N52" s="205">
        <f t="shared" si="30"/>
        <v>84.6</v>
      </c>
      <c r="O52" s="205">
        <f t="shared" si="30"/>
        <v>84.6</v>
      </c>
      <c r="P52" s="205">
        <f t="shared" si="30"/>
        <v>84.6</v>
      </c>
      <c r="Q52" s="205" t="e">
        <f t="shared" si="30"/>
        <v>#DIV/0!</v>
      </c>
      <c r="R52" s="205" t="e">
        <f t="shared" si="30"/>
        <v>#DIV/0!</v>
      </c>
      <c r="S52" s="205" t="e">
        <f t="shared" si="30"/>
        <v>#DIV/0!</v>
      </c>
      <c r="T52" s="205">
        <f t="shared" si="30"/>
        <v>84.6</v>
      </c>
      <c r="U52" s="205">
        <f t="shared" si="30"/>
        <v>76.909090909090907</v>
      </c>
      <c r="V52" s="205">
        <f t="shared" si="30"/>
        <v>76.909090909090907</v>
      </c>
      <c r="W52" s="205">
        <f t="shared" si="30"/>
        <v>70.5</v>
      </c>
      <c r="X52" s="205">
        <f t="shared" si="30"/>
        <v>70.5</v>
      </c>
      <c r="Y52" s="205">
        <f t="shared" si="30"/>
        <v>84.6</v>
      </c>
      <c r="Z52" s="205">
        <f t="shared" si="30"/>
        <v>84.6</v>
      </c>
      <c r="AA52" s="205">
        <f t="shared" si="30"/>
        <v>84.6</v>
      </c>
      <c r="AB52" s="205">
        <f t="shared" si="30"/>
        <v>84.6</v>
      </c>
      <c r="AC52" s="205">
        <f t="shared" si="30"/>
        <v>84.6</v>
      </c>
      <c r="AD52" s="205">
        <f t="shared" si="30"/>
        <v>84.6</v>
      </c>
      <c r="AE52" s="205">
        <f t="shared" si="30"/>
        <v>84.6</v>
      </c>
      <c r="AF52" s="205">
        <f t="shared" si="30"/>
        <v>84.6</v>
      </c>
      <c r="AG52" s="205">
        <f t="shared" si="30"/>
        <v>84.6</v>
      </c>
      <c r="AH52" s="205">
        <f t="shared" si="30"/>
        <v>84.6</v>
      </c>
      <c r="AI52" s="205">
        <f t="shared" si="30"/>
        <v>84.6</v>
      </c>
      <c r="AJ52" s="205">
        <f t="shared" si="30"/>
        <v>84.6</v>
      </c>
      <c r="AK52" s="205">
        <f t="shared" si="30"/>
        <v>84.6</v>
      </c>
      <c r="AL52" s="205">
        <f t="shared" si="30"/>
        <v>84.6</v>
      </c>
      <c r="AM52" s="205">
        <f t="shared" si="30"/>
        <v>84.6</v>
      </c>
      <c r="AN52" s="205">
        <f t="shared" si="30"/>
        <v>84.6</v>
      </c>
    </row>
    <row r="53" spans="2:40" s="7" customFormat="1" ht="12" customHeight="1" outlineLevel="1">
      <c r="B53" s="239"/>
      <c r="C53" s="243" t="s">
        <v>836</v>
      </c>
      <c r="D53" s="212"/>
      <c r="E53" s="232"/>
      <c r="F53" s="232"/>
      <c r="G53" s="232"/>
      <c r="H53" s="232"/>
      <c r="I53" s="232"/>
      <c r="J53" s="232"/>
      <c r="K53" s="232"/>
      <c r="L53" s="232"/>
      <c r="M53" s="205"/>
      <c r="N53" s="205"/>
      <c r="O53" s="205"/>
      <c r="P53" s="205"/>
      <c r="Q53" s="205"/>
      <c r="R53" s="205"/>
      <c r="S53" s="205"/>
      <c r="T53" s="205"/>
      <c r="U53" s="205"/>
      <c r="V53" s="205"/>
      <c r="W53" s="205"/>
      <c r="X53" s="205"/>
      <c r="Y53" s="205"/>
      <c r="Z53" s="205"/>
      <c r="AA53" s="205"/>
      <c r="AB53" s="205"/>
      <c r="AC53" s="205"/>
      <c r="AD53" s="205"/>
      <c r="AE53" s="205"/>
      <c r="AF53" s="205"/>
      <c r="AG53" s="205"/>
      <c r="AH53" s="205"/>
      <c r="AI53" s="205"/>
      <c r="AJ53" s="205"/>
      <c r="AK53" s="205"/>
      <c r="AL53" s="205"/>
      <c r="AM53" s="205"/>
      <c r="AN53" s="205"/>
    </row>
    <row r="54" spans="2:40" ht="12" customHeight="1" outlineLevel="1">
      <c r="B54" s="316" t="s">
        <v>858</v>
      </c>
      <c r="C54" s="303" t="s">
        <v>837</v>
      </c>
      <c r="D54" s="302"/>
      <c r="E54" s="317">
        <f>1-(E51/E50)</f>
        <v>0.5714285714285714</v>
      </c>
      <c r="F54" s="317">
        <f>1-(F51/F50)</f>
        <v>0.44444444444444442</v>
      </c>
      <c r="G54" s="317">
        <f>1-(G51/G50)</f>
        <v>0.72222222222222221</v>
      </c>
      <c r="H54" s="317">
        <f t="shared" ref="H54:I54" si="31">1-(H51/H50)</f>
        <v>0.625</v>
      </c>
      <c r="I54" s="317">
        <f t="shared" si="31"/>
        <v>0.75</v>
      </c>
      <c r="J54" s="317">
        <f>8/15</f>
        <v>0.53333333333333333</v>
      </c>
      <c r="K54" s="317">
        <f>4/6</f>
        <v>0.66666666666666663</v>
      </c>
      <c r="L54" s="317">
        <f>4/6</f>
        <v>0.66666666666666663</v>
      </c>
      <c r="M54" s="318">
        <v>1</v>
      </c>
      <c r="N54" s="318">
        <v>1</v>
      </c>
      <c r="O54" s="318">
        <v>1</v>
      </c>
      <c r="P54" s="318">
        <v>0.85</v>
      </c>
      <c r="Q54" s="318">
        <v>0.85</v>
      </c>
      <c r="R54" s="318">
        <v>0.85</v>
      </c>
      <c r="S54" s="318">
        <v>0.85</v>
      </c>
      <c r="T54" s="318">
        <v>0.85</v>
      </c>
      <c r="U54" s="318">
        <v>0.85</v>
      </c>
      <c r="V54" s="318">
        <v>0.85</v>
      </c>
      <c r="W54" s="318">
        <v>0.85</v>
      </c>
      <c r="X54" s="318">
        <v>0.85</v>
      </c>
      <c r="Y54" s="318">
        <v>0.85</v>
      </c>
      <c r="Z54" s="318">
        <v>0.85</v>
      </c>
      <c r="AA54" s="318">
        <v>0.85</v>
      </c>
      <c r="AB54" s="318">
        <v>0.85</v>
      </c>
      <c r="AC54" s="318">
        <v>0.85</v>
      </c>
      <c r="AD54" s="318">
        <v>0.85</v>
      </c>
      <c r="AE54" s="318">
        <v>0.85</v>
      </c>
      <c r="AF54" s="318">
        <v>0.85</v>
      </c>
      <c r="AG54" s="318">
        <v>0.85</v>
      </c>
      <c r="AH54" s="318">
        <v>0.85</v>
      </c>
      <c r="AI54" s="318">
        <v>0.85</v>
      </c>
      <c r="AJ54" s="318">
        <v>0.85</v>
      </c>
      <c r="AK54" s="318">
        <v>0.85</v>
      </c>
      <c r="AL54" s="318">
        <v>0.85</v>
      </c>
      <c r="AM54" s="318">
        <v>0.85</v>
      </c>
      <c r="AN54" s="318">
        <v>0.85</v>
      </c>
    </row>
    <row r="55" spans="2:40" ht="12" customHeight="1" outlineLevel="1">
      <c r="B55" s="301" t="s">
        <v>859</v>
      </c>
      <c r="C55" s="303" t="s">
        <v>839</v>
      </c>
      <c r="D55" s="302"/>
      <c r="E55" s="317">
        <f t="shared" ref="E55:I55" si="32">1-E54</f>
        <v>0.4285714285714286</v>
      </c>
      <c r="F55" s="317">
        <f t="shared" si="32"/>
        <v>0.55555555555555558</v>
      </c>
      <c r="G55" s="317">
        <f t="shared" si="32"/>
        <v>0.27777777777777779</v>
      </c>
      <c r="H55" s="317">
        <f t="shared" si="32"/>
        <v>0.375</v>
      </c>
      <c r="I55" s="317">
        <f t="shared" si="32"/>
        <v>0.25</v>
      </c>
      <c r="J55" s="317">
        <f>1-J54</f>
        <v>0.46666666666666667</v>
      </c>
      <c r="K55" s="317">
        <f>1-K54</f>
        <v>0.33333333333333337</v>
      </c>
      <c r="L55" s="317">
        <f>1-L54</f>
        <v>0.33333333333333337</v>
      </c>
      <c r="M55" s="318">
        <v>0</v>
      </c>
      <c r="N55" s="318">
        <v>0</v>
      </c>
      <c r="O55" s="318">
        <v>0</v>
      </c>
      <c r="P55" s="318">
        <v>0.15</v>
      </c>
      <c r="Q55" s="318">
        <v>0.15</v>
      </c>
      <c r="R55" s="318">
        <v>0.15</v>
      </c>
      <c r="S55" s="318">
        <v>0.15</v>
      </c>
      <c r="T55" s="318">
        <v>0.15</v>
      </c>
      <c r="U55" s="318">
        <v>0.15</v>
      </c>
      <c r="V55" s="318">
        <v>0.15</v>
      </c>
      <c r="W55" s="318">
        <v>0.15</v>
      </c>
      <c r="X55" s="318">
        <v>0.15</v>
      </c>
      <c r="Y55" s="318">
        <v>0.15</v>
      </c>
      <c r="Z55" s="318">
        <v>0.15</v>
      </c>
      <c r="AA55" s="318">
        <v>0.15</v>
      </c>
      <c r="AB55" s="318">
        <v>0.15</v>
      </c>
      <c r="AC55" s="318">
        <v>0.15</v>
      </c>
      <c r="AD55" s="318">
        <v>0.15</v>
      </c>
      <c r="AE55" s="318">
        <v>0.15</v>
      </c>
      <c r="AF55" s="318">
        <v>0.15</v>
      </c>
      <c r="AG55" s="318">
        <v>0.15</v>
      </c>
      <c r="AH55" s="318">
        <v>0.15</v>
      </c>
      <c r="AI55" s="318">
        <v>0.15</v>
      </c>
      <c r="AJ55" s="318">
        <v>0.15</v>
      </c>
      <c r="AK55" s="318">
        <v>0.15</v>
      </c>
      <c r="AL55" s="318">
        <v>0.15</v>
      </c>
      <c r="AM55" s="318">
        <v>0.15</v>
      </c>
      <c r="AN55" s="318">
        <v>0.15</v>
      </c>
    </row>
    <row r="56" spans="2:40" ht="12" customHeight="1" outlineLevel="1">
      <c r="B56" s="301"/>
      <c r="C56" s="303" t="s">
        <v>840</v>
      </c>
      <c r="D56" s="302"/>
      <c r="E56" s="317">
        <v>0</v>
      </c>
      <c r="F56" s="317">
        <v>0</v>
      </c>
      <c r="G56" s="317">
        <v>0</v>
      </c>
      <c r="H56" s="317">
        <v>0</v>
      </c>
      <c r="I56" s="317">
        <v>0</v>
      </c>
      <c r="J56" s="317">
        <v>0</v>
      </c>
      <c r="K56" s="317">
        <v>0</v>
      </c>
      <c r="L56" s="317">
        <v>0</v>
      </c>
      <c r="M56" s="318">
        <v>0</v>
      </c>
      <c r="N56" s="318">
        <v>0</v>
      </c>
      <c r="O56" s="318">
        <v>0</v>
      </c>
      <c r="P56" s="318">
        <v>0</v>
      </c>
      <c r="Q56" s="318">
        <v>0</v>
      </c>
      <c r="R56" s="318">
        <v>0</v>
      </c>
      <c r="S56" s="318">
        <v>0</v>
      </c>
      <c r="T56" s="318">
        <v>0</v>
      </c>
      <c r="U56" s="318">
        <v>0</v>
      </c>
      <c r="V56" s="318">
        <v>0</v>
      </c>
      <c r="W56" s="318">
        <v>0</v>
      </c>
      <c r="X56" s="318">
        <v>0</v>
      </c>
      <c r="Y56" s="318">
        <v>0</v>
      </c>
      <c r="Z56" s="318">
        <v>0</v>
      </c>
      <c r="AA56" s="318">
        <v>0</v>
      </c>
      <c r="AB56" s="318">
        <v>0</v>
      </c>
      <c r="AC56" s="318">
        <v>0</v>
      </c>
      <c r="AD56" s="318">
        <v>0</v>
      </c>
      <c r="AE56" s="318">
        <v>0</v>
      </c>
      <c r="AF56" s="318">
        <v>0</v>
      </c>
      <c r="AG56" s="318">
        <v>0</v>
      </c>
      <c r="AH56" s="318">
        <v>0</v>
      </c>
      <c r="AI56" s="318">
        <v>0</v>
      </c>
      <c r="AJ56" s="318">
        <v>0</v>
      </c>
      <c r="AK56" s="318">
        <v>0</v>
      </c>
      <c r="AL56" s="318">
        <v>0</v>
      </c>
      <c r="AM56" s="318">
        <v>0</v>
      </c>
      <c r="AN56" s="318">
        <v>0</v>
      </c>
    </row>
    <row r="57" spans="2:40" s="7" customFormat="1" ht="12" customHeight="1" outlineLevel="1">
      <c r="B57" s="237"/>
      <c r="C57" s="208"/>
      <c r="D57" s="208"/>
      <c r="E57" s="208"/>
      <c r="F57" s="208"/>
      <c r="G57" s="208"/>
      <c r="H57" s="208"/>
      <c r="I57" s="208"/>
      <c r="J57" s="208"/>
      <c r="K57" s="208"/>
      <c r="L57" s="208"/>
      <c r="M57" s="208"/>
      <c r="N57" s="208"/>
      <c r="O57" s="208"/>
      <c r="P57" s="208"/>
      <c r="Q57" s="208"/>
      <c r="R57" s="208"/>
      <c r="S57" s="208"/>
      <c r="T57" s="208"/>
      <c r="U57" s="208"/>
      <c r="V57" s="208"/>
      <c r="W57" s="208"/>
      <c r="X57" s="208"/>
      <c r="Y57" s="208"/>
      <c r="Z57" s="208"/>
      <c r="AA57" s="208"/>
      <c r="AB57" s="208"/>
      <c r="AC57" s="208"/>
      <c r="AD57" s="208"/>
      <c r="AE57" s="208"/>
      <c r="AF57" s="208"/>
      <c r="AG57" s="208"/>
      <c r="AH57" s="208"/>
      <c r="AI57" s="208"/>
      <c r="AJ57" s="208"/>
      <c r="AK57" s="208"/>
      <c r="AL57" s="208"/>
      <c r="AM57" s="208"/>
      <c r="AN57" s="208"/>
    </row>
    <row r="58" spans="2:40" s="7" customFormat="1" ht="12" customHeight="1" outlineLevel="1">
      <c r="B58" s="239"/>
      <c r="C58" s="214" t="s">
        <v>841</v>
      </c>
      <c r="D58" s="214"/>
      <c r="E58" s="209">
        <f>E$48*E54</f>
        <v>0</v>
      </c>
      <c r="F58" s="209">
        <f>F$48*F54</f>
        <v>0</v>
      </c>
      <c r="G58" s="209">
        <f t="shared" ref="E58:I60" si="33">G$48*G54</f>
        <v>0</v>
      </c>
      <c r="H58" s="209">
        <f t="shared" si="33"/>
        <v>0</v>
      </c>
      <c r="I58" s="209">
        <f t="shared" si="33"/>
        <v>0</v>
      </c>
      <c r="J58" s="209">
        <f>J$50*J54</f>
        <v>8</v>
      </c>
      <c r="K58" s="209">
        <f t="shared" ref="J58:P60" si="34">K$50*K54</f>
        <v>2.6666666666666665</v>
      </c>
      <c r="L58" s="209">
        <f t="shared" si="34"/>
        <v>2.6666666666666665</v>
      </c>
      <c r="M58" s="209">
        <f t="shared" si="34"/>
        <v>0</v>
      </c>
      <c r="N58" s="209">
        <f t="shared" si="34"/>
        <v>35.460992907801419</v>
      </c>
      <c r="O58" s="209">
        <f t="shared" si="34"/>
        <v>17.730496453900709</v>
      </c>
      <c r="P58" s="209">
        <f t="shared" si="34"/>
        <v>15.070921985815602</v>
      </c>
      <c r="Q58" s="209">
        <f>Q$50*Q54</f>
        <v>0</v>
      </c>
      <c r="R58" s="209">
        <f t="shared" ref="R58:AN60" si="35">R$50*R54</f>
        <v>0</v>
      </c>
      <c r="S58" s="209">
        <f t="shared" si="35"/>
        <v>0</v>
      </c>
      <c r="T58" s="209">
        <f t="shared" si="35"/>
        <v>13.224332151300237</v>
      </c>
      <c r="U58" s="209">
        <f t="shared" si="35"/>
        <v>12.988045212765957</v>
      </c>
      <c r="V58" s="209">
        <f t="shared" si="35"/>
        <v>31.542158687943267</v>
      </c>
      <c r="W58" s="209">
        <f t="shared" si="35"/>
        <v>13.561358156028367</v>
      </c>
      <c r="X58" s="209">
        <f t="shared" si="35"/>
        <v>13.617180851063829</v>
      </c>
      <c r="Y58" s="209">
        <f t="shared" si="35"/>
        <v>39.184397163120572</v>
      </c>
      <c r="Z58" s="209">
        <f t="shared" si="35"/>
        <v>36.170212765957451</v>
      </c>
      <c r="AA58" s="209">
        <f t="shared" si="35"/>
        <v>12.056737588652483</v>
      </c>
      <c r="AB58" s="209">
        <f t="shared" si="35"/>
        <v>12.056737588652483</v>
      </c>
      <c r="AC58" s="209">
        <f t="shared" si="35"/>
        <v>11.687078014184399</v>
      </c>
      <c r="AD58" s="209">
        <f t="shared" si="35"/>
        <v>29.344049645390065</v>
      </c>
      <c r="AE58" s="209">
        <f t="shared" si="35"/>
        <v>23.090189716312064</v>
      </c>
      <c r="AF58" s="209">
        <f t="shared" si="35"/>
        <v>14.546765366430261</v>
      </c>
      <c r="AG58" s="209">
        <f t="shared" si="35"/>
        <v>17.710970744680854</v>
      </c>
      <c r="AH58" s="209">
        <f t="shared" si="35"/>
        <v>43.012034574468089</v>
      </c>
      <c r="AI58" s="209">
        <f t="shared" si="35"/>
        <v>7.910792257683215</v>
      </c>
      <c r="AJ58" s="209">
        <f t="shared" si="35"/>
        <v>14.751945921985817</v>
      </c>
      <c r="AK58" s="209">
        <f t="shared" si="35"/>
        <v>50.939716312056738</v>
      </c>
      <c r="AL58" s="209">
        <f t="shared" si="35"/>
        <v>43.404255319148938</v>
      </c>
      <c r="AM58" s="209">
        <f t="shared" si="35"/>
        <v>8.4397163120567384</v>
      </c>
      <c r="AN58" s="209">
        <f t="shared" si="35"/>
        <v>12.056737588652483</v>
      </c>
    </row>
    <row r="59" spans="2:40" s="7" customFormat="1" ht="12" customHeight="1" outlineLevel="1">
      <c r="B59" s="239"/>
      <c r="C59" s="214" t="s">
        <v>842</v>
      </c>
      <c r="D59" s="214"/>
      <c r="E59" s="209">
        <f>E$48*E55</f>
        <v>0</v>
      </c>
      <c r="F59" s="209">
        <f>F$48*F55</f>
        <v>0</v>
      </c>
      <c r="G59" s="209">
        <f t="shared" si="33"/>
        <v>0</v>
      </c>
      <c r="H59" s="209">
        <f t="shared" si="33"/>
        <v>0</v>
      </c>
      <c r="I59" s="209">
        <f t="shared" si="33"/>
        <v>0</v>
      </c>
      <c r="J59" s="209">
        <f t="shared" si="34"/>
        <v>7</v>
      </c>
      <c r="K59" s="209">
        <f t="shared" si="34"/>
        <v>1.3333333333333335</v>
      </c>
      <c r="L59" s="209">
        <f t="shared" si="34"/>
        <v>1.3333333333333335</v>
      </c>
      <c r="M59" s="209">
        <f t="shared" si="34"/>
        <v>0</v>
      </c>
      <c r="N59" s="209">
        <f t="shared" si="34"/>
        <v>0</v>
      </c>
      <c r="O59" s="209">
        <f t="shared" si="34"/>
        <v>0</v>
      </c>
      <c r="P59" s="209">
        <f t="shared" si="34"/>
        <v>2.6595744680851063</v>
      </c>
      <c r="Q59" s="209">
        <f>Q$50*Q55</f>
        <v>0</v>
      </c>
      <c r="R59" s="209">
        <f t="shared" si="35"/>
        <v>0</v>
      </c>
      <c r="S59" s="209">
        <f t="shared" si="35"/>
        <v>0</v>
      </c>
      <c r="T59" s="209">
        <f t="shared" si="35"/>
        <v>2.3337056737588653</v>
      </c>
      <c r="U59" s="209">
        <f t="shared" si="35"/>
        <v>2.292007978723404</v>
      </c>
      <c r="V59" s="209">
        <f t="shared" si="35"/>
        <v>5.5662632978723412</v>
      </c>
      <c r="W59" s="209">
        <f t="shared" si="35"/>
        <v>2.3931808510638297</v>
      </c>
      <c r="X59" s="209">
        <f t="shared" si="35"/>
        <v>2.4030319148936168</v>
      </c>
      <c r="Y59" s="209">
        <f t="shared" si="35"/>
        <v>6.9148936170212769</v>
      </c>
      <c r="Z59" s="209">
        <f t="shared" si="35"/>
        <v>6.3829787234042561</v>
      </c>
      <c r="AA59" s="209">
        <f t="shared" si="35"/>
        <v>2.1276595744680851</v>
      </c>
      <c r="AB59" s="209">
        <f t="shared" si="35"/>
        <v>2.1276595744680851</v>
      </c>
      <c r="AC59" s="209">
        <f t="shared" si="35"/>
        <v>2.0624255319148936</v>
      </c>
      <c r="AD59" s="209">
        <f t="shared" si="35"/>
        <v>5.1783617021276589</v>
      </c>
      <c r="AE59" s="209">
        <f t="shared" si="35"/>
        <v>4.0747393617021288</v>
      </c>
      <c r="AF59" s="209">
        <f t="shared" si="35"/>
        <v>2.5670762411347519</v>
      </c>
      <c r="AG59" s="209">
        <f t="shared" si="35"/>
        <v>3.1254654255319152</v>
      </c>
      <c r="AH59" s="209">
        <f t="shared" si="35"/>
        <v>7.5903590425531924</v>
      </c>
      <c r="AI59" s="209">
        <f t="shared" si="35"/>
        <v>1.3960221631205674</v>
      </c>
      <c r="AJ59" s="209">
        <f t="shared" si="35"/>
        <v>2.6032845744680855</v>
      </c>
      <c r="AK59" s="209">
        <f t="shared" si="35"/>
        <v>8.9893617021276597</v>
      </c>
      <c r="AL59" s="209">
        <f t="shared" si="35"/>
        <v>7.6595744680851068</v>
      </c>
      <c r="AM59" s="209">
        <f t="shared" si="35"/>
        <v>1.4893617021276597</v>
      </c>
      <c r="AN59" s="209">
        <f t="shared" si="35"/>
        <v>2.1276595744680851</v>
      </c>
    </row>
    <row r="60" spans="2:40" s="7" customFormat="1" ht="12" customHeight="1" outlineLevel="1">
      <c r="B60" s="239"/>
      <c r="C60" s="214" t="s">
        <v>843</v>
      </c>
      <c r="D60" s="214"/>
      <c r="E60" s="209">
        <f t="shared" si="33"/>
        <v>0</v>
      </c>
      <c r="F60" s="209">
        <f t="shared" si="33"/>
        <v>0</v>
      </c>
      <c r="G60" s="209">
        <f t="shared" si="33"/>
        <v>0</v>
      </c>
      <c r="H60" s="209">
        <f t="shared" si="33"/>
        <v>0</v>
      </c>
      <c r="I60" s="209">
        <f t="shared" si="33"/>
        <v>0</v>
      </c>
      <c r="J60" s="209">
        <f t="shared" si="34"/>
        <v>0</v>
      </c>
      <c r="K60" s="209">
        <f t="shared" si="34"/>
        <v>0</v>
      </c>
      <c r="L60" s="209">
        <f t="shared" si="34"/>
        <v>0</v>
      </c>
      <c r="M60" s="209">
        <f t="shared" si="34"/>
        <v>0</v>
      </c>
      <c r="N60" s="209">
        <f t="shared" si="34"/>
        <v>0</v>
      </c>
      <c r="O60" s="209">
        <f t="shared" si="34"/>
        <v>0</v>
      </c>
      <c r="P60" s="209">
        <f t="shared" si="34"/>
        <v>0</v>
      </c>
      <c r="Q60" s="209">
        <f>Q$50*Q56</f>
        <v>0</v>
      </c>
      <c r="R60" s="209">
        <f t="shared" si="35"/>
        <v>0</v>
      </c>
      <c r="S60" s="209">
        <f t="shared" si="35"/>
        <v>0</v>
      </c>
      <c r="T60" s="209">
        <f t="shared" si="35"/>
        <v>0</v>
      </c>
      <c r="U60" s="209">
        <f t="shared" si="35"/>
        <v>0</v>
      </c>
      <c r="V60" s="209">
        <f t="shared" si="35"/>
        <v>0</v>
      </c>
      <c r="W60" s="209">
        <f t="shared" si="35"/>
        <v>0</v>
      </c>
      <c r="X60" s="209">
        <f t="shared" si="35"/>
        <v>0</v>
      </c>
      <c r="Y60" s="209">
        <f t="shared" si="35"/>
        <v>0</v>
      </c>
      <c r="Z60" s="209">
        <f t="shared" si="35"/>
        <v>0</v>
      </c>
      <c r="AA60" s="209">
        <f t="shared" si="35"/>
        <v>0</v>
      </c>
      <c r="AB60" s="209">
        <f t="shared" si="35"/>
        <v>0</v>
      </c>
      <c r="AC60" s="209">
        <f t="shared" si="35"/>
        <v>0</v>
      </c>
      <c r="AD60" s="209">
        <f t="shared" si="35"/>
        <v>0</v>
      </c>
      <c r="AE60" s="209">
        <f t="shared" si="35"/>
        <v>0</v>
      </c>
      <c r="AF60" s="209">
        <f t="shared" si="35"/>
        <v>0</v>
      </c>
      <c r="AG60" s="209">
        <f t="shared" si="35"/>
        <v>0</v>
      </c>
      <c r="AH60" s="209">
        <f t="shared" si="35"/>
        <v>0</v>
      </c>
      <c r="AI60" s="209">
        <f t="shared" si="35"/>
        <v>0</v>
      </c>
      <c r="AJ60" s="209">
        <f t="shared" si="35"/>
        <v>0</v>
      </c>
      <c r="AK60" s="209">
        <f t="shared" si="35"/>
        <v>0</v>
      </c>
      <c r="AL60" s="209">
        <f t="shared" si="35"/>
        <v>0</v>
      </c>
      <c r="AM60" s="209">
        <f t="shared" si="35"/>
        <v>0</v>
      </c>
      <c r="AN60" s="209">
        <f t="shared" si="35"/>
        <v>0</v>
      </c>
    </row>
    <row r="61" spans="2:40" s="7" customFormat="1" ht="12" customHeight="1" outlineLevel="1">
      <c r="B61" s="239"/>
      <c r="C61" s="214" t="s">
        <v>844</v>
      </c>
      <c r="D61" s="214"/>
      <c r="E61" s="209">
        <f>ROUNDDOWN(SUM(E71:E107),0)-E58</f>
        <v>26</v>
      </c>
      <c r="F61" s="209">
        <f t="shared" ref="F61:H61" si="36">ROUNDDOWN(SUM(F71:F107),0)-F58</f>
        <v>25</v>
      </c>
      <c r="G61" s="209">
        <f>ROUNDDOWN(SUM(G71:G107),0)-G58</f>
        <v>38</v>
      </c>
      <c r="H61" s="209">
        <f t="shared" si="36"/>
        <v>37</v>
      </c>
      <c r="I61" s="209">
        <f>ROUNDDOWN(SUM(I71:I107),0)-I58</f>
        <v>14</v>
      </c>
      <c r="J61" s="209">
        <f>ROUNDDOWN(SUM(J71:J107),0)-J58</f>
        <v>13</v>
      </c>
      <c r="K61" s="209">
        <f>ROUNDDOWN(SUM(K71:K107),0)-K58</f>
        <v>13.333333333333334</v>
      </c>
      <c r="L61" s="209">
        <f t="shared" ref="L61:AN61" si="37">ROUNDDOWN(SUM(L71:L107),0)-L58</f>
        <v>12.333333333333334</v>
      </c>
      <c r="M61" s="209">
        <f t="shared" si="37"/>
        <v>12</v>
      </c>
      <c r="N61" s="209">
        <f t="shared" si="37"/>
        <v>12.539007092198581</v>
      </c>
      <c r="O61" s="209">
        <f t="shared" si="37"/>
        <v>12.269503546099291</v>
      </c>
      <c r="P61" s="209">
        <f t="shared" si="37"/>
        <v>11.929078014184398</v>
      </c>
      <c r="Q61" s="209">
        <f t="shared" si="37"/>
        <v>11</v>
      </c>
      <c r="R61" s="209">
        <f t="shared" si="37"/>
        <v>11</v>
      </c>
      <c r="S61" s="209">
        <f t="shared" si="37"/>
        <v>11</v>
      </c>
      <c r="T61" s="209">
        <f t="shared" si="37"/>
        <v>10.775667848699763</v>
      </c>
      <c r="U61" s="209">
        <f t="shared" si="37"/>
        <v>10.011954787234043</v>
      </c>
      <c r="V61" s="209">
        <f t="shared" si="37"/>
        <v>10.457841312056733</v>
      </c>
      <c r="W61" s="209">
        <f t="shared" si="37"/>
        <v>10.438641843971633</v>
      </c>
      <c r="X61" s="209">
        <f t="shared" si="37"/>
        <v>9.3828191489361714</v>
      </c>
      <c r="Y61" s="209">
        <f t="shared" si="37"/>
        <v>9.8156028368794281</v>
      </c>
      <c r="Z61" s="209">
        <f t="shared" si="37"/>
        <v>9.8297872340425485</v>
      </c>
      <c r="AA61" s="209">
        <f t="shared" si="37"/>
        <v>8.9432624113475168</v>
      </c>
      <c r="AB61" s="209">
        <f t="shared" si="37"/>
        <v>8.9432624113475168</v>
      </c>
      <c r="AC61" s="209">
        <f t="shared" si="37"/>
        <v>9.3129219858156009</v>
      </c>
      <c r="AD61" s="209">
        <f t="shared" si="37"/>
        <v>8.655950354609935</v>
      </c>
      <c r="AE61" s="209">
        <f t="shared" si="37"/>
        <v>8.9098102836879356</v>
      </c>
      <c r="AF61" s="209">
        <f t="shared" si="37"/>
        <v>8.453234633569739</v>
      </c>
      <c r="AG61" s="209">
        <f t="shared" si="37"/>
        <v>8.2890292553191465</v>
      </c>
      <c r="AH61" s="209">
        <f t="shared" si="37"/>
        <v>7.987965425531911</v>
      </c>
      <c r="AI61" s="209">
        <f t="shared" si="37"/>
        <v>8.0892077423167841</v>
      </c>
      <c r="AJ61" s="209">
        <f t="shared" si="37"/>
        <v>7.2480540780141833</v>
      </c>
      <c r="AK61" s="209">
        <f t="shared" si="37"/>
        <v>7.0602836879432616</v>
      </c>
      <c r="AL61" s="209">
        <f t="shared" si="37"/>
        <v>7.5957446808510625</v>
      </c>
      <c r="AM61" s="209">
        <f t="shared" si="37"/>
        <v>7.5602836879432616</v>
      </c>
      <c r="AN61" s="209">
        <f t="shared" si="37"/>
        <v>6.9432624113475168</v>
      </c>
    </row>
    <row r="62" spans="2:40" s="7" customFormat="1" ht="12" customHeight="1" outlineLevel="1">
      <c r="B62" s="239"/>
      <c r="C62" s="214" t="s">
        <v>845</v>
      </c>
      <c r="D62" s="214"/>
      <c r="E62" s="209">
        <f>ROUNDDOWN(SUM(E112:E148),0)-E59</f>
        <v>28</v>
      </c>
      <c r="F62" s="209">
        <f>ROUNDDOWN(SUM(F112:F148),0)-F59</f>
        <v>27</v>
      </c>
      <c r="G62" s="209">
        <f t="shared" ref="G62:I62" si="38">ROUNDDOWN(SUM(G112:G148),0)-G59</f>
        <v>27</v>
      </c>
      <c r="H62" s="209">
        <f t="shared" si="38"/>
        <v>26</v>
      </c>
      <c r="I62" s="209">
        <f t="shared" si="38"/>
        <v>26</v>
      </c>
      <c r="J62" s="209">
        <f t="shared" ref="J62:AN62" si="39">ROUNDDOWN(SUM(J112:J148),0)-J59</f>
        <v>25</v>
      </c>
      <c r="K62" s="209">
        <f t="shared" si="39"/>
        <v>25.666666666666668</v>
      </c>
      <c r="L62" s="209">
        <f t="shared" si="39"/>
        <v>26.666666666666668</v>
      </c>
      <c r="M62" s="209">
        <f t="shared" si="39"/>
        <v>28</v>
      </c>
      <c r="N62" s="209">
        <f t="shared" si="39"/>
        <v>29</v>
      </c>
      <c r="O62" s="209">
        <f t="shared" si="39"/>
        <v>30</v>
      </c>
      <c r="P62" s="209">
        <f t="shared" si="39"/>
        <v>29.340425531914892</v>
      </c>
      <c r="Q62" s="209">
        <f t="shared" si="39"/>
        <v>30</v>
      </c>
      <c r="R62" s="209">
        <f t="shared" si="39"/>
        <v>30</v>
      </c>
      <c r="S62" s="209">
        <f t="shared" si="39"/>
        <v>31</v>
      </c>
      <c r="T62" s="209">
        <f t="shared" si="39"/>
        <v>30.666294326241136</v>
      </c>
      <c r="U62" s="209">
        <f>ROUNDDOWN(SUM(U112:U148),0)-U59</f>
        <v>30.707992021276596</v>
      </c>
      <c r="V62" s="209">
        <f t="shared" si="39"/>
        <v>31.433736702127661</v>
      </c>
      <c r="W62" s="209">
        <f t="shared" si="39"/>
        <v>32.606819148936168</v>
      </c>
      <c r="X62" s="209">
        <f t="shared" si="39"/>
        <v>35.596968085106383</v>
      </c>
      <c r="Y62" s="209">
        <f t="shared" si="39"/>
        <v>37.085106382978722</v>
      </c>
      <c r="Z62" s="209">
        <f t="shared" si="39"/>
        <v>39.617021276595743</v>
      </c>
      <c r="AA62" s="209">
        <f t="shared" si="39"/>
        <v>43.872340425531917</v>
      </c>
      <c r="AB62" s="209">
        <f t="shared" si="39"/>
        <v>47.872340425531917</v>
      </c>
      <c r="AC62" s="209">
        <f t="shared" si="39"/>
        <v>50.937574468085103</v>
      </c>
      <c r="AD62" s="209">
        <f t="shared" si="39"/>
        <v>52.82163829787234</v>
      </c>
      <c r="AE62" s="209">
        <f t="shared" si="39"/>
        <v>55.925260638297871</v>
      </c>
      <c r="AF62" s="209">
        <f t="shared" si="39"/>
        <v>58.43292375886525</v>
      </c>
      <c r="AG62" s="209">
        <f t="shared" si="39"/>
        <v>61.874534574468086</v>
      </c>
      <c r="AH62" s="209">
        <f t="shared" si="39"/>
        <v>65.409640957446811</v>
      </c>
      <c r="AI62" s="209">
        <f t="shared" si="39"/>
        <v>68.603977836879437</v>
      </c>
      <c r="AJ62" s="209">
        <f t="shared" si="39"/>
        <v>72.396715425531909</v>
      </c>
      <c r="AK62" s="209">
        <f t="shared" si="39"/>
        <v>75.010638297872333</v>
      </c>
      <c r="AL62" s="209">
        <f t="shared" si="39"/>
        <v>78.340425531914889</v>
      </c>
      <c r="AM62" s="209">
        <f t="shared" si="39"/>
        <v>83.510638297872333</v>
      </c>
      <c r="AN62" s="209">
        <f t="shared" si="39"/>
        <v>87.872340425531917</v>
      </c>
    </row>
    <row r="63" spans="2:40" s="7" customFormat="1" ht="12" customHeight="1" outlineLevel="1">
      <c r="B63" s="239"/>
      <c r="C63" s="214" t="s">
        <v>846</v>
      </c>
      <c r="D63" s="214"/>
      <c r="E63" s="209">
        <f>ROUNDDOWN(SUM(E154:E190),0)-E60</f>
        <v>56</v>
      </c>
      <c r="F63" s="209">
        <f>ROUNDDOWN(SUM(F154:F190),0)-F60</f>
        <v>41</v>
      </c>
      <c r="G63" s="209">
        <f t="shared" ref="G63:I63" si="40">ROUNDDOWN(SUM(G154:G190),0)-G60</f>
        <v>83</v>
      </c>
      <c r="H63" s="209">
        <f t="shared" si="40"/>
        <v>28</v>
      </c>
      <c r="I63" s="209">
        <f t="shared" si="40"/>
        <v>0</v>
      </c>
      <c r="J63" s="209">
        <f t="shared" ref="J63:AN63" si="41">ROUNDDOWN(SUM(J154:J190),0)-J60</f>
        <v>81</v>
      </c>
      <c r="K63" s="209">
        <f t="shared" si="41"/>
        <v>28</v>
      </c>
      <c r="L63" s="209">
        <f>ROUNDDOWN(SUM(L154:L190),0)-L60</f>
        <v>0</v>
      </c>
      <c r="M63" s="209">
        <f>ROUNDDOWN(SUM(M154:M190),0)-M60</f>
        <v>79</v>
      </c>
      <c r="N63" s="209">
        <f t="shared" si="41"/>
        <v>27</v>
      </c>
      <c r="O63" s="209">
        <f t="shared" si="41"/>
        <v>0</v>
      </c>
      <c r="P63" s="209">
        <f t="shared" si="41"/>
        <v>78</v>
      </c>
      <c r="Q63" s="209">
        <f t="shared" si="41"/>
        <v>26</v>
      </c>
      <c r="R63" s="209">
        <f t="shared" si="41"/>
        <v>0</v>
      </c>
      <c r="S63" s="209">
        <f t="shared" si="41"/>
        <v>76</v>
      </c>
      <c r="T63" s="209">
        <f t="shared" si="41"/>
        <v>26</v>
      </c>
      <c r="U63" s="209">
        <f t="shared" si="41"/>
        <v>0</v>
      </c>
      <c r="V63" s="209">
        <f t="shared" si="41"/>
        <v>75</v>
      </c>
      <c r="W63" s="209">
        <f t="shared" si="41"/>
        <v>25</v>
      </c>
      <c r="X63" s="209">
        <f t="shared" si="41"/>
        <v>0</v>
      </c>
      <c r="Y63" s="209">
        <f t="shared" si="41"/>
        <v>73</v>
      </c>
      <c r="Z63" s="209">
        <f t="shared" si="41"/>
        <v>25</v>
      </c>
      <c r="AA63" s="209">
        <f t="shared" si="41"/>
        <v>0</v>
      </c>
      <c r="AB63" s="209">
        <f t="shared" si="41"/>
        <v>72</v>
      </c>
      <c r="AC63" s="209">
        <f t="shared" si="41"/>
        <v>24</v>
      </c>
      <c r="AD63" s="209">
        <f t="shared" si="41"/>
        <v>0</v>
      </c>
      <c r="AE63" s="209">
        <f t="shared" si="41"/>
        <v>70</v>
      </c>
      <c r="AF63" s="209">
        <f t="shared" si="41"/>
        <v>24</v>
      </c>
      <c r="AG63" s="209">
        <f t="shared" si="41"/>
        <v>0</v>
      </c>
      <c r="AH63" s="209">
        <f t="shared" si="41"/>
        <v>69</v>
      </c>
      <c r="AI63" s="209">
        <f t="shared" si="41"/>
        <v>23</v>
      </c>
      <c r="AJ63" s="209">
        <f t="shared" si="41"/>
        <v>0</v>
      </c>
      <c r="AK63" s="209">
        <f t="shared" si="41"/>
        <v>67</v>
      </c>
      <c r="AL63" s="209">
        <f t="shared" si="41"/>
        <v>23</v>
      </c>
      <c r="AM63" s="209">
        <f t="shared" si="41"/>
        <v>0</v>
      </c>
      <c r="AN63" s="209">
        <f t="shared" si="41"/>
        <v>66</v>
      </c>
    </row>
    <row r="64" spans="2:40" s="7" customFormat="1" ht="12" customHeight="1" outlineLevel="1">
      <c r="B64" s="237"/>
      <c r="C64" s="214" t="s">
        <v>833</v>
      </c>
      <c r="D64" s="214"/>
      <c r="E64" s="210">
        <f>SUM(E58:E60)</f>
        <v>0</v>
      </c>
      <c r="F64" s="210">
        <f t="shared" ref="F64:I64" si="42">SUM(F58:F60)</f>
        <v>0</v>
      </c>
      <c r="G64" s="210">
        <f t="shared" si="42"/>
        <v>0</v>
      </c>
      <c r="H64" s="210">
        <f t="shared" si="42"/>
        <v>0</v>
      </c>
      <c r="I64" s="210">
        <f t="shared" si="42"/>
        <v>0</v>
      </c>
      <c r="J64" s="210">
        <f>SUM(J58:J60)</f>
        <v>15</v>
      </c>
      <c r="K64" s="210">
        <f t="shared" ref="K64:P64" si="43">SUM(K58:K60)</f>
        <v>4</v>
      </c>
      <c r="L64" s="210">
        <f t="shared" si="43"/>
        <v>4</v>
      </c>
      <c r="M64" s="210">
        <f t="shared" si="43"/>
        <v>0</v>
      </c>
      <c r="N64" s="210">
        <f t="shared" si="43"/>
        <v>35.460992907801419</v>
      </c>
      <c r="O64" s="210">
        <f t="shared" si="43"/>
        <v>17.730496453900709</v>
      </c>
      <c r="P64" s="210">
        <f t="shared" si="43"/>
        <v>17.730496453900709</v>
      </c>
      <c r="Q64" s="210">
        <f>SUM(Q58:Q60)</f>
        <v>0</v>
      </c>
      <c r="R64" s="210">
        <f t="shared" ref="R64:AN64" si="44">SUM(R58:R60)</f>
        <v>0</v>
      </c>
      <c r="S64" s="210">
        <f t="shared" si="44"/>
        <v>0</v>
      </c>
      <c r="T64" s="210">
        <f t="shared" si="44"/>
        <v>15.558037825059102</v>
      </c>
      <c r="U64" s="210">
        <f t="shared" si="44"/>
        <v>15.280053191489362</v>
      </c>
      <c r="V64" s="210">
        <f t="shared" si="44"/>
        <v>37.10842198581561</v>
      </c>
      <c r="W64" s="210">
        <f t="shared" si="44"/>
        <v>15.954539007092198</v>
      </c>
      <c r="X64" s="210">
        <f t="shared" si="44"/>
        <v>16.020212765957446</v>
      </c>
      <c r="Y64" s="210">
        <f t="shared" si="44"/>
        <v>46.09929078014185</v>
      </c>
      <c r="Z64" s="210">
        <f t="shared" si="44"/>
        <v>42.553191489361708</v>
      </c>
      <c r="AA64" s="210">
        <f t="shared" si="44"/>
        <v>14.184397163120568</v>
      </c>
      <c r="AB64" s="210">
        <f t="shared" si="44"/>
        <v>14.184397163120568</v>
      </c>
      <c r="AC64" s="210">
        <f t="shared" si="44"/>
        <v>13.749503546099293</v>
      </c>
      <c r="AD64" s="210">
        <f t="shared" si="44"/>
        <v>34.522411347517725</v>
      </c>
      <c r="AE64" s="210">
        <f t="shared" si="44"/>
        <v>27.164929078014193</v>
      </c>
      <c r="AF64" s="210">
        <f t="shared" si="44"/>
        <v>17.113841607565014</v>
      </c>
      <c r="AG64" s="210">
        <f t="shared" si="44"/>
        <v>20.836436170212767</v>
      </c>
      <c r="AH64" s="210">
        <f t="shared" si="44"/>
        <v>50.602393617021278</v>
      </c>
      <c r="AI64" s="210">
        <f t="shared" si="44"/>
        <v>9.3068144208037822</v>
      </c>
      <c r="AJ64" s="210">
        <f t="shared" si="44"/>
        <v>17.355230496453903</v>
      </c>
      <c r="AK64" s="210">
        <f t="shared" si="44"/>
        <v>59.929078014184398</v>
      </c>
      <c r="AL64" s="210">
        <f t="shared" si="44"/>
        <v>51.063829787234042</v>
      </c>
      <c r="AM64" s="210">
        <f t="shared" si="44"/>
        <v>9.9290780141843982</v>
      </c>
      <c r="AN64" s="210">
        <f t="shared" si="44"/>
        <v>14.184397163120568</v>
      </c>
    </row>
    <row r="65" spans="2:40" s="7" customFormat="1" ht="12" customHeight="1" outlineLevel="1">
      <c r="B65" s="237"/>
      <c r="C65" s="214" t="s">
        <v>847</v>
      </c>
      <c r="D65" s="214"/>
      <c r="E65" s="210">
        <f t="shared" ref="E65:I65" si="45">SUM(E61:E63)</f>
        <v>110</v>
      </c>
      <c r="F65" s="210">
        <f t="shared" si="45"/>
        <v>93</v>
      </c>
      <c r="G65" s="210">
        <f t="shared" si="45"/>
        <v>148</v>
      </c>
      <c r="H65" s="210">
        <f t="shared" si="45"/>
        <v>91</v>
      </c>
      <c r="I65" s="210">
        <f t="shared" si="45"/>
        <v>40</v>
      </c>
      <c r="J65" s="210">
        <f t="shared" ref="J65:AN65" si="46">SUM(J61:J63)</f>
        <v>119</v>
      </c>
      <c r="K65" s="210">
        <f t="shared" si="46"/>
        <v>67</v>
      </c>
      <c r="L65" s="210">
        <f t="shared" si="46"/>
        <v>39</v>
      </c>
      <c r="M65" s="210">
        <f>SUM(M61:M63)</f>
        <v>119</v>
      </c>
      <c r="N65" s="210">
        <f t="shared" si="46"/>
        <v>68.539007092198574</v>
      </c>
      <c r="O65" s="210">
        <f t="shared" si="46"/>
        <v>42.269503546099287</v>
      </c>
      <c r="P65" s="210">
        <f t="shared" si="46"/>
        <v>119.26950354609929</v>
      </c>
      <c r="Q65" s="210">
        <f t="shared" si="46"/>
        <v>67</v>
      </c>
      <c r="R65" s="210">
        <f t="shared" si="46"/>
        <v>41</v>
      </c>
      <c r="S65" s="210">
        <f t="shared" si="46"/>
        <v>118</v>
      </c>
      <c r="T65" s="210">
        <f t="shared" si="46"/>
        <v>67.441962174940898</v>
      </c>
      <c r="U65" s="210">
        <f t="shared" si="46"/>
        <v>40.719946808510642</v>
      </c>
      <c r="V65" s="210">
        <f t="shared" si="46"/>
        <v>116.89157801418439</v>
      </c>
      <c r="W65" s="210">
        <f t="shared" si="46"/>
        <v>68.045460992907806</v>
      </c>
      <c r="X65" s="210">
        <f t="shared" si="46"/>
        <v>44.979787234042554</v>
      </c>
      <c r="Y65" s="210">
        <f t="shared" si="46"/>
        <v>119.90070921985816</v>
      </c>
      <c r="Z65" s="210">
        <f t="shared" si="46"/>
        <v>74.446808510638292</v>
      </c>
      <c r="AA65" s="210">
        <f t="shared" si="46"/>
        <v>52.815602836879435</v>
      </c>
      <c r="AB65" s="210">
        <f t="shared" si="46"/>
        <v>128.81560283687944</v>
      </c>
      <c r="AC65" s="210">
        <f t="shared" si="46"/>
        <v>84.250496453900695</v>
      </c>
      <c r="AD65" s="210">
        <f t="shared" si="46"/>
        <v>61.477588652482275</v>
      </c>
      <c r="AE65" s="210">
        <f t="shared" si="46"/>
        <v>134.83507092198579</v>
      </c>
      <c r="AF65" s="210">
        <f t="shared" si="46"/>
        <v>90.886158392434993</v>
      </c>
      <c r="AG65" s="210">
        <f t="shared" si="46"/>
        <v>70.163563829787236</v>
      </c>
      <c r="AH65" s="210">
        <f t="shared" si="46"/>
        <v>142.39760638297872</v>
      </c>
      <c r="AI65" s="210">
        <f t="shared" si="46"/>
        <v>99.693185579196225</v>
      </c>
      <c r="AJ65" s="210">
        <f t="shared" si="46"/>
        <v>79.644769503546087</v>
      </c>
      <c r="AK65" s="210">
        <f t="shared" si="46"/>
        <v>149.0709219858156</v>
      </c>
      <c r="AL65" s="210">
        <f t="shared" si="46"/>
        <v>108.93617021276594</v>
      </c>
      <c r="AM65" s="210">
        <f t="shared" si="46"/>
        <v>91.070921985815602</v>
      </c>
      <c r="AN65" s="210">
        <f t="shared" si="46"/>
        <v>160.81560283687944</v>
      </c>
    </row>
    <row r="66" spans="2:40" s="7" customFormat="1" ht="12" customHeight="1" outlineLevel="1">
      <c r="B66" s="237"/>
      <c r="C66" s="214" t="s">
        <v>848</v>
      </c>
      <c r="D66" s="214"/>
      <c r="E66" s="205">
        <f t="shared" ref="E66:I66" si="47">SUM(E64:E65)</f>
        <v>110</v>
      </c>
      <c r="F66" s="205">
        <f t="shared" si="47"/>
        <v>93</v>
      </c>
      <c r="G66" s="205">
        <f t="shared" si="47"/>
        <v>148</v>
      </c>
      <c r="H66" s="205">
        <f t="shared" si="47"/>
        <v>91</v>
      </c>
      <c r="I66" s="205">
        <f t="shared" si="47"/>
        <v>40</v>
      </c>
      <c r="J66" s="205">
        <f>SUM(J64:J65)</f>
        <v>134</v>
      </c>
      <c r="K66" s="205">
        <f t="shared" ref="K66:AN66" si="48">SUM(K64:K65)</f>
        <v>71</v>
      </c>
      <c r="L66" s="205">
        <f t="shared" si="48"/>
        <v>43</v>
      </c>
      <c r="M66" s="205">
        <f t="shared" si="48"/>
        <v>119</v>
      </c>
      <c r="N66" s="205">
        <f t="shared" si="48"/>
        <v>104</v>
      </c>
      <c r="O66" s="205">
        <f t="shared" si="48"/>
        <v>60</v>
      </c>
      <c r="P66" s="205">
        <f t="shared" si="48"/>
        <v>137</v>
      </c>
      <c r="Q66" s="205">
        <f t="shared" si="48"/>
        <v>67</v>
      </c>
      <c r="R66" s="205">
        <f t="shared" si="48"/>
        <v>41</v>
      </c>
      <c r="S66" s="205">
        <f t="shared" si="48"/>
        <v>118</v>
      </c>
      <c r="T66" s="205">
        <f t="shared" si="48"/>
        <v>83</v>
      </c>
      <c r="U66" s="205">
        <f t="shared" si="48"/>
        <v>56</v>
      </c>
      <c r="V66" s="205">
        <f t="shared" si="48"/>
        <v>154</v>
      </c>
      <c r="W66" s="205">
        <f t="shared" si="48"/>
        <v>84</v>
      </c>
      <c r="X66" s="205">
        <f t="shared" si="48"/>
        <v>61</v>
      </c>
      <c r="Y66" s="205">
        <f t="shared" si="48"/>
        <v>166</v>
      </c>
      <c r="Z66" s="205">
        <f t="shared" si="48"/>
        <v>117</v>
      </c>
      <c r="AA66" s="205">
        <f t="shared" si="48"/>
        <v>67</v>
      </c>
      <c r="AB66" s="205">
        <f t="shared" si="48"/>
        <v>143</v>
      </c>
      <c r="AC66" s="205">
        <f t="shared" si="48"/>
        <v>97.999999999999986</v>
      </c>
      <c r="AD66" s="205">
        <f t="shared" si="48"/>
        <v>96</v>
      </c>
      <c r="AE66" s="205">
        <f t="shared" si="48"/>
        <v>161.99999999999997</v>
      </c>
      <c r="AF66" s="205">
        <f t="shared" si="48"/>
        <v>108</v>
      </c>
      <c r="AG66" s="205">
        <f t="shared" si="48"/>
        <v>91</v>
      </c>
      <c r="AH66" s="205">
        <f t="shared" si="48"/>
        <v>193</v>
      </c>
      <c r="AI66" s="205">
        <f t="shared" si="48"/>
        <v>109</v>
      </c>
      <c r="AJ66" s="205">
        <f t="shared" si="48"/>
        <v>96.999999999999986</v>
      </c>
      <c r="AK66" s="205">
        <f t="shared" si="48"/>
        <v>209</v>
      </c>
      <c r="AL66" s="205">
        <f t="shared" si="48"/>
        <v>160</v>
      </c>
      <c r="AM66" s="205">
        <f t="shared" si="48"/>
        <v>101</v>
      </c>
      <c r="AN66" s="205">
        <f t="shared" si="48"/>
        <v>175</v>
      </c>
    </row>
    <row r="67" spans="2:40" s="7" customFormat="1" ht="12" customHeight="1" outlineLevel="1">
      <c r="B67" s="239"/>
      <c r="C67" s="214"/>
      <c r="D67" s="214"/>
      <c r="E67" s="211"/>
      <c r="F67" s="211"/>
      <c r="G67" s="211"/>
      <c r="H67" s="211"/>
      <c r="I67" s="211"/>
      <c r="J67" s="211"/>
      <c r="K67" s="211"/>
      <c r="L67" s="211"/>
      <c r="M67" s="211"/>
      <c r="N67" s="211"/>
      <c r="O67" s="211"/>
      <c r="P67" s="211"/>
      <c r="Q67" s="211"/>
      <c r="R67" s="211"/>
      <c r="S67" s="211"/>
      <c r="T67" s="211"/>
      <c r="U67" s="211"/>
      <c r="V67" s="211"/>
      <c r="W67" s="211"/>
      <c r="X67" s="211"/>
      <c r="Y67" s="211"/>
      <c r="Z67" s="211"/>
      <c r="AA67" s="211"/>
      <c r="AB67" s="211"/>
      <c r="AC67" s="211"/>
      <c r="AD67" s="211"/>
      <c r="AE67" s="211"/>
      <c r="AF67" s="211"/>
      <c r="AG67" s="211"/>
      <c r="AH67" s="211"/>
      <c r="AI67" s="211"/>
      <c r="AJ67" s="211"/>
      <c r="AK67" s="211"/>
      <c r="AL67" s="211"/>
      <c r="AM67" s="211"/>
      <c r="AN67" s="211"/>
    </row>
    <row r="68" spans="2:40" s="7" customFormat="1" ht="12" hidden="1" customHeight="1" outlineLevel="2">
      <c r="B68" s="239"/>
      <c r="C68" s="243" t="s">
        <v>849</v>
      </c>
      <c r="D68" s="214"/>
      <c r="O68" s="212"/>
      <c r="P68" s="212"/>
      <c r="Q68" s="212"/>
      <c r="R68" s="212"/>
      <c r="S68" s="212"/>
      <c r="T68" s="212"/>
      <c r="U68" s="212"/>
      <c r="V68" s="212"/>
      <c r="W68" s="212"/>
      <c r="X68" s="212"/>
      <c r="Y68" s="212"/>
      <c r="Z68" s="212"/>
      <c r="AA68" s="212"/>
      <c r="AB68" s="212"/>
      <c r="AC68" s="212"/>
      <c r="AD68" s="212"/>
      <c r="AE68" s="212"/>
      <c r="AF68" s="212"/>
      <c r="AG68" s="212"/>
      <c r="AH68" s="212"/>
      <c r="AI68" s="212"/>
      <c r="AJ68" s="212"/>
      <c r="AK68" s="212"/>
      <c r="AL68" s="212"/>
      <c r="AM68" s="212"/>
      <c r="AN68" s="212"/>
    </row>
    <row r="69" spans="2:40" s="7" customFormat="1" ht="12" hidden="1" customHeight="1" outlineLevel="2">
      <c r="B69" s="239"/>
      <c r="C69" s="214" t="s">
        <v>850</v>
      </c>
      <c r="D69" s="214"/>
      <c r="E69" s="196" t="s">
        <v>753</v>
      </c>
      <c r="F69" s="196" t="s">
        <v>754</v>
      </c>
      <c r="G69" s="196" t="s">
        <v>755</v>
      </c>
      <c r="H69" s="196" t="s">
        <v>756</v>
      </c>
      <c r="I69" s="196" t="s">
        <v>757</v>
      </c>
      <c r="J69" s="196" t="s">
        <v>758</v>
      </c>
      <c r="K69" s="196" t="s">
        <v>759</v>
      </c>
      <c r="L69" s="196" t="s">
        <v>760</v>
      </c>
      <c r="M69" s="196" t="s">
        <v>761</v>
      </c>
      <c r="N69" s="196" t="s">
        <v>762</v>
      </c>
      <c r="O69" s="196" t="s">
        <v>763</v>
      </c>
      <c r="P69" s="196" t="s">
        <v>764</v>
      </c>
      <c r="Q69" s="196" t="s">
        <v>765</v>
      </c>
      <c r="R69" s="196" t="s">
        <v>766</v>
      </c>
      <c r="S69" s="196" t="s">
        <v>767</v>
      </c>
      <c r="T69" s="196" t="s">
        <v>768</v>
      </c>
      <c r="U69" s="196" t="s">
        <v>769</v>
      </c>
      <c r="V69" s="196" t="s">
        <v>770</v>
      </c>
      <c r="W69" s="196" t="s">
        <v>771</v>
      </c>
      <c r="X69" s="196" t="s">
        <v>772</v>
      </c>
      <c r="Y69" s="196" t="s">
        <v>773</v>
      </c>
      <c r="Z69" s="196" t="s">
        <v>774</v>
      </c>
      <c r="AA69" s="196" t="s">
        <v>775</v>
      </c>
      <c r="AB69" s="196" t="s">
        <v>776</v>
      </c>
      <c r="AC69" s="196" t="s">
        <v>777</v>
      </c>
      <c r="AD69" s="196" t="s">
        <v>778</v>
      </c>
      <c r="AE69" s="196" t="s">
        <v>779</v>
      </c>
      <c r="AF69" s="196" t="s">
        <v>780</v>
      </c>
      <c r="AG69" s="196" t="s">
        <v>781</v>
      </c>
      <c r="AH69" s="196" t="s">
        <v>782</v>
      </c>
      <c r="AI69" s="196" t="s">
        <v>783</v>
      </c>
      <c r="AJ69" s="196" t="s">
        <v>784</v>
      </c>
      <c r="AK69" s="196" t="s">
        <v>785</v>
      </c>
      <c r="AL69" s="196" t="s">
        <v>786</v>
      </c>
      <c r="AM69" s="196" t="s">
        <v>787</v>
      </c>
      <c r="AN69" s="196" t="s">
        <v>788</v>
      </c>
    </row>
    <row r="70" spans="2:40" s="7" customFormat="1" ht="12" hidden="1" customHeight="1" outlineLevel="2">
      <c r="B70" s="239"/>
      <c r="C70" s="212" t="s">
        <v>851</v>
      </c>
      <c r="D70" s="212"/>
      <c r="E70" s="344">
        <v>0</v>
      </c>
      <c r="F70" s="344">
        <v>0</v>
      </c>
      <c r="G70" s="344">
        <v>0</v>
      </c>
      <c r="H70" s="344">
        <v>0</v>
      </c>
      <c r="I70" s="344">
        <v>0</v>
      </c>
      <c r="J70" s="344">
        <v>0</v>
      </c>
      <c r="K70" s="344">
        <v>0</v>
      </c>
      <c r="L70" s="344">
        <v>0</v>
      </c>
      <c r="M70" s="344">
        <v>0</v>
      </c>
      <c r="N70" s="344">
        <v>0</v>
      </c>
      <c r="O70" s="344">
        <v>0</v>
      </c>
      <c r="P70" s="344">
        <v>0</v>
      </c>
      <c r="Q70" s="344">
        <v>0</v>
      </c>
      <c r="R70" s="344">
        <v>0</v>
      </c>
      <c r="S70" s="344">
        <v>0</v>
      </c>
      <c r="T70" s="344">
        <v>0</v>
      </c>
      <c r="U70" s="344">
        <v>0</v>
      </c>
      <c r="V70" s="344">
        <v>0</v>
      </c>
      <c r="W70" s="344">
        <v>0</v>
      </c>
      <c r="X70" s="344">
        <v>0</v>
      </c>
      <c r="Y70" s="344">
        <v>0</v>
      </c>
      <c r="Z70" s="344">
        <v>0</v>
      </c>
      <c r="AA70" s="344">
        <v>0</v>
      </c>
      <c r="AB70" s="344">
        <v>0</v>
      </c>
      <c r="AC70" s="344">
        <v>0</v>
      </c>
      <c r="AD70" s="344">
        <v>0</v>
      </c>
      <c r="AE70" s="344">
        <v>0</v>
      </c>
      <c r="AF70" s="344">
        <v>0</v>
      </c>
      <c r="AG70" s="344">
        <v>0</v>
      </c>
      <c r="AH70" s="344">
        <v>0</v>
      </c>
      <c r="AI70" s="344">
        <v>0</v>
      </c>
      <c r="AJ70" s="344">
        <v>0</v>
      </c>
      <c r="AK70" s="344">
        <v>0</v>
      </c>
      <c r="AL70" s="344">
        <v>0</v>
      </c>
      <c r="AM70" s="344">
        <v>0</v>
      </c>
      <c r="AN70" s="344">
        <v>0</v>
      </c>
    </row>
    <row r="71" spans="2:40" s="7" customFormat="1" ht="12" hidden="1" customHeight="1" outlineLevel="2">
      <c r="B71" s="239"/>
      <c r="C71" s="214" t="s">
        <v>852</v>
      </c>
      <c r="D71" s="212"/>
      <c r="E71" s="211">
        <v>26</v>
      </c>
      <c r="F71" s="211">
        <f>E71*98%</f>
        <v>25.48</v>
      </c>
      <c r="G71" s="211">
        <v>38</v>
      </c>
      <c r="H71" s="211">
        <f t="shared" ref="H71:AN71" si="49">G71*98%</f>
        <v>37.24</v>
      </c>
      <c r="I71" s="211">
        <v>14</v>
      </c>
      <c r="J71" s="211">
        <f t="shared" si="49"/>
        <v>13.719999999999999</v>
      </c>
      <c r="K71" s="211">
        <f t="shared" si="49"/>
        <v>13.445599999999999</v>
      </c>
      <c r="L71" s="211">
        <f t="shared" si="49"/>
        <v>13.176687999999999</v>
      </c>
      <c r="M71" s="211">
        <f t="shared" si="49"/>
        <v>12.913154239999999</v>
      </c>
      <c r="N71" s="211">
        <f t="shared" si="49"/>
        <v>12.6548911552</v>
      </c>
      <c r="O71" s="211">
        <f t="shared" si="49"/>
        <v>12.401793332096</v>
      </c>
      <c r="P71" s="211">
        <f t="shared" si="49"/>
        <v>12.153757465454079</v>
      </c>
      <c r="Q71" s="211">
        <f t="shared" si="49"/>
        <v>11.910682316144998</v>
      </c>
      <c r="R71" s="211">
        <f t="shared" si="49"/>
        <v>11.672468669822097</v>
      </c>
      <c r="S71" s="211">
        <f t="shared" si="49"/>
        <v>11.439019296425654</v>
      </c>
      <c r="T71" s="211">
        <f t="shared" si="49"/>
        <v>11.210238910497141</v>
      </c>
      <c r="U71" s="211">
        <f t="shared" si="49"/>
        <v>10.986034132287198</v>
      </c>
      <c r="V71" s="211">
        <f t="shared" si="49"/>
        <v>10.766313449641453</v>
      </c>
      <c r="W71" s="211">
        <f t="shared" si="49"/>
        <v>10.550987180648624</v>
      </c>
      <c r="X71" s="211">
        <f t="shared" si="49"/>
        <v>10.339967437035652</v>
      </c>
      <c r="Y71" s="211">
        <f t="shared" si="49"/>
        <v>10.133168088294939</v>
      </c>
      <c r="Z71" s="211">
        <f t="shared" si="49"/>
        <v>9.9305047265290405</v>
      </c>
      <c r="AA71" s="211">
        <f t="shared" si="49"/>
        <v>9.7318946319984594</v>
      </c>
      <c r="AB71" s="211">
        <f t="shared" si="49"/>
        <v>9.5372567393584902</v>
      </c>
      <c r="AC71" s="211">
        <f t="shared" si="49"/>
        <v>9.3465116045713206</v>
      </c>
      <c r="AD71" s="211">
        <f t="shared" si="49"/>
        <v>9.1595813724798933</v>
      </c>
      <c r="AE71" s="211">
        <f t="shared" si="49"/>
        <v>8.9763897450302945</v>
      </c>
      <c r="AF71" s="211">
        <f t="shared" si="49"/>
        <v>8.7968619501296885</v>
      </c>
      <c r="AG71" s="211">
        <f t="shared" si="49"/>
        <v>8.6209247111270955</v>
      </c>
      <c r="AH71" s="211">
        <f t="shared" si="49"/>
        <v>8.4485062169045531</v>
      </c>
      <c r="AI71" s="211">
        <f t="shared" si="49"/>
        <v>8.2795360925664614</v>
      </c>
      <c r="AJ71" s="211">
        <f t="shared" si="49"/>
        <v>8.1139453707151326</v>
      </c>
      <c r="AK71" s="211">
        <f t="shared" si="49"/>
        <v>7.95166646330083</v>
      </c>
      <c r="AL71" s="211">
        <f t="shared" si="49"/>
        <v>7.7926331340348129</v>
      </c>
      <c r="AM71" s="211">
        <f t="shared" si="49"/>
        <v>7.6367804713541165</v>
      </c>
      <c r="AN71" s="211">
        <f t="shared" si="49"/>
        <v>7.4840448619270337</v>
      </c>
    </row>
    <row r="72" spans="2:40" s="7" customFormat="1" ht="12" hidden="1" customHeight="1" outlineLevel="2">
      <c r="B72" s="245"/>
      <c r="C72" s="213" t="s">
        <v>753</v>
      </c>
      <c r="D72" s="213"/>
      <c r="E72" s="211">
        <f>INDEX($C$44:$AN$64,MATCH("New Customers One-Time",$C$44:$C$64,0),MATCH($C72,$C$44:$AN$44,0))</f>
        <v>0</v>
      </c>
      <c r="F72" s="211">
        <f t="shared" ref="F72:AN72" si="50">$E$72*(E70)</f>
        <v>0</v>
      </c>
      <c r="G72" s="211">
        <f t="shared" si="50"/>
        <v>0</v>
      </c>
      <c r="H72" s="211">
        <f t="shared" si="50"/>
        <v>0</v>
      </c>
      <c r="I72" s="211">
        <f t="shared" si="50"/>
        <v>0</v>
      </c>
      <c r="J72" s="211">
        <f t="shared" si="50"/>
        <v>0</v>
      </c>
      <c r="K72" s="211">
        <f t="shared" si="50"/>
        <v>0</v>
      </c>
      <c r="L72" s="211">
        <f t="shared" si="50"/>
        <v>0</v>
      </c>
      <c r="M72" s="211">
        <f t="shared" si="50"/>
        <v>0</v>
      </c>
      <c r="N72" s="211">
        <f t="shared" si="50"/>
        <v>0</v>
      </c>
      <c r="O72" s="211">
        <f t="shared" si="50"/>
        <v>0</v>
      </c>
      <c r="P72" s="211">
        <f t="shared" si="50"/>
        <v>0</v>
      </c>
      <c r="Q72" s="211">
        <f t="shared" si="50"/>
        <v>0</v>
      </c>
      <c r="R72" s="211">
        <f t="shared" si="50"/>
        <v>0</v>
      </c>
      <c r="S72" s="211">
        <f t="shared" si="50"/>
        <v>0</v>
      </c>
      <c r="T72" s="211">
        <f t="shared" si="50"/>
        <v>0</v>
      </c>
      <c r="U72" s="211">
        <f t="shared" si="50"/>
        <v>0</v>
      </c>
      <c r="V72" s="211">
        <f t="shared" si="50"/>
        <v>0</v>
      </c>
      <c r="W72" s="211">
        <f t="shared" si="50"/>
        <v>0</v>
      </c>
      <c r="X72" s="211">
        <f t="shared" si="50"/>
        <v>0</v>
      </c>
      <c r="Y72" s="211">
        <f t="shared" si="50"/>
        <v>0</v>
      </c>
      <c r="Z72" s="211">
        <f t="shared" si="50"/>
        <v>0</v>
      </c>
      <c r="AA72" s="211">
        <f t="shared" si="50"/>
        <v>0</v>
      </c>
      <c r="AB72" s="211">
        <f t="shared" si="50"/>
        <v>0</v>
      </c>
      <c r="AC72" s="211">
        <f t="shared" si="50"/>
        <v>0</v>
      </c>
      <c r="AD72" s="211">
        <f t="shared" si="50"/>
        <v>0</v>
      </c>
      <c r="AE72" s="211">
        <f t="shared" si="50"/>
        <v>0</v>
      </c>
      <c r="AF72" s="211">
        <f t="shared" si="50"/>
        <v>0</v>
      </c>
      <c r="AG72" s="211">
        <f t="shared" si="50"/>
        <v>0</v>
      </c>
      <c r="AH72" s="211">
        <f t="shared" si="50"/>
        <v>0</v>
      </c>
      <c r="AI72" s="211">
        <f t="shared" si="50"/>
        <v>0</v>
      </c>
      <c r="AJ72" s="211">
        <f t="shared" si="50"/>
        <v>0</v>
      </c>
      <c r="AK72" s="211">
        <f t="shared" si="50"/>
        <v>0</v>
      </c>
      <c r="AL72" s="211">
        <f t="shared" si="50"/>
        <v>0</v>
      </c>
      <c r="AM72" s="211">
        <f t="shared" si="50"/>
        <v>0</v>
      </c>
      <c r="AN72" s="211">
        <f t="shared" si="50"/>
        <v>0</v>
      </c>
    </row>
    <row r="73" spans="2:40" s="7" customFormat="1" ht="12" hidden="1" customHeight="1" outlineLevel="2">
      <c r="B73" s="245"/>
      <c r="C73" s="213" t="s">
        <v>754</v>
      </c>
      <c r="D73" s="213"/>
      <c r="E73" s="213"/>
      <c r="F73" s="211">
        <f>INDEX($C$44:$AN$64,MATCH("New Customers One-Time",$C$44:$C$64,0),MATCH($C73,$C$44:$AN$44,0))</f>
        <v>0</v>
      </c>
      <c r="G73" s="211">
        <f t="shared" ref="G73:AN73" si="51">$F$73*(E70)</f>
        <v>0</v>
      </c>
      <c r="H73" s="211">
        <f t="shared" si="51"/>
        <v>0</v>
      </c>
      <c r="I73" s="211">
        <f t="shared" si="51"/>
        <v>0</v>
      </c>
      <c r="J73" s="211">
        <f t="shared" si="51"/>
        <v>0</v>
      </c>
      <c r="K73" s="211">
        <f t="shared" si="51"/>
        <v>0</v>
      </c>
      <c r="L73" s="211">
        <f t="shared" si="51"/>
        <v>0</v>
      </c>
      <c r="M73" s="211">
        <f t="shared" si="51"/>
        <v>0</v>
      </c>
      <c r="N73" s="211">
        <f t="shared" si="51"/>
        <v>0</v>
      </c>
      <c r="O73" s="211">
        <f t="shared" si="51"/>
        <v>0</v>
      </c>
      <c r="P73" s="211">
        <f t="shared" si="51"/>
        <v>0</v>
      </c>
      <c r="Q73" s="211">
        <f t="shared" si="51"/>
        <v>0</v>
      </c>
      <c r="R73" s="211">
        <f t="shared" si="51"/>
        <v>0</v>
      </c>
      <c r="S73" s="211">
        <f t="shared" si="51"/>
        <v>0</v>
      </c>
      <c r="T73" s="211">
        <f t="shared" si="51"/>
        <v>0</v>
      </c>
      <c r="U73" s="211">
        <f t="shared" si="51"/>
        <v>0</v>
      </c>
      <c r="V73" s="211">
        <f t="shared" si="51"/>
        <v>0</v>
      </c>
      <c r="W73" s="211">
        <f t="shared" si="51"/>
        <v>0</v>
      </c>
      <c r="X73" s="211">
        <f t="shared" si="51"/>
        <v>0</v>
      </c>
      <c r="Y73" s="211">
        <f t="shared" si="51"/>
        <v>0</v>
      </c>
      <c r="Z73" s="211">
        <f t="shared" si="51"/>
        <v>0</v>
      </c>
      <c r="AA73" s="211">
        <f t="shared" si="51"/>
        <v>0</v>
      </c>
      <c r="AB73" s="211">
        <f t="shared" si="51"/>
        <v>0</v>
      </c>
      <c r="AC73" s="211">
        <f t="shared" si="51"/>
        <v>0</v>
      </c>
      <c r="AD73" s="211">
        <f t="shared" si="51"/>
        <v>0</v>
      </c>
      <c r="AE73" s="211">
        <f t="shared" si="51"/>
        <v>0</v>
      </c>
      <c r="AF73" s="211">
        <f t="shared" si="51"/>
        <v>0</v>
      </c>
      <c r="AG73" s="211">
        <f t="shared" si="51"/>
        <v>0</v>
      </c>
      <c r="AH73" s="211">
        <f t="shared" si="51"/>
        <v>0</v>
      </c>
      <c r="AI73" s="211">
        <f t="shared" si="51"/>
        <v>0</v>
      </c>
      <c r="AJ73" s="211">
        <f t="shared" si="51"/>
        <v>0</v>
      </c>
      <c r="AK73" s="211">
        <f t="shared" si="51"/>
        <v>0</v>
      </c>
      <c r="AL73" s="211">
        <f t="shared" si="51"/>
        <v>0</v>
      </c>
      <c r="AM73" s="211">
        <f t="shared" si="51"/>
        <v>0</v>
      </c>
      <c r="AN73" s="211">
        <f t="shared" si="51"/>
        <v>0</v>
      </c>
    </row>
    <row r="74" spans="2:40" s="7" customFormat="1" ht="12" hidden="1" customHeight="1" outlineLevel="2">
      <c r="B74" s="245"/>
      <c r="C74" s="213" t="s">
        <v>755</v>
      </c>
      <c r="D74" s="213"/>
      <c r="E74" s="213"/>
      <c r="G74" s="211">
        <f>INDEX($C$44:$AN$66,MATCH("New Customers One-Time",$C$44:$C$66,0),MATCH($C74,$C$44:$AN$44,0))</f>
        <v>0</v>
      </c>
      <c r="H74" s="211">
        <f t="shared" ref="H74:AN74" si="52">$G$74*(E70)</f>
        <v>0</v>
      </c>
      <c r="I74" s="211">
        <f t="shared" si="52"/>
        <v>0</v>
      </c>
      <c r="J74" s="211">
        <f t="shared" si="52"/>
        <v>0</v>
      </c>
      <c r="K74" s="211">
        <f t="shared" si="52"/>
        <v>0</v>
      </c>
      <c r="L74" s="211">
        <f t="shared" si="52"/>
        <v>0</v>
      </c>
      <c r="M74" s="211">
        <f t="shared" si="52"/>
        <v>0</v>
      </c>
      <c r="N74" s="211">
        <f t="shared" si="52"/>
        <v>0</v>
      </c>
      <c r="O74" s="211">
        <f t="shared" si="52"/>
        <v>0</v>
      </c>
      <c r="P74" s="211">
        <f t="shared" si="52"/>
        <v>0</v>
      </c>
      <c r="Q74" s="211">
        <f t="shared" si="52"/>
        <v>0</v>
      </c>
      <c r="R74" s="211">
        <f t="shared" si="52"/>
        <v>0</v>
      </c>
      <c r="S74" s="211">
        <f t="shared" si="52"/>
        <v>0</v>
      </c>
      <c r="T74" s="211">
        <f t="shared" si="52"/>
        <v>0</v>
      </c>
      <c r="U74" s="211">
        <f t="shared" si="52"/>
        <v>0</v>
      </c>
      <c r="V74" s="211">
        <f t="shared" si="52"/>
        <v>0</v>
      </c>
      <c r="W74" s="211">
        <f t="shared" si="52"/>
        <v>0</v>
      </c>
      <c r="X74" s="211">
        <f t="shared" si="52"/>
        <v>0</v>
      </c>
      <c r="Y74" s="211">
        <f t="shared" si="52"/>
        <v>0</v>
      </c>
      <c r="Z74" s="211">
        <f t="shared" si="52"/>
        <v>0</v>
      </c>
      <c r="AA74" s="211">
        <f t="shared" si="52"/>
        <v>0</v>
      </c>
      <c r="AB74" s="211">
        <f t="shared" si="52"/>
        <v>0</v>
      </c>
      <c r="AC74" s="211">
        <f t="shared" si="52"/>
        <v>0</v>
      </c>
      <c r="AD74" s="211">
        <f t="shared" si="52"/>
        <v>0</v>
      </c>
      <c r="AE74" s="211">
        <f t="shared" si="52"/>
        <v>0</v>
      </c>
      <c r="AF74" s="211">
        <f t="shared" si="52"/>
        <v>0</v>
      </c>
      <c r="AG74" s="211">
        <f t="shared" si="52"/>
        <v>0</v>
      </c>
      <c r="AH74" s="211">
        <f t="shared" si="52"/>
        <v>0</v>
      </c>
      <c r="AI74" s="211">
        <f t="shared" si="52"/>
        <v>0</v>
      </c>
      <c r="AJ74" s="211">
        <f t="shared" si="52"/>
        <v>0</v>
      </c>
      <c r="AK74" s="211">
        <f t="shared" si="52"/>
        <v>0</v>
      </c>
      <c r="AL74" s="211">
        <f t="shared" si="52"/>
        <v>0</v>
      </c>
      <c r="AM74" s="211">
        <f t="shared" si="52"/>
        <v>0</v>
      </c>
      <c r="AN74" s="211">
        <f t="shared" si="52"/>
        <v>0</v>
      </c>
    </row>
    <row r="75" spans="2:40" s="7" customFormat="1" ht="12" hidden="1" customHeight="1" outlineLevel="2">
      <c r="B75" s="245"/>
      <c r="C75" s="213" t="s">
        <v>756</v>
      </c>
      <c r="D75" s="213"/>
      <c r="E75" s="213"/>
      <c r="F75" s="213"/>
      <c r="G75" s="213"/>
      <c r="H75" s="211">
        <f>INDEX($C$44:$AN$66,MATCH("New Customers One-Time",$C$44:$C$66,0),MATCH($C75,$C$44:$AN$44,0))</f>
        <v>0</v>
      </c>
      <c r="I75" s="211">
        <f t="shared" ref="I75:AN75" si="53">$H$75*(E70)</f>
        <v>0</v>
      </c>
      <c r="J75" s="211">
        <f t="shared" si="53"/>
        <v>0</v>
      </c>
      <c r="K75" s="211">
        <f t="shared" si="53"/>
        <v>0</v>
      </c>
      <c r="L75" s="211">
        <f t="shared" si="53"/>
        <v>0</v>
      </c>
      <c r="M75" s="211">
        <f t="shared" si="53"/>
        <v>0</v>
      </c>
      <c r="N75" s="211">
        <f t="shared" si="53"/>
        <v>0</v>
      </c>
      <c r="O75" s="211">
        <f t="shared" si="53"/>
        <v>0</v>
      </c>
      <c r="P75" s="211">
        <f t="shared" si="53"/>
        <v>0</v>
      </c>
      <c r="Q75" s="211">
        <f t="shared" si="53"/>
        <v>0</v>
      </c>
      <c r="R75" s="211">
        <f t="shared" si="53"/>
        <v>0</v>
      </c>
      <c r="S75" s="211">
        <f t="shared" si="53"/>
        <v>0</v>
      </c>
      <c r="T75" s="211">
        <f t="shared" si="53"/>
        <v>0</v>
      </c>
      <c r="U75" s="211">
        <f t="shared" si="53"/>
        <v>0</v>
      </c>
      <c r="V75" s="211">
        <f t="shared" si="53"/>
        <v>0</v>
      </c>
      <c r="W75" s="211">
        <f t="shared" si="53"/>
        <v>0</v>
      </c>
      <c r="X75" s="211">
        <f t="shared" si="53"/>
        <v>0</v>
      </c>
      <c r="Y75" s="211">
        <f t="shared" si="53"/>
        <v>0</v>
      </c>
      <c r="Z75" s="211">
        <f t="shared" si="53"/>
        <v>0</v>
      </c>
      <c r="AA75" s="211">
        <f t="shared" si="53"/>
        <v>0</v>
      </c>
      <c r="AB75" s="211">
        <f t="shared" si="53"/>
        <v>0</v>
      </c>
      <c r="AC75" s="211">
        <f t="shared" si="53"/>
        <v>0</v>
      </c>
      <c r="AD75" s="211">
        <f t="shared" si="53"/>
        <v>0</v>
      </c>
      <c r="AE75" s="211">
        <f t="shared" si="53"/>
        <v>0</v>
      </c>
      <c r="AF75" s="211">
        <f t="shared" si="53"/>
        <v>0</v>
      </c>
      <c r="AG75" s="211">
        <f t="shared" si="53"/>
        <v>0</v>
      </c>
      <c r="AH75" s="211">
        <f t="shared" si="53"/>
        <v>0</v>
      </c>
      <c r="AI75" s="211">
        <f t="shared" si="53"/>
        <v>0</v>
      </c>
      <c r="AJ75" s="211">
        <f t="shared" si="53"/>
        <v>0</v>
      </c>
      <c r="AK75" s="211">
        <f t="shared" si="53"/>
        <v>0</v>
      </c>
      <c r="AL75" s="211">
        <f t="shared" si="53"/>
        <v>0</v>
      </c>
      <c r="AM75" s="211">
        <f t="shared" si="53"/>
        <v>0</v>
      </c>
      <c r="AN75" s="211">
        <f t="shared" si="53"/>
        <v>0</v>
      </c>
    </row>
    <row r="76" spans="2:40" s="7" customFormat="1" ht="12" hidden="1" customHeight="1" outlineLevel="2">
      <c r="B76" s="245"/>
      <c r="C76" s="213" t="s">
        <v>757</v>
      </c>
      <c r="D76" s="213"/>
      <c r="E76" s="213"/>
      <c r="F76" s="213"/>
      <c r="G76" s="213"/>
      <c r="H76" s="213"/>
      <c r="I76" s="211">
        <f>INDEX($C$44:$AN$66,MATCH("New Customers One-Time",$C$44:$C$66,0),MATCH($C76,$C$44:$AN$44,0))</f>
        <v>0</v>
      </c>
      <c r="J76" s="211">
        <f t="shared" ref="J76:AN76" si="54">$I$76*(E70)</f>
        <v>0</v>
      </c>
      <c r="K76" s="211">
        <f t="shared" si="54"/>
        <v>0</v>
      </c>
      <c r="L76" s="211">
        <f t="shared" si="54"/>
        <v>0</v>
      </c>
      <c r="M76" s="211">
        <f t="shared" si="54"/>
        <v>0</v>
      </c>
      <c r="N76" s="211">
        <f t="shared" si="54"/>
        <v>0</v>
      </c>
      <c r="O76" s="211">
        <f t="shared" si="54"/>
        <v>0</v>
      </c>
      <c r="P76" s="211">
        <f t="shared" si="54"/>
        <v>0</v>
      </c>
      <c r="Q76" s="211">
        <f t="shared" si="54"/>
        <v>0</v>
      </c>
      <c r="R76" s="211">
        <f t="shared" si="54"/>
        <v>0</v>
      </c>
      <c r="S76" s="211">
        <f t="shared" si="54"/>
        <v>0</v>
      </c>
      <c r="T76" s="211">
        <f t="shared" si="54"/>
        <v>0</v>
      </c>
      <c r="U76" s="211">
        <f t="shared" si="54"/>
        <v>0</v>
      </c>
      <c r="V76" s="211">
        <f t="shared" si="54"/>
        <v>0</v>
      </c>
      <c r="W76" s="211">
        <f t="shared" si="54"/>
        <v>0</v>
      </c>
      <c r="X76" s="211">
        <f t="shared" si="54"/>
        <v>0</v>
      </c>
      <c r="Y76" s="211">
        <f t="shared" si="54"/>
        <v>0</v>
      </c>
      <c r="Z76" s="211">
        <f t="shared" si="54"/>
        <v>0</v>
      </c>
      <c r="AA76" s="211">
        <f t="shared" si="54"/>
        <v>0</v>
      </c>
      <c r="AB76" s="211">
        <f t="shared" si="54"/>
        <v>0</v>
      </c>
      <c r="AC76" s="211">
        <f t="shared" si="54"/>
        <v>0</v>
      </c>
      <c r="AD76" s="211">
        <f t="shared" si="54"/>
        <v>0</v>
      </c>
      <c r="AE76" s="211">
        <f t="shared" si="54"/>
        <v>0</v>
      </c>
      <c r="AF76" s="211">
        <f t="shared" si="54"/>
        <v>0</v>
      </c>
      <c r="AG76" s="211">
        <f t="shared" si="54"/>
        <v>0</v>
      </c>
      <c r="AH76" s="211">
        <f t="shared" si="54"/>
        <v>0</v>
      </c>
      <c r="AI76" s="211">
        <f t="shared" si="54"/>
        <v>0</v>
      </c>
      <c r="AJ76" s="211">
        <f t="shared" si="54"/>
        <v>0</v>
      </c>
      <c r="AK76" s="211">
        <f t="shared" si="54"/>
        <v>0</v>
      </c>
      <c r="AL76" s="211">
        <f t="shared" si="54"/>
        <v>0</v>
      </c>
      <c r="AM76" s="211">
        <f t="shared" si="54"/>
        <v>0</v>
      </c>
      <c r="AN76" s="211">
        <f t="shared" si="54"/>
        <v>0</v>
      </c>
    </row>
    <row r="77" spans="2:40" s="7" customFormat="1" ht="12" hidden="1" customHeight="1" outlineLevel="2">
      <c r="B77" s="245"/>
      <c r="C77" s="213" t="s">
        <v>758</v>
      </c>
      <c r="D77" s="213"/>
      <c r="E77" s="213"/>
      <c r="F77" s="213"/>
      <c r="G77" s="213"/>
      <c r="H77" s="213"/>
      <c r="I77" s="213"/>
      <c r="J77" s="211">
        <f>INDEX($C$44:$AN$66,MATCH("New Customers One-Time",$C$44:$C$66,0),MATCH($C77,$C$44:$AN$44,0))</f>
        <v>8</v>
      </c>
      <c r="K77" s="211">
        <f t="shared" ref="K77:AN77" si="55">$J$77*(E70)</f>
        <v>0</v>
      </c>
      <c r="L77" s="211">
        <f t="shared" si="55"/>
        <v>0</v>
      </c>
      <c r="M77" s="211">
        <f t="shared" si="55"/>
        <v>0</v>
      </c>
      <c r="N77" s="211">
        <f t="shared" si="55"/>
        <v>0</v>
      </c>
      <c r="O77" s="211">
        <f t="shared" si="55"/>
        <v>0</v>
      </c>
      <c r="P77" s="211">
        <f t="shared" si="55"/>
        <v>0</v>
      </c>
      <c r="Q77" s="211">
        <f t="shared" si="55"/>
        <v>0</v>
      </c>
      <c r="R77" s="211">
        <f t="shared" si="55"/>
        <v>0</v>
      </c>
      <c r="S77" s="211">
        <f t="shared" si="55"/>
        <v>0</v>
      </c>
      <c r="T77" s="211">
        <f t="shared" si="55"/>
        <v>0</v>
      </c>
      <c r="U77" s="211">
        <f t="shared" si="55"/>
        <v>0</v>
      </c>
      <c r="V77" s="211">
        <f t="shared" si="55"/>
        <v>0</v>
      </c>
      <c r="W77" s="211">
        <f t="shared" si="55"/>
        <v>0</v>
      </c>
      <c r="X77" s="211">
        <f t="shared" si="55"/>
        <v>0</v>
      </c>
      <c r="Y77" s="211">
        <f t="shared" si="55"/>
        <v>0</v>
      </c>
      <c r="Z77" s="211">
        <f t="shared" si="55"/>
        <v>0</v>
      </c>
      <c r="AA77" s="211">
        <f t="shared" si="55"/>
        <v>0</v>
      </c>
      <c r="AB77" s="211">
        <f t="shared" si="55"/>
        <v>0</v>
      </c>
      <c r="AC77" s="211">
        <f t="shared" si="55"/>
        <v>0</v>
      </c>
      <c r="AD77" s="211">
        <f t="shared" si="55"/>
        <v>0</v>
      </c>
      <c r="AE77" s="211">
        <f t="shared" si="55"/>
        <v>0</v>
      </c>
      <c r="AF77" s="211">
        <f t="shared" si="55"/>
        <v>0</v>
      </c>
      <c r="AG77" s="211">
        <f t="shared" si="55"/>
        <v>0</v>
      </c>
      <c r="AH77" s="211">
        <f t="shared" si="55"/>
        <v>0</v>
      </c>
      <c r="AI77" s="211">
        <f t="shared" si="55"/>
        <v>0</v>
      </c>
      <c r="AJ77" s="211">
        <f t="shared" si="55"/>
        <v>0</v>
      </c>
      <c r="AK77" s="211">
        <f t="shared" si="55"/>
        <v>0</v>
      </c>
      <c r="AL77" s="211">
        <f t="shared" si="55"/>
        <v>0</v>
      </c>
      <c r="AM77" s="211">
        <f t="shared" si="55"/>
        <v>0</v>
      </c>
      <c r="AN77" s="211">
        <f t="shared" si="55"/>
        <v>0</v>
      </c>
    </row>
    <row r="78" spans="2:40" s="7" customFormat="1" ht="12" hidden="1" customHeight="1" outlineLevel="2">
      <c r="B78" s="245"/>
      <c r="C78" s="213" t="s">
        <v>759</v>
      </c>
      <c r="D78" s="213"/>
      <c r="E78" s="213"/>
      <c r="F78" s="213"/>
      <c r="G78" s="213"/>
      <c r="H78" s="213"/>
      <c r="I78" s="213"/>
      <c r="J78" s="213"/>
      <c r="K78" s="211">
        <f>INDEX($C$44:$AN$66,MATCH("New Customers One-Time",$C$44:$C$66,0),MATCH($C78,$C$44:$AN$44,0))</f>
        <v>2.6666666666666665</v>
      </c>
      <c r="L78" s="211">
        <f t="shared" ref="L78:AN78" si="56">$K$78*(E70)</f>
        <v>0</v>
      </c>
      <c r="M78" s="211">
        <f t="shared" si="56"/>
        <v>0</v>
      </c>
      <c r="N78" s="211">
        <f t="shared" si="56"/>
        <v>0</v>
      </c>
      <c r="O78" s="211">
        <f t="shared" si="56"/>
        <v>0</v>
      </c>
      <c r="P78" s="211">
        <f t="shared" si="56"/>
        <v>0</v>
      </c>
      <c r="Q78" s="211">
        <f t="shared" si="56"/>
        <v>0</v>
      </c>
      <c r="R78" s="211">
        <f t="shared" si="56"/>
        <v>0</v>
      </c>
      <c r="S78" s="211">
        <f t="shared" si="56"/>
        <v>0</v>
      </c>
      <c r="T78" s="211">
        <f t="shared" si="56"/>
        <v>0</v>
      </c>
      <c r="U78" s="211">
        <f t="shared" si="56"/>
        <v>0</v>
      </c>
      <c r="V78" s="211">
        <f t="shared" si="56"/>
        <v>0</v>
      </c>
      <c r="W78" s="211">
        <f t="shared" si="56"/>
        <v>0</v>
      </c>
      <c r="X78" s="211">
        <f t="shared" si="56"/>
        <v>0</v>
      </c>
      <c r="Y78" s="211">
        <f t="shared" si="56"/>
        <v>0</v>
      </c>
      <c r="Z78" s="211">
        <f t="shared" si="56"/>
        <v>0</v>
      </c>
      <c r="AA78" s="211">
        <f t="shared" si="56"/>
        <v>0</v>
      </c>
      <c r="AB78" s="211">
        <f t="shared" si="56"/>
        <v>0</v>
      </c>
      <c r="AC78" s="211">
        <f t="shared" si="56"/>
        <v>0</v>
      </c>
      <c r="AD78" s="211">
        <f t="shared" si="56"/>
        <v>0</v>
      </c>
      <c r="AE78" s="211">
        <f t="shared" si="56"/>
        <v>0</v>
      </c>
      <c r="AF78" s="211">
        <f t="shared" si="56"/>
        <v>0</v>
      </c>
      <c r="AG78" s="211">
        <f t="shared" si="56"/>
        <v>0</v>
      </c>
      <c r="AH78" s="211">
        <f t="shared" si="56"/>
        <v>0</v>
      </c>
      <c r="AI78" s="211">
        <f t="shared" si="56"/>
        <v>0</v>
      </c>
      <c r="AJ78" s="211">
        <f t="shared" si="56"/>
        <v>0</v>
      </c>
      <c r="AK78" s="211">
        <f t="shared" si="56"/>
        <v>0</v>
      </c>
      <c r="AL78" s="211">
        <f t="shared" si="56"/>
        <v>0</v>
      </c>
      <c r="AM78" s="211">
        <f t="shared" si="56"/>
        <v>0</v>
      </c>
      <c r="AN78" s="211">
        <f t="shared" si="56"/>
        <v>0</v>
      </c>
    </row>
    <row r="79" spans="2:40" s="7" customFormat="1" ht="12" hidden="1" customHeight="1" outlineLevel="2">
      <c r="B79" s="245"/>
      <c r="C79" s="213" t="s">
        <v>760</v>
      </c>
      <c r="D79" s="213"/>
      <c r="E79" s="213"/>
      <c r="F79" s="213"/>
      <c r="G79" s="213"/>
      <c r="H79" s="213"/>
      <c r="I79" s="213"/>
      <c r="J79" s="213"/>
      <c r="K79" s="213"/>
      <c r="L79" s="211">
        <f>INDEX($C$44:$AN$66,MATCH("New Customers One-Time",$C$44:$C$66,0),MATCH($C79,$C$44:$AN$44,0))</f>
        <v>2.6666666666666665</v>
      </c>
      <c r="M79" s="211">
        <f t="shared" ref="M79:AN79" si="57">$L$79*(E70)</f>
        <v>0</v>
      </c>
      <c r="N79" s="211">
        <f t="shared" si="57"/>
        <v>0</v>
      </c>
      <c r="O79" s="211">
        <f t="shared" si="57"/>
        <v>0</v>
      </c>
      <c r="P79" s="211">
        <f t="shared" si="57"/>
        <v>0</v>
      </c>
      <c r="Q79" s="211">
        <f t="shared" si="57"/>
        <v>0</v>
      </c>
      <c r="R79" s="211">
        <f t="shared" si="57"/>
        <v>0</v>
      </c>
      <c r="S79" s="211">
        <f t="shared" si="57"/>
        <v>0</v>
      </c>
      <c r="T79" s="211">
        <f t="shared" si="57"/>
        <v>0</v>
      </c>
      <c r="U79" s="211">
        <f t="shared" si="57"/>
        <v>0</v>
      </c>
      <c r="V79" s="211">
        <f t="shared" si="57"/>
        <v>0</v>
      </c>
      <c r="W79" s="211">
        <f t="shared" si="57"/>
        <v>0</v>
      </c>
      <c r="X79" s="211">
        <f t="shared" si="57"/>
        <v>0</v>
      </c>
      <c r="Y79" s="211">
        <f t="shared" si="57"/>
        <v>0</v>
      </c>
      <c r="Z79" s="211">
        <f t="shared" si="57"/>
        <v>0</v>
      </c>
      <c r="AA79" s="211">
        <f t="shared" si="57"/>
        <v>0</v>
      </c>
      <c r="AB79" s="211">
        <f t="shared" si="57"/>
        <v>0</v>
      </c>
      <c r="AC79" s="211">
        <f t="shared" si="57"/>
        <v>0</v>
      </c>
      <c r="AD79" s="211">
        <f t="shared" si="57"/>
        <v>0</v>
      </c>
      <c r="AE79" s="211">
        <f t="shared" si="57"/>
        <v>0</v>
      </c>
      <c r="AF79" s="211">
        <f t="shared" si="57"/>
        <v>0</v>
      </c>
      <c r="AG79" s="211">
        <f t="shared" si="57"/>
        <v>0</v>
      </c>
      <c r="AH79" s="211">
        <f t="shared" si="57"/>
        <v>0</v>
      </c>
      <c r="AI79" s="211">
        <f t="shared" si="57"/>
        <v>0</v>
      </c>
      <c r="AJ79" s="211">
        <f t="shared" si="57"/>
        <v>0</v>
      </c>
      <c r="AK79" s="211">
        <f t="shared" si="57"/>
        <v>0</v>
      </c>
      <c r="AL79" s="211">
        <f t="shared" si="57"/>
        <v>0</v>
      </c>
      <c r="AM79" s="211">
        <f t="shared" si="57"/>
        <v>0</v>
      </c>
      <c r="AN79" s="211">
        <f t="shared" si="57"/>
        <v>0</v>
      </c>
    </row>
    <row r="80" spans="2:40" s="7" customFormat="1" ht="12" hidden="1" customHeight="1" outlineLevel="2">
      <c r="B80" s="245"/>
      <c r="C80" s="213" t="s">
        <v>761</v>
      </c>
      <c r="D80" s="213"/>
      <c r="E80" s="213"/>
      <c r="F80" s="213"/>
      <c r="G80" s="213"/>
      <c r="H80" s="213"/>
      <c r="I80" s="213"/>
      <c r="J80" s="213"/>
      <c r="K80" s="213"/>
      <c r="L80" s="213"/>
      <c r="M80" s="211">
        <f>INDEX($C$44:$AN$66,MATCH("New Customers One-Time",$C$44:$C$66,0),MATCH($C80,$C$44:$AN$44,0))</f>
        <v>0</v>
      </c>
      <c r="N80" s="211">
        <f t="shared" ref="N80:AN80" si="58">$M$80*(E70)</f>
        <v>0</v>
      </c>
      <c r="O80" s="211">
        <f t="shared" si="58"/>
        <v>0</v>
      </c>
      <c r="P80" s="211">
        <f t="shared" si="58"/>
        <v>0</v>
      </c>
      <c r="Q80" s="211">
        <f t="shared" si="58"/>
        <v>0</v>
      </c>
      <c r="R80" s="211">
        <f t="shared" si="58"/>
        <v>0</v>
      </c>
      <c r="S80" s="211">
        <f t="shared" si="58"/>
        <v>0</v>
      </c>
      <c r="T80" s="211">
        <f t="shared" si="58"/>
        <v>0</v>
      </c>
      <c r="U80" s="211">
        <f t="shared" si="58"/>
        <v>0</v>
      </c>
      <c r="V80" s="211">
        <f t="shared" si="58"/>
        <v>0</v>
      </c>
      <c r="W80" s="211">
        <f t="shared" si="58"/>
        <v>0</v>
      </c>
      <c r="X80" s="211">
        <f t="shared" si="58"/>
        <v>0</v>
      </c>
      <c r="Y80" s="211">
        <f t="shared" si="58"/>
        <v>0</v>
      </c>
      <c r="Z80" s="211">
        <f t="shared" si="58"/>
        <v>0</v>
      </c>
      <c r="AA80" s="211">
        <f t="shared" si="58"/>
        <v>0</v>
      </c>
      <c r="AB80" s="211">
        <f t="shared" si="58"/>
        <v>0</v>
      </c>
      <c r="AC80" s="211">
        <f t="shared" si="58"/>
        <v>0</v>
      </c>
      <c r="AD80" s="211">
        <f t="shared" si="58"/>
        <v>0</v>
      </c>
      <c r="AE80" s="211">
        <f t="shared" si="58"/>
        <v>0</v>
      </c>
      <c r="AF80" s="211">
        <f t="shared" si="58"/>
        <v>0</v>
      </c>
      <c r="AG80" s="211">
        <f t="shared" si="58"/>
        <v>0</v>
      </c>
      <c r="AH80" s="211">
        <f t="shared" si="58"/>
        <v>0</v>
      </c>
      <c r="AI80" s="211">
        <f t="shared" si="58"/>
        <v>0</v>
      </c>
      <c r="AJ80" s="211">
        <f t="shared" si="58"/>
        <v>0</v>
      </c>
      <c r="AK80" s="211">
        <f t="shared" si="58"/>
        <v>0</v>
      </c>
      <c r="AL80" s="211">
        <f t="shared" si="58"/>
        <v>0</v>
      </c>
      <c r="AM80" s="211">
        <f t="shared" si="58"/>
        <v>0</v>
      </c>
      <c r="AN80" s="211">
        <f t="shared" si="58"/>
        <v>0</v>
      </c>
    </row>
    <row r="81" spans="2:40" s="7" customFormat="1" ht="12" hidden="1" customHeight="1" outlineLevel="2">
      <c r="B81" s="245"/>
      <c r="C81" s="213" t="s">
        <v>762</v>
      </c>
      <c r="D81" s="213"/>
      <c r="E81" s="213"/>
      <c r="F81" s="213"/>
      <c r="G81" s="213"/>
      <c r="H81" s="213"/>
      <c r="I81" s="213"/>
      <c r="J81" s="213"/>
      <c r="K81" s="213"/>
      <c r="L81" s="213"/>
      <c r="M81" s="213"/>
      <c r="N81" s="211">
        <f>INDEX($C$44:$AN$66,MATCH("New Customers One-Time",$C$44:$C$66,0),MATCH($C81,$C$44:$AN$44,0))</f>
        <v>35.460992907801419</v>
      </c>
      <c r="O81" s="211">
        <f t="shared" ref="O81:AN81" si="59">$N$81*(E70)</f>
        <v>0</v>
      </c>
      <c r="P81" s="211">
        <f t="shared" si="59"/>
        <v>0</v>
      </c>
      <c r="Q81" s="211">
        <f t="shared" si="59"/>
        <v>0</v>
      </c>
      <c r="R81" s="211">
        <f t="shared" si="59"/>
        <v>0</v>
      </c>
      <c r="S81" s="211">
        <f t="shared" si="59"/>
        <v>0</v>
      </c>
      <c r="T81" s="211">
        <f t="shared" si="59"/>
        <v>0</v>
      </c>
      <c r="U81" s="211">
        <f t="shared" si="59"/>
        <v>0</v>
      </c>
      <c r="V81" s="211">
        <f t="shared" si="59"/>
        <v>0</v>
      </c>
      <c r="W81" s="211">
        <f t="shared" si="59"/>
        <v>0</v>
      </c>
      <c r="X81" s="211">
        <f t="shared" si="59"/>
        <v>0</v>
      </c>
      <c r="Y81" s="211">
        <f t="shared" si="59"/>
        <v>0</v>
      </c>
      <c r="Z81" s="211">
        <f t="shared" si="59"/>
        <v>0</v>
      </c>
      <c r="AA81" s="211">
        <f t="shared" si="59"/>
        <v>0</v>
      </c>
      <c r="AB81" s="211">
        <f t="shared" si="59"/>
        <v>0</v>
      </c>
      <c r="AC81" s="211">
        <f t="shared" si="59"/>
        <v>0</v>
      </c>
      <c r="AD81" s="211">
        <f t="shared" si="59"/>
        <v>0</v>
      </c>
      <c r="AE81" s="211">
        <f t="shared" si="59"/>
        <v>0</v>
      </c>
      <c r="AF81" s="211">
        <f t="shared" si="59"/>
        <v>0</v>
      </c>
      <c r="AG81" s="211">
        <f t="shared" si="59"/>
        <v>0</v>
      </c>
      <c r="AH81" s="211">
        <f t="shared" si="59"/>
        <v>0</v>
      </c>
      <c r="AI81" s="211">
        <f t="shared" si="59"/>
        <v>0</v>
      </c>
      <c r="AJ81" s="211">
        <f t="shared" si="59"/>
        <v>0</v>
      </c>
      <c r="AK81" s="211">
        <f t="shared" si="59"/>
        <v>0</v>
      </c>
      <c r="AL81" s="211">
        <f t="shared" si="59"/>
        <v>0</v>
      </c>
      <c r="AM81" s="211">
        <f t="shared" si="59"/>
        <v>0</v>
      </c>
      <c r="AN81" s="211">
        <f t="shared" si="59"/>
        <v>0</v>
      </c>
    </row>
    <row r="82" spans="2:40" s="7" customFormat="1" ht="12" hidden="1" customHeight="1" outlineLevel="2">
      <c r="B82" s="245"/>
      <c r="C82" s="213" t="s">
        <v>763</v>
      </c>
      <c r="D82" s="213"/>
      <c r="E82" s="213"/>
      <c r="F82" s="213"/>
      <c r="G82" s="213"/>
      <c r="H82" s="213"/>
      <c r="I82" s="213"/>
      <c r="J82" s="213"/>
      <c r="K82" s="213"/>
      <c r="L82" s="213"/>
      <c r="M82" s="213"/>
      <c r="N82" s="213"/>
      <c r="O82" s="211">
        <f>INDEX($C$44:$AN$66,MATCH("New Customers One-Time",$C$44:$C$66,0),MATCH($C82,$C$44:$AN$44,0))</f>
        <v>17.730496453900709</v>
      </c>
      <c r="P82" s="211">
        <f t="shared" ref="P82:AN82" si="60">$O$82*(E70)</f>
        <v>0</v>
      </c>
      <c r="Q82" s="211">
        <f t="shared" si="60"/>
        <v>0</v>
      </c>
      <c r="R82" s="211">
        <f t="shared" si="60"/>
        <v>0</v>
      </c>
      <c r="S82" s="211">
        <f t="shared" si="60"/>
        <v>0</v>
      </c>
      <c r="T82" s="211">
        <f t="shared" si="60"/>
        <v>0</v>
      </c>
      <c r="U82" s="211">
        <f t="shared" si="60"/>
        <v>0</v>
      </c>
      <c r="V82" s="211">
        <f t="shared" si="60"/>
        <v>0</v>
      </c>
      <c r="W82" s="211">
        <f t="shared" si="60"/>
        <v>0</v>
      </c>
      <c r="X82" s="211">
        <f t="shared" si="60"/>
        <v>0</v>
      </c>
      <c r="Y82" s="211">
        <f t="shared" si="60"/>
        <v>0</v>
      </c>
      <c r="Z82" s="211">
        <f t="shared" si="60"/>
        <v>0</v>
      </c>
      <c r="AA82" s="211">
        <f t="shared" si="60"/>
        <v>0</v>
      </c>
      <c r="AB82" s="211">
        <f t="shared" si="60"/>
        <v>0</v>
      </c>
      <c r="AC82" s="211">
        <f t="shared" si="60"/>
        <v>0</v>
      </c>
      <c r="AD82" s="211">
        <f t="shared" si="60"/>
        <v>0</v>
      </c>
      <c r="AE82" s="211">
        <f t="shared" si="60"/>
        <v>0</v>
      </c>
      <c r="AF82" s="211">
        <f t="shared" si="60"/>
        <v>0</v>
      </c>
      <c r="AG82" s="211">
        <f t="shared" si="60"/>
        <v>0</v>
      </c>
      <c r="AH82" s="211">
        <f t="shared" si="60"/>
        <v>0</v>
      </c>
      <c r="AI82" s="211">
        <f t="shared" si="60"/>
        <v>0</v>
      </c>
      <c r="AJ82" s="211">
        <f t="shared" si="60"/>
        <v>0</v>
      </c>
      <c r="AK82" s="211">
        <f t="shared" si="60"/>
        <v>0</v>
      </c>
      <c r="AL82" s="211">
        <f t="shared" si="60"/>
        <v>0</v>
      </c>
      <c r="AM82" s="211">
        <f t="shared" si="60"/>
        <v>0</v>
      </c>
      <c r="AN82" s="211">
        <f t="shared" si="60"/>
        <v>0</v>
      </c>
    </row>
    <row r="83" spans="2:40" s="7" customFormat="1" ht="12" hidden="1" customHeight="1" outlineLevel="2">
      <c r="B83" s="245"/>
      <c r="C83" s="213" t="s">
        <v>764</v>
      </c>
      <c r="D83" s="213"/>
      <c r="E83" s="213"/>
      <c r="F83" s="213"/>
      <c r="G83" s="213"/>
      <c r="H83" s="213"/>
      <c r="I83" s="213"/>
      <c r="J83" s="213"/>
      <c r="K83" s="213"/>
      <c r="L83" s="213"/>
      <c r="M83" s="213"/>
      <c r="N83" s="213"/>
      <c r="O83" s="213"/>
      <c r="P83" s="211">
        <f>INDEX($C$44:$AN$66,MATCH("New Customers One-Time",$C$44:$C$66,0),MATCH($C83,$C$44:$AN$44,0))</f>
        <v>15.070921985815602</v>
      </c>
      <c r="Q83" s="211">
        <f t="shared" ref="Q83:AN83" si="61">$P$83*(E70)</f>
        <v>0</v>
      </c>
      <c r="R83" s="211">
        <f t="shared" si="61"/>
        <v>0</v>
      </c>
      <c r="S83" s="211">
        <f t="shared" si="61"/>
        <v>0</v>
      </c>
      <c r="T83" s="211">
        <f t="shared" si="61"/>
        <v>0</v>
      </c>
      <c r="U83" s="211">
        <f t="shared" si="61"/>
        <v>0</v>
      </c>
      <c r="V83" s="211">
        <f t="shared" si="61"/>
        <v>0</v>
      </c>
      <c r="W83" s="211">
        <f t="shared" si="61"/>
        <v>0</v>
      </c>
      <c r="X83" s="211">
        <f t="shared" si="61"/>
        <v>0</v>
      </c>
      <c r="Y83" s="211">
        <f t="shared" si="61"/>
        <v>0</v>
      </c>
      <c r="Z83" s="211">
        <f t="shared" si="61"/>
        <v>0</v>
      </c>
      <c r="AA83" s="211">
        <f t="shared" si="61"/>
        <v>0</v>
      </c>
      <c r="AB83" s="211">
        <f t="shared" si="61"/>
        <v>0</v>
      </c>
      <c r="AC83" s="211">
        <f t="shared" si="61"/>
        <v>0</v>
      </c>
      <c r="AD83" s="211">
        <f t="shared" si="61"/>
        <v>0</v>
      </c>
      <c r="AE83" s="211">
        <f t="shared" si="61"/>
        <v>0</v>
      </c>
      <c r="AF83" s="211">
        <f t="shared" si="61"/>
        <v>0</v>
      </c>
      <c r="AG83" s="211">
        <f t="shared" si="61"/>
        <v>0</v>
      </c>
      <c r="AH83" s="211">
        <f t="shared" si="61"/>
        <v>0</v>
      </c>
      <c r="AI83" s="211">
        <f t="shared" si="61"/>
        <v>0</v>
      </c>
      <c r="AJ83" s="211">
        <f t="shared" si="61"/>
        <v>0</v>
      </c>
      <c r="AK83" s="211">
        <f t="shared" si="61"/>
        <v>0</v>
      </c>
      <c r="AL83" s="211">
        <f t="shared" si="61"/>
        <v>0</v>
      </c>
      <c r="AM83" s="211">
        <f t="shared" si="61"/>
        <v>0</v>
      </c>
      <c r="AN83" s="211">
        <f t="shared" si="61"/>
        <v>0</v>
      </c>
    </row>
    <row r="84" spans="2:40" s="7" customFormat="1" ht="12" hidden="1" customHeight="1" outlineLevel="2">
      <c r="B84" s="245"/>
      <c r="C84" s="213" t="s">
        <v>765</v>
      </c>
      <c r="D84" s="213"/>
      <c r="E84" s="213"/>
      <c r="F84" s="213"/>
      <c r="G84" s="213"/>
      <c r="H84" s="213"/>
      <c r="I84" s="213"/>
      <c r="J84" s="213"/>
      <c r="K84" s="213"/>
      <c r="L84" s="213"/>
      <c r="M84" s="213"/>
      <c r="N84" s="213"/>
      <c r="O84" s="213"/>
      <c r="P84" s="213"/>
      <c r="Q84" s="211">
        <f>INDEX($C$44:$AN$66,MATCH("New Customers One-Time",$C$44:$C$66,0),MATCH($C84,$C$44:$AN$44,0))</f>
        <v>0</v>
      </c>
      <c r="R84" s="211">
        <f t="shared" ref="R84:AN84" si="62">$Q$84*(E70)</f>
        <v>0</v>
      </c>
      <c r="S84" s="211">
        <f t="shared" si="62"/>
        <v>0</v>
      </c>
      <c r="T84" s="211">
        <f t="shared" si="62"/>
        <v>0</v>
      </c>
      <c r="U84" s="211">
        <f t="shared" si="62"/>
        <v>0</v>
      </c>
      <c r="V84" s="211">
        <f t="shared" si="62"/>
        <v>0</v>
      </c>
      <c r="W84" s="211">
        <f t="shared" si="62"/>
        <v>0</v>
      </c>
      <c r="X84" s="211">
        <f t="shared" si="62"/>
        <v>0</v>
      </c>
      <c r="Y84" s="211">
        <f t="shared" si="62"/>
        <v>0</v>
      </c>
      <c r="Z84" s="211">
        <f t="shared" si="62"/>
        <v>0</v>
      </c>
      <c r="AA84" s="211">
        <f t="shared" si="62"/>
        <v>0</v>
      </c>
      <c r="AB84" s="211">
        <f t="shared" si="62"/>
        <v>0</v>
      </c>
      <c r="AC84" s="211">
        <f t="shared" si="62"/>
        <v>0</v>
      </c>
      <c r="AD84" s="211">
        <f t="shared" si="62"/>
        <v>0</v>
      </c>
      <c r="AE84" s="211">
        <f t="shared" si="62"/>
        <v>0</v>
      </c>
      <c r="AF84" s="211">
        <f t="shared" si="62"/>
        <v>0</v>
      </c>
      <c r="AG84" s="211">
        <f t="shared" si="62"/>
        <v>0</v>
      </c>
      <c r="AH84" s="211">
        <f t="shared" si="62"/>
        <v>0</v>
      </c>
      <c r="AI84" s="211">
        <f t="shared" si="62"/>
        <v>0</v>
      </c>
      <c r="AJ84" s="211">
        <f t="shared" si="62"/>
        <v>0</v>
      </c>
      <c r="AK84" s="211">
        <f t="shared" si="62"/>
        <v>0</v>
      </c>
      <c r="AL84" s="211">
        <f t="shared" si="62"/>
        <v>0</v>
      </c>
      <c r="AM84" s="211">
        <f t="shared" si="62"/>
        <v>0</v>
      </c>
      <c r="AN84" s="211">
        <f t="shared" si="62"/>
        <v>0</v>
      </c>
    </row>
    <row r="85" spans="2:40" s="7" customFormat="1" ht="12" hidden="1" customHeight="1" outlineLevel="2">
      <c r="B85" s="245"/>
      <c r="C85" s="213" t="s">
        <v>766</v>
      </c>
      <c r="D85" s="213"/>
      <c r="E85" s="213"/>
      <c r="F85" s="213"/>
      <c r="G85" s="213"/>
      <c r="H85" s="213"/>
      <c r="I85" s="213"/>
      <c r="J85" s="213"/>
      <c r="K85" s="213"/>
      <c r="L85" s="213"/>
      <c r="M85" s="213"/>
      <c r="N85" s="213"/>
      <c r="O85" s="213"/>
      <c r="P85" s="213"/>
      <c r="Q85" s="213"/>
      <c r="R85" s="211">
        <f>INDEX($C$44:$AN$66,MATCH("New Customers One-Time",$C$44:$C$66,0),MATCH($C85,$C$44:$AN$44,0))</f>
        <v>0</v>
      </c>
      <c r="S85" s="211">
        <f t="shared" ref="S85:AN85" si="63">$R$85*(E70)</f>
        <v>0</v>
      </c>
      <c r="T85" s="211">
        <f t="shared" si="63"/>
        <v>0</v>
      </c>
      <c r="U85" s="211">
        <f t="shared" si="63"/>
        <v>0</v>
      </c>
      <c r="V85" s="211">
        <f t="shared" si="63"/>
        <v>0</v>
      </c>
      <c r="W85" s="211">
        <f t="shared" si="63"/>
        <v>0</v>
      </c>
      <c r="X85" s="211">
        <f t="shared" si="63"/>
        <v>0</v>
      </c>
      <c r="Y85" s="211">
        <f t="shared" si="63"/>
        <v>0</v>
      </c>
      <c r="Z85" s="211">
        <f t="shared" si="63"/>
        <v>0</v>
      </c>
      <c r="AA85" s="211">
        <f t="shared" si="63"/>
        <v>0</v>
      </c>
      <c r="AB85" s="211">
        <f t="shared" si="63"/>
        <v>0</v>
      </c>
      <c r="AC85" s="211">
        <f t="shared" si="63"/>
        <v>0</v>
      </c>
      <c r="AD85" s="211">
        <f t="shared" si="63"/>
        <v>0</v>
      </c>
      <c r="AE85" s="211">
        <f t="shared" si="63"/>
        <v>0</v>
      </c>
      <c r="AF85" s="211">
        <f t="shared" si="63"/>
        <v>0</v>
      </c>
      <c r="AG85" s="211">
        <f t="shared" si="63"/>
        <v>0</v>
      </c>
      <c r="AH85" s="211">
        <f t="shared" si="63"/>
        <v>0</v>
      </c>
      <c r="AI85" s="211">
        <f t="shared" si="63"/>
        <v>0</v>
      </c>
      <c r="AJ85" s="211">
        <f t="shared" si="63"/>
        <v>0</v>
      </c>
      <c r="AK85" s="211">
        <f t="shared" si="63"/>
        <v>0</v>
      </c>
      <c r="AL85" s="211">
        <f t="shared" si="63"/>
        <v>0</v>
      </c>
      <c r="AM85" s="211">
        <f t="shared" si="63"/>
        <v>0</v>
      </c>
      <c r="AN85" s="211">
        <f t="shared" si="63"/>
        <v>0</v>
      </c>
    </row>
    <row r="86" spans="2:40" s="7" customFormat="1" ht="12" hidden="1" customHeight="1" outlineLevel="2">
      <c r="B86" s="245"/>
      <c r="C86" s="213" t="s">
        <v>767</v>
      </c>
      <c r="D86" s="213"/>
      <c r="E86" s="213"/>
      <c r="F86" s="213"/>
      <c r="G86" s="213"/>
      <c r="H86" s="213"/>
      <c r="I86" s="213"/>
      <c r="J86" s="213"/>
      <c r="K86" s="213"/>
      <c r="L86" s="213"/>
      <c r="M86" s="213"/>
      <c r="N86" s="213"/>
      <c r="O86" s="213"/>
      <c r="P86" s="213"/>
      <c r="Q86" s="213"/>
      <c r="R86" s="213"/>
      <c r="S86" s="211">
        <f>INDEX($C$44:$AN$66,MATCH("New Customers One-Time",$C$44:$C$66,0),MATCH($C86,$C$44:$AN$44,0))</f>
        <v>0</v>
      </c>
      <c r="T86" s="211">
        <f t="shared" ref="T86:AN86" si="64">$S$86*(E70)</f>
        <v>0</v>
      </c>
      <c r="U86" s="211">
        <f t="shared" si="64"/>
        <v>0</v>
      </c>
      <c r="V86" s="211">
        <f t="shared" si="64"/>
        <v>0</v>
      </c>
      <c r="W86" s="211">
        <f t="shared" si="64"/>
        <v>0</v>
      </c>
      <c r="X86" s="211">
        <f t="shared" si="64"/>
        <v>0</v>
      </c>
      <c r="Y86" s="211">
        <f t="shared" si="64"/>
        <v>0</v>
      </c>
      <c r="Z86" s="211">
        <f t="shared" si="64"/>
        <v>0</v>
      </c>
      <c r="AA86" s="211">
        <f t="shared" si="64"/>
        <v>0</v>
      </c>
      <c r="AB86" s="211">
        <f t="shared" si="64"/>
        <v>0</v>
      </c>
      <c r="AC86" s="211">
        <f t="shared" si="64"/>
        <v>0</v>
      </c>
      <c r="AD86" s="211">
        <f t="shared" si="64"/>
        <v>0</v>
      </c>
      <c r="AE86" s="211">
        <f t="shared" si="64"/>
        <v>0</v>
      </c>
      <c r="AF86" s="211">
        <f t="shared" si="64"/>
        <v>0</v>
      </c>
      <c r="AG86" s="211">
        <f t="shared" si="64"/>
        <v>0</v>
      </c>
      <c r="AH86" s="211">
        <f t="shared" si="64"/>
        <v>0</v>
      </c>
      <c r="AI86" s="211">
        <f t="shared" si="64"/>
        <v>0</v>
      </c>
      <c r="AJ86" s="211">
        <f t="shared" si="64"/>
        <v>0</v>
      </c>
      <c r="AK86" s="211">
        <f t="shared" si="64"/>
        <v>0</v>
      </c>
      <c r="AL86" s="211">
        <f t="shared" si="64"/>
        <v>0</v>
      </c>
      <c r="AM86" s="211">
        <f t="shared" si="64"/>
        <v>0</v>
      </c>
      <c r="AN86" s="211">
        <f t="shared" si="64"/>
        <v>0</v>
      </c>
    </row>
    <row r="87" spans="2:40" s="7" customFormat="1" ht="12" hidden="1" customHeight="1" outlineLevel="2">
      <c r="B87" s="245"/>
      <c r="C87" s="213" t="s">
        <v>768</v>
      </c>
      <c r="D87" s="213"/>
      <c r="E87" s="213"/>
      <c r="F87" s="213"/>
      <c r="G87" s="213"/>
      <c r="H87" s="213"/>
      <c r="I87" s="213"/>
      <c r="J87" s="213"/>
      <c r="K87" s="213"/>
      <c r="L87" s="213"/>
      <c r="M87" s="213"/>
      <c r="N87" s="213"/>
      <c r="O87" s="213"/>
      <c r="P87" s="213"/>
      <c r="Q87" s="213"/>
      <c r="R87" s="213"/>
      <c r="S87" s="213"/>
      <c r="T87" s="211">
        <f>INDEX($C$44:$AN$66,MATCH("New Customers One-Time",$C$44:$C$66,0),MATCH($C87,$C$44:$AN$44,0))</f>
        <v>13.224332151300237</v>
      </c>
      <c r="U87" s="211">
        <f t="shared" ref="U87:AN87" si="65">$T$87*(E70)</f>
        <v>0</v>
      </c>
      <c r="V87" s="211">
        <f t="shared" si="65"/>
        <v>0</v>
      </c>
      <c r="W87" s="211">
        <f t="shared" si="65"/>
        <v>0</v>
      </c>
      <c r="X87" s="211">
        <f t="shared" si="65"/>
        <v>0</v>
      </c>
      <c r="Y87" s="211">
        <f t="shared" si="65"/>
        <v>0</v>
      </c>
      <c r="Z87" s="211">
        <f t="shared" si="65"/>
        <v>0</v>
      </c>
      <c r="AA87" s="211">
        <f t="shared" si="65"/>
        <v>0</v>
      </c>
      <c r="AB87" s="211">
        <f t="shared" si="65"/>
        <v>0</v>
      </c>
      <c r="AC87" s="211">
        <f t="shared" si="65"/>
        <v>0</v>
      </c>
      <c r="AD87" s="211">
        <f t="shared" si="65"/>
        <v>0</v>
      </c>
      <c r="AE87" s="211">
        <f t="shared" si="65"/>
        <v>0</v>
      </c>
      <c r="AF87" s="211">
        <f t="shared" si="65"/>
        <v>0</v>
      </c>
      <c r="AG87" s="211">
        <f t="shared" si="65"/>
        <v>0</v>
      </c>
      <c r="AH87" s="211">
        <f t="shared" si="65"/>
        <v>0</v>
      </c>
      <c r="AI87" s="211">
        <f t="shared" si="65"/>
        <v>0</v>
      </c>
      <c r="AJ87" s="211">
        <f t="shared" si="65"/>
        <v>0</v>
      </c>
      <c r="AK87" s="211">
        <f t="shared" si="65"/>
        <v>0</v>
      </c>
      <c r="AL87" s="211">
        <f t="shared" si="65"/>
        <v>0</v>
      </c>
      <c r="AM87" s="211">
        <f t="shared" si="65"/>
        <v>0</v>
      </c>
      <c r="AN87" s="211">
        <f t="shared" si="65"/>
        <v>0</v>
      </c>
    </row>
    <row r="88" spans="2:40" s="7" customFormat="1" ht="12" hidden="1" customHeight="1" outlineLevel="2">
      <c r="B88" s="245"/>
      <c r="C88" s="213" t="s">
        <v>769</v>
      </c>
      <c r="D88" s="213"/>
      <c r="E88" s="213"/>
      <c r="F88" s="213"/>
      <c r="G88" s="213"/>
      <c r="H88" s="213"/>
      <c r="I88" s="213"/>
      <c r="J88" s="213"/>
      <c r="K88" s="213"/>
      <c r="L88" s="213"/>
      <c r="M88" s="213"/>
      <c r="N88" s="213"/>
      <c r="O88" s="213"/>
      <c r="P88" s="213"/>
      <c r="Q88" s="213"/>
      <c r="R88" s="213"/>
      <c r="S88" s="213"/>
      <c r="T88" s="213"/>
      <c r="U88" s="211">
        <f>INDEX($C$44:$AN$66,MATCH("New Customers One-Time",$C$44:$C$66,0),MATCH($C88,$C$44:$AN$44,0))</f>
        <v>12.988045212765957</v>
      </c>
      <c r="V88" s="211">
        <f t="shared" ref="V88:AN88" si="66">$U$88*(E70)</f>
        <v>0</v>
      </c>
      <c r="W88" s="211">
        <f t="shared" si="66"/>
        <v>0</v>
      </c>
      <c r="X88" s="211">
        <f t="shared" si="66"/>
        <v>0</v>
      </c>
      <c r="Y88" s="211">
        <f t="shared" si="66"/>
        <v>0</v>
      </c>
      <c r="Z88" s="211">
        <f t="shared" si="66"/>
        <v>0</v>
      </c>
      <c r="AA88" s="211">
        <f t="shared" si="66"/>
        <v>0</v>
      </c>
      <c r="AB88" s="211">
        <f t="shared" si="66"/>
        <v>0</v>
      </c>
      <c r="AC88" s="211">
        <f t="shared" si="66"/>
        <v>0</v>
      </c>
      <c r="AD88" s="211">
        <f t="shared" si="66"/>
        <v>0</v>
      </c>
      <c r="AE88" s="211">
        <f t="shared" si="66"/>
        <v>0</v>
      </c>
      <c r="AF88" s="211">
        <f t="shared" si="66"/>
        <v>0</v>
      </c>
      <c r="AG88" s="211">
        <f t="shared" si="66"/>
        <v>0</v>
      </c>
      <c r="AH88" s="211">
        <f t="shared" si="66"/>
        <v>0</v>
      </c>
      <c r="AI88" s="211">
        <f t="shared" si="66"/>
        <v>0</v>
      </c>
      <c r="AJ88" s="211">
        <f t="shared" si="66"/>
        <v>0</v>
      </c>
      <c r="AK88" s="211">
        <f t="shared" si="66"/>
        <v>0</v>
      </c>
      <c r="AL88" s="211">
        <f t="shared" si="66"/>
        <v>0</v>
      </c>
      <c r="AM88" s="211">
        <f t="shared" si="66"/>
        <v>0</v>
      </c>
      <c r="AN88" s="211">
        <f t="shared" si="66"/>
        <v>0</v>
      </c>
    </row>
    <row r="89" spans="2:40" s="7" customFormat="1" ht="12" hidden="1" customHeight="1" outlineLevel="2">
      <c r="B89" s="245"/>
      <c r="C89" s="213" t="s">
        <v>770</v>
      </c>
      <c r="D89" s="213"/>
      <c r="E89" s="213"/>
      <c r="F89" s="213"/>
      <c r="G89" s="213"/>
      <c r="H89" s="213"/>
      <c r="I89" s="213"/>
      <c r="J89" s="213"/>
      <c r="K89" s="213"/>
      <c r="L89" s="213"/>
      <c r="M89" s="213"/>
      <c r="N89" s="213"/>
      <c r="O89" s="213"/>
      <c r="P89" s="213"/>
      <c r="Q89" s="213"/>
      <c r="R89" s="213"/>
      <c r="S89" s="213"/>
      <c r="T89" s="213"/>
      <c r="U89" s="213"/>
      <c r="V89" s="211">
        <f>INDEX($C$44:$AN$66,MATCH("New Customers One-Time",$C$44:$C$66,0),MATCH($C89,$C$44:$AN$44,0))</f>
        <v>31.542158687943267</v>
      </c>
      <c r="W89" s="211">
        <f t="shared" ref="W89:AN89" si="67">$V$89*(E70)</f>
        <v>0</v>
      </c>
      <c r="X89" s="211">
        <f t="shared" si="67"/>
        <v>0</v>
      </c>
      <c r="Y89" s="211">
        <f t="shared" si="67"/>
        <v>0</v>
      </c>
      <c r="Z89" s="211">
        <f t="shared" si="67"/>
        <v>0</v>
      </c>
      <c r="AA89" s="211">
        <f t="shared" si="67"/>
        <v>0</v>
      </c>
      <c r="AB89" s="211">
        <f t="shared" si="67"/>
        <v>0</v>
      </c>
      <c r="AC89" s="211">
        <f t="shared" si="67"/>
        <v>0</v>
      </c>
      <c r="AD89" s="211">
        <f t="shared" si="67"/>
        <v>0</v>
      </c>
      <c r="AE89" s="211">
        <f t="shared" si="67"/>
        <v>0</v>
      </c>
      <c r="AF89" s="211">
        <f t="shared" si="67"/>
        <v>0</v>
      </c>
      <c r="AG89" s="211">
        <f t="shared" si="67"/>
        <v>0</v>
      </c>
      <c r="AH89" s="211">
        <f t="shared" si="67"/>
        <v>0</v>
      </c>
      <c r="AI89" s="211">
        <f t="shared" si="67"/>
        <v>0</v>
      </c>
      <c r="AJ89" s="211">
        <f t="shared" si="67"/>
        <v>0</v>
      </c>
      <c r="AK89" s="211">
        <f t="shared" si="67"/>
        <v>0</v>
      </c>
      <c r="AL89" s="211">
        <f t="shared" si="67"/>
        <v>0</v>
      </c>
      <c r="AM89" s="211">
        <f t="shared" si="67"/>
        <v>0</v>
      </c>
      <c r="AN89" s="211">
        <f t="shared" si="67"/>
        <v>0</v>
      </c>
    </row>
    <row r="90" spans="2:40" s="7" customFormat="1" ht="12" hidden="1" customHeight="1" outlineLevel="2">
      <c r="B90" s="245"/>
      <c r="C90" s="213" t="s">
        <v>771</v>
      </c>
      <c r="D90" s="213"/>
      <c r="E90" s="213"/>
      <c r="F90" s="213"/>
      <c r="G90" s="213"/>
      <c r="H90" s="213"/>
      <c r="I90" s="213"/>
      <c r="J90" s="213"/>
      <c r="K90" s="213"/>
      <c r="L90" s="213"/>
      <c r="M90" s="213"/>
      <c r="N90" s="213"/>
      <c r="O90" s="213"/>
      <c r="P90" s="213"/>
      <c r="Q90" s="213"/>
      <c r="R90" s="213"/>
      <c r="S90" s="213"/>
      <c r="T90" s="213"/>
      <c r="U90" s="213"/>
      <c r="V90" s="213"/>
      <c r="W90" s="211">
        <f>INDEX($C$44:$AN$66,MATCH("New Customers One-Time",$C$44:$C$66,0),MATCH($C90,$C$44:$AN$44,0))</f>
        <v>13.561358156028367</v>
      </c>
      <c r="X90" s="211">
        <f t="shared" ref="X90:AN90" si="68">$W$90*(E70)</f>
        <v>0</v>
      </c>
      <c r="Y90" s="211">
        <f t="shared" si="68"/>
        <v>0</v>
      </c>
      <c r="Z90" s="211">
        <f t="shared" si="68"/>
        <v>0</v>
      </c>
      <c r="AA90" s="211">
        <f t="shared" si="68"/>
        <v>0</v>
      </c>
      <c r="AB90" s="211">
        <f t="shared" si="68"/>
        <v>0</v>
      </c>
      <c r="AC90" s="211">
        <f t="shared" si="68"/>
        <v>0</v>
      </c>
      <c r="AD90" s="211">
        <f t="shared" si="68"/>
        <v>0</v>
      </c>
      <c r="AE90" s="211">
        <f t="shared" si="68"/>
        <v>0</v>
      </c>
      <c r="AF90" s="211">
        <f t="shared" si="68"/>
        <v>0</v>
      </c>
      <c r="AG90" s="211">
        <f t="shared" si="68"/>
        <v>0</v>
      </c>
      <c r="AH90" s="211">
        <f t="shared" si="68"/>
        <v>0</v>
      </c>
      <c r="AI90" s="211">
        <f t="shared" si="68"/>
        <v>0</v>
      </c>
      <c r="AJ90" s="211">
        <f t="shared" si="68"/>
        <v>0</v>
      </c>
      <c r="AK90" s="211">
        <f t="shared" si="68"/>
        <v>0</v>
      </c>
      <c r="AL90" s="211">
        <f t="shared" si="68"/>
        <v>0</v>
      </c>
      <c r="AM90" s="211">
        <f t="shared" si="68"/>
        <v>0</v>
      </c>
      <c r="AN90" s="211">
        <f t="shared" si="68"/>
        <v>0</v>
      </c>
    </row>
    <row r="91" spans="2:40" s="7" customFormat="1" ht="12" hidden="1" customHeight="1" outlineLevel="2">
      <c r="B91" s="245"/>
      <c r="C91" s="213" t="s">
        <v>772</v>
      </c>
      <c r="D91" s="213"/>
      <c r="E91" s="213"/>
      <c r="F91" s="213"/>
      <c r="G91" s="213"/>
      <c r="H91" s="213"/>
      <c r="I91" s="213"/>
      <c r="J91" s="213"/>
      <c r="K91" s="213"/>
      <c r="L91" s="213"/>
      <c r="M91" s="213"/>
      <c r="N91" s="213"/>
      <c r="O91" s="213"/>
      <c r="P91" s="213"/>
      <c r="Q91" s="213"/>
      <c r="R91" s="213"/>
      <c r="S91" s="213"/>
      <c r="T91" s="213"/>
      <c r="U91" s="213"/>
      <c r="V91" s="213"/>
      <c r="W91" s="213"/>
      <c r="X91" s="211">
        <f>INDEX($C$44:$AN$66,MATCH("New Customers One-Time",$C$44:$C$66,0),MATCH($C91,$C$44:$AN$44,0))</f>
        <v>13.617180851063829</v>
      </c>
      <c r="Y91" s="211">
        <f t="shared" ref="Y91:AN91" si="69">$X$91*(E70)</f>
        <v>0</v>
      </c>
      <c r="Z91" s="211">
        <f t="shared" si="69"/>
        <v>0</v>
      </c>
      <c r="AA91" s="211">
        <f t="shared" si="69"/>
        <v>0</v>
      </c>
      <c r="AB91" s="211">
        <f t="shared" si="69"/>
        <v>0</v>
      </c>
      <c r="AC91" s="211">
        <f t="shared" si="69"/>
        <v>0</v>
      </c>
      <c r="AD91" s="211">
        <f t="shared" si="69"/>
        <v>0</v>
      </c>
      <c r="AE91" s="211">
        <f t="shared" si="69"/>
        <v>0</v>
      </c>
      <c r="AF91" s="211">
        <f t="shared" si="69"/>
        <v>0</v>
      </c>
      <c r="AG91" s="211">
        <f t="shared" si="69"/>
        <v>0</v>
      </c>
      <c r="AH91" s="211">
        <f t="shared" si="69"/>
        <v>0</v>
      </c>
      <c r="AI91" s="211">
        <f t="shared" si="69"/>
        <v>0</v>
      </c>
      <c r="AJ91" s="211">
        <f t="shared" si="69"/>
        <v>0</v>
      </c>
      <c r="AK91" s="211">
        <f t="shared" si="69"/>
        <v>0</v>
      </c>
      <c r="AL91" s="211">
        <f t="shared" si="69"/>
        <v>0</v>
      </c>
      <c r="AM91" s="211">
        <f t="shared" si="69"/>
        <v>0</v>
      </c>
      <c r="AN91" s="211">
        <f t="shared" si="69"/>
        <v>0</v>
      </c>
    </row>
    <row r="92" spans="2:40" s="7" customFormat="1" ht="12" hidden="1" customHeight="1" outlineLevel="2">
      <c r="B92" s="245"/>
      <c r="C92" s="213" t="s">
        <v>773</v>
      </c>
      <c r="D92" s="213"/>
      <c r="E92" s="213"/>
      <c r="F92" s="213"/>
      <c r="G92" s="213"/>
      <c r="H92" s="213"/>
      <c r="I92" s="213"/>
      <c r="J92" s="213"/>
      <c r="K92" s="213"/>
      <c r="L92" s="213"/>
      <c r="M92" s="213"/>
      <c r="N92" s="213"/>
      <c r="O92" s="213"/>
      <c r="P92" s="213"/>
      <c r="Q92" s="213"/>
      <c r="R92" s="213"/>
      <c r="S92" s="213"/>
      <c r="T92" s="213"/>
      <c r="U92" s="213"/>
      <c r="V92" s="213"/>
      <c r="W92" s="213"/>
      <c r="X92" s="213"/>
      <c r="Y92" s="211">
        <f>INDEX($C$44:$AN$66,MATCH("New Customers One-Time",$C$44:$C$66,0),MATCH($C92,$C$44:$AN$44,0))</f>
        <v>39.184397163120572</v>
      </c>
      <c r="Z92" s="211">
        <f t="shared" ref="Z92:AN92" si="70">$Y$92*(E70)</f>
        <v>0</v>
      </c>
      <c r="AA92" s="211">
        <f t="shared" si="70"/>
        <v>0</v>
      </c>
      <c r="AB92" s="211">
        <f t="shared" si="70"/>
        <v>0</v>
      </c>
      <c r="AC92" s="211">
        <f t="shared" si="70"/>
        <v>0</v>
      </c>
      <c r="AD92" s="211">
        <f t="shared" si="70"/>
        <v>0</v>
      </c>
      <c r="AE92" s="211">
        <f t="shared" si="70"/>
        <v>0</v>
      </c>
      <c r="AF92" s="211">
        <f t="shared" si="70"/>
        <v>0</v>
      </c>
      <c r="AG92" s="211">
        <f t="shared" si="70"/>
        <v>0</v>
      </c>
      <c r="AH92" s="211">
        <f t="shared" si="70"/>
        <v>0</v>
      </c>
      <c r="AI92" s="211">
        <f t="shared" si="70"/>
        <v>0</v>
      </c>
      <c r="AJ92" s="211">
        <f t="shared" si="70"/>
        <v>0</v>
      </c>
      <c r="AK92" s="211">
        <f t="shared" si="70"/>
        <v>0</v>
      </c>
      <c r="AL92" s="211">
        <f t="shared" si="70"/>
        <v>0</v>
      </c>
      <c r="AM92" s="211">
        <f t="shared" si="70"/>
        <v>0</v>
      </c>
      <c r="AN92" s="211">
        <f t="shared" si="70"/>
        <v>0</v>
      </c>
    </row>
    <row r="93" spans="2:40" s="7" customFormat="1" ht="12" hidden="1" customHeight="1" outlineLevel="2">
      <c r="B93" s="245"/>
      <c r="C93" s="213" t="s">
        <v>774</v>
      </c>
      <c r="D93" s="213"/>
      <c r="E93" s="213"/>
      <c r="F93" s="213"/>
      <c r="G93" s="213"/>
      <c r="H93" s="213"/>
      <c r="I93" s="213"/>
      <c r="J93" s="213"/>
      <c r="K93" s="213"/>
      <c r="L93" s="213"/>
      <c r="M93" s="213"/>
      <c r="N93" s="213"/>
      <c r="O93" s="213"/>
      <c r="P93" s="213"/>
      <c r="Q93" s="213"/>
      <c r="R93" s="213"/>
      <c r="S93" s="213"/>
      <c r="T93" s="213"/>
      <c r="U93" s="213"/>
      <c r="V93" s="213"/>
      <c r="W93" s="213"/>
      <c r="X93" s="213"/>
      <c r="Y93" s="213"/>
      <c r="Z93" s="211">
        <f>INDEX($C$44:$AN$66,MATCH("New Customers One-Time",$C$44:$C$66,0),MATCH($C93,$C$44:$AN$44,0))</f>
        <v>36.170212765957451</v>
      </c>
      <c r="AA93" s="211">
        <f t="shared" ref="AA93:AN93" si="71">$Z$93*(E70)</f>
        <v>0</v>
      </c>
      <c r="AB93" s="211">
        <f t="shared" si="71"/>
        <v>0</v>
      </c>
      <c r="AC93" s="211">
        <f t="shared" si="71"/>
        <v>0</v>
      </c>
      <c r="AD93" s="211">
        <f t="shared" si="71"/>
        <v>0</v>
      </c>
      <c r="AE93" s="211">
        <f t="shared" si="71"/>
        <v>0</v>
      </c>
      <c r="AF93" s="211">
        <f t="shared" si="71"/>
        <v>0</v>
      </c>
      <c r="AG93" s="211">
        <f t="shared" si="71"/>
        <v>0</v>
      </c>
      <c r="AH93" s="211">
        <f t="shared" si="71"/>
        <v>0</v>
      </c>
      <c r="AI93" s="211">
        <f t="shared" si="71"/>
        <v>0</v>
      </c>
      <c r="AJ93" s="211">
        <f t="shared" si="71"/>
        <v>0</v>
      </c>
      <c r="AK93" s="211">
        <f t="shared" si="71"/>
        <v>0</v>
      </c>
      <c r="AL93" s="211">
        <f t="shared" si="71"/>
        <v>0</v>
      </c>
      <c r="AM93" s="211">
        <f t="shared" si="71"/>
        <v>0</v>
      </c>
      <c r="AN93" s="211">
        <f t="shared" si="71"/>
        <v>0</v>
      </c>
    </row>
    <row r="94" spans="2:40" s="7" customFormat="1" ht="12" hidden="1" customHeight="1" outlineLevel="2">
      <c r="B94" s="245"/>
      <c r="C94" s="213" t="s">
        <v>775</v>
      </c>
      <c r="D94" s="213"/>
      <c r="E94" s="213"/>
      <c r="F94" s="213"/>
      <c r="G94" s="213"/>
      <c r="H94" s="213"/>
      <c r="I94" s="213"/>
      <c r="J94" s="213"/>
      <c r="K94" s="213"/>
      <c r="L94" s="213"/>
      <c r="M94" s="213"/>
      <c r="N94" s="213"/>
      <c r="O94" s="213"/>
      <c r="P94" s="213"/>
      <c r="Q94" s="213"/>
      <c r="R94" s="213"/>
      <c r="S94" s="213"/>
      <c r="T94" s="213"/>
      <c r="U94" s="213"/>
      <c r="V94" s="213"/>
      <c r="W94" s="213"/>
      <c r="X94" s="213"/>
      <c r="Y94" s="213"/>
      <c r="Z94" s="213"/>
      <c r="AA94" s="211">
        <f>INDEX($C$44:$AN$66,MATCH("New Customers One-Time",$C$44:$C$66,0),MATCH($C94,$C$44:$AN$44,0))</f>
        <v>12.056737588652483</v>
      </c>
      <c r="AB94" s="211">
        <f t="shared" ref="AB94:AN94" si="72">$AA$94*(E70)</f>
        <v>0</v>
      </c>
      <c r="AC94" s="211">
        <f t="shared" si="72"/>
        <v>0</v>
      </c>
      <c r="AD94" s="211">
        <f t="shared" si="72"/>
        <v>0</v>
      </c>
      <c r="AE94" s="211">
        <f t="shared" si="72"/>
        <v>0</v>
      </c>
      <c r="AF94" s="211">
        <f t="shared" si="72"/>
        <v>0</v>
      </c>
      <c r="AG94" s="211">
        <f t="shared" si="72"/>
        <v>0</v>
      </c>
      <c r="AH94" s="211">
        <f t="shared" si="72"/>
        <v>0</v>
      </c>
      <c r="AI94" s="211">
        <f t="shared" si="72"/>
        <v>0</v>
      </c>
      <c r="AJ94" s="211">
        <f t="shared" si="72"/>
        <v>0</v>
      </c>
      <c r="AK94" s="211">
        <f t="shared" si="72"/>
        <v>0</v>
      </c>
      <c r="AL94" s="211">
        <f t="shared" si="72"/>
        <v>0</v>
      </c>
      <c r="AM94" s="211">
        <f t="shared" si="72"/>
        <v>0</v>
      </c>
      <c r="AN94" s="211">
        <f t="shared" si="72"/>
        <v>0</v>
      </c>
    </row>
    <row r="95" spans="2:40" s="7" customFormat="1" ht="12" hidden="1" customHeight="1" outlineLevel="2">
      <c r="B95" s="245"/>
      <c r="C95" s="213" t="s">
        <v>776</v>
      </c>
      <c r="D95" s="213"/>
      <c r="E95" s="213"/>
      <c r="F95" s="213"/>
      <c r="G95" s="213"/>
      <c r="H95" s="213"/>
      <c r="I95" s="213"/>
      <c r="J95" s="213"/>
      <c r="K95" s="213"/>
      <c r="L95" s="213"/>
      <c r="M95" s="213"/>
      <c r="N95" s="213"/>
      <c r="O95" s="213"/>
      <c r="P95" s="213"/>
      <c r="Q95" s="213"/>
      <c r="R95" s="213"/>
      <c r="S95" s="213"/>
      <c r="T95" s="213"/>
      <c r="U95" s="213"/>
      <c r="V95" s="213"/>
      <c r="W95" s="213"/>
      <c r="X95" s="213"/>
      <c r="Y95" s="213"/>
      <c r="Z95" s="213"/>
      <c r="AA95" s="213"/>
      <c r="AB95" s="211">
        <f>INDEX($C$44:$AN$66,MATCH("New Customers One-Time",$C$44:$C$66,0),MATCH($C95,$C$44:$AN$44,0))</f>
        <v>12.056737588652483</v>
      </c>
      <c r="AC95" s="211">
        <f t="shared" ref="AC95:AN95" si="73">$AB$95*(E70)</f>
        <v>0</v>
      </c>
      <c r="AD95" s="211">
        <f t="shared" si="73"/>
        <v>0</v>
      </c>
      <c r="AE95" s="211">
        <f t="shared" si="73"/>
        <v>0</v>
      </c>
      <c r="AF95" s="211">
        <f t="shared" si="73"/>
        <v>0</v>
      </c>
      <c r="AG95" s="211">
        <f t="shared" si="73"/>
        <v>0</v>
      </c>
      <c r="AH95" s="211">
        <f t="shared" si="73"/>
        <v>0</v>
      </c>
      <c r="AI95" s="211">
        <f t="shared" si="73"/>
        <v>0</v>
      </c>
      <c r="AJ95" s="211">
        <f t="shared" si="73"/>
        <v>0</v>
      </c>
      <c r="AK95" s="211">
        <f t="shared" si="73"/>
        <v>0</v>
      </c>
      <c r="AL95" s="211">
        <f t="shared" si="73"/>
        <v>0</v>
      </c>
      <c r="AM95" s="211">
        <f t="shared" si="73"/>
        <v>0</v>
      </c>
      <c r="AN95" s="211">
        <f t="shared" si="73"/>
        <v>0</v>
      </c>
    </row>
    <row r="96" spans="2:40" s="7" customFormat="1" ht="12" hidden="1" customHeight="1" outlineLevel="2">
      <c r="B96" s="245"/>
      <c r="C96" s="213" t="s">
        <v>777</v>
      </c>
      <c r="D96" s="213"/>
      <c r="E96" s="213"/>
      <c r="F96" s="213"/>
      <c r="G96" s="213"/>
      <c r="H96" s="213"/>
      <c r="I96" s="213"/>
      <c r="J96" s="213"/>
      <c r="K96" s="213"/>
      <c r="L96" s="213"/>
      <c r="M96" s="213"/>
      <c r="N96" s="213"/>
      <c r="O96" s="213"/>
      <c r="P96" s="213"/>
      <c r="Q96" s="213"/>
      <c r="R96" s="213"/>
      <c r="S96" s="213"/>
      <c r="T96" s="213"/>
      <c r="U96" s="213"/>
      <c r="V96" s="213"/>
      <c r="W96" s="213"/>
      <c r="X96" s="213"/>
      <c r="Y96" s="213"/>
      <c r="Z96" s="213"/>
      <c r="AA96" s="213"/>
      <c r="AB96" s="211"/>
      <c r="AC96" s="211">
        <f>INDEX($C$44:$AN$66,MATCH("New Customers One-Time",$C$44:$C$66,0),MATCH($C96,$C$44:$AN$44,0))</f>
        <v>11.687078014184399</v>
      </c>
      <c r="AD96" s="211">
        <f t="shared" ref="AD96:AN96" si="74">$AC$96*(E70)</f>
        <v>0</v>
      </c>
      <c r="AE96" s="211">
        <f t="shared" si="74"/>
        <v>0</v>
      </c>
      <c r="AF96" s="211">
        <f t="shared" si="74"/>
        <v>0</v>
      </c>
      <c r="AG96" s="211">
        <f t="shared" si="74"/>
        <v>0</v>
      </c>
      <c r="AH96" s="211">
        <f t="shared" si="74"/>
        <v>0</v>
      </c>
      <c r="AI96" s="211">
        <f t="shared" si="74"/>
        <v>0</v>
      </c>
      <c r="AJ96" s="211">
        <f t="shared" si="74"/>
        <v>0</v>
      </c>
      <c r="AK96" s="211">
        <f t="shared" si="74"/>
        <v>0</v>
      </c>
      <c r="AL96" s="211">
        <f t="shared" si="74"/>
        <v>0</v>
      </c>
      <c r="AM96" s="211">
        <f t="shared" si="74"/>
        <v>0</v>
      </c>
      <c r="AN96" s="211">
        <f t="shared" si="74"/>
        <v>0</v>
      </c>
    </row>
    <row r="97" spans="2:40" s="7" customFormat="1" ht="12" hidden="1" customHeight="1" outlineLevel="2">
      <c r="B97" s="245"/>
      <c r="C97" s="213" t="s">
        <v>778</v>
      </c>
      <c r="D97" s="213"/>
      <c r="E97" s="213"/>
      <c r="F97" s="213"/>
      <c r="G97" s="213"/>
      <c r="H97" s="213"/>
      <c r="I97" s="213"/>
      <c r="J97" s="213"/>
      <c r="K97" s="213"/>
      <c r="L97" s="213"/>
      <c r="M97" s="213"/>
      <c r="N97" s="213"/>
      <c r="O97" s="213"/>
      <c r="P97" s="213"/>
      <c r="Q97" s="213"/>
      <c r="R97" s="213"/>
      <c r="S97" s="213"/>
      <c r="T97" s="213"/>
      <c r="U97" s="213"/>
      <c r="V97" s="213"/>
      <c r="W97" s="213"/>
      <c r="X97" s="213"/>
      <c r="Y97" s="213"/>
      <c r="Z97" s="213"/>
      <c r="AA97" s="213"/>
      <c r="AB97" s="211"/>
      <c r="AC97" s="211"/>
      <c r="AD97" s="211">
        <f>INDEX($C$44:$AN$66,MATCH("New Customers One-Time",$C$44:$C$66,0),MATCH($C97,$C$44:$AN$44,0))</f>
        <v>29.344049645390065</v>
      </c>
      <c r="AE97" s="211">
        <f t="shared" ref="AE97:AN97" si="75">$AD$97*(E70)</f>
        <v>0</v>
      </c>
      <c r="AF97" s="211">
        <f t="shared" si="75"/>
        <v>0</v>
      </c>
      <c r="AG97" s="211">
        <f t="shared" si="75"/>
        <v>0</v>
      </c>
      <c r="AH97" s="211">
        <f t="shared" si="75"/>
        <v>0</v>
      </c>
      <c r="AI97" s="211">
        <f t="shared" si="75"/>
        <v>0</v>
      </c>
      <c r="AJ97" s="211">
        <f t="shared" si="75"/>
        <v>0</v>
      </c>
      <c r="AK97" s="211">
        <f t="shared" si="75"/>
        <v>0</v>
      </c>
      <c r="AL97" s="211">
        <f t="shared" si="75"/>
        <v>0</v>
      </c>
      <c r="AM97" s="211">
        <f t="shared" si="75"/>
        <v>0</v>
      </c>
      <c r="AN97" s="211">
        <f t="shared" si="75"/>
        <v>0</v>
      </c>
    </row>
    <row r="98" spans="2:40" s="7" customFormat="1" ht="12" hidden="1" customHeight="1" outlineLevel="2">
      <c r="B98" s="245"/>
      <c r="C98" s="213" t="s">
        <v>779</v>
      </c>
      <c r="D98" s="213"/>
      <c r="E98" s="213"/>
      <c r="F98" s="213"/>
      <c r="G98" s="213"/>
      <c r="H98" s="213"/>
      <c r="I98" s="213"/>
      <c r="J98" s="213"/>
      <c r="K98" s="213"/>
      <c r="L98" s="213"/>
      <c r="M98" s="213"/>
      <c r="N98" s="213"/>
      <c r="O98" s="213"/>
      <c r="P98" s="213"/>
      <c r="Q98" s="213"/>
      <c r="R98" s="213"/>
      <c r="S98" s="213"/>
      <c r="T98" s="213"/>
      <c r="U98" s="213"/>
      <c r="V98" s="213"/>
      <c r="W98" s="213"/>
      <c r="X98" s="213"/>
      <c r="Y98" s="213"/>
      <c r="Z98" s="213"/>
      <c r="AA98" s="213"/>
      <c r="AB98" s="211"/>
      <c r="AC98" s="211"/>
      <c r="AD98" s="211"/>
      <c r="AE98" s="211">
        <f>INDEX($C$44:$AN$66,MATCH("New Customers One-Time",$C$44:$C$66,0),MATCH($C98,$C$44:$AN$44,0))</f>
        <v>23.090189716312064</v>
      </c>
      <c r="AF98" s="211">
        <f t="shared" ref="AF98:AN98" si="76">$AE$98*(E70)</f>
        <v>0</v>
      </c>
      <c r="AG98" s="211">
        <f t="shared" si="76"/>
        <v>0</v>
      </c>
      <c r="AH98" s="211">
        <f t="shared" si="76"/>
        <v>0</v>
      </c>
      <c r="AI98" s="211">
        <f t="shared" si="76"/>
        <v>0</v>
      </c>
      <c r="AJ98" s="211">
        <f t="shared" si="76"/>
        <v>0</v>
      </c>
      <c r="AK98" s="211">
        <f t="shared" si="76"/>
        <v>0</v>
      </c>
      <c r="AL98" s="211">
        <f t="shared" si="76"/>
        <v>0</v>
      </c>
      <c r="AM98" s="211">
        <f t="shared" si="76"/>
        <v>0</v>
      </c>
      <c r="AN98" s="211">
        <f t="shared" si="76"/>
        <v>0</v>
      </c>
    </row>
    <row r="99" spans="2:40" s="7" customFormat="1" ht="12" hidden="1" customHeight="1" outlineLevel="2">
      <c r="B99" s="245"/>
      <c r="C99" s="213" t="s">
        <v>780</v>
      </c>
      <c r="D99" s="213"/>
      <c r="E99" s="213"/>
      <c r="F99" s="213"/>
      <c r="G99" s="213"/>
      <c r="H99" s="213"/>
      <c r="I99" s="213"/>
      <c r="J99" s="213"/>
      <c r="K99" s="213"/>
      <c r="L99" s="213"/>
      <c r="M99" s="213"/>
      <c r="N99" s="213"/>
      <c r="O99" s="213"/>
      <c r="P99" s="213"/>
      <c r="Q99" s="213"/>
      <c r="R99" s="213"/>
      <c r="S99" s="213"/>
      <c r="T99" s="213"/>
      <c r="U99" s="213"/>
      <c r="V99" s="213"/>
      <c r="W99" s="213"/>
      <c r="X99" s="213"/>
      <c r="Y99" s="213"/>
      <c r="Z99" s="213"/>
      <c r="AA99" s="213"/>
      <c r="AB99" s="211"/>
      <c r="AC99" s="211"/>
      <c r="AD99" s="211"/>
      <c r="AE99" s="211"/>
      <c r="AF99" s="211">
        <f>INDEX($C$44:$AN$66,MATCH("New Customers One-Time",$C$44:$C$66,0),MATCH($C99,$C$44:$AN$44,0))</f>
        <v>14.546765366430261</v>
      </c>
      <c r="AG99" s="211">
        <f t="shared" ref="AG99:AN99" si="77">$AF$99*(E70)</f>
        <v>0</v>
      </c>
      <c r="AH99" s="211">
        <f t="shared" si="77"/>
        <v>0</v>
      </c>
      <c r="AI99" s="211">
        <f t="shared" si="77"/>
        <v>0</v>
      </c>
      <c r="AJ99" s="211">
        <f t="shared" si="77"/>
        <v>0</v>
      </c>
      <c r="AK99" s="211">
        <f t="shared" si="77"/>
        <v>0</v>
      </c>
      <c r="AL99" s="211">
        <f t="shared" si="77"/>
        <v>0</v>
      </c>
      <c r="AM99" s="211">
        <f t="shared" si="77"/>
        <v>0</v>
      </c>
      <c r="AN99" s="211">
        <f t="shared" si="77"/>
        <v>0</v>
      </c>
    </row>
    <row r="100" spans="2:40" s="7" customFormat="1" ht="12" hidden="1" customHeight="1" outlineLevel="2">
      <c r="B100" s="245"/>
      <c r="C100" s="213" t="s">
        <v>781</v>
      </c>
      <c r="D100" s="213"/>
      <c r="E100" s="213"/>
      <c r="F100" s="213"/>
      <c r="G100" s="213"/>
      <c r="H100" s="213"/>
      <c r="I100" s="213"/>
      <c r="J100" s="213"/>
      <c r="K100" s="213"/>
      <c r="L100" s="213"/>
      <c r="M100" s="213"/>
      <c r="N100" s="213"/>
      <c r="O100" s="213"/>
      <c r="P100" s="213"/>
      <c r="Q100" s="213"/>
      <c r="R100" s="213"/>
      <c r="S100" s="213"/>
      <c r="T100" s="213"/>
      <c r="U100" s="213"/>
      <c r="V100" s="213"/>
      <c r="W100" s="213"/>
      <c r="X100" s="213"/>
      <c r="Y100" s="213"/>
      <c r="Z100" s="213"/>
      <c r="AA100" s="213"/>
      <c r="AB100" s="211"/>
      <c r="AC100" s="211"/>
      <c r="AD100" s="211"/>
      <c r="AE100" s="211"/>
      <c r="AF100" s="211"/>
      <c r="AG100" s="211">
        <f>INDEX($C$44:$AN$66,MATCH("New Customers One-Time",$C$44:$C$66,0),MATCH($C100,$C$44:$AN$44,0))</f>
        <v>17.710970744680854</v>
      </c>
      <c r="AH100" s="211">
        <f t="shared" ref="AH100:AN100" si="78">$AG$100*(E70)</f>
        <v>0</v>
      </c>
      <c r="AI100" s="211">
        <f t="shared" si="78"/>
        <v>0</v>
      </c>
      <c r="AJ100" s="211">
        <f t="shared" si="78"/>
        <v>0</v>
      </c>
      <c r="AK100" s="211">
        <f t="shared" si="78"/>
        <v>0</v>
      </c>
      <c r="AL100" s="211">
        <f t="shared" si="78"/>
        <v>0</v>
      </c>
      <c r="AM100" s="211">
        <f t="shared" si="78"/>
        <v>0</v>
      </c>
      <c r="AN100" s="211">
        <f t="shared" si="78"/>
        <v>0</v>
      </c>
    </row>
    <row r="101" spans="2:40" s="7" customFormat="1" ht="12" hidden="1" customHeight="1" outlineLevel="2">
      <c r="B101" s="245"/>
      <c r="C101" s="213" t="s">
        <v>782</v>
      </c>
      <c r="D101" s="213"/>
      <c r="E101" s="213"/>
      <c r="F101" s="213"/>
      <c r="G101" s="213"/>
      <c r="H101" s="213"/>
      <c r="I101" s="213"/>
      <c r="J101" s="213"/>
      <c r="K101" s="213"/>
      <c r="L101" s="213"/>
      <c r="M101" s="213"/>
      <c r="N101" s="213"/>
      <c r="O101" s="213"/>
      <c r="P101" s="213"/>
      <c r="Q101" s="213"/>
      <c r="R101" s="213"/>
      <c r="S101" s="213"/>
      <c r="T101" s="213"/>
      <c r="U101" s="213"/>
      <c r="V101" s="213"/>
      <c r="W101" s="213"/>
      <c r="X101" s="213"/>
      <c r="Y101" s="213"/>
      <c r="Z101" s="213"/>
      <c r="AA101" s="213"/>
      <c r="AB101" s="211"/>
      <c r="AC101" s="211"/>
      <c r="AD101" s="211"/>
      <c r="AE101" s="211"/>
      <c r="AF101" s="211"/>
      <c r="AG101" s="211"/>
      <c r="AH101" s="211">
        <f>INDEX($C$44:$AN$66,MATCH("New Customers One-Time",$C$44:$C$66,0),MATCH($C101,$C$44:$AN$44,0))</f>
        <v>43.012034574468089</v>
      </c>
      <c r="AI101" s="211">
        <f t="shared" ref="AI101:AN101" si="79">$AH$101*(E70)</f>
        <v>0</v>
      </c>
      <c r="AJ101" s="211">
        <f t="shared" si="79"/>
        <v>0</v>
      </c>
      <c r="AK101" s="211">
        <f t="shared" si="79"/>
        <v>0</v>
      </c>
      <c r="AL101" s="211">
        <f t="shared" si="79"/>
        <v>0</v>
      </c>
      <c r="AM101" s="211">
        <f t="shared" si="79"/>
        <v>0</v>
      </c>
      <c r="AN101" s="211">
        <f t="shared" si="79"/>
        <v>0</v>
      </c>
    </row>
    <row r="102" spans="2:40" s="7" customFormat="1" ht="12" hidden="1" customHeight="1" outlineLevel="2">
      <c r="B102" s="245"/>
      <c r="C102" s="213" t="s">
        <v>783</v>
      </c>
      <c r="D102" s="213"/>
      <c r="E102" s="213"/>
      <c r="F102" s="213"/>
      <c r="G102" s="213"/>
      <c r="H102" s="213"/>
      <c r="I102" s="213"/>
      <c r="J102" s="213"/>
      <c r="K102" s="213"/>
      <c r="L102" s="213"/>
      <c r="M102" s="213"/>
      <c r="N102" s="213"/>
      <c r="O102" s="213"/>
      <c r="P102" s="213"/>
      <c r="Q102" s="213"/>
      <c r="R102" s="213"/>
      <c r="S102" s="213"/>
      <c r="T102" s="213"/>
      <c r="U102" s="213"/>
      <c r="V102" s="213"/>
      <c r="W102" s="213"/>
      <c r="X102" s="213"/>
      <c r="Y102" s="213"/>
      <c r="Z102" s="213"/>
      <c r="AA102" s="213"/>
      <c r="AB102" s="211"/>
      <c r="AC102" s="211"/>
      <c r="AD102" s="211"/>
      <c r="AE102" s="211"/>
      <c r="AF102" s="211"/>
      <c r="AG102" s="211"/>
      <c r="AH102" s="211"/>
      <c r="AI102" s="211">
        <f>INDEX($C$44:$AN$66,MATCH("New Customers One-Time",$C$44:$C$66,0),MATCH($C102,$C$44:$AN$44,0))</f>
        <v>7.910792257683215</v>
      </c>
      <c r="AJ102" s="211">
        <f>$AI$102*(E70)</f>
        <v>0</v>
      </c>
      <c r="AK102" s="211">
        <f>$AI$102*(F70)</f>
        <v>0</v>
      </c>
      <c r="AL102" s="211">
        <f>$AI$102*(G70)</f>
        <v>0</v>
      </c>
      <c r="AM102" s="211">
        <f>$AI$102*(H70)</f>
        <v>0</v>
      </c>
      <c r="AN102" s="211">
        <f>$AI$102*(I70)</f>
        <v>0</v>
      </c>
    </row>
    <row r="103" spans="2:40" s="7" customFormat="1" ht="12" hidden="1" customHeight="1" outlineLevel="2">
      <c r="B103" s="245"/>
      <c r="C103" s="213" t="s">
        <v>784</v>
      </c>
      <c r="D103" s="213"/>
      <c r="E103" s="213"/>
      <c r="F103" s="213"/>
      <c r="G103" s="213"/>
      <c r="H103" s="213"/>
      <c r="I103" s="213"/>
      <c r="J103" s="213"/>
      <c r="K103" s="213"/>
      <c r="L103" s="213"/>
      <c r="M103" s="213"/>
      <c r="N103" s="213"/>
      <c r="O103" s="213"/>
      <c r="P103" s="213"/>
      <c r="Q103" s="213"/>
      <c r="R103" s="213"/>
      <c r="S103" s="213"/>
      <c r="T103" s="213"/>
      <c r="U103" s="213"/>
      <c r="V103" s="213"/>
      <c r="W103" s="213"/>
      <c r="X103" s="213"/>
      <c r="Y103" s="213"/>
      <c r="Z103" s="213"/>
      <c r="AA103" s="213"/>
      <c r="AB103" s="211"/>
      <c r="AC103" s="211"/>
      <c r="AD103" s="211"/>
      <c r="AE103" s="211"/>
      <c r="AF103" s="211"/>
      <c r="AG103" s="211"/>
      <c r="AH103" s="211"/>
      <c r="AI103" s="211"/>
      <c r="AJ103" s="211">
        <f>INDEX($C$44:$AN$66,MATCH("New Customers One-Time",$C$44:$C$66,0),MATCH($C103,$C$44:$AN$44,0))</f>
        <v>14.751945921985817</v>
      </c>
      <c r="AK103" s="211">
        <f>$AJ$103*(E70)</f>
        <v>0</v>
      </c>
      <c r="AL103" s="211">
        <f>$AJ$103*(F70)</f>
        <v>0</v>
      </c>
      <c r="AM103" s="211">
        <f>$AJ$103*(G70)</f>
        <v>0</v>
      </c>
      <c r="AN103" s="211">
        <f>$AJ$103*(H70)</f>
        <v>0</v>
      </c>
    </row>
    <row r="104" spans="2:40" s="7" customFormat="1" ht="12" hidden="1" customHeight="1" outlineLevel="2">
      <c r="B104" s="245"/>
      <c r="C104" s="213" t="s">
        <v>785</v>
      </c>
      <c r="D104" s="213"/>
      <c r="E104" s="213"/>
      <c r="F104" s="213"/>
      <c r="G104" s="213"/>
      <c r="H104" s="213"/>
      <c r="I104" s="213"/>
      <c r="J104" s="213"/>
      <c r="K104" s="213"/>
      <c r="L104" s="213"/>
      <c r="M104" s="213"/>
      <c r="N104" s="213"/>
      <c r="O104" s="213"/>
      <c r="P104" s="213"/>
      <c r="Q104" s="213"/>
      <c r="R104" s="213"/>
      <c r="S104" s="213"/>
      <c r="T104" s="213"/>
      <c r="U104" s="213"/>
      <c r="V104" s="213"/>
      <c r="W104" s="213"/>
      <c r="X104" s="213"/>
      <c r="Y104" s="213"/>
      <c r="Z104" s="213"/>
      <c r="AA104" s="213"/>
      <c r="AB104" s="211"/>
      <c r="AC104" s="211"/>
      <c r="AD104" s="211"/>
      <c r="AE104" s="211"/>
      <c r="AF104" s="211"/>
      <c r="AG104" s="211"/>
      <c r="AH104" s="211"/>
      <c r="AI104" s="211"/>
      <c r="AJ104" s="211"/>
      <c r="AK104" s="211">
        <f>INDEX($C$44:$AN$66,MATCH("New Customers One-Time",$C$44:$C$66,0),MATCH($C104,$C$44:$AN$44,0))</f>
        <v>50.939716312056738</v>
      </c>
      <c r="AL104" s="211">
        <f>$AK$104*(E70)</f>
        <v>0</v>
      </c>
      <c r="AM104" s="211">
        <f>$AK$104*(F70)</f>
        <v>0</v>
      </c>
      <c r="AN104" s="211">
        <f>$AK$104*(G70)</f>
        <v>0</v>
      </c>
    </row>
    <row r="105" spans="2:40" s="7" customFormat="1" ht="12" hidden="1" customHeight="1" outlineLevel="2">
      <c r="B105" s="245"/>
      <c r="C105" s="213" t="s">
        <v>786</v>
      </c>
      <c r="D105" s="213"/>
      <c r="E105" s="213"/>
      <c r="F105" s="213"/>
      <c r="G105" s="213"/>
      <c r="H105" s="213"/>
      <c r="I105" s="213"/>
      <c r="J105" s="213"/>
      <c r="K105" s="213"/>
      <c r="L105" s="213"/>
      <c r="M105" s="213"/>
      <c r="N105" s="213"/>
      <c r="O105" s="213"/>
      <c r="P105" s="213"/>
      <c r="Q105" s="213"/>
      <c r="R105" s="213"/>
      <c r="S105" s="213"/>
      <c r="T105" s="213"/>
      <c r="U105" s="213"/>
      <c r="V105" s="213"/>
      <c r="W105" s="213"/>
      <c r="X105" s="213"/>
      <c r="Y105" s="213"/>
      <c r="Z105" s="213"/>
      <c r="AA105" s="213"/>
      <c r="AB105" s="211"/>
      <c r="AC105" s="211"/>
      <c r="AD105" s="211"/>
      <c r="AE105" s="211"/>
      <c r="AF105" s="211"/>
      <c r="AG105" s="211"/>
      <c r="AH105" s="211"/>
      <c r="AI105" s="211"/>
      <c r="AJ105" s="211"/>
      <c r="AK105" s="211"/>
      <c r="AL105" s="211">
        <f>INDEX($C$44:$AN$66,MATCH("New Customers One-Time",$C$44:$C$66,0),MATCH($C105,$C$44:$AN$44,0))</f>
        <v>43.404255319148938</v>
      </c>
      <c r="AM105" s="211">
        <f>$AL$105*(E70)</f>
        <v>0</v>
      </c>
      <c r="AN105" s="211">
        <f>$AL$105*(F70)</f>
        <v>0</v>
      </c>
    </row>
    <row r="106" spans="2:40" s="7" customFormat="1" ht="12" hidden="1" customHeight="1" outlineLevel="2">
      <c r="B106" s="245"/>
      <c r="C106" s="213" t="s">
        <v>787</v>
      </c>
      <c r="D106" s="213"/>
      <c r="E106" s="213"/>
      <c r="F106" s="213"/>
      <c r="G106" s="213"/>
      <c r="H106" s="213"/>
      <c r="I106" s="213"/>
      <c r="J106" s="213"/>
      <c r="K106" s="213"/>
      <c r="L106" s="213"/>
      <c r="M106" s="213"/>
      <c r="N106" s="213"/>
      <c r="O106" s="213"/>
      <c r="P106" s="213"/>
      <c r="Q106" s="213"/>
      <c r="R106" s="213"/>
      <c r="S106" s="213"/>
      <c r="T106" s="213"/>
      <c r="U106" s="213"/>
      <c r="V106" s="213"/>
      <c r="W106" s="213"/>
      <c r="X106" s="213"/>
      <c r="Y106" s="213"/>
      <c r="Z106" s="213"/>
      <c r="AA106" s="213"/>
      <c r="AB106" s="211"/>
      <c r="AC106" s="211"/>
      <c r="AD106" s="211"/>
      <c r="AE106" s="211"/>
      <c r="AF106" s="211"/>
      <c r="AG106" s="211"/>
      <c r="AH106" s="211"/>
      <c r="AI106" s="211"/>
      <c r="AJ106" s="211"/>
      <c r="AK106" s="211"/>
      <c r="AL106" s="211"/>
      <c r="AM106" s="211">
        <f>INDEX($C$44:$AN$66,MATCH("New Customers One-Time",$C$44:$C$66,0),MATCH($C106,$C$44:$AN$44,0))</f>
        <v>8.4397163120567384</v>
      </c>
      <c r="AN106" s="211">
        <f>$AM$106*(E70)</f>
        <v>0</v>
      </c>
    </row>
    <row r="107" spans="2:40" s="7" customFormat="1" ht="12" hidden="1" customHeight="1" outlineLevel="2">
      <c r="B107" s="245"/>
      <c r="C107" s="213" t="s">
        <v>788</v>
      </c>
      <c r="D107" s="213"/>
      <c r="E107" s="213"/>
      <c r="F107" s="213"/>
      <c r="G107" s="213"/>
      <c r="H107" s="213"/>
      <c r="I107" s="213"/>
      <c r="J107" s="213"/>
      <c r="K107" s="213"/>
      <c r="L107" s="213"/>
      <c r="M107" s="213"/>
      <c r="N107" s="213"/>
      <c r="O107" s="213"/>
      <c r="P107" s="213"/>
      <c r="Q107" s="213"/>
      <c r="R107" s="213"/>
      <c r="S107" s="213"/>
      <c r="T107" s="213"/>
      <c r="U107" s="213"/>
      <c r="V107" s="213"/>
      <c r="W107" s="213"/>
      <c r="X107" s="213"/>
      <c r="Y107" s="213"/>
      <c r="Z107" s="213"/>
      <c r="AA107" s="213"/>
      <c r="AB107" s="211"/>
      <c r="AC107" s="211"/>
      <c r="AD107" s="211"/>
      <c r="AE107" s="211"/>
      <c r="AF107" s="211"/>
      <c r="AG107" s="211"/>
      <c r="AH107" s="211"/>
      <c r="AI107" s="211"/>
      <c r="AJ107" s="211"/>
      <c r="AK107" s="211"/>
      <c r="AL107" s="211"/>
      <c r="AM107" s="211"/>
      <c r="AN107" s="211">
        <f>INDEX($C$44:$AN$66,MATCH("New Customers One-Time",$C$44:$C$66,0),MATCH($C107,$C$44:$AN$44,0))</f>
        <v>12.056737588652483</v>
      </c>
    </row>
    <row r="108" spans="2:40" s="7" customFormat="1" ht="12" hidden="1" customHeight="1" outlineLevel="2">
      <c r="B108" s="245"/>
      <c r="C108" s="213"/>
      <c r="D108" s="213"/>
      <c r="E108" s="213"/>
      <c r="F108" s="213"/>
      <c r="G108" s="213"/>
      <c r="H108" s="213"/>
      <c r="I108" s="213"/>
      <c r="J108" s="213"/>
      <c r="K108" s="213"/>
      <c r="L108" s="213"/>
      <c r="M108" s="213"/>
      <c r="N108" s="213"/>
      <c r="O108" s="213"/>
      <c r="P108" s="213"/>
      <c r="Q108" s="213"/>
      <c r="R108" s="213"/>
      <c r="S108" s="213"/>
      <c r="T108" s="213"/>
      <c r="U108" s="213"/>
      <c r="V108" s="213"/>
      <c r="W108" s="213"/>
      <c r="X108" s="213"/>
      <c r="Y108" s="213"/>
      <c r="Z108" s="213"/>
      <c r="AA108" s="213"/>
      <c r="AB108" s="211"/>
      <c r="AC108" s="211"/>
      <c r="AD108" s="211"/>
      <c r="AE108" s="211"/>
      <c r="AF108" s="211"/>
      <c r="AG108" s="211"/>
      <c r="AH108" s="211"/>
      <c r="AI108" s="211"/>
      <c r="AJ108" s="211"/>
      <c r="AK108" s="211"/>
      <c r="AL108" s="211"/>
      <c r="AM108" s="211"/>
      <c r="AN108" s="211"/>
    </row>
    <row r="109" spans="2:40" s="7" customFormat="1" ht="12" hidden="1" customHeight="1" outlineLevel="2">
      <c r="B109" s="245"/>
      <c r="C109" s="243" t="s">
        <v>853</v>
      </c>
      <c r="D109" s="213"/>
      <c r="E109" s="213"/>
      <c r="F109" s="213"/>
      <c r="G109" s="213"/>
      <c r="H109" s="213"/>
      <c r="I109" s="213"/>
      <c r="J109" s="213"/>
      <c r="K109" s="213"/>
      <c r="L109" s="213"/>
      <c r="M109" s="213"/>
      <c r="N109" s="213"/>
      <c r="O109" s="213"/>
      <c r="P109" s="213"/>
      <c r="Q109" s="213"/>
      <c r="R109" s="213"/>
      <c r="S109" s="213"/>
      <c r="T109" s="213"/>
      <c r="U109" s="213"/>
      <c r="V109" s="213"/>
      <c r="W109" s="213"/>
      <c r="X109" s="213"/>
      <c r="Y109" s="213"/>
      <c r="Z109" s="213"/>
      <c r="AA109" s="213"/>
      <c r="AB109" s="213"/>
      <c r="AC109" s="211"/>
    </row>
    <row r="110" spans="2:40" s="7" customFormat="1" ht="12" hidden="1" customHeight="1" outlineLevel="2">
      <c r="B110" s="239"/>
      <c r="C110" s="214" t="s">
        <v>850</v>
      </c>
      <c r="D110" s="214"/>
      <c r="E110" s="196" t="s">
        <v>753</v>
      </c>
      <c r="F110" s="196" t="s">
        <v>754</v>
      </c>
      <c r="G110" s="196" t="s">
        <v>755</v>
      </c>
      <c r="H110" s="196" t="s">
        <v>756</v>
      </c>
      <c r="I110" s="196" t="s">
        <v>757</v>
      </c>
      <c r="J110" s="196" t="s">
        <v>758</v>
      </c>
      <c r="K110" s="196" t="s">
        <v>759</v>
      </c>
      <c r="L110" s="196" t="s">
        <v>760</v>
      </c>
      <c r="M110" s="196" t="s">
        <v>761</v>
      </c>
      <c r="N110" s="196" t="s">
        <v>762</v>
      </c>
      <c r="O110" s="196" t="s">
        <v>763</v>
      </c>
      <c r="P110" s="196" t="s">
        <v>764</v>
      </c>
      <c r="Q110" s="196" t="s">
        <v>765</v>
      </c>
      <c r="R110" s="196" t="s">
        <v>766</v>
      </c>
      <c r="S110" s="196" t="s">
        <v>767</v>
      </c>
      <c r="T110" s="196" t="s">
        <v>768</v>
      </c>
      <c r="U110" s="196" t="s">
        <v>769</v>
      </c>
      <c r="V110" s="196" t="s">
        <v>770</v>
      </c>
      <c r="W110" s="196" t="s">
        <v>771</v>
      </c>
      <c r="X110" s="196" t="s">
        <v>772</v>
      </c>
      <c r="Y110" s="196" t="s">
        <v>773</v>
      </c>
      <c r="Z110" s="196" t="s">
        <v>774</v>
      </c>
      <c r="AA110" s="196" t="s">
        <v>775</v>
      </c>
      <c r="AB110" s="196" t="s">
        <v>776</v>
      </c>
      <c r="AC110" s="196" t="s">
        <v>777</v>
      </c>
      <c r="AD110" s="196" t="s">
        <v>778</v>
      </c>
      <c r="AE110" s="196" t="s">
        <v>779</v>
      </c>
      <c r="AF110" s="196" t="s">
        <v>780</v>
      </c>
      <c r="AG110" s="196" t="s">
        <v>781</v>
      </c>
      <c r="AH110" s="196" t="s">
        <v>782</v>
      </c>
      <c r="AI110" s="196" t="s">
        <v>783</v>
      </c>
      <c r="AJ110" s="196" t="s">
        <v>784</v>
      </c>
      <c r="AK110" s="196" t="s">
        <v>785</v>
      </c>
      <c r="AL110" s="196" t="s">
        <v>786</v>
      </c>
      <c r="AM110" s="196" t="s">
        <v>787</v>
      </c>
      <c r="AN110" s="196" t="s">
        <v>788</v>
      </c>
    </row>
    <row r="111" spans="2:40" s="7" customFormat="1" ht="12" hidden="1" customHeight="1" outlineLevel="2">
      <c r="B111" s="239"/>
      <c r="C111" s="246" t="s">
        <v>851</v>
      </c>
      <c r="D111" s="212"/>
      <c r="E111" s="344">
        <v>8.536585365853655E-2</v>
      </c>
      <c r="F111" s="344">
        <v>0.36933797909407662</v>
      </c>
      <c r="G111" s="344">
        <v>0.56445993031358888</v>
      </c>
      <c r="H111" s="344">
        <v>0.67770034843205573</v>
      </c>
      <c r="I111" s="344">
        <v>0.74912891986062724</v>
      </c>
      <c r="J111" s="344">
        <v>0.79616724738675959</v>
      </c>
      <c r="K111" s="344">
        <v>0.82752613240418116</v>
      </c>
      <c r="L111" s="344">
        <v>0.85888501742160273</v>
      </c>
      <c r="M111" s="344">
        <v>0.89198606271777003</v>
      </c>
      <c r="N111" s="344">
        <v>0.91289198606271782</v>
      </c>
      <c r="O111" s="344">
        <v>0.9285714285714286</v>
      </c>
      <c r="P111" s="344">
        <v>0.93031358885017423</v>
      </c>
      <c r="Q111" s="344">
        <v>0.93554006968641112</v>
      </c>
      <c r="R111" s="344">
        <v>0.94250871080139376</v>
      </c>
      <c r="S111" s="344">
        <v>0.94425087108013939</v>
      </c>
      <c r="T111" s="344">
        <v>0.95296167247386765</v>
      </c>
      <c r="U111" s="344">
        <v>0.96515679442508706</v>
      </c>
      <c r="V111" s="344">
        <v>0.97735191637630658</v>
      </c>
      <c r="W111" s="344">
        <v>0.98257839721254359</v>
      </c>
      <c r="X111" s="344">
        <v>0.98432055749128922</v>
      </c>
      <c r="Y111" s="344">
        <v>0.99</v>
      </c>
      <c r="Z111" s="344">
        <v>0.99</v>
      </c>
      <c r="AA111" s="345">
        <f t="shared" ref="AA111:AB111" si="80">Z111</f>
        <v>0.99</v>
      </c>
      <c r="AB111" s="345">
        <f t="shared" si="80"/>
        <v>0.99</v>
      </c>
      <c r="AC111" s="345">
        <f>AB111</f>
        <v>0.99</v>
      </c>
      <c r="AD111" s="345">
        <f t="shared" ref="AD111:AN111" si="81">AC111</f>
        <v>0.99</v>
      </c>
      <c r="AE111" s="345">
        <f t="shared" si="81"/>
        <v>0.99</v>
      </c>
      <c r="AF111" s="345">
        <f t="shared" si="81"/>
        <v>0.99</v>
      </c>
      <c r="AG111" s="345">
        <f t="shared" si="81"/>
        <v>0.99</v>
      </c>
      <c r="AH111" s="345">
        <f t="shared" si="81"/>
        <v>0.99</v>
      </c>
      <c r="AI111" s="345">
        <f t="shared" si="81"/>
        <v>0.99</v>
      </c>
      <c r="AJ111" s="345">
        <f t="shared" si="81"/>
        <v>0.99</v>
      </c>
      <c r="AK111" s="345">
        <f t="shared" si="81"/>
        <v>0.99</v>
      </c>
      <c r="AL111" s="345">
        <f t="shared" si="81"/>
        <v>0.99</v>
      </c>
      <c r="AM111" s="345">
        <f t="shared" si="81"/>
        <v>0.99</v>
      </c>
      <c r="AN111" s="345">
        <f t="shared" si="81"/>
        <v>0.99</v>
      </c>
    </row>
    <row r="112" spans="2:40" s="7" customFormat="1" ht="12" hidden="1" customHeight="1" outlineLevel="2">
      <c r="B112" s="239"/>
      <c r="C112" s="214" t="s">
        <v>852</v>
      </c>
      <c r="D112" s="212"/>
      <c r="E112" s="211">
        <f>86*33%</f>
        <v>28.380000000000003</v>
      </c>
      <c r="F112" s="211">
        <f>E112*98%</f>
        <v>27.8124</v>
      </c>
      <c r="G112" s="211">
        <f>F112*98%</f>
        <v>27.256152</v>
      </c>
      <c r="H112" s="211">
        <f t="shared" ref="H112:AN112" si="82">G112*98%</f>
        <v>26.71102896</v>
      </c>
      <c r="I112" s="211">
        <f t="shared" si="82"/>
        <v>26.176808380800001</v>
      </c>
      <c r="J112" s="211">
        <f t="shared" si="82"/>
        <v>25.653272213184</v>
      </c>
      <c r="K112" s="211">
        <f t="shared" si="82"/>
        <v>25.140206768920319</v>
      </c>
      <c r="L112" s="211">
        <f t="shared" si="82"/>
        <v>24.63740263354191</v>
      </c>
      <c r="M112" s="211">
        <f t="shared" si="82"/>
        <v>24.144654580871073</v>
      </c>
      <c r="N112" s="211">
        <f t="shared" si="82"/>
        <v>23.661761489253649</v>
      </c>
      <c r="O112" s="211">
        <f t="shared" si="82"/>
        <v>23.188526259468578</v>
      </c>
      <c r="P112" s="211">
        <f t="shared" si="82"/>
        <v>22.724755734279206</v>
      </c>
      <c r="Q112" s="211">
        <f t="shared" si="82"/>
        <v>22.270260619593621</v>
      </c>
      <c r="R112" s="211">
        <f t="shared" si="82"/>
        <v>21.824855407201749</v>
      </c>
      <c r="S112" s="211">
        <f t="shared" si="82"/>
        <v>21.388358299057714</v>
      </c>
      <c r="T112" s="211">
        <f t="shared" si="82"/>
        <v>20.960591133076559</v>
      </c>
      <c r="U112" s="211">
        <f t="shared" si="82"/>
        <v>20.541379310415028</v>
      </c>
      <c r="V112" s="211">
        <f t="shared" si="82"/>
        <v>20.130551724206725</v>
      </c>
      <c r="W112" s="211">
        <f t="shared" si="82"/>
        <v>19.72794068972259</v>
      </c>
      <c r="X112" s="211">
        <f t="shared" si="82"/>
        <v>19.33338187592814</v>
      </c>
      <c r="Y112" s="211">
        <f t="shared" si="82"/>
        <v>18.946714238409577</v>
      </c>
      <c r="Z112" s="211">
        <f t="shared" si="82"/>
        <v>18.567779953641384</v>
      </c>
      <c r="AA112" s="211">
        <f t="shared" si="82"/>
        <v>18.196424354568556</v>
      </c>
      <c r="AB112" s="211">
        <f t="shared" si="82"/>
        <v>17.832495867477185</v>
      </c>
      <c r="AC112" s="211">
        <f t="shared" si="82"/>
        <v>17.475845950127642</v>
      </c>
      <c r="AD112" s="211">
        <f t="shared" si="82"/>
        <v>17.126329031125088</v>
      </c>
      <c r="AE112" s="211">
        <f t="shared" si="82"/>
        <v>16.783802450502588</v>
      </c>
      <c r="AF112" s="211">
        <f t="shared" si="82"/>
        <v>16.448126401492537</v>
      </c>
      <c r="AG112" s="211">
        <f t="shared" si="82"/>
        <v>16.119163873462686</v>
      </c>
      <c r="AH112" s="211">
        <f t="shared" si="82"/>
        <v>15.796780595993432</v>
      </c>
      <c r="AI112" s="211">
        <f t="shared" si="82"/>
        <v>15.480844984073563</v>
      </c>
      <c r="AJ112" s="211">
        <f t="shared" si="82"/>
        <v>15.171228084392093</v>
      </c>
      <c r="AK112" s="211">
        <f t="shared" si="82"/>
        <v>14.86780352270425</v>
      </c>
      <c r="AL112" s="211">
        <f t="shared" si="82"/>
        <v>14.570447452250164</v>
      </c>
      <c r="AM112" s="211">
        <f t="shared" si="82"/>
        <v>14.279038503205161</v>
      </c>
      <c r="AN112" s="211">
        <f t="shared" si="82"/>
        <v>13.993457733141058</v>
      </c>
    </row>
    <row r="113" spans="2:40" s="7" customFormat="1" ht="12" hidden="1" customHeight="1" outlineLevel="2">
      <c r="B113" s="245"/>
      <c r="C113" s="213" t="s">
        <v>753</v>
      </c>
      <c r="D113" s="213"/>
      <c r="E113" s="211">
        <f>INDEX($C$44:$AN$66,MATCH("New Customers 1MS",$C$44:$C$66,0),MATCH($C113,$C$44:$AN$44,0))</f>
        <v>0</v>
      </c>
      <c r="F113" s="211">
        <f t="shared" ref="F113:AN113" si="83">$E$113*(E111)</f>
        <v>0</v>
      </c>
      <c r="G113" s="211">
        <f t="shared" si="83"/>
        <v>0</v>
      </c>
      <c r="H113" s="211">
        <f t="shared" si="83"/>
        <v>0</v>
      </c>
      <c r="I113" s="211">
        <f t="shared" si="83"/>
        <v>0</v>
      </c>
      <c r="J113" s="211">
        <f t="shared" si="83"/>
        <v>0</v>
      </c>
      <c r="K113" s="211">
        <f t="shared" si="83"/>
        <v>0</v>
      </c>
      <c r="L113" s="211">
        <f t="shared" si="83"/>
        <v>0</v>
      </c>
      <c r="M113" s="211">
        <f t="shared" si="83"/>
        <v>0</v>
      </c>
      <c r="N113" s="211">
        <f t="shared" si="83"/>
        <v>0</v>
      </c>
      <c r="O113" s="211">
        <f t="shared" si="83"/>
        <v>0</v>
      </c>
      <c r="P113" s="211">
        <f t="shared" si="83"/>
        <v>0</v>
      </c>
      <c r="Q113" s="211">
        <f t="shared" si="83"/>
        <v>0</v>
      </c>
      <c r="R113" s="211">
        <f t="shared" si="83"/>
        <v>0</v>
      </c>
      <c r="S113" s="211">
        <f t="shared" si="83"/>
        <v>0</v>
      </c>
      <c r="T113" s="211">
        <f t="shared" si="83"/>
        <v>0</v>
      </c>
      <c r="U113" s="211">
        <f t="shared" si="83"/>
        <v>0</v>
      </c>
      <c r="V113" s="211">
        <f t="shared" si="83"/>
        <v>0</v>
      </c>
      <c r="W113" s="211">
        <f t="shared" si="83"/>
        <v>0</v>
      </c>
      <c r="X113" s="211">
        <f t="shared" si="83"/>
        <v>0</v>
      </c>
      <c r="Y113" s="211">
        <f t="shared" si="83"/>
        <v>0</v>
      </c>
      <c r="Z113" s="211">
        <f t="shared" si="83"/>
        <v>0</v>
      </c>
      <c r="AA113" s="211">
        <f t="shared" si="83"/>
        <v>0</v>
      </c>
      <c r="AB113" s="211">
        <f t="shared" si="83"/>
        <v>0</v>
      </c>
      <c r="AC113" s="211">
        <f t="shared" si="83"/>
        <v>0</v>
      </c>
      <c r="AD113" s="211">
        <f t="shared" si="83"/>
        <v>0</v>
      </c>
      <c r="AE113" s="211">
        <f t="shared" si="83"/>
        <v>0</v>
      </c>
      <c r="AF113" s="211">
        <f t="shared" si="83"/>
        <v>0</v>
      </c>
      <c r="AG113" s="211">
        <f t="shared" si="83"/>
        <v>0</v>
      </c>
      <c r="AH113" s="211">
        <f t="shared" si="83"/>
        <v>0</v>
      </c>
      <c r="AI113" s="211">
        <f t="shared" si="83"/>
        <v>0</v>
      </c>
      <c r="AJ113" s="211">
        <f t="shared" si="83"/>
        <v>0</v>
      </c>
      <c r="AK113" s="211">
        <f t="shared" si="83"/>
        <v>0</v>
      </c>
      <c r="AL113" s="211">
        <f t="shared" si="83"/>
        <v>0</v>
      </c>
      <c r="AM113" s="211">
        <f t="shared" si="83"/>
        <v>0</v>
      </c>
      <c r="AN113" s="211">
        <f t="shared" si="83"/>
        <v>0</v>
      </c>
    </row>
    <row r="114" spans="2:40" s="7" customFormat="1" ht="12" hidden="1" customHeight="1" outlineLevel="2">
      <c r="B114" s="245"/>
      <c r="C114" s="213" t="s">
        <v>754</v>
      </c>
      <c r="D114" s="213"/>
      <c r="E114" s="213"/>
      <c r="F114" s="211">
        <f>INDEX($C$44:$AN$66,MATCH("New Customers 1MS",$C$44:$C$66,0),MATCH($C114,$C$44:$AN$44,0))</f>
        <v>0</v>
      </c>
      <c r="G114" s="211">
        <f t="shared" ref="G114:AN114" si="84">$F$114*(E111)</f>
        <v>0</v>
      </c>
      <c r="H114" s="211">
        <f t="shared" si="84"/>
        <v>0</v>
      </c>
      <c r="I114" s="211">
        <f t="shared" si="84"/>
        <v>0</v>
      </c>
      <c r="J114" s="211">
        <f t="shared" si="84"/>
        <v>0</v>
      </c>
      <c r="K114" s="211">
        <f t="shared" si="84"/>
        <v>0</v>
      </c>
      <c r="L114" s="211">
        <f t="shared" si="84"/>
        <v>0</v>
      </c>
      <c r="M114" s="211">
        <f t="shared" si="84"/>
        <v>0</v>
      </c>
      <c r="N114" s="211">
        <f t="shared" si="84"/>
        <v>0</v>
      </c>
      <c r="O114" s="211">
        <f t="shared" si="84"/>
        <v>0</v>
      </c>
      <c r="P114" s="211">
        <f t="shared" si="84"/>
        <v>0</v>
      </c>
      <c r="Q114" s="211">
        <f t="shared" si="84"/>
        <v>0</v>
      </c>
      <c r="R114" s="211">
        <f t="shared" si="84"/>
        <v>0</v>
      </c>
      <c r="S114" s="211">
        <f t="shared" si="84"/>
        <v>0</v>
      </c>
      <c r="T114" s="211">
        <f t="shared" si="84"/>
        <v>0</v>
      </c>
      <c r="U114" s="211">
        <f t="shared" si="84"/>
        <v>0</v>
      </c>
      <c r="V114" s="211">
        <f t="shared" si="84"/>
        <v>0</v>
      </c>
      <c r="W114" s="211">
        <f t="shared" si="84"/>
        <v>0</v>
      </c>
      <c r="X114" s="211">
        <f t="shared" si="84"/>
        <v>0</v>
      </c>
      <c r="Y114" s="211">
        <f t="shared" si="84"/>
        <v>0</v>
      </c>
      <c r="Z114" s="211">
        <f t="shared" si="84"/>
        <v>0</v>
      </c>
      <c r="AA114" s="211">
        <f t="shared" si="84"/>
        <v>0</v>
      </c>
      <c r="AB114" s="211">
        <f t="shared" si="84"/>
        <v>0</v>
      </c>
      <c r="AC114" s="211">
        <f t="shared" si="84"/>
        <v>0</v>
      </c>
      <c r="AD114" s="211">
        <f t="shared" si="84"/>
        <v>0</v>
      </c>
      <c r="AE114" s="211">
        <f t="shared" si="84"/>
        <v>0</v>
      </c>
      <c r="AF114" s="211">
        <f t="shared" si="84"/>
        <v>0</v>
      </c>
      <c r="AG114" s="211">
        <f t="shared" si="84"/>
        <v>0</v>
      </c>
      <c r="AH114" s="211">
        <f t="shared" si="84"/>
        <v>0</v>
      </c>
      <c r="AI114" s="211">
        <f t="shared" si="84"/>
        <v>0</v>
      </c>
      <c r="AJ114" s="211">
        <f t="shared" si="84"/>
        <v>0</v>
      </c>
      <c r="AK114" s="211">
        <f t="shared" si="84"/>
        <v>0</v>
      </c>
      <c r="AL114" s="211">
        <f t="shared" si="84"/>
        <v>0</v>
      </c>
      <c r="AM114" s="211">
        <f t="shared" si="84"/>
        <v>0</v>
      </c>
      <c r="AN114" s="211">
        <f t="shared" si="84"/>
        <v>0</v>
      </c>
    </row>
    <row r="115" spans="2:40" s="7" customFormat="1" ht="12" hidden="1" customHeight="1" outlineLevel="2">
      <c r="B115" s="245"/>
      <c r="C115" s="213" t="s">
        <v>755</v>
      </c>
      <c r="D115" s="213"/>
      <c r="E115" s="213"/>
      <c r="F115" s="213"/>
      <c r="G115" s="211">
        <f>INDEX($C$44:$AN$66,MATCH("New Customers 1MS",$C$44:$C$66,0),MATCH($C115,$C$44:$AN$44,0))</f>
        <v>0</v>
      </c>
      <c r="H115" s="211">
        <f t="shared" ref="H115:AN115" si="85">$G$115*(E111)</f>
        <v>0</v>
      </c>
      <c r="I115" s="211">
        <f t="shared" si="85"/>
        <v>0</v>
      </c>
      <c r="J115" s="211">
        <f t="shared" si="85"/>
        <v>0</v>
      </c>
      <c r="K115" s="211">
        <f t="shared" si="85"/>
        <v>0</v>
      </c>
      <c r="L115" s="211">
        <f t="shared" si="85"/>
        <v>0</v>
      </c>
      <c r="M115" s="211">
        <f t="shared" si="85"/>
        <v>0</v>
      </c>
      <c r="N115" s="211">
        <f t="shared" si="85"/>
        <v>0</v>
      </c>
      <c r="O115" s="211">
        <f t="shared" si="85"/>
        <v>0</v>
      </c>
      <c r="P115" s="211">
        <f t="shared" si="85"/>
        <v>0</v>
      </c>
      <c r="Q115" s="211">
        <f t="shared" si="85"/>
        <v>0</v>
      </c>
      <c r="R115" s="211">
        <f t="shared" si="85"/>
        <v>0</v>
      </c>
      <c r="S115" s="211">
        <f t="shared" si="85"/>
        <v>0</v>
      </c>
      <c r="T115" s="211">
        <f t="shared" si="85"/>
        <v>0</v>
      </c>
      <c r="U115" s="211">
        <f t="shared" si="85"/>
        <v>0</v>
      </c>
      <c r="V115" s="211">
        <f t="shared" si="85"/>
        <v>0</v>
      </c>
      <c r="W115" s="211">
        <f t="shared" si="85"/>
        <v>0</v>
      </c>
      <c r="X115" s="211">
        <f t="shared" si="85"/>
        <v>0</v>
      </c>
      <c r="Y115" s="211">
        <f t="shared" si="85"/>
        <v>0</v>
      </c>
      <c r="Z115" s="211">
        <f t="shared" si="85"/>
        <v>0</v>
      </c>
      <c r="AA115" s="211">
        <f t="shared" si="85"/>
        <v>0</v>
      </c>
      <c r="AB115" s="211">
        <f t="shared" si="85"/>
        <v>0</v>
      </c>
      <c r="AC115" s="211">
        <f t="shared" si="85"/>
        <v>0</v>
      </c>
      <c r="AD115" s="211">
        <f t="shared" si="85"/>
        <v>0</v>
      </c>
      <c r="AE115" s="211">
        <f t="shared" si="85"/>
        <v>0</v>
      </c>
      <c r="AF115" s="211">
        <f t="shared" si="85"/>
        <v>0</v>
      </c>
      <c r="AG115" s="211">
        <f t="shared" si="85"/>
        <v>0</v>
      </c>
      <c r="AH115" s="211">
        <f t="shared" si="85"/>
        <v>0</v>
      </c>
      <c r="AI115" s="211">
        <f t="shared" si="85"/>
        <v>0</v>
      </c>
      <c r="AJ115" s="211">
        <f t="shared" si="85"/>
        <v>0</v>
      </c>
      <c r="AK115" s="211">
        <f t="shared" si="85"/>
        <v>0</v>
      </c>
      <c r="AL115" s="211">
        <f t="shared" si="85"/>
        <v>0</v>
      </c>
      <c r="AM115" s="211">
        <f t="shared" si="85"/>
        <v>0</v>
      </c>
      <c r="AN115" s="211">
        <f t="shared" si="85"/>
        <v>0</v>
      </c>
    </row>
    <row r="116" spans="2:40" s="7" customFormat="1" ht="12" hidden="1" customHeight="1" outlineLevel="2">
      <c r="B116" s="245"/>
      <c r="C116" s="213" t="s">
        <v>756</v>
      </c>
      <c r="D116" s="213"/>
      <c r="E116" s="213"/>
      <c r="F116" s="213"/>
      <c r="G116" s="213"/>
      <c r="H116" s="211">
        <f>INDEX($C$44:$AN$66,MATCH("New Customers 1MS",$C$44:$C$66,0),MATCH($C116,$C$44:$AN$44,0))</f>
        <v>0</v>
      </c>
      <c r="I116" s="211">
        <f t="shared" ref="I116:AN116" si="86">$H$116*(E111)</f>
        <v>0</v>
      </c>
      <c r="J116" s="211">
        <f t="shared" si="86"/>
        <v>0</v>
      </c>
      <c r="K116" s="211">
        <f t="shared" si="86"/>
        <v>0</v>
      </c>
      <c r="L116" s="211">
        <f t="shared" si="86"/>
        <v>0</v>
      </c>
      <c r="M116" s="211">
        <f t="shared" si="86"/>
        <v>0</v>
      </c>
      <c r="N116" s="211">
        <f t="shared" si="86"/>
        <v>0</v>
      </c>
      <c r="O116" s="211">
        <f t="shared" si="86"/>
        <v>0</v>
      </c>
      <c r="P116" s="211">
        <f t="shared" si="86"/>
        <v>0</v>
      </c>
      <c r="Q116" s="211">
        <f t="shared" si="86"/>
        <v>0</v>
      </c>
      <c r="R116" s="211">
        <f t="shared" si="86"/>
        <v>0</v>
      </c>
      <c r="S116" s="211">
        <f t="shared" si="86"/>
        <v>0</v>
      </c>
      <c r="T116" s="211">
        <f t="shared" si="86"/>
        <v>0</v>
      </c>
      <c r="U116" s="211">
        <f t="shared" si="86"/>
        <v>0</v>
      </c>
      <c r="V116" s="211">
        <f t="shared" si="86"/>
        <v>0</v>
      </c>
      <c r="W116" s="211">
        <f t="shared" si="86"/>
        <v>0</v>
      </c>
      <c r="X116" s="211">
        <f t="shared" si="86"/>
        <v>0</v>
      </c>
      <c r="Y116" s="211">
        <f t="shared" si="86"/>
        <v>0</v>
      </c>
      <c r="Z116" s="211">
        <f t="shared" si="86"/>
        <v>0</v>
      </c>
      <c r="AA116" s="211">
        <f t="shared" si="86"/>
        <v>0</v>
      </c>
      <c r="AB116" s="211">
        <f t="shared" si="86"/>
        <v>0</v>
      </c>
      <c r="AC116" s="211">
        <f t="shared" si="86"/>
        <v>0</v>
      </c>
      <c r="AD116" s="211">
        <f t="shared" si="86"/>
        <v>0</v>
      </c>
      <c r="AE116" s="211">
        <f t="shared" si="86"/>
        <v>0</v>
      </c>
      <c r="AF116" s="211">
        <f t="shared" si="86"/>
        <v>0</v>
      </c>
      <c r="AG116" s="211">
        <f t="shared" si="86"/>
        <v>0</v>
      </c>
      <c r="AH116" s="211">
        <f t="shared" si="86"/>
        <v>0</v>
      </c>
      <c r="AI116" s="211">
        <f t="shared" si="86"/>
        <v>0</v>
      </c>
      <c r="AJ116" s="211">
        <f t="shared" si="86"/>
        <v>0</v>
      </c>
      <c r="AK116" s="211">
        <f t="shared" si="86"/>
        <v>0</v>
      </c>
      <c r="AL116" s="211">
        <f t="shared" si="86"/>
        <v>0</v>
      </c>
      <c r="AM116" s="211">
        <f t="shared" si="86"/>
        <v>0</v>
      </c>
      <c r="AN116" s="211">
        <f t="shared" si="86"/>
        <v>0</v>
      </c>
    </row>
    <row r="117" spans="2:40" s="7" customFormat="1" ht="12" hidden="1" customHeight="1" outlineLevel="2">
      <c r="B117" s="245"/>
      <c r="C117" s="213" t="s">
        <v>757</v>
      </c>
      <c r="D117" s="213"/>
      <c r="E117" s="213"/>
      <c r="F117" s="213"/>
      <c r="G117" s="213"/>
      <c r="H117" s="213"/>
      <c r="I117" s="211">
        <f>INDEX($C$44:$AN$66,MATCH("New Customers 1MS",$C$44:$C$66,0),MATCH($C117,$C$44:$AN$44,0))</f>
        <v>0</v>
      </c>
      <c r="J117" s="211">
        <f t="shared" ref="J117:AN117" si="87">$I$117*(E111)</f>
        <v>0</v>
      </c>
      <c r="K117" s="211">
        <f t="shared" si="87"/>
        <v>0</v>
      </c>
      <c r="L117" s="211">
        <f t="shared" si="87"/>
        <v>0</v>
      </c>
      <c r="M117" s="211">
        <f t="shared" si="87"/>
        <v>0</v>
      </c>
      <c r="N117" s="211">
        <f t="shared" si="87"/>
        <v>0</v>
      </c>
      <c r="O117" s="211">
        <f t="shared" si="87"/>
        <v>0</v>
      </c>
      <c r="P117" s="211">
        <f t="shared" si="87"/>
        <v>0</v>
      </c>
      <c r="Q117" s="211">
        <f t="shared" si="87"/>
        <v>0</v>
      </c>
      <c r="R117" s="211">
        <f t="shared" si="87"/>
        <v>0</v>
      </c>
      <c r="S117" s="211">
        <f t="shared" si="87"/>
        <v>0</v>
      </c>
      <c r="T117" s="211">
        <f t="shared" si="87"/>
        <v>0</v>
      </c>
      <c r="U117" s="211">
        <f t="shared" si="87"/>
        <v>0</v>
      </c>
      <c r="V117" s="211">
        <f t="shared" si="87"/>
        <v>0</v>
      </c>
      <c r="W117" s="211">
        <f t="shared" si="87"/>
        <v>0</v>
      </c>
      <c r="X117" s="211">
        <f t="shared" si="87"/>
        <v>0</v>
      </c>
      <c r="Y117" s="211">
        <f t="shared" si="87"/>
        <v>0</v>
      </c>
      <c r="Z117" s="211">
        <f t="shared" si="87"/>
        <v>0</v>
      </c>
      <c r="AA117" s="211">
        <f t="shared" si="87"/>
        <v>0</v>
      </c>
      <c r="AB117" s="211">
        <f t="shared" si="87"/>
        <v>0</v>
      </c>
      <c r="AC117" s="211">
        <f t="shared" si="87"/>
        <v>0</v>
      </c>
      <c r="AD117" s="211">
        <f t="shared" si="87"/>
        <v>0</v>
      </c>
      <c r="AE117" s="211">
        <f t="shared" si="87"/>
        <v>0</v>
      </c>
      <c r="AF117" s="211">
        <f t="shared" si="87"/>
        <v>0</v>
      </c>
      <c r="AG117" s="211">
        <f t="shared" si="87"/>
        <v>0</v>
      </c>
      <c r="AH117" s="211">
        <f t="shared" si="87"/>
        <v>0</v>
      </c>
      <c r="AI117" s="211">
        <f t="shared" si="87"/>
        <v>0</v>
      </c>
      <c r="AJ117" s="211">
        <f t="shared" si="87"/>
        <v>0</v>
      </c>
      <c r="AK117" s="211">
        <f t="shared" si="87"/>
        <v>0</v>
      </c>
      <c r="AL117" s="211">
        <f t="shared" si="87"/>
        <v>0</v>
      </c>
      <c r="AM117" s="211">
        <f t="shared" si="87"/>
        <v>0</v>
      </c>
      <c r="AN117" s="211">
        <f t="shared" si="87"/>
        <v>0</v>
      </c>
    </row>
    <row r="118" spans="2:40" s="7" customFormat="1" ht="12" hidden="1" customHeight="1" outlineLevel="2">
      <c r="B118" s="245"/>
      <c r="C118" s="213" t="s">
        <v>758</v>
      </c>
      <c r="D118" s="213"/>
      <c r="E118" s="213"/>
      <c r="F118" s="213"/>
      <c r="G118" s="213"/>
      <c r="H118" s="213"/>
      <c r="I118" s="213"/>
      <c r="J118" s="211">
        <f>INDEX($C$44:$AN$66,MATCH("New Customers 1MS",$C$44:$C$66,0),MATCH($C118,$C$44:$AN$44,0))</f>
        <v>7</v>
      </c>
      <c r="K118" s="211">
        <f t="shared" ref="K118:AN118" si="88">$J$118*(E111)</f>
        <v>0.59756097560975585</v>
      </c>
      <c r="L118" s="211">
        <f t="shared" si="88"/>
        <v>2.5853658536585362</v>
      </c>
      <c r="M118" s="211">
        <f t="shared" si="88"/>
        <v>3.9512195121951219</v>
      </c>
      <c r="N118" s="211">
        <f t="shared" si="88"/>
        <v>4.7439024390243905</v>
      </c>
      <c r="O118" s="211">
        <f t="shared" si="88"/>
        <v>5.2439024390243905</v>
      </c>
      <c r="P118" s="211">
        <f t="shared" si="88"/>
        <v>5.5731707317073171</v>
      </c>
      <c r="Q118" s="211">
        <f t="shared" si="88"/>
        <v>5.7926829268292686</v>
      </c>
      <c r="R118" s="211">
        <f t="shared" si="88"/>
        <v>6.0121951219512191</v>
      </c>
      <c r="S118" s="211">
        <f t="shared" si="88"/>
        <v>6.2439024390243905</v>
      </c>
      <c r="T118" s="211">
        <f t="shared" si="88"/>
        <v>6.3902439024390247</v>
      </c>
      <c r="U118" s="211">
        <f t="shared" si="88"/>
        <v>6.5</v>
      </c>
      <c r="V118" s="211">
        <f t="shared" si="88"/>
        <v>6.51219512195122</v>
      </c>
      <c r="W118" s="211">
        <f t="shared" si="88"/>
        <v>6.5487804878048781</v>
      </c>
      <c r="X118" s="211">
        <f t="shared" si="88"/>
        <v>6.5975609756097562</v>
      </c>
      <c r="Y118" s="211">
        <f t="shared" si="88"/>
        <v>6.6097560975609753</v>
      </c>
      <c r="Z118" s="211">
        <f t="shared" si="88"/>
        <v>6.6707317073170733</v>
      </c>
      <c r="AA118" s="211">
        <f t="shared" si="88"/>
        <v>6.7560975609756095</v>
      </c>
      <c r="AB118" s="211">
        <f t="shared" si="88"/>
        <v>6.8414634146341458</v>
      </c>
      <c r="AC118" s="211">
        <f t="shared" si="88"/>
        <v>6.8780487804878048</v>
      </c>
      <c r="AD118" s="211">
        <f t="shared" si="88"/>
        <v>6.8902439024390247</v>
      </c>
      <c r="AE118" s="211">
        <f t="shared" si="88"/>
        <v>6.93</v>
      </c>
      <c r="AF118" s="211">
        <f t="shared" si="88"/>
        <v>6.93</v>
      </c>
      <c r="AG118" s="211">
        <f t="shared" si="88"/>
        <v>6.93</v>
      </c>
      <c r="AH118" s="211">
        <f t="shared" si="88"/>
        <v>6.93</v>
      </c>
      <c r="AI118" s="211">
        <f t="shared" si="88"/>
        <v>6.93</v>
      </c>
      <c r="AJ118" s="211">
        <f t="shared" si="88"/>
        <v>6.93</v>
      </c>
      <c r="AK118" s="211">
        <f t="shared" si="88"/>
        <v>6.93</v>
      </c>
      <c r="AL118" s="211">
        <f t="shared" si="88"/>
        <v>6.93</v>
      </c>
      <c r="AM118" s="211">
        <f t="shared" si="88"/>
        <v>6.93</v>
      </c>
      <c r="AN118" s="211">
        <f t="shared" si="88"/>
        <v>6.93</v>
      </c>
    </row>
    <row r="119" spans="2:40" s="7" customFormat="1" ht="12" hidden="1" customHeight="1" outlineLevel="2">
      <c r="B119" s="245"/>
      <c r="C119" s="213" t="s">
        <v>759</v>
      </c>
      <c r="D119" s="213"/>
      <c r="E119" s="213"/>
      <c r="F119" s="213"/>
      <c r="G119" s="213"/>
      <c r="H119" s="213"/>
      <c r="I119" s="213"/>
      <c r="J119" s="213"/>
      <c r="K119" s="211">
        <f>INDEX($C$44:$AN$66,MATCH("New Customers 1MS",$C$44:$C$66,0),MATCH($C119,$C$44:$AN$44,0))</f>
        <v>1.3333333333333335</v>
      </c>
      <c r="L119" s="211">
        <f t="shared" ref="L119:AN119" si="89">$K$119*(E111)</f>
        <v>0.11382113821138208</v>
      </c>
      <c r="M119" s="211">
        <f t="shared" si="89"/>
        <v>0.49245063879210221</v>
      </c>
      <c r="N119" s="211">
        <f t="shared" si="89"/>
        <v>0.75261324041811861</v>
      </c>
      <c r="O119" s="211">
        <f t="shared" si="89"/>
        <v>0.90360046457607446</v>
      </c>
      <c r="P119" s="211">
        <f t="shared" si="89"/>
        <v>0.9988385598141698</v>
      </c>
      <c r="Q119" s="211">
        <f t="shared" si="89"/>
        <v>1.0615563298490129</v>
      </c>
      <c r="R119" s="211">
        <f t="shared" si="89"/>
        <v>1.1033681765389083</v>
      </c>
      <c r="S119" s="211">
        <f t="shared" si="89"/>
        <v>1.1451800232288039</v>
      </c>
      <c r="T119" s="211">
        <f t="shared" si="89"/>
        <v>1.1893147502903603</v>
      </c>
      <c r="U119" s="211">
        <f t="shared" si="89"/>
        <v>1.2171893147502906</v>
      </c>
      <c r="V119" s="211">
        <f t="shared" si="89"/>
        <v>1.2380952380952384</v>
      </c>
      <c r="W119" s="211">
        <f t="shared" si="89"/>
        <v>1.2404181184668992</v>
      </c>
      <c r="X119" s="211">
        <f t="shared" si="89"/>
        <v>1.2473867595818817</v>
      </c>
      <c r="Y119" s="211">
        <f t="shared" si="89"/>
        <v>1.2566782810685251</v>
      </c>
      <c r="Z119" s="211">
        <f t="shared" si="89"/>
        <v>1.2590011614401859</v>
      </c>
      <c r="AA119" s="211">
        <f t="shared" si="89"/>
        <v>1.2706155632984903</v>
      </c>
      <c r="AB119" s="211">
        <f t="shared" si="89"/>
        <v>1.2868757259001162</v>
      </c>
      <c r="AC119" s="211">
        <f t="shared" si="89"/>
        <v>1.3031358885017423</v>
      </c>
      <c r="AD119" s="211">
        <f t="shared" si="89"/>
        <v>1.3101045296167249</v>
      </c>
      <c r="AE119" s="211">
        <f t="shared" si="89"/>
        <v>1.3124274099883857</v>
      </c>
      <c r="AF119" s="211">
        <f t="shared" si="89"/>
        <v>1.32</v>
      </c>
      <c r="AG119" s="211">
        <f t="shared" si="89"/>
        <v>1.32</v>
      </c>
      <c r="AH119" s="211">
        <f t="shared" si="89"/>
        <v>1.32</v>
      </c>
      <c r="AI119" s="211">
        <f t="shared" si="89"/>
        <v>1.32</v>
      </c>
      <c r="AJ119" s="211">
        <f t="shared" si="89"/>
        <v>1.32</v>
      </c>
      <c r="AK119" s="211">
        <f t="shared" si="89"/>
        <v>1.32</v>
      </c>
      <c r="AL119" s="211">
        <f t="shared" si="89"/>
        <v>1.32</v>
      </c>
      <c r="AM119" s="211">
        <f t="shared" si="89"/>
        <v>1.32</v>
      </c>
      <c r="AN119" s="211">
        <f t="shared" si="89"/>
        <v>1.32</v>
      </c>
    </row>
    <row r="120" spans="2:40" s="7" customFormat="1" ht="12" hidden="1" customHeight="1" outlineLevel="2">
      <c r="B120" s="245"/>
      <c r="C120" s="213" t="s">
        <v>760</v>
      </c>
      <c r="D120" s="213"/>
      <c r="E120" s="213"/>
      <c r="F120" s="213"/>
      <c r="G120" s="213"/>
      <c r="H120" s="213"/>
      <c r="I120" s="213"/>
      <c r="J120" s="213"/>
      <c r="K120" s="213"/>
      <c r="L120" s="211">
        <f>INDEX($C$44:$AN$66,MATCH("New Customers 1MS",$C$44:$C$66,0),MATCH($C120,$C$44:$AN$44,0))</f>
        <v>1.3333333333333335</v>
      </c>
      <c r="M120" s="211">
        <f t="shared" ref="M120:AN120" si="90">$L$120*(E111)</f>
        <v>0.11382113821138208</v>
      </c>
      <c r="N120" s="211">
        <f t="shared" si="90"/>
        <v>0.49245063879210221</v>
      </c>
      <c r="O120" s="211">
        <f t="shared" si="90"/>
        <v>0.75261324041811861</v>
      </c>
      <c r="P120" s="211">
        <f t="shared" si="90"/>
        <v>0.90360046457607446</v>
      </c>
      <c r="Q120" s="211">
        <f t="shared" si="90"/>
        <v>0.9988385598141698</v>
      </c>
      <c r="R120" s="211">
        <f t="shared" si="90"/>
        <v>1.0615563298490129</v>
      </c>
      <c r="S120" s="211">
        <f t="shared" si="90"/>
        <v>1.1033681765389083</v>
      </c>
      <c r="T120" s="211">
        <f t="shared" si="90"/>
        <v>1.1451800232288039</v>
      </c>
      <c r="U120" s="211">
        <f t="shared" si="90"/>
        <v>1.1893147502903603</v>
      </c>
      <c r="V120" s="211">
        <f t="shared" si="90"/>
        <v>1.2171893147502906</v>
      </c>
      <c r="W120" s="211">
        <f t="shared" si="90"/>
        <v>1.2380952380952384</v>
      </c>
      <c r="X120" s="211">
        <f t="shared" si="90"/>
        <v>1.2404181184668992</v>
      </c>
      <c r="Y120" s="211">
        <f t="shared" si="90"/>
        <v>1.2473867595818817</v>
      </c>
      <c r="Z120" s="211">
        <f t="shared" si="90"/>
        <v>1.2566782810685251</v>
      </c>
      <c r="AA120" s="211">
        <f t="shared" si="90"/>
        <v>1.2590011614401859</v>
      </c>
      <c r="AB120" s="211">
        <f t="shared" si="90"/>
        <v>1.2706155632984903</v>
      </c>
      <c r="AC120" s="211">
        <f t="shared" si="90"/>
        <v>1.2868757259001162</v>
      </c>
      <c r="AD120" s="211">
        <f t="shared" si="90"/>
        <v>1.3031358885017423</v>
      </c>
      <c r="AE120" s="211">
        <f t="shared" si="90"/>
        <v>1.3101045296167249</v>
      </c>
      <c r="AF120" s="211">
        <f t="shared" si="90"/>
        <v>1.3124274099883857</v>
      </c>
      <c r="AG120" s="211">
        <f t="shared" si="90"/>
        <v>1.32</v>
      </c>
      <c r="AH120" s="211">
        <f t="shared" si="90"/>
        <v>1.32</v>
      </c>
      <c r="AI120" s="211">
        <f t="shared" si="90"/>
        <v>1.32</v>
      </c>
      <c r="AJ120" s="211">
        <f t="shared" si="90"/>
        <v>1.32</v>
      </c>
      <c r="AK120" s="211">
        <f t="shared" si="90"/>
        <v>1.32</v>
      </c>
      <c r="AL120" s="211">
        <f t="shared" si="90"/>
        <v>1.32</v>
      </c>
      <c r="AM120" s="211">
        <f t="shared" si="90"/>
        <v>1.32</v>
      </c>
      <c r="AN120" s="211">
        <f t="shared" si="90"/>
        <v>1.32</v>
      </c>
    </row>
    <row r="121" spans="2:40" s="7" customFormat="1" ht="12" hidden="1" customHeight="1" outlineLevel="2">
      <c r="B121" s="245"/>
      <c r="C121" s="213" t="s">
        <v>761</v>
      </c>
      <c r="D121" s="213"/>
      <c r="E121" s="213"/>
      <c r="F121" s="213"/>
      <c r="G121" s="213"/>
      <c r="H121" s="213"/>
      <c r="I121" s="213"/>
      <c r="J121" s="213"/>
      <c r="K121" s="213"/>
      <c r="L121" s="213"/>
      <c r="M121" s="211">
        <f>INDEX($C$44:$AN$66,MATCH("New Customers 1MS",$C$44:$C$66,0),MATCH($C121,$C$44:$AN$44,0))</f>
        <v>0</v>
      </c>
      <c r="N121" s="211">
        <f t="shared" ref="N121:AN121" si="91">$M$121*(E111)</f>
        <v>0</v>
      </c>
      <c r="O121" s="211">
        <f t="shared" si="91"/>
        <v>0</v>
      </c>
      <c r="P121" s="211">
        <f t="shared" si="91"/>
        <v>0</v>
      </c>
      <c r="Q121" s="211">
        <f t="shared" si="91"/>
        <v>0</v>
      </c>
      <c r="R121" s="211">
        <f t="shared" si="91"/>
        <v>0</v>
      </c>
      <c r="S121" s="211">
        <f t="shared" si="91"/>
        <v>0</v>
      </c>
      <c r="T121" s="211">
        <f t="shared" si="91"/>
        <v>0</v>
      </c>
      <c r="U121" s="211">
        <f t="shared" si="91"/>
        <v>0</v>
      </c>
      <c r="V121" s="211">
        <f t="shared" si="91"/>
        <v>0</v>
      </c>
      <c r="W121" s="211">
        <f t="shared" si="91"/>
        <v>0</v>
      </c>
      <c r="X121" s="211">
        <f t="shared" si="91"/>
        <v>0</v>
      </c>
      <c r="Y121" s="211">
        <f t="shared" si="91"/>
        <v>0</v>
      </c>
      <c r="Z121" s="211">
        <f t="shared" si="91"/>
        <v>0</v>
      </c>
      <c r="AA121" s="211">
        <f t="shared" si="91"/>
        <v>0</v>
      </c>
      <c r="AB121" s="211">
        <f t="shared" si="91"/>
        <v>0</v>
      </c>
      <c r="AC121" s="211">
        <f t="shared" si="91"/>
        <v>0</v>
      </c>
      <c r="AD121" s="211">
        <f t="shared" si="91"/>
        <v>0</v>
      </c>
      <c r="AE121" s="211">
        <f t="shared" si="91"/>
        <v>0</v>
      </c>
      <c r="AF121" s="211">
        <f t="shared" si="91"/>
        <v>0</v>
      </c>
      <c r="AG121" s="211">
        <f t="shared" si="91"/>
        <v>0</v>
      </c>
      <c r="AH121" s="211">
        <f t="shared" si="91"/>
        <v>0</v>
      </c>
      <c r="AI121" s="211">
        <f t="shared" si="91"/>
        <v>0</v>
      </c>
      <c r="AJ121" s="211">
        <f t="shared" si="91"/>
        <v>0</v>
      </c>
      <c r="AK121" s="211">
        <f t="shared" si="91"/>
        <v>0</v>
      </c>
      <c r="AL121" s="211">
        <f t="shared" si="91"/>
        <v>0</v>
      </c>
      <c r="AM121" s="211">
        <f t="shared" si="91"/>
        <v>0</v>
      </c>
      <c r="AN121" s="211">
        <f t="shared" si="91"/>
        <v>0</v>
      </c>
    </row>
    <row r="122" spans="2:40" s="7" customFormat="1" ht="12" hidden="1" customHeight="1" outlineLevel="2">
      <c r="B122" s="245"/>
      <c r="C122" s="213" t="s">
        <v>762</v>
      </c>
      <c r="D122" s="213"/>
      <c r="E122" s="213"/>
      <c r="F122" s="213"/>
      <c r="G122" s="213"/>
      <c r="H122" s="213"/>
      <c r="I122" s="213"/>
      <c r="J122" s="213"/>
      <c r="K122" s="213"/>
      <c r="L122" s="213"/>
      <c r="M122" s="213"/>
      <c r="N122" s="211">
        <f>INDEX($C$44:$AN$66,MATCH("New Customers 1MS",$C$44:$C$66,0),MATCH($C122,$C$44:$AN$44,0))</f>
        <v>0</v>
      </c>
      <c r="O122" s="211">
        <f t="shared" ref="O122:AN122" si="92">$N$122*(E111)</f>
        <v>0</v>
      </c>
      <c r="P122" s="211">
        <f t="shared" si="92"/>
        <v>0</v>
      </c>
      <c r="Q122" s="211">
        <f t="shared" si="92"/>
        <v>0</v>
      </c>
      <c r="R122" s="211">
        <f t="shared" si="92"/>
        <v>0</v>
      </c>
      <c r="S122" s="211">
        <f t="shared" si="92"/>
        <v>0</v>
      </c>
      <c r="T122" s="211">
        <f t="shared" si="92"/>
        <v>0</v>
      </c>
      <c r="U122" s="211">
        <f t="shared" si="92"/>
        <v>0</v>
      </c>
      <c r="V122" s="211">
        <f t="shared" si="92"/>
        <v>0</v>
      </c>
      <c r="W122" s="211">
        <f t="shared" si="92"/>
        <v>0</v>
      </c>
      <c r="X122" s="211">
        <f t="shared" si="92"/>
        <v>0</v>
      </c>
      <c r="Y122" s="211">
        <f t="shared" si="92"/>
        <v>0</v>
      </c>
      <c r="Z122" s="211">
        <f t="shared" si="92"/>
        <v>0</v>
      </c>
      <c r="AA122" s="211">
        <f t="shared" si="92"/>
        <v>0</v>
      </c>
      <c r="AB122" s="211">
        <f t="shared" si="92"/>
        <v>0</v>
      </c>
      <c r="AC122" s="211">
        <f t="shared" si="92"/>
        <v>0</v>
      </c>
      <c r="AD122" s="211">
        <f t="shared" si="92"/>
        <v>0</v>
      </c>
      <c r="AE122" s="211">
        <f t="shared" si="92"/>
        <v>0</v>
      </c>
      <c r="AF122" s="211">
        <f t="shared" si="92"/>
        <v>0</v>
      </c>
      <c r="AG122" s="211">
        <f t="shared" si="92"/>
        <v>0</v>
      </c>
      <c r="AH122" s="211">
        <f t="shared" si="92"/>
        <v>0</v>
      </c>
      <c r="AI122" s="211">
        <f t="shared" si="92"/>
        <v>0</v>
      </c>
      <c r="AJ122" s="211">
        <f t="shared" si="92"/>
        <v>0</v>
      </c>
      <c r="AK122" s="211">
        <f t="shared" si="92"/>
        <v>0</v>
      </c>
      <c r="AL122" s="211">
        <f t="shared" si="92"/>
        <v>0</v>
      </c>
      <c r="AM122" s="211">
        <f t="shared" si="92"/>
        <v>0</v>
      </c>
      <c r="AN122" s="211">
        <f t="shared" si="92"/>
        <v>0</v>
      </c>
    </row>
    <row r="123" spans="2:40" s="7" customFormat="1" ht="12" hidden="1" customHeight="1" outlineLevel="2">
      <c r="B123" s="245"/>
      <c r="C123" s="213" t="s">
        <v>763</v>
      </c>
      <c r="D123" s="213"/>
      <c r="E123" s="213"/>
      <c r="F123" s="213"/>
      <c r="G123" s="213"/>
      <c r="H123" s="213"/>
      <c r="I123" s="213"/>
      <c r="J123" s="213"/>
      <c r="K123" s="213"/>
      <c r="L123" s="213"/>
      <c r="M123" s="213"/>
      <c r="N123" s="213"/>
      <c r="O123" s="211">
        <f>INDEX($C$44:$AN$66,MATCH("New Customers 1MS",$C$44:$C$66,0),MATCH($C123,$C$44:$AN$44,0))</f>
        <v>0</v>
      </c>
      <c r="P123" s="211">
        <f t="shared" ref="P123:AN123" si="93">$O$123*(E111)</f>
        <v>0</v>
      </c>
      <c r="Q123" s="211">
        <f t="shared" si="93"/>
        <v>0</v>
      </c>
      <c r="R123" s="211">
        <f t="shared" si="93"/>
        <v>0</v>
      </c>
      <c r="S123" s="211">
        <f t="shared" si="93"/>
        <v>0</v>
      </c>
      <c r="T123" s="211">
        <f t="shared" si="93"/>
        <v>0</v>
      </c>
      <c r="U123" s="211">
        <f t="shared" si="93"/>
        <v>0</v>
      </c>
      <c r="V123" s="211">
        <f t="shared" si="93"/>
        <v>0</v>
      </c>
      <c r="W123" s="211">
        <f t="shared" si="93"/>
        <v>0</v>
      </c>
      <c r="X123" s="211">
        <f t="shared" si="93"/>
        <v>0</v>
      </c>
      <c r="Y123" s="211">
        <f t="shared" si="93"/>
        <v>0</v>
      </c>
      <c r="Z123" s="211">
        <f t="shared" si="93"/>
        <v>0</v>
      </c>
      <c r="AA123" s="211">
        <f t="shared" si="93"/>
        <v>0</v>
      </c>
      <c r="AB123" s="211">
        <f t="shared" si="93"/>
        <v>0</v>
      </c>
      <c r="AC123" s="211">
        <f t="shared" si="93"/>
        <v>0</v>
      </c>
      <c r="AD123" s="211">
        <f t="shared" si="93"/>
        <v>0</v>
      </c>
      <c r="AE123" s="211">
        <f t="shared" si="93"/>
        <v>0</v>
      </c>
      <c r="AF123" s="211">
        <f t="shared" si="93"/>
        <v>0</v>
      </c>
      <c r="AG123" s="211">
        <f t="shared" si="93"/>
        <v>0</v>
      </c>
      <c r="AH123" s="211">
        <f t="shared" si="93"/>
        <v>0</v>
      </c>
      <c r="AI123" s="211">
        <f t="shared" si="93"/>
        <v>0</v>
      </c>
      <c r="AJ123" s="211">
        <f t="shared" si="93"/>
        <v>0</v>
      </c>
      <c r="AK123" s="211">
        <f t="shared" si="93"/>
        <v>0</v>
      </c>
      <c r="AL123" s="211">
        <f t="shared" si="93"/>
        <v>0</v>
      </c>
      <c r="AM123" s="211">
        <f t="shared" si="93"/>
        <v>0</v>
      </c>
      <c r="AN123" s="211">
        <f t="shared" si="93"/>
        <v>0</v>
      </c>
    </row>
    <row r="124" spans="2:40" s="7" customFormat="1" ht="12" hidden="1" customHeight="1" outlineLevel="2">
      <c r="B124" s="245"/>
      <c r="C124" s="213" t="s">
        <v>764</v>
      </c>
      <c r="D124" s="213"/>
      <c r="E124" s="213"/>
      <c r="F124" s="213"/>
      <c r="G124" s="213"/>
      <c r="H124" s="213"/>
      <c r="I124" s="213"/>
      <c r="J124" s="213"/>
      <c r="K124" s="213"/>
      <c r="L124" s="213"/>
      <c r="M124" s="213"/>
      <c r="N124" s="213"/>
      <c r="O124" s="213"/>
      <c r="P124" s="211">
        <f>INDEX($C$44:$AN$66,MATCH("New Customers 1MS",$C$44:$C$66,0),MATCH($C124,$C$44:$AN$44,0))</f>
        <v>2.6595744680851063</v>
      </c>
      <c r="Q124" s="211">
        <f t="shared" ref="Q124:AN124" si="94">$P$124*(E111)</f>
        <v>0.22703684483653339</v>
      </c>
      <c r="R124" s="211">
        <f t="shared" si="94"/>
        <v>0.98228185929275691</v>
      </c>
      <c r="S124" s="211">
        <f t="shared" si="94"/>
        <v>1.5012232189191193</v>
      </c>
      <c r="T124" s="211">
        <f t="shared" si="94"/>
        <v>1.8023945437022759</v>
      </c>
      <c r="U124" s="211">
        <f t="shared" si="94"/>
        <v>1.9923641485654979</v>
      </c>
      <c r="V124" s="211">
        <f t="shared" si="94"/>
        <v>2.1174660834754242</v>
      </c>
      <c r="W124" s="211">
        <f t="shared" si="94"/>
        <v>2.2008673734153752</v>
      </c>
      <c r="X124" s="211">
        <f t="shared" si="94"/>
        <v>2.2842686633553262</v>
      </c>
      <c r="Y124" s="211">
        <f t="shared" si="94"/>
        <v>2.3723033582919415</v>
      </c>
      <c r="Z124" s="211">
        <f t="shared" si="94"/>
        <v>2.4279042182519088</v>
      </c>
      <c r="AA124" s="211">
        <f t="shared" si="94"/>
        <v>2.4696048632218845</v>
      </c>
      <c r="AB124" s="211">
        <f t="shared" si="94"/>
        <v>2.4742382682185484</v>
      </c>
      <c r="AC124" s="211">
        <f t="shared" si="94"/>
        <v>2.48813848320854</v>
      </c>
      <c r="AD124" s="211">
        <f t="shared" si="94"/>
        <v>2.506672103195196</v>
      </c>
      <c r="AE124" s="211">
        <f t="shared" si="94"/>
        <v>2.5113055081918598</v>
      </c>
      <c r="AF124" s="211">
        <f t="shared" si="94"/>
        <v>2.5344725331751801</v>
      </c>
      <c r="AG124" s="211">
        <f t="shared" si="94"/>
        <v>2.5669063681518272</v>
      </c>
      <c r="AH124" s="211">
        <f t="shared" si="94"/>
        <v>2.5993402031284747</v>
      </c>
      <c r="AI124" s="211">
        <f t="shared" si="94"/>
        <v>2.6132404181184667</v>
      </c>
      <c r="AJ124" s="211">
        <f t="shared" si="94"/>
        <v>2.6178738231151311</v>
      </c>
      <c r="AK124" s="211">
        <f t="shared" si="94"/>
        <v>2.6329787234042552</v>
      </c>
      <c r="AL124" s="211">
        <f t="shared" si="94"/>
        <v>2.6329787234042552</v>
      </c>
      <c r="AM124" s="211">
        <f t="shared" si="94"/>
        <v>2.6329787234042552</v>
      </c>
      <c r="AN124" s="211">
        <f t="shared" si="94"/>
        <v>2.6329787234042552</v>
      </c>
    </row>
    <row r="125" spans="2:40" s="7" customFormat="1" ht="12" hidden="1" customHeight="1" outlineLevel="2">
      <c r="B125" s="245"/>
      <c r="C125" s="213" t="s">
        <v>765</v>
      </c>
      <c r="D125" s="213"/>
      <c r="E125" s="213"/>
      <c r="F125" s="213"/>
      <c r="G125" s="213"/>
      <c r="H125" s="213"/>
      <c r="I125" s="213"/>
      <c r="J125" s="213"/>
      <c r="K125" s="213"/>
      <c r="L125" s="213"/>
      <c r="M125" s="213"/>
      <c r="N125" s="213"/>
      <c r="O125" s="213"/>
      <c r="P125" s="213"/>
      <c r="Q125" s="211">
        <f>INDEX($C$44:$AN$66,MATCH("New Customers 1MS",$C$44:$C$66,0),MATCH($C125,$C$44:$AN$44,0))</f>
        <v>0</v>
      </c>
      <c r="R125" s="211">
        <f t="shared" ref="R125:AN125" si="95">$Q$125*(E111)</f>
        <v>0</v>
      </c>
      <c r="S125" s="211">
        <f t="shared" si="95"/>
        <v>0</v>
      </c>
      <c r="T125" s="211">
        <f t="shared" si="95"/>
        <v>0</v>
      </c>
      <c r="U125" s="211">
        <f t="shared" si="95"/>
        <v>0</v>
      </c>
      <c r="V125" s="211">
        <f t="shared" si="95"/>
        <v>0</v>
      </c>
      <c r="W125" s="211">
        <f t="shared" si="95"/>
        <v>0</v>
      </c>
      <c r="X125" s="211">
        <f t="shared" si="95"/>
        <v>0</v>
      </c>
      <c r="Y125" s="211">
        <f t="shared" si="95"/>
        <v>0</v>
      </c>
      <c r="Z125" s="211">
        <f t="shared" si="95"/>
        <v>0</v>
      </c>
      <c r="AA125" s="211">
        <f t="shared" si="95"/>
        <v>0</v>
      </c>
      <c r="AB125" s="211">
        <f t="shared" si="95"/>
        <v>0</v>
      </c>
      <c r="AC125" s="211">
        <f t="shared" si="95"/>
        <v>0</v>
      </c>
      <c r="AD125" s="211">
        <f t="shared" si="95"/>
        <v>0</v>
      </c>
      <c r="AE125" s="211">
        <f t="shared" si="95"/>
        <v>0</v>
      </c>
      <c r="AF125" s="211">
        <f t="shared" si="95"/>
        <v>0</v>
      </c>
      <c r="AG125" s="211">
        <f t="shared" si="95"/>
        <v>0</v>
      </c>
      <c r="AH125" s="211">
        <f t="shared" si="95"/>
        <v>0</v>
      </c>
      <c r="AI125" s="211">
        <f t="shared" si="95"/>
        <v>0</v>
      </c>
      <c r="AJ125" s="211">
        <f t="shared" si="95"/>
        <v>0</v>
      </c>
      <c r="AK125" s="211">
        <f t="shared" si="95"/>
        <v>0</v>
      </c>
      <c r="AL125" s="211">
        <f t="shared" si="95"/>
        <v>0</v>
      </c>
      <c r="AM125" s="211">
        <f t="shared" si="95"/>
        <v>0</v>
      </c>
      <c r="AN125" s="211">
        <f t="shared" si="95"/>
        <v>0</v>
      </c>
    </row>
    <row r="126" spans="2:40" s="7" customFormat="1" ht="12" hidden="1" customHeight="1" outlineLevel="2">
      <c r="B126" s="245"/>
      <c r="C126" s="213" t="s">
        <v>766</v>
      </c>
      <c r="D126" s="213"/>
      <c r="E126" s="213"/>
      <c r="F126" s="213"/>
      <c r="G126" s="213"/>
      <c r="H126" s="213"/>
      <c r="I126" s="213"/>
      <c r="J126" s="213"/>
      <c r="K126" s="213"/>
      <c r="L126" s="213"/>
      <c r="M126" s="213"/>
      <c r="N126" s="213"/>
      <c r="O126" s="213"/>
      <c r="P126" s="213"/>
      <c r="Q126" s="213"/>
      <c r="R126" s="211">
        <f>INDEX($C$44:$AN$66,MATCH("New Customers 1MS",$C$44:$C$66,0),MATCH($C126,$C$44:$AN$44,0))</f>
        <v>0</v>
      </c>
      <c r="S126" s="211">
        <f t="shared" ref="S126:AN126" si="96">$R$126*(E111)</f>
        <v>0</v>
      </c>
      <c r="T126" s="211">
        <f t="shared" si="96"/>
        <v>0</v>
      </c>
      <c r="U126" s="211">
        <f t="shared" si="96"/>
        <v>0</v>
      </c>
      <c r="V126" s="211">
        <f t="shared" si="96"/>
        <v>0</v>
      </c>
      <c r="W126" s="211">
        <f t="shared" si="96"/>
        <v>0</v>
      </c>
      <c r="X126" s="211">
        <f t="shared" si="96"/>
        <v>0</v>
      </c>
      <c r="Y126" s="211">
        <f t="shared" si="96"/>
        <v>0</v>
      </c>
      <c r="Z126" s="211">
        <f t="shared" si="96"/>
        <v>0</v>
      </c>
      <c r="AA126" s="211">
        <f t="shared" si="96"/>
        <v>0</v>
      </c>
      <c r="AB126" s="211">
        <f t="shared" si="96"/>
        <v>0</v>
      </c>
      <c r="AC126" s="211">
        <f t="shared" si="96"/>
        <v>0</v>
      </c>
      <c r="AD126" s="211">
        <f t="shared" si="96"/>
        <v>0</v>
      </c>
      <c r="AE126" s="211">
        <f t="shared" si="96"/>
        <v>0</v>
      </c>
      <c r="AF126" s="211">
        <f t="shared" si="96"/>
        <v>0</v>
      </c>
      <c r="AG126" s="211">
        <f t="shared" si="96"/>
        <v>0</v>
      </c>
      <c r="AH126" s="211">
        <f t="shared" si="96"/>
        <v>0</v>
      </c>
      <c r="AI126" s="211">
        <f t="shared" si="96"/>
        <v>0</v>
      </c>
      <c r="AJ126" s="211">
        <f t="shared" si="96"/>
        <v>0</v>
      </c>
      <c r="AK126" s="211">
        <f t="shared" si="96"/>
        <v>0</v>
      </c>
      <c r="AL126" s="211">
        <f t="shared" si="96"/>
        <v>0</v>
      </c>
      <c r="AM126" s="211">
        <f t="shared" si="96"/>
        <v>0</v>
      </c>
      <c r="AN126" s="211">
        <f t="shared" si="96"/>
        <v>0</v>
      </c>
    </row>
    <row r="127" spans="2:40" s="7" customFormat="1" ht="12" hidden="1" customHeight="1" outlineLevel="2">
      <c r="B127" s="245"/>
      <c r="C127" s="213" t="s">
        <v>767</v>
      </c>
      <c r="D127" s="213"/>
      <c r="E127" s="213"/>
      <c r="F127" s="213"/>
      <c r="G127" s="213"/>
      <c r="H127" s="213"/>
      <c r="I127" s="213"/>
      <c r="J127" s="213"/>
      <c r="K127" s="213"/>
      <c r="L127" s="213"/>
      <c r="M127" s="213"/>
      <c r="N127" s="213"/>
      <c r="O127" s="213"/>
      <c r="P127" s="213"/>
      <c r="Q127" s="213"/>
      <c r="R127" s="213"/>
      <c r="S127" s="211">
        <f>INDEX($C$44:$AN$66,MATCH("New Customers 1MS",$C$44:$C$66,0),MATCH($C127,$C$44:$AN$44,0))</f>
        <v>0</v>
      </c>
      <c r="T127" s="211">
        <f t="shared" ref="T127:AN127" si="97">$S$127*(E111)</f>
        <v>0</v>
      </c>
      <c r="U127" s="211">
        <f t="shared" si="97"/>
        <v>0</v>
      </c>
      <c r="V127" s="211">
        <f t="shared" si="97"/>
        <v>0</v>
      </c>
      <c r="W127" s="211">
        <f t="shared" si="97"/>
        <v>0</v>
      </c>
      <c r="X127" s="211">
        <f t="shared" si="97"/>
        <v>0</v>
      </c>
      <c r="Y127" s="211">
        <f t="shared" si="97"/>
        <v>0</v>
      </c>
      <c r="Z127" s="211">
        <f t="shared" si="97"/>
        <v>0</v>
      </c>
      <c r="AA127" s="211">
        <f t="shared" si="97"/>
        <v>0</v>
      </c>
      <c r="AB127" s="211">
        <f t="shared" si="97"/>
        <v>0</v>
      </c>
      <c r="AC127" s="211">
        <f t="shared" si="97"/>
        <v>0</v>
      </c>
      <c r="AD127" s="211">
        <f t="shared" si="97"/>
        <v>0</v>
      </c>
      <c r="AE127" s="211">
        <f t="shared" si="97"/>
        <v>0</v>
      </c>
      <c r="AF127" s="211">
        <f t="shared" si="97"/>
        <v>0</v>
      </c>
      <c r="AG127" s="211">
        <f t="shared" si="97"/>
        <v>0</v>
      </c>
      <c r="AH127" s="211">
        <f t="shared" si="97"/>
        <v>0</v>
      </c>
      <c r="AI127" s="211">
        <f t="shared" si="97"/>
        <v>0</v>
      </c>
      <c r="AJ127" s="211">
        <f t="shared" si="97"/>
        <v>0</v>
      </c>
      <c r="AK127" s="211">
        <f t="shared" si="97"/>
        <v>0</v>
      </c>
      <c r="AL127" s="211">
        <f t="shared" si="97"/>
        <v>0</v>
      </c>
      <c r="AM127" s="211">
        <f t="shared" si="97"/>
        <v>0</v>
      </c>
      <c r="AN127" s="211">
        <f t="shared" si="97"/>
        <v>0</v>
      </c>
    </row>
    <row r="128" spans="2:40" s="7" customFormat="1" ht="12" hidden="1" customHeight="1" outlineLevel="2">
      <c r="B128" s="245"/>
      <c r="C128" s="213" t="s">
        <v>768</v>
      </c>
      <c r="D128" s="213"/>
      <c r="E128" s="213"/>
      <c r="F128" s="213"/>
      <c r="G128" s="213"/>
      <c r="H128" s="213"/>
      <c r="I128" s="213"/>
      <c r="J128" s="213"/>
      <c r="K128" s="213"/>
      <c r="L128" s="213"/>
      <c r="M128" s="213"/>
      <c r="N128" s="213"/>
      <c r="O128" s="213"/>
      <c r="P128" s="213"/>
      <c r="Q128" s="213"/>
      <c r="R128" s="213"/>
      <c r="S128" s="213"/>
      <c r="T128" s="211">
        <f>INDEX($C$44:$AN$66,MATCH("New Customers 1MS",$C$44:$C$66,0),MATCH($C128,$C$44:$AN$44,0))</f>
        <v>2.3337056737588653</v>
      </c>
      <c r="U128" s="211">
        <f t="shared" ref="U128:AN128" si="98">$T$128*(E111)</f>
        <v>0.19921877702819574</v>
      </c>
      <c r="V128" s="211">
        <f t="shared" si="98"/>
        <v>0.86192613734647983</v>
      </c>
      <c r="W128" s="211">
        <f t="shared" si="98"/>
        <v>1.317283341982356</v>
      </c>
      <c r="X128" s="211">
        <f t="shared" si="98"/>
        <v>1.5815531482442484</v>
      </c>
      <c r="Y128" s="211">
        <f t="shared" si="98"/>
        <v>1.7482464106555962</v>
      </c>
      <c r="Z128" s="211">
        <f t="shared" si="98"/>
        <v>1.858020022487459</v>
      </c>
      <c r="AA128" s="211">
        <f t="shared" si="98"/>
        <v>1.9312024303753677</v>
      </c>
      <c r="AB128" s="211">
        <f t="shared" si="98"/>
        <v>2.0043848382632761</v>
      </c>
      <c r="AC128" s="211">
        <f t="shared" si="98"/>
        <v>2.0816329354782912</v>
      </c>
      <c r="AD128" s="211">
        <f t="shared" si="98"/>
        <v>2.1304212074035633</v>
      </c>
      <c r="AE128" s="211">
        <f t="shared" si="98"/>
        <v>2.167012411347518</v>
      </c>
      <c r="AF128" s="211">
        <f t="shared" si="98"/>
        <v>2.1710781006746238</v>
      </c>
      <c r="AG128" s="211">
        <f t="shared" si="98"/>
        <v>2.1832751686559417</v>
      </c>
      <c r="AH128" s="211">
        <f t="shared" si="98"/>
        <v>2.1995379259643659</v>
      </c>
      <c r="AI128" s="211">
        <f t="shared" si="98"/>
        <v>2.2036036152914722</v>
      </c>
      <c r="AJ128" s="211">
        <f t="shared" si="98"/>
        <v>2.2239320619270022</v>
      </c>
      <c r="AK128" s="211">
        <f t="shared" si="98"/>
        <v>2.2523918872167443</v>
      </c>
      <c r="AL128" s="211">
        <f t="shared" si="98"/>
        <v>2.2808517125064869</v>
      </c>
      <c r="AM128" s="211">
        <f t="shared" si="98"/>
        <v>2.2930487804878048</v>
      </c>
      <c r="AN128" s="211">
        <f t="shared" si="98"/>
        <v>2.2971144698149111</v>
      </c>
    </row>
    <row r="129" spans="2:40" s="7" customFormat="1" ht="12" hidden="1" customHeight="1" outlineLevel="2">
      <c r="B129" s="245"/>
      <c r="C129" s="213" t="s">
        <v>769</v>
      </c>
      <c r="D129" s="213"/>
      <c r="E129" s="213"/>
      <c r="F129" s="213"/>
      <c r="G129" s="213"/>
      <c r="H129" s="213"/>
      <c r="I129" s="213"/>
      <c r="J129" s="213"/>
      <c r="K129" s="213"/>
      <c r="L129" s="213"/>
      <c r="M129" s="213"/>
      <c r="N129" s="213"/>
      <c r="O129" s="213"/>
      <c r="P129" s="213"/>
      <c r="Q129" s="213"/>
      <c r="R129" s="213"/>
      <c r="S129" s="213"/>
      <c r="T129" s="213"/>
      <c r="U129" s="211">
        <f>INDEX($C$44:$AN$66,MATCH("New Customers 1MS",$C$44:$C$66,0),MATCH($C129,$C$44:$AN$44,0))</f>
        <v>2.292007978723404</v>
      </c>
      <c r="V129" s="211">
        <f t="shared" ref="V129:AN129" si="99">$U$129*(E111)</f>
        <v>0.19565921769590025</v>
      </c>
      <c r="W129" s="211">
        <f t="shared" si="99"/>
        <v>0.84652559492920143</v>
      </c>
      <c r="X129" s="211">
        <f t="shared" si="99"/>
        <v>1.2937466639484023</v>
      </c>
      <c r="Y129" s="211">
        <f t="shared" si="99"/>
        <v>1.5532946057899026</v>
      </c>
      <c r="Z129" s="211">
        <f t="shared" si="99"/>
        <v>1.7170094614130031</v>
      </c>
      <c r="AA129" s="211">
        <f t="shared" si="99"/>
        <v>1.8248216834087032</v>
      </c>
      <c r="AB129" s="211">
        <f t="shared" si="99"/>
        <v>1.8966964980725032</v>
      </c>
      <c r="AC129" s="211">
        <f t="shared" si="99"/>
        <v>1.9685713127363034</v>
      </c>
      <c r="AD129" s="211">
        <f t="shared" si="99"/>
        <v>2.0444391726592035</v>
      </c>
      <c r="AE129" s="211">
        <f t="shared" si="99"/>
        <v>2.0923557157684036</v>
      </c>
      <c r="AF129" s="211">
        <f t="shared" si="99"/>
        <v>2.1282931231003039</v>
      </c>
      <c r="AG129" s="211">
        <f t="shared" si="99"/>
        <v>2.1322861683594039</v>
      </c>
      <c r="AH129" s="211">
        <f t="shared" si="99"/>
        <v>2.1442653041367037</v>
      </c>
      <c r="AI129" s="211">
        <f t="shared" si="99"/>
        <v>2.1602374851731039</v>
      </c>
      <c r="AJ129" s="211">
        <f t="shared" si="99"/>
        <v>2.1642305304322038</v>
      </c>
      <c r="AK129" s="211">
        <f t="shared" si="99"/>
        <v>2.1841957567277039</v>
      </c>
      <c r="AL129" s="211">
        <f t="shared" si="99"/>
        <v>2.2121470735414039</v>
      </c>
      <c r="AM129" s="211">
        <f t="shared" si="99"/>
        <v>2.2400983903551039</v>
      </c>
      <c r="AN129" s="211">
        <f t="shared" si="99"/>
        <v>2.2520775261324042</v>
      </c>
    </row>
    <row r="130" spans="2:40" s="7" customFormat="1" ht="12" hidden="1" customHeight="1" outlineLevel="2">
      <c r="B130" s="245"/>
      <c r="C130" s="213" t="s">
        <v>770</v>
      </c>
      <c r="D130" s="213"/>
      <c r="E130" s="213"/>
      <c r="F130" s="213"/>
      <c r="G130" s="213"/>
      <c r="H130" s="213"/>
      <c r="I130" s="213"/>
      <c r="J130" s="213"/>
      <c r="K130" s="213"/>
      <c r="L130" s="213"/>
      <c r="M130" s="213"/>
      <c r="N130" s="213"/>
      <c r="O130" s="213"/>
      <c r="P130" s="213"/>
      <c r="Q130" s="213"/>
      <c r="R130" s="213"/>
      <c r="S130" s="213"/>
      <c r="T130" s="213"/>
      <c r="U130" s="213"/>
      <c r="V130" s="211">
        <f>INDEX($C$44:$AN$66,MATCH("New Customers 1MS",$C$44:$C$66,0),MATCH($C130,$C$44:$AN$44,0))</f>
        <v>5.5662632978723412</v>
      </c>
      <c r="W130" s="211">
        <f t="shared" ref="W130:AN130" si="100">$V$130*(E111)</f>
        <v>0.47516881811105333</v>
      </c>
      <c r="X130" s="211">
        <f t="shared" si="100"/>
        <v>2.0558324375417008</v>
      </c>
      <c r="Y130" s="211">
        <f t="shared" si="100"/>
        <v>3.1419325932241091</v>
      </c>
      <c r="Z130" s="211">
        <f t="shared" si="100"/>
        <v>3.7722585764326491</v>
      </c>
      <c r="AA130" s="211">
        <f t="shared" si="100"/>
        <v>4.1698488119949602</v>
      </c>
      <c r="AB130" s="211">
        <f t="shared" si="100"/>
        <v>4.4316765280969683</v>
      </c>
      <c r="AC130" s="211">
        <f t="shared" si="100"/>
        <v>4.6062283388316407</v>
      </c>
      <c r="AD130" s="211">
        <f t="shared" si="100"/>
        <v>4.780780149566314</v>
      </c>
      <c r="AE130" s="211">
        <f t="shared" si="100"/>
        <v>4.9650292831195797</v>
      </c>
      <c r="AF130" s="211">
        <f t="shared" si="100"/>
        <v>5.0813971569426952</v>
      </c>
      <c r="AG130" s="211">
        <f t="shared" si="100"/>
        <v>5.168673062310031</v>
      </c>
      <c r="AH130" s="211">
        <f t="shared" si="100"/>
        <v>5.1783703851286242</v>
      </c>
      <c r="AI130" s="211">
        <f t="shared" si="100"/>
        <v>5.2074623535844031</v>
      </c>
      <c r="AJ130" s="211">
        <f t="shared" si="100"/>
        <v>5.2462516448587744</v>
      </c>
      <c r="AK130" s="211">
        <f t="shared" si="100"/>
        <v>5.2559489676773676</v>
      </c>
      <c r="AL130" s="211">
        <f t="shared" si="100"/>
        <v>5.3044355817703321</v>
      </c>
      <c r="AM130" s="211">
        <f t="shared" si="100"/>
        <v>5.3723168415004823</v>
      </c>
      <c r="AN130" s="211">
        <f t="shared" si="100"/>
        <v>5.4401981012306333</v>
      </c>
    </row>
    <row r="131" spans="2:40" s="7" customFormat="1" ht="12" hidden="1" customHeight="1" outlineLevel="2">
      <c r="B131" s="245"/>
      <c r="C131" s="213" t="s">
        <v>771</v>
      </c>
      <c r="D131" s="213"/>
      <c r="E131" s="213"/>
      <c r="F131" s="213"/>
      <c r="G131" s="213"/>
      <c r="H131" s="213"/>
      <c r="I131" s="213"/>
      <c r="J131" s="213"/>
      <c r="K131" s="213"/>
      <c r="L131" s="213"/>
      <c r="M131" s="213"/>
      <c r="N131" s="213"/>
      <c r="O131" s="213"/>
      <c r="P131" s="213"/>
      <c r="Q131" s="213"/>
      <c r="R131" s="213"/>
      <c r="S131" s="213"/>
      <c r="T131" s="213"/>
      <c r="U131" s="213"/>
      <c r="V131" s="213"/>
      <c r="W131" s="211">
        <f>INDEX($C$44:$AN$66,MATCH("New Customers 1MS",$C$44:$C$66,0),MATCH($C131,$C$44:$AN$44,0))</f>
        <v>2.3931808510638297</v>
      </c>
      <c r="X131" s="211">
        <f t="shared" ref="X131:AN131" si="101">$W$131*(E111)</f>
        <v>0.20429592631032684</v>
      </c>
      <c r="Y131" s="211">
        <f t="shared" si="101"/>
        <v>0.88389257913855723</v>
      </c>
      <c r="Z131" s="211">
        <f t="shared" si="101"/>
        <v>1.3508546964193047</v>
      </c>
      <c r="AA131" s="211">
        <f t="shared" si="101"/>
        <v>1.6218594966268811</v>
      </c>
      <c r="AB131" s="211">
        <f t="shared" si="101"/>
        <v>1.7928009859885834</v>
      </c>
      <c r="AC131" s="211">
        <f t="shared" si="101"/>
        <v>1.905372210690192</v>
      </c>
      <c r="AD131" s="211">
        <f t="shared" si="101"/>
        <v>1.9804196938245977</v>
      </c>
      <c r="AE131" s="211">
        <f t="shared" si="101"/>
        <v>2.0554671769590036</v>
      </c>
      <c r="AF131" s="211">
        <f t="shared" si="101"/>
        <v>2.1346839647119875</v>
      </c>
      <c r="AG131" s="211">
        <f t="shared" si="101"/>
        <v>2.1847156201349249</v>
      </c>
      <c r="AH131" s="211">
        <f t="shared" si="101"/>
        <v>2.2222393617021279</v>
      </c>
      <c r="AI131" s="211">
        <f t="shared" si="101"/>
        <v>2.2264086663207059</v>
      </c>
      <c r="AJ131" s="211">
        <f t="shared" si="101"/>
        <v>2.2389165801764399</v>
      </c>
      <c r="AK131" s="211">
        <f t="shared" si="101"/>
        <v>2.2555937986507524</v>
      </c>
      <c r="AL131" s="211">
        <f t="shared" si="101"/>
        <v>2.2597631032693304</v>
      </c>
      <c r="AM131" s="211">
        <f t="shared" si="101"/>
        <v>2.2806096263622213</v>
      </c>
      <c r="AN131" s="211">
        <f t="shared" si="101"/>
        <v>2.3097947586922678</v>
      </c>
    </row>
    <row r="132" spans="2:40" s="7" customFormat="1" ht="12" hidden="1" customHeight="1" outlineLevel="2">
      <c r="B132" s="245"/>
      <c r="C132" s="213" t="s">
        <v>772</v>
      </c>
      <c r="D132" s="213"/>
      <c r="E132" s="213"/>
      <c r="F132" s="213"/>
      <c r="G132" s="213"/>
      <c r="H132" s="213"/>
      <c r="I132" s="213"/>
      <c r="J132" s="213"/>
      <c r="K132" s="213"/>
      <c r="L132" s="213"/>
      <c r="M132" s="213"/>
      <c r="N132" s="213"/>
      <c r="O132" s="213"/>
      <c r="P132" s="213"/>
      <c r="Q132" s="213"/>
      <c r="R132" s="213"/>
      <c r="S132" s="213"/>
      <c r="T132" s="213"/>
      <c r="U132" s="213"/>
      <c r="V132" s="213"/>
      <c r="W132" s="213"/>
      <c r="X132" s="211">
        <f>INDEX($C$44:$AN$66,MATCH("New Customers 1MS",$C$44:$C$66,0),MATCH($C132,$C$44:$AN$44,0))</f>
        <v>2.4030319148936168</v>
      </c>
      <c r="Y132" s="211">
        <f t="shared" ref="Y132:AN132" si="102">$X$132*(E111)</f>
        <v>0.20513687078360135</v>
      </c>
      <c r="Z132" s="211">
        <f t="shared" si="102"/>
        <v>0.8875309511453775</v>
      </c>
      <c r="AA132" s="211">
        <f t="shared" si="102"/>
        <v>1.356415227222181</v>
      </c>
      <c r="AB132" s="211">
        <f t="shared" si="102"/>
        <v>1.6285355660167542</v>
      </c>
      <c r="AC132" s="211">
        <f t="shared" si="102"/>
        <v>1.80018070279487</v>
      </c>
      <c r="AD132" s="211">
        <f t="shared" si="102"/>
        <v>1.9132153050633849</v>
      </c>
      <c r="AE132" s="211">
        <f t="shared" si="102"/>
        <v>1.988571706575728</v>
      </c>
      <c r="AF132" s="211">
        <f t="shared" si="102"/>
        <v>2.0639281080880716</v>
      </c>
      <c r="AG132" s="211">
        <f t="shared" si="102"/>
        <v>2.1434709763511006</v>
      </c>
      <c r="AH132" s="211">
        <f t="shared" si="102"/>
        <v>2.1937085773593297</v>
      </c>
      <c r="AI132" s="211">
        <f t="shared" si="102"/>
        <v>2.2313867781155015</v>
      </c>
      <c r="AJ132" s="211">
        <f t="shared" si="102"/>
        <v>2.2355732448661869</v>
      </c>
      <c r="AK132" s="211">
        <f t="shared" si="102"/>
        <v>2.2481326451182442</v>
      </c>
      <c r="AL132" s="211">
        <f t="shared" si="102"/>
        <v>2.2648785121209873</v>
      </c>
      <c r="AM132" s="211">
        <f t="shared" si="102"/>
        <v>2.2690649788716732</v>
      </c>
      <c r="AN132" s="211">
        <f t="shared" si="102"/>
        <v>2.2899973126251019</v>
      </c>
    </row>
    <row r="133" spans="2:40" s="7" customFormat="1" ht="12" hidden="1" customHeight="1" outlineLevel="2">
      <c r="B133" s="245"/>
      <c r="C133" s="213" t="s">
        <v>773</v>
      </c>
      <c r="D133" s="213"/>
      <c r="E133" s="213"/>
      <c r="F133" s="213"/>
      <c r="G133" s="213"/>
      <c r="H133" s="213"/>
      <c r="I133" s="213"/>
      <c r="J133" s="213"/>
      <c r="K133" s="213"/>
      <c r="L133" s="213"/>
      <c r="M133" s="213"/>
      <c r="N133" s="213"/>
      <c r="O133" s="213"/>
      <c r="P133" s="213"/>
      <c r="Q133" s="213"/>
      <c r="R133" s="213"/>
      <c r="S133" s="213"/>
      <c r="T133" s="213"/>
      <c r="U133" s="213"/>
      <c r="V133" s="213"/>
      <c r="W133" s="213"/>
      <c r="X133" s="213"/>
      <c r="Y133" s="211">
        <f>INDEX($C$44:$AN$66,MATCH("New Customers 1MS",$C$44:$C$66,0),MATCH($C133,$C$44:$AN$44,0))</f>
        <v>6.9148936170212769</v>
      </c>
      <c r="Z133" s="211">
        <f t="shared" ref="Z133:AN133" si="103">$Y$133*(E111)</f>
        <v>0.59029579657498676</v>
      </c>
      <c r="AA133" s="211">
        <f t="shared" si="103"/>
        <v>2.5539328341611682</v>
      </c>
      <c r="AB133" s="211">
        <f t="shared" si="103"/>
        <v>3.9031803691897107</v>
      </c>
      <c r="AC133" s="211">
        <f t="shared" si="103"/>
        <v>4.6862258136259172</v>
      </c>
      <c r="AD133" s="211">
        <f t="shared" si="103"/>
        <v>5.1801467862702948</v>
      </c>
      <c r="AE133" s="211">
        <f t="shared" si="103"/>
        <v>5.5054118170361042</v>
      </c>
      <c r="AF133" s="211">
        <f t="shared" si="103"/>
        <v>5.7222551708799765</v>
      </c>
      <c r="AG133" s="211">
        <f t="shared" si="103"/>
        <v>5.9390985247238488</v>
      </c>
      <c r="AH133" s="211">
        <f t="shared" si="103"/>
        <v>6.1679887315590483</v>
      </c>
      <c r="AI133" s="211">
        <f t="shared" si="103"/>
        <v>6.312550967454964</v>
      </c>
      <c r="AJ133" s="211">
        <f t="shared" si="103"/>
        <v>6.4209726443769002</v>
      </c>
      <c r="AK133" s="211">
        <f t="shared" si="103"/>
        <v>6.4330194973682264</v>
      </c>
      <c r="AL133" s="211">
        <f t="shared" si="103"/>
        <v>6.4691600563422051</v>
      </c>
      <c r="AM133" s="211">
        <f t="shared" si="103"/>
        <v>6.5173474683075101</v>
      </c>
      <c r="AN133" s="211">
        <f t="shared" si="103"/>
        <v>6.5293943212988363</v>
      </c>
    </row>
    <row r="134" spans="2:40" s="7" customFormat="1" ht="12" hidden="1" customHeight="1" outlineLevel="2">
      <c r="B134" s="245"/>
      <c r="C134" s="213" t="s">
        <v>774</v>
      </c>
      <c r="D134" s="213"/>
      <c r="E134" s="213"/>
      <c r="F134" s="213"/>
      <c r="G134" s="213"/>
      <c r="H134" s="213"/>
      <c r="I134" s="213"/>
      <c r="J134" s="213"/>
      <c r="K134" s="213"/>
      <c r="L134" s="213"/>
      <c r="M134" s="213"/>
      <c r="N134" s="213"/>
      <c r="O134" s="213"/>
      <c r="P134" s="213"/>
      <c r="Q134" s="213"/>
      <c r="R134" s="213"/>
      <c r="S134" s="213"/>
      <c r="T134" s="213"/>
      <c r="U134" s="213"/>
      <c r="V134" s="213"/>
      <c r="W134" s="213"/>
      <c r="X134" s="213"/>
      <c r="Y134" s="213"/>
      <c r="Z134" s="211">
        <f>INDEX($C$44:$AN$66,MATCH("New Customers 1MS",$C$44:$C$66,0),MATCH($C134,$C$44:$AN$44,0))</f>
        <v>6.3829787234042561</v>
      </c>
      <c r="AA134" s="211">
        <f t="shared" ref="AA134:AN134" si="104">$Z$134*(E111)</f>
        <v>0.54488842760768019</v>
      </c>
      <c r="AB134" s="211">
        <f t="shared" si="104"/>
        <v>2.3574764623026172</v>
      </c>
      <c r="AC134" s="211">
        <f t="shared" si="104"/>
        <v>3.6029357254058869</v>
      </c>
      <c r="AD134" s="211">
        <f t="shared" si="104"/>
        <v>4.3257469048854622</v>
      </c>
      <c r="AE134" s="211">
        <f t="shared" si="104"/>
        <v>4.7816739565571957</v>
      </c>
      <c r="AF134" s="211">
        <f t="shared" si="104"/>
        <v>5.0819186003410195</v>
      </c>
      <c r="AG134" s="211">
        <f t="shared" si="104"/>
        <v>5.2820816961969017</v>
      </c>
      <c r="AH134" s="211">
        <f t="shared" si="104"/>
        <v>5.4822447920527839</v>
      </c>
      <c r="AI134" s="211">
        <f t="shared" si="104"/>
        <v>5.6935280599006601</v>
      </c>
      <c r="AJ134" s="211">
        <f t="shared" si="104"/>
        <v>5.8269701238045828</v>
      </c>
      <c r="AK134" s="211">
        <f t="shared" si="104"/>
        <v>5.9270516717325235</v>
      </c>
      <c r="AL134" s="211">
        <f t="shared" si="104"/>
        <v>5.9381718437245175</v>
      </c>
      <c r="AM134" s="211">
        <f t="shared" si="104"/>
        <v>5.9715323597004977</v>
      </c>
      <c r="AN134" s="211">
        <f t="shared" si="104"/>
        <v>6.0160130476684719</v>
      </c>
    </row>
    <row r="135" spans="2:40" s="7" customFormat="1" ht="12" hidden="1" customHeight="1" outlineLevel="2">
      <c r="B135" s="245"/>
      <c r="C135" s="213" t="s">
        <v>775</v>
      </c>
      <c r="D135" s="213"/>
      <c r="E135" s="213"/>
      <c r="F135" s="213"/>
      <c r="G135" s="213"/>
      <c r="H135" s="213"/>
      <c r="I135" s="213"/>
      <c r="J135" s="213"/>
      <c r="K135" s="213"/>
      <c r="L135" s="213"/>
      <c r="M135" s="213"/>
      <c r="N135" s="213"/>
      <c r="O135" s="213"/>
      <c r="P135" s="213"/>
      <c r="Q135" s="213"/>
      <c r="R135" s="213"/>
      <c r="S135" s="213"/>
      <c r="T135" s="213"/>
      <c r="U135" s="213"/>
      <c r="V135" s="213"/>
      <c r="W135" s="213"/>
      <c r="X135" s="213"/>
      <c r="Y135" s="213"/>
      <c r="Z135" s="213"/>
      <c r="AA135" s="211">
        <f>INDEX($C$44:$AN$66,MATCH("New Customers 1MS",$C$44:$C$66,0),MATCH($C135,$C$44:$AN$44,0))</f>
        <v>2.1276595744680851</v>
      </c>
      <c r="AB135" s="211">
        <f t="shared" ref="AB135:AN135" si="105">$AA$135*(E111)</f>
        <v>0.1816294758692267</v>
      </c>
      <c r="AC135" s="211">
        <f t="shared" si="105"/>
        <v>0.78582548743420555</v>
      </c>
      <c r="AD135" s="211">
        <f t="shared" si="105"/>
        <v>1.2009785751352955</v>
      </c>
      <c r="AE135" s="211">
        <f t="shared" si="105"/>
        <v>1.4419156349618207</v>
      </c>
      <c r="AF135" s="211">
        <f t="shared" si="105"/>
        <v>1.5938913188523984</v>
      </c>
      <c r="AG135" s="211">
        <f t="shared" si="105"/>
        <v>1.6939728667803395</v>
      </c>
      <c r="AH135" s="211">
        <f t="shared" si="105"/>
        <v>1.7606938987323002</v>
      </c>
      <c r="AI135" s="211">
        <f t="shared" si="105"/>
        <v>1.8274149306842611</v>
      </c>
      <c r="AJ135" s="211">
        <f t="shared" si="105"/>
        <v>1.8978426866335532</v>
      </c>
      <c r="AK135" s="211">
        <f t="shared" si="105"/>
        <v>1.9423233746015272</v>
      </c>
      <c r="AL135" s="211">
        <f t="shared" si="105"/>
        <v>1.9756838905775076</v>
      </c>
      <c r="AM135" s="211">
        <f t="shared" si="105"/>
        <v>1.9793906145748388</v>
      </c>
      <c r="AN135" s="211">
        <f t="shared" si="105"/>
        <v>1.9905107865668321</v>
      </c>
    </row>
    <row r="136" spans="2:40" s="7" customFormat="1" ht="12" hidden="1" customHeight="1" outlineLevel="2">
      <c r="B136" s="245"/>
      <c r="C136" s="213" t="s">
        <v>776</v>
      </c>
      <c r="D136" s="213"/>
      <c r="E136" s="213"/>
      <c r="F136" s="213"/>
      <c r="G136" s="213"/>
      <c r="H136" s="213"/>
      <c r="I136" s="213"/>
      <c r="J136" s="213"/>
      <c r="K136" s="213"/>
      <c r="L136" s="213"/>
      <c r="M136" s="213"/>
      <c r="N136" s="213"/>
      <c r="O136" s="213"/>
      <c r="P136" s="213"/>
      <c r="Q136" s="213"/>
      <c r="R136" s="213"/>
      <c r="S136" s="213"/>
      <c r="T136" s="213"/>
      <c r="U136" s="213"/>
      <c r="V136" s="213"/>
      <c r="W136" s="213"/>
      <c r="X136" s="213"/>
      <c r="Y136" s="213"/>
      <c r="Z136" s="213"/>
      <c r="AA136" s="213"/>
      <c r="AB136" s="211">
        <f>INDEX($C$44:$AN$66,MATCH("New Customers 1MS",$C$44:$C$66,0),MATCH($C136,$C$44:$AN$44,0))</f>
        <v>2.1276595744680851</v>
      </c>
      <c r="AC136" s="211">
        <f t="shared" ref="AC136:AN136" si="106">$AB$136*(E111)</f>
        <v>0.1816294758692267</v>
      </c>
      <c r="AD136" s="211">
        <f t="shared" si="106"/>
        <v>0.78582548743420555</v>
      </c>
      <c r="AE136" s="211">
        <f t="shared" si="106"/>
        <v>1.2009785751352955</v>
      </c>
      <c r="AF136" s="211">
        <f t="shared" si="106"/>
        <v>1.4419156349618207</v>
      </c>
      <c r="AG136" s="211">
        <f t="shared" si="106"/>
        <v>1.5938913188523984</v>
      </c>
      <c r="AH136" s="211">
        <f t="shared" si="106"/>
        <v>1.6939728667803395</v>
      </c>
      <c r="AI136" s="211">
        <f t="shared" si="106"/>
        <v>1.7606938987323002</v>
      </c>
      <c r="AJ136" s="211">
        <f t="shared" si="106"/>
        <v>1.8274149306842611</v>
      </c>
      <c r="AK136" s="211">
        <f t="shared" si="106"/>
        <v>1.8978426866335532</v>
      </c>
      <c r="AL136" s="211">
        <f t="shared" si="106"/>
        <v>1.9423233746015272</v>
      </c>
      <c r="AM136" s="211">
        <f t="shared" si="106"/>
        <v>1.9756838905775076</v>
      </c>
      <c r="AN136" s="211">
        <f t="shared" si="106"/>
        <v>1.9793906145748388</v>
      </c>
    </row>
    <row r="137" spans="2:40" s="7" customFormat="1" ht="12" hidden="1" customHeight="1" outlineLevel="2">
      <c r="B137" s="245"/>
      <c r="C137" s="213" t="s">
        <v>777</v>
      </c>
      <c r="D137" s="213"/>
      <c r="E137" s="213"/>
      <c r="F137" s="213"/>
      <c r="G137" s="213"/>
      <c r="H137" s="213"/>
      <c r="I137" s="213"/>
      <c r="J137" s="213"/>
      <c r="K137" s="213"/>
      <c r="L137" s="213"/>
      <c r="M137" s="213"/>
      <c r="N137" s="213"/>
      <c r="O137" s="213"/>
      <c r="P137" s="213"/>
      <c r="Q137" s="213"/>
      <c r="R137" s="213"/>
      <c r="S137" s="213"/>
      <c r="T137" s="213"/>
      <c r="U137" s="213"/>
      <c r="V137" s="213"/>
      <c r="W137" s="213"/>
      <c r="X137" s="213"/>
      <c r="Y137" s="213"/>
      <c r="Z137" s="213"/>
      <c r="AA137" s="213"/>
      <c r="AB137" s="211"/>
      <c r="AC137" s="211">
        <f>INDEX($C$44:$AN$66,MATCH("New Customers 1MS",$C$44:$C$66,0),MATCH($C137,$C$44:$AN$44,0))</f>
        <v>2.0624255319148936</v>
      </c>
      <c r="AD137" s="211">
        <f t="shared" ref="AD137:AN137" si="107">$AC$137*(E111)</f>
        <v>0.1760607161390762</v>
      </c>
      <c r="AE137" s="211">
        <f t="shared" si="107"/>
        <v>0.76173207798947284</v>
      </c>
      <c r="AF137" s="211">
        <f t="shared" si="107"/>
        <v>1.1641565720216474</v>
      </c>
      <c r="AG137" s="211">
        <f t="shared" si="107"/>
        <v>1.3977065015938912</v>
      </c>
      <c r="AH137" s="211">
        <f t="shared" si="107"/>
        <v>1.5450226110163838</v>
      </c>
      <c r="AI137" s="211">
        <f t="shared" si="107"/>
        <v>1.6420356586848543</v>
      </c>
      <c r="AJ137" s="211">
        <f t="shared" si="107"/>
        <v>1.7067110237971681</v>
      </c>
      <c r="AK137" s="211">
        <f t="shared" si="107"/>
        <v>1.7713863889094816</v>
      </c>
      <c r="AL137" s="211">
        <f t="shared" si="107"/>
        <v>1.8396548298613686</v>
      </c>
      <c r="AM137" s="211">
        <f t="shared" si="107"/>
        <v>1.8827717399362445</v>
      </c>
      <c r="AN137" s="211">
        <f t="shared" si="107"/>
        <v>1.9151094224924012</v>
      </c>
    </row>
    <row r="138" spans="2:40" s="7" customFormat="1" ht="12" hidden="1" customHeight="1" outlineLevel="2">
      <c r="B138" s="245"/>
      <c r="C138" s="213" t="s">
        <v>778</v>
      </c>
      <c r="D138" s="213"/>
      <c r="E138" s="213"/>
      <c r="F138" s="213"/>
      <c r="G138" s="213"/>
      <c r="H138" s="213"/>
      <c r="I138" s="213"/>
      <c r="J138" s="213"/>
      <c r="K138" s="213"/>
      <c r="L138" s="213"/>
      <c r="M138" s="213"/>
      <c r="N138" s="213"/>
      <c r="O138" s="213"/>
      <c r="P138" s="213"/>
      <c r="Q138" s="213"/>
      <c r="R138" s="213"/>
      <c r="S138" s="213"/>
      <c r="T138" s="213"/>
      <c r="U138" s="213"/>
      <c r="V138" s="213"/>
      <c r="W138" s="213"/>
      <c r="X138" s="213"/>
      <c r="Y138" s="213"/>
      <c r="Z138" s="213"/>
      <c r="AA138" s="213"/>
      <c r="AB138" s="211"/>
      <c r="AC138" s="211"/>
      <c r="AD138" s="211">
        <f>INDEX($C$44:$AN$66,MATCH("New Customers 1MS",$C$44:$C$66,0),MATCH($C138,$C$44:$AN$44,0))</f>
        <v>5.1783617021276589</v>
      </c>
      <c r="AE138" s="211">
        <f t="shared" ref="AE138:AN138" si="108">$AD$138*(E111)</f>
        <v>0.44205526725479999</v>
      </c>
      <c r="AF138" s="211">
        <f t="shared" si="108"/>
        <v>1.9125656460819922</v>
      </c>
      <c r="AG138" s="211">
        <f t="shared" si="108"/>
        <v>2.9229776855215359</v>
      </c>
      <c r="AH138" s="211">
        <f t="shared" si="108"/>
        <v>3.5093775298391274</v>
      </c>
      <c r="AI138" s="211">
        <f t="shared" si="108"/>
        <v>3.8792605085625325</v>
      </c>
      <c r="AJ138" s="211">
        <f t="shared" si="108"/>
        <v>4.1228419823559932</v>
      </c>
      <c r="AK138" s="211">
        <f t="shared" si="108"/>
        <v>4.2852296315516343</v>
      </c>
      <c r="AL138" s="211">
        <f t="shared" si="108"/>
        <v>4.4476172807472745</v>
      </c>
      <c r="AM138" s="211">
        <f t="shared" si="108"/>
        <v>4.6190264660093403</v>
      </c>
      <c r="AN138" s="211">
        <f t="shared" si="108"/>
        <v>4.7272848988064347</v>
      </c>
    </row>
    <row r="139" spans="2:40" s="7" customFormat="1" ht="12" hidden="1" customHeight="1" outlineLevel="2">
      <c r="B139" s="245"/>
      <c r="C139" s="213" t="s">
        <v>779</v>
      </c>
      <c r="D139" s="213"/>
      <c r="E139" s="213"/>
      <c r="F139" s="213"/>
      <c r="G139" s="213"/>
      <c r="H139" s="213"/>
      <c r="I139" s="213"/>
      <c r="J139" s="213"/>
      <c r="K139" s="213"/>
      <c r="L139" s="213"/>
      <c r="M139" s="213"/>
      <c r="N139" s="213"/>
      <c r="O139" s="213"/>
      <c r="P139" s="213"/>
      <c r="Q139" s="213"/>
      <c r="R139" s="213"/>
      <c r="S139" s="213"/>
      <c r="T139" s="213"/>
      <c r="U139" s="213"/>
      <c r="V139" s="213"/>
      <c r="W139" s="213"/>
      <c r="X139" s="213"/>
      <c r="Y139" s="213"/>
      <c r="Z139" s="213"/>
      <c r="AA139" s="213"/>
      <c r="AB139" s="211"/>
      <c r="AC139" s="211"/>
      <c r="AD139" s="211"/>
      <c r="AE139" s="211">
        <f>INDEX($C$44:$AN$66,MATCH("New Customers 1MS",$C$44:$C$66,0),MATCH($C139,$C$44:$AN$44,0))</f>
        <v>4.0747393617021288</v>
      </c>
      <c r="AF139" s="211">
        <f t="shared" ref="AF139:AM139" si="109">$AE$139*(E111)</f>
        <v>0.34784360404774256</v>
      </c>
      <c r="AG139" s="211">
        <f t="shared" si="109"/>
        <v>1.504956001186152</v>
      </c>
      <c r="AH139" s="211">
        <f t="shared" si="109"/>
        <v>2.3000270961524212</v>
      </c>
      <c r="AI139" s="211">
        <f t="shared" si="109"/>
        <v>2.7614522851953449</v>
      </c>
      <c r="AJ139" s="211">
        <f t="shared" si="109"/>
        <v>3.0525050967454974</v>
      </c>
      <c r="AK139" s="211">
        <f t="shared" si="109"/>
        <v>3.2441740214248656</v>
      </c>
      <c r="AL139" s="211">
        <f t="shared" si="109"/>
        <v>3.3719533045444443</v>
      </c>
      <c r="AM139" s="211">
        <f t="shared" si="109"/>
        <v>3.4997325876640231</v>
      </c>
      <c r="AN139" s="211">
        <f>AM139*(M111)</f>
        <v>3.1217126914355049</v>
      </c>
    </row>
    <row r="140" spans="2:40" s="7" customFormat="1" ht="12" hidden="1" customHeight="1" outlineLevel="2">
      <c r="B140" s="245"/>
      <c r="C140" s="213" t="s">
        <v>780</v>
      </c>
      <c r="D140" s="213"/>
      <c r="E140" s="213"/>
      <c r="F140" s="213"/>
      <c r="G140" s="213"/>
      <c r="H140" s="213"/>
      <c r="I140" s="213"/>
      <c r="J140" s="213"/>
      <c r="K140" s="213"/>
      <c r="L140" s="213"/>
      <c r="M140" s="213"/>
      <c r="N140" s="213"/>
      <c r="O140" s="213"/>
      <c r="P140" s="213"/>
      <c r="Q140" s="213"/>
      <c r="R140" s="213"/>
      <c r="S140" s="213"/>
      <c r="T140" s="213"/>
      <c r="U140" s="213"/>
      <c r="V140" s="213"/>
      <c r="W140" s="213"/>
      <c r="X140" s="213"/>
      <c r="Y140" s="213"/>
      <c r="Z140" s="213"/>
      <c r="AA140" s="213"/>
      <c r="AB140" s="211"/>
      <c r="AC140" s="211"/>
      <c r="AD140" s="211"/>
      <c r="AE140" s="211"/>
      <c r="AF140" s="211">
        <f>INDEX($C$44:$AN$66,MATCH("New Customers 1MS",$C$44:$C$66,0),MATCH($C140,$C$44:$AN$44,0))</f>
        <v>2.5670762411347519</v>
      </c>
      <c r="AG140" s="211">
        <f t="shared" ref="AG140:AM140" si="110">$AF$140*(E111)</f>
        <v>0.21914065473101532</v>
      </c>
      <c r="AH140" s="211">
        <f t="shared" si="110"/>
        <v>0.94811875108112775</v>
      </c>
      <c r="AI140" s="211">
        <f t="shared" si="110"/>
        <v>1.4490116761805918</v>
      </c>
      <c r="AJ140" s="211">
        <f t="shared" si="110"/>
        <v>1.7397084630686732</v>
      </c>
      <c r="AK140" s="211">
        <f t="shared" si="110"/>
        <v>1.9230710517211558</v>
      </c>
      <c r="AL140" s="211">
        <f t="shared" si="110"/>
        <v>2.0438220247362051</v>
      </c>
      <c r="AM140" s="211">
        <f t="shared" si="110"/>
        <v>2.1243226734129044</v>
      </c>
      <c r="AN140" s="211">
        <f>AM140*(L111)</f>
        <v>1.8245489163633481</v>
      </c>
    </row>
    <row r="141" spans="2:40" s="7" customFormat="1" ht="12" hidden="1" customHeight="1" outlineLevel="2">
      <c r="B141" s="245"/>
      <c r="C141" s="213" t="s">
        <v>781</v>
      </c>
      <c r="D141" s="213"/>
      <c r="E141" s="213"/>
      <c r="F141" s="213"/>
      <c r="G141" s="213"/>
      <c r="H141" s="213"/>
      <c r="I141" s="213"/>
      <c r="J141" s="213"/>
      <c r="K141" s="213"/>
      <c r="L141" s="213"/>
      <c r="M141" s="213"/>
      <c r="N141" s="213"/>
      <c r="O141" s="213"/>
      <c r="P141" s="213"/>
      <c r="Q141" s="213"/>
      <c r="R141" s="213"/>
      <c r="S141" s="213"/>
      <c r="T141" s="213"/>
      <c r="U141" s="213"/>
      <c r="V141" s="213"/>
      <c r="W141" s="213"/>
      <c r="X141" s="213"/>
      <c r="Y141" s="213"/>
      <c r="Z141" s="213"/>
      <c r="AA141" s="213"/>
      <c r="AB141" s="211"/>
      <c r="AC141" s="211"/>
      <c r="AD141" s="211"/>
      <c r="AE141" s="211"/>
      <c r="AF141" s="211"/>
      <c r="AG141" s="211">
        <f>INDEX($C$44:$AN$66,MATCH("New Customers 1MS",$C$44:$C$66,0),MATCH($C141,$C$44:$AN$44,0))</f>
        <v>3.1254654255319152</v>
      </c>
      <c r="AH141" s="211">
        <f t="shared" ref="AH141:AN141" si="111">$AG$141*(E111)</f>
        <v>0.26680802413077315</v>
      </c>
      <c r="AI141" s="211">
        <f t="shared" si="111"/>
        <v>1.1543530839943659</v>
      </c>
      <c r="AJ141" s="211">
        <f t="shared" si="111"/>
        <v>1.7641999962932762</v>
      </c>
      <c r="AK141" s="211">
        <f t="shared" si="111"/>
        <v>2.1181290078953223</v>
      </c>
      <c r="AL141" s="211">
        <f t="shared" si="111"/>
        <v>2.3413765382904592</v>
      </c>
      <c r="AM141" s="211">
        <f t="shared" si="111"/>
        <v>2.488393204648232</v>
      </c>
      <c r="AN141" s="211">
        <f t="shared" si="111"/>
        <v>2.586404315553414</v>
      </c>
    </row>
    <row r="142" spans="2:40" s="7" customFormat="1" ht="12" hidden="1" customHeight="1" outlineLevel="2">
      <c r="B142" s="245"/>
      <c r="C142" s="213" t="s">
        <v>782</v>
      </c>
      <c r="D142" s="213"/>
      <c r="E142" s="213"/>
      <c r="F142" s="213"/>
      <c r="G142" s="213"/>
      <c r="H142" s="213"/>
      <c r="I142" s="213"/>
      <c r="J142" s="213"/>
      <c r="K142" s="213"/>
      <c r="L142" s="213"/>
      <c r="M142" s="213"/>
      <c r="N142" s="213"/>
      <c r="O142" s="213"/>
      <c r="P142" s="213"/>
      <c r="Q142" s="213"/>
      <c r="R142" s="213"/>
      <c r="S142" s="213"/>
      <c r="T142" s="213"/>
      <c r="U142" s="213"/>
      <c r="V142" s="213"/>
      <c r="W142" s="213"/>
      <c r="X142" s="213"/>
      <c r="Y142" s="213"/>
      <c r="Z142" s="213"/>
      <c r="AA142" s="213"/>
      <c r="AB142" s="211"/>
      <c r="AC142" s="211"/>
      <c r="AD142" s="211"/>
      <c r="AE142" s="211"/>
      <c r="AF142" s="211"/>
      <c r="AG142" s="211"/>
      <c r="AH142" s="211">
        <f>INDEX($C$44:$AN$66,MATCH("New Customers 1MS",$C$44:$C$66,0),MATCH($C142,$C$44:$AN$44,0))</f>
        <v>7.5903590425531924</v>
      </c>
      <c r="AI142" s="211">
        <f t="shared" ref="AI142:AN142" si="112">$AH$142*(E111)</f>
        <v>0.64795747924234537</v>
      </c>
      <c r="AJ142" s="211">
        <f t="shared" si="112"/>
        <v>2.8034078693750466</v>
      </c>
      <c r="AK142" s="211">
        <f t="shared" si="112"/>
        <v>4.284453536214694</v>
      </c>
      <c r="AL142" s="211">
        <f t="shared" si="112"/>
        <v>5.1439889678627031</v>
      </c>
      <c r="AM142" s="211">
        <f t="shared" si="112"/>
        <v>5.6861574709022173</v>
      </c>
      <c r="AN142" s="211">
        <f t="shared" si="112"/>
        <v>6.0431952655867756</v>
      </c>
    </row>
    <row r="143" spans="2:40" s="7" customFormat="1" ht="12" hidden="1" customHeight="1" outlineLevel="2">
      <c r="B143" s="245"/>
      <c r="C143" s="213" t="s">
        <v>783</v>
      </c>
      <c r="D143" s="213"/>
      <c r="E143" s="213"/>
      <c r="F143" s="213"/>
      <c r="G143" s="213"/>
      <c r="H143" s="213"/>
      <c r="I143" s="213"/>
      <c r="J143" s="213"/>
      <c r="K143" s="213"/>
      <c r="L143" s="213"/>
      <c r="M143" s="213"/>
      <c r="N143" s="213"/>
      <c r="O143" s="213"/>
      <c r="P143" s="213"/>
      <c r="Q143" s="213"/>
      <c r="R143" s="213"/>
      <c r="S143" s="213"/>
      <c r="T143" s="213"/>
      <c r="U143" s="213"/>
      <c r="V143" s="213"/>
      <c r="W143" s="213"/>
      <c r="X143" s="213"/>
      <c r="Y143" s="213"/>
      <c r="Z143" s="213"/>
      <c r="AA143" s="213"/>
      <c r="AB143" s="211"/>
      <c r="AC143" s="211"/>
      <c r="AD143" s="211"/>
      <c r="AE143" s="211"/>
      <c r="AF143" s="211"/>
      <c r="AG143" s="211"/>
      <c r="AH143" s="211"/>
      <c r="AI143" s="211">
        <f>INDEX($C$44:$AN$66,MATCH("New Customers 1MS",$C$44:$C$66,0),MATCH($C143,$C$44:$AN$44,0))</f>
        <v>1.3960221631205674</v>
      </c>
      <c r="AJ143" s="211">
        <f>$AI$143*(E111)</f>
        <v>0.11917262368102399</v>
      </c>
      <c r="AK143" s="211">
        <f>$AI$143*(F111)</f>
        <v>0.51560400449749177</v>
      </c>
      <c r="AL143" s="211">
        <f>$AI$143*(G111)</f>
        <v>0.78799857291126107</v>
      </c>
      <c r="AM143" s="211">
        <f>$AI$143*(H111)</f>
        <v>0.94608470636568065</v>
      </c>
      <c r="AN143" s="211">
        <f>$AI$143*(I111)</f>
        <v>1.045800575160007</v>
      </c>
    </row>
    <row r="144" spans="2:40" s="7" customFormat="1" ht="12" hidden="1" customHeight="1" outlineLevel="2">
      <c r="B144" s="245"/>
      <c r="C144" s="213" t="s">
        <v>784</v>
      </c>
      <c r="D144" s="213"/>
      <c r="E144" s="213"/>
      <c r="F144" s="213"/>
      <c r="G144" s="213"/>
      <c r="H144" s="213"/>
      <c r="I144" s="213"/>
      <c r="J144" s="213"/>
      <c r="K144" s="213"/>
      <c r="L144" s="213"/>
      <c r="M144" s="213"/>
      <c r="N144" s="213"/>
      <c r="O144" s="213"/>
      <c r="P144" s="213"/>
      <c r="Q144" s="213"/>
      <c r="R144" s="213"/>
      <c r="S144" s="213"/>
      <c r="T144" s="213"/>
      <c r="U144" s="213"/>
      <c r="V144" s="213"/>
      <c r="W144" s="213"/>
      <c r="X144" s="213"/>
      <c r="Y144" s="213"/>
      <c r="Z144" s="213"/>
      <c r="AA144" s="213"/>
      <c r="AB144" s="211"/>
      <c r="AC144" s="211"/>
      <c r="AD144" s="211"/>
      <c r="AE144" s="211"/>
      <c r="AF144" s="211"/>
      <c r="AG144" s="211"/>
      <c r="AH144" s="211"/>
      <c r="AI144" s="211"/>
      <c r="AJ144" s="211">
        <f>INDEX($C$44:$AN$66,MATCH("New Customers 1MS",$C$44:$C$66,0),MATCH($C144,$C$44:$AN$44,0))</f>
        <v>2.6032845744680855</v>
      </c>
      <c r="AK144" s="211">
        <f>$AJ$144*(E111)</f>
        <v>0.22223161001556818</v>
      </c>
      <c r="AL144" s="211">
        <f>$AJ$144*(F111)</f>
        <v>0.96149186374082585</v>
      </c>
      <c r="AM144" s="211">
        <f>$AJ$144*(G111)</f>
        <v>1.4694498294906964</v>
      </c>
      <c r="AN144" s="211">
        <f>$AJ$144*(H111)</f>
        <v>1.7642468631848174</v>
      </c>
    </row>
    <row r="145" spans="2:41" s="7" customFormat="1" ht="12" hidden="1" customHeight="1" outlineLevel="2">
      <c r="B145" s="245"/>
      <c r="C145" s="213" t="s">
        <v>785</v>
      </c>
      <c r="D145" s="213"/>
      <c r="E145" s="213"/>
      <c r="F145" s="213"/>
      <c r="G145" s="213"/>
      <c r="H145" s="213"/>
      <c r="I145" s="213"/>
      <c r="J145" s="213"/>
      <c r="K145" s="213"/>
      <c r="L145" s="213"/>
      <c r="M145" s="213"/>
      <c r="N145" s="213"/>
      <c r="O145" s="213"/>
      <c r="P145" s="213"/>
      <c r="Q145" s="213"/>
      <c r="R145" s="213"/>
      <c r="S145" s="213"/>
      <c r="T145" s="213"/>
      <c r="U145" s="213"/>
      <c r="V145" s="213"/>
      <c r="W145" s="213"/>
      <c r="X145" s="213"/>
      <c r="Y145" s="213"/>
      <c r="Z145" s="213"/>
      <c r="AA145" s="213"/>
      <c r="AB145" s="211"/>
      <c r="AC145" s="211"/>
      <c r="AD145" s="211"/>
      <c r="AE145" s="211"/>
      <c r="AF145" s="211"/>
      <c r="AG145" s="211"/>
      <c r="AH145" s="211"/>
      <c r="AI145" s="211"/>
      <c r="AJ145" s="211"/>
      <c r="AK145" s="211">
        <f>INDEX($C$44:$AN$66,MATCH("New Customers 1MS",$C$44:$C$66,0),MATCH($C145,$C$44:$AN$44,0))</f>
        <v>8.9893617021276597</v>
      </c>
      <c r="AL145" s="211">
        <f>$AK$145*(E111)</f>
        <v>0.76738453554748287</v>
      </c>
      <c r="AM145" s="211">
        <f>$AK$145*(F111)</f>
        <v>3.3201126844095188</v>
      </c>
      <c r="AN145" s="211">
        <f>$AK$145*(G111)</f>
        <v>5.0741344799466237</v>
      </c>
    </row>
    <row r="146" spans="2:41" s="7" customFormat="1" ht="12" hidden="1" customHeight="1" outlineLevel="2">
      <c r="B146" s="245"/>
      <c r="C146" s="213" t="s">
        <v>786</v>
      </c>
      <c r="D146" s="213"/>
      <c r="E146" s="213"/>
      <c r="F146" s="213"/>
      <c r="G146" s="213"/>
      <c r="H146" s="213"/>
      <c r="I146" s="213"/>
      <c r="J146" s="213"/>
      <c r="K146" s="213"/>
      <c r="L146" s="213"/>
      <c r="M146" s="213"/>
      <c r="N146" s="213"/>
      <c r="O146" s="213"/>
      <c r="P146" s="213"/>
      <c r="Q146" s="213"/>
      <c r="R146" s="213"/>
      <c r="S146" s="213"/>
      <c r="T146" s="213"/>
      <c r="U146" s="213"/>
      <c r="V146" s="213"/>
      <c r="W146" s="213"/>
      <c r="X146" s="213"/>
      <c r="Y146" s="213"/>
      <c r="Z146" s="213"/>
      <c r="AA146" s="213"/>
      <c r="AB146" s="211"/>
      <c r="AC146" s="211"/>
      <c r="AD146" s="211"/>
      <c r="AE146" s="211"/>
      <c r="AF146" s="211"/>
      <c r="AG146" s="211"/>
      <c r="AH146" s="211"/>
      <c r="AI146" s="211"/>
      <c r="AJ146" s="211"/>
      <c r="AK146" s="211"/>
      <c r="AL146" s="211">
        <f>INDEX($C$44:$AN$66,MATCH("New Customers 1MS",$C$44:$C$66,0),MATCH($C146,$C$44:$AN$44,0))</f>
        <v>7.6595744680851068</v>
      </c>
      <c r="AM146" s="211">
        <f>$AL$146*(E111)</f>
        <v>0.65386611312921616</v>
      </c>
      <c r="AN146" s="211">
        <f>$AL$146*(F111)</f>
        <v>2.8289717547631401</v>
      </c>
    </row>
    <row r="147" spans="2:41" s="7" customFormat="1" ht="12" hidden="1" customHeight="1" outlineLevel="2">
      <c r="B147" s="245"/>
      <c r="C147" s="213" t="s">
        <v>787</v>
      </c>
      <c r="D147" s="213"/>
      <c r="E147" s="213"/>
      <c r="F147" s="213"/>
      <c r="G147" s="213"/>
      <c r="H147" s="213"/>
      <c r="I147" s="213"/>
      <c r="J147" s="213"/>
      <c r="K147" s="213"/>
      <c r="L147" s="213"/>
      <c r="M147" s="213"/>
      <c r="N147" s="213"/>
      <c r="O147" s="213"/>
      <c r="P147" s="213"/>
      <c r="Q147" s="213"/>
      <c r="R147" s="213"/>
      <c r="S147" s="213"/>
      <c r="T147" s="213"/>
      <c r="U147" s="213"/>
      <c r="V147" s="213"/>
      <c r="W147" s="213"/>
      <c r="X147" s="213"/>
      <c r="Y147" s="213"/>
      <c r="Z147" s="213"/>
      <c r="AA147" s="213"/>
      <c r="AB147" s="211"/>
      <c r="AC147" s="211"/>
      <c r="AD147" s="211"/>
      <c r="AE147" s="211"/>
      <c r="AF147" s="211"/>
      <c r="AG147" s="211"/>
      <c r="AH147" s="211"/>
      <c r="AI147" s="211"/>
      <c r="AJ147" s="211"/>
      <c r="AK147" s="211"/>
      <c r="AL147" s="211"/>
      <c r="AM147" s="211">
        <f>INDEX($C$44:$AN$66,MATCH("New Customers 1MS",$C$44:$C$66,0),MATCH($C147,$C$44:$AN$44,0))</f>
        <v>1.4893617021276597</v>
      </c>
      <c r="AN147" s="211">
        <f>$AM$147*(E111)</f>
        <v>0.12714063310845872</v>
      </c>
    </row>
    <row r="148" spans="2:41" s="7" customFormat="1" ht="12" hidden="1" customHeight="1" outlineLevel="2">
      <c r="B148" s="245"/>
      <c r="C148" s="213" t="s">
        <v>788</v>
      </c>
      <c r="D148" s="213"/>
      <c r="E148" s="213"/>
      <c r="F148" s="213"/>
      <c r="G148" s="213"/>
      <c r="H148" s="213"/>
      <c r="I148" s="213"/>
      <c r="J148" s="213"/>
      <c r="K148" s="213"/>
      <c r="L148" s="213"/>
      <c r="M148" s="213"/>
      <c r="N148" s="213"/>
      <c r="O148" s="213"/>
      <c r="P148" s="213"/>
      <c r="Q148" s="213"/>
      <c r="R148" s="213"/>
      <c r="S148" s="213"/>
      <c r="T148" s="213"/>
      <c r="U148" s="213"/>
      <c r="V148" s="213"/>
      <c r="W148" s="213"/>
      <c r="X148" s="213"/>
      <c r="Y148" s="213"/>
      <c r="Z148" s="213"/>
      <c r="AA148" s="213"/>
      <c r="AB148" s="211"/>
      <c r="AC148" s="211"/>
      <c r="AD148" s="211"/>
      <c r="AE148" s="211"/>
      <c r="AF148" s="211"/>
      <c r="AG148" s="211"/>
      <c r="AH148" s="211"/>
      <c r="AI148" s="211"/>
      <c r="AJ148" s="211"/>
      <c r="AK148" s="211"/>
      <c r="AL148" s="211"/>
      <c r="AM148" s="211"/>
      <c r="AN148" s="211">
        <f>INDEX($C$44:$AN$66,MATCH("New Customers 1MS",$C$44:$C$66,0),MATCH($C148,$C$44:$AN$44,0))</f>
        <v>2.1276595744680851</v>
      </c>
    </row>
    <row r="149" spans="2:41" s="7" customFormat="1" ht="12" hidden="1" customHeight="1" outlineLevel="2">
      <c r="B149" s="245"/>
      <c r="C149" s="213"/>
      <c r="D149" s="213"/>
      <c r="E149" s="213"/>
      <c r="F149" s="213"/>
      <c r="G149" s="213"/>
      <c r="H149" s="213"/>
      <c r="I149" s="213"/>
      <c r="J149" s="213"/>
      <c r="K149" s="213"/>
      <c r="L149" s="213"/>
      <c r="M149" s="213"/>
      <c r="N149" s="213"/>
      <c r="O149" s="213"/>
      <c r="P149" s="213"/>
      <c r="Q149" s="213"/>
      <c r="R149" s="213"/>
      <c r="S149" s="213"/>
      <c r="T149" s="213"/>
      <c r="U149" s="213"/>
      <c r="V149" s="213"/>
      <c r="W149" s="213"/>
      <c r="X149" s="213"/>
      <c r="Y149" s="213"/>
      <c r="Z149" s="213"/>
      <c r="AA149" s="213"/>
      <c r="AB149" s="211"/>
      <c r="AC149" s="211"/>
      <c r="AD149" s="211"/>
      <c r="AE149" s="211"/>
      <c r="AF149" s="211"/>
      <c r="AG149" s="211"/>
      <c r="AH149" s="211"/>
      <c r="AI149" s="211"/>
      <c r="AJ149" s="211"/>
      <c r="AK149" s="211"/>
      <c r="AL149" s="211"/>
      <c r="AM149" s="211"/>
      <c r="AN149" s="211"/>
    </row>
    <row r="150" spans="2:41" s="7" customFormat="1" ht="12" hidden="1" customHeight="1" outlineLevel="2">
      <c r="B150" s="245"/>
      <c r="C150" s="213"/>
      <c r="D150" s="213"/>
      <c r="E150" s="213"/>
      <c r="F150" s="213"/>
      <c r="G150" s="213"/>
      <c r="H150" s="213"/>
      <c r="I150" s="213"/>
      <c r="J150" s="213"/>
      <c r="K150" s="213"/>
      <c r="L150" s="213"/>
      <c r="M150" s="213"/>
      <c r="N150" s="213"/>
      <c r="O150" s="213"/>
      <c r="P150" s="213"/>
      <c r="Q150" s="213"/>
      <c r="R150" s="213"/>
      <c r="S150" s="213"/>
      <c r="T150" s="213"/>
      <c r="U150" s="213"/>
      <c r="V150" s="213"/>
      <c r="W150" s="213"/>
      <c r="X150" s="213"/>
      <c r="Y150" s="213"/>
      <c r="Z150" s="213"/>
      <c r="AA150" s="213"/>
      <c r="AB150" s="211"/>
      <c r="AC150" s="211"/>
      <c r="AD150" s="211"/>
      <c r="AE150" s="211"/>
      <c r="AF150" s="211"/>
      <c r="AG150" s="211"/>
      <c r="AH150" s="211"/>
      <c r="AI150" s="211"/>
      <c r="AJ150" s="211"/>
      <c r="AK150" s="211"/>
      <c r="AL150" s="211"/>
      <c r="AM150" s="211"/>
      <c r="AN150" s="211"/>
    </row>
    <row r="151" spans="2:41" s="7" customFormat="1" ht="12" hidden="1" customHeight="1" outlineLevel="2">
      <c r="B151" s="245"/>
      <c r="C151" s="243" t="s">
        <v>854</v>
      </c>
      <c r="D151" s="213"/>
      <c r="E151" s="213"/>
      <c r="F151" s="213"/>
      <c r="G151" s="213"/>
      <c r="H151" s="213"/>
      <c r="I151" s="213"/>
      <c r="J151" s="213"/>
      <c r="K151" s="213"/>
      <c r="L151" s="213"/>
      <c r="M151" s="213"/>
      <c r="N151" s="213"/>
      <c r="O151" s="213"/>
      <c r="P151" s="213"/>
      <c r="Q151" s="213"/>
      <c r="R151" s="213"/>
      <c r="S151" s="213"/>
      <c r="T151" s="213"/>
      <c r="U151" s="213"/>
      <c r="V151" s="213"/>
      <c r="W151" s="213"/>
      <c r="X151" s="213"/>
      <c r="Y151" s="213"/>
      <c r="Z151" s="213"/>
      <c r="AA151" s="213"/>
      <c r="AB151" s="213"/>
      <c r="AC151" s="211"/>
    </row>
    <row r="152" spans="2:41" s="7" customFormat="1" ht="12" hidden="1" customHeight="1" outlineLevel="2">
      <c r="B152" s="239"/>
      <c r="C152" s="214" t="s">
        <v>850</v>
      </c>
      <c r="D152" s="214"/>
      <c r="E152" s="196" t="s">
        <v>753</v>
      </c>
      <c r="F152" s="196" t="s">
        <v>754</v>
      </c>
      <c r="G152" s="196" t="s">
        <v>755</v>
      </c>
      <c r="H152" s="196" t="s">
        <v>756</v>
      </c>
      <c r="I152" s="196" t="s">
        <v>757</v>
      </c>
      <c r="J152" s="196" t="s">
        <v>758</v>
      </c>
      <c r="K152" s="196" t="s">
        <v>759</v>
      </c>
      <c r="L152" s="196" t="s">
        <v>760</v>
      </c>
      <c r="M152" s="196" t="s">
        <v>761</v>
      </c>
      <c r="N152" s="196" t="s">
        <v>762</v>
      </c>
      <c r="O152" s="196" t="s">
        <v>763</v>
      </c>
      <c r="P152" s="196" t="s">
        <v>764</v>
      </c>
      <c r="Q152" s="196" t="s">
        <v>765</v>
      </c>
      <c r="R152" s="196" t="s">
        <v>766</v>
      </c>
      <c r="S152" s="196" t="s">
        <v>767</v>
      </c>
      <c r="T152" s="196" t="s">
        <v>768</v>
      </c>
      <c r="U152" s="196" t="s">
        <v>769</v>
      </c>
      <c r="V152" s="196" t="s">
        <v>770</v>
      </c>
      <c r="W152" s="196" t="s">
        <v>771</v>
      </c>
      <c r="X152" s="196" t="s">
        <v>772</v>
      </c>
      <c r="Y152" s="196" t="s">
        <v>773</v>
      </c>
      <c r="Z152" s="196" t="s">
        <v>774</v>
      </c>
      <c r="AA152" s="196" t="s">
        <v>775</v>
      </c>
      <c r="AB152" s="196" t="s">
        <v>776</v>
      </c>
      <c r="AC152" s="196" t="s">
        <v>777</v>
      </c>
      <c r="AD152" s="196" t="s">
        <v>778</v>
      </c>
      <c r="AE152" s="196" t="s">
        <v>779</v>
      </c>
      <c r="AF152" s="196" t="s">
        <v>780</v>
      </c>
      <c r="AG152" s="196" t="s">
        <v>781</v>
      </c>
      <c r="AH152" s="196" t="s">
        <v>782</v>
      </c>
      <c r="AI152" s="196" t="s">
        <v>783</v>
      </c>
      <c r="AJ152" s="196" t="s">
        <v>784</v>
      </c>
      <c r="AK152" s="196" t="s">
        <v>785</v>
      </c>
      <c r="AL152" s="196" t="s">
        <v>786</v>
      </c>
      <c r="AM152" s="196" t="s">
        <v>787</v>
      </c>
      <c r="AN152" s="196" t="s">
        <v>788</v>
      </c>
    </row>
    <row r="153" spans="2:41" s="7" customFormat="1" ht="12" hidden="1" customHeight="1" outlineLevel="2">
      <c r="B153" s="239"/>
      <c r="C153" s="247" t="s">
        <v>851</v>
      </c>
      <c r="D153" s="212"/>
      <c r="E153" s="345">
        <v>0.9</v>
      </c>
      <c r="F153" s="342"/>
      <c r="G153" s="342"/>
      <c r="H153" s="345">
        <v>0.6</v>
      </c>
      <c r="I153" s="342"/>
      <c r="J153" s="342"/>
      <c r="K153" s="345">
        <v>0.4</v>
      </c>
      <c r="L153" s="342"/>
      <c r="M153" s="342"/>
      <c r="N153" s="345">
        <v>0.2</v>
      </c>
      <c r="O153" s="342"/>
      <c r="P153" s="342"/>
      <c r="Q153" s="345">
        <v>0.15</v>
      </c>
      <c r="R153" s="342"/>
      <c r="S153" s="342"/>
      <c r="T153" s="345">
        <v>0.1</v>
      </c>
      <c r="U153" s="342"/>
      <c r="V153" s="342"/>
      <c r="W153" s="345">
        <v>0.08</v>
      </c>
      <c r="X153" s="342"/>
      <c r="Y153" s="342"/>
      <c r="Z153" s="345">
        <v>7.0000000000000007E-2</v>
      </c>
      <c r="AA153" s="342"/>
      <c r="AB153" s="342"/>
      <c r="AC153" s="345">
        <v>0.05</v>
      </c>
      <c r="AD153" s="342"/>
      <c r="AE153" s="342"/>
      <c r="AF153" s="345">
        <v>0.04</v>
      </c>
      <c r="AG153" s="342"/>
      <c r="AH153" s="342"/>
      <c r="AI153" s="345">
        <v>0.02</v>
      </c>
      <c r="AJ153" s="342"/>
      <c r="AK153" s="342"/>
      <c r="AL153" s="345">
        <v>0.01</v>
      </c>
      <c r="AM153" s="342"/>
      <c r="AN153" s="342"/>
    </row>
    <row r="154" spans="2:41" s="7" customFormat="1" ht="12" hidden="1" customHeight="1" outlineLevel="2">
      <c r="B154" s="239"/>
      <c r="C154" s="214" t="s">
        <v>852</v>
      </c>
      <c r="D154" s="212"/>
      <c r="E154" s="211">
        <f>86*66%</f>
        <v>56.760000000000005</v>
      </c>
      <c r="F154" s="211">
        <f>69-28</f>
        <v>41</v>
      </c>
      <c r="G154" s="211">
        <f>111-28</f>
        <v>83</v>
      </c>
      <c r="H154" s="211">
        <f>E154*0.98-27</f>
        <v>28.6248</v>
      </c>
      <c r="I154" s="211">
        <f>F154*0.98-40</f>
        <v>0.17999999999999972</v>
      </c>
      <c r="J154" s="211">
        <f t="shared" ref="J154:AN154" si="113">G154*0.98</f>
        <v>81.34</v>
      </c>
      <c r="K154" s="211">
        <f t="shared" si="113"/>
        <v>28.052303999999999</v>
      </c>
      <c r="L154" s="211">
        <f t="shared" si="113"/>
        <v>0.17639999999999972</v>
      </c>
      <c r="M154" s="211">
        <f t="shared" si="113"/>
        <v>79.713200000000001</v>
      </c>
      <c r="N154" s="211">
        <f t="shared" si="113"/>
        <v>27.491257919999999</v>
      </c>
      <c r="O154" s="211">
        <f t="shared" si="113"/>
        <v>0.17287199999999972</v>
      </c>
      <c r="P154" s="211">
        <f t="shared" si="113"/>
        <v>78.118936000000005</v>
      </c>
      <c r="Q154" s="211">
        <f t="shared" si="113"/>
        <v>26.941432761599998</v>
      </c>
      <c r="R154" s="211">
        <f t="shared" si="113"/>
        <v>0.16941455999999971</v>
      </c>
      <c r="S154" s="211">
        <f t="shared" si="113"/>
        <v>76.556557280000007</v>
      </c>
      <c r="T154" s="211">
        <f t="shared" si="113"/>
        <v>26.402604106367999</v>
      </c>
      <c r="U154" s="211">
        <f t="shared" si="113"/>
        <v>0.16602626879999971</v>
      </c>
      <c r="V154" s="211">
        <f t="shared" si="113"/>
        <v>75.025426134400007</v>
      </c>
      <c r="W154" s="211">
        <f t="shared" si="113"/>
        <v>25.874552024240639</v>
      </c>
      <c r="X154" s="211">
        <f t="shared" si="113"/>
        <v>0.16270574342399971</v>
      </c>
      <c r="Y154" s="211">
        <f t="shared" si="113"/>
        <v>73.524917611711999</v>
      </c>
      <c r="Z154" s="211">
        <f t="shared" si="113"/>
        <v>25.357060983755826</v>
      </c>
      <c r="AA154" s="211">
        <f t="shared" si="113"/>
        <v>0.15945162855551973</v>
      </c>
      <c r="AB154" s="211">
        <f t="shared" si="113"/>
        <v>72.054419259477754</v>
      </c>
      <c r="AC154" s="211">
        <f t="shared" si="113"/>
        <v>24.84991976408071</v>
      </c>
      <c r="AD154" s="211">
        <f t="shared" si="113"/>
        <v>0.15626259598440934</v>
      </c>
      <c r="AE154" s="211">
        <f t="shared" si="113"/>
        <v>70.613330874288195</v>
      </c>
      <c r="AF154" s="211">
        <f t="shared" si="113"/>
        <v>24.352921368799095</v>
      </c>
      <c r="AG154" s="211">
        <f t="shared" si="113"/>
        <v>0.15313734406472115</v>
      </c>
      <c r="AH154" s="211">
        <f t="shared" si="113"/>
        <v>69.201064256802425</v>
      </c>
      <c r="AI154" s="211">
        <f t="shared" si="113"/>
        <v>23.865862941423114</v>
      </c>
      <c r="AJ154" s="211">
        <f t="shared" si="113"/>
        <v>0.15007459718342672</v>
      </c>
      <c r="AK154" s="211">
        <f t="shared" si="113"/>
        <v>67.817042971666382</v>
      </c>
      <c r="AL154" s="211">
        <f t="shared" si="113"/>
        <v>23.38854568259465</v>
      </c>
      <c r="AM154" s="211">
        <f t="shared" si="113"/>
        <v>0.1470731052397582</v>
      </c>
      <c r="AN154" s="211">
        <f t="shared" si="113"/>
        <v>66.460702112233051</v>
      </c>
      <c r="AO154" s="211"/>
    </row>
    <row r="155" spans="2:41" s="7" customFormat="1" ht="12" hidden="1" customHeight="1" outlineLevel="2">
      <c r="B155" s="245"/>
      <c r="C155" s="213" t="s">
        <v>753</v>
      </c>
      <c r="D155" s="213"/>
      <c r="E155" s="211">
        <f>INDEX($C$44:$AN$66,MATCH("New Customers 3MS",$C$44:$C$66,0),MATCH($C155,$C$44:$AN$44,0))</f>
        <v>0</v>
      </c>
      <c r="F155" s="211"/>
      <c r="G155" s="211"/>
      <c r="H155" s="211">
        <f>E155*(E153)</f>
        <v>0</v>
      </c>
      <c r="I155" s="211"/>
      <c r="J155" s="211"/>
      <c r="K155" s="211">
        <f>$E$155*(H153)</f>
        <v>0</v>
      </c>
      <c r="L155" s="211"/>
      <c r="M155" s="211"/>
      <c r="N155" s="211">
        <f>$E$155*(K153)</f>
        <v>0</v>
      </c>
      <c r="O155" s="211"/>
      <c r="P155" s="211"/>
      <c r="Q155" s="211">
        <f>$E$155*(N153)</f>
        <v>0</v>
      </c>
      <c r="R155" s="211"/>
      <c r="S155" s="211"/>
      <c r="T155" s="211">
        <f>$E$155*(Q153)</f>
        <v>0</v>
      </c>
      <c r="U155" s="211"/>
      <c r="V155" s="211"/>
      <c r="W155" s="211">
        <f>$E$155*(T153)</f>
        <v>0</v>
      </c>
      <c r="X155" s="211"/>
      <c r="Y155" s="211"/>
      <c r="Z155" s="211">
        <f>$E$155*(W153)</f>
        <v>0</v>
      </c>
      <c r="AA155" s="211"/>
      <c r="AB155" s="211"/>
      <c r="AC155" s="211">
        <f>$E$155*(Z153)</f>
        <v>0</v>
      </c>
      <c r="AD155" s="211"/>
      <c r="AE155" s="211"/>
      <c r="AF155" s="211">
        <f>$E$155*(AC153)</f>
        <v>0</v>
      </c>
      <c r="AG155" s="211"/>
      <c r="AH155" s="211"/>
      <c r="AI155" s="211">
        <f>$E$155*(AF153)</f>
        <v>0</v>
      </c>
      <c r="AJ155" s="211"/>
      <c r="AK155" s="211"/>
      <c r="AL155" s="211">
        <f>$E$155*(AI153)</f>
        <v>0</v>
      </c>
      <c r="AM155" s="211"/>
      <c r="AN155" s="211"/>
    </row>
    <row r="156" spans="2:41" s="7" customFormat="1" ht="12" hidden="1" customHeight="1" outlineLevel="2">
      <c r="B156" s="245"/>
      <c r="C156" s="213" t="s">
        <v>754</v>
      </c>
      <c r="D156" s="213"/>
      <c r="E156" s="213"/>
      <c r="F156" s="211">
        <f>INDEX($C$44:$AN$66,MATCH("New Customers 3MS",$C$44:$C$66,0),MATCH($C156,$C$44:$AN$44,0))</f>
        <v>0</v>
      </c>
      <c r="G156" s="211"/>
      <c r="H156" s="211"/>
      <c r="I156" s="211">
        <f>$F$156*(E153)</f>
        <v>0</v>
      </c>
      <c r="J156" s="211"/>
      <c r="K156" s="211"/>
      <c r="L156" s="211">
        <f>$F$156*(H153)</f>
        <v>0</v>
      </c>
      <c r="M156" s="211"/>
      <c r="N156" s="211"/>
      <c r="O156" s="211">
        <f>$F$156*(K153)</f>
        <v>0</v>
      </c>
      <c r="P156" s="211"/>
      <c r="Q156" s="211"/>
      <c r="R156" s="211">
        <f>$F$156*(N153)</f>
        <v>0</v>
      </c>
      <c r="S156" s="211"/>
      <c r="T156" s="211"/>
      <c r="U156" s="211">
        <f>$F$156*(Q153)</f>
        <v>0</v>
      </c>
      <c r="V156" s="211"/>
      <c r="W156" s="211"/>
      <c r="X156" s="211">
        <f>$F$156*(T153)</f>
        <v>0</v>
      </c>
      <c r="Y156" s="211"/>
      <c r="Z156" s="211"/>
      <c r="AA156" s="211">
        <f>$F$156*(W153)</f>
        <v>0</v>
      </c>
      <c r="AB156" s="211"/>
      <c r="AC156" s="211"/>
      <c r="AD156" s="211">
        <f>$F$156*(Z153)</f>
        <v>0</v>
      </c>
      <c r="AE156" s="211"/>
      <c r="AF156" s="211"/>
      <c r="AG156" s="211">
        <f>$F$156*(AC153)</f>
        <v>0</v>
      </c>
      <c r="AH156" s="211"/>
      <c r="AI156" s="211"/>
      <c r="AJ156" s="211">
        <f>$F$156*(AF153)</f>
        <v>0</v>
      </c>
      <c r="AK156" s="211"/>
      <c r="AL156" s="211"/>
      <c r="AM156" s="211">
        <f>$F$156*(AI153)</f>
        <v>0</v>
      </c>
      <c r="AN156" s="211"/>
    </row>
    <row r="157" spans="2:41" s="7" customFormat="1" ht="12" hidden="1" customHeight="1" outlineLevel="2">
      <c r="B157" s="245"/>
      <c r="C157" s="213" t="s">
        <v>755</v>
      </c>
      <c r="D157" s="213"/>
      <c r="E157" s="213"/>
      <c r="F157" s="213"/>
      <c r="G157" s="211">
        <f>INDEX($C$44:$AN$66,MATCH("New Customers 3MS",$C$44:$C$66,0),MATCH($C157,$C$44:$AN$44,0))</f>
        <v>0</v>
      </c>
      <c r="H157" s="211"/>
      <c r="I157" s="211"/>
      <c r="J157" s="211">
        <f>$G$157*(E153)</f>
        <v>0</v>
      </c>
      <c r="K157" s="211"/>
      <c r="L157" s="211"/>
      <c r="M157" s="211">
        <f>$G$157*(H153)</f>
        <v>0</v>
      </c>
      <c r="N157" s="211"/>
      <c r="O157" s="211"/>
      <c r="P157" s="211">
        <f>$G$157*(K153)</f>
        <v>0</v>
      </c>
      <c r="Q157" s="211"/>
      <c r="R157" s="211"/>
      <c r="S157" s="211">
        <f>$G$157*(N153)</f>
        <v>0</v>
      </c>
      <c r="T157" s="211"/>
      <c r="U157" s="211"/>
      <c r="V157" s="211">
        <f>$G$157*(Q153)</f>
        <v>0</v>
      </c>
      <c r="W157" s="211"/>
      <c r="X157" s="211"/>
      <c r="Y157" s="211">
        <f>$G$157*(T153)</f>
        <v>0</v>
      </c>
      <c r="Z157" s="211"/>
      <c r="AA157" s="211"/>
      <c r="AB157" s="211">
        <f>$G$157*(W153)</f>
        <v>0</v>
      </c>
      <c r="AC157" s="211"/>
      <c r="AD157" s="211"/>
      <c r="AE157" s="211">
        <f>$G$157*(Z153)</f>
        <v>0</v>
      </c>
      <c r="AF157" s="211"/>
      <c r="AG157" s="211"/>
      <c r="AH157" s="211">
        <f>$G$157*(AC153)</f>
        <v>0</v>
      </c>
      <c r="AI157" s="211"/>
      <c r="AJ157" s="211"/>
      <c r="AK157" s="211">
        <f>$G$157*(AF153)</f>
        <v>0</v>
      </c>
      <c r="AL157" s="211"/>
      <c r="AM157" s="211"/>
      <c r="AN157" s="211">
        <f>$G$157*(AI153)</f>
        <v>0</v>
      </c>
    </row>
    <row r="158" spans="2:41" s="7" customFormat="1" ht="12" hidden="1" customHeight="1" outlineLevel="2">
      <c r="B158" s="245"/>
      <c r="C158" s="213" t="s">
        <v>756</v>
      </c>
      <c r="D158" s="213"/>
      <c r="E158" s="213"/>
      <c r="F158" s="213"/>
      <c r="G158" s="213"/>
      <c r="H158" s="211">
        <f>INDEX($C$44:$AN$66,MATCH("New Customers 3MS",$C$44:$C$66,0),MATCH($C158,$C$44:$AN$44,0))</f>
        <v>0</v>
      </c>
      <c r="I158" s="211"/>
      <c r="J158" s="211"/>
      <c r="K158" s="211">
        <f>$H$158*(E153)</f>
        <v>0</v>
      </c>
      <c r="L158" s="211"/>
      <c r="M158" s="211"/>
      <c r="N158" s="211">
        <f>$H$158*(H153)</f>
        <v>0</v>
      </c>
      <c r="O158" s="211"/>
      <c r="P158" s="211"/>
      <c r="Q158" s="211">
        <f>$H$158*(K153)</f>
        <v>0</v>
      </c>
      <c r="R158" s="211"/>
      <c r="S158" s="211"/>
      <c r="T158" s="211">
        <f>$H$158*(N153)</f>
        <v>0</v>
      </c>
      <c r="U158" s="211"/>
      <c r="V158" s="211"/>
      <c r="W158" s="211">
        <f>$H$158*(Q153)</f>
        <v>0</v>
      </c>
      <c r="X158" s="211"/>
      <c r="Y158" s="211"/>
      <c r="Z158" s="211">
        <f>$H$158*(T153)</f>
        <v>0</v>
      </c>
      <c r="AA158" s="211"/>
      <c r="AB158" s="211"/>
      <c r="AC158" s="211">
        <f>$H$158*(W153)</f>
        <v>0</v>
      </c>
      <c r="AD158" s="211"/>
      <c r="AE158" s="211"/>
      <c r="AF158" s="211">
        <f>$H$158*(Z153)</f>
        <v>0</v>
      </c>
      <c r="AG158" s="211"/>
      <c r="AH158" s="211"/>
      <c r="AI158" s="211">
        <f>$H$158*(AC153)</f>
        <v>0</v>
      </c>
      <c r="AJ158" s="211"/>
      <c r="AK158" s="211"/>
      <c r="AL158" s="211">
        <f>$H$158*(AF153)</f>
        <v>0</v>
      </c>
      <c r="AM158" s="211"/>
      <c r="AN158" s="211"/>
    </row>
    <row r="159" spans="2:41" s="7" customFormat="1" ht="12" hidden="1" customHeight="1" outlineLevel="2">
      <c r="B159" s="245"/>
      <c r="C159" s="213" t="s">
        <v>757</v>
      </c>
      <c r="D159" s="213"/>
      <c r="E159" s="213"/>
      <c r="F159" s="213"/>
      <c r="G159" s="213"/>
      <c r="H159" s="213"/>
      <c r="I159" s="211">
        <f>INDEX($C$44:$AN$66,MATCH("New Customers 3MS",$C$44:$C$66,0),MATCH($C159,$C$44:$AN$44,0))</f>
        <v>0</v>
      </c>
      <c r="J159" s="211"/>
      <c r="K159" s="211"/>
      <c r="L159" s="211">
        <f>$I$159*(E153)</f>
        <v>0</v>
      </c>
      <c r="M159" s="211"/>
      <c r="N159" s="211"/>
      <c r="O159" s="211">
        <f>$I$159*(H153)</f>
        <v>0</v>
      </c>
      <c r="P159" s="211"/>
      <c r="Q159" s="211"/>
      <c r="R159" s="211">
        <f>$I$159*(K153)</f>
        <v>0</v>
      </c>
      <c r="S159" s="211"/>
      <c r="T159" s="211"/>
      <c r="U159" s="211">
        <f>$I$159*(N153)</f>
        <v>0</v>
      </c>
      <c r="V159" s="211"/>
      <c r="W159" s="211"/>
      <c r="X159" s="211">
        <f>$I$159*(Q153)</f>
        <v>0</v>
      </c>
      <c r="Y159" s="211"/>
      <c r="Z159" s="211"/>
      <c r="AA159" s="211">
        <f>$I$159*(T153)</f>
        <v>0</v>
      </c>
      <c r="AB159" s="211"/>
      <c r="AC159" s="211"/>
      <c r="AD159" s="211">
        <f>$I$159*(W153)</f>
        <v>0</v>
      </c>
      <c r="AE159" s="211"/>
      <c r="AF159" s="211"/>
      <c r="AG159" s="211">
        <f>$I$159*(Z153)</f>
        <v>0</v>
      </c>
      <c r="AH159" s="211"/>
      <c r="AI159" s="211"/>
      <c r="AJ159" s="211">
        <f>$I$159*(AC153)</f>
        <v>0</v>
      </c>
      <c r="AK159" s="211"/>
      <c r="AL159" s="211"/>
      <c r="AM159" s="211">
        <f>$I$159*(AF153)</f>
        <v>0</v>
      </c>
      <c r="AN159" s="211"/>
    </row>
    <row r="160" spans="2:41" s="7" customFormat="1" ht="12" hidden="1" customHeight="1" outlineLevel="2">
      <c r="B160" s="245"/>
      <c r="C160" s="213" t="s">
        <v>758</v>
      </c>
      <c r="D160" s="213"/>
      <c r="E160" s="213"/>
      <c r="F160" s="213"/>
      <c r="G160" s="213"/>
      <c r="H160" s="213"/>
      <c r="I160" s="213"/>
      <c r="J160" s="211">
        <f>INDEX($C$44:$AN$66,MATCH("New Customers 3MS",$C$44:$C$66,0),MATCH($C160,$C$44:$AN$44,0))</f>
        <v>0</v>
      </c>
      <c r="K160" s="211"/>
      <c r="L160" s="211"/>
      <c r="M160" s="211">
        <f>$J$160*(E153)</f>
        <v>0</v>
      </c>
      <c r="N160" s="211"/>
      <c r="O160" s="211"/>
      <c r="P160" s="211">
        <f>$J$160*(H153)</f>
        <v>0</v>
      </c>
      <c r="Q160" s="211"/>
      <c r="R160" s="211"/>
      <c r="S160" s="211">
        <f>$J$160*(K153)</f>
        <v>0</v>
      </c>
      <c r="T160" s="211"/>
      <c r="U160" s="211"/>
      <c r="V160" s="211">
        <f>$J$160*(N153)</f>
        <v>0</v>
      </c>
      <c r="W160" s="211"/>
      <c r="X160" s="211"/>
      <c r="Y160" s="211">
        <f>$J$160*(Q153)</f>
        <v>0</v>
      </c>
      <c r="Z160" s="211"/>
      <c r="AA160" s="211"/>
      <c r="AB160" s="211">
        <f>$J$160*(T153)</f>
        <v>0</v>
      </c>
      <c r="AC160" s="211"/>
      <c r="AD160" s="211"/>
      <c r="AE160" s="211">
        <f>$J$160*(W153)</f>
        <v>0</v>
      </c>
      <c r="AF160" s="211"/>
      <c r="AG160" s="211"/>
      <c r="AH160" s="211">
        <f>$J$160*(Z153)</f>
        <v>0</v>
      </c>
      <c r="AI160" s="211"/>
      <c r="AJ160" s="211"/>
      <c r="AK160" s="211">
        <f>$J$160*(AC153)</f>
        <v>0</v>
      </c>
      <c r="AL160" s="211"/>
      <c r="AM160" s="211"/>
      <c r="AN160" s="211">
        <f>$J$160*(AF153)</f>
        <v>0</v>
      </c>
    </row>
    <row r="161" spans="2:42" s="7" customFormat="1" ht="12" hidden="1" customHeight="1" outlineLevel="2">
      <c r="B161" s="245"/>
      <c r="C161" s="213" t="s">
        <v>759</v>
      </c>
      <c r="D161" s="213"/>
      <c r="E161" s="213"/>
      <c r="F161" s="213"/>
      <c r="G161" s="213"/>
      <c r="H161" s="213"/>
      <c r="I161" s="213"/>
      <c r="J161" s="213"/>
      <c r="K161" s="211">
        <f>INDEX($C$44:$AN$66,MATCH("New Customers 3MS",$C$44:$C$66,0),MATCH($C161,$C$44:$AN$44,0))</f>
        <v>0</v>
      </c>
      <c r="L161" s="211"/>
      <c r="M161" s="211"/>
      <c r="N161" s="211">
        <f>$K$161*(E153)</f>
        <v>0</v>
      </c>
      <c r="O161" s="211"/>
      <c r="P161" s="211"/>
      <c r="Q161" s="211">
        <f>$K$161*(H153)</f>
        <v>0</v>
      </c>
      <c r="R161" s="211"/>
      <c r="S161" s="211"/>
      <c r="T161" s="211">
        <f>$K$161*(K153)</f>
        <v>0</v>
      </c>
      <c r="U161" s="211"/>
      <c r="V161" s="211"/>
      <c r="W161" s="211">
        <f>$K$161*(N153)</f>
        <v>0</v>
      </c>
      <c r="X161" s="211"/>
      <c r="Y161" s="211"/>
      <c r="Z161" s="211">
        <f>$K$161*(Q153)</f>
        <v>0</v>
      </c>
      <c r="AA161" s="211"/>
      <c r="AB161" s="211"/>
      <c r="AC161" s="211">
        <f>$K$161*(T153)</f>
        <v>0</v>
      </c>
      <c r="AD161" s="211"/>
      <c r="AE161" s="211"/>
      <c r="AF161" s="211">
        <f>$K$161*(W153)</f>
        <v>0</v>
      </c>
      <c r="AG161" s="211"/>
      <c r="AH161" s="211"/>
      <c r="AI161" s="211">
        <f>$K$161*(Z153)</f>
        <v>0</v>
      </c>
      <c r="AJ161" s="211"/>
      <c r="AK161" s="211"/>
      <c r="AL161" s="211">
        <f>$K$161*(AC153)</f>
        <v>0</v>
      </c>
      <c r="AM161" s="211"/>
      <c r="AN161" s="211"/>
    </row>
    <row r="162" spans="2:42" s="7" customFormat="1" ht="12" hidden="1" customHeight="1" outlineLevel="2">
      <c r="B162" s="245"/>
      <c r="C162" s="213" t="s">
        <v>760</v>
      </c>
      <c r="D162" s="213"/>
      <c r="E162" s="213"/>
      <c r="F162" s="213"/>
      <c r="G162" s="213"/>
      <c r="H162" s="213"/>
      <c r="I162" s="213"/>
      <c r="J162" s="213"/>
      <c r="K162" s="213"/>
      <c r="L162" s="211">
        <f>INDEX($C$44:$AN$66,MATCH("New Customers 3MS",$C$44:$C$66,0),MATCH($C162,$C$44:$AN$44,0))</f>
        <v>0</v>
      </c>
      <c r="M162" s="211"/>
      <c r="N162" s="211"/>
      <c r="O162" s="211">
        <f>$L$162*(E153)</f>
        <v>0</v>
      </c>
      <c r="P162" s="211"/>
      <c r="Q162" s="211"/>
      <c r="R162" s="211">
        <f>$L$162*(H153)</f>
        <v>0</v>
      </c>
      <c r="S162" s="211"/>
      <c r="T162" s="211"/>
      <c r="U162" s="211">
        <f>$L$162*(K153)</f>
        <v>0</v>
      </c>
      <c r="V162" s="211"/>
      <c r="W162" s="211"/>
      <c r="X162" s="211">
        <f>$L$162*(N153)</f>
        <v>0</v>
      </c>
      <c r="Y162" s="211"/>
      <c r="Z162" s="211"/>
      <c r="AA162" s="211">
        <f>$L$162*(Q153)</f>
        <v>0</v>
      </c>
      <c r="AB162" s="211"/>
      <c r="AC162" s="211"/>
      <c r="AD162" s="211">
        <f>$L$162*(T153)</f>
        <v>0</v>
      </c>
      <c r="AE162" s="211"/>
      <c r="AF162" s="211"/>
      <c r="AG162" s="211">
        <f>$L$162*(W153)</f>
        <v>0</v>
      </c>
      <c r="AH162" s="211"/>
      <c r="AI162" s="211"/>
      <c r="AJ162" s="211">
        <f>$L$162*(Z153)</f>
        <v>0</v>
      </c>
      <c r="AK162" s="211"/>
      <c r="AL162" s="211"/>
      <c r="AM162" s="211">
        <f>$L$162*(AC153)</f>
        <v>0</v>
      </c>
      <c r="AN162" s="211"/>
    </row>
    <row r="163" spans="2:42" s="7" customFormat="1" ht="12" hidden="1" customHeight="1" outlineLevel="2">
      <c r="B163" s="245"/>
      <c r="C163" s="213" t="s">
        <v>761</v>
      </c>
      <c r="D163" s="213"/>
      <c r="E163" s="213"/>
      <c r="F163" s="213"/>
      <c r="G163" s="213"/>
      <c r="H163" s="213"/>
      <c r="I163" s="213"/>
      <c r="J163" s="213"/>
      <c r="K163" s="213"/>
      <c r="L163" s="213"/>
      <c r="M163" s="211">
        <f>INDEX($C$44:$AN$64,MATCH("New Customers 3MS",$C$44:$C$64,0),MATCH($C163,$C$44:$AN$44,0))</f>
        <v>0</v>
      </c>
      <c r="N163" s="211"/>
      <c r="O163" s="211"/>
      <c r="P163" s="211">
        <f>$M$163*(E153)</f>
        <v>0</v>
      </c>
      <c r="Q163" s="211"/>
      <c r="R163" s="211"/>
      <c r="S163" s="211">
        <f>$M$163*(H153)</f>
        <v>0</v>
      </c>
      <c r="T163" s="211"/>
      <c r="U163" s="211"/>
      <c r="V163" s="211">
        <f>$M$163*(K153)</f>
        <v>0</v>
      </c>
      <c r="W163" s="211"/>
      <c r="X163" s="211"/>
      <c r="Y163" s="211">
        <f>$M$163*(N153)</f>
        <v>0</v>
      </c>
      <c r="Z163" s="211"/>
      <c r="AA163" s="211"/>
      <c r="AB163" s="211">
        <f>$M$163*(Q153)</f>
        <v>0</v>
      </c>
      <c r="AC163" s="211"/>
      <c r="AD163" s="211"/>
      <c r="AE163" s="211">
        <f>$M$163*(T153)</f>
        <v>0</v>
      </c>
      <c r="AF163" s="211"/>
      <c r="AG163" s="211"/>
      <c r="AH163" s="211">
        <f>$M$163*(W153)</f>
        <v>0</v>
      </c>
      <c r="AI163" s="211"/>
      <c r="AJ163" s="211"/>
      <c r="AK163" s="211">
        <f>$M$163*(Z153)</f>
        <v>0</v>
      </c>
      <c r="AL163" s="211"/>
      <c r="AM163" s="211"/>
      <c r="AN163" s="211">
        <f>$M$163*(AC153)</f>
        <v>0</v>
      </c>
    </row>
    <row r="164" spans="2:42" s="7" customFormat="1" ht="12" hidden="1" customHeight="1" outlineLevel="2">
      <c r="B164" s="245"/>
      <c r="C164" s="213" t="s">
        <v>762</v>
      </c>
      <c r="D164" s="213"/>
      <c r="E164" s="213"/>
      <c r="F164" s="213"/>
      <c r="G164" s="213"/>
      <c r="H164" s="213"/>
      <c r="I164" s="213"/>
      <c r="J164" s="213"/>
      <c r="K164" s="213"/>
      <c r="L164" s="213"/>
      <c r="M164" s="213"/>
      <c r="N164" s="211">
        <f>INDEX($C$44:$AN$66,MATCH("New Customers 3MS",$C$44:$C$66,0),MATCH($C164,$C$44:$AN$44,0))</f>
        <v>0</v>
      </c>
      <c r="O164" s="211"/>
      <c r="P164" s="211"/>
      <c r="Q164" s="211">
        <f>$N$164*(E153)</f>
        <v>0</v>
      </c>
      <c r="R164" s="211"/>
      <c r="S164" s="211"/>
      <c r="T164" s="211">
        <f>$N$164*(H153)</f>
        <v>0</v>
      </c>
      <c r="U164" s="211"/>
      <c r="V164" s="211"/>
      <c r="W164" s="211">
        <f>$N$164*(K153)</f>
        <v>0</v>
      </c>
      <c r="X164" s="211"/>
      <c r="Y164" s="211"/>
      <c r="Z164" s="211">
        <f>$N$164*(N153)</f>
        <v>0</v>
      </c>
      <c r="AA164" s="211"/>
      <c r="AB164" s="211"/>
      <c r="AC164" s="211">
        <f>$N$164*(Q153)</f>
        <v>0</v>
      </c>
      <c r="AD164" s="211"/>
      <c r="AE164" s="211"/>
      <c r="AF164" s="211">
        <f>$N$164*(T153)</f>
        <v>0</v>
      </c>
      <c r="AG164" s="211"/>
      <c r="AH164" s="211"/>
      <c r="AI164" s="211">
        <f>$N$164*(W153)</f>
        <v>0</v>
      </c>
      <c r="AJ164" s="211"/>
      <c r="AK164" s="211"/>
      <c r="AL164" s="211">
        <f>$N$164*(Z153)</f>
        <v>0</v>
      </c>
      <c r="AM164" s="211"/>
      <c r="AN164" s="211"/>
      <c r="AO164" s="211"/>
    </row>
    <row r="165" spans="2:42" s="7" customFormat="1" ht="12" hidden="1" customHeight="1" outlineLevel="2">
      <c r="B165" s="245"/>
      <c r="C165" s="213" t="s">
        <v>763</v>
      </c>
      <c r="D165" s="213"/>
      <c r="E165" s="213"/>
      <c r="F165" s="213"/>
      <c r="G165" s="213"/>
      <c r="H165" s="213"/>
      <c r="I165" s="213"/>
      <c r="J165" s="213"/>
      <c r="K165" s="213"/>
      <c r="L165" s="213"/>
      <c r="M165" s="213"/>
      <c r="N165" s="213"/>
      <c r="O165" s="211">
        <f>INDEX($C$44:$AN$66,MATCH("New Customers 3MS",$C$44:$C$66,0),MATCH($C165,$C$44:$AN$44,0))</f>
        <v>0</v>
      </c>
      <c r="P165" s="211"/>
      <c r="Q165" s="211"/>
      <c r="R165" s="211">
        <f>$N$164*(E153)</f>
        <v>0</v>
      </c>
      <c r="S165" s="211"/>
      <c r="T165" s="211"/>
      <c r="U165" s="211">
        <f>$N$164*(H153)</f>
        <v>0</v>
      </c>
      <c r="V165" s="211"/>
      <c r="W165" s="211"/>
      <c r="X165" s="211">
        <f>$N$164*(K153)</f>
        <v>0</v>
      </c>
      <c r="Y165" s="211"/>
      <c r="Z165" s="211"/>
      <c r="AA165" s="211">
        <f>$N$164*(N153)</f>
        <v>0</v>
      </c>
      <c r="AB165" s="211"/>
      <c r="AC165" s="211"/>
      <c r="AD165" s="211">
        <f>$N$164*(Q153)</f>
        <v>0</v>
      </c>
      <c r="AE165" s="211"/>
      <c r="AF165" s="211"/>
      <c r="AG165" s="211">
        <f>$N$164*(T153)</f>
        <v>0</v>
      </c>
      <c r="AH165" s="211"/>
      <c r="AI165" s="211"/>
      <c r="AJ165" s="211">
        <f>$N$164*(W153)</f>
        <v>0</v>
      </c>
      <c r="AK165" s="211"/>
      <c r="AL165" s="211"/>
      <c r="AM165" s="211">
        <f>$N$164*(Z153)</f>
        <v>0</v>
      </c>
      <c r="AN165" s="211"/>
    </row>
    <row r="166" spans="2:42" s="7" customFormat="1" ht="12" hidden="1" customHeight="1" outlineLevel="2">
      <c r="B166" s="245"/>
      <c r="C166" s="213" t="s">
        <v>764</v>
      </c>
      <c r="D166" s="213"/>
      <c r="E166" s="213"/>
      <c r="F166" s="213"/>
      <c r="G166" s="213"/>
      <c r="H166" s="213"/>
      <c r="I166" s="213"/>
      <c r="J166" s="213"/>
      <c r="K166" s="213"/>
      <c r="L166" s="213"/>
      <c r="M166" s="213"/>
      <c r="N166" s="213"/>
      <c r="O166" s="213"/>
      <c r="P166" s="211">
        <f>INDEX($C$44:$AN$66,MATCH("New Customers 3MS",$C$44:$C$66,0),MATCH($C166,$C$44:$AN$44,0))</f>
        <v>0</v>
      </c>
      <c r="Q166" s="211"/>
      <c r="R166" s="211"/>
      <c r="S166" s="211">
        <f>$P$166*(E153)</f>
        <v>0</v>
      </c>
      <c r="T166" s="211"/>
      <c r="U166" s="211"/>
      <c r="V166" s="211">
        <f>$P$166*(H153)</f>
        <v>0</v>
      </c>
      <c r="W166" s="211"/>
      <c r="X166" s="211"/>
      <c r="Y166" s="211">
        <f>$P$166*(K153)</f>
        <v>0</v>
      </c>
      <c r="Z166" s="211"/>
      <c r="AA166" s="211"/>
      <c r="AB166" s="211">
        <f>$P$166*(N153)</f>
        <v>0</v>
      </c>
      <c r="AC166" s="211"/>
      <c r="AD166" s="211"/>
      <c r="AE166" s="211">
        <f>$P$166*(Q153)</f>
        <v>0</v>
      </c>
      <c r="AF166" s="211"/>
      <c r="AG166" s="211"/>
      <c r="AH166" s="211">
        <f>$P$166*(T153)</f>
        <v>0</v>
      </c>
      <c r="AI166" s="211"/>
      <c r="AJ166" s="211"/>
      <c r="AK166" s="211">
        <f>$P$166*(W153)</f>
        <v>0</v>
      </c>
      <c r="AL166" s="211"/>
      <c r="AM166" s="211"/>
      <c r="AN166" s="211">
        <f>$P$166*(Z153)</f>
        <v>0</v>
      </c>
    </row>
    <row r="167" spans="2:42" s="7" customFormat="1" ht="12" hidden="1" customHeight="1" outlineLevel="2">
      <c r="B167" s="245"/>
      <c r="C167" s="213" t="s">
        <v>765</v>
      </c>
      <c r="D167" s="213"/>
      <c r="E167" s="213"/>
      <c r="F167" s="213"/>
      <c r="G167" s="213"/>
      <c r="H167" s="213"/>
      <c r="I167" s="213"/>
      <c r="J167" s="213"/>
      <c r="K167" s="213"/>
      <c r="L167" s="213"/>
      <c r="M167" s="213"/>
      <c r="N167" s="213"/>
      <c r="O167" s="213"/>
      <c r="P167" s="213"/>
      <c r="Q167" s="211">
        <f>INDEX($C$44:$AN$66,MATCH("New Customers 3MS",$C$44:$C$66,0),MATCH($C167,$C$44:$AN$44,0))</f>
        <v>0</v>
      </c>
      <c r="R167" s="211"/>
      <c r="S167" s="211"/>
      <c r="T167" s="211">
        <f>$Q$167*(E153)</f>
        <v>0</v>
      </c>
      <c r="U167" s="211"/>
      <c r="V167" s="211"/>
      <c r="W167" s="211">
        <f>$Q$167*(H153)</f>
        <v>0</v>
      </c>
      <c r="X167" s="211"/>
      <c r="Y167" s="211"/>
      <c r="Z167" s="211">
        <f>$Q$167*(K153)</f>
        <v>0</v>
      </c>
      <c r="AA167" s="211"/>
      <c r="AB167" s="211"/>
      <c r="AC167" s="211">
        <f>$Q$167*(N153)</f>
        <v>0</v>
      </c>
      <c r="AD167" s="211"/>
      <c r="AE167" s="211"/>
      <c r="AF167" s="211">
        <f>$Q$167*(Q153)</f>
        <v>0</v>
      </c>
      <c r="AG167" s="211"/>
      <c r="AH167" s="211"/>
      <c r="AI167" s="211">
        <f>$Q$167*(T153)</f>
        <v>0</v>
      </c>
      <c r="AJ167" s="211"/>
      <c r="AK167" s="211"/>
      <c r="AL167" s="211">
        <f>$Q$167*(W153)</f>
        <v>0</v>
      </c>
      <c r="AM167" s="211"/>
      <c r="AN167" s="211"/>
      <c r="AO167" s="211"/>
    </row>
    <row r="168" spans="2:42" s="7" customFormat="1" ht="12" hidden="1" customHeight="1" outlineLevel="2">
      <c r="B168" s="245"/>
      <c r="C168" s="213" t="s">
        <v>766</v>
      </c>
      <c r="D168" s="213"/>
      <c r="E168" s="213"/>
      <c r="F168" s="213"/>
      <c r="G168" s="213"/>
      <c r="H168" s="213"/>
      <c r="I168" s="213"/>
      <c r="J168" s="213"/>
      <c r="K168" s="213"/>
      <c r="L168" s="213"/>
      <c r="M168" s="213"/>
      <c r="N168" s="213"/>
      <c r="O168" s="213"/>
      <c r="P168" s="213"/>
      <c r="Q168" s="213"/>
      <c r="R168" s="211">
        <f>INDEX($C$44:$AN$66,MATCH("New Customers 3MS",$C$44:$C$66,0),MATCH($C168,$C$44:$AN$44,0))</f>
        <v>0</v>
      </c>
      <c r="S168" s="211"/>
      <c r="T168" s="211"/>
      <c r="U168" s="211">
        <f>$R$168*(E153)</f>
        <v>0</v>
      </c>
      <c r="V168" s="211"/>
      <c r="W168" s="211"/>
      <c r="X168" s="211">
        <f>$R$168*(H153)</f>
        <v>0</v>
      </c>
      <c r="Y168" s="211"/>
      <c r="Z168" s="211"/>
      <c r="AA168" s="211">
        <f>$R$168*(K153)</f>
        <v>0</v>
      </c>
      <c r="AB168" s="211"/>
      <c r="AC168" s="211"/>
      <c r="AD168" s="211">
        <f>$R$168*(N153)</f>
        <v>0</v>
      </c>
      <c r="AE168" s="211"/>
      <c r="AF168" s="211"/>
      <c r="AG168" s="211">
        <f>$R$168*(Q153)</f>
        <v>0</v>
      </c>
      <c r="AH168" s="211"/>
      <c r="AI168" s="211"/>
      <c r="AJ168" s="211">
        <f>$R$168*(T153)</f>
        <v>0</v>
      </c>
      <c r="AK168" s="211"/>
      <c r="AL168" s="211"/>
      <c r="AM168" s="211">
        <f>$R$168*(W153)</f>
        <v>0</v>
      </c>
      <c r="AN168" s="211"/>
    </row>
    <row r="169" spans="2:42" s="7" customFormat="1" ht="12" hidden="1" customHeight="1" outlineLevel="2">
      <c r="B169" s="245"/>
      <c r="C169" s="213" t="s">
        <v>767</v>
      </c>
      <c r="D169" s="213"/>
      <c r="E169" s="213"/>
      <c r="F169" s="213"/>
      <c r="G169" s="213"/>
      <c r="H169" s="213"/>
      <c r="I169" s="213"/>
      <c r="J169" s="213"/>
      <c r="K169" s="213"/>
      <c r="L169" s="213"/>
      <c r="M169" s="213"/>
      <c r="N169" s="213"/>
      <c r="O169" s="213"/>
      <c r="P169" s="213"/>
      <c r="Q169" s="213"/>
      <c r="R169" s="213"/>
      <c r="S169" s="211">
        <f>INDEX($C$44:$AN$66,MATCH("New Customers 3MS",$C$44:$C$66,0),MATCH($C169,$C$44:$AN$44,0))</f>
        <v>0</v>
      </c>
      <c r="T169" s="211"/>
      <c r="U169" s="211"/>
      <c r="V169" s="211">
        <f>$S$169*(E153)</f>
        <v>0</v>
      </c>
      <c r="W169" s="211"/>
      <c r="X169" s="211"/>
      <c r="Y169" s="211">
        <f>$S$169*(H153)</f>
        <v>0</v>
      </c>
      <c r="Z169" s="211"/>
      <c r="AA169" s="211"/>
      <c r="AB169" s="211">
        <f>$S$169*(K153)</f>
        <v>0</v>
      </c>
      <c r="AC169" s="211"/>
      <c r="AD169" s="211"/>
      <c r="AE169" s="211">
        <f>$S$169*(N153)</f>
        <v>0</v>
      </c>
      <c r="AF169" s="211"/>
      <c r="AG169" s="211"/>
      <c r="AH169" s="211">
        <f>$S$169*(Q153)</f>
        <v>0</v>
      </c>
      <c r="AI169" s="211"/>
      <c r="AJ169" s="211"/>
      <c r="AK169" s="211">
        <f>$S$169*(T153)</f>
        <v>0</v>
      </c>
      <c r="AL169" s="211"/>
      <c r="AM169" s="211"/>
      <c r="AN169" s="211">
        <f>$S$169*(W153)</f>
        <v>0</v>
      </c>
    </row>
    <row r="170" spans="2:42" s="7" customFormat="1" ht="12" hidden="1" customHeight="1" outlineLevel="2">
      <c r="B170" s="245"/>
      <c r="C170" s="213" t="s">
        <v>768</v>
      </c>
      <c r="D170" s="213"/>
      <c r="E170" s="213"/>
      <c r="F170" s="213"/>
      <c r="G170" s="213"/>
      <c r="H170" s="213"/>
      <c r="I170" s="213"/>
      <c r="J170" s="213"/>
      <c r="K170" s="213"/>
      <c r="L170" s="213"/>
      <c r="M170" s="213"/>
      <c r="N170" s="213"/>
      <c r="O170" s="213"/>
      <c r="P170" s="213"/>
      <c r="Q170" s="213"/>
      <c r="R170" s="213"/>
      <c r="S170" s="213"/>
      <c r="T170" s="211">
        <f>INDEX($C$44:$AN$66,MATCH("New Customers 3MS",$C$44:$C$66,0),MATCH($C170,$C$44:$AN$44,0))</f>
        <v>0</v>
      </c>
      <c r="U170" s="211"/>
      <c r="V170" s="211"/>
      <c r="W170" s="211">
        <f>$T$170*(E153)</f>
        <v>0</v>
      </c>
      <c r="X170" s="211"/>
      <c r="Y170" s="211"/>
      <c r="Z170" s="211">
        <f>$T$170*(H153)</f>
        <v>0</v>
      </c>
      <c r="AA170" s="211"/>
      <c r="AB170" s="211"/>
      <c r="AC170" s="211">
        <f>$T$170*(K153)</f>
        <v>0</v>
      </c>
      <c r="AD170" s="211"/>
      <c r="AE170" s="211"/>
      <c r="AF170" s="211">
        <f>$T$170*(N153)</f>
        <v>0</v>
      </c>
      <c r="AG170" s="211"/>
      <c r="AH170" s="211"/>
      <c r="AI170" s="211">
        <f>$T$170*(Q153)</f>
        <v>0</v>
      </c>
      <c r="AJ170" s="211"/>
      <c r="AK170" s="211"/>
      <c r="AL170" s="211">
        <f>$T$170*(T153)</f>
        <v>0</v>
      </c>
      <c r="AM170" s="211"/>
      <c r="AN170" s="211"/>
      <c r="AO170" s="211"/>
    </row>
    <row r="171" spans="2:42" s="7" customFormat="1" ht="12" hidden="1" customHeight="1" outlineLevel="2">
      <c r="B171" s="245"/>
      <c r="C171" s="213" t="s">
        <v>769</v>
      </c>
      <c r="D171" s="213"/>
      <c r="E171" s="213"/>
      <c r="F171" s="213"/>
      <c r="G171" s="213"/>
      <c r="H171" s="213"/>
      <c r="I171" s="213"/>
      <c r="J171" s="213"/>
      <c r="K171" s="213"/>
      <c r="L171" s="213"/>
      <c r="M171" s="213"/>
      <c r="N171" s="213"/>
      <c r="O171" s="213"/>
      <c r="P171" s="213"/>
      <c r="Q171" s="213"/>
      <c r="R171" s="213"/>
      <c r="S171" s="213"/>
      <c r="T171" s="213"/>
      <c r="U171" s="211">
        <f>INDEX($C$44:$AN$66,MATCH("New Customers 3MS",$C$44:$C$66,0),MATCH($C171,$C$44:$AN$44,0))</f>
        <v>0</v>
      </c>
      <c r="V171" s="211"/>
      <c r="W171" s="211"/>
      <c r="X171" s="211">
        <f>$U$171*(E153)</f>
        <v>0</v>
      </c>
      <c r="Y171" s="211"/>
      <c r="Z171" s="211"/>
      <c r="AA171" s="211">
        <f>$U$171*(H153)</f>
        <v>0</v>
      </c>
      <c r="AB171" s="211"/>
      <c r="AC171" s="211"/>
      <c r="AD171" s="211">
        <f>$U$171*(K153)</f>
        <v>0</v>
      </c>
      <c r="AE171" s="211"/>
      <c r="AF171" s="211"/>
      <c r="AG171" s="211">
        <f>$U$171*(N153)</f>
        <v>0</v>
      </c>
      <c r="AH171" s="211"/>
      <c r="AI171" s="211"/>
      <c r="AJ171" s="211">
        <f>$U$171*(Q153)</f>
        <v>0</v>
      </c>
      <c r="AK171" s="211"/>
      <c r="AL171" s="211"/>
      <c r="AM171" s="211">
        <f>$U$171*(T153)</f>
        <v>0</v>
      </c>
      <c r="AN171" s="211"/>
      <c r="AP171" s="211"/>
    </row>
    <row r="172" spans="2:42" s="7" customFormat="1" ht="12" hidden="1" customHeight="1" outlineLevel="2">
      <c r="B172" s="245"/>
      <c r="C172" s="213" t="s">
        <v>770</v>
      </c>
      <c r="D172" s="213"/>
      <c r="E172" s="213"/>
      <c r="F172" s="213"/>
      <c r="G172" s="213"/>
      <c r="H172" s="213"/>
      <c r="I172" s="213"/>
      <c r="J172" s="213"/>
      <c r="K172" s="213"/>
      <c r="L172" s="213"/>
      <c r="M172" s="213"/>
      <c r="N172" s="213"/>
      <c r="O172" s="213"/>
      <c r="P172" s="213"/>
      <c r="Q172" s="213"/>
      <c r="R172" s="213"/>
      <c r="S172" s="213"/>
      <c r="T172" s="213"/>
      <c r="U172" s="213"/>
      <c r="V172" s="211">
        <f>INDEX($C$44:$AN$66,MATCH("New Customers 3MS",$C$44:$C$66,0),MATCH($C172,$C$44:$AN$44,0))</f>
        <v>0</v>
      </c>
      <c r="W172" s="211"/>
      <c r="X172" s="211"/>
      <c r="Y172" s="211">
        <f>$V$172*(E153)</f>
        <v>0</v>
      </c>
      <c r="Z172" s="211"/>
      <c r="AA172" s="211"/>
      <c r="AB172" s="211">
        <f>$V$172*(H153)</f>
        <v>0</v>
      </c>
      <c r="AC172" s="211"/>
      <c r="AD172" s="211"/>
      <c r="AE172" s="211">
        <f>$V$172*(K153)</f>
        <v>0</v>
      </c>
      <c r="AF172" s="211"/>
      <c r="AG172" s="211"/>
      <c r="AH172" s="211">
        <f>$V$172*(N153)</f>
        <v>0</v>
      </c>
      <c r="AI172" s="211"/>
      <c r="AJ172" s="211"/>
      <c r="AK172" s="211">
        <f>$V$172*(Q153)</f>
        <v>0</v>
      </c>
      <c r="AL172" s="211"/>
      <c r="AM172" s="211"/>
      <c r="AN172" s="211">
        <f>$V$172*(T153)</f>
        <v>0</v>
      </c>
    </row>
    <row r="173" spans="2:42" s="7" customFormat="1" ht="12" hidden="1" customHeight="1" outlineLevel="2">
      <c r="B173" s="245"/>
      <c r="C173" s="213" t="s">
        <v>771</v>
      </c>
      <c r="D173" s="213"/>
      <c r="E173" s="213"/>
      <c r="F173" s="213"/>
      <c r="G173" s="213"/>
      <c r="H173" s="213"/>
      <c r="I173" s="213"/>
      <c r="J173" s="213"/>
      <c r="K173" s="213"/>
      <c r="L173" s="213"/>
      <c r="M173" s="213"/>
      <c r="N173" s="213"/>
      <c r="O173" s="213"/>
      <c r="P173" s="213"/>
      <c r="Q173" s="213"/>
      <c r="R173" s="213"/>
      <c r="S173" s="213"/>
      <c r="T173" s="213"/>
      <c r="U173" s="213"/>
      <c r="V173" s="213"/>
      <c r="W173" s="211">
        <f>INDEX($C$44:$AN$66,MATCH("New Customers 3MS",$C$44:$C$66,0),MATCH($C173,$C$44:$AN$44,0))</f>
        <v>0</v>
      </c>
      <c r="X173" s="211"/>
      <c r="Y173" s="211"/>
      <c r="Z173" s="211">
        <f>$W$173*(E153)</f>
        <v>0</v>
      </c>
      <c r="AA173" s="211"/>
      <c r="AB173" s="211"/>
      <c r="AC173" s="211">
        <f>$W$173*(H153)</f>
        <v>0</v>
      </c>
      <c r="AD173" s="211"/>
      <c r="AE173" s="211"/>
      <c r="AF173" s="211">
        <f>$W$173*(K153)</f>
        <v>0</v>
      </c>
      <c r="AG173" s="211"/>
      <c r="AH173" s="211"/>
      <c r="AI173" s="211">
        <f>$W$173*(N153)</f>
        <v>0</v>
      </c>
      <c r="AJ173" s="211"/>
      <c r="AK173" s="211"/>
      <c r="AL173" s="211">
        <f>$W$173*(Q153)</f>
        <v>0</v>
      </c>
      <c r="AM173" s="211"/>
      <c r="AN173" s="211"/>
    </row>
    <row r="174" spans="2:42" s="7" customFormat="1" ht="12" hidden="1" customHeight="1" outlineLevel="2">
      <c r="B174" s="245"/>
      <c r="C174" s="213" t="s">
        <v>772</v>
      </c>
      <c r="D174" s="213"/>
      <c r="E174" s="213"/>
      <c r="F174" s="213"/>
      <c r="G174" s="213"/>
      <c r="H174" s="213"/>
      <c r="I174" s="213"/>
      <c r="J174" s="213"/>
      <c r="K174" s="213"/>
      <c r="L174" s="213"/>
      <c r="M174" s="213"/>
      <c r="N174" s="213"/>
      <c r="O174" s="213"/>
      <c r="P174" s="213"/>
      <c r="Q174" s="213"/>
      <c r="R174" s="213"/>
      <c r="S174" s="213"/>
      <c r="T174" s="213"/>
      <c r="U174" s="213"/>
      <c r="V174" s="213"/>
      <c r="W174" s="213"/>
      <c r="X174" s="211">
        <f>INDEX($C$44:$AN$66,MATCH("New Customers 3MS",$C$44:$C$66,0),MATCH($C174,$C$44:$AN$44,0))</f>
        <v>0</v>
      </c>
      <c r="Y174" s="211"/>
      <c r="Z174" s="211"/>
      <c r="AA174" s="211">
        <f>$X$174*(E153)</f>
        <v>0</v>
      </c>
      <c r="AB174" s="211"/>
      <c r="AC174" s="211"/>
      <c r="AD174" s="211">
        <f>$X$174*(H153)</f>
        <v>0</v>
      </c>
      <c r="AE174" s="211"/>
      <c r="AF174" s="211"/>
      <c r="AG174" s="211">
        <f>$X$174*(K153)</f>
        <v>0</v>
      </c>
      <c r="AH174" s="211"/>
      <c r="AI174" s="211"/>
      <c r="AJ174" s="211">
        <f>$X$174*(N153)</f>
        <v>0</v>
      </c>
      <c r="AK174" s="211"/>
      <c r="AL174" s="211"/>
      <c r="AM174" s="211">
        <f>$X$174*(Q153)</f>
        <v>0</v>
      </c>
      <c r="AN174" s="211"/>
    </row>
    <row r="175" spans="2:42" s="7" customFormat="1" ht="12" hidden="1" customHeight="1" outlineLevel="2">
      <c r="B175" s="245"/>
      <c r="C175" s="213" t="s">
        <v>773</v>
      </c>
      <c r="D175" s="213"/>
      <c r="E175" s="213"/>
      <c r="F175" s="213"/>
      <c r="G175" s="213"/>
      <c r="H175" s="213"/>
      <c r="I175" s="213"/>
      <c r="J175" s="213"/>
      <c r="K175" s="213"/>
      <c r="L175" s="213"/>
      <c r="M175" s="213"/>
      <c r="N175" s="213"/>
      <c r="O175" s="213"/>
      <c r="P175" s="213"/>
      <c r="Q175" s="213"/>
      <c r="R175" s="213"/>
      <c r="S175" s="213"/>
      <c r="T175" s="213"/>
      <c r="U175" s="213"/>
      <c r="V175" s="213"/>
      <c r="W175" s="213"/>
      <c r="X175" s="213"/>
      <c r="Y175" s="211">
        <f>INDEX($C$44:$AN$66,MATCH("New Customers 3MS",$C$44:$C$66,0),MATCH($C175,$C$44:$AN$44,0))</f>
        <v>0</v>
      </c>
      <c r="Z175" s="211"/>
      <c r="AA175" s="211"/>
      <c r="AB175" s="211">
        <f>$Y$175*(E153)</f>
        <v>0</v>
      </c>
      <c r="AC175" s="211"/>
      <c r="AD175" s="211"/>
      <c r="AE175" s="211">
        <f>$Y$175*(H153)</f>
        <v>0</v>
      </c>
      <c r="AF175" s="211"/>
      <c r="AG175" s="211"/>
      <c r="AH175" s="211">
        <f>$Y$175*(K153)</f>
        <v>0</v>
      </c>
      <c r="AI175" s="211"/>
      <c r="AJ175" s="211"/>
      <c r="AK175" s="211">
        <f>$Y$175*(N153)</f>
        <v>0</v>
      </c>
      <c r="AL175" s="211"/>
      <c r="AM175" s="211"/>
      <c r="AN175" s="211">
        <f>$Y$175*(Q153)</f>
        <v>0</v>
      </c>
    </row>
    <row r="176" spans="2:42" s="7" customFormat="1" ht="12" hidden="1" customHeight="1" outlineLevel="2">
      <c r="B176" s="245"/>
      <c r="C176" s="213" t="s">
        <v>774</v>
      </c>
      <c r="D176" s="213"/>
      <c r="E176" s="213"/>
      <c r="F176" s="213"/>
      <c r="G176" s="213"/>
      <c r="H176" s="213"/>
      <c r="I176" s="213"/>
      <c r="J176" s="213"/>
      <c r="K176" s="213"/>
      <c r="L176" s="213"/>
      <c r="M176" s="213"/>
      <c r="N176" s="213"/>
      <c r="O176" s="213"/>
      <c r="P176" s="213"/>
      <c r="Q176" s="213"/>
      <c r="R176" s="213"/>
      <c r="S176" s="213"/>
      <c r="T176" s="213"/>
      <c r="U176" s="213"/>
      <c r="V176" s="213"/>
      <c r="W176" s="213"/>
      <c r="X176" s="213"/>
      <c r="Y176" s="213"/>
      <c r="Z176" s="211">
        <f>INDEX($C$44:$AN$66,MATCH("New Customers 3MS",$C$44:$C$66,0),MATCH($C176,$C$44:$AN$44,0))</f>
        <v>0</v>
      </c>
      <c r="AA176" s="211"/>
      <c r="AB176" s="211"/>
      <c r="AC176" s="211">
        <f>$Z$176*(E153)</f>
        <v>0</v>
      </c>
      <c r="AD176" s="211"/>
      <c r="AE176" s="211"/>
      <c r="AF176" s="211">
        <f>$Z$176*(H153)</f>
        <v>0</v>
      </c>
      <c r="AG176" s="211"/>
      <c r="AH176" s="211"/>
      <c r="AI176" s="211">
        <f>$Z$176*(K153)</f>
        <v>0</v>
      </c>
      <c r="AJ176" s="211"/>
      <c r="AK176" s="211"/>
      <c r="AL176" s="211">
        <f>$Z$176*(N153)</f>
        <v>0</v>
      </c>
      <c r="AM176" s="211"/>
      <c r="AN176" s="211"/>
    </row>
    <row r="177" spans="2:41" s="7" customFormat="1" ht="12" hidden="1" customHeight="1" outlineLevel="2">
      <c r="B177" s="245"/>
      <c r="C177" s="213" t="s">
        <v>775</v>
      </c>
      <c r="D177" s="213"/>
      <c r="E177" s="213"/>
      <c r="F177" s="213"/>
      <c r="G177" s="213"/>
      <c r="H177" s="213"/>
      <c r="I177" s="213"/>
      <c r="J177" s="213"/>
      <c r="K177" s="213"/>
      <c r="L177" s="213"/>
      <c r="M177" s="213"/>
      <c r="N177" s="213"/>
      <c r="O177" s="213"/>
      <c r="P177" s="213"/>
      <c r="Q177" s="213"/>
      <c r="R177" s="213"/>
      <c r="S177" s="213"/>
      <c r="T177" s="213"/>
      <c r="U177" s="213"/>
      <c r="V177" s="213"/>
      <c r="W177" s="213"/>
      <c r="X177" s="213"/>
      <c r="Y177" s="213"/>
      <c r="Z177" s="213"/>
      <c r="AA177" s="211">
        <f>INDEX($C$44:$AN$66,MATCH("New Customers 3MS",$C$44:$C$66,0),MATCH($C177,$C$44:$AN$44,0))</f>
        <v>0</v>
      </c>
      <c r="AB177" s="211"/>
      <c r="AC177" s="211"/>
      <c r="AD177" s="211">
        <f>$AA$177*(E153)</f>
        <v>0</v>
      </c>
      <c r="AE177" s="211"/>
      <c r="AF177" s="211"/>
      <c r="AG177" s="211">
        <f>$AA$177*(H153)</f>
        <v>0</v>
      </c>
      <c r="AH177" s="211"/>
      <c r="AI177" s="211"/>
      <c r="AJ177" s="211">
        <f>$AA$177*(K153)</f>
        <v>0</v>
      </c>
      <c r="AK177" s="211"/>
      <c r="AL177" s="211"/>
      <c r="AM177" s="211">
        <f>$AA$177*(N153)</f>
        <v>0</v>
      </c>
      <c r="AN177" s="211"/>
    </row>
    <row r="178" spans="2:41" s="7" customFormat="1" ht="12" hidden="1" customHeight="1" outlineLevel="2">
      <c r="B178" s="245"/>
      <c r="C178" s="213" t="s">
        <v>776</v>
      </c>
      <c r="D178" s="213"/>
      <c r="E178" s="213"/>
      <c r="F178" s="213"/>
      <c r="G178" s="213"/>
      <c r="H178" s="213"/>
      <c r="I178" s="213"/>
      <c r="J178" s="213"/>
      <c r="K178" s="213"/>
      <c r="L178" s="213"/>
      <c r="M178" s="213"/>
      <c r="N178" s="213"/>
      <c r="O178" s="213"/>
      <c r="P178" s="213"/>
      <c r="Q178" s="213"/>
      <c r="R178" s="213"/>
      <c r="S178" s="213"/>
      <c r="T178" s="213"/>
      <c r="U178" s="213"/>
      <c r="V178" s="213"/>
      <c r="W178" s="213"/>
      <c r="X178" s="213"/>
      <c r="Y178" s="213"/>
      <c r="Z178" s="213"/>
      <c r="AA178" s="213"/>
      <c r="AB178" s="211">
        <f>INDEX($C$44:$AN$66,MATCH("New Customers 3MS",$C$44:$C$66,0),MATCH($C178,$C$44:$AN$44,0))</f>
        <v>0</v>
      </c>
      <c r="AC178" s="211"/>
      <c r="AD178" s="211"/>
      <c r="AE178" s="211">
        <f>$AB$178*(E153)</f>
        <v>0</v>
      </c>
      <c r="AF178" s="211"/>
      <c r="AG178" s="211"/>
      <c r="AH178" s="211">
        <f>$AB$178*(H153)</f>
        <v>0</v>
      </c>
      <c r="AI178" s="211"/>
      <c r="AJ178" s="211"/>
      <c r="AK178" s="211">
        <f>$AB$178*(K153)</f>
        <v>0</v>
      </c>
      <c r="AL178" s="211"/>
      <c r="AM178" s="211"/>
      <c r="AN178" s="211">
        <f>$AB$178*(N153)</f>
        <v>0</v>
      </c>
    </row>
    <row r="179" spans="2:41" s="7" customFormat="1" ht="12" hidden="1" customHeight="1" outlineLevel="2">
      <c r="B179" s="245"/>
      <c r="C179" s="213" t="s">
        <v>777</v>
      </c>
      <c r="D179" s="213"/>
      <c r="E179" s="213"/>
      <c r="F179" s="213"/>
      <c r="G179" s="213"/>
      <c r="H179" s="213"/>
      <c r="I179" s="213"/>
      <c r="J179" s="213"/>
      <c r="K179" s="213"/>
      <c r="L179" s="213"/>
      <c r="M179" s="213"/>
      <c r="N179" s="213"/>
      <c r="O179" s="213"/>
      <c r="P179" s="213"/>
      <c r="Q179" s="213"/>
      <c r="R179" s="213"/>
      <c r="S179" s="213"/>
      <c r="T179" s="213"/>
      <c r="U179" s="213"/>
      <c r="V179" s="213"/>
      <c r="W179" s="213"/>
      <c r="X179" s="213"/>
      <c r="Y179" s="213"/>
      <c r="Z179" s="213"/>
      <c r="AA179" s="213"/>
      <c r="AB179" s="211"/>
      <c r="AC179" s="211">
        <f>INDEX($C$44:$AN$66,MATCH("New Customers 3MS",$C$44:$C$66,0),MATCH($C179,$C$44:$AN$44,0))</f>
        <v>0</v>
      </c>
      <c r="AD179" s="211"/>
      <c r="AE179" s="211"/>
      <c r="AF179" s="211">
        <f>$AC$179*(E153)</f>
        <v>0</v>
      </c>
      <c r="AG179" s="211"/>
      <c r="AH179" s="211"/>
      <c r="AI179" s="211">
        <f>$AC$179*(H153)</f>
        <v>0</v>
      </c>
      <c r="AJ179" s="211"/>
      <c r="AK179" s="211"/>
      <c r="AL179" s="211">
        <f>$AC$179*(K153)</f>
        <v>0</v>
      </c>
      <c r="AM179" s="211"/>
      <c r="AN179" s="211"/>
      <c r="AO179" s="211"/>
    </row>
    <row r="180" spans="2:41" s="7" customFormat="1" ht="12" hidden="1" customHeight="1" outlineLevel="2">
      <c r="B180" s="245"/>
      <c r="C180" s="213" t="s">
        <v>778</v>
      </c>
      <c r="D180" s="213"/>
      <c r="E180" s="213"/>
      <c r="F180" s="213"/>
      <c r="G180" s="213"/>
      <c r="H180" s="213"/>
      <c r="I180" s="213"/>
      <c r="J180" s="213"/>
      <c r="K180" s="213"/>
      <c r="L180" s="213"/>
      <c r="M180" s="213"/>
      <c r="N180" s="213"/>
      <c r="O180" s="213"/>
      <c r="P180" s="213"/>
      <c r="Q180" s="213"/>
      <c r="R180" s="213"/>
      <c r="S180" s="213"/>
      <c r="T180" s="213"/>
      <c r="U180" s="213"/>
      <c r="V180" s="213"/>
      <c r="W180" s="213"/>
      <c r="X180" s="213"/>
      <c r="Y180" s="213"/>
      <c r="Z180" s="213"/>
      <c r="AA180" s="213"/>
      <c r="AB180" s="211"/>
      <c r="AC180" s="211"/>
      <c r="AD180" s="211">
        <f>INDEX($C$44:$AN$66,MATCH("New Customers 3MS",$C$44:$C$66,0),MATCH($C180,$C$44:$AN$44,0))</f>
        <v>0</v>
      </c>
      <c r="AE180" s="211"/>
      <c r="AF180" s="211"/>
      <c r="AG180" s="211">
        <f>$AD$180*(E153)</f>
        <v>0</v>
      </c>
      <c r="AH180" s="211"/>
      <c r="AI180" s="211"/>
      <c r="AJ180" s="211">
        <f>$AD$180*(H153)</f>
        <v>0</v>
      </c>
      <c r="AK180" s="211"/>
      <c r="AL180" s="211"/>
      <c r="AM180" s="211">
        <f>$AD$180*(K153)</f>
        <v>0</v>
      </c>
      <c r="AN180" s="211"/>
    </row>
    <row r="181" spans="2:41" s="7" customFormat="1" ht="12" hidden="1" customHeight="1" outlineLevel="2">
      <c r="B181" s="245"/>
      <c r="C181" s="213" t="s">
        <v>779</v>
      </c>
      <c r="D181" s="213"/>
      <c r="E181" s="213"/>
      <c r="F181" s="213"/>
      <c r="G181" s="213"/>
      <c r="H181" s="213"/>
      <c r="I181" s="213"/>
      <c r="J181" s="213"/>
      <c r="K181" s="213"/>
      <c r="L181" s="213"/>
      <c r="M181" s="213"/>
      <c r="N181" s="213"/>
      <c r="O181" s="213"/>
      <c r="P181" s="213"/>
      <c r="Q181" s="213"/>
      <c r="R181" s="213"/>
      <c r="S181" s="213"/>
      <c r="T181" s="213"/>
      <c r="U181" s="213"/>
      <c r="V181" s="213"/>
      <c r="W181" s="213"/>
      <c r="X181" s="213"/>
      <c r="Y181" s="213"/>
      <c r="Z181" s="213"/>
      <c r="AA181" s="213"/>
      <c r="AB181" s="211"/>
      <c r="AC181" s="211"/>
      <c r="AD181" s="211"/>
      <c r="AE181" s="211">
        <f>INDEX($C$44:$AN$66,MATCH("New Customers 3MS",$C$44:$C$66,0),MATCH($C181,$C$44:$AN$44,0))</f>
        <v>0</v>
      </c>
      <c r="AF181" s="211"/>
      <c r="AG181" s="211"/>
      <c r="AH181" s="211">
        <f>$AE$181*(E153)</f>
        <v>0</v>
      </c>
      <c r="AI181" s="211"/>
      <c r="AJ181" s="211"/>
      <c r="AK181" s="211">
        <f>$AE$181*(H153)</f>
        <v>0</v>
      </c>
      <c r="AL181" s="211"/>
      <c r="AM181" s="211"/>
      <c r="AN181" s="211">
        <f>$AE$181*(K153)</f>
        <v>0</v>
      </c>
    </row>
    <row r="182" spans="2:41" s="7" customFormat="1" ht="12" hidden="1" customHeight="1" outlineLevel="2">
      <c r="B182" s="245"/>
      <c r="C182" s="213" t="s">
        <v>780</v>
      </c>
      <c r="D182" s="213"/>
      <c r="E182" s="213"/>
      <c r="F182" s="213"/>
      <c r="G182" s="213"/>
      <c r="H182" s="213"/>
      <c r="I182" s="213"/>
      <c r="J182" s="213"/>
      <c r="K182" s="213"/>
      <c r="L182" s="213"/>
      <c r="M182" s="213"/>
      <c r="N182" s="213"/>
      <c r="O182" s="213"/>
      <c r="P182" s="213"/>
      <c r="Q182" s="213"/>
      <c r="R182" s="213"/>
      <c r="S182" s="213"/>
      <c r="T182" s="213"/>
      <c r="U182" s="213"/>
      <c r="V182" s="213"/>
      <c r="W182" s="213"/>
      <c r="X182" s="213"/>
      <c r="Y182" s="213"/>
      <c r="Z182" s="213"/>
      <c r="AA182" s="213"/>
      <c r="AB182" s="211"/>
      <c r="AC182" s="211"/>
      <c r="AD182" s="211"/>
      <c r="AE182" s="211"/>
      <c r="AF182" s="211">
        <f>INDEX($C$44:$AN$66,MATCH("New Customers 3MS",$C$44:$C$66,0),MATCH($C182,$C$44:$AN$44,0))</f>
        <v>0</v>
      </c>
      <c r="AG182" s="211"/>
      <c r="AH182" s="211"/>
      <c r="AI182" s="211">
        <f>$AF$182*(E153)</f>
        <v>0</v>
      </c>
      <c r="AJ182" s="211"/>
      <c r="AK182" s="211"/>
      <c r="AL182" s="211">
        <f>$AF$182*(H153)</f>
        <v>0</v>
      </c>
      <c r="AM182" s="211"/>
      <c r="AN182" s="211"/>
    </row>
    <row r="183" spans="2:41" s="7" customFormat="1" ht="12" hidden="1" customHeight="1" outlineLevel="2">
      <c r="B183" s="245"/>
      <c r="C183" s="213" t="s">
        <v>781</v>
      </c>
      <c r="D183" s="213"/>
      <c r="E183" s="213"/>
      <c r="F183" s="213"/>
      <c r="G183" s="213"/>
      <c r="H183" s="213"/>
      <c r="I183" s="213"/>
      <c r="J183" s="213"/>
      <c r="K183" s="213"/>
      <c r="L183" s="213"/>
      <c r="M183" s="213"/>
      <c r="N183" s="213"/>
      <c r="O183" s="213"/>
      <c r="P183" s="213"/>
      <c r="Q183" s="213"/>
      <c r="R183" s="213"/>
      <c r="S183" s="213"/>
      <c r="T183" s="213"/>
      <c r="U183" s="213"/>
      <c r="V183" s="213"/>
      <c r="W183" s="213"/>
      <c r="X183" s="213"/>
      <c r="Y183" s="213"/>
      <c r="Z183" s="213"/>
      <c r="AA183" s="213"/>
      <c r="AB183" s="211"/>
      <c r="AC183" s="211"/>
      <c r="AD183" s="211"/>
      <c r="AE183" s="211"/>
      <c r="AF183" s="211"/>
      <c r="AG183" s="211">
        <f>INDEX($C$44:$AN$66,MATCH("New Customers 3MS",$C$44:$C$66,0),MATCH($C183,$C$44:$AN$44,0))</f>
        <v>0</v>
      </c>
      <c r="AH183" s="211"/>
      <c r="AI183" s="211"/>
      <c r="AJ183" s="211">
        <f>$AG$183*(E153)</f>
        <v>0</v>
      </c>
      <c r="AK183" s="211"/>
      <c r="AL183" s="211"/>
      <c r="AM183" s="211">
        <f>$AG$183*(H153)</f>
        <v>0</v>
      </c>
      <c r="AN183" s="211"/>
    </row>
    <row r="184" spans="2:41" s="7" customFormat="1" ht="12" hidden="1" customHeight="1" outlineLevel="2">
      <c r="B184" s="245"/>
      <c r="C184" s="213" t="s">
        <v>782</v>
      </c>
      <c r="D184" s="213"/>
      <c r="E184" s="213"/>
      <c r="F184" s="213"/>
      <c r="G184" s="213"/>
      <c r="H184" s="213"/>
      <c r="I184" s="213"/>
      <c r="J184" s="213"/>
      <c r="K184" s="213"/>
      <c r="L184" s="213"/>
      <c r="M184" s="213"/>
      <c r="N184" s="213"/>
      <c r="O184" s="213"/>
      <c r="P184" s="213"/>
      <c r="Q184" s="213"/>
      <c r="R184" s="213"/>
      <c r="S184" s="213"/>
      <c r="T184" s="213"/>
      <c r="U184" s="213"/>
      <c r="V184" s="213"/>
      <c r="W184" s="213"/>
      <c r="X184" s="213"/>
      <c r="Y184" s="213"/>
      <c r="Z184" s="213"/>
      <c r="AA184" s="213"/>
      <c r="AB184" s="211"/>
      <c r="AC184" s="211"/>
      <c r="AD184" s="211"/>
      <c r="AE184" s="211"/>
      <c r="AF184" s="211"/>
      <c r="AG184" s="211"/>
      <c r="AH184" s="211">
        <f>INDEX($C$44:$AN$66,MATCH("New Customers 3MS",$C$44:$C$66,0),MATCH($C184,$C$44:$AN$44,0))</f>
        <v>0</v>
      </c>
      <c r="AI184" s="211"/>
      <c r="AJ184" s="211"/>
      <c r="AK184" s="211">
        <f>$AH$184*(E153)</f>
        <v>0</v>
      </c>
      <c r="AL184" s="211"/>
      <c r="AM184" s="211"/>
      <c r="AN184" s="211">
        <f>$AH$184*(H153)</f>
        <v>0</v>
      </c>
    </row>
    <row r="185" spans="2:41" s="7" customFormat="1" ht="12" hidden="1" customHeight="1" outlineLevel="2">
      <c r="B185" s="245"/>
      <c r="C185" s="213" t="s">
        <v>783</v>
      </c>
      <c r="D185" s="213"/>
      <c r="E185" s="213"/>
      <c r="F185" s="213"/>
      <c r="G185" s="213"/>
      <c r="H185" s="213"/>
      <c r="I185" s="213"/>
      <c r="J185" s="213"/>
      <c r="K185" s="213"/>
      <c r="L185" s="213"/>
      <c r="M185" s="213"/>
      <c r="N185" s="213"/>
      <c r="O185" s="213"/>
      <c r="P185" s="213"/>
      <c r="Q185" s="213"/>
      <c r="R185" s="213"/>
      <c r="S185" s="213"/>
      <c r="T185" s="213"/>
      <c r="U185" s="213"/>
      <c r="V185" s="213"/>
      <c r="W185" s="213"/>
      <c r="X185" s="213"/>
      <c r="Y185" s="213"/>
      <c r="Z185" s="213"/>
      <c r="AA185" s="213"/>
      <c r="AB185" s="211"/>
      <c r="AC185" s="211"/>
      <c r="AD185" s="211"/>
      <c r="AE185" s="211"/>
      <c r="AF185" s="211"/>
      <c r="AG185" s="211"/>
      <c r="AH185" s="211"/>
      <c r="AI185" s="211">
        <f>INDEX($C$44:$AN$66,MATCH("New Customers 3MS",$C$44:$C$66,0),MATCH($C185,$C$44:$AN$44,0))</f>
        <v>0</v>
      </c>
      <c r="AJ185" s="211"/>
      <c r="AK185" s="211"/>
      <c r="AL185" s="211">
        <f>$AI$185*(E153)</f>
        <v>0</v>
      </c>
      <c r="AM185" s="211"/>
      <c r="AN185" s="211"/>
    </row>
    <row r="186" spans="2:41" s="7" customFormat="1" ht="12" hidden="1" customHeight="1" outlineLevel="2">
      <c r="B186" s="245"/>
      <c r="C186" s="213" t="s">
        <v>784</v>
      </c>
      <c r="D186" s="213"/>
      <c r="E186" s="213"/>
      <c r="F186" s="213"/>
      <c r="G186" s="213"/>
      <c r="H186" s="213"/>
      <c r="I186" s="213"/>
      <c r="J186" s="213"/>
      <c r="K186" s="213"/>
      <c r="L186" s="213"/>
      <c r="M186" s="213"/>
      <c r="N186" s="213"/>
      <c r="O186" s="213"/>
      <c r="P186" s="213"/>
      <c r="Q186" s="213"/>
      <c r="R186" s="213"/>
      <c r="S186" s="213"/>
      <c r="T186" s="213"/>
      <c r="U186" s="213"/>
      <c r="V186" s="213"/>
      <c r="W186" s="213"/>
      <c r="X186" s="213"/>
      <c r="Y186" s="213"/>
      <c r="Z186" s="213"/>
      <c r="AA186" s="213"/>
      <c r="AB186" s="211"/>
      <c r="AC186" s="211"/>
      <c r="AD186" s="211"/>
      <c r="AE186" s="211"/>
      <c r="AF186" s="211"/>
      <c r="AG186" s="211"/>
      <c r="AH186" s="211"/>
      <c r="AI186" s="211"/>
      <c r="AJ186" s="211">
        <f>INDEX($C$44:$AN$66,MATCH("New Customers 3MS",$C$44:$C$66,0),MATCH($C186,$C$44:$AN$44,0))</f>
        <v>0</v>
      </c>
      <c r="AK186" s="211"/>
      <c r="AL186" s="211"/>
      <c r="AM186" s="211">
        <f>$AJ$186*(E153)</f>
        <v>0</v>
      </c>
      <c r="AN186" s="211"/>
    </row>
    <row r="187" spans="2:41" s="7" customFormat="1" ht="12" hidden="1" customHeight="1" outlineLevel="2">
      <c r="B187" s="245"/>
      <c r="C187" s="213" t="s">
        <v>785</v>
      </c>
      <c r="D187" s="213"/>
      <c r="E187" s="213"/>
      <c r="F187" s="213"/>
      <c r="G187" s="213"/>
      <c r="H187" s="213"/>
      <c r="I187" s="213"/>
      <c r="J187" s="213"/>
      <c r="K187" s="213"/>
      <c r="L187" s="213"/>
      <c r="M187" s="213"/>
      <c r="N187" s="213"/>
      <c r="O187" s="213"/>
      <c r="P187" s="213"/>
      <c r="Q187" s="213"/>
      <c r="R187" s="213"/>
      <c r="S187" s="213"/>
      <c r="T187" s="213"/>
      <c r="U187" s="213"/>
      <c r="V187" s="213"/>
      <c r="W187" s="213"/>
      <c r="X187" s="213"/>
      <c r="Y187" s="213"/>
      <c r="Z187" s="213"/>
      <c r="AA187" s="213"/>
      <c r="AB187" s="211"/>
      <c r="AC187" s="211"/>
      <c r="AD187" s="211"/>
      <c r="AE187" s="211"/>
      <c r="AF187" s="211"/>
      <c r="AG187" s="211"/>
      <c r="AH187" s="211"/>
      <c r="AI187" s="211"/>
      <c r="AJ187" s="211"/>
      <c r="AK187" s="211">
        <f>INDEX($C$44:$AN$66,MATCH("New Customers 3MS",$C$44:$C$66,0),MATCH($C187,$C$44:$AN$44,0))</f>
        <v>0</v>
      </c>
      <c r="AL187" s="211"/>
      <c r="AM187" s="211"/>
      <c r="AN187" s="211">
        <f>$AK$187*(E153)</f>
        <v>0</v>
      </c>
    </row>
    <row r="188" spans="2:41" s="7" customFormat="1" ht="12" hidden="1" customHeight="1" outlineLevel="2">
      <c r="B188" s="245"/>
      <c r="C188" s="213" t="s">
        <v>786</v>
      </c>
      <c r="D188" s="213"/>
      <c r="E188" s="213"/>
      <c r="F188" s="213"/>
      <c r="G188" s="213"/>
      <c r="H188" s="213"/>
      <c r="I188" s="213"/>
      <c r="J188" s="213"/>
      <c r="K188" s="213"/>
      <c r="L188" s="213"/>
      <c r="M188" s="213"/>
      <c r="N188" s="213"/>
      <c r="O188" s="213"/>
      <c r="P188" s="213"/>
      <c r="Q188" s="213"/>
      <c r="R188" s="213"/>
      <c r="S188" s="213"/>
      <c r="T188" s="213"/>
      <c r="U188" s="213"/>
      <c r="V188" s="213"/>
      <c r="W188" s="213"/>
      <c r="X188" s="213"/>
      <c r="Y188" s="213"/>
      <c r="Z188" s="213"/>
      <c r="AA188" s="213"/>
      <c r="AB188" s="211"/>
      <c r="AC188" s="211"/>
      <c r="AD188" s="211"/>
      <c r="AE188" s="211"/>
      <c r="AF188" s="211"/>
      <c r="AG188" s="211"/>
      <c r="AH188" s="211"/>
      <c r="AI188" s="211"/>
      <c r="AJ188" s="211"/>
      <c r="AK188" s="211"/>
      <c r="AL188" s="211">
        <f>INDEX($C$44:$AN$66,MATCH("New Customers 3MS",$C$44:$C$66,0),MATCH($C188,$C$44:$AN$44,0))</f>
        <v>0</v>
      </c>
      <c r="AM188" s="211"/>
      <c r="AN188" s="211"/>
    </row>
    <row r="189" spans="2:41" s="7" customFormat="1" ht="12" hidden="1" customHeight="1" outlineLevel="2">
      <c r="B189" s="245"/>
      <c r="C189" s="213" t="s">
        <v>787</v>
      </c>
      <c r="D189" s="213"/>
      <c r="E189" s="213"/>
      <c r="F189" s="213"/>
      <c r="G189" s="213"/>
      <c r="H189" s="213"/>
      <c r="I189" s="213"/>
      <c r="J189" s="213"/>
      <c r="K189" s="213"/>
      <c r="L189" s="213"/>
      <c r="M189" s="213"/>
      <c r="N189" s="213"/>
      <c r="O189" s="213"/>
      <c r="P189" s="213"/>
      <c r="Q189" s="213"/>
      <c r="R189" s="213"/>
      <c r="S189" s="213"/>
      <c r="T189" s="213"/>
      <c r="U189" s="213"/>
      <c r="V189" s="213"/>
      <c r="W189" s="213"/>
      <c r="X189" s="213"/>
      <c r="Y189" s="213"/>
      <c r="Z189" s="213"/>
      <c r="AA189" s="213"/>
      <c r="AB189" s="211"/>
      <c r="AC189" s="211"/>
      <c r="AD189" s="211"/>
      <c r="AE189" s="211"/>
      <c r="AF189" s="211"/>
      <c r="AG189" s="211"/>
      <c r="AH189" s="211"/>
      <c r="AI189" s="211"/>
      <c r="AJ189" s="211"/>
      <c r="AK189" s="211"/>
      <c r="AL189" s="211"/>
      <c r="AM189" s="211">
        <f>INDEX($C$44:$AN$66,MATCH("New Customers 3MS",$C$44:$C$66,0),MATCH($C189,$C$44:$AN$44,0))</f>
        <v>0</v>
      </c>
      <c r="AN189" s="211"/>
    </row>
    <row r="190" spans="2:41" s="7" customFormat="1" ht="12" hidden="1" customHeight="1" outlineLevel="2">
      <c r="B190" s="245"/>
      <c r="C190" s="213" t="s">
        <v>788</v>
      </c>
      <c r="D190" s="213"/>
      <c r="E190" s="213"/>
      <c r="F190" s="213"/>
      <c r="G190" s="213"/>
      <c r="H190" s="213"/>
      <c r="I190" s="213"/>
      <c r="J190" s="213"/>
      <c r="K190" s="213"/>
      <c r="L190" s="213"/>
      <c r="M190" s="213"/>
      <c r="N190" s="213"/>
      <c r="O190" s="213"/>
      <c r="P190" s="213"/>
      <c r="Q190" s="213"/>
      <c r="R190" s="213"/>
      <c r="S190" s="213"/>
      <c r="T190" s="213"/>
      <c r="U190" s="213"/>
      <c r="V190" s="213"/>
      <c r="W190" s="213"/>
      <c r="X190" s="213"/>
      <c r="Y190" s="213"/>
      <c r="Z190" s="213"/>
      <c r="AA190" s="213"/>
      <c r="AB190" s="211"/>
      <c r="AC190" s="211"/>
      <c r="AD190" s="211"/>
      <c r="AE190" s="211"/>
      <c r="AF190" s="211"/>
      <c r="AG190" s="211"/>
      <c r="AH190" s="211"/>
      <c r="AI190" s="211"/>
      <c r="AJ190" s="211"/>
      <c r="AK190" s="211"/>
      <c r="AL190" s="211"/>
      <c r="AM190" s="211"/>
      <c r="AN190" s="211">
        <f>INDEX($C$44:$AN$66,MATCH("New Customers 3MS",$C$44:$C$66,0),MATCH($C190,$C$44:$AN$44,0))</f>
        <v>0</v>
      </c>
    </row>
    <row r="191" spans="2:41" s="7" customFormat="1" ht="12" hidden="1" customHeight="1" outlineLevel="2">
      <c r="B191" s="245"/>
      <c r="C191" s="213"/>
      <c r="D191" s="213"/>
      <c r="E191" s="213"/>
      <c r="F191" s="213"/>
      <c r="G191" s="213"/>
      <c r="H191" s="213"/>
      <c r="I191" s="213"/>
      <c r="J191" s="213"/>
      <c r="K191" s="213"/>
      <c r="L191" s="213"/>
      <c r="M191" s="213"/>
      <c r="N191" s="213"/>
      <c r="O191" s="213"/>
      <c r="P191" s="213"/>
      <c r="Q191" s="213"/>
      <c r="R191" s="213"/>
      <c r="S191" s="213"/>
      <c r="T191" s="213"/>
      <c r="U191" s="213"/>
      <c r="V191" s="213"/>
      <c r="W191" s="213"/>
      <c r="X191" s="213"/>
      <c r="Y191" s="213"/>
      <c r="Z191" s="213"/>
      <c r="AA191" s="213"/>
      <c r="AB191" s="211"/>
      <c r="AC191" s="211"/>
      <c r="AD191" s="211"/>
      <c r="AE191" s="211"/>
      <c r="AF191" s="211"/>
      <c r="AG191" s="211"/>
      <c r="AH191" s="211"/>
      <c r="AI191" s="211"/>
      <c r="AJ191" s="211"/>
      <c r="AK191" s="211"/>
      <c r="AL191" s="211"/>
      <c r="AM191" s="211"/>
      <c r="AN191" s="211"/>
    </row>
    <row r="192" spans="2:41" s="7" customFormat="1" ht="12" hidden="1" customHeight="1" outlineLevel="2">
      <c r="B192" s="245"/>
      <c r="C192" s="213"/>
      <c r="D192" s="213"/>
      <c r="E192" s="213"/>
      <c r="F192" s="213"/>
      <c r="G192" s="213"/>
      <c r="H192" s="213"/>
      <c r="I192" s="213"/>
      <c r="J192" s="213"/>
      <c r="K192" s="213"/>
      <c r="L192" s="213"/>
      <c r="M192" s="213"/>
      <c r="N192" s="213"/>
      <c r="O192" s="213"/>
      <c r="P192" s="213"/>
      <c r="Q192" s="213"/>
      <c r="R192" s="213"/>
      <c r="S192" s="213"/>
      <c r="T192" s="213"/>
      <c r="U192" s="213"/>
      <c r="V192" s="213"/>
      <c r="W192" s="213"/>
      <c r="X192" s="213"/>
      <c r="Y192" s="213"/>
      <c r="Z192" s="213"/>
      <c r="AA192" s="213"/>
      <c r="AB192" s="211"/>
      <c r="AC192" s="211"/>
      <c r="AD192" s="211"/>
      <c r="AE192" s="211"/>
      <c r="AF192" s="211"/>
      <c r="AG192" s="211"/>
      <c r="AH192" s="211"/>
      <c r="AI192" s="211"/>
      <c r="AJ192" s="211"/>
      <c r="AK192" s="211"/>
      <c r="AL192" s="211"/>
      <c r="AM192" s="211"/>
      <c r="AN192" s="211"/>
    </row>
    <row r="193" spans="2:40" s="7" customFormat="1" ht="12" hidden="1" customHeight="1" outlineLevel="2">
      <c r="B193" s="245"/>
      <c r="C193" s="213"/>
      <c r="D193" s="213"/>
      <c r="E193" s="213"/>
      <c r="F193" s="213"/>
      <c r="G193" s="213"/>
      <c r="H193" s="213"/>
      <c r="I193" s="213"/>
      <c r="J193" s="213"/>
      <c r="K193" s="213"/>
      <c r="L193" s="213"/>
      <c r="M193" s="213"/>
      <c r="N193" s="213"/>
      <c r="O193" s="213"/>
      <c r="P193" s="213"/>
      <c r="Q193" s="213"/>
      <c r="R193" s="213"/>
      <c r="S193" s="213"/>
      <c r="T193" s="213"/>
      <c r="U193" s="213"/>
      <c r="V193" s="213"/>
      <c r="W193" s="213"/>
      <c r="X193" s="213"/>
      <c r="Y193" s="213"/>
      <c r="Z193" s="213"/>
      <c r="AA193" s="213"/>
      <c r="AB193" s="211"/>
      <c r="AC193" s="211"/>
      <c r="AD193" s="211"/>
      <c r="AE193" s="211"/>
      <c r="AF193" s="211"/>
      <c r="AG193" s="211"/>
      <c r="AH193" s="211"/>
      <c r="AI193" s="211"/>
      <c r="AJ193" s="211"/>
      <c r="AK193" s="211"/>
      <c r="AL193" s="211"/>
      <c r="AM193" s="211"/>
      <c r="AN193" s="211"/>
    </row>
    <row r="194" spans="2:40" s="7" customFormat="1" ht="12" hidden="1" customHeight="1" outlineLevel="2">
      <c r="B194" s="245"/>
      <c r="C194" s="213"/>
      <c r="D194" s="213"/>
      <c r="E194" s="213"/>
      <c r="F194" s="213"/>
      <c r="G194" s="213"/>
      <c r="H194" s="213"/>
      <c r="I194" s="213"/>
      <c r="J194" s="213"/>
      <c r="K194" s="213"/>
      <c r="L194" s="213"/>
      <c r="M194" s="213"/>
      <c r="N194" s="213"/>
      <c r="O194" s="213"/>
      <c r="P194" s="213"/>
      <c r="Q194" s="213"/>
      <c r="R194" s="213"/>
      <c r="S194" s="213"/>
      <c r="T194" s="213"/>
      <c r="U194" s="213"/>
      <c r="V194" s="213"/>
      <c r="W194" s="213"/>
      <c r="X194" s="213"/>
      <c r="Y194" s="213"/>
      <c r="Z194" s="213"/>
      <c r="AA194" s="213"/>
      <c r="AB194" s="211"/>
      <c r="AC194" s="211"/>
      <c r="AD194" s="211"/>
      <c r="AE194" s="211"/>
      <c r="AF194" s="211"/>
      <c r="AG194" s="211"/>
      <c r="AH194" s="211"/>
      <c r="AI194" s="211"/>
      <c r="AJ194" s="211"/>
      <c r="AK194" s="211"/>
      <c r="AL194" s="211"/>
      <c r="AM194" s="211"/>
      <c r="AN194" s="211"/>
    </row>
    <row r="195" spans="2:40" s="7" customFormat="1" ht="12" customHeight="1" outlineLevel="1" collapsed="1">
      <c r="B195" s="245"/>
      <c r="C195" s="243" t="s">
        <v>855</v>
      </c>
      <c r="D195" s="214"/>
      <c r="E195" s="214"/>
      <c r="F195" s="214"/>
      <c r="G195" s="214"/>
      <c r="H195" s="214"/>
      <c r="I195" s="214"/>
      <c r="J195" s="214"/>
      <c r="K195" s="214"/>
      <c r="L195" s="214"/>
      <c r="M195" s="214"/>
      <c r="N195" s="214"/>
      <c r="O195" s="214"/>
      <c r="P195" s="214"/>
      <c r="Q195" s="214"/>
      <c r="R195" s="214"/>
      <c r="S195" s="214"/>
      <c r="T195" s="214"/>
      <c r="U195" s="214"/>
      <c r="V195" s="214"/>
      <c r="W195" s="214"/>
      <c r="X195" s="214"/>
      <c r="Y195" s="214"/>
      <c r="Z195" s="214"/>
      <c r="AA195" s="214"/>
      <c r="AB195" s="214"/>
      <c r="AC195" s="211"/>
    </row>
    <row r="196" spans="2:40" s="7" customFormat="1" ht="12" customHeight="1" outlineLevel="1">
      <c r="B196" s="239"/>
      <c r="C196" s="214"/>
      <c r="D196" s="214"/>
      <c r="E196" s="214"/>
      <c r="F196" s="214"/>
      <c r="G196" s="214"/>
      <c r="H196" s="214"/>
      <c r="I196" s="214"/>
      <c r="J196" s="214"/>
      <c r="K196" s="214"/>
      <c r="L196" s="214"/>
      <c r="M196" s="214"/>
      <c r="N196" s="214"/>
      <c r="O196" s="214"/>
      <c r="P196" s="214"/>
      <c r="Q196" s="214"/>
      <c r="R196" s="214"/>
      <c r="S196" s="214"/>
      <c r="T196" s="214"/>
      <c r="U196" s="214"/>
      <c r="V196" s="214"/>
      <c r="W196" s="214"/>
      <c r="X196" s="214"/>
      <c r="Y196" s="214"/>
      <c r="Z196" s="214"/>
      <c r="AA196" s="214"/>
      <c r="AB196" s="214"/>
      <c r="AC196" s="215"/>
    </row>
    <row r="197" spans="2:40" s="7" customFormat="1" outlineLevel="1">
      <c r="B197" s="235"/>
    </row>
    <row r="198" spans="2:40" s="207" customFormat="1">
      <c r="C198" s="248" t="s">
        <v>823</v>
      </c>
    </row>
    <row r="199" spans="2:40" s="7" customFormat="1" ht="12" customHeight="1" outlineLevel="1">
      <c r="B199" s="237"/>
      <c r="C199" s="208"/>
      <c r="D199" s="208"/>
      <c r="E199" s="196" t="s">
        <v>753</v>
      </c>
      <c r="F199" s="196" t="s">
        <v>754</v>
      </c>
      <c r="G199" s="196" t="s">
        <v>755</v>
      </c>
      <c r="H199" s="196" t="s">
        <v>756</v>
      </c>
      <c r="I199" s="196" t="s">
        <v>757</v>
      </c>
      <c r="J199" s="196" t="s">
        <v>758</v>
      </c>
      <c r="K199" s="196" t="s">
        <v>759</v>
      </c>
      <c r="L199" s="196" t="s">
        <v>760</v>
      </c>
      <c r="M199" s="196" t="s">
        <v>761</v>
      </c>
      <c r="N199" s="196" t="s">
        <v>762</v>
      </c>
      <c r="O199" s="196" t="s">
        <v>763</v>
      </c>
      <c r="P199" s="196" t="s">
        <v>764</v>
      </c>
      <c r="Q199" s="196" t="s">
        <v>765</v>
      </c>
      <c r="R199" s="196" t="s">
        <v>766</v>
      </c>
      <c r="S199" s="196" t="s">
        <v>767</v>
      </c>
      <c r="T199" s="196" t="s">
        <v>768</v>
      </c>
      <c r="U199" s="196" t="s">
        <v>769</v>
      </c>
      <c r="V199" s="196" t="s">
        <v>770</v>
      </c>
      <c r="W199" s="196" t="s">
        <v>771</v>
      </c>
      <c r="X199" s="196" t="s">
        <v>772</v>
      </c>
      <c r="Y199" s="196" t="s">
        <v>773</v>
      </c>
      <c r="Z199" s="196" t="s">
        <v>774</v>
      </c>
      <c r="AA199" s="196" t="s">
        <v>775</v>
      </c>
      <c r="AB199" s="196" t="s">
        <v>776</v>
      </c>
      <c r="AC199" s="196" t="s">
        <v>777</v>
      </c>
      <c r="AD199" s="196" t="s">
        <v>778</v>
      </c>
      <c r="AE199" s="196" t="s">
        <v>779</v>
      </c>
      <c r="AF199" s="196" t="s">
        <v>780</v>
      </c>
      <c r="AG199" s="196" t="s">
        <v>781</v>
      </c>
      <c r="AH199" s="196" t="s">
        <v>782</v>
      </c>
      <c r="AI199" s="196" t="s">
        <v>783</v>
      </c>
      <c r="AJ199" s="196" t="s">
        <v>784</v>
      </c>
      <c r="AK199" s="196" t="s">
        <v>785</v>
      </c>
      <c r="AL199" s="196" t="s">
        <v>786</v>
      </c>
      <c r="AM199" s="196" t="s">
        <v>787</v>
      </c>
      <c r="AN199" s="196" t="s">
        <v>788</v>
      </c>
    </row>
    <row r="200" spans="2:40" s="7" customFormat="1" ht="12" customHeight="1" outlineLevel="1">
      <c r="B200" s="239"/>
      <c r="C200" s="214" t="s">
        <v>821</v>
      </c>
      <c r="D200" s="212"/>
      <c r="E200" s="337"/>
      <c r="F200" s="337"/>
      <c r="G200" s="337"/>
      <c r="H200" s="337"/>
      <c r="I200" s="337"/>
      <c r="J200" s="337">
        <f t="shared" ref="J200:AN200" si="114">J36*J40</f>
        <v>0</v>
      </c>
      <c r="K200" s="337">
        <f t="shared" si="114"/>
        <v>0</v>
      </c>
      <c r="L200" s="337">
        <f t="shared" si="114"/>
        <v>0</v>
      </c>
      <c r="M200" s="337">
        <f t="shared" si="114"/>
        <v>6000</v>
      </c>
      <c r="N200" s="337">
        <f t="shared" si="114"/>
        <v>12000</v>
      </c>
      <c r="O200" s="337">
        <f t="shared" si="114"/>
        <v>6000</v>
      </c>
      <c r="P200" s="337">
        <f t="shared" si="114"/>
        <v>6000</v>
      </c>
      <c r="Q200" s="337">
        <f t="shared" si="114"/>
        <v>7754.72</v>
      </c>
      <c r="R200" s="337">
        <f t="shared" si="114"/>
        <v>12516.839999999998</v>
      </c>
      <c r="S200" s="337">
        <f t="shared" si="114"/>
        <v>12535.380000000001</v>
      </c>
      <c r="T200" s="337">
        <f t="shared" si="114"/>
        <v>5264.84</v>
      </c>
      <c r="U200" s="337">
        <f t="shared" si="114"/>
        <v>7051.05</v>
      </c>
      <c r="V200" s="337">
        <f t="shared" si="114"/>
        <v>11415.900000000001</v>
      </c>
      <c r="W200" s="337">
        <f t="shared" si="114"/>
        <v>4499.1799999999994</v>
      </c>
      <c r="X200" s="337">
        <f t="shared" si="114"/>
        <v>6776.55</v>
      </c>
      <c r="Y200" s="337">
        <f t="shared" si="114"/>
        <v>15600</v>
      </c>
      <c r="Z200" s="337">
        <f t="shared" si="114"/>
        <v>14400</v>
      </c>
      <c r="AA200" s="337">
        <f t="shared" si="114"/>
        <v>4800</v>
      </c>
      <c r="AB200" s="337">
        <f t="shared" si="114"/>
        <v>4800</v>
      </c>
      <c r="AC200" s="337">
        <f t="shared" si="114"/>
        <v>4652.8320000000003</v>
      </c>
      <c r="AD200" s="337">
        <f t="shared" si="114"/>
        <v>11682.383999999998</v>
      </c>
      <c r="AE200" s="337">
        <f t="shared" si="114"/>
        <v>9192.6120000000028</v>
      </c>
      <c r="AF200" s="337">
        <f t="shared" si="114"/>
        <v>5791.3240000000005</v>
      </c>
      <c r="AG200" s="337">
        <f t="shared" si="114"/>
        <v>7051.05</v>
      </c>
      <c r="AH200" s="337">
        <f t="shared" si="114"/>
        <v>17123.850000000002</v>
      </c>
      <c r="AI200" s="337">
        <f t="shared" si="114"/>
        <v>3149.4259999999995</v>
      </c>
      <c r="AJ200" s="337">
        <f t="shared" si="114"/>
        <v>5873.01</v>
      </c>
      <c r="AK200" s="337">
        <f t="shared" si="114"/>
        <v>20280</v>
      </c>
      <c r="AL200" s="337">
        <f t="shared" si="114"/>
        <v>17280</v>
      </c>
      <c r="AM200" s="337">
        <f t="shared" si="114"/>
        <v>3360</v>
      </c>
      <c r="AN200" s="337">
        <f t="shared" si="114"/>
        <v>4800</v>
      </c>
    </row>
    <row r="201" spans="2:40" ht="12" customHeight="1" outlineLevel="1">
      <c r="B201" s="301" t="s">
        <v>856</v>
      </c>
      <c r="C201" s="303" t="s">
        <v>827</v>
      </c>
      <c r="D201" s="302"/>
      <c r="E201" s="312"/>
      <c r="F201" s="312"/>
      <c r="G201" s="312"/>
      <c r="H201" s="312"/>
      <c r="I201" s="312"/>
      <c r="J201" s="312"/>
      <c r="K201" s="312"/>
      <c r="L201" s="312"/>
      <c r="M201" s="313">
        <v>100</v>
      </c>
      <c r="N201" s="313">
        <v>100</v>
      </c>
      <c r="O201" s="313">
        <v>100</v>
      </c>
      <c r="P201" s="313">
        <v>100</v>
      </c>
      <c r="Q201" s="313">
        <v>100</v>
      </c>
      <c r="R201" s="313">
        <v>100</v>
      </c>
      <c r="S201" s="313">
        <v>100</v>
      </c>
      <c r="T201" s="313">
        <v>100</v>
      </c>
      <c r="U201" s="313">
        <v>100</v>
      </c>
      <c r="V201" s="313">
        <v>100</v>
      </c>
      <c r="W201" s="313">
        <v>100</v>
      </c>
      <c r="X201" s="313">
        <v>100</v>
      </c>
      <c r="Y201" s="313">
        <v>100</v>
      </c>
      <c r="Z201" s="313">
        <v>100</v>
      </c>
      <c r="AA201" s="313">
        <v>100</v>
      </c>
      <c r="AB201" s="313">
        <v>100</v>
      </c>
      <c r="AC201" s="313">
        <v>100</v>
      </c>
      <c r="AD201" s="313">
        <v>100</v>
      </c>
      <c r="AE201" s="313">
        <v>100</v>
      </c>
      <c r="AF201" s="313">
        <v>100</v>
      </c>
      <c r="AG201" s="313">
        <v>100</v>
      </c>
      <c r="AH201" s="313">
        <v>100</v>
      </c>
      <c r="AI201" s="313">
        <v>100</v>
      </c>
      <c r="AJ201" s="313">
        <v>100</v>
      </c>
      <c r="AK201" s="313">
        <v>100</v>
      </c>
      <c r="AL201" s="313">
        <v>100</v>
      </c>
      <c r="AM201" s="313">
        <v>100</v>
      </c>
      <c r="AN201" s="313">
        <v>100</v>
      </c>
    </row>
    <row r="202" spans="2:40" s="7" customFormat="1" ht="12" customHeight="1" outlineLevel="1">
      <c r="B202" s="239" t="s">
        <v>828</v>
      </c>
      <c r="C202" s="214" t="s">
        <v>829</v>
      </c>
      <c r="D202" s="212"/>
      <c r="E202" s="232"/>
      <c r="F202" s="232"/>
      <c r="G202" s="232"/>
      <c r="H202" s="232"/>
      <c r="I202" s="232"/>
      <c r="J202" s="232"/>
      <c r="K202" s="232"/>
      <c r="L202" s="232"/>
      <c r="M202" s="205">
        <f t="shared" ref="M202:AN202" si="115">M200/M201</f>
        <v>60</v>
      </c>
      <c r="N202" s="205">
        <f t="shared" si="115"/>
        <v>120</v>
      </c>
      <c r="O202" s="205">
        <f t="shared" si="115"/>
        <v>60</v>
      </c>
      <c r="P202" s="205">
        <f t="shared" si="115"/>
        <v>60</v>
      </c>
      <c r="Q202" s="205">
        <f t="shared" si="115"/>
        <v>77.547200000000004</v>
      </c>
      <c r="R202" s="205">
        <f t="shared" si="115"/>
        <v>125.16839999999998</v>
      </c>
      <c r="S202" s="205">
        <f t="shared" si="115"/>
        <v>125.35380000000001</v>
      </c>
      <c r="T202" s="205">
        <f t="shared" si="115"/>
        <v>52.648400000000002</v>
      </c>
      <c r="U202" s="205">
        <f t="shared" si="115"/>
        <v>70.510500000000008</v>
      </c>
      <c r="V202" s="205">
        <f t="shared" si="115"/>
        <v>114.15900000000002</v>
      </c>
      <c r="W202" s="205">
        <f t="shared" si="115"/>
        <v>44.991799999999991</v>
      </c>
      <c r="X202" s="205">
        <f t="shared" si="115"/>
        <v>67.765500000000003</v>
      </c>
      <c r="Y202" s="205">
        <f t="shared" si="115"/>
        <v>156</v>
      </c>
      <c r="Z202" s="205">
        <f t="shared" si="115"/>
        <v>144</v>
      </c>
      <c r="AA202" s="205">
        <f t="shared" si="115"/>
        <v>48</v>
      </c>
      <c r="AB202" s="205">
        <f t="shared" si="115"/>
        <v>48</v>
      </c>
      <c r="AC202" s="205">
        <f t="shared" si="115"/>
        <v>46.528320000000001</v>
      </c>
      <c r="AD202" s="205">
        <f t="shared" si="115"/>
        <v>116.82383999999998</v>
      </c>
      <c r="AE202" s="205">
        <f t="shared" si="115"/>
        <v>91.926120000000026</v>
      </c>
      <c r="AF202" s="205">
        <f t="shared" si="115"/>
        <v>57.913240000000002</v>
      </c>
      <c r="AG202" s="205">
        <f t="shared" si="115"/>
        <v>70.510500000000008</v>
      </c>
      <c r="AH202" s="205">
        <f t="shared" si="115"/>
        <v>171.23850000000002</v>
      </c>
      <c r="AI202" s="205">
        <f t="shared" si="115"/>
        <v>31.494259999999993</v>
      </c>
      <c r="AJ202" s="205">
        <f t="shared" si="115"/>
        <v>58.7301</v>
      </c>
      <c r="AK202" s="205">
        <f t="shared" si="115"/>
        <v>202.8</v>
      </c>
      <c r="AL202" s="205">
        <f t="shared" si="115"/>
        <v>172.8</v>
      </c>
      <c r="AM202" s="205">
        <f t="shared" si="115"/>
        <v>33.6</v>
      </c>
      <c r="AN202" s="205">
        <f t="shared" si="115"/>
        <v>48</v>
      </c>
    </row>
    <row r="203" spans="2:40" ht="12" customHeight="1" outlineLevel="1">
      <c r="B203" s="301"/>
      <c r="C203" s="303" t="s">
        <v>830</v>
      </c>
      <c r="D203" s="302"/>
      <c r="E203" s="314">
        <v>0</v>
      </c>
      <c r="F203" s="314">
        <v>0</v>
      </c>
      <c r="G203" s="314">
        <v>0</v>
      </c>
      <c r="H203" s="314">
        <v>0</v>
      </c>
      <c r="I203" s="314">
        <v>0</v>
      </c>
      <c r="J203" s="314">
        <v>0</v>
      </c>
      <c r="K203" s="314">
        <v>0</v>
      </c>
      <c r="L203" s="314">
        <v>0</v>
      </c>
      <c r="M203" s="315">
        <v>0</v>
      </c>
      <c r="N203" s="315">
        <v>0</v>
      </c>
      <c r="O203" s="315">
        <v>0</v>
      </c>
      <c r="P203" s="315">
        <v>0</v>
      </c>
      <c r="Q203" s="315">
        <v>0</v>
      </c>
      <c r="R203" s="315">
        <v>0</v>
      </c>
      <c r="S203" s="315">
        <v>0</v>
      </c>
      <c r="T203" s="315">
        <v>0</v>
      </c>
      <c r="U203" s="315">
        <v>0</v>
      </c>
      <c r="V203" s="315">
        <v>0</v>
      </c>
      <c r="W203" s="315">
        <v>0</v>
      </c>
      <c r="X203" s="315">
        <v>0</v>
      </c>
      <c r="Y203" s="315">
        <v>0</v>
      </c>
      <c r="Z203" s="315">
        <v>0</v>
      </c>
      <c r="AA203" s="315">
        <v>0</v>
      </c>
      <c r="AB203" s="315">
        <v>0</v>
      </c>
      <c r="AC203" s="315">
        <v>0</v>
      </c>
      <c r="AD203" s="315">
        <v>0</v>
      </c>
      <c r="AE203" s="315">
        <v>0</v>
      </c>
      <c r="AF203" s="315">
        <v>0</v>
      </c>
      <c r="AG203" s="315">
        <v>0</v>
      </c>
      <c r="AH203" s="315">
        <v>0</v>
      </c>
      <c r="AI203" s="315">
        <v>0</v>
      </c>
      <c r="AJ203" s="315">
        <v>0</v>
      </c>
      <c r="AK203" s="315">
        <v>0</v>
      </c>
      <c r="AL203" s="315">
        <v>0</v>
      </c>
      <c r="AM203" s="315">
        <v>0</v>
      </c>
      <c r="AN203" s="315">
        <v>0</v>
      </c>
    </row>
    <row r="204" spans="2:40" s="7" customFormat="1" ht="12" customHeight="1" outlineLevel="1">
      <c r="B204" s="239"/>
      <c r="C204" s="214" t="s">
        <v>831</v>
      </c>
      <c r="D204" s="212"/>
      <c r="E204" s="232">
        <f t="shared" ref="E204:L204" si="116">E202*E203</f>
        <v>0</v>
      </c>
      <c r="F204" s="232">
        <f t="shared" si="116"/>
        <v>0</v>
      </c>
      <c r="G204" s="232">
        <f t="shared" si="116"/>
        <v>0</v>
      </c>
      <c r="H204" s="232">
        <f t="shared" si="116"/>
        <v>0</v>
      </c>
      <c r="I204" s="232">
        <f t="shared" si="116"/>
        <v>0</v>
      </c>
      <c r="J204" s="232">
        <f t="shared" si="116"/>
        <v>0</v>
      </c>
      <c r="K204" s="232">
        <f t="shared" si="116"/>
        <v>0</v>
      </c>
      <c r="L204" s="232">
        <f t="shared" si="116"/>
        <v>0</v>
      </c>
      <c r="M204" s="205">
        <f t="shared" ref="M204:AN204" si="117">M202*M203</f>
        <v>0</v>
      </c>
      <c r="N204" s="205">
        <f t="shared" si="117"/>
        <v>0</v>
      </c>
      <c r="O204" s="205">
        <f t="shared" si="117"/>
        <v>0</v>
      </c>
      <c r="P204" s="205">
        <f t="shared" si="117"/>
        <v>0</v>
      </c>
      <c r="Q204" s="205">
        <f t="shared" si="117"/>
        <v>0</v>
      </c>
      <c r="R204" s="205">
        <f t="shared" si="117"/>
        <v>0</v>
      </c>
      <c r="S204" s="205">
        <f t="shared" si="117"/>
        <v>0</v>
      </c>
      <c r="T204" s="205">
        <f t="shared" si="117"/>
        <v>0</v>
      </c>
      <c r="U204" s="205">
        <f t="shared" si="117"/>
        <v>0</v>
      </c>
      <c r="V204" s="205">
        <f t="shared" si="117"/>
        <v>0</v>
      </c>
      <c r="W204" s="205">
        <f t="shared" si="117"/>
        <v>0</v>
      </c>
      <c r="X204" s="205">
        <f t="shared" si="117"/>
        <v>0</v>
      </c>
      <c r="Y204" s="205">
        <f t="shared" si="117"/>
        <v>0</v>
      </c>
      <c r="Z204" s="205">
        <f t="shared" si="117"/>
        <v>0</v>
      </c>
      <c r="AA204" s="205">
        <f t="shared" si="117"/>
        <v>0</v>
      </c>
      <c r="AB204" s="205">
        <f t="shared" si="117"/>
        <v>0</v>
      </c>
      <c r="AC204" s="205">
        <f t="shared" si="117"/>
        <v>0</v>
      </c>
      <c r="AD204" s="205">
        <f t="shared" si="117"/>
        <v>0</v>
      </c>
      <c r="AE204" s="205">
        <f t="shared" si="117"/>
        <v>0</v>
      </c>
      <c r="AF204" s="205">
        <f t="shared" si="117"/>
        <v>0</v>
      </c>
      <c r="AG204" s="205">
        <f t="shared" si="117"/>
        <v>0</v>
      </c>
      <c r="AH204" s="205">
        <f t="shared" si="117"/>
        <v>0</v>
      </c>
      <c r="AI204" s="205">
        <f t="shared" si="117"/>
        <v>0</v>
      </c>
      <c r="AJ204" s="205">
        <f t="shared" si="117"/>
        <v>0</v>
      </c>
      <c r="AK204" s="205">
        <f t="shared" si="117"/>
        <v>0</v>
      </c>
      <c r="AL204" s="205">
        <f t="shared" si="117"/>
        <v>0</v>
      </c>
      <c r="AM204" s="205">
        <f t="shared" si="117"/>
        <v>0</v>
      </c>
      <c r="AN204" s="205">
        <f t="shared" si="117"/>
        <v>0</v>
      </c>
    </row>
    <row r="205" spans="2:40" s="7" customFormat="1" ht="12" customHeight="1" outlineLevel="1">
      <c r="B205" s="239" t="s">
        <v>912</v>
      </c>
      <c r="C205" s="214" t="s">
        <v>833</v>
      </c>
      <c r="D205" s="212"/>
      <c r="E205" s="232">
        <v>24</v>
      </c>
      <c r="F205" s="232">
        <v>21</v>
      </c>
      <c r="G205" s="232">
        <v>75</v>
      </c>
      <c r="H205" s="232">
        <v>16</v>
      </c>
      <c r="I205" s="232">
        <v>94</v>
      </c>
      <c r="J205" s="232">
        <f>154+4</f>
        <v>158</v>
      </c>
      <c r="K205" s="232">
        <f>89+2</f>
        <v>91</v>
      </c>
      <c r="L205" s="232">
        <v>0</v>
      </c>
      <c r="M205" s="205">
        <f t="shared" ref="M205:AN205" si="118">M202+M204</f>
        <v>60</v>
      </c>
      <c r="N205" s="205">
        <f t="shared" si="118"/>
        <v>120</v>
      </c>
      <c r="O205" s="205">
        <f t="shared" si="118"/>
        <v>60</v>
      </c>
      <c r="P205" s="205">
        <f t="shared" si="118"/>
        <v>60</v>
      </c>
      <c r="Q205" s="205">
        <f t="shared" si="118"/>
        <v>77.547200000000004</v>
      </c>
      <c r="R205" s="205">
        <f t="shared" si="118"/>
        <v>125.16839999999998</v>
      </c>
      <c r="S205" s="205">
        <f t="shared" si="118"/>
        <v>125.35380000000001</v>
      </c>
      <c r="T205" s="205">
        <f t="shared" si="118"/>
        <v>52.648400000000002</v>
      </c>
      <c r="U205" s="205">
        <f t="shared" si="118"/>
        <v>70.510500000000008</v>
      </c>
      <c r="V205" s="205">
        <f t="shared" si="118"/>
        <v>114.15900000000002</v>
      </c>
      <c r="W205" s="205">
        <f t="shared" si="118"/>
        <v>44.991799999999991</v>
      </c>
      <c r="X205" s="205">
        <f t="shared" si="118"/>
        <v>67.765500000000003</v>
      </c>
      <c r="Y205" s="205">
        <f t="shared" si="118"/>
        <v>156</v>
      </c>
      <c r="Z205" s="205">
        <f t="shared" si="118"/>
        <v>144</v>
      </c>
      <c r="AA205" s="205">
        <f t="shared" si="118"/>
        <v>48</v>
      </c>
      <c r="AB205" s="205">
        <f t="shared" si="118"/>
        <v>48</v>
      </c>
      <c r="AC205" s="205">
        <f t="shared" si="118"/>
        <v>46.528320000000001</v>
      </c>
      <c r="AD205" s="205">
        <f t="shared" si="118"/>
        <v>116.82383999999998</v>
      </c>
      <c r="AE205" s="205">
        <f t="shared" si="118"/>
        <v>91.926120000000026</v>
      </c>
      <c r="AF205" s="205">
        <f t="shared" si="118"/>
        <v>57.913240000000002</v>
      </c>
      <c r="AG205" s="205">
        <f t="shared" si="118"/>
        <v>70.510500000000008</v>
      </c>
      <c r="AH205" s="205">
        <f t="shared" si="118"/>
        <v>171.23850000000002</v>
      </c>
      <c r="AI205" s="205">
        <f t="shared" si="118"/>
        <v>31.494259999999993</v>
      </c>
      <c r="AJ205" s="205">
        <f t="shared" si="118"/>
        <v>58.7301</v>
      </c>
      <c r="AK205" s="205">
        <f t="shared" si="118"/>
        <v>202.8</v>
      </c>
      <c r="AL205" s="205">
        <f t="shared" si="118"/>
        <v>172.8</v>
      </c>
      <c r="AM205" s="205">
        <f t="shared" si="118"/>
        <v>33.6</v>
      </c>
      <c r="AN205" s="205">
        <f t="shared" si="118"/>
        <v>48</v>
      </c>
    </row>
    <row r="206" spans="2:40" s="7" customFormat="1" ht="12" customHeight="1" outlineLevel="1">
      <c r="B206" s="239"/>
      <c r="C206" s="214" t="s">
        <v>834</v>
      </c>
      <c r="D206" s="212"/>
      <c r="E206" s="232">
        <v>0</v>
      </c>
      <c r="F206" s="232">
        <v>1</v>
      </c>
      <c r="G206" s="232">
        <v>0</v>
      </c>
      <c r="H206" s="232">
        <v>0</v>
      </c>
      <c r="I206" s="232">
        <v>1</v>
      </c>
      <c r="J206" s="232">
        <v>4</v>
      </c>
      <c r="K206" s="232">
        <v>2</v>
      </c>
      <c r="L206" s="232">
        <v>0</v>
      </c>
      <c r="M206" s="205">
        <f t="shared" ref="M206:AN206" si="119">M214+M215</f>
        <v>10.942742963550796</v>
      </c>
      <c r="N206" s="205">
        <f t="shared" si="119"/>
        <v>21.885485927101591</v>
      </c>
      <c r="O206" s="205">
        <f t="shared" si="119"/>
        <v>10.942742963550796</v>
      </c>
      <c r="P206" s="205">
        <f t="shared" si="119"/>
        <v>6</v>
      </c>
      <c r="Q206" s="205">
        <f t="shared" si="119"/>
        <v>7.7547200000000007</v>
      </c>
      <c r="R206" s="205">
        <f t="shared" si="119"/>
        <v>12.516839999999998</v>
      </c>
      <c r="S206" s="205">
        <f t="shared" si="119"/>
        <v>12.535380000000002</v>
      </c>
      <c r="T206" s="205">
        <f t="shared" si="119"/>
        <v>5.2648400000000004</v>
      </c>
      <c r="U206" s="205">
        <f t="shared" si="119"/>
        <v>7.0510500000000009</v>
      </c>
      <c r="V206" s="205">
        <f t="shared" si="119"/>
        <v>11.415900000000002</v>
      </c>
      <c r="W206" s="205">
        <f t="shared" si="119"/>
        <v>4.4991799999999991</v>
      </c>
      <c r="X206" s="205">
        <f t="shared" si="119"/>
        <v>6.7765500000000003</v>
      </c>
      <c r="Y206" s="205">
        <f t="shared" si="119"/>
        <v>15.600000000000001</v>
      </c>
      <c r="Z206" s="205">
        <f t="shared" si="119"/>
        <v>14.4</v>
      </c>
      <c r="AA206" s="205">
        <f t="shared" si="119"/>
        <v>4.8000000000000007</v>
      </c>
      <c r="AB206" s="205">
        <f t="shared" si="119"/>
        <v>4.8000000000000007</v>
      </c>
      <c r="AC206" s="205">
        <f t="shared" si="119"/>
        <v>4.6528320000000001</v>
      </c>
      <c r="AD206" s="205">
        <f t="shared" si="119"/>
        <v>11.682383999999999</v>
      </c>
      <c r="AE206" s="205">
        <f t="shared" si="119"/>
        <v>9.1926120000000022</v>
      </c>
      <c r="AF206" s="205">
        <f t="shared" si="119"/>
        <v>5.7913240000000004</v>
      </c>
      <c r="AG206" s="205">
        <f t="shared" si="119"/>
        <v>7.0510500000000009</v>
      </c>
      <c r="AH206" s="205">
        <f t="shared" si="119"/>
        <v>17.123850000000001</v>
      </c>
      <c r="AI206" s="205">
        <f t="shared" si="119"/>
        <v>3.1494259999999996</v>
      </c>
      <c r="AJ206" s="205">
        <f t="shared" si="119"/>
        <v>5.8730100000000007</v>
      </c>
      <c r="AK206" s="205">
        <f t="shared" si="119"/>
        <v>20.28</v>
      </c>
      <c r="AL206" s="205">
        <f t="shared" si="119"/>
        <v>17.28</v>
      </c>
      <c r="AM206" s="205">
        <f t="shared" si="119"/>
        <v>3.3600000000000003</v>
      </c>
      <c r="AN206" s="205">
        <f t="shared" si="119"/>
        <v>4.8000000000000007</v>
      </c>
    </row>
    <row r="207" spans="2:40" s="7" customFormat="1" ht="12" customHeight="1" outlineLevel="1">
      <c r="B207" s="239"/>
      <c r="C207" s="214" t="s">
        <v>835</v>
      </c>
      <c r="D207" s="212"/>
      <c r="E207" s="232">
        <f>E200/E205</f>
        <v>0</v>
      </c>
      <c r="F207" s="232">
        <f t="shared" ref="F207:I207" si="120">F200/F205</f>
        <v>0</v>
      </c>
      <c r="G207" s="232">
        <f t="shared" si="120"/>
        <v>0</v>
      </c>
      <c r="H207" s="232">
        <f t="shared" si="120"/>
        <v>0</v>
      </c>
      <c r="I207" s="232">
        <f t="shared" si="120"/>
        <v>0</v>
      </c>
      <c r="J207" s="232">
        <f t="shared" ref="J207:AN207" si="121">J200/J205</f>
        <v>0</v>
      </c>
      <c r="K207" s="232">
        <f t="shared" si="121"/>
        <v>0</v>
      </c>
      <c r="L207" s="232">
        <v>0</v>
      </c>
      <c r="M207" s="205">
        <f t="shared" si="121"/>
        <v>100</v>
      </c>
      <c r="N207" s="205">
        <f t="shared" si="121"/>
        <v>100</v>
      </c>
      <c r="O207" s="205">
        <f t="shared" si="121"/>
        <v>100</v>
      </c>
      <c r="P207" s="205">
        <f t="shared" si="121"/>
        <v>100</v>
      </c>
      <c r="Q207" s="205">
        <f t="shared" si="121"/>
        <v>100</v>
      </c>
      <c r="R207" s="205">
        <f t="shared" si="121"/>
        <v>100</v>
      </c>
      <c r="S207" s="205">
        <f t="shared" si="121"/>
        <v>100</v>
      </c>
      <c r="T207" s="205">
        <f t="shared" si="121"/>
        <v>100</v>
      </c>
      <c r="U207" s="205">
        <f t="shared" si="121"/>
        <v>99.999999999999986</v>
      </c>
      <c r="V207" s="205">
        <f t="shared" si="121"/>
        <v>100</v>
      </c>
      <c r="W207" s="205">
        <f t="shared" si="121"/>
        <v>100</v>
      </c>
      <c r="X207" s="205">
        <f t="shared" si="121"/>
        <v>100</v>
      </c>
      <c r="Y207" s="205">
        <f t="shared" si="121"/>
        <v>100</v>
      </c>
      <c r="Z207" s="205">
        <f t="shared" si="121"/>
        <v>100</v>
      </c>
      <c r="AA207" s="205">
        <f t="shared" si="121"/>
        <v>100</v>
      </c>
      <c r="AB207" s="205">
        <f t="shared" si="121"/>
        <v>100</v>
      </c>
      <c r="AC207" s="205">
        <f t="shared" si="121"/>
        <v>100</v>
      </c>
      <c r="AD207" s="205">
        <f t="shared" si="121"/>
        <v>100</v>
      </c>
      <c r="AE207" s="205">
        <f t="shared" si="121"/>
        <v>100</v>
      </c>
      <c r="AF207" s="205">
        <f t="shared" si="121"/>
        <v>100</v>
      </c>
      <c r="AG207" s="205">
        <f t="shared" si="121"/>
        <v>99.999999999999986</v>
      </c>
      <c r="AH207" s="205">
        <f t="shared" si="121"/>
        <v>100</v>
      </c>
      <c r="AI207" s="205">
        <f t="shared" si="121"/>
        <v>100</v>
      </c>
      <c r="AJ207" s="205">
        <f t="shared" si="121"/>
        <v>100</v>
      </c>
      <c r="AK207" s="205">
        <f t="shared" si="121"/>
        <v>100</v>
      </c>
      <c r="AL207" s="205">
        <f t="shared" si="121"/>
        <v>100</v>
      </c>
      <c r="AM207" s="205">
        <f t="shared" si="121"/>
        <v>100</v>
      </c>
      <c r="AN207" s="205">
        <f t="shared" si="121"/>
        <v>100</v>
      </c>
    </row>
    <row r="208" spans="2:40" s="7" customFormat="1" ht="12" customHeight="1" outlineLevel="1">
      <c r="B208" s="239"/>
      <c r="C208" s="214" t="s">
        <v>836</v>
      </c>
      <c r="D208" s="212"/>
      <c r="E208" s="232"/>
      <c r="F208" s="232"/>
      <c r="G208" s="232"/>
      <c r="H208" s="232"/>
      <c r="I208" s="232"/>
      <c r="J208" s="232"/>
      <c r="K208" s="232"/>
      <c r="L208" s="232"/>
      <c r="M208" s="205"/>
      <c r="N208" s="205"/>
      <c r="O208" s="205"/>
      <c r="P208" s="205"/>
      <c r="Q208" s="205"/>
      <c r="R208" s="205"/>
      <c r="S208" s="205"/>
      <c r="T208" s="205"/>
      <c r="U208" s="205"/>
      <c r="V208" s="205"/>
      <c r="W208" s="205"/>
      <c r="X208" s="205"/>
      <c r="Y208" s="205"/>
      <c r="Z208" s="205"/>
      <c r="AA208" s="205"/>
      <c r="AB208" s="205"/>
      <c r="AC208" s="205"/>
      <c r="AD208" s="205"/>
      <c r="AE208" s="205"/>
      <c r="AF208" s="205"/>
      <c r="AG208" s="205"/>
      <c r="AH208" s="205"/>
      <c r="AI208" s="205"/>
      <c r="AJ208" s="205"/>
      <c r="AK208" s="205"/>
      <c r="AL208" s="205"/>
      <c r="AM208" s="205"/>
      <c r="AN208" s="205"/>
    </row>
    <row r="209" spans="2:40" ht="12" customHeight="1" outlineLevel="1">
      <c r="B209" s="316"/>
      <c r="C209" s="303" t="s">
        <v>837</v>
      </c>
      <c r="D209" s="302"/>
      <c r="E209" s="317">
        <v>1</v>
      </c>
      <c r="F209" s="317">
        <f>1-(F206/F205)</f>
        <v>0.95238095238095233</v>
      </c>
      <c r="G209" s="317">
        <f t="shared" ref="G209:I209" si="122">1-(G206/G205)</f>
        <v>1</v>
      </c>
      <c r="H209" s="317">
        <f t="shared" si="122"/>
        <v>1</v>
      </c>
      <c r="I209" s="317">
        <f t="shared" si="122"/>
        <v>0.98936170212765961</v>
      </c>
      <c r="J209" s="317">
        <f>154/158</f>
        <v>0.97468354430379744</v>
      </c>
      <c r="K209" s="317">
        <f>89/91</f>
        <v>0.97802197802197799</v>
      </c>
      <c r="L209" s="317">
        <v>0</v>
      </c>
      <c r="M209" s="318">
        <v>0.81762095060748674</v>
      </c>
      <c r="N209" s="318">
        <v>0.81762095060748674</v>
      </c>
      <c r="O209" s="318">
        <v>0.81762095060748674</v>
      </c>
      <c r="P209" s="318">
        <v>0.9</v>
      </c>
      <c r="Q209" s="318">
        <v>0.9</v>
      </c>
      <c r="R209" s="318">
        <v>0.9</v>
      </c>
      <c r="S209" s="318">
        <v>0.9</v>
      </c>
      <c r="T209" s="318">
        <v>0.9</v>
      </c>
      <c r="U209" s="318">
        <v>0.9</v>
      </c>
      <c r="V209" s="318">
        <v>0.9</v>
      </c>
      <c r="W209" s="318">
        <v>0.9</v>
      </c>
      <c r="X209" s="318">
        <v>0.9</v>
      </c>
      <c r="Y209" s="318">
        <v>0.9</v>
      </c>
      <c r="Z209" s="318">
        <v>0.9</v>
      </c>
      <c r="AA209" s="318">
        <v>0.9</v>
      </c>
      <c r="AB209" s="318">
        <v>0.9</v>
      </c>
      <c r="AC209" s="318">
        <v>0.9</v>
      </c>
      <c r="AD209" s="318">
        <v>0.9</v>
      </c>
      <c r="AE209" s="318">
        <v>0.9</v>
      </c>
      <c r="AF209" s="318">
        <v>0.9</v>
      </c>
      <c r="AG209" s="318">
        <v>0.9</v>
      </c>
      <c r="AH209" s="318">
        <v>0.9</v>
      </c>
      <c r="AI209" s="318">
        <v>0.9</v>
      </c>
      <c r="AJ209" s="318">
        <v>0.9</v>
      </c>
      <c r="AK209" s="318">
        <v>0.9</v>
      </c>
      <c r="AL209" s="318">
        <v>0.9</v>
      </c>
      <c r="AM209" s="318">
        <v>0.9</v>
      </c>
      <c r="AN209" s="318">
        <v>0.9</v>
      </c>
    </row>
    <row r="210" spans="2:40" ht="12" customHeight="1" outlineLevel="1">
      <c r="B210" s="301"/>
      <c r="C210" s="303" t="s">
        <v>839</v>
      </c>
      <c r="D210" s="302"/>
      <c r="E210" s="317">
        <f>1-E209</f>
        <v>0</v>
      </c>
      <c r="F210" s="317">
        <f t="shared" ref="F210:I210" si="123">1-F209</f>
        <v>4.7619047619047672E-2</v>
      </c>
      <c r="G210" s="317">
        <f t="shared" si="123"/>
        <v>0</v>
      </c>
      <c r="H210" s="317">
        <f t="shared" si="123"/>
        <v>0</v>
      </c>
      <c r="I210" s="317">
        <f t="shared" si="123"/>
        <v>1.0638297872340385E-2</v>
      </c>
      <c r="J210" s="317">
        <f>1-J209</f>
        <v>2.5316455696202556E-2</v>
      </c>
      <c r="K210" s="317">
        <f>1-K209</f>
        <v>2.1978021978022011E-2</v>
      </c>
      <c r="L210" s="317">
        <v>0</v>
      </c>
      <c r="M210" s="318">
        <v>0.18237904939251326</v>
      </c>
      <c r="N210" s="318">
        <v>0.18237904939251326</v>
      </c>
      <c r="O210" s="318">
        <v>0.18237904939251326</v>
      </c>
      <c r="P210" s="318">
        <v>0.1</v>
      </c>
      <c r="Q210" s="318">
        <v>0.1</v>
      </c>
      <c r="R210" s="318">
        <v>0.1</v>
      </c>
      <c r="S210" s="318">
        <v>0.1</v>
      </c>
      <c r="T210" s="318">
        <v>0.1</v>
      </c>
      <c r="U210" s="318">
        <v>0.1</v>
      </c>
      <c r="V210" s="318">
        <v>0.1</v>
      </c>
      <c r="W210" s="318">
        <v>0.1</v>
      </c>
      <c r="X210" s="318">
        <v>0.1</v>
      </c>
      <c r="Y210" s="318">
        <v>0.1</v>
      </c>
      <c r="Z210" s="318">
        <v>0.1</v>
      </c>
      <c r="AA210" s="318">
        <v>0.1</v>
      </c>
      <c r="AB210" s="318">
        <v>0.1</v>
      </c>
      <c r="AC210" s="318">
        <v>0.1</v>
      </c>
      <c r="AD210" s="318">
        <v>0.1</v>
      </c>
      <c r="AE210" s="318">
        <v>0.1</v>
      </c>
      <c r="AF210" s="318">
        <v>0.1</v>
      </c>
      <c r="AG210" s="318">
        <v>0.1</v>
      </c>
      <c r="AH210" s="318">
        <v>0.1</v>
      </c>
      <c r="AI210" s="318">
        <v>0.1</v>
      </c>
      <c r="AJ210" s="318">
        <v>0.1</v>
      </c>
      <c r="AK210" s="318">
        <v>0.1</v>
      </c>
      <c r="AL210" s="318">
        <v>0.1</v>
      </c>
      <c r="AM210" s="318">
        <v>0.1</v>
      </c>
      <c r="AN210" s="318">
        <v>0.1</v>
      </c>
    </row>
    <row r="211" spans="2:40" ht="12" customHeight="1" outlineLevel="1">
      <c r="B211" s="301"/>
      <c r="C211" s="303" t="s">
        <v>840</v>
      </c>
      <c r="D211" s="302"/>
      <c r="E211" s="317">
        <v>0</v>
      </c>
      <c r="F211" s="317">
        <v>0</v>
      </c>
      <c r="G211" s="317">
        <v>0</v>
      </c>
      <c r="H211" s="317">
        <v>0</v>
      </c>
      <c r="I211" s="317">
        <v>0</v>
      </c>
      <c r="J211" s="317">
        <v>0</v>
      </c>
      <c r="K211" s="317">
        <v>0</v>
      </c>
      <c r="L211" s="317">
        <v>0</v>
      </c>
      <c r="M211" s="318">
        <v>0</v>
      </c>
      <c r="N211" s="318">
        <v>0</v>
      </c>
      <c r="O211" s="318">
        <v>0</v>
      </c>
      <c r="P211" s="318">
        <v>0</v>
      </c>
      <c r="Q211" s="318">
        <v>0</v>
      </c>
      <c r="R211" s="318">
        <v>0</v>
      </c>
      <c r="S211" s="318">
        <v>0</v>
      </c>
      <c r="T211" s="318">
        <v>0</v>
      </c>
      <c r="U211" s="318">
        <v>0</v>
      </c>
      <c r="V211" s="318">
        <v>0</v>
      </c>
      <c r="W211" s="318">
        <v>0</v>
      </c>
      <c r="X211" s="318">
        <v>0</v>
      </c>
      <c r="Y211" s="318">
        <v>0</v>
      </c>
      <c r="Z211" s="318">
        <v>0</v>
      </c>
      <c r="AA211" s="318">
        <v>0</v>
      </c>
      <c r="AB211" s="318">
        <v>0</v>
      </c>
      <c r="AC211" s="318">
        <v>0</v>
      </c>
      <c r="AD211" s="318">
        <v>0</v>
      </c>
      <c r="AE211" s="318">
        <v>0</v>
      </c>
      <c r="AF211" s="318">
        <v>0</v>
      </c>
      <c r="AG211" s="318">
        <v>0</v>
      </c>
      <c r="AH211" s="318">
        <v>0</v>
      </c>
      <c r="AI211" s="318">
        <v>0</v>
      </c>
      <c r="AJ211" s="318">
        <v>0</v>
      </c>
      <c r="AK211" s="318">
        <v>0</v>
      </c>
      <c r="AL211" s="318">
        <v>0</v>
      </c>
      <c r="AM211" s="318">
        <v>0</v>
      </c>
      <c r="AN211" s="318">
        <v>0</v>
      </c>
    </row>
    <row r="212" spans="2:40" s="7" customFormat="1" ht="12" customHeight="1" outlineLevel="1">
      <c r="B212" s="237"/>
      <c r="C212" s="208"/>
      <c r="D212" s="208"/>
      <c r="E212" s="216"/>
      <c r="F212" s="208"/>
      <c r="G212" s="208"/>
      <c r="H212" s="208"/>
      <c r="I212" s="208"/>
      <c r="J212" s="208"/>
      <c r="K212" s="208"/>
      <c r="L212" s="208"/>
      <c r="M212" s="208"/>
      <c r="N212" s="208"/>
      <c r="O212" s="208"/>
      <c r="P212" s="208"/>
      <c r="Q212" s="208"/>
      <c r="R212" s="208"/>
      <c r="S212" s="208"/>
      <c r="T212" s="208"/>
      <c r="U212" s="208"/>
      <c r="V212" s="208"/>
      <c r="W212" s="208"/>
      <c r="X212" s="208"/>
      <c r="Y212" s="208"/>
      <c r="Z212" s="208"/>
      <c r="AA212" s="208"/>
      <c r="AB212" s="208"/>
      <c r="AC212" s="208"/>
      <c r="AD212" s="208"/>
      <c r="AE212" s="208"/>
      <c r="AF212" s="208"/>
      <c r="AG212" s="208"/>
      <c r="AH212" s="208"/>
      <c r="AI212" s="208"/>
      <c r="AJ212" s="208"/>
      <c r="AK212" s="208"/>
      <c r="AL212" s="208"/>
      <c r="AM212" s="208"/>
      <c r="AN212" s="208"/>
    </row>
    <row r="213" spans="2:40" s="7" customFormat="1" ht="12" customHeight="1" outlineLevel="1">
      <c r="B213" s="239"/>
      <c r="C213" s="214" t="s">
        <v>841</v>
      </c>
      <c r="D213" s="214"/>
      <c r="E213" s="209">
        <f>E205*E209</f>
        <v>24</v>
      </c>
      <c r="F213" s="209">
        <f>F205*F209</f>
        <v>20</v>
      </c>
      <c r="G213" s="209">
        <f t="shared" ref="G213:I213" si="124">G205*G209</f>
        <v>75</v>
      </c>
      <c r="H213" s="209">
        <f>H205*H209</f>
        <v>16</v>
      </c>
      <c r="I213" s="209">
        <f t="shared" si="124"/>
        <v>93</v>
      </c>
      <c r="J213" s="209">
        <f t="shared" ref="J213:AN213" si="125">J205*J209</f>
        <v>154</v>
      </c>
      <c r="K213" s="209">
        <f t="shared" si="125"/>
        <v>89</v>
      </c>
      <c r="L213" s="209">
        <f t="shared" si="125"/>
        <v>0</v>
      </c>
      <c r="M213" s="209">
        <f t="shared" si="125"/>
        <v>49.057257036449201</v>
      </c>
      <c r="N213" s="209">
        <f t="shared" si="125"/>
        <v>98.114514072898402</v>
      </c>
      <c r="O213" s="209">
        <f t="shared" si="125"/>
        <v>49.057257036449201</v>
      </c>
      <c r="P213" s="209">
        <f t="shared" si="125"/>
        <v>54</v>
      </c>
      <c r="Q213" s="209">
        <f t="shared" si="125"/>
        <v>69.792480000000012</v>
      </c>
      <c r="R213" s="209">
        <f t="shared" si="125"/>
        <v>112.65155999999998</v>
      </c>
      <c r="S213" s="209">
        <f t="shared" si="125"/>
        <v>112.81842</v>
      </c>
      <c r="T213" s="209">
        <f t="shared" si="125"/>
        <v>47.383560000000003</v>
      </c>
      <c r="U213" s="209">
        <f t="shared" si="125"/>
        <v>63.459450000000011</v>
      </c>
      <c r="V213" s="209">
        <f t="shared" si="125"/>
        <v>102.74310000000003</v>
      </c>
      <c r="W213" s="209">
        <f t="shared" si="125"/>
        <v>40.492619999999995</v>
      </c>
      <c r="X213" s="209">
        <f t="shared" si="125"/>
        <v>60.988950000000003</v>
      </c>
      <c r="Y213" s="209">
        <f t="shared" si="125"/>
        <v>140.4</v>
      </c>
      <c r="Z213" s="209">
        <f t="shared" si="125"/>
        <v>129.6</v>
      </c>
      <c r="AA213" s="209">
        <f t="shared" si="125"/>
        <v>43.2</v>
      </c>
      <c r="AB213" s="209">
        <f t="shared" si="125"/>
        <v>43.2</v>
      </c>
      <c r="AC213" s="209">
        <f t="shared" si="125"/>
        <v>41.875488000000004</v>
      </c>
      <c r="AD213" s="209">
        <f t="shared" si="125"/>
        <v>105.14145599999998</v>
      </c>
      <c r="AE213" s="209">
        <f t="shared" si="125"/>
        <v>82.733508000000029</v>
      </c>
      <c r="AF213" s="209">
        <f t="shared" si="125"/>
        <v>52.121916000000006</v>
      </c>
      <c r="AG213" s="209">
        <f t="shared" si="125"/>
        <v>63.459450000000011</v>
      </c>
      <c r="AH213" s="209">
        <f t="shared" si="125"/>
        <v>154.11465000000001</v>
      </c>
      <c r="AI213" s="209">
        <f>AI205*AI209</f>
        <v>28.344833999999995</v>
      </c>
      <c r="AJ213" s="209">
        <f t="shared" si="125"/>
        <v>52.857089999999999</v>
      </c>
      <c r="AK213" s="209">
        <f t="shared" si="125"/>
        <v>182.52</v>
      </c>
      <c r="AL213" s="209">
        <f t="shared" si="125"/>
        <v>155.52000000000001</v>
      </c>
      <c r="AM213" s="209">
        <f t="shared" si="125"/>
        <v>30.240000000000002</v>
      </c>
      <c r="AN213" s="209">
        <f t="shared" si="125"/>
        <v>43.2</v>
      </c>
    </row>
    <row r="214" spans="2:40" s="7" customFormat="1" ht="12" customHeight="1" outlineLevel="1">
      <c r="B214" s="239"/>
      <c r="C214" s="214" t="s">
        <v>842</v>
      </c>
      <c r="D214" s="214"/>
      <c r="E214" s="209">
        <f>E205*E210</f>
        <v>0</v>
      </c>
      <c r="F214" s="209">
        <f>F205*F210</f>
        <v>1.0000000000000011</v>
      </c>
      <c r="G214" s="209">
        <f>G205*G210</f>
        <v>0</v>
      </c>
      <c r="H214" s="209">
        <f t="shared" ref="H214:I214" si="126">H205*H210</f>
        <v>0</v>
      </c>
      <c r="I214" s="209">
        <f t="shared" si="126"/>
        <v>0.99999999999999623</v>
      </c>
      <c r="J214" s="209">
        <f t="shared" ref="J214:AN214" si="127">J205*J210</f>
        <v>4.0000000000000036</v>
      </c>
      <c r="K214" s="209">
        <f t="shared" si="127"/>
        <v>2.0000000000000031</v>
      </c>
      <c r="L214" s="209">
        <f t="shared" si="127"/>
        <v>0</v>
      </c>
      <c r="M214" s="209">
        <f t="shared" si="127"/>
        <v>10.942742963550796</v>
      </c>
      <c r="N214" s="209">
        <f t="shared" si="127"/>
        <v>21.885485927101591</v>
      </c>
      <c r="O214" s="209">
        <f t="shared" si="127"/>
        <v>10.942742963550796</v>
      </c>
      <c r="P214" s="209">
        <f t="shared" si="127"/>
        <v>6</v>
      </c>
      <c r="Q214" s="209">
        <f t="shared" si="127"/>
        <v>7.7547200000000007</v>
      </c>
      <c r="R214" s="209">
        <f t="shared" si="127"/>
        <v>12.516839999999998</v>
      </c>
      <c r="S214" s="209">
        <f t="shared" si="127"/>
        <v>12.535380000000002</v>
      </c>
      <c r="T214" s="209">
        <f t="shared" si="127"/>
        <v>5.2648400000000004</v>
      </c>
      <c r="U214" s="209">
        <f t="shared" si="127"/>
        <v>7.0510500000000009</v>
      </c>
      <c r="V214" s="209">
        <f t="shared" si="127"/>
        <v>11.415900000000002</v>
      </c>
      <c r="W214" s="209">
        <f t="shared" si="127"/>
        <v>4.4991799999999991</v>
      </c>
      <c r="X214" s="209">
        <f t="shared" si="127"/>
        <v>6.7765500000000003</v>
      </c>
      <c r="Y214" s="209">
        <f t="shared" si="127"/>
        <v>15.600000000000001</v>
      </c>
      <c r="Z214" s="209">
        <f t="shared" si="127"/>
        <v>14.4</v>
      </c>
      <c r="AA214" s="209">
        <f t="shared" si="127"/>
        <v>4.8000000000000007</v>
      </c>
      <c r="AB214" s="209">
        <f t="shared" si="127"/>
        <v>4.8000000000000007</v>
      </c>
      <c r="AC214" s="209">
        <f t="shared" si="127"/>
        <v>4.6528320000000001</v>
      </c>
      <c r="AD214" s="209">
        <f t="shared" si="127"/>
        <v>11.682383999999999</v>
      </c>
      <c r="AE214" s="209">
        <f t="shared" si="127"/>
        <v>9.1926120000000022</v>
      </c>
      <c r="AF214" s="209">
        <f t="shared" si="127"/>
        <v>5.7913240000000004</v>
      </c>
      <c r="AG214" s="209">
        <f t="shared" si="127"/>
        <v>7.0510500000000009</v>
      </c>
      <c r="AH214" s="209">
        <f t="shared" si="127"/>
        <v>17.123850000000001</v>
      </c>
      <c r="AI214" s="209">
        <f t="shared" si="127"/>
        <v>3.1494259999999996</v>
      </c>
      <c r="AJ214" s="209">
        <f t="shared" si="127"/>
        <v>5.8730100000000007</v>
      </c>
      <c r="AK214" s="209">
        <f t="shared" si="127"/>
        <v>20.28</v>
      </c>
      <c r="AL214" s="209">
        <f t="shared" si="127"/>
        <v>17.28</v>
      </c>
      <c r="AM214" s="209">
        <f t="shared" si="127"/>
        <v>3.3600000000000003</v>
      </c>
      <c r="AN214" s="209">
        <f t="shared" si="127"/>
        <v>4.8000000000000007</v>
      </c>
    </row>
    <row r="215" spans="2:40" s="7" customFormat="1" ht="12" customHeight="1" outlineLevel="1">
      <c r="B215" s="239"/>
      <c r="C215" s="214" t="s">
        <v>843</v>
      </c>
      <c r="D215" s="214"/>
      <c r="E215" s="209">
        <f>E205*E211</f>
        <v>0</v>
      </c>
      <c r="F215" s="209">
        <f t="shared" ref="F215:I215" si="128">F205*F211</f>
        <v>0</v>
      </c>
      <c r="G215" s="209">
        <f t="shared" si="128"/>
        <v>0</v>
      </c>
      <c r="H215" s="209">
        <f t="shared" si="128"/>
        <v>0</v>
      </c>
      <c r="I215" s="209">
        <f t="shared" si="128"/>
        <v>0</v>
      </c>
      <c r="J215" s="209">
        <f t="shared" ref="J215:AN215" si="129">J205*J211</f>
        <v>0</v>
      </c>
      <c r="K215" s="209">
        <f t="shared" si="129"/>
        <v>0</v>
      </c>
      <c r="L215" s="209">
        <f t="shared" si="129"/>
        <v>0</v>
      </c>
      <c r="M215" s="209">
        <f t="shared" si="129"/>
        <v>0</v>
      </c>
      <c r="N215" s="209">
        <f t="shared" si="129"/>
        <v>0</v>
      </c>
      <c r="O215" s="209">
        <f t="shared" si="129"/>
        <v>0</v>
      </c>
      <c r="P215" s="209">
        <f t="shared" si="129"/>
        <v>0</v>
      </c>
      <c r="Q215" s="209">
        <f t="shared" si="129"/>
        <v>0</v>
      </c>
      <c r="R215" s="209">
        <f t="shared" si="129"/>
        <v>0</v>
      </c>
      <c r="S215" s="209">
        <f t="shared" si="129"/>
        <v>0</v>
      </c>
      <c r="T215" s="209">
        <f t="shared" si="129"/>
        <v>0</v>
      </c>
      <c r="U215" s="209">
        <f t="shared" si="129"/>
        <v>0</v>
      </c>
      <c r="V215" s="209">
        <f t="shared" si="129"/>
        <v>0</v>
      </c>
      <c r="W215" s="209">
        <f t="shared" si="129"/>
        <v>0</v>
      </c>
      <c r="X215" s="209">
        <f t="shared" si="129"/>
        <v>0</v>
      </c>
      <c r="Y215" s="209">
        <f t="shared" si="129"/>
        <v>0</v>
      </c>
      <c r="Z215" s="209">
        <f t="shared" si="129"/>
        <v>0</v>
      </c>
      <c r="AA215" s="209">
        <f t="shared" si="129"/>
        <v>0</v>
      </c>
      <c r="AB215" s="209">
        <f t="shared" si="129"/>
        <v>0</v>
      </c>
      <c r="AC215" s="209">
        <f t="shared" si="129"/>
        <v>0</v>
      </c>
      <c r="AD215" s="209">
        <f t="shared" si="129"/>
        <v>0</v>
      </c>
      <c r="AE215" s="209">
        <f t="shared" si="129"/>
        <v>0</v>
      </c>
      <c r="AF215" s="209">
        <f t="shared" si="129"/>
        <v>0</v>
      </c>
      <c r="AG215" s="209">
        <f t="shared" si="129"/>
        <v>0</v>
      </c>
      <c r="AH215" s="209">
        <f t="shared" si="129"/>
        <v>0</v>
      </c>
      <c r="AI215" s="209">
        <f t="shared" si="129"/>
        <v>0</v>
      </c>
      <c r="AJ215" s="209">
        <f t="shared" si="129"/>
        <v>0</v>
      </c>
      <c r="AK215" s="209">
        <f t="shared" si="129"/>
        <v>0</v>
      </c>
      <c r="AL215" s="209">
        <f t="shared" si="129"/>
        <v>0</v>
      </c>
      <c r="AM215" s="209">
        <f t="shared" si="129"/>
        <v>0</v>
      </c>
      <c r="AN215" s="209">
        <f t="shared" si="129"/>
        <v>0</v>
      </c>
    </row>
    <row r="216" spans="2:40" s="7" customFormat="1" ht="12" customHeight="1" outlineLevel="1">
      <c r="B216" s="239"/>
      <c r="C216" s="214" t="s">
        <v>844</v>
      </c>
      <c r="D216" s="214"/>
      <c r="E216" s="209">
        <f>IF((SUM(E226:E262)-E213)&lt;2,ROUNDUP(SUM(E226:E262),0)-E213,ROUNDDOWN(SUM(E226:E262),0)-E213)</f>
        <v>33</v>
      </c>
      <c r="F216" s="209">
        <f t="shared" ref="F216" si="130">IF((SUM(F226:F262)-F213)&lt;2,ROUNDUP(SUM(F226:F262),0)-F213,ROUNDDOWN(SUM(F226:F262),0)-F213)</f>
        <v>90</v>
      </c>
      <c r="G216" s="209">
        <f>IF((SUM(G226:G262)-G213)&lt;2,ROUNDUP(SUM(G226:G262),0)-G213,ROUNDDOWN(SUM(G226:G262),0)-G213)</f>
        <v>6</v>
      </c>
      <c r="H216" s="209">
        <f>IF((SUM(H226:H262)-H213)&lt;2,ROUNDUP(SUM(H226:H262),0)-H213,ROUNDDOWN(SUM(H226:H262),0)-H213)</f>
        <v>178</v>
      </c>
      <c r="I216" s="209">
        <f>IF((SUM(I226:I262)-I213)&lt;2,ROUNDUP(SUM(I226:I262),0)-I213,ROUNDDOWN(SUM(I226:I262),0)-I213)</f>
        <v>8</v>
      </c>
      <c r="J216" s="209">
        <f t="shared" ref="J216:AN216" si="131">IF((SUM(J226:J262)-J213)&lt;2,ROUNDUP(SUM(J226:J262),0)-J213,ROUNDDOWN(SUM(J226:J262),0)-J213)</f>
        <v>7</v>
      </c>
      <c r="K216" s="209">
        <f t="shared" si="131"/>
        <v>7</v>
      </c>
      <c r="L216" s="209">
        <f t="shared" si="131"/>
        <v>7</v>
      </c>
      <c r="M216" s="209">
        <f t="shared" si="131"/>
        <v>6.9427429635507991</v>
      </c>
      <c r="N216" s="209">
        <f t="shared" si="131"/>
        <v>6.8854859271015982</v>
      </c>
      <c r="O216" s="209">
        <f t="shared" si="131"/>
        <v>6.9427429635507991</v>
      </c>
      <c r="P216" s="209">
        <f t="shared" si="131"/>
        <v>6</v>
      </c>
      <c r="Q216" s="209">
        <f t="shared" si="131"/>
        <v>6.2075199999999882</v>
      </c>
      <c r="R216" s="209">
        <f t="shared" si="131"/>
        <v>6.348440000000025</v>
      </c>
      <c r="S216" s="209">
        <f t="shared" si="131"/>
        <v>6.1815799999999967</v>
      </c>
      <c r="T216" s="209">
        <f t="shared" si="131"/>
        <v>5.6164399999999972</v>
      </c>
      <c r="U216" s="209">
        <f t="shared" si="131"/>
        <v>5.540549999999989</v>
      </c>
      <c r="V216" s="209">
        <f t="shared" si="131"/>
        <v>5.2568999999999733</v>
      </c>
      <c r="W216" s="209">
        <f t="shared" si="131"/>
        <v>5.5073800000000048</v>
      </c>
      <c r="X216" s="209">
        <f t="shared" si="131"/>
        <v>5.0110499999999973</v>
      </c>
      <c r="Y216" s="209">
        <f t="shared" si="131"/>
        <v>5.5999999999999943</v>
      </c>
      <c r="Z216" s="209">
        <f t="shared" si="131"/>
        <v>5.4000000000000057</v>
      </c>
      <c r="AA216" s="209">
        <f t="shared" si="131"/>
        <v>4.7999999999999972</v>
      </c>
      <c r="AB216" s="209">
        <f t="shared" si="131"/>
        <v>4.7999999999999972</v>
      </c>
      <c r="AC216" s="209">
        <f t="shared" si="131"/>
        <v>5.1245119999999957</v>
      </c>
      <c r="AD216" s="209">
        <f t="shared" si="131"/>
        <v>4.8585440000000233</v>
      </c>
      <c r="AE216" s="209">
        <f t="shared" si="131"/>
        <v>4.2664919999999711</v>
      </c>
      <c r="AF216" s="209">
        <f t="shared" si="131"/>
        <v>4.8780839999999941</v>
      </c>
      <c r="AG216" s="209">
        <f t="shared" si="131"/>
        <v>4.540549999999989</v>
      </c>
      <c r="AH216" s="209">
        <f t="shared" si="131"/>
        <v>3.8853499999999883</v>
      </c>
      <c r="AI216" s="209">
        <f t="shared" si="131"/>
        <v>4.6551660000000048</v>
      </c>
      <c r="AJ216" s="209">
        <f t="shared" si="131"/>
        <v>4.1429100000000005</v>
      </c>
      <c r="AK216" s="209">
        <f t="shared" si="131"/>
        <v>4.4799999999999898</v>
      </c>
      <c r="AL216" s="209">
        <f t="shared" si="131"/>
        <v>3.4799999999999898</v>
      </c>
      <c r="AM216" s="209">
        <f t="shared" si="131"/>
        <v>3.759999999999998</v>
      </c>
      <c r="AN216" s="209">
        <f t="shared" si="131"/>
        <v>3.7999999999999972</v>
      </c>
    </row>
    <row r="217" spans="2:40" s="7" customFormat="1" ht="12" customHeight="1" outlineLevel="1">
      <c r="B217" s="239"/>
      <c r="C217" s="214" t="s">
        <v>845</v>
      </c>
      <c r="D217" s="214"/>
      <c r="E217" s="209">
        <f>IF((SUM(E267:E303)-E214)&lt;2,ROUNDUP(SUM(E267:E303),0)-E214,ROUNDDOWN(SUM(E267:E303),0)-E214)</f>
        <v>0</v>
      </c>
      <c r="F217" s="209">
        <f>IF((SUM(F267:F303)-F214)&lt;2,ROUND(SUM(F267:F303),0)-F214,ROUNDDOWN(SUM(F267:F303),0)-F214)</f>
        <v>-1.1102230246251565E-15</v>
      </c>
      <c r="G217" s="209">
        <f>IF((SUM(G267:G303)-G214)&lt;2,ROUND(SUM(G267:G303),0)-G214,ROUNDDOWN(SUM(G267:G303),0)-G214)</f>
        <v>0</v>
      </c>
      <c r="H217" s="209">
        <f t="shared" ref="H217:I217" si="132">IF((SUM(H267:H303)-H214)&lt;2,ROUND(SUM(H267:H303),0)-H214,ROUNDDOWN(SUM(H267:H303),0)-H214)</f>
        <v>0</v>
      </c>
      <c r="I217" s="209">
        <f t="shared" si="132"/>
        <v>3.7747582837255322E-15</v>
      </c>
      <c r="J217" s="209">
        <f t="shared" ref="J217:AN217" si="133">IF((SUM(J267:J303)-J214)&lt;2,ROUNDUP(SUM(J267:J303),0)-J214,ROUNDDOWN(SUM(J267:J303),0)-J214)</f>
        <v>0.99999999999999645</v>
      </c>
      <c r="K217" s="209">
        <f t="shared" si="133"/>
        <v>0.99999999999999689</v>
      </c>
      <c r="L217" s="209">
        <f t="shared" si="133"/>
        <v>1</v>
      </c>
      <c r="M217" s="209">
        <f t="shared" si="133"/>
        <v>1.0572570364492044</v>
      </c>
      <c r="N217" s="209">
        <f t="shared" si="133"/>
        <v>2.1145140728984089</v>
      </c>
      <c r="O217" s="209">
        <f t="shared" si="133"/>
        <v>2.0572570364492044</v>
      </c>
      <c r="P217" s="209">
        <f t="shared" si="133"/>
        <v>3</v>
      </c>
      <c r="Q217" s="209">
        <f t="shared" si="133"/>
        <v>3.2452799999999993</v>
      </c>
      <c r="R217" s="209">
        <f t="shared" si="133"/>
        <v>3.4831600000000016</v>
      </c>
      <c r="S217" s="209">
        <f t="shared" si="133"/>
        <v>4.4646199999999983</v>
      </c>
      <c r="T217" s="209">
        <f t="shared" si="133"/>
        <v>4.7351599999999996</v>
      </c>
      <c r="U217" s="209">
        <f t="shared" si="133"/>
        <v>4.9489499999999991</v>
      </c>
      <c r="V217" s="209">
        <f t="shared" si="133"/>
        <v>5.5840999999999976</v>
      </c>
      <c r="W217" s="209">
        <f t="shared" si="133"/>
        <v>5.5008200000000009</v>
      </c>
      <c r="X217" s="209">
        <f t="shared" si="133"/>
        <v>5.2234499999999997</v>
      </c>
      <c r="Y217" s="209">
        <f t="shared" si="133"/>
        <v>5.3999999999999986</v>
      </c>
      <c r="Z217" s="209">
        <f t="shared" si="133"/>
        <v>6.6</v>
      </c>
      <c r="AA217" s="209">
        <f t="shared" si="133"/>
        <v>7.1999999999999993</v>
      </c>
      <c r="AB217" s="209">
        <f t="shared" si="133"/>
        <v>7.1999999999999993</v>
      </c>
      <c r="AC217" s="209">
        <f t="shared" si="133"/>
        <v>6.3471679999999999</v>
      </c>
      <c r="AD217" s="209">
        <f t="shared" si="133"/>
        <v>6.317616000000001</v>
      </c>
      <c r="AE217" s="209">
        <f t="shared" si="133"/>
        <v>6.8073879999999978</v>
      </c>
      <c r="AF217" s="209">
        <f t="shared" si="133"/>
        <v>7.2086759999999996</v>
      </c>
      <c r="AG217" s="209">
        <f t="shared" si="133"/>
        <v>6.9489499999999991</v>
      </c>
      <c r="AH217" s="209">
        <f t="shared" si="133"/>
        <v>6.8761499999999991</v>
      </c>
      <c r="AI217" s="209">
        <f t="shared" si="133"/>
        <v>6.8505739999999999</v>
      </c>
      <c r="AJ217" s="209">
        <f t="shared" si="133"/>
        <v>7.1269899999999993</v>
      </c>
      <c r="AK217" s="209">
        <f t="shared" si="133"/>
        <v>6.7199999999999989</v>
      </c>
      <c r="AL217" s="209">
        <f t="shared" si="133"/>
        <v>7.7199999999999989</v>
      </c>
      <c r="AM217" s="209">
        <f t="shared" si="133"/>
        <v>8.64</v>
      </c>
      <c r="AN217" s="209">
        <f t="shared" si="133"/>
        <v>8.1999999999999993</v>
      </c>
    </row>
    <row r="218" spans="2:40" s="7" customFormat="1" ht="12" customHeight="1" outlineLevel="1">
      <c r="B218" s="239"/>
      <c r="C218" s="214" t="s">
        <v>846</v>
      </c>
      <c r="D218" s="214"/>
      <c r="E218" s="209">
        <f>IF((SUM(E308:E343)-E215)&lt;1,ROUNDUP(SUM(E308:E343),0)-E215,ROUNDDOWN(SUM(E308:E343),0)-E215)</f>
        <v>0</v>
      </c>
      <c r="F218" s="209">
        <f t="shared" ref="F218:I218" si="134">IF((SUM(F308:F343)-F215)&lt;1,ROUNDUP(SUM(F308:F343),0)-F215,ROUNDDOWN(SUM(F308:F343),0)-F215)</f>
        <v>0</v>
      </c>
      <c r="G218" s="209">
        <f t="shared" si="134"/>
        <v>0</v>
      </c>
      <c r="H218" s="209">
        <f t="shared" si="134"/>
        <v>0</v>
      </c>
      <c r="I218" s="209">
        <f t="shared" si="134"/>
        <v>0</v>
      </c>
      <c r="J218" s="209">
        <f t="shared" ref="J218:AN218" si="135">IF((SUM(J308:J343)-J215)&lt;1,ROUNDUP(SUM(J308:J343),0)-J215,ROUNDDOWN(SUM(J308:J343),0)-J215)</f>
        <v>0</v>
      </c>
      <c r="K218" s="209">
        <f t="shared" si="135"/>
        <v>0</v>
      </c>
      <c r="L218" s="209">
        <f t="shared" si="135"/>
        <v>0</v>
      </c>
      <c r="M218" s="209">
        <f t="shared" si="135"/>
        <v>0</v>
      </c>
      <c r="N218" s="209">
        <f t="shared" si="135"/>
        <v>0</v>
      </c>
      <c r="O218" s="209">
        <f t="shared" si="135"/>
        <v>0</v>
      </c>
      <c r="P218" s="209">
        <f t="shared" si="135"/>
        <v>0</v>
      </c>
      <c r="Q218" s="209">
        <f t="shared" si="135"/>
        <v>0</v>
      </c>
      <c r="R218" s="209">
        <f t="shared" si="135"/>
        <v>0</v>
      </c>
      <c r="S218" s="209">
        <f t="shared" si="135"/>
        <v>0</v>
      </c>
      <c r="T218" s="209">
        <f t="shared" si="135"/>
        <v>0</v>
      </c>
      <c r="U218" s="209">
        <f t="shared" si="135"/>
        <v>0</v>
      </c>
      <c r="V218" s="209">
        <f t="shared" si="135"/>
        <v>0</v>
      </c>
      <c r="W218" s="209">
        <f t="shared" si="135"/>
        <v>0</v>
      </c>
      <c r="X218" s="209">
        <f t="shared" si="135"/>
        <v>0</v>
      </c>
      <c r="Y218" s="209">
        <f t="shared" si="135"/>
        <v>0</v>
      </c>
      <c r="Z218" s="209">
        <f t="shared" si="135"/>
        <v>0</v>
      </c>
      <c r="AA218" s="209">
        <f t="shared" si="135"/>
        <v>0</v>
      </c>
      <c r="AB218" s="209">
        <f t="shared" si="135"/>
        <v>0</v>
      </c>
      <c r="AC218" s="209">
        <f t="shared" si="135"/>
        <v>0</v>
      </c>
      <c r="AD218" s="209">
        <f t="shared" si="135"/>
        <v>0</v>
      </c>
      <c r="AE218" s="209">
        <f t="shared" si="135"/>
        <v>0</v>
      </c>
      <c r="AF218" s="209">
        <f t="shared" si="135"/>
        <v>0</v>
      </c>
      <c r="AG218" s="209">
        <f t="shared" si="135"/>
        <v>0</v>
      </c>
      <c r="AH218" s="209">
        <f t="shared" si="135"/>
        <v>0</v>
      </c>
      <c r="AI218" s="209">
        <f t="shared" si="135"/>
        <v>0</v>
      </c>
      <c r="AJ218" s="209">
        <f t="shared" si="135"/>
        <v>0</v>
      </c>
      <c r="AK218" s="209">
        <f t="shared" si="135"/>
        <v>0</v>
      </c>
      <c r="AL218" s="209">
        <f t="shared" si="135"/>
        <v>0</v>
      </c>
      <c r="AM218" s="209">
        <f t="shared" si="135"/>
        <v>0</v>
      </c>
      <c r="AN218" s="209">
        <f t="shared" si="135"/>
        <v>0</v>
      </c>
    </row>
    <row r="219" spans="2:40" s="7" customFormat="1" ht="12" customHeight="1" outlineLevel="1">
      <c r="B219" s="237"/>
      <c r="C219" s="214" t="s">
        <v>833</v>
      </c>
      <c r="D219" s="214"/>
      <c r="E219" s="210">
        <f t="shared" ref="E219:I219" si="136">SUM(E213:E215)</f>
        <v>24</v>
      </c>
      <c r="F219" s="210">
        <f t="shared" si="136"/>
        <v>21</v>
      </c>
      <c r="G219" s="210">
        <f t="shared" si="136"/>
        <v>75</v>
      </c>
      <c r="H219" s="210">
        <f>SUM(H213:H215)</f>
        <v>16</v>
      </c>
      <c r="I219" s="210">
        <f t="shared" si="136"/>
        <v>94</v>
      </c>
      <c r="J219" s="210">
        <f t="shared" ref="J219:P219" si="137">SUM(J213:J215)</f>
        <v>158</v>
      </c>
      <c r="K219" s="210">
        <f t="shared" si="137"/>
        <v>91</v>
      </c>
      <c r="L219" s="210">
        <f t="shared" si="137"/>
        <v>0</v>
      </c>
      <c r="M219" s="210">
        <f t="shared" si="137"/>
        <v>60</v>
      </c>
      <c r="N219" s="210">
        <f t="shared" si="137"/>
        <v>120</v>
      </c>
      <c r="O219" s="210">
        <f t="shared" si="137"/>
        <v>60</v>
      </c>
      <c r="P219" s="210">
        <f t="shared" si="137"/>
        <v>60</v>
      </c>
      <c r="Q219" s="210">
        <f t="shared" ref="Q219:AN219" si="138">SUM(Q213:Q215)</f>
        <v>77.547200000000018</v>
      </c>
      <c r="R219" s="210">
        <f t="shared" si="138"/>
        <v>125.16839999999998</v>
      </c>
      <c r="S219" s="210">
        <f t="shared" si="138"/>
        <v>125.35380000000001</v>
      </c>
      <c r="T219" s="210">
        <f t="shared" si="138"/>
        <v>52.648400000000002</v>
      </c>
      <c r="U219" s="210">
        <f t="shared" si="138"/>
        <v>70.510500000000008</v>
      </c>
      <c r="V219" s="210">
        <f t="shared" si="138"/>
        <v>114.15900000000003</v>
      </c>
      <c r="W219" s="210">
        <f t="shared" si="138"/>
        <v>44.991799999999998</v>
      </c>
      <c r="X219" s="210">
        <f t="shared" si="138"/>
        <v>67.765500000000003</v>
      </c>
      <c r="Y219" s="210">
        <f t="shared" si="138"/>
        <v>156</v>
      </c>
      <c r="Z219" s="210">
        <f t="shared" si="138"/>
        <v>144</v>
      </c>
      <c r="AA219" s="210">
        <f t="shared" si="138"/>
        <v>48</v>
      </c>
      <c r="AB219" s="210">
        <f t="shared" si="138"/>
        <v>48</v>
      </c>
      <c r="AC219" s="210">
        <f t="shared" si="138"/>
        <v>46.528320000000008</v>
      </c>
      <c r="AD219" s="210">
        <f t="shared" si="138"/>
        <v>116.82383999999998</v>
      </c>
      <c r="AE219" s="210">
        <f t="shared" si="138"/>
        <v>91.926120000000026</v>
      </c>
      <c r="AF219" s="210">
        <f t="shared" si="138"/>
        <v>57.913240000000009</v>
      </c>
      <c r="AG219" s="210">
        <f t="shared" si="138"/>
        <v>70.510500000000008</v>
      </c>
      <c r="AH219" s="210">
        <f t="shared" si="138"/>
        <v>171.23850000000002</v>
      </c>
      <c r="AI219" s="210">
        <f t="shared" si="138"/>
        <v>31.494259999999993</v>
      </c>
      <c r="AJ219" s="210">
        <f t="shared" si="138"/>
        <v>58.7301</v>
      </c>
      <c r="AK219" s="210">
        <f t="shared" si="138"/>
        <v>202.8</v>
      </c>
      <c r="AL219" s="210">
        <f t="shared" si="138"/>
        <v>172.8</v>
      </c>
      <c r="AM219" s="210">
        <f t="shared" si="138"/>
        <v>33.6</v>
      </c>
      <c r="AN219" s="210">
        <f t="shared" si="138"/>
        <v>48</v>
      </c>
    </row>
    <row r="220" spans="2:40" s="7" customFormat="1" ht="12" customHeight="1" outlineLevel="1">
      <c r="B220" s="237"/>
      <c r="C220" s="214" t="s">
        <v>847</v>
      </c>
      <c r="D220" s="214"/>
      <c r="E220" s="210">
        <f>SUM(E216:E218)</f>
        <v>33</v>
      </c>
      <c r="F220" s="210">
        <f t="shared" ref="F220:I220" si="139">SUM(F216:F218)</f>
        <v>90</v>
      </c>
      <c r="G220" s="210">
        <f t="shared" si="139"/>
        <v>6</v>
      </c>
      <c r="H220" s="210">
        <f t="shared" si="139"/>
        <v>178</v>
      </c>
      <c r="I220" s="210">
        <f t="shared" si="139"/>
        <v>8.0000000000000036</v>
      </c>
      <c r="J220" s="210">
        <f t="shared" ref="J220:AN220" si="140">SUM(J216:J218)</f>
        <v>7.9999999999999964</v>
      </c>
      <c r="K220" s="210">
        <f t="shared" si="140"/>
        <v>7.9999999999999964</v>
      </c>
      <c r="L220" s="210">
        <f t="shared" si="140"/>
        <v>8</v>
      </c>
      <c r="M220" s="210">
        <f t="shared" si="140"/>
        <v>8.0000000000000036</v>
      </c>
      <c r="N220" s="210">
        <f t="shared" si="140"/>
        <v>9.0000000000000071</v>
      </c>
      <c r="O220" s="210">
        <f t="shared" si="140"/>
        <v>9.0000000000000036</v>
      </c>
      <c r="P220" s="210">
        <f t="shared" si="140"/>
        <v>9</v>
      </c>
      <c r="Q220" s="210">
        <f t="shared" si="140"/>
        <v>9.4527999999999874</v>
      </c>
      <c r="R220" s="210">
        <f t="shared" si="140"/>
        <v>9.8316000000000265</v>
      </c>
      <c r="S220" s="210">
        <f t="shared" si="140"/>
        <v>10.646199999999995</v>
      </c>
      <c r="T220" s="210">
        <f t="shared" si="140"/>
        <v>10.351599999999998</v>
      </c>
      <c r="U220" s="210">
        <f t="shared" si="140"/>
        <v>10.489499999999989</v>
      </c>
      <c r="V220" s="210">
        <f t="shared" si="140"/>
        <v>10.840999999999971</v>
      </c>
      <c r="W220" s="210">
        <f t="shared" si="140"/>
        <v>11.008200000000006</v>
      </c>
      <c r="X220" s="210">
        <f t="shared" si="140"/>
        <v>10.234499999999997</v>
      </c>
      <c r="Y220" s="210">
        <f t="shared" si="140"/>
        <v>10.999999999999993</v>
      </c>
      <c r="Z220" s="210">
        <f t="shared" si="140"/>
        <v>12.000000000000005</v>
      </c>
      <c r="AA220" s="210">
        <f t="shared" si="140"/>
        <v>11.999999999999996</v>
      </c>
      <c r="AB220" s="210">
        <f t="shared" si="140"/>
        <v>11.999999999999996</v>
      </c>
      <c r="AC220" s="210">
        <f t="shared" si="140"/>
        <v>11.471679999999996</v>
      </c>
      <c r="AD220" s="210">
        <f t="shared" si="140"/>
        <v>11.176160000000024</v>
      </c>
      <c r="AE220" s="210">
        <f t="shared" si="140"/>
        <v>11.073879999999969</v>
      </c>
      <c r="AF220" s="210">
        <f t="shared" si="140"/>
        <v>12.086759999999995</v>
      </c>
      <c r="AG220" s="210">
        <f t="shared" si="140"/>
        <v>11.489499999999989</v>
      </c>
      <c r="AH220" s="210">
        <f t="shared" si="140"/>
        <v>10.761499999999987</v>
      </c>
      <c r="AI220" s="210">
        <f t="shared" si="140"/>
        <v>11.505740000000005</v>
      </c>
      <c r="AJ220" s="210">
        <f t="shared" si="140"/>
        <v>11.2699</v>
      </c>
      <c r="AK220" s="210">
        <f t="shared" si="140"/>
        <v>11.199999999999989</v>
      </c>
      <c r="AL220" s="210">
        <f t="shared" si="140"/>
        <v>11.199999999999989</v>
      </c>
      <c r="AM220" s="210">
        <f t="shared" si="140"/>
        <v>12.399999999999999</v>
      </c>
      <c r="AN220" s="210">
        <f t="shared" si="140"/>
        <v>11.999999999999996</v>
      </c>
    </row>
    <row r="221" spans="2:40" s="7" customFormat="1" ht="12" customHeight="1" outlineLevel="1">
      <c r="B221" s="237"/>
      <c r="C221" s="214" t="s">
        <v>848</v>
      </c>
      <c r="D221" s="214"/>
      <c r="E221" s="205">
        <f>SUM(E219:E220)</f>
        <v>57</v>
      </c>
      <c r="F221" s="205">
        <f t="shared" ref="F221:I221" si="141">SUM(F219:F220)</f>
        <v>111</v>
      </c>
      <c r="G221" s="205">
        <f t="shared" si="141"/>
        <v>81</v>
      </c>
      <c r="H221" s="205">
        <f t="shared" si="141"/>
        <v>194</v>
      </c>
      <c r="I221" s="205">
        <f t="shared" si="141"/>
        <v>102</v>
      </c>
      <c r="J221" s="205">
        <f t="shared" ref="J221:AN221" si="142">SUM(J219:J220)</f>
        <v>166</v>
      </c>
      <c r="K221" s="205">
        <f t="shared" si="142"/>
        <v>99</v>
      </c>
      <c r="L221" s="205">
        <f t="shared" si="142"/>
        <v>8</v>
      </c>
      <c r="M221" s="205">
        <f t="shared" si="142"/>
        <v>68</v>
      </c>
      <c r="N221" s="205">
        <f t="shared" si="142"/>
        <v>129</v>
      </c>
      <c r="O221" s="205">
        <f t="shared" si="142"/>
        <v>69</v>
      </c>
      <c r="P221" s="205">
        <f t="shared" si="142"/>
        <v>69</v>
      </c>
      <c r="Q221" s="205">
        <f t="shared" si="142"/>
        <v>87</v>
      </c>
      <c r="R221" s="205">
        <f t="shared" si="142"/>
        <v>135</v>
      </c>
      <c r="S221" s="205">
        <f t="shared" si="142"/>
        <v>136</v>
      </c>
      <c r="T221" s="205">
        <f t="shared" si="142"/>
        <v>63</v>
      </c>
      <c r="U221" s="205">
        <f t="shared" si="142"/>
        <v>81</v>
      </c>
      <c r="V221" s="205">
        <f t="shared" si="142"/>
        <v>125</v>
      </c>
      <c r="W221" s="205">
        <f t="shared" si="142"/>
        <v>56</v>
      </c>
      <c r="X221" s="205">
        <f t="shared" si="142"/>
        <v>78</v>
      </c>
      <c r="Y221" s="205">
        <f t="shared" si="142"/>
        <v>167</v>
      </c>
      <c r="Z221" s="205">
        <f t="shared" si="142"/>
        <v>156</v>
      </c>
      <c r="AA221" s="205">
        <f t="shared" si="142"/>
        <v>60</v>
      </c>
      <c r="AB221" s="205">
        <f t="shared" si="142"/>
        <v>60</v>
      </c>
      <c r="AC221" s="205">
        <f t="shared" si="142"/>
        <v>58</v>
      </c>
      <c r="AD221" s="205">
        <f t="shared" si="142"/>
        <v>128</v>
      </c>
      <c r="AE221" s="205">
        <f t="shared" si="142"/>
        <v>103</v>
      </c>
      <c r="AF221" s="205">
        <f t="shared" si="142"/>
        <v>70</v>
      </c>
      <c r="AG221" s="205">
        <f t="shared" si="142"/>
        <v>82</v>
      </c>
      <c r="AH221" s="205">
        <f t="shared" si="142"/>
        <v>182</v>
      </c>
      <c r="AI221" s="205">
        <f t="shared" si="142"/>
        <v>43</v>
      </c>
      <c r="AJ221" s="205">
        <f t="shared" si="142"/>
        <v>70</v>
      </c>
      <c r="AK221" s="205">
        <f t="shared" si="142"/>
        <v>214</v>
      </c>
      <c r="AL221" s="205">
        <f t="shared" si="142"/>
        <v>184</v>
      </c>
      <c r="AM221" s="205">
        <f t="shared" si="142"/>
        <v>46</v>
      </c>
      <c r="AN221" s="205">
        <f t="shared" si="142"/>
        <v>60</v>
      </c>
    </row>
    <row r="222" spans="2:40" s="7" customFormat="1" ht="12" customHeight="1" outlineLevel="1">
      <c r="B222" s="239"/>
      <c r="C222" s="212"/>
      <c r="D222" s="212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</row>
    <row r="223" spans="2:40" s="7" customFormat="1" ht="12" hidden="1" customHeight="1" outlineLevel="2">
      <c r="B223" s="239"/>
      <c r="C223" s="249" t="s">
        <v>849</v>
      </c>
      <c r="D223" s="212"/>
      <c r="O223" s="212"/>
      <c r="P223" s="212"/>
      <c r="Q223" s="212"/>
      <c r="R223" s="212"/>
      <c r="S223" s="212"/>
      <c r="T223" s="212"/>
      <c r="U223" s="212"/>
      <c r="V223" s="212"/>
      <c r="W223" s="212"/>
      <c r="X223" s="212"/>
      <c r="Y223" s="212"/>
      <c r="Z223" s="212"/>
      <c r="AA223" s="212"/>
      <c r="AB223" s="212"/>
      <c r="AC223" s="212"/>
      <c r="AD223" s="212"/>
      <c r="AE223" s="212"/>
      <c r="AF223" s="212"/>
      <c r="AG223" s="212"/>
      <c r="AH223" s="212"/>
      <c r="AI223" s="212"/>
      <c r="AJ223" s="212"/>
      <c r="AK223" s="212"/>
      <c r="AL223" s="212"/>
      <c r="AM223" s="212"/>
      <c r="AN223" s="212"/>
    </row>
    <row r="224" spans="2:40" s="7" customFormat="1" ht="12" hidden="1" customHeight="1" outlineLevel="2">
      <c r="B224" s="239"/>
      <c r="C224" s="212" t="s">
        <v>850</v>
      </c>
      <c r="D224" s="212"/>
      <c r="E224" s="196" t="s">
        <v>753</v>
      </c>
      <c r="F224" s="196" t="s">
        <v>754</v>
      </c>
      <c r="G224" s="196" t="s">
        <v>755</v>
      </c>
      <c r="H224" s="196" t="s">
        <v>756</v>
      </c>
      <c r="I224" s="196" t="s">
        <v>757</v>
      </c>
      <c r="J224" s="196" t="s">
        <v>758</v>
      </c>
      <c r="K224" s="196" t="s">
        <v>759</v>
      </c>
      <c r="L224" s="196" t="s">
        <v>760</v>
      </c>
      <c r="M224" s="196" t="s">
        <v>761</v>
      </c>
      <c r="N224" s="196" t="s">
        <v>762</v>
      </c>
      <c r="O224" s="196" t="s">
        <v>763</v>
      </c>
      <c r="P224" s="196" t="s">
        <v>764</v>
      </c>
      <c r="Q224" s="196" t="s">
        <v>765</v>
      </c>
      <c r="R224" s="196" t="s">
        <v>766</v>
      </c>
      <c r="S224" s="196" t="s">
        <v>767</v>
      </c>
      <c r="T224" s="196" t="s">
        <v>768</v>
      </c>
      <c r="U224" s="196" t="s">
        <v>769</v>
      </c>
      <c r="V224" s="196" t="s">
        <v>770</v>
      </c>
      <c r="W224" s="196" t="s">
        <v>771</v>
      </c>
      <c r="X224" s="196" t="s">
        <v>772</v>
      </c>
      <c r="Y224" s="196" t="s">
        <v>773</v>
      </c>
      <c r="Z224" s="196" t="s">
        <v>774</v>
      </c>
      <c r="AA224" s="196" t="s">
        <v>775</v>
      </c>
      <c r="AB224" s="196" t="s">
        <v>776</v>
      </c>
      <c r="AC224" s="196" t="s">
        <v>777</v>
      </c>
      <c r="AD224" s="196" t="s">
        <v>778</v>
      </c>
      <c r="AE224" s="196" t="s">
        <v>779</v>
      </c>
      <c r="AF224" s="196" t="s">
        <v>780</v>
      </c>
      <c r="AG224" s="196" t="s">
        <v>781</v>
      </c>
      <c r="AH224" s="196" t="s">
        <v>782</v>
      </c>
      <c r="AI224" s="196" t="s">
        <v>783</v>
      </c>
      <c r="AJ224" s="196" t="s">
        <v>784</v>
      </c>
      <c r="AK224" s="196" t="s">
        <v>785</v>
      </c>
      <c r="AL224" s="196" t="s">
        <v>786</v>
      </c>
      <c r="AM224" s="196" t="s">
        <v>787</v>
      </c>
      <c r="AN224" s="196" t="s">
        <v>788</v>
      </c>
    </row>
    <row r="225" spans="2:40" s="7" customFormat="1" ht="12" hidden="1" customHeight="1" outlineLevel="2">
      <c r="B225" s="239"/>
      <c r="C225" s="212" t="s">
        <v>851</v>
      </c>
      <c r="D225" s="212"/>
      <c r="E225" s="344">
        <v>0</v>
      </c>
      <c r="F225" s="344">
        <v>0</v>
      </c>
      <c r="G225" s="344">
        <v>0</v>
      </c>
      <c r="H225" s="344">
        <v>0</v>
      </c>
      <c r="I225" s="344">
        <v>0</v>
      </c>
      <c r="J225" s="344">
        <v>0</v>
      </c>
      <c r="K225" s="344">
        <v>0</v>
      </c>
      <c r="L225" s="344">
        <v>0</v>
      </c>
      <c r="M225" s="344">
        <v>0</v>
      </c>
      <c r="N225" s="344">
        <v>0</v>
      </c>
      <c r="O225" s="344">
        <v>0</v>
      </c>
      <c r="P225" s="344">
        <v>0</v>
      </c>
      <c r="Q225" s="344">
        <v>0</v>
      </c>
      <c r="R225" s="344">
        <v>0</v>
      </c>
      <c r="S225" s="344">
        <v>0</v>
      </c>
      <c r="T225" s="344">
        <v>0</v>
      </c>
      <c r="U225" s="344">
        <v>0</v>
      </c>
      <c r="V225" s="344">
        <v>0</v>
      </c>
      <c r="W225" s="344">
        <v>0</v>
      </c>
      <c r="X225" s="344">
        <v>0</v>
      </c>
      <c r="Y225" s="344">
        <v>0</v>
      </c>
      <c r="Z225" s="344">
        <v>0</v>
      </c>
      <c r="AA225" s="344">
        <v>0</v>
      </c>
      <c r="AB225" s="344">
        <v>0</v>
      </c>
      <c r="AC225" s="344">
        <v>0</v>
      </c>
      <c r="AD225" s="344">
        <v>0</v>
      </c>
      <c r="AE225" s="344">
        <v>0</v>
      </c>
      <c r="AF225" s="344">
        <v>0</v>
      </c>
      <c r="AG225" s="344">
        <v>0</v>
      </c>
      <c r="AH225" s="344">
        <v>0</v>
      </c>
      <c r="AI225" s="344">
        <v>0</v>
      </c>
      <c r="AJ225" s="344">
        <v>0</v>
      </c>
      <c r="AK225" s="344">
        <v>0</v>
      </c>
      <c r="AL225" s="344">
        <v>0</v>
      </c>
      <c r="AM225" s="344">
        <v>0</v>
      </c>
      <c r="AN225" s="344">
        <v>0</v>
      </c>
    </row>
    <row r="226" spans="2:40" s="7" customFormat="1" ht="12" hidden="1" customHeight="1" outlineLevel="2">
      <c r="B226" s="239"/>
      <c r="C226" s="212" t="s">
        <v>861</v>
      </c>
      <c r="D226" s="212"/>
      <c r="E226" s="211">
        <v>33</v>
      </c>
      <c r="F226" s="211">
        <v>90</v>
      </c>
      <c r="G226" s="211">
        <v>6</v>
      </c>
      <c r="H226" s="211">
        <v>178</v>
      </c>
      <c r="I226" s="211">
        <v>8</v>
      </c>
      <c r="J226" s="211">
        <f t="shared" ref="J226:AN226" si="143">I226*98%</f>
        <v>7.84</v>
      </c>
      <c r="K226" s="211">
        <f t="shared" si="143"/>
        <v>7.6831999999999994</v>
      </c>
      <c r="L226" s="211">
        <f t="shared" si="143"/>
        <v>7.5295359999999993</v>
      </c>
      <c r="M226" s="211">
        <f t="shared" si="143"/>
        <v>7.3789452799999991</v>
      </c>
      <c r="N226" s="211">
        <f t="shared" si="143"/>
        <v>7.2313663743999985</v>
      </c>
      <c r="O226" s="211">
        <f t="shared" si="143"/>
        <v>7.0867390469119984</v>
      </c>
      <c r="P226" s="211">
        <f t="shared" si="143"/>
        <v>6.9450042659737585</v>
      </c>
      <c r="Q226" s="211">
        <f t="shared" si="143"/>
        <v>6.806104180654283</v>
      </c>
      <c r="R226" s="211">
        <f t="shared" si="143"/>
        <v>6.6699820970411974</v>
      </c>
      <c r="S226" s="211">
        <f t="shared" si="143"/>
        <v>6.5365824551003735</v>
      </c>
      <c r="T226" s="211">
        <f t="shared" si="143"/>
        <v>6.4058508059983659</v>
      </c>
      <c r="U226" s="211">
        <f t="shared" si="143"/>
        <v>6.2777337898783987</v>
      </c>
      <c r="V226" s="211">
        <f t="shared" si="143"/>
        <v>6.1521791140808304</v>
      </c>
      <c r="W226" s="211">
        <f t="shared" si="143"/>
        <v>6.0291355317992137</v>
      </c>
      <c r="X226" s="211">
        <f t="shared" si="143"/>
        <v>5.9085528211632292</v>
      </c>
      <c r="Y226" s="211">
        <f t="shared" si="143"/>
        <v>5.7903817647399647</v>
      </c>
      <c r="Z226" s="211">
        <f t="shared" si="143"/>
        <v>5.6745741294451655</v>
      </c>
      <c r="AA226" s="211">
        <f t="shared" si="143"/>
        <v>5.5610826468562617</v>
      </c>
      <c r="AB226" s="211">
        <f t="shared" si="143"/>
        <v>5.4498609939191365</v>
      </c>
      <c r="AC226" s="211">
        <f t="shared" si="143"/>
        <v>5.3408637740407539</v>
      </c>
      <c r="AD226" s="211">
        <f t="shared" si="143"/>
        <v>5.2340464985599384</v>
      </c>
      <c r="AE226" s="211">
        <f t="shared" si="143"/>
        <v>5.1293655685887396</v>
      </c>
      <c r="AF226" s="211">
        <f t="shared" si="143"/>
        <v>5.0267782572169644</v>
      </c>
      <c r="AG226" s="211">
        <f t="shared" si="143"/>
        <v>4.9262426920726252</v>
      </c>
      <c r="AH226" s="211">
        <f t="shared" si="143"/>
        <v>4.8277178382311723</v>
      </c>
      <c r="AI226" s="211">
        <f t="shared" si="143"/>
        <v>4.7311634814665489</v>
      </c>
      <c r="AJ226" s="211">
        <f t="shared" si="143"/>
        <v>4.6365402118372181</v>
      </c>
      <c r="AK226" s="211">
        <f t="shared" si="143"/>
        <v>4.5438094076004738</v>
      </c>
      <c r="AL226" s="211">
        <f t="shared" si="143"/>
        <v>4.4529332194484645</v>
      </c>
      <c r="AM226" s="211">
        <f t="shared" si="143"/>
        <v>4.3638745550594953</v>
      </c>
      <c r="AN226" s="211">
        <f t="shared" si="143"/>
        <v>4.2765970639583051</v>
      </c>
    </row>
    <row r="227" spans="2:40" s="7" customFormat="1" ht="12" hidden="1" customHeight="1" outlineLevel="2">
      <c r="B227" s="245"/>
      <c r="C227" s="250" t="s">
        <v>753</v>
      </c>
      <c r="D227" s="250"/>
      <c r="E227" s="211">
        <f>INDEX($C$199:$AN$221,MATCH("New Customers One-Time",$C$199:$C$221,0),MATCH($C227,$C$199:$AN$199,0))</f>
        <v>24</v>
      </c>
      <c r="F227" s="211">
        <f t="shared" ref="F227:AN227" si="144">$E$227*(E225)</f>
        <v>0</v>
      </c>
      <c r="G227" s="211">
        <f t="shared" si="144"/>
        <v>0</v>
      </c>
      <c r="H227" s="211">
        <f t="shared" si="144"/>
        <v>0</v>
      </c>
      <c r="I227" s="211">
        <f t="shared" si="144"/>
        <v>0</v>
      </c>
      <c r="J227" s="211">
        <f t="shared" si="144"/>
        <v>0</v>
      </c>
      <c r="K227" s="211">
        <f t="shared" si="144"/>
        <v>0</v>
      </c>
      <c r="L227" s="211">
        <f t="shared" si="144"/>
        <v>0</v>
      </c>
      <c r="M227" s="211">
        <f t="shared" si="144"/>
        <v>0</v>
      </c>
      <c r="N227" s="211">
        <f t="shared" si="144"/>
        <v>0</v>
      </c>
      <c r="O227" s="211">
        <f t="shared" si="144"/>
        <v>0</v>
      </c>
      <c r="P227" s="211">
        <f t="shared" si="144"/>
        <v>0</v>
      </c>
      <c r="Q227" s="211">
        <f t="shared" si="144"/>
        <v>0</v>
      </c>
      <c r="R227" s="211">
        <f t="shared" si="144"/>
        <v>0</v>
      </c>
      <c r="S227" s="211">
        <f t="shared" si="144"/>
        <v>0</v>
      </c>
      <c r="T227" s="211">
        <f t="shared" si="144"/>
        <v>0</v>
      </c>
      <c r="U227" s="211">
        <f t="shared" si="144"/>
        <v>0</v>
      </c>
      <c r="V227" s="211">
        <f t="shared" si="144"/>
        <v>0</v>
      </c>
      <c r="W227" s="211">
        <f t="shared" si="144"/>
        <v>0</v>
      </c>
      <c r="X227" s="211">
        <f t="shared" si="144"/>
        <v>0</v>
      </c>
      <c r="Y227" s="211">
        <f t="shared" si="144"/>
        <v>0</v>
      </c>
      <c r="Z227" s="211">
        <f t="shared" si="144"/>
        <v>0</v>
      </c>
      <c r="AA227" s="211">
        <f t="shared" si="144"/>
        <v>0</v>
      </c>
      <c r="AB227" s="211">
        <f t="shared" si="144"/>
        <v>0</v>
      </c>
      <c r="AC227" s="211">
        <f t="shared" si="144"/>
        <v>0</v>
      </c>
      <c r="AD227" s="211">
        <f t="shared" si="144"/>
        <v>0</v>
      </c>
      <c r="AE227" s="211">
        <f t="shared" si="144"/>
        <v>0</v>
      </c>
      <c r="AF227" s="211">
        <f t="shared" si="144"/>
        <v>0</v>
      </c>
      <c r="AG227" s="211">
        <f t="shared" si="144"/>
        <v>0</v>
      </c>
      <c r="AH227" s="211">
        <f t="shared" si="144"/>
        <v>0</v>
      </c>
      <c r="AI227" s="211">
        <f t="shared" si="144"/>
        <v>0</v>
      </c>
      <c r="AJ227" s="211">
        <f t="shared" si="144"/>
        <v>0</v>
      </c>
      <c r="AK227" s="211">
        <f t="shared" si="144"/>
        <v>0</v>
      </c>
      <c r="AL227" s="211">
        <f t="shared" si="144"/>
        <v>0</v>
      </c>
      <c r="AM227" s="211">
        <f t="shared" si="144"/>
        <v>0</v>
      </c>
      <c r="AN227" s="211">
        <f t="shared" si="144"/>
        <v>0</v>
      </c>
    </row>
    <row r="228" spans="2:40" s="7" customFormat="1" ht="12" hidden="1" customHeight="1" outlineLevel="2">
      <c r="B228" s="245"/>
      <c r="C228" s="250" t="s">
        <v>754</v>
      </c>
      <c r="D228" s="250"/>
      <c r="E228" s="213"/>
      <c r="F228" s="211">
        <f>INDEX($C$199:$AN$221,MATCH("New Customers One-Time",$C$199:$C$221,0),MATCH($C228,$C$199:$AN$199,0))</f>
        <v>20</v>
      </c>
      <c r="G228" s="211">
        <f t="shared" ref="G228:AN228" si="145">$F$228*(E225)</f>
        <v>0</v>
      </c>
      <c r="H228" s="211">
        <f t="shared" si="145"/>
        <v>0</v>
      </c>
      <c r="I228" s="211">
        <f t="shared" si="145"/>
        <v>0</v>
      </c>
      <c r="J228" s="211">
        <f t="shared" si="145"/>
        <v>0</v>
      </c>
      <c r="K228" s="211">
        <f t="shared" si="145"/>
        <v>0</v>
      </c>
      <c r="L228" s="211">
        <f t="shared" si="145"/>
        <v>0</v>
      </c>
      <c r="M228" s="211">
        <f t="shared" si="145"/>
        <v>0</v>
      </c>
      <c r="N228" s="211">
        <f t="shared" si="145"/>
        <v>0</v>
      </c>
      <c r="O228" s="211">
        <f t="shared" si="145"/>
        <v>0</v>
      </c>
      <c r="P228" s="211">
        <f t="shared" si="145"/>
        <v>0</v>
      </c>
      <c r="Q228" s="211">
        <f t="shared" si="145"/>
        <v>0</v>
      </c>
      <c r="R228" s="211">
        <f t="shared" si="145"/>
        <v>0</v>
      </c>
      <c r="S228" s="211">
        <f t="shared" si="145"/>
        <v>0</v>
      </c>
      <c r="T228" s="211">
        <f t="shared" si="145"/>
        <v>0</v>
      </c>
      <c r="U228" s="211">
        <f t="shared" si="145"/>
        <v>0</v>
      </c>
      <c r="V228" s="211">
        <f t="shared" si="145"/>
        <v>0</v>
      </c>
      <c r="W228" s="211">
        <f t="shared" si="145"/>
        <v>0</v>
      </c>
      <c r="X228" s="211">
        <f t="shared" si="145"/>
        <v>0</v>
      </c>
      <c r="Y228" s="211">
        <f t="shared" si="145"/>
        <v>0</v>
      </c>
      <c r="Z228" s="211">
        <f t="shared" si="145"/>
        <v>0</v>
      </c>
      <c r="AA228" s="211">
        <f t="shared" si="145"/>
        <v>0</v>
      </c>
      <c r="AB228" s="211">
        <f t="shared" si="145"/>
        <v>0</v>
      </c>
      <c r="AC228" s="211">
        <f t="shared" si="145"/>
        <v>0</v>
      </c>
      <c r="AD228" s="211">
        <f t="shared" si="145"/>
        <v>0</v>
      </c>
      <c r="AE228" s="211">
        <f t="shared" si="145"/>
        <v>0</v>
      </c>
      <c r="AF228" s="211">
        <f t="shared" si="145"/>
        <v>0</v>
      </c>
      <c r="AG228" s="211">
        <f t="shared" si="145"/>
        <v>0</v>
      </c>
      <c r="AH228" s="211">
        <f t="shared" si="145"/>
        <v>0</v>
      </c>
      <c r="AI228" s="211">
        <f t="shared" si="145"/>
        <v>0</v>
      </c>
      <c r="AJ228" s="211">
        <f t="shared" si="145"/>
        <v>0</v>
      </c>
      <c r="AK228" s="211">
        <f t="shared" si="145"/>
        <v>0</v>
      </c>
      <c r="AL228" s="211">
        <f t="shared" si="145"/>
        <v>0</v>
      </c>
      <c r="AM228" s="211">
        <f t="shared" si="145"/>
        <v>0</v>
      </c>
      <c r="AN228" s="211">
        <f t="shared" si="145"/>
        <v>0</v>
      </c>
    </row>
    <row r="229" spans="2:40" s="7" customFormat="1" ht="12" hidden="1" customHeight="1" outlineLevel="2">
      <c r="B229" s="245"/>
      <c r="C229" s="250" t="s">
        <v>755</v>
      </c>
      <c r="D229" s="250"/>
      <c r="E229" s="213"/>
      <c r="G229" s="211">
        <f>INDEX($C$199:$AN$221,MATCH("New Customers One-Time",$C$199:$C$221,0),MATCH($C229,$C$199:$AN$199,0))</f>
        <v>75</v>
      </c>
      <c r="H229" s="211">
        <f t="shared" ref="H229:AN229" si="146">$G$229*(E225)</f>
        <v>0</v>
      </c>
      <c r="I229" s="211">
        <f t="shared" si="146"/>
        <v>0</v>
      </c>
      <c r="J229" s="211">
        <f t="shared" si="146"/>
        <v>0</v>
      </c>
      <c r="K229" s="211">
        <f t="shared" si="146"/>
        <v>0</v>
      </c>
      <c r="L229" s="211">
        <f t="shared" si="146"/>
        <v>0</v>
      </c>
      <c r="M229" s="211">
        <f t="shared" si="146"/>
        <v>0</v>
      </c>
      <c r="N229" s="211">
        <f t="shared" si="146"/>
        <v>0</v>
      </c>
      <c r="O229" s="211">
        <f t="shared" si="146"/>
        <v>0</v>
      </c>
      <c r="P229" s="211">
        <f t="shared" si="146"/>
        <v>0</v>
      </c>
      <c r="Q229" s="211">
        <f t="shared" si="146"/>
        <v>0</v>
      </c>
      <c r="R229" s="211">
        <f t="shared" si="146"/>
        <v>0</v>
      </c>
      <c r="S229" s="211">
        <f t="shared" si="146"/>
        <v>0</v>
      </c>
      <c r="T229" s="211">
        <f t="shared" si="146"/>
        <v>0</v>
      </c>
      <c r="U229" s="211">
        <f t="shared" si="146"/>
        <v>0</v>
      </c>
      <c r="V229" s="211">
        <f t="shared" si="146"/>
        <v>0</v>
      </c>
      <c r="W229" s="211">
        <f t="shared" si="146"/>
        <v>0</v>
      </c>
      <c r="X229" s="211">
        <f t="shared" si="146"/>
        <v>0</v>
      </c>
      <c r="Y229" s="211">
        <f t="shared" si="146"/>
        <v>0</v>
      </c>
      <c r="Z229" s="211">
        <f t="shared" si="146"/>
        <v>0</v>
      </c>
      <c r="AA229" s="211">
        <f t="shared" si="146"/>
        <v>0</v>
      </c>
      <c r="AB229" s="211">
        <f t="shared" si="146"/>
        <v>0</v>
      </c>
      <c r="AC229" s="211">
        <f t="shared" si="146"/>
        <v>0</v>
      </c>
      <c r="AD229" s="211">
        <f t="shared" si="146"/>
        <v>0</v>
      </c>
      <c r="AE229" s="211">
        <f t="shared" si="146"/>
        <v>0</v>
      </c>
      <c r="AF229" s="211">
        <f t="shared" si="146"/>
        <v>0</v>
      </c>
      <c r="AG229" s="211">
        <f t="shared" si="146"/>
        <v>0</v>
      </c>
      <c r="AH229" s="211">
        <f t="shared" si="146"/>
        <v>0</v>
      </c>
      <c r="AI229" s="211">
        <f t="shared" si="146"/>
        <v>0</v>
      </c>
      <c r="AJ229" s="211">
        <f t="shared" si="146"/>
        <v>0</v>
      </c>
      <c r="AK229" s="211">
        <f t="shared" si="146"/>
        <v>0</v>
      </c>
      <c r="AL229" s="211">
        <f t="shared" si="146"/>
        <v>0</v>
      </c>
      <c r="AM229" s="211">
        <f t="shared" si="146"/>
        <v>0</v>
      </c>
      <c r="AN229" s="211">
        <f t="shared" si="146"/>
        <v>0</v>
      </c>
    </row>
    <row r="230" spans="2:40" s="7" customFormat="1" ht="12" hidden="1" customHeight="1" outlineLevel="2">
      <c r="B230" s="245"/>
      <c r="C230" s="250" t="s">
        <v>756</v>
      </c>
      <c r="D230" s="250"/>
      <c r="E230" s="213"/>
      <c r="F230" s="213"/>
      <c r="G230" s="213"/>
      <c r="H230" s="211">
        <f>INDEX($C$199:$AN$221,MATCH("New Customers One-Time",$C$199:$C$221,0),MATCH($C230,$C$199:$AN$199,0))</f>
        <v>16</v>
      </c>
      <c r="I230" s="211">
        <f t="shared" ref="I230:AN230" si="147">$H$230*(E225)</f>
        <v>0</v>
      </c>
      <c r="J230" s="211">
        <f t="shared" si="147"/>
        <v>0</v>
      </c>
      <c r="K230" s="211">
        <f t="shared" si="147"/>
        <v>0</v>
      </c>
      <c r="L230" s="211">
        <f t="shared" si="147"/>
        <v>0</v>
      </c>
      <c r="M230" s="211">
        <f t="shared" si="147"/>
        <v>0</v>
      </c>
      <c r="N230" s="211">
        <f t="shared" si="147"/>
        <v>0</v>
      </c>
      <c r="O230" s="211">
        <f t="shared" si="147"/>
        <v>0</v>
      </c>
      <c r="P230" s="211">
        <f t="shared" si="147"/>
        <v>0</v>
      </c>
      <c r="Q230" s="211">
        <f t="shared" si="147"/>
        <v>0</v>
      </c>
      <c r="R230" s="211">
        <f t="shared" si="147"/>
        <v>0</v>
      </c>
      <c r="S230" s="211">
        <f t="shared" si="147"/>
        <v>0</v>
      </c>
      <c r="T230" s="211">
        <f t="shared" si="147"/>
        <v>0</v>
      </c>
      <c r="U230" s="211">
        <f t="shared" si="147"/>
        <v>0</v>
      </c>
      <c r="V230" s="211">
        <f t="shared" si="147"/>
        <v>0</v>
      </c>
      <c r="W230" s="211">
        <f t="shared" si="147"/>
        <v>0</v>
      </c>
      <c r="X230" s="211">
        <f t="shared" si="147"/>
        <v>0</v>
      </c>
      <c r="Y230" s="211">
        <f t="shared" si="147"/>
        <v>0</v>
      </c>
      <c r="Z230" s="211">
        <f t="shared" si="147"/>
        <v>0</v>
      </c>
      <c r="AA230" s="211">
        <f t="shared" si="147"/>
        <v>0</v>
      </c>
      <c r="AB230" s="211">
        <f t="shared" si="147"/>
        <v>0</v>
      </c>
      <c r="AC230" s="211">
        <f t="shared" si="147"/>
        <v>0</v>
      </c>
      <c r="AD230" s="211">
        <f t="shared" si="147"/>
        <v>0</v>
      </c>
      <c r="AE230" s="211">
        <f t="shared" si="147"/>
        <v>0</v>
      </c>
      <c r="AF230" s="211">
        <f t="shared" si="147"/>
        <v>0</v>
      </c>
      <c r="AG230" s="211">
        <f t="shared" si="147"/>
        <v>0</v>
      </c>
      <c r="AH230" s="211">
        <f t="shared" si="147"/>
        <v>0</v>
      </c>
      <c r="AI230" s="211">
        <f t="shared" si="147"/>
        <v>0</v>
      </c>
      <c r="AJ230" s="211">
        <f t="shared" si="147"/>
        <v>0</v>
      </c>
      <c r="AK230" s="211">
        <f t="shared" si="147"/>
        <v>0</v>
      </c>
      <c r="AL230" s="211">
        <f t="shared" si="147"/>
        <v>0</v>
      </c>
      <c r="AM230" s="211">
        <f t="shared" si="147"/>
        <v>0</v>
      </c>
      <c r="AN230" s="211">
        <f t="shared" si="147"/>
        <v>0</v>
      </c>
    </row>
    <row r="231" spans="2:40" s="7" customFormat="1" ht="12" hidden="1" customHeight="1" outlineLevel="2">
      <c r="B231" s="245"/>
      <c r="C231" s="250" t="s">
        <v>757</v>
      </c>
      <c r="D231" s="250"/>
      <c r="E231" s="213"/>
      <c r="F231" s="213"/>
      <c r="G231" s="213"/>
      <c r="H231" s="213"/>
      <c r="I231" s="211">
        <f>INDEX($C$199:$AN$221,MATCH("New Customers One-Time",$C$199:$C$221,0),MATCH($C231,$C$199:$AN$199,0))</f>
        <v>93</v>
      </c>
      <c r="J231" s="211">
        <f t="shared" ref="J231:AN231" si="148">$I$231*(E225)</f>
        <v>0</v>
      </c>
      <c r="K231" s="211">
        <f t="shared" si="148"/>
        <v>0</v>
      </c>
      <c r="L231" s="211">
        <f t="shared" si="148"/>
        <v>0</v>
      </c>
      <c r="M231" s="211">
        <f t="shared" si="148"/>
        <v>0</v>
      </c>
      <c r="N231" s="211">
        <f t="shared" si="148"/>
        <v>0</v>
      </c>
      <c r="O231" s="211">
        <f t="shared" si="148"/>
        <v>0</v>
      </c>
      <c r="P231" s="211">
        <f t="shared" si="148"/>
        <v>0</v>
      </c>
      <c r="Q231" s="211">
        <f t="shared" si="148"/>
        <v>0</v>
      </c>
      <c r="R231" s="211">
        <f t="shared" si="148"/>
        <v>0</v>
      </c>
      <c r="S231" s="211">
        <f t="shared" si="148"/>
        <v>0</v>
      </c>
      <c r="T231" s="211">
        <f t="shared" si="148"/>
        <v>0</v>
      </c>
      <c r="U231" s="211">
        <f t="shared" si="148"/>
        <v>0</v>
      </c>
      <c r="V231" s="211">
        <f t="shared" si="148"/>
        <v>0</v>
      </c>
      <c r="W231" s="211">
        <f t="shared" si="148"/>
        <v>0</v>
      </c>
      <c r="X231" s="211">
        <f t="shared" si="148"/>
        <v>0</v>
      </c>
      <c r="Y231" s="211">
        <f t="shared" si="148"/>
        <v>0</v>
      </c>
      <c r="Z231" s="211">
        <f t="shared" si="148"/>
        <v>0</v>
      </c>
      <c r="AA231" s="211">
        <f t="shared" si="148"/>
        <v>0</v>
      </c>
      <c r="AB231" s="211">
        <f t="shared" si="148"/>
        <v>0</v>
      </c>
      <c r="AC231" s="211">
        <f t="shared" si="148"/>
        <v>0</v>
      </c>
      <c r="AD231" s="211">
        <f t="shared" si="148"/>
        <v>0</v>
      </c>
      <c r="AE231" s="211">
        <f t="shared" si="148"/>
        <v>0</v>
      </c>
      <c r="AF231" s="211">
        <f t="shared" si="148"/>
        <v>0</v>
      </c>
      <c r="AG231" s="211">
        <f t="shared" si="148"/>
        <v>0</v>
      </c>
      <c r="AH231" s="211">
        <f t="shared" si="148"/>
        <v>0</v>
      </c>
      <c r="AI231" s="211">
        <f t="shared" si="148"/>
        <v>0</v>
      </c>
      <c r="AJ231" s="211">
        <f t="shared" si="148"/>
        <v>0</v>
      </c>
      <c r="AK231" s="211">
        <f t="shared" si="148"/>
        <v>0</v>
      </c>
      <c r="AL231" s="211">
        <f t="shared" si="148"/>
        <v>0</v>
      </c>
      <c r="AM231" s="211">
        <f t="shared" si="148"/>
        <v>0</v>
      </c>
      <c r="AN231" s="211">
        <f t="shared" si="148"/>
        <v>0</v>
      </c>
    </row>
    <row r="232" spans="2:40" s="7" customFormat="1" ht="12" hidden="1" customHeight="1" outlineLevel="2">
      <c r="B232" s="245"/>
      <c r="C232" s="250" t="s">
        <v>758</v>
      </c>
      <c r="D232" s="250"/>
      <c r="E232" s="213"/>
      <c r="F232" s="213"/>
      <c r="G232" s="213"/>
      <c r="H232" s="213"/>
      <c r="I232" s="213"/>
      <c r="J232" s="211">
        <f>INDEX($C$199:$AN$221,MATCH("New Customers One-Time",$C$199:$C$221,0),MATCH($C232,$C$199:$AN$199,0))</f>
        <v>154</v>
      </c>
      <c r="K232" s="211">
        <f t="shared" ref="K232:AN232" si="149">$J$232*(E225)</f>
        <v>0</v>
      </c>
      <c r="L232" s="211">
        <f t="shared" si="149"/>
        <v>0</v>
      </c>
      <c r="M232" s="211">
        <f t="shared" si="149"/>
        <v>0</v>
      </c>
      <c r="N232" s="211">
        <f t="shared" si="149"/>
        <v>0</v>
      </c>
      <c r="O232" s="211">
        <f t="shared" si="149"/>
        <v>0</v>
      </c>
      <c r="P232" s="211">
        <f t="shared" si="149"/>
        <v>0</v>
      </c>
      <c r="Q232" s="211">
        <f t="shared" si="149"/>
        <v>0</v>
      </c>
      <c r="R232" s="211">
        <f t="shared" si="149"/>
        <v>0</v>
      </c>
      <c r="S232" s="211">
        <f t="shared" si="149"/>
        <v>0</v>
      </c>
      <c r="T232" s="211">
        <f t="shared" si="149"/>
        <v>0</v>
      </c>
      <c r="U232" s="211">
        <f t="shared" si="149"/>
        <v>0</v>
      </c>
      <c r="V232" s="211">
        <f t="shared" si="149"/>
        <v>0</v>
      </c>
      <c r="W232" s="211">
        <f t="shared" si="149"/>
        <v>0</v>
      </c>
      <c r="X232" s="211">
        <f t="shared" si="149"/>
        <v>0</v>
      </c>
      <c r="Y232" s="211">
        <f t="shared" si="149"/>
        <v>0</v>
      </c>
      <c r="Z232" s="211">
        <f t="shared" si="149"/>
        <v>0</v>
      </c>
      <c r="AA232" s="211">
        <f t="shared" si="149"/>
        <v>0</v>
      </c>
      <c r="AB232" s="211">
        <f t="shared" si="149"/>
        <v>0</v>
      </c>
      <c r="AC232" s="211">
        <f t="shared" si="149"/>
        <v>0</v>
      </c>
      <c r="AD232" s="211">
        <f t="shared" si="149"/>
        <v>0</v>
      </c>
      <c r="AE232" s="211">
        <f t="shared" si="149"/>
        <v>0</v>
      </c>
      <c r="AF232" s="211">
        <f t="shared" si="149"/>
        <v>0</v>
      </c>
      <c r="AG232" s="211">
        <f t="shared" si="149"/>
        <v>0</v>
      </c>
      <c r="AH232" s="211">
        <f t="shared" si="149"/>
        <v>0</v>
      </c>
      <c r="AI232" s="211">
        <f t="shared" si="149"/>
        <v>0</v>
      </c>
      <c r="AJ232" s="211">
        <f t="shared" si="149"/>
        <v>0</v>
      </c>
      <c r="AK232" s="211">
        <f t="shared" si="149"/>
        <v>0</v>
      </c>
      <c r="AL232" s="211">
        <f t="shared" si="149"/>
        <v>0</v>
      </c>
      <c r="AM232" s="211">
        <f t="shared" si="149"/>
        <v>0</v>
      </c>
      <c r="AN232" s="211">
        <f t="shared" si="149"/>
        <v>0</v>
      </c>
    </row>
    <row r="233" spans="2:40" s="7" customFormat="1" ht="12" hidden="1" customHeight="1" outlineLevel="2">
      <c r="B233" s="245"/>
      <c r="C233" s="250" t="s">
        <v>759</v>
      </c>
      <c r="D233" s="250"/>
      <c r="E233" s="213"/>
      <c r="F233" s="213"/>
      <c r="G233" s="213"/>
      <c r="H233" s="213"/>
      <c r="I233" s="213"/>
      <c r="J233" s="213"/>
      <c r="K233" s="211">
        <f>INDEX($C$199:$AN$221,MATCH("New Customers One-Time",$C$199:$C$221,0),MATCH($C233,$C$199:$AN$199,0))</f>
        <v>89</v>
      </c>
      <c r="L233" s="211">
        <f t="shared" ref="L233:AN233" si="150">$K$233*(E225)</f>
        <v>0</v>
      </c>
      <c r="M233" s="211">
        <f t="shared" si="150"/>
        <v>0</v>
      </c>
      <c r="N233" s="211">
        <f t="shared" si="150"/>
        <v>0</v>
      </c>
      <c r="O233" s="211">
        <f t="shared" si="150"/>
        <v>0</v>
      </c>
      <c r="P233" s="211">
        <f t="shared" si="150"/>
        <v>0</v>
      </c>
      <c r="Q233" s="211">
        <f t="shared" si="150"/>
        <v>0</v>
      </c>
      <c r="R233" s="211">
        <f t="shared" si="150"/>
        <v>0</v>
      </c>
      <c r="S233" s="211">
        <f t="shared" si="150"/>
        <v>0</v>
      </c>
      <c r="T233" s="211">
        <f t="shared" si="150"/>
        <v>0</v>
      </c>
      <c r="U233" s="211">
        <f t="shared" si="150"/>
        <v>0</v>
      </c>
      <c r="V233" s="211">
        <f t="shared" si="150"/>
        <v>0</v>
      </c>
      <c r="W233" s="211">
        <f t="shared" si="150"/>
        <v>0</v>
      </c>
      <c r="X233" s="211">
        <f t="shared" si="150"/>
        <v>0</v>
      </c>
      <c r="Y233" s="211">
        <f t="shared" si="150"/>
        <v>0</v>
      </c>
      <c r="Z233" s="211">
        <f t="shared" si="150"/>
        <v>0</v>
      </c>
      <c r="AA233" s="211">
        <f t="shared" si="150"/>
        <v>0</v>
      </c>
      <c r="AB233" s="211">
        <f t="shared" si="150"/>
        <v>0</v>
      </c>
      <c r="AC233" s="211">
        <f t="shared" si="150"/>
        <v>0</v>
      </c>
      <c r="AD233" s="211">
        <f t="shared" si="150"/>
        <v>0</v>
      </c>
      <c r="AE233" s="211">
        <f t="shared" si="150"/>
        <v>0</v>
      </c>
      <c r="AF233" s="211">
        <f t="shared" si="150"/>
        <v>0</v>
      </c>
      <c r="AG233" s="211">
        <f t="shared" si="150"/>
        <v>0</v>
      </c>
      <c r="AH233" s="211">
        <f t="shared" si="150"/>
        <v>0</v>
      </c>
      <c r="AI233" s="211">
        <f t="shared" si="150"/>
        <v>0</v>
      </c>
      <c r="AJ233" s="211">
        <f t="shared" si="150"/>
        <v>0</v>
      </c>
      <c r="AK233" s="211">
        <f t="shared" si="150"/>
        <v>0</v>
      </c>
      <c r="AL233" s="211">
        <f t="shared" si="150"/>
        <v>0</v>
      </c>
      <c r="AM233" s="211">
        <f t="shared" si="150"/>
        <v>0</v>
      </c>
      <c r="AN233" s="211">
        <f t="shared" si="150"/>
        <v>0</v>
      </c>
    </row>
    <row r="234" spans="2:40" s="7" customFormat="1" ht="12" hidden="1" customHeight="1" outlineLevel="2">
      <c r="B234" s="245"/>
      <c r="C234" s="250" t="s">
        <v>760</v>
      </c>
      <c r="D234" s="250"/>
      <c r="E234" s="213"/>
      <c r="F234" s="213"/>
      <c r="G234" s="213"/>
      <c r="H234" s="213"/>
      <c r="I234" s="213"/>
      <c r="J234" s="213"/>
      <c r="K234" s="213"/>
      <c r="L234" s="211">
        <f>INDEX($C$199:$AN$221,MATCH("New Customers One-Time",$C$199:$C$221,0),MATCH($C234,$C$199:$AN$199,0))</f>
        <v>0</v>
      </c>
      <c r="M234" s="211">
        <f t="shared" ref="M234:AN234" si="151">$L$234*(E225)</f>
        <v>0</v>
      </c>
      <c r="N234" s="211">
        <f t="shared" si="151"/>
        <v>0</v>
      </c>
      <c r="O234" s="211">
        <f t="shared" si="151"/>
        <v>0</v>
      </c>
      <c r="P234" s="211">
        <f t="shared" si="151"/>
        <v>0</v>
      </c>
      <c r="Q234" s="211">
        <f t="shared" si="151"/>
        <v>0</v>
      </c>
      <c r="R234" s="211">
        <f t="shared" si="151"/>
        <v>0</v>
      </c>
      <c r="S234" s="211">
        <f t="shared" si="151"/>
        <v>0</v>
      </c>
      <c r="T234" s="211">
        <f t="shared" si="151"/>
        <v>0</v>
      </c>
      <c r="U234" s="211">
        <f t="shared" si="151"/>
        <v>0</v>
      </c>
      <c r="V234" s="211">
        <f t="shared" si="151"/>
        <v>0</v>
      </c>
      <c r="W234" s="211">
        <f t="shared" si="151"/>
        <v>0</v>
      </c>
      <c r="X234" s="211">
        <f t="shared" si="151"/>
        <v>0</v>
      </c>
      <c r="Y234" s="211">
        <f t="shared" si="151"/>
        <v>0</v>
      </c>
      <c r="Z234" s="211">
        <f t="shared" si="151"/>
        <v>0</v>
      </c>
      <c r="AA234" s="211">
        <f t="shared" si="151"/>
        <v>0</v>
      </c>
      <c r="AB234" s="211">
        <f t="shared" si="151"/>
        <v>0</v>
      </c>
      <c r="AC234" s="211">
        <f t="shared" si="151"/>
        <v>0</v>
      </c>
      <c r="AD234" s="211">
        <f t="shared" si="151"/>
        <v>0</v>
      </c>
      <c r="AE234" s="211">
        <f t="shared" si="151"/>
        <v>0</v>
      </c>
      <c r="AF234" s="211">
        <f t="shared" si="151"/>
        <v>0</v>
      </c>
      <c r="AG234" s="211">
        <f t="shared" si="151"/>
        <v>0</v>
      </c>
      <c r="AH234" s="211">
        <f t="shared" si="151"/>
        <v>0</v>
      </c>
      <c r="AI234" s="211">
        <f t="shared" si="151"/>
        <v>0</v>
      </c>
      <c r="AJ234" s="211">
        <f t="shared" si="151"/>
        <v>0</v>
      </c>
      <c r="AK234" s="211">
        <f t="shared" si="151"/>
        <v>0</v>
      </c>
      <c r="AL234" s="211">
        <f t="shared" si="151"/>
        <v>0</v>
      </c>
      <c r="AM234" s="211">
        <f t="shared" si="151"/>
        <v>0</v>
      </c>
      <c r="AN234" s="211">
        <f t="shared" si="151"/>
        <v>0</v>
      </c>
    </row>
    <row r="235" spans="2:40" s="7" customFormat="1" ht="12" hidden="1" customHeight="1" outlineLevel="2">
      <c r="B235" s="245"/>
      <c r="C235" s="250" t="s">
        <v>761</v>
      </c>
      <c r="D235" s="250"/>
      <c r="E235" s="213"/>
      <c r="F235" s="213"/>
      <c r="G235" s="213"/>
      <c r="H235" s="213"/>
      <c r="I235" s="213"/>
      <c r="J235" s="213"/>
      <c r="K235" s="213"/>
      <c r="L235" s="213"/>
      <c r="M235" s="211">
        <f>INDEX($C$199:$AN$221,MATCH("New Customers One-Time",$C$199:$C$221,0),MATCH($C235,$C$199:$AN$199,0))</f>
        <v>49.057257036449201</v>
      </c>
      <c r="N235" s="211">
        <f t="shared" ref="N235:AN235" si="152">$M$235*(E225)</f>
        <v>0</v>
      </c>
      <c r="O235" s="211">
        <f t="shared" si="152"/>
        <v>0</v>
      </c>
      <c r="P235" s="211">
        <f t="shared" si="152"/>
        <v>0</v>
      </c>
      <c r="Q235" s="211">
        <f t="shared" si="152"/>
        <v>0</v>
      </c>
      <c r="R235" s="211">
        <f t="shared" si="152"/>
        <v>0</v>
      </c>
      <c r="S235" s="211">
        <f t="shared" si="152"/>
        <v>0</v>
      </c>
      <c r="T235" s="211">
        <f t="shared" si="152"/>
        <v>0</v>
      </c>
      <c r="U235" s="211">
        <f t="shared" si="152"/>
        <v>0</v>
      </c>
      <c r="V235" s="211">
        <f t="shared" si="152"/>
        <v>0</v>
      </c>
      <c r="W235" s="211">
        <f t="shared" si="152"/>
        <v>0</v>
      </c>
      <c r="X235" s="211">
        <f t="shared" si="152"/>
        <v>0</v>
      </c>
      <c r="Y235" s="211">
        <f t="shared" si="152"/>
        <v>0</v>
      </c>
      <c r="Z235" s="211">
        <f t="shared" si="152"/>
        <v>0</v>
      </c>
      <c r="AA235" s="211">
        <f t="shared" si="152"/>
        <v>0</v>
      </c>
      <c r="AB235" s="211">
        <f t="shared" si="152"/>
        <v>0</v>
      </c>
      <c r="AC235" s="211">
        <f t="shared" si="152"/>
        <v>0</v>
      </c>
      <c r="AD235" s="211">
        <f t="shared" si="152"/>
        <v>0</v>
      </c>
      <c r="AE235" s="211">
        <f t="shared" si="152"/>
        <v>0</v>
      </c>
      <c r="AF235" s="211">
        <f t="shared" si="152"/>
        <v>0</v>
      </c>
      <c r="AG235" s="211">
        <f t="shared" si="152"/>
        <v>0</v>
      </c>
      <c r="AH235" s="211">
        <f t="shared" si="152"/>
        <v>0</v>
      </c>
      <c r="AI235" s="211">
        <f t="shared" si="152"/>
        <v>0</v>
      </c>
      <c r="AJ235" s="211">
        <f t="shared" si="152"/>
        <v>0</v>
      </c>
      <c r="AK235" s="211">
        <f t="shared" si="152"/>
        <v>0</v>
      </c>
      <c r="AL235" s="211">
        <f t="shared" si="152"/>
        <v>0</v>
      </c>
      <c r="AM235" s="211">
        <f t="shared" si="152"/>
        <v>0</v>
      </c>
      <c r="AN235" s="211">
        <f t="shared" si="152"/>
        <v>0</v>
      </c>
    </row>
    <row r="236" spans="2:40" s="7" customFormat="1" ht="12" hidden="1" customHeight="1" outlineLevel="2">
      <c r="B236" s="245"/>
      <c r="C236" s="250" t="s">
        <v>762</v>
      </c>
      <c r="D236" s="250"/>
      <c r="E236" s="213"/>
      <c r="F236" s="213"/>
      <c r="G236" s="213"/>
      <c r="H236" s="213"/>
      <c r="I236" s="213"/>
      <c r="J236" s="213"/>
      <c r="K236" s="213"/>
      <c r="L236" s="213"/>
      <c r="M236" s="213"/>
      <c r="N236" s="211">
        <f>INDEX($C$199:$AN$221,MATCH("New Customers One-Time",$C$199:$C$221,0),MATCH($C236,$C$199:$AN$199,0))</f>
        <v>98.114514072898402</v>
      </c>
      <c r="O236" s="211">
        <f t="shared" ref="O236:AN236" si="153">$N$236*(E225)</f>
        <v>0</v>
      </c>
      <c r="P236" s="211">
        <f t="shared" si="153"/>
        <v>0</v>
      </c>
      <c r="Q236" s="211">
        <f t="shared" si="153"/>
        <v>0</v>
      </c>
      <c r="R236" s="211">
        <f t="shared" si="153"/>
        <v>0</v>
      </c>
      <c r="S236" s="211">
        <f t="shared" si="153"/>
        <v>0</v>
      </c>
      <c r="T236" s="211">
        <f t="shared" si="153"/>
        <v>0</v>
      </c>
      <c r="U236" s="211">
        <f t="shared" si="153"/>
        <v>0</v>
      </c>
      <c r="V236" s="211">
        <f t="shared" si="153"/>
        <v>0</v>
      </c>
      <c r="W236" s="211">
        <f t="shared" si="153"/>
        <v>0</v>
      </c>
      <c r="X236" s="211">
        <f t="shared" si="153"/>
        <v>0</v>
      </c>
      <c r="Y236" s="211">
        <f t="shared" si="153"/>
        <v>0</v>
      </c>
      <c r="Z236" s="211">
        <f t="shared" si="153"/>
        <v>0</v>
      </c>
      <c r="AA236" s="211">
        <f t="shared" si="153"/>
        <v>0</v>
      </c>
      <c r="AB236" s="211">
        <f t="shared" si="153"/>
        <v>0</v>
      </c>
      <c r="AC236" s="211">
        <f t="shared" si="153"/>
        <v>0</v>
      </c>
      <c r="AD236" s="211">
        <f t="shared" si="153"/>
        <v>0</v>
      </c>
      <c r="AE236" s="211">
        <f t="shared" si="153"/>
        <v>0</v>
      </c>
      <c r="AF236" s="211">
        <f t="shared" si="153"/>
        <v>0</v>
      </c>
      <c r="AG236" s="211">
        <f t="shared" si="153"/>
        <v>0</v>
      </c>
      <c r="AH236" s="211">
        <f t="shared" si="153"/>
        <v>0</v>
      </c>
      <c r="AI236" s="211">
        <f t="shared" si="153"/>
        <v>0</v>
      </c>
      <c r="AJ236" s="211">
        <f t="shared" si="153"/>
        <v>0</v>
      </c>
      <c r="AK236" s="211">
        <f t="shared" si="153"/>
        <v>0</v>
      </c>
      <c r="AL236" s="211">
        <f t="shared" si="153"/>
        <v>0</v>
      </c>
      <c r="AM236" s="211">
        <f t="shared" si="153"/>
        <v>0</v>
      </c>
      <c r="AN236" s="211">
        <f t="shared" si="153"/>
        <v>0</v>
      </c>
    </row>
    <row r="237" spans="2:40" s="7" customFormat="1" ht="12" hidden="1" customHeight="1" outlineLevel="2">
      <c r="B237" s="245"/>
      <c r="C237" s="250" t="s">
        <v>763</v>
      </c>
      <c r="D237" s="250"/>
      <c r="E237" s="213"/>
      <c r="F237" s="213"/>
      <c r="G237" s="213"/>
      <c r="H237" s="213"/>
      <c r="I237" s="213"/>
      <c r="J237" s="213"/>
      <c r="K237" s="213"/>
      <c r="L237" s="213"/>
      <c r="M237" s="213"/>
      <c r="N237" s="213"/>
      <c r="O237" s="211">
        <f>INDEX($C$199:$AN$221,MATCH("New Customers One-Time",$C$199:$C$221,0),MATCH($C237,$C$199:$AN$199,0))</f>
        <v>49.057257036449201</v>
      </c>
      <c r="P237" s="211">
        <f t="shared" ref="P237:AN237" si="154">$O$237*(E225)</f>
        <v>0</v>
      </c>
      <c r="Q237" s="211">
        <f t="shared" si="154"/>
        <v>0</v>
      </c>
      <c r="R237" s="211">
        <f t="shared" si="154"/>
        <v>0</v>
      </c>
      <c r="S237" s="211">
        <f t="shared" si="154"/>
        <v>0</v>
      </c>
      <c r="T237" s="211">
        <f t="shared" si="154"/>
        <v>0</v>
      </c>
      <c r="U237" s="211">
        <f t="shared" si="154"/>
        <v>0</v>
      </c>
      <c r="V237" s="211">
        <f t="shared" si="154"/>
        <v>0</v>
      </c>
      <c r="W237" s="211">
        <f t="shared" si="154"/>
        <v>0</v>
      </c>
      <c r="X237" s="211">
        <f t="shared" si="154"/>
        <v>0</v>
      </c>
      <c r="Y237" s="211">
        <f t="shared" si="154"/>
        <v>0</v>
      </c>
      <c r="Z237" s="211">
        <f t="shared" si="154"/>
        <v>0</v>
      </c>
      <c r="AA237" s="211">
        <f t="shared" si="154"/>
        <v>0</v>
      </c>
      <c r="AB237" s="211">
        <f t="shared" si="154"/>
        <v>0</v>
      </c>
      <c r="AC237" s="211">
        <f t="shared" si="154"/>
        <v>0</v>
      </c>
      <c r="AD237" s="211">
        <f t="shared" si="154"/>
        <v>0</v>
      </c>
      <c r="AE237" s="211">
        <f t="shared" si="154"/>
        <v>0</v>
      </c>
      <c r="AF237" s="211">
        <f t="shared" si="154"/>
        <v>0</v>
      </c>
      <c r="AG237" s="211">
        <f t="shared" si="154"/>
        <v>0</v>
      </c>
      <c r="AH237" s="211">
        <f t="shared" si="154"/>
        <v>0</v>
      </c>
      <c r="AI237" s="211">
        <f t="shared" si="154"/>
        <v>0</v>
      </c>
      <c r="AJ237" s="211">
        <f t="shared" si="154"/>
        <v>0</v>
      </c>
      <c r="AK237" s="211">
        <f t="shared" si="154"/>
        <v>0</v>
      </c>
      <c r="AL237" s="211">
        <f t="shared" si="154"/>
        <v>0</v>
      </c>
      <c r="AM237" s="211">
        <f t="shared" si="154"/>
        <v>0</v>
      </c>
      <c r="AN237" s="211">
        <f t="shared" si="154"/>
        <v>0</v>
      </c>
    </row>
    <row r="238" spans="2:40" s="7" customFormat="1" ht="12" hidden="1" customHeight="1" outlineLevel="2">
      <c r="B238" s="245"/>
      <c r="C238" s="250" t="s">
        <v>764</v>
      </c>
      <c r="D238" s="250"/>
      <c r="E238" s="213"/>
      <c r="F238" s="213"/>
      <c r="G238" s="213"/>
      <c r="H238" s="213"/>
      <c r="I238" s="213"/>
      <c r="J238" s="213"/>
      <c r="K238" s="213"/>
      <c r="L238" s="213"/>
      <c r="M238" s="213"/>
      <c r="N238" s="213"/>
      <c r="O238" s="213"/>
      <c r="P238" s="211">
        <f>INDEX($C$199:$AN$221,MATCH("New Customers One-Time",$C$199:$C$221,0),MATCH($C238,$C$199:$AN$199,0))</f>
        <v>54</v>
      </c>
      <c r="Q238" s="211">
        <f t="shared" ref="Q238:AN238" si="155">$P$238*(E225)</f>
        <v>0</v>
      </c>
      <c r="R238" s="211">
        <f t="shared" si="155"/>
        <v>0</v>
      </c>
      <c r="S238" s="211">
        <f t="shared" si="155"/>
        <v>0</v>
      </c>
      <c r="T238" s="211">
        <f t="shared" si="155"/>
        <v>0</v>
      </c>
      <c r="U238" s="211">
        <f t="shared" si="155"/>
        <v>0</v>
      </c>
      <c r="V238" s="211">
        <f t="shared" si="155"/>
        <v>0</v>
      </c>
      <c r="W238" s="211">
        <f t="shared" si="155"/>
        <v>0</v>
      </c>
      <c r="X238" s="211">
        <f t="shared" si="155"/>
        <v>0</v>
      </c>
      <c r="Y238" s="211">
        <f t="shared" si="155"/>
        <v>0</v>
      </c>
      <c r="Z238" s="211">
        <f t="shared" si="155"/>
        <v>0</v>
      </c>
      <c r="AA238" s="211">
        <f t="shared" si="155"/>
        <v>0</v>
      </c>
      <c r="AB238" s="211">
        <f t="shared" si="155"/>
        <v>0</v>
      </c>
      <c r="AC238" s="211">
        <f t="shared" si="155"/>
        <v>0</v>
      </c>
      <c r="AD238" s="211">
        <f t="shared" si="155"/>
        <v>0</v>
      </c>
      <c r="AE238" s="211">
        <f t="shared" si="155"/>
        <v>0</v>
      </c>
      <c r="AF238" s="211">
        <f t="shared" si="155"/>
        <v>0</v>
      </c>
      <c r="AG238" s="211">
        <f t="shared" si="155"/>
        <v>0</v>
      </c>
      <c r="AH238" s="211">
        <f t="shared" si="155"/>
        <v>0</v>
      </c>
      <c r="AI238" s="211">
        <f t="shared" si="155"/>
        <v>0</v>
      </c>
      <c r="AJ238" s="211">
        <f t="shared" si="155"/>
        <v>0</v>
      </c>
      <c r="AK238" s="211">
        <f t="shared" si="155"/>
        <v>0</v>
      </c>
      <c r="AL238" s="211">
        <f t="shared" si="155"/>
        <v>0</v>
      </c>
      <c r="AM238" s="211">
        <f t="shared" si="155"/>
        <v>0</v>
      </c>
      <c r="AN238" s="211">
        <f t="shared" si="155"/>
        <v>0</v>
      </c>
    </row>
    <row r="239" spans="2:40" s="7" customFormat="1" ht="12" hidden="1" customHeight="1" outlineLevel="2">
      <c r="B239" s="245"/>
      <c r="C239" s="250" t="s">
        <v>765</v>
      </c>
      <c r="D239" s="250"/>
      <c r="E239" s="213"/>
      <c r="F239" s="213"/>
      <c r="G239" s="213"/>
      <c r="H239" s="213"/>
      <c r="I239" s="213"/>
      <c r="J239" s="213"/>
      <c r="K239" s="213"/>
      <c r="L239" s="213"/>
      <c r="M239" s="213"/>
      <c r="N239" s="213"/>
      <c r="O239" s="213"/>
      <c r="P239" s="213"/>
      <c r="Q239" s="211">
        <f>INDEX($C$199:$AN$221,MATCH("New Customers One-Time",$C$199:$C$221,0),MATCH($C239,$C$199:$AN$199,0))</f>
        <v>69.792480000000012</v>
      </c>
      <c r="R239" s="211">
        <f t="shared" ref="R239:AN239" si="156">$Q$239*(E225)</f>
        <v>0</v>
      </c>
      <c r="S239" s="211">
        <f t="shared" si="156"/>
        <v>0</v>
      </c>
      <c r="T239" s="211">
        <f t="shared" si="156"/>
        <v>0</v>
      </c>
      <c r="U239" s="211">
        <f t="shared" si="156"/>
        <v>0</v>
      </c>
      <c r="V239" s="211">
        <f t="shared" si="156"/>
        <v>0</v>
      </c>
      <c r="W239" s="211">
        <f t="shared" si="156"/>
        <v>0</v>
      </c>
      <c r="X239" s="211">
        <f t="shared" si="156"/>
        <v>0</v>
      </c>
      <c r="Y239" s="211">
        <f t="shared" si="156"/>
        <v>0</v>
      </c>
      <c r="Z239" s="211">
        <f t="shared" si="156"/>
        <v>0</v>
      </c>
      <c r="AA239" s="211">
        <f t="shared" si="156"/>
        <v>0</v>
      </c>
      <c r="AB239" s="211">
        <f t="shared" si="156"/>
        <v>0</v>
      </c>
      <c r="AC239" s="211">
        <f t="shared" si="156"/>
        <v>0</v>
      </c>
      <c r="AD239" s="211">
        <f t="shared" si="156"/>
        <v>0</v>
      </c>
      <c r="AE239" s="211">
        <f t="shared" si="156"/>
        <v>0</v>
      </c>
      <c r="AF239" s="211">
        <f t="shared" si="156"/>
        <v>0</v>
      </c>
      <c r="AG239" s="211">
        <f t="shared" si="156"/>
        <v>0</v>
      </c>
      <c r="AH239" s="211">
        <f t="shared" si="156"/>
        <v>0</v>
      </c>
      <c r="AI239" s="211">
        <f t="shared" si="156"/>
        <v>0</v>
      </c>
      <c r="AJ239" s="211">
        <f t="shared" si="156"/>
        <v>0</v>
      </c>
      <c r="AK239" s="211">
        <f t="shared" si="156"/>
        <v>0</v>
      </c>
      <c r="AL239" s="211">
        <f t="shared" si="156"/>
        <v>0</v>
      </c>
      <c r="AM239" s="211">
        <f t="shared" si="156"/>
        <v>0</v>
      </c>
      <c r="AN239" s="211">
        <f t="shared" si="156"/>
        <v>0</v>
      </c>
    </row>
    <row r="240" spans="2:40" s="7" customFormat="1" ht="12" hidden="1" customHeight="1" outlineLevel="2">
      <c r="B240" s="245"/>
      <c r="C240" s="250" t="s">
        <v>766</v>
      </c>
      <c r="D240" s="250"/>
      <c r="E240" s="213"/>
      <c r="F240" s="213"/>
      <c r="G240" s="213"/>
      <c r="H240" s="213"/>
      <c r="I240" s="213"/>
      <c r="J240" s="213"/>
      <c r="K240" s="213"/>
      <c r="L240" s="213"/>
      <c r="M240" s="213"/>
      <c r="N240" s="213"/>
      <c r="O240" s="213"/>
      <c r="P240" s="213"/>
      <c r="Q240" s="213"/>
      <c r="R240" s="211">
        <f>INDEX($C$199:$AN$221,MATCH("New Customers One-Time",$C$199:$C$221,0),MATCH($C240,$C$199:$AN$199,0))</f>
        <v>112.65155999999998</v>
      </c>
      <c r="S240" s="211">
        <f t="shared" ref="S240:AN240" si="157">$R$240*(E225)</f>
        <v>0</v>
      </c>
      <c r="T240" s="211">
        <f t="shared" si="157"/>
        <v>0</v>
      </c>
      <c r="U240" s="211">
        <f t="shared" si="157"/>
        <v>0</v>
      </c>
      <c r="V240" s="211">
        <f t="shared" si="157"/>
        <v>0</v>
      </c>
      <c r="W240" s="211">
        <f t="shared" si="157"/>
        <v>0</v>
      </c>
      <c r="X240" s="211">
        <f t="shared" si="157"/>
        <v>0</v>
      </c>
      <c r="Y240" s="211">
        <f t="shared" si="157"/>
        <v>0</v>
      </c>
      <c r="Z240" s="211">
        <f t="shared" si="157"/>
        <v>0</v>
      </c>
      <c r="AA240" s="211">
        <f t="shared" si="157"/>
        <v>0</v>
      </c>
      <c r="AB240" s="211">
        <f t="shared" si="157"/>
        <v>0</v>
      </c>
      <c r="AC240" s="211">
        <f t="shared" si="157"/>
        <v>0</v>
      </c>
      <c r="AD240" s="211">
        <f t="shared" si="157"/>
        <v>0</v>
      </c>
      <c r="AE240" s="211">
        <f t="shared" si="157"/>
        <v>0</v>
      </c>
      <c r="AF240" s="211">
        <f t="shared" si="157"/>
        <v>0</v>
      </c>
      <c r="AG240" s="211">
        <f t="shared" si="157"/>
        <v>0</v>
      </c>
      <c r="AH240" s="211">
        <f t="shared" si="157"/>
        <v>0</v>
      </c>
      <c r="AI240" s="211">
        <f t="shared" si="157"/>
        <v>0</v>
      </c>
      <c r="AJ240" s="211">
        <f t="shared" si="157"/>
        <v>0</v>
      </c>
      <c r="AK240" s="211">
        <f t="shared" si="157"/>
        <v>0</v>
      </c>
      <c r="AL240" s="211">
        <f t="shared" si="157"/>
        <v>0</v>
      </c>
      <c r="AM240" s="211">
        <f t="shared" si="157"/>
        <v>0</v>
      </c>
      <c r="AN240" s="211">
        <f t="shared" si="157"/>
        <v>0</v>
      </c>
    </row>
    <row r="241" spans="2:41" s="7" customFormat="1" ht="12" hidden="1" customHeight="1" outlineLevel="2">
      <c r="B241" s="245"/>
      <c r="C241" s="250" t="s">
        <v>767</v>
      </c>
      <c r="D241" s="250"/>
      <c r="E241" s="213"/>
      <c r="F241" s="213"/>
      <c r="G241" s="213"/>
      <c r="H241" s="213"/>
      <c r="I241" s="213"/>
      <c r="J241" s="213"/>
      <c r="K241" s="213"/>
      <c r="L241" s="213"/>
      <c r="M241" s="213"/>
      <c r="N241" s="213"/>
      <c r="O241" s="213"/>
      <c r="P241" s="213"/>
      <c r="Q241" s="213"/>
      <c r="R241" s="213"/>
      <c r="S241" s="211">
        <f>INDEX($C$199:$AN$221,MATCH("New Customers One-Time",$C$199:$C$221,0),MATCH($C241,$C$199:$AN$199,0))</f>
        <v>112.81842</v>
      </c>
      <c r="T241" s="211">
        <f t="shared" ref="T241:AN241" si="158">$S$241*(E225)</f>
        <v>0</v>
      </c>
      <c r="U241" s="211">
        <f t="shared" si="158"/>
        <v>0</v>
      </c>
      <c r="V241" s="211">
        <f t="shared" si="158"/>
        <v>0</v>
      </c>
      <c r="W241" s="211">
        <f t="shared" si="158"/>
        <v>0</v>
      </c>
      <c r="X241" s="211">
        <f t="shared" si="158"/>
        <v>0</v>
      </c>
      <c r="Y241" s="211">
        <f t="shared" si="158"/>
        <v>0</v>
      </c>
      <c r="Z241" s="211">
        <f t="shared" si="158"/>
        <v>0</v>
      </c>
      <c r="AA241" s="211">
        <f t="shared" si="158"/>
        <v>0</v>
      </c>
      <c r="AB241" s="211">
        <f t="shared" si="158"/>
        <v>0</v>
      </c>
      <c r="AC241" s="211">
        <f t="shared" si="158"/>
        <v>0</v>
      </c>
      <c r="AD241" s="211">
        <f t="shared" si="158"/>
        <v>0</v>
      </c>
      <c r="AE241" s="211">
        <f t="shared" si="158"/>
        <v>0</v>
      </c>
      <c r="AF241" s="211">
        <f t="shared" si="158"/>
        <v>0</v>
      </c>
      <c r="AG241" s="211">
        <f t="shared" si="158"/>
        <v>0</v>
      </c>
      <c r="AH241" s="211">
        <f t="shared" si="158"/>
        <v>0</v>
      </c>
      <c r="AI241" s="211">
        <f t="shared" si="158"/>
        <v>0</v>
      </c>
      <c r="AJ241" s="211">
        <f t="shared" si="158"/>
        <v>0</v>
      </c>
      <c r="AK241" s="211">
        <f t="shared" si="158"/>
        <v>0</v>
      </c>
      <c r="AL241" s="211">
        <f t="shared" si="158"/>
        <v>0</v>
      </c>
      <c r="AM241" s="211">
        <f t="shared" si="158"/>
        <v>0</v>
      </c>
      <c r="AN241" s="211">
        <f t="shared" si="158"/>
        <v>0</v>
      </c>
    </row>
    <row r="242" spans="2:41" s="7" customFormat="1" ht="12" hidden="1" customHeight="1" outlineLevel="2">
      <c r="B242" s="245"/>
      <c r="C242" s="250" t="s">
        <v>768</v>
      </c>
      <c r="D242" s="250"/>
      <c r="E242" s="213"/>
      <c r="F242" s="213"/>
      <c r="G242" s="213"/>
      <c r="H242" s="213"/>
      <c r="I242" s="213"/>
      <c r="J242" s="213"/>
      <c r="K242" s="213"/>
      <c r="L242" s="213"/>
      <c r="M242" s="213"/>
      <c r="N242" s="213"/>
      <c r="O242" s="213"/>
      <c r="P242" s="213"/>
      <c r="Q242" s="213"/>
      <c r="R242" s="213"/>
      <c r="S242" s="213"/>
      <c r="T242" s="211">
        <f>INDEX($C$199:$AN$221,MATCH("New Customers One-Time",$C$199:$C$221,0),MATCH($C242,$C$199:$AN$199,0))</f>
        <v>47.383560000000003</v>
      </c>
      <c r="U242" s="211">
        <f t="shared" ref="U242:AN242" si="159">$T$242*(E225)</f>
        <v>0</v>
      </c>
      <c r="V242" s="211">
        <f t="shared" si="159"/>
        <v>0</v>
      </c>
      <c r="W242" s="211">
        <f t="shared" si="159"/>
        <v>0</v>
      </c>
      <c r="X242" s="211">
        <f t="shared" si="159"/>
        <v>0</v>
      </c>
      <c r="Y242" s="211">
        <f t="shared" si="159"/>
        <v>0</v>
      </c>
      <c r="Z242" s="211">
        <f t="shared" si="159"/>
        <v>0</v>
      </c>
      <c r="AA242" s="211">
        <f t="shared" si="159"/>
        <v>0</v>
      </c>
      <c r="AB242" s="211">
        <f t="shared" si="159"/>
        <v>0</v>
      </c>
      <c r="AC242" s="211">
        <f t="shared" si="159"/>
        <v>0</v>
      </c>
      <c r="AD242" s="211">
        <f t="shared" si="159"/>
        <v>0</v>
      </c>
      <c r="AE242" s="211">
        <f t="shared" si="159"/>
        <v>0</v>
      </c>
      <c r="AF242" s="211">
        <f t="shared" si="159"/>
        <v>0</v>
      </c>
      <c r="AG242" s="211">
        <f t="shared" si="159"/>
        <v>0</v>
      </c>
      <c r="AH242" s="211">
        <f t="shared" si="159"/>
        <v>0</v>
      </c>
      <c r="AI242" s="211">
        <f t="shared" si="159"/>
        <v>0</v>
      </c>
      <c r="AJ242" s="211">
        <f t="shared" si="159"/>
        <v>0</v>
      </c>
      <c r="AK242" s="211">
        <f t="shared" si="159"/>
        <v>0</v>
      </c>
      <c r="AL242" s="211">
        <f t="shared" si="159"/>
        <v>0</v>
      </c>
      <c r="AM242" s="211">
        <f t="shared" si="159"/>
        <v>0</v>
      </c>
      <c r="AN242" s="211">
        <f t="shared" si="159"/>
        <v>0</v>
      </c>
    </row>
    <row r="243" spans="2:41" s="7" customFormat="1" ht="12" hidden="1" customHeight="1" outlineLevel="2">
      <c r="B243" s="245"/>
      <c r="C243" s="250" t="s">
        <v>769</v>
      </c>
      <c r="D243" s="250"/>
      <c r="E243" s="213"/>
      <c r="F243" s="213"/>
      <c r="G243" s="213"/>
      <c r="H243" s="213"/>
      <c r="I243" s="213"/>
      <c r="J243" s="213"/>
      <c r="K243" s="213"/>
      <c r="L243" s="213"/>
      <c r="M243" s="213"/>
      <c r="N243" s="213"/>
      <c r="O243" s="213"/>
      <c r="P243" s="213"/>
      <c r="Q243" s="213"/>
      <c r="R243" s="213"/>
      <c r="S243" s="213"/>
      <c r="T243" s="213"/>
      <c r="U243" s="211">
        <f>INDEX($C$199:$AN$221,MATCH("New Customers One-Time",$C$199:$C$221,0),MATCH($C243,$C$199:$AN$199,0))</f>
        <v>63.459450000000011</v>
      </c>
      <c r="V243" s="211">
        <f t="shared" ref="V243:AN243" si="160">$U$243*(E225)</f>
        <v>0</v>
      </c>
      <c r="W243" s="211">
        <f t="shared" si="160"/>
        <v>0</v>
      </c>
      <c r="X243" s="211">
        <f t="shared" si="160"/>
        <v>0</v>
      </c>
      <c r="Y243" s="211">
        <f t="shared" si="160"/>
        <v>0</v>
      </c>
      <c r="Z243" s="211">
        <f t="shared" si="160"/>
        <v>0</v>
      </c>
      <c r="AA243" s="211">
        <f t="shared" si="160"/>
        <v>0</v>
      </c>
      <c r="AB243" s="211">
        <f t="shared" si="160"/>
        <v>0</v>
      </c>
      <c r="AC243" s="211">
        <f t="shared" si="160"/>
        <v>0</v>
      </c>
      <c r="AD243" s="211">
        <f t="shared" si="160"/>
        <v>0</v>
      </c>
      <c r="AE243" s="211">
        <f t="shared" si="160"/>
        <v>0</v>
      </c>
      <c r="AF243" s="211">
        <f t="shared" si="160"/>
        <v>0</v>
      </c>
      <c r="AG243" s="211">
        <f t="shared" si="160"/>
        <v>0</v>
      </c>
      <c r="AH243" s="211">
        <f t="shared" si="160"/>
        <v>0</v>
      </c>
      <c r="AI243" s="211">
        <f t="shared" si="160"/>
        <v>0</v>
      </c>
      <c r="AJ243" s="211">
        <f t="shared" si="160"/>
        <v>0</v>
      </c>
      <c r="AK243" s="211">
        <f t="shared" si="160"/>
        <v>0</v>
      </c>
      <c r="AL243" s="211">
        <f t="shared" si="160"/>
        <v>0</v>
      </c>
      <c r="AM243" s="211">
        <f t="shared" si="160"/>
        <v>0</v>
      </c>
      <c r="AN243" s="211">
        <f t="shared" si="160"/>
        <v>0</v>
      </c>
    </row>
    <row r="244" spans="2:41" s="7" customFormat="1" ht="12" hidden="1" customHeight="1" outlineLevel="2">
      <c r="B244" s="245"/>
      <c r="C244" s="250" t="s">
        <v>770</v>
      </c>
      <c r="D244" s="250"/>
      <c r="E244" s="213"/>
      <c r="F244" s="213"/>
      <c r="G244" s="213"/>
      <c r="H244" s="213"/>
      <c r="I244" s="213"/>
      <c r="J244" s="213"/>
      <c r="K244" s="213"/>
      <c r="L244" s="213"/>
      <c r="M244" s="213"/>
      <c r="N244" s="213"/>
      <c r="O244" s="213"/>
      <c r="P244" s="213"/>
      <c r="Q244" s="213"/>
      <c r="R244" s="213"/>
      <c r="S244" s="213"/>
      <c r="T244" s="213"/>
      <c r="U244" s="213"/>
      <c r="V244" s="211">
        <f>INDEX($C$199:$AN$221,MATCH("New Customers One-Time",$C$199:$C$221,0),MATCH($C244,$C$199:$AN$199,0))</f>
        <v>102.74310000000003</v>
      </c>
      <c r="W244" s="211">
        <f t="shared" ref="W244:AN244" si="161">$V$244*(E225)</f>
        <v>0</v>
      </c>
      <c r="X244" s="211">
        <f t="shared" si="161"/>
        <v>0</v>
      </c>
      <c r="Y244" s="211">
        <f t="shared" si="161"/>
        <v>0</v>
      </c>
      <c r="Z244" s="211">
        <f t="shared" si="161"/>
        <v>0</v>
      </c>
      <c r="AA244" s="211">
        <f t="shared" si="161"/>
        <v>0</v>
      </c>
      <c r="AB244" s="211">
        <f t="shared" si="161"/>
        <v>0</v>
      </c>
      <c r="AC244" s="211">
        <f t="shared" si="161"/>
        <v>0</v>
      </c>
      <c r="AD244" s="211">
        <f t="shared" si="161"/>
        <v>0</v>
      </c>
      <c r="AE244" s="211">
        <f t="shared" si="161"/>
        <v>0</v>
      </c>
      <c r="AF244" s="211">
        <f t="shared" si="161"/>
        <v>0</v>
      </c>
      <c r="AG244" s="211">
        <f t="shared" si="161"/>
        <v>0</v>
      </c>
      <c r="AH244" s="211">
        <f t="shared" si="161"/>
        <v>0</v>
      </c>
      <c r="AI244" s="211">
        <f t="shared" si="161"/>
        <v>0</v>
      </c>
      <c r="AJ244" s="211">
        <f t="shared" si="161"/>
        <v>0</v>
      </c>
      <c r="AK244" s="211">
        <f t="shared" si="161"/>
        <v>0</v>
      </c>
      <c r="AL244" s="211">
        <f t="shared" si="161"/>
        <v>0</v>
      </c>
      <c r="AM244" s="211">
        <f t="shared" si="161"/>
        <v>0</v>
      </c>
      <c r="AN244" s="211">
        <f t="shared" si="161"/>
        <v>0</v>
      </c>
    </row>
    <row r="245" spans="2:41" s="7" customFormat="1" ht="12" hidden="1" customHeight="1" outlineLevel="2">
      <c r="B245" s="245"/>
      <c r="C245" s="250" t="s">
        <v>771</v>
      </c>
      <c r="D245" s="250"/>
      <c r="E245" s="213"/>
      <c r="F245" s="213"/>
      <c r="G245" s="213"/>
      <c r="H245" s="213"/>
      <c r="I245" s="213"/>
      <c r="J245" s="213"/>
      <c r="K245" s="213"/>
      <c r="L245" s="213"/>
      <c r="M245" s="213"/>
      <c r="N245" s="213"/>
      <c r="O245" s="213"/>
      <c r="P245" s="213"/>
      <c r="Q245" s="213"/>
      <c r="R245" s="213"/>
      <c r="S245" s="213"/>
      <c r="T245" s="213"/>
      <c r="U245" s="213"/>
      <c r="V245" s="213"/>
      <c r="W245" s="211">
        <f>INDEX($C$199:$AN$221,MATCH("New Customers One-Time",$C$199:$C$221,0),MATCH($C245,$C$199:$AN$199,0))</f>
        <v>40.492619999999995</v>
      </c>
      <c r="X245" s="211">
        <f t="shared" ref="X245:AN245" si="162">$W$245*(E225)</f>
        <v>0</v>
      </c>
      <c r="Y245" s="211">
        <f t="shared" si="162"/>
        <v>0</v>
      </c>
      <c r="Z245" s="211">
        <f t="shared" si="162"/>
        <v>0</v>
      </c>
      <c r="AA245" s="211">
        <f t="shared" si="162"/>
        <v>0</v>
      </c>
      <c r="AB245" s="211">
        <f t="shared" si="162"/>
        <v>0</v>
      </c>
      <c r="AC245" s="211">
        <f t="shared" si="162"/>
        <v>0</v>
      </c>
      <c r="AD245" s="211">
        <f t="shared" si="162"/>
        <v>0</v>
      </c>
      <c r="AE245" s="211">
        <f t="shared" si="162"/>
        <v>0</v>
      </c>
      <c r="AF245" s="211">
        <f t="shared" si="162"/>
        <v>0</v>
      </c>
      <c r="AG245" s="211">
        <f t="shared" si="162"/>
        <v>0</v>
      </c>
      <c r="AH245" s="211">
        <f t="shared" si="162"/>
        <v>0</v>
      </c>
      <c r="AI245" s="211">
        <f t="shared" si="162"/>
        <v>0</v>
      </c>
      <c r="AJ245" s="211">
        <f t="shared" si="162"/>
        <v>0</v>
      </c>
      <c r="AK245" s="211">
        <f t="shared" si="162"/>
        <v>0</v>
      </c>
      <c r="AL245" s="211">
        <f t="shared" si="162"/>
        <v>0</v>
      </c>
      <c r="AM245" s="211">
        <f t="shared" si="162"/>
        <v>0</v>
      </c>
      <c r="AN245" s="211">
        <f t="shared" si="162"/>
        <v>0</v>
      </c>
    </row>
    <row r="246" spans="2:41" s="7" customFormat="1" ht="12" hidden="1" customHeight="1" outlineLevel="2">
      <c r="B246" s="245"/>
      <c r="C246" s="250" t="s">
        <v>772</v>
      </c>
      <c r="D246" s="250"/>
      <c r="E246" s="213"/>
      <c r="F246" s="213"/>
      <c r="G246" s="213"/>
      <c r="H246" s="213"/>
      <c r="I246" s="213"/>
      <c r="J246" s="213"/>
      <c r="K246" s="213"/>
      <c r="L246" s="213"/>
      <c r="M246" s="213"/>
      <c r="N246" s="213"/>
      <c r="O246" s="213"/>
      <c r="P246" s="213"/>
      <c r="Q246" s="213"/>
      <c r="R246" s="213"/>
      <c r="S246" s="213"/>
      <c r="T246" s="213"/>
      <c r="U246" s="213"/>
      <c r="V246" s="213"/>
      <c r="W246" s="213"/>
      <c r="X246" s="211">
        <f>INDEX($C$199:$AN$221,MATCH("New Customers One-Time",$C$199:$C$221,0),MATCH($C246,$C$199:$AN$199,0))</f>
        <v>60.988950000000003</v>
      </c>
      <c r="Y246" s="211">
        <f t="shared" ref="Y246:AN246" si="163">$X$246*(E225)</f>
        <v>0</v>
      </c>
      <c r="Z246" s="211">
        <f t="shared" si="163"/>
        <v>0</v>
      </c>
      <c r="AA246" s="211">
        <f t="shared" si="163"/>
        <v>0</v>
      </c>
      <c r="AB246" s="211">
        <f t="shared" si="163"/>
        <v>0</v>
      </c>
      <c r="AC246" s="211">
        <f t="shared" si="163"/>
        <v>0</v>
      </c>
      <c r="AD246" s="211">
        <f t="shared" si="163"/>
        <v>0</v>
      </c>
      <c r="AE246" s="211">
        <f t="shared" si="163"/>
        <v>0</v>
      </c>
      <c r="AF246" s="211">
        <f t="shared" si="163"/>
        <v>0</v>
      </c>
      <c r="AG246" s="211">
        <f t="shared" si="163"/>
        <v>0</v>
      </c>
      <c r="AH246" s="211">
        <f t="shared" si="163"/>
        <v>0</v>
      </c>
      <c r="AI246" s="211">
        <f t="shared" si="163"/>
        <v>0</v>
      </c>
      <c r="AJ246" s="211">
        <f t="shared" si="163"/>
        <v>0</v>
      </c>
      <c r="AK246" s="211">
        <f t="shared" si="163"/>
        <v>0</v>
      </c>
      <c r="AL246" s="211">
        <f t="shared" si="163"/>
        <v>0</v>
      </c>
      <c r="AM246" s="211">
        <f t="shared" si="163"/>
        <v>0</v>
      </c>
      <c r="AN246" s="211">
        <f t="shared" si="163"/>
        <v>0</v>
      </c>
    </row>
    <row r="247" spans="2:41" s="7" customFormat="1" ht="12" hidden="1" customHeight="1" outlineLevel="2">
      <c r="B247" s="245"/>
      <c r="C247" s="250" t="s">
        <v>773</v>
      </c>
      <c r="D247" s="250"/>
      <c r="E247" s="213"/>
      <c r="F247" s="213"/>
      <c r="G247" s="213"/>
      <c r="H247" s="213"/>
      <c r="I247" s="213"/>
      <c r="J247" s="213"/>
      <c r="K247" s="213"/>
      <c r="L247" s="213"/>
      <c r="M247" s="213"/>
      <c r="N247" s="213"/>
      <c r="O247" s="213"/>
      <c r="P247" s="213"/>
      <c r="Q247" s="213"/>
      <c r="R247" s="213"/>
      <c r="S247" s="213"/>
      <c r="T247" s="213"/>
      <c r="U247" s="213"/>
      <c r="V247" s="213"/>
      <c r="W247" s="213"/>
      <c r="X247" s="213"/>
      <c r="Y247" s="211">
        <f>INDEX($C$199:$AN$221,MATCH("New Customers One-Time",$C$199:$C$221,0),MATCH($C247,$C$199:$AN$199,0))</f>
        <v>140.4</v>
      </c>
      <c r="Z247" s="211">
        <f t="shared" ref="Z247:AN247" si="164">$Y$247*(E225)</f>
        <v>0</v>
      </c>
      <c r="AA247" s="211">
        <f t="shared" si="164"/>
        <v>0</v>
      </c>
      <c r="AB247" s="211">
        <f t="shared" si="164"/>
        <v>0</v>
      </c>
      <c r="AC247" s="211">
        <f t="shared" si="164"/>
        <v>0</v>
      </c>
      <c r="AD247" s="211">
        <f t="shared" si="164"/>
        <v>0</v>
      </c>
      <c r="AE247" s="211">
        <f t="shared" si="164"/>
        <v>0</v>
      </c>
      <c r="AF247" s="211">
        <f t="shared" si="164"/>
        <v>0</v>
      </c>
      <c r="AG247" s="211">
        <f t="shared" si="164"/>
        <v>0</v>
      </c>
      <c r="AH247" s="211">
        <f t="shared" si="164"/>
        <v>0</v>
      </c>
      <c r="AI247" s="211">
        <f t="shared" si="164"/>
        <v>0</v>
      </c>
      <c r="AJ247" s="211">
        <f t="shared" si="164"/>
        <v>0</v>
      </c>
      <c r="AK247" s="211">
        <f t="shared" si="164"/>
        <v>0</v>
      </c>
      <c r="AL247" s="211">
        <f t="shared" si="164"/>
        <v>0</v>
      </c>
      <c r="AM247" s="211">
        <f t="shared" si="164"/>
        <v>0</v>
      </c>
      <c r="AN247" s="211">
        <f t="shared" si="164"/>
        <v>0</v>
      </c>
    </row>
    <row r="248" spans="2:41" s="7" customFormat="1" ht="12" hidden="1" customHeight="1" outlineLevel="2">
      <c r="B248" s="245"/>
      <c r="C248" s="250" t="s">
        <v>774</v>
      </c>
      <c r="D248" s="250"/>
      <c r="E248" s="213"/>
      <c r="F248" s="213"/>
      <c r="G248" s="213"/>
      <c r="H248" s="213"/>
      <c r="I248" s="213"/>
      <c r="J248" s="213"/>
      <c r="K248" s="213"/>
      <c r="L248" s="213"/>
      <c r="M248" s="213"/>
      <c r="N248" s="213"/>
      <c r="O248" s="213"/>
      <c r="P248" s="213"/>
      <c r="Q248" s="213"/>
      <c r="R248" s="213"/>
      <c r="S248" s="213"/>
      <c r="T248" s="213"/>
      <c r="U248" s="213"/>
      <c r="V248" s="213"/>
      <c r="W248" s="213"/>
      <c r="X248" s="213"/>
      <c r="Y248" s="213"/>
      <c r="Z248" s="211">
        <f>INDEX($C$199:$AN$221,MATCH("New Customers One-Time",$C$199:$C$221,0),MATCH($C248,$C$199:$AN$199,0))</f>
        <v>129.6</v>
      </c>
      <c r="AA248" s="211">
        <f t="shared" ref="AA248:AK248" si="165">$Z$248*(E225)</f>
        <v>0</v>
      </c>
      <c r="AB248" s="211">
        <f t="shared" si="165"/>
        <v>0</v>
      </c>
      <c r="AC248" s="211">
        <f t="shared" si="165"/>
        <v>0</v>
      </c>
      <c r="AD248" s="211">
        <f t="shared" si="165"/>
        <v>0</v>
      </c>
      <c r="AE248" s="211">
        <f t="shared" si="165"/>
        <v>0</v>
      </c>
      <c r="AF248" s="211">
        <f t="shared" si="165"/>
        <v>0</v>
      </c>
      <c r="AG248" s="211">
        <f t="shared" si="165"/>
        <v>0</v>
      </c>
      <c r="AH248" s="211">
        <f t="shared" si="165"/>
        <v>0</v>
      </c>
      <c r="AI248" s="211">
        <f t="shared" si="165"/>
        <v>0</v>
      </c>
      <c r="AJ248" s="211">
        <f t="shared" si="165"/>
        <v>0</v>
      </c>
      <c r="AK248" s="211">
        <f t="shared" si="165"/>
        <v>0</v>
      </c>
      <c r="AL248" s="211">
        <f>AK248*(P225)</f>
        <v>0</v>
      </c>
      <c r="AM248" s="211">
        <f>AL248*(Q225)</f>
        <v>0</v>
      </c>
      <c r="AN248" s="211">
        <f>AM248*(R225)</f>
        <v>0</v>
      </c>
    </row>
    <row r="249" spans="2:41" s="7" customFormat="1" ht="12" hidden="1" customHeight="1" outlineLevel="2">
      <c r="B249" s="245"/>
      <c r="C249" s="250" t="s">
        <v>775</v>
      </c>
      <c r="D249" s="250"/>
      <c r="E249" s="213"/>
      <c r="F249" s="213"/>
      <c r="G249" s="213"/>
      <c r="H249" s="213"/>
      <c r="I249" s="213"/>
      <c r="J249" s="213"/>
      <c r="K249" s="213"/>
      <c r="L249" s="213"/>
      <c r="M249" s="213"/>
      <c r="N249" s="213"/>
      <c r="O249" s="213"/>
      <c r="P249" s="213"/>
      <c r="Q249" s="213"/>
      <c r="R249" s="213"/>
      <c r="S249" s="213"/>
      <c r="T249" s="213"/>
      <c r="U249" s="213"/>
      <c r="V249" s="213"/>
      <c r="W249" s="213"/>
      <c r="X249" s="213"/>
      <c r="Y249" s="213"/>
      <c r="Z249" s="213"/>
      <c r="AA249" s="211">
        <f>INDEX($C$199:$AN$221,MATCH("New Customers One-Time",$C$199:$C$221,0),MATCH($C249,$C$199:$AN$199,0))</f>
        <v>43.2</v>
      </c>
      <c r="AB249" s="211">
        <f t="shared" ref="AB249:AK249" si="166">$AA$249*(E225)</f>
        <v>0</v>
      </c>
      <c r="AC249" s="211">
        <f t="shared" si="166"/>
        <v>0</v>
      </c>
      <c r="AD249" s="211">
        <f t="shared" si="166"/>
        <v>0</v>
      </c>
      <c r="AE249" s="211">
        <f t="shared" si="166"/>
        <v>0</v>
      </c>
      <c r="AF249" s="211">
        <f t="shared" si="166"/>
        <v>0</v>
      </c>
      <c r="AG249" s="211">
        <f t="shared" si="166"/>
        <v>0</v>
      </c>
      <c r="AH249" s="211">
        <f t="shared" si="166"/>
        <v>0</v>
      </c>
      <c r="AI249" s="211">
        <f t="shared" si="166"/>
        <v>0</v>
      </c>
      <c r="AJ249" s="211">
        <f t="shared" si="166"/>
        <v>0</v>
      </c>
      <c r="AK249" s="211">
        <f t="shared" si="166"/>
        <v>0</v>
      </c>
      <c r="AL249" s="211">
        <f>AK249*(O225)</f>
        <v>0</v>
      </c>
      <c r="AM249" s="211">
        <f>AL249*(P225)</f>
        <v>0</v>
      </c>
      <c r="AN249" s="211">
        <f>AM249*(Q225)</f>
        <v>0</v>
      </c>
    </row>
    <row r="250" spans="2:41" s="7" customFormat="1" ht="12" hidden="1" customHeight="1" outlineLevel="2">
      <c r="B250" s="245"/>
      <c r="C250" s="250" t="s">
        <v>776</v>
      </c>
      <c r="D250" s="250"/>
      <c r="E250" s="213"/>
      <c r="F250" s="213"/>
      <c r="G250" s="213"/>
      <c r="H250" s="213"/>
      <c r="I250" s="213"/>
      <c r="J250" s="213"/>
      <c r="K250" s="213"/>
      <c r="L250" s="213"/>
      <c r="M250" s="213"/>
      <c r="N250" s="213"/>
      <c r="O250" s="213"/>
      <c r="P250" s="213"/>
      <c r="Q250" s="213"/>
      <c r="R250" s="213"/>
      <c r="S250" s="213"/>
      <c r="T250" s="213"/>
      <c r="U250" s="213"/>
      <c r="V250" s="213"/>
      <c r="W250" s="213"/>
      <c r="X250" s="213"/>
      <c r="Y250" s="213"/>
      <c r="Z250" s="213"/>
      <c r="AA250" s="213"/>
      <c r="AB250" s="211">
        <f>INDEX($C$199:$AN$221,MATCH("New Customers One-Time",$C$199:$C$221,0),MATCH($C250,$C$199:$AN$199,0))</f>
        <v>43.2</v>
      </c>
      <c r="AC250" s="211">
        <f t="shared" ref="AC250:AN250" si="167">$AB$250*(E225)</f>
        <v>0</v>
      </c>
      <c r="AD250" s="211">
        <f t="shared" si="167"/>
        <v>0</v>
      </c>
      <c r="AE250" s="211">
        <f t="shared" si="167"/>
        <v>0</v>
      </c>
      <c r="AF250" s="211">
        <f t="shared" si="167"/>
        <v>0</v>
      </c>
      <c r="AG250" s="211">
        <f t="shared" si="167"/>
        <v>0</v>
      </c>
      <c r="AH250" s="211">
        <f t="shared" si="167"/>
        <v>0</v>
      </c>
      <c r="AI250" s="211">
        <f t="shared" si="167"/>
        <v>0</v>
      </c>
      <c r="AJ250" s="211">
        <f t="shared" si="167"/>
        <v>0</v>
      </c>
      <c r="AK250" s="211">
        <f t="shared" si="167"/>
        <v>0</v>
      </c>
      <c r="AL250" s="211">
        <f t="shared" si="167"/>
        <v>0</v>
      </c>
      <c r="AM250" s="211">
        <f t="shared" si="167"/>
        <v>0</v>
      </c>
      <c r="AN250" s="211">
        <f t="shared" si="167"/>
        <v>0</v>
      </c>
      <c r="AO250" s="211"/>
    </row>
    <row r="251" spans="2:41" s="7" customFormat="1" ht="12" hidden="1" customHeight="1" outlineLevel="2">
      <c r="B251" s="245"/>
      <c r="C251" s="250" t="s">
        <v>777</v>
      </c>
      <c r="D251" s="250"/>
      <c r="E251" s="213"/>
      <c r="F251" s="213"/>
      <c r="G251" s="213"/>
      <c r="H251" s="213"/>
      <c r="I251" s="213"/>
      <c r="J251" s="213"/>
      <c r="K251" s="213"/>
      <c r="L251" s="213"/>
      <c r="M251" s="213"/>
      <c r="N251" s="213"/>
      <c r="O251" s="213"/>
      <c r="P251" s="213"/>
      <c r="Q251" s="213"/>
      <c r="R251" s="213"/>
      <c r="S251" s="213"/>
      <c r="T251" s="213"/>
      <c r="U251" s="213"/>
      <c r="V251" s="213"/>
      <c r="W251" s="213"/>
      <c r="X251" s="213"/>
      <c r="Y251" s="213"/>
      <c r="Z251" s="213"/>
      <c r="AA251" s="213"/>
      <c r="AB251" s="211"/>
      <c r="AC251" s="211">
        <f>INDEX($C$199:$AN$221,MATCH("New Customers One-Time",$C$199:$C$221,0),MATCH($C251,$C$199:$AN$199,0))</f>
        <v>41.875488000000004</v>
      </c>
      <c r="AD251" s="211">
        <f t="shared" ref="AD251:AK251" si="168">$AC$251*(E225)</f>
        <v>0</v>
      </c>
      <c r="AE251" s="211">
        <f t="shared" si="168"/>
        <v>0</v>
      </c>
      <c r="AF251" s="211">
        <f t="shared" si="168"/>
        <v>0</v>
      </c>
      <c r="AG251" s="211">
        <f t="shared" si="168"/>
        <v>0</v>
      </c>
      <c r="AH251" s="211">
        <f t="shared" si="168"/>
        <v>0</v>
      </c>
      <c r="AI251" s="211">
        <f t="shared" si="168"/>
        <v>0</v>
      </c>
      <c r="AJ251" s="211">
        <f t="shared" si="168"/>
        <v>0</v>
      </c>
      <c r="AK251" s="211">
        <f t="shared" si="168"/>
        <v>0</v>
      </c>
      <c r="AL251" s="211">
        <f>AK251*(M225)</f>
        <v>0</v>
      </c>
      <c r="AM251" s="211">
        <f>AL251*(N225)</f>
        <v>0</v>
      </c>
      <c r="AN251" s="211">
        <f>AM251*(O225)</f>
        <v>0</v>
      </c>
    </row>
    <row r="252" spans="2:41" s="7" customFormat="1" ht="12" hidden="1" customHeight="1" outlineLevel="2">
      <c r="B252" s="245"/>
      <c r="C252" s="250" t="s">
        <v>778</v>
      </c>
      <c r="D252" s="250"/>
      <c r="E252" s="213"/>
      <c r="F252" s="213"/>
      <c r="G252" s="213"/>
      <c r="H252" s="213"/>
      <c r="I252" s="213"/>
      <c r="J252" s="213"/>
      <c r="K252" s="213"/>
      <c r="L252" s="213"/>
      <c r="M252" s="213"/>
      <c r="N252" s="213"/>
      <c r="O252" s="213"/>
      <c r="P252" s="213"/>
      <c r="Q252" s="213"/>
      <c r="R252" s="213"/>
      <c r="S252" s="213"/>
      <c r="T252" s="213"/>
      <c r="U252" s="213"/>
      <c r="V252" s="213"/>
      <c r="W252" s="213"/>
      <c r="X252" s="213"/>
      <c r="Y252" s="213"/>
      <c r="Z252" s="213"/>
      <c r="AA252" s="213"/>
      <c r="AB252" s="211"/>
      <c r="AC252" s="211"/>
      <c r="AD252" s="211">
        <f>INDEX($C$199:$AN$221,MATCH("New Customers One-Time",$C$199:$C$221,0),MATCH($C252,$C$199:$AN$199,0))</f>
        <v>105.14145599999998</v>
      </c>
      <c r="AE252" s="211">
        <f t="shared" ref="AE252:AN252" si="169">$AD$252*(E225)</f>
        <v>0</v>
      </c>
      <c r="AF252" s="211">
        <f t="shared" si="169"/>
        <v>0</v>
      </c>
      <c r="AG252" s="211">
        <f t="shared" si="169"/>
        <v>0</v>
      </c>
      <c r="AH252" s="211">
        <f t="shared" si="169"/>
        <v>0</v>
      </c>
      <c r="AI252" s="211">
        <f t="shared" si="169"/>
        <v>0</v>
      </c>
      <c r="AJ252" s="211">
        <f t="shared" si="169"/>
        <v>0</v>
      </c>
      <c r="AK252" s="211">
        <f t="shared" si="169"/>
        <v>0</v>
      </c>
      <c r="AL252" s="211">
        <f t="shared" si="169"/>
        <v>0</v>
      </c>
      <c r="AM252" s="211">
        <f t="shared" si="169"/>
        <v>0</v>
      </c>
      <c r="AN252" s="211">
        <f t="shared" si="169"/>
        <v>0</v>
      </c>
    </row>
    <row r="253" spans="2:41" s="7" customFormat="1" ht="12" hidden="1" customHeight="1" outlineLevel="2">
      <c r="B253" s="245"/>
      <c r="C253" s="250" t="s">
        <v>779</v>
      </c>
      <c r="D253" s="250"/>
      <c r="E253" s="213"/>
      <c r="F253" s="213"/>
      <c r="G253" s="213"/>
      <c r="H253" s="213"/>
      <c r="I253" s="213"/>
      <c r="J253" s="213"/>
      <c r="K253" s="213"/>
      <c r="L253" s="213"/>
      <c r="M253" s="213"/>
      <c r="N253" s="213"/>
      <c r="O253" s="213"/>
      <c r="P253" s="213"/>
      <c r="Q253" s="213"/>
      <c r="R253" s="213"/>
      <c r="S253" s="213"/>
      <c r="T253" s="213"/>
      <c r="U253" s="213"/>
      <c r="V253" s="213"/>
      <c r="W253" s="213"/>
      <c r="X253" s="213"/>
      <c r="Y253" s="213"/>
      <c r="Z253" s="213"/>
      <c r="AA253" s="213"/>
      <c r="AB253" s="211"/>
      <c r="AC253" s="211"/>
      <c r="AD253" s="211"/>
      <c r="AE253" s="211">
        <f>INDEX($C$199:$AN$221,MATCH("New Customers One-Time",$C$199:$C$221,0),MATCH($C253,$C$199:$AN$199,0))</f>
        <v>82.733508000000029</v>
      </c>
      <c r="AF253" s="211">
        <f t="shared" ref="AF253:AN253" si="170">$AE$253*(E225)</f>
        <v>0</v>
      </c>
      <c r="AG253" s="211">
        <f t="shared" si="170"/>
        <v>0</v>
      </c>
      <c r="AH253" s="211">
        <f t="shared" si="170"/>
        <v>0</v>
      </c>
      <c r="AI253" s="211">
        <f t="shared" si="170"/>
        <v>0</v>
      </c>
      <c r="AJ253" s="211">
        <f t="shared" si="170"/>
        <v>0</v>
      </c>
      <c r="AK253" s="211">
        <f t="shared" si="170"/>
        <v>0</v>
      </c>
      <c r="AL253" s="211">
        <f t="shared" si="170"/>
        <v>0</v>
      </c>
      <c r="AM253" s="211">
        <f t="shared" si="170"/>
        <v>0</v>
      </c>
      <c r="AN253" s="211">
        <f t="shared" si="170"/>
        <v>0</v>
      </c>
    </row>
    <row r="254" spans="2:41" s="7" customFormat="1" ht="12" hidden="1" customHeight="1" outlineLevel="2">
      <c r="B254" s="245"/>
      <c r="C254" s="250" t="s">
        <v>780</v>
      </c>
      <c r="D254" s="250"/>
      <c r="E254" s="213"/>
      <c r="F254" s="213"/>
      <c r="G254" s="213"/>
      <c r="H254" s="213"/>
      <c r="I254" s="213"/>
      <c r="J254" s="213"/>
      <c r="K254" s="213"/>
      <c r="L254" s="213"/>
      <c r="M254" s="213"/>
      <c r="N254" s="213"/>
      <c r="O254" s="213"/>
      <c r="P254" s="213"/>
      <c r="Q254" s="213"/>
      <c r="R254" s="213"/>
      <c r="S254" s="213"/>
      <c r="T254" s="213"/>
      <c r="U254" s="213"/>
      <c r="V254" s="213"/>
      <c r="W254" s="213"/>
      <c r="X254" s="213"/>
      <c r="Y254" s="213"/>
      <c r="Z254" s="213"/>
      <c r="AA254" s="213"/>
      <c r="AB254" s="211"/>
      <c r="AC254" s="211"/>
      <c r="AD254" s="211"/>
      <c r="AE254" s="211"/>
      <c r="AF254" s="211">
        <f>INDEX($C$199:$AN$221,MATCH("New Customers One-Time",$C$199:$C$221,0),MATCH($C254,$C$199:$AN$199,0))</f>
        <v>52.121916000000006</v>
      </c>
      <c r="AG254" s="211">
        <f t="shared" ref="AG254:AN254" si="171">$AF$254*(E225)</f>
        <v>0</v>
      </c>
      <c r="AH254" s="211">
        <f t="shared" si="171"/>
        <v>0</v>
      </c>
      <c r="AI254" s="211">
        <f t="shared" si="171"/>
        <v>0</v>
      </c>
      <c r="AJ254" s="211">
        <f t="shared" si="171"/>
        <v>0</v>
      </c>
      <c r="AK254" s="211">
        <f t="shared" si="171"/>
        <v>0</v>
      </c>
      <c r="AL254" s="211">
        <f t="shared" si="171"/>
        <v>0</v>
      </c>
      <c r="AM254" s="211">
        <f t="shared" si="171"/>
        <v>0</v>
      </c>
      <c r="AN254" s="211">
        <f t="shared" si="171"/>
        <v>0</v>
      </c>
    </row>
    <row r="255" spans="2:41" s="7" customFormat="1" ht="12" hidden="1" customHeight="1" outlineLevel="2">
      <c r="B255" s="245"/>
      <c r="C255" s="250" t="s">
        <v>781</v>
      </c>
      <c r="D255" s="250"/>
      <c r="E255" s="213"/>
      <c r="F255" s="213"/>
      <c r="G255" s="213"/>
      <c r="H255" s="213"/>
      <c r="I255" s="213"/>
      <c r="J255" s="213"/>
      <c r="K255" s="213"/>
      <c r="L255" s="213"/>
      <c r="M255" s="213"/>
      <c r="N255" s="213"/>
      <c r="O255" s="213"/>
      <c r="P255" s="213"/>
      <c r="Q255" s="213"/>
      <c r="R255" s="213"/>
      <c r="S255" s="213"/>
      <c r="T255" s="213"/>
      <c r="U255" s="213"/>
      <c r="V255" s="213"/>
      <c r="W255" s="213"/>
      <c r="X255" s="213"/>
      <c r="Y255" s="213"/>
      <c r="Z255" s="213"/>
      <c r="AA255" s="213"/>
      <c r="AB255" s="211"/>
      <c r="AC255" s="211"/>
      <c r="AD255" s="211"/>
      <c r="AE255" s="211"/>
      <c r="AF255" s="211"/>
      <c r="AG255" s="211">
        <f>INDEX($C$199:$AN$221,MATCH("New Customers One-Time",$C$199:$C$221,0),MATCH($C255,$C$199:$AN$199,0))</f>
        <v>63.459450000000011</v>
      </c>
      <c r="AH255" s="211">
        <f t="shared" ref="AH255:AN255" si="172">$AG$255*(E225)</f>
        <v>0</v>
      </c>
      <c r="AI255" s="211">
        <f t="shared" si="172"/>
        <v>0</v>
      </c>
      <c r="AJ255" s="211">
        <f t="shared" si="172"/>
        <v>0</v>
      </c>
      <c r="AK255" s="211">
        <f t="shared" si="172"/>
        <v>0</v>
      </c>
      <c r="AL255" s="211">
        <f t="shared" si="172"/>
        <v>0</v>
      </c>
      <c r="AM255" s="211">
        <f t="shared" si="172"/>
        <v>0</v>
      </c>
      <c r="AN255" s="211">
        <f t="shared" si="172"/>
        <v>0</v>
      </c>
    </row>
    <row r="256" spans="2:41" s="7" customFormat="1" ht="12" hidden="1" customHeight="1" outlineLevel="2">
      <c r="B256" s="245"/>
      <c r="C256" s="250" t="s">
        <v>782</v>
      </c>
      <c r="D256" s="250"/>
      <c r="E256" s="213"/>
      <c r="F256" s="213"/>
      <c r="G256" s="213"/>
      <c r="H256" s="213"/>
      <c r="I256" s="213"/>
      <c r="J256" s="213"/>
      <c r="K256" s="213"/>
      <c r="L256" s="213"/>
      <c r="M256" s="213"/>
      <c r="N256" s="213"/>
      <c r="O256" s="213"/>
      <c r="P256" s="213"/>
      <c r="Q256" s="213"/>
      <c r="R256" s="213"/>
      <c r="S256" s="213"/>
      <c r="T256" s="213"/>
      <c r="U256" s="213"/>
      <c r="V256" s="213"/>
      <c r="W256" s="213"/>
      <c r="X256" s="213"/>
      <c r="Y256" s="213"/>
      <c r="Z256" s="213"/>
      <c r="AA256" s="213"/>
      <c r="AB256" s="211"/>
      <c r="AC256" s="211"/>
      <c r="AD256" s="211"/>
      <c r="AE256" s="211"/>
      <c r="AF256" s="211"/>
      <c r="AG256" s="211"/>
      <c r="AH256" s="211">
        <f>INDEX($C$199:$AN$221,MATCH("New Customers One-Time",$C$199:$C$221,0),MATCH($C256,$C$199:$AN$199,0))</f>
        <v>154.11465000000001</v>
      </c>
      <c r="AI256" s="211">
        <f t="shared" ref="AI256:AN256" si="173">$AH$256*(E225)</f>
        <v>0</v>
      </c>
      <c r="AJ256" s="211">
        <f t="shared" si="173"/>
        <v>0</v>
      </c>
      <c r="AK256" s="211">
        <f t="shared" si="173"/>
        <v>0</v>
      </c>
      <c r="AL256" s="211">
        <f t="shared" si="173"/>
        <v>0</v>
      </c>
      <c r="AM256" s="211">
        <f t="shared" si="173"/>
        <v>0</v>
      </c>
      <c r="AN256" s="211">
        <f t="shared" si="173"/>
        <v>0</v>
      </c>
    </row>
    <row r="257" spans="2:40" s="7" customFormat="1" ht="12" hidden="1" customHeight="1" outlineLevel="2">
      <c r="B257" s="245"/>
      <c r="C257" s="250" t="s">
        <v>783</v>
      </c>
      <c r="D257" s="250"/>
      <c r="E257" s="213"/>
      <c r="F257" s="213"/>
      <c r="G257" s="213"/>
      <c r="H257" s="213"/>
      <c r="I257" s="213"/>
      <c r="J257" s="213"/>
      <c r="K257" s="213"/>
      <c r="L257" s="213"/>
      <c r="M257" s="213"/>
      <c r="N257" s="213"/>
      <c r="O257" s="213"/>
      <c r="P257" s="213"/>
      <c r="Q257" s="213"/>
      <c r="R257" s="213"/>
      <c r="S257" s="213"/>
      <c r="T257" s="213"/>
      <c r="U257" s="213"/>
      <c r="V257" s="213"/>
      <c r="W257" s="213"/>
      <c r="X257" s="213"/>
      <c r="Y257" s="213"/>
      <c r="Z257" s="213"/>
      <c r="AA257" s="213"/>
      <c r="AB257" s="211"/>
      <c r="AC257" s="211"/>
      <c r="AD257" s="211"/>
      <c r="AE257" s="211"/>
      <c r="AF257" s="211"/>
      <c r="AG257" s="211"/>
      <c r="AH257" s="211"/>
      <c r="AI257" s="211">
        <f>INDEX($C$199:$AN$221,MATCH("New Customers One-Time",$C$199:$C$221,0),MATCH($C257,$C$199:$AN$199,0))</f>
        <v>28.344833999999995</v>
      </c>
      <c r="AJ257" s="211">
        <f>$AI$257*(E225)</f>
        <v>0</v>
      </c>
      <c r="AK257" s="211">
        <f>$AI$257*(F225)</f>
        <v>0</v>
      </c>
      <c r="AL257" s="211">
        <f>$AI$257*(G225)</f>
        <v>0</v>
      </c>
      <c r="AM257" s="211">
        <f>$AI$257*(H225)</f>
        <v>0</v>
      </c>
      <c r="AN257" s="211">
        <f>$AI$257*(I225)</f>
        <v>0</v>
      </c>
    </row>
    <row r="258" spans="2:40" s="7" customFormat="1" ht="12" hidden="1" customHeight="1" outlineLevel="2">
      <c r="B258" s="245"/>
      <c r="C258" s="250" t="s">
        <v>784</v>
      </c>
      <c r="D258" s="250"/>
      <c r="E258" s="213"/>
      <c r="F258" s="213"/>
      <c r="G258" s="213"/>
      <c r="H258" s="213"/>
      <c r="I258" s="213"/>
      <c r="J258" s="213"/>
      <c r="K258" s="213"/>
      <c r="L258" s="213"/>
      <c r="M258" s="213"/>
      <c r="N258" s="213"/>
      <c r="O258" s="213"/>
      <c r="P258" s="213"/>
      <c r="Q258" s="213"/>
      <c r="R258" s="213"/>
      <c r="S258" s="213"/>
      <c r="T258" s="213"/>
      <c r="U258" s="213"/>
      <c r="V258" s="213"/>
      <c r="W258" s="213"/>
      <c r="X258" s="213"/>
      <c r="Y258" s="213"/>
      <c r="Z258" s="213"/>
      <c r="AA258" s="213"/>
      <c r="AB258" s="211"/>
      <c r="AC258" s="211"/>
      <c r="AD258" s="211"/>
      <c r="AE258" s="211"/>
      <c r="AF258" s="211"/>
      <c r="AG258" s="211"/>
      <c r="AH258" s="211"/>
      <c r="AI258" s="211"/>
      <c r="AJ258" s="211">
        <f>INDEX($C$199:$AN$221,MATCH("New Customers One-Time",$C$199:$C$221,0),MATCH($C258,$C$199:$AN$199,0))</f>
        <v>52.857089999999999</v>
      </c>
      <c r="AK258" s="211">
        <f>$AJ$258*(E225)</f>
        <v>0</v>
      </c>
      <c r="AL258" s="211">
        <f>$AJ$258*(F225)</f>
        <v>0</v>
      </c>
      <c r="AM258" s="211">
        <f>$AJ$258*(G225)</f>
        <v>0</v>
      </c>
      <c r="AN258" s="211">
        <f>$AJ$258*(H225)</f>
        <v>0</v>
      </c>
    </row>
    <row r="259" spans="2:40" s="7" customFormat="1" ht="12" hidden="1" customHeight="1" outlineLevel="2">
      <c r="B259" s="245"/>
      <c r="C259" s="250" t="s">
        <v>785</v>
      </c>
      <c r="D259" s="250"/>
      <c r="E259" s="213"/>
      <c r="F259" s="213"/>
      <c r="G259" s="213"/>
      <c r="H259" s="213"/>
      <c r="I259" s="213"/>
      <c r="J259" s="213"/>
      <c r="K259" s="213"/>
      <c r="L259" s="213"/>
      <c r="M259" s="213"/>
      <c r="N259" s="213"/>
      <c r="O259" s="213"/>
      <c r="P259" s="213"/>
      <c r="Q259" s="213"/>
      <c r="R259" s="213"/>
      <c r="S259" s="213"/>
      <c r="T259" s="213"/>
      <c r="U259" s="213"/>
      <c r="V259" s="213"/>
      <c r="W259" s="213"/>
      <c r="X259" s="213"/>
      <c r="Y259" s="213"/>
      <c r="Z259" s="213"/>
      <c r="AA259" s="213"/>
      <c r="AB259" s="211"/>
      <c r="AC259" s="211"/>
      <c r="AD259" s="211"/>
      <c r="AE259" s="211"/>
      <c r="AF259" s="211"/>
      <c r="AG259" s="211"/>
      <c r="AH259" s="211"/>
      <c r="AI259" s="211"/>
      <c r="AJ259" s="211"/>
      <c r="AK259" s="211">
        <f>INDEX($C$199:$AN$221,MATCH("New Customers One-Time",$C$199:$C$221,0),MATCH($C259,$C$199:$AN$199,0))</f>
        <v>182.52</v>
      </c>
      <c r="AL259" s="211">
        <f>$AK$259*(E225)</f>
        <v>0</v>
      </c>
      <c r="AM259" s="211">
        <f>$AK$259*(F225)</f>
        <v>0</v>
      </c>
      <c r="AN259" s="211">
        <f>$AK$259*(G225)</f>
        <v>0</v>
      </c>
    </row>
    <row r="260" spans="2:40" s="7" customFormat="1" ht="12" hidden="1" customHeight="1" outlineLevel="2">
      <c r="B260" s="245"/>
      <c r="C260" s="250" t="s">
        <v>786</v>
      </c>
      <c r="D260" s="250"/>
      <c r="E260" s="213"/>
      <c r="F260" s="213"/>
      <c r="G260" s="213"/>
      <c r="H260" s="213"/>
      <c r="I260" s="213"/>
      <c r="J260" s="213"/>
      <c r="K260" s="213"/>
      <c r="L260" s="213"/>
      <c r="M260" s="213"/>
      <c r="N260" s="213"/>
      <c r="O260" s="213"/>
      <c r="P260" s="213"/>
      <c r="Q260" s="213"/>
      <c r="R260" s="213"/>
      <c r="S260" s="213"/>
      <c r="T260" s="213"/>
      <c r="U260" s="213"/>
      <c r="V260" s="213"/>
      <c r="W260" s="213"/>
      <c r="X260" s="213"/>
      <c r="Y260" s="213"/>
      <c r="Z260" s="213"/>
      <c r="AA260" s="213"/>
      <c r="AB260" s="211"/>
      <c r="AC260" s="211"/>
      <c r="AD260" s="211"/>
      <c r="AE260" s="211"/>
      <c r="AF260" s="211"/>
      <c r="AG260" s="211"/>
      <c r="AH260" s="211"/>
      <c r="AI260" s="211"/>
      <c r="AJ260" s="211"/>
      <c r="AK260" s="211"/>
      <c r="AL260" s="211">
        <f>INDEX($C$199:$AN$221,MATCH("New Customers One-Time",$C$199:$C$221,0),MATCH($C260,$C$199:$AN$199,0))</f>
        <v>155.52000000000001</v>
      </c>
      <c r="AM260" s="211">
        <f>$AL$260*(E225)</f>
        <v>0</v>
      </c>
      <c r="AN260" s="211">
        <f>$AL$260*(F225)</f>
        <v>0</v>
      </c>
    </row>
    <row r="261" spans="2:40" s="7" customFormat="1" ht="12" hidden="1" customHeight="1" outlineLevel="2">
      <c r="B261" s="245"/>
      <c r="C261" s="250" t="s">
        <v>787</v>
      </c>
      <c r="D261" s="250"/>
      <c r="E261" s="213"/>
      <c r="F261" s="213"/>
      <c r="G261" s="213"/>
      <c r="H261" s="213"/>
      <c r="I261" s="213"/>
      <c r="J261" s="213"/>
      <c r="K261" s="213"/>
      <c r="L261" s="213"/>
      <c r="M261" s="213"/>
      <c r="N261" s="213"/>
      <c r="O261" s="213"/>
      <c r="P261" s="213"/>
      <c r="Q261" s="213"/>
      <c r="R261" s="213"/>
      <c r="S261" s="213"/>
      <c r="T261" s="213"/>
      <c r="U261" s="213"/>
      <c r="V261" s="213"/>
      <c r="W261" s="213"/>
      <c r="X261" s="213"/>
      <c r="Y261" s="213"/>
      <c r="Z261" s="213"/>
      <c r="AA261" s="213"/>
      <c r="AB261" s="211"/>
      <c r="AC261" s="211"/>
      <c r="AD261" s="211"/>
      <c r="AE261" s="211"/>
      <c r="AF261" s="211"/>
      <c r="AG261" s="211"/>
      <c r="AH261" s="211"/>
      <c r="AI261" s="211"/>
      <c r="AJ261" s="211"/>
      <c r="AK261" s="211"/>
      <c r="AL261" s="211"/>
      <c r="AM261" s="211">
        <f>INDEX($C$199:$AN$221,MATCH("New Customers One-Time",$C$199:$C$221,0),MATCH($C261,$C$199:$AN$199,0))</f>
        <v>30.240000000000002</v>
      </c>
      <c r="AN261" s="211">
        <f>$AM$261*(E225)</f>
        <v>0</v>
      </c>
    </row>
    <row r="262" spans="2:40" s="7" customFormat="1" ht="12" hidden="1" customHeight="1" outlineLevel="2">
      <c r="B262" s="245"/>
      <c r="C262" s="250" t="s">
        <v>788</v>
      </c>
      <c r="D262" s="250"/>
      <c r="E262" s="213"/>
      <c r="F262" s="213"/>
      <c r="G262" s="213"/>
      <c r="H262" s="213"/>
      <c r="I262" s="213"/>
      <c r="J262" s="213"/>
      <c r="K262" s="213"/>
      <c r="L262" s="213"/>
      <c r="M262" s="213"/>
      <c r="N262" s="213"/>
      <c r="O262" s="213"/>
      <c r="P262" s="213"/>
      <c r="Q262" s="213"/>
      <c r="R262" s="213"/>
      <c r="S262" s="213"/>
      <c r="T262" s="213"/>
      <c r="U262" s="213"/>
      <c r="V262" s="213"/>
      <c r="W262" s="213"/>
      <c r="X262" s="213"/>
      <c r="Y262" s="213"/>
      <c r="Z262" s="213"/>
      <c r="AA262" s="213"/>
      <c r="AB262" s="211"/>
      <c r="AC262" s="211"/>
      <c r="AD262" s="211"/>
      <c r="AE262" s="211"/>
      <c r="AF262" s="211"/>
      <c r="AG262" s="211"/>
      <c r="AH262" s="211"/>
      <c r="AI262" s="211"/>
      <c r="AJ262" s="211"/>
      <c r="AK262" s="211"/>
      <c r="AL262" s="211"/>
      <c r="AM262" s="211"/>
      <c r="AN262" s="211">
        <f>INDEX($C$199:$AN$221,MATCH("New Customers One-Time",$C$199:$C$221,0),MATCH($C262,$C$199:$AN$199,0))</f>
        <v>43.2</v>
      </c>
    </row>
    <row r="263" spans="2:40" s="7" customFormat="1" ht="12" hidden="1" customHeight="1" outlineLevel="2">
      <c r="B263" s="245"/>
      <c r="C263" s="250"/>
      <c r="D263" s="250"/>
      <c r="E263" s="213"/>
      <c r="F263" s="213"/>
      <c r="G263" s="213"/>
      <c r="H263" s="213"/>
      <c r="I263" s="213"/>
      <c r="J263" s="213"/>
      <c r="K263" s="213"/>
      <c r="L263" s="213"/>
      <c r="M263" s="213"/>
      <c r="N263" s="213"/>
      <c r="O263" s="213"/>
      <c r="P263" s="213"/>
      <c r="Q263" s="213"/>
      <c r="R263" s="213"/>
      <c r="S263" s="213"/>
      <c r="T263" s="213"/>
      <c r="U263" s="213"/>
      <c r="V263" s="213"/>
      <c r="W263" s="213"/>
      <c r="X263" s="213"/>
      <c r="Y263" s="213"/>
      <c r="Z263" s="213"/>
      <c r="AA263" s="213"/>
      <c r="AB263" s="211"/>
      <c r="AC263" s="211"/>
      <c r="AD263" s="211"/>
      <c r="AE263" s="211"/>
      <c r="AF263" s="211"/>
      <c r="AG263" s="211"/>
      <c r="AH263" s="211"/>
      <c r="AI263" s="211"/>
      <c r="AJ263" s="211"/>
      <c r="AK263" s="211"/>
      <c r="AL263" s="211"/>
      <c r="AM263" s="211"/>
      <c r="AN263" s="211"/>
    </row>
    <row r="264" spans="2:40" s="7" customFormat="1" ht="12" hidden="1" customHeight="1" outlineLevel="2">
      <c r="B264" s="245"/>
      <c r="C264" s="249" t="s">
        <v>853</v>
      </c>
      <c r="D264" s="250"/>
      <c r="E264" s="213"/>
      <c r="F264" s="213"/>
      <c r="G264" s="213"/>
      <c r="H264" s="213"/>
      <c r="I264" s="213"/>
      <c r="J264" s="213"/>
      <c r="K264" s="213"/>
      <c r="L264" s="213"/>
      <c r="M264" s="213"/>
      <c r="N264" s="213"/>
      <c r="O264" s="213"/>
      <c r="P264" s="213"/>
      <c r="Q264" s="213"/>
      <c r="R264" s="213"/>
      <c r="S264" s="213"/>
      <c r="T264" s="213"/>
      <c r="U264" s="213"/>
      <c r="V264" s="213"/>
      <c r="W264" s="213"/>
      <c r="X264" s="213"/>
      <c r="Y264" s="213"/>
      <c r="Z264" s="213"/>
      <c r="AA264" s="213"/>
      <c r="AB264" s="213"/>
      <c r="AC264" s="211"/>
    </row>
    <row r="265" spans="2:40" s="7" customFormat="1" ht="12" hidden="1" customHeight="1" outlineLevel="2">
      <c r="B265" s="239"/>
      <c r="C265" s="212" t="s">
        <v>850</v>
      </c>
      <c r="D265" s="212"/>
      <c r="E265" s="196" t="s">
        <v>753</v>
      </c>
      <c r="F265" s="196" t="s">
        <v>754</v>
      </c>
      <c r="G265" s="196" t="s">
        <v>755</v>
      </c>
      <c r="H265" s="196" t="s">
        <v>756</v>
      </c>
      <c r="I265" s="196" t="s">
        <v>757</v>
      </c>
      <c r="J265" s="196" t="s">
        <v>758</v>
      </c>
      <c r="K265" s="196" t="s">
        <v>759</v>
      </c>
      <c r="L265" s="196" t="s">
        <v>760</v>
      </c>
      <c r="M265" s="196" t="s">
        <v>761</v>
      </c>
      <c r="N265" s="196" t="s">
        <v>762</v>
      </c>
      <c r="O265" s="196" t="s">
        <v>763</v>
      </c>
      <c r="P265" s="196" t="s">
        <v>764</v>
      </c>
      <c r="Q265" s="196" t="s">
        <v>765</v>
      </c>
      <c r="R265" s="196" t="s">
        <v>766</v>
      </c>
      <c r="S265" s="196" t="s">
        <v>767</v>
      </c>
      <c r="T265" s="196" t="s">
        <v>768</v>
      </c>
      <c r="U265" s="196" t="s">
        <v>769</v>
      </c>
      <c r="V265" s="196" t="s">
        <v>770</v>
      </c>
      <c r="W265" s="196" t="s">
        <v>771</v>
      </c>
      <c r="X265" s="196" t="s">
        <v>772</v>
      </c>
      <c r="Y265" s="196" t="s">
        <v>773</v>
      </c>
      <c r="Z265" s="196" t="s">
        <v>774</v>
      </c>
      <c r="AA265" s="196" t="s">
        <v>775</v>
      </c>
      <c r="AB265" s="196" t="s">
        <v>776</v>
      </c>
      <c r="AC265" s="196" t="s">
        <v>777</v>
      </c>
      <c r="AD265" s="196" t="s">
        <v>778</v>
      </c>
      <c r="AE265" s="196" t="s">
        <v>779</v>
      </c>
      <c r="AF265" s="196" t="s">
        <v>780</v>
      </c>
      <c r="AG265" s="196" t="s">
        <v>781</v>
      </c>
      <c r="AH265" s="196" t="s">
        <v>782</v>
      </c>
      <c r="AI265" s="196" t="s">
        <v>783</v>
      </c>
      <c r="AJ265" s="196" t="s">
        <v>784</v>
      </c>
      <c r="AK265" s="196" t="s">
        <v>785</v>
      </c>
      <c r="AL265" s="196" t="s">
        <v>786</v>
      </c>
      <c r="AM265" s="196" t="s">
        <v>787</v>
      </c>
      <c r="AN265" s="196" t="s">
        <v>788</v>
      </c>
    </row>
    <row r="266" spans="2:40" s="7" customFormat="1" ht="12" hidden="1" customHeight="1" outlineLevel="2">
      <c r="B266" s="239"/>
      <c r="C266" s="247" t="s">
        <v>851</v>
      </c>
      <c r="D266" s="212"/>
      <c r="E266" s="345">
        <v>7.0000000000000007E-2</v>
      </c>
      <c r="F266" s="345">
        <v>7.0000000000000007E-2</v>
      </c>
      <c r="G266" s="345">
        <v>7.0000000000000007E-2</v>
      </c>
      <c r="H266" s="345">
        <v>0.06</v>
      </c>
      <c r="I266" s="345">
        <v>0.06</v>
      </c>
      <c r="J266" s="345">
        <v>0.06</v>
      </c>
      <c r="K266" s="345">
        <v>0.05</v>
      </c>
      <c r="L266" s="345">
        <v>0.05</v>
      </c>
      <c r="M266" s="345">
        <v>0.05</v>
      </c>
      <c r="N266" s="345">
        <v>0.04</v>
      </c>
      <c r="O266" s="345">
        <v>0.04</v>
      </c>
      <c r="P266" s="345">
        <v>0.04</v>
      </c>
      <c r="Q266" s="345">
        <v>0.03</v>
      </c>
      <c r="R266" s="345">
        <v>0.03</v>
      </c>
      <c r="S266" s="345">
        <v>0.03</v>
      </c>
      <c r="T266" s="345">
        <v>0.02</v>
      </c>
      <c r="U266" s="345">
        <v>0.02</v>
      </c>
      <c r="V266" s="345">
        <v>0.02</v>
      </c>
      <c r="W266" s="345">
        <v>0.01</v>
      </c>
      <c r="X266" s="345">
        <v>0.01</v>
      </c>
      <c r="Y266" s="345">
        <v>0.01</v>
      </c>
      <c r="Z266" s="345">
        <v>0.01</v>
      </c>
      <c r="AA266" s="345">
        <v>0.01</v>
      </c>
      <c r="AB266" s="345">
        <v>0.01</v>
      </c>
      <c r="AC266" s="345">
        <v>0.01</v>
      </c>
      <c r="AD266" s="345">
        <f t="shared" ref="AD266:AN266" si="174">AC266</f>
        <v>0.01</v>
      </c>
      <c r="AE266" s="345">
        <f t="shared" si="174"/>
        <v>0.01</v>
      </c>
      <c r="AF266" s="345">
        <f t="shared" si="174"/>
        <v>0.01</v>
      </c>
      <c r="AG266" s="345">
        <f t="shared" si="174"/>
        <v>0.01</v>
      </c>
      <c r="AH266" s="345">
        <f t="shared" si="174"/>
        <v>0.01</v>
      </c>
      <c r="AI266" s="345">
        <f t="shared" si="174"/>
        <v>0.01</v>
      </c>
      <c r="AJ266" s="345">
        <f t="shared" si="174"/>
        <v>0.01</v>
      </c>
      <c r="AK266" s="345">
        <f t="shared" si="174"/>
        <v>0.01</v>
      </c>
      <c r="AL266" s="345">
        <f t="shared" si="174"/>
        <v>0.01</v>
      </c>
      <c r="AM266" s="345">
        <f t="shared" si="174"/>
        <v>0.01</v>
      </c>
      <c r="AN266" s="345">
        <f t="shared" si="174"/>
        <v>0.01</v>
      </c>
    </row>
    <row r="267" spans="2:40" s="7" customFormat="1" ht="12" hidden="1" customHeight="1" outlineLevel="2">
      <c r="B267" s="239"/>
      <c r="C267" s="212" t="s">
        <v>861</v>
      </c>
      <c r="D267" s="212"/>
      <c r="E267" s="211"/>
      <c r="F267" s="211"/>
      <c r="G267" s="211"/>
      <c r="H267" s="211"/>
      <c r="I267" s="211"/>
      <c r="J267" s="211"/>
      <c r="K267" s="211"/>
      <c r="L267" s="211"/>
      <c r="M267" s="211"/>
      <c r="N267" s="211"/>
      <c r="O267" s="211"/>
      <c r="P267" s="211"/>
      <c r="Q267" s="211"/>
      <c r="R267" s="211"/>
      <c r="S267" s="211"/>
      <c r="T267" s="211"/>
      <c r="U267" s="211"/>
      <c r="V267" s="211"/>
      <c r="W267" s="211"/>
      <c r="X267" s="211"/>
      <c r="Y267" s="211"/>
      <c r="Z267" s="211"/>
      <c r="AA267" s="211"/>
      <c r="AB267" s="211"/>
      <c r="AC267" s="211"/>
      <c r="AD267" s="211"/>
      <c r="AE267" s="211"/>
      <c r="AF267" s="211"/>
      <c r="AG267" s="211"/>
      <c r="AH267" s="211"/>
      <c r="AI267" s="211"/>
      <c r="AJ267" s="211"/>
      <c r="AK267" s="211"/>
      <c r="AL267" s="211"/>
      <c r="AM267" s="211"/>
      <c r="AN267" s="211"/>
    </row>
    <row r="268" spans="2:40" s="7" customFormat="1" ht="12" hidden="1" customHeight="1" outlineLevel="2">
      <c r="B268" s="245"/>
      <c r="C268" s="250" t="s">
        <v>753</v>
      </c>
      <c r="D268" s="250"/>
      <c r="E268" s="211">
        <f>INDEX($C$199:$AN$221,MATCH("New Customers 1MS",$C$199:$C$221,0),MATCH($C268,$C$199:$AN$199,0))</f>
        <v>0</v>
      </c>
      <c r="F268" s="211">
        <f>$E$268*(1-E266)</f>
        <v>0</v>
      </c>
      <c r="G268" s="211">
        <f t="shared" ref="G268:AN268" si="175">$E$268*(1-F266)</f>
        <v>0</v>
      </c>
      <c r="H268" s="211">
        <f t="shared" si="175"/>
        <v>0</v>
      </c>
      <c r="I268" s="211">
        <f t="shared" si="175"/>
        <v>0</v>
      </c>
      <c r="J268" s="211">
        <f t="shared" si="175"/>
        <v>0</v>
      </c>
      <c r="K268" s="211">
        <f t="shared" si="175"/>
        <v>0</v>
      </c>
      <c r="L268" s="211">
        <f t="shared" si="175"/>
        <v>0</v>
      </c>
      <c r="M268" s="211">
        <f t="shared" si="175"/>
        <v>0</v>
      </c>
      <c r="N268" s="211">
        <f t="shared" si="175"/>
        <v>0</v>
      </c>
      <c r="O268" s="211">
        <f t="shared" si="175"/>
        <v>0</v>
      </c>
      <c r="P268" s="211">
        <f t="shared" si="175"/>
        <v>0</v>
      </c>
      <c r="Q268" s="211">
        <f t="shared" si="175"/>
        <v>0</v>
      </c>
      <c r="R268" s="211">
        <f t="shared" si="175"/>
        <v>0</v>
      </c>
      <c r="S268" s="211">
        <f t="shared" si="175"/>
        <v>0</v>
      </c>
      <c r="T268" s="211">
        <f t="shared" si="175"/>
        <v>0</v>
      </c>
      <c r="U268" s="211">
        <f t="shared" si="175"/>
        <v>0</v>
      </c>
      <c r="V268" s="211">
        <f t="shared" si="175"/>
        <v>0</v>
      </c>
      <c r="W268" s="211">
        <f t="shared" si="175"/>
        <v>0</v>
      </c>
      <c r="X268" s="211">
        <f t="shared" si="175"/>
        <v>0</v>
      </c>
      <c r="Y268" s="211">
        <f t="shared" si="175"/>
        <v>0</v>
      </c>
      <c r="Z268" s="211">
        <f t="shared" si="175"/>
        <v>0</v>
      </c>
      <c r="AA268" s="211">
        <f t="shared" si="175"/>
        <v>0</v>
      </c>
      <c r="AB268" s="211">
        <f t="shared" si="175"/>
        <v>0</v>
      </c>
      <c r="AC268" s="211">
        <f t="shared" si="175"/>
        <v>0</v>
      </c>
      <c r="AD268" s="211">
        <f t="shared" si="175"/>
        <v>0</v>
      </c>
      <c r="AE268" s="211">
        <f t="shared" si="175"/>
        <v>0</v>
      </c>
      <c r="AF268" s="211">
        <f t="shared" si="175"/>
        <v>0</v>
      </c>
      <c r="AG268" s="211">
        <f t="shared" si="175"/>
        <v>0</v>
      </c>
      <c r="AH268" s="211">
        <f t="shared" si="175"/>
        <v>0</v>
      </c>
      <c r="AI268" s="211">
        <f t="shared" si="175"/>
        <v>0</v>
      </c>
      <c r="AJ268" s="211">
        <f t="shared" si="175"/>
        <v>0</v>
      </c>
      <c r="AK268" s="211">
        <f t="shared" si="175"/>
        <v>0</v>
      </c>
      <c r="AL268" s="211">
        <f t="shared" si="175"/>
        <v>0</v>
      </c>
      <c r="AM268" s="211">
        <f t="shared" si="175"/>
        <v>0</v>
      </c>
      <c r="AN268" s="211">
        <f t="shared" si="175"/>
        <v>0</v>
      </c>
    </row>
    <row r="269" spans="2:40" s="7" customFormat="1" ht="12" hidden="1" customHeight="1" outlineLevel="2">
      <c r="B269" s="245"/>
      <c r="C269" s="250" t="s">
        <v>754</v>
      </c>
      <c r="D269" s="250"/>
      <c r="E269" s="213"/>
      <c r="F269" s="211">
        <f>INDEX($C$199:$AN$221,MATCH("New Customers 1MS",$C$199:$C$221,0),MATCH($C269,$C$199:$AN$199,0))</f>
        <v>1.0000000000000011</v>
      </c>
      <c r="G269" s="211">
        <f t="shared" ref="G269:AN269" si="176">$F$269*(E266)</f>
        <v>7.000000000000009E-2</v>
      </c>
      <c r="H269" s="211">
        <f t="shared" si="176"/>
        <v>7.000000000000009E-2</v>
      </c>
      <c r="I269" s="211">
        <f t="shared" si="176"/>
        <v>7.000000000000009E-2</v>
      </c>
      <c r="J269" s="211">
        <f t="shared" si="176"/>
        <v>6.0000000000000067E-2</v>
      </c>
      <c r="K269" s="211">
        <f t="shared" si="176"/>
        <v>6.0000000000000067E-2</v>
      </c>
      <c r="L269" s="211">
        <f t="shared" si="176"/>
        <v>6.0000000000000067E-2</v>
      </c>
      <c r="M269" s="211">
        <f t="shared" si="176"/>
        <v>5.0000000000000058E-2</v>
      </c>
      <c r="N269" s="211">
        <f t="shared" si="176"/>
        <v>5.0000000000000058E-2</v>
      </c>
      <c r="O269" s="211">
        <f t="shared" si="176"/>
        <v>5.0000000000000058E-2</v>
      </c>
      <c r="P269" s="211">
        <f t="shared" si="176"/>
        <v>4.0000000000000042E-2</v>
      </c>
      <c r="Q269" s="211">
        <f t="shared" si="176"/>
        <v>4.0000000000000042E-2</v>
      </c>
      <c r="R269" s="211">
        <f t="shared" si="176"/>
        <v>4.0000000000000042E-2</v>
      </c>
      <c r="S269" s="211">
        <f t="shared" si="176"/>
        <v>3.0000000000000034E-2</v>
      </c>
      <c r="T269" s="211">
        <f t="shared" si="176"/>
        <v>3.0000000000000034E-2</v>
      </c>
      <c r="U269" s="211">
        <f t="shared" si="176"/>
        <v>3.0000000000000034E-2</v>
      </c>
      <c r="V269" s="211">
        <f t="shared" si="176"/>
        <v>2.0000000000000021E-2</v>
      </c>
      <c r="W269" s="211">
        <f t="shared" si="176"/>
        <v>2.0000000000000021E-2</v>
      </c>
      <c r="X269" s="211">
        <f t="shared" si="176"/>
        <v>2.0000000000000021E-2</v>
      </c>
      <c r="Y269" s="211">
        <f t="shared" si="176"/>
        <v>1.0000000000000011E-2</v>
      </c>
      <c r="Z269" s="211">
        <f t="shared" si="176"/>
        <v>1.0000000000000011E-2</v>
      </c>
      <c r="AA269" s="211">
        <f t="shared" si="176"/>
        <v>1.0000000000000011E-2</v>
      </c>
      <c r="AB269" s="211">
        <f t="shared" si="176"/>
        <v>1.0000000000000011E-2</v>
      </c>
      <c r="AC269" s="211">
        <f t="shared" si="176"/>
        <v>1.0000000000000011E-2</v>
      </c>
      <c r="AD269" s="211">
        <f t="shared" si="176"/>
        <v>1.0000000000000011E-2</v>
      </c>
      <c r="AE269" s="211">
        <f t="shared" si="176"/>
        <v>1.0000000000000011E-2</v>
      </c>
      <c r="AF269" s="211">
        <f t="shared" si="176"/>
        <v>1.0000000000000011E-2</v>
      </c>
      <c r="AG269" s="211">
        <f t="shared" si="176"/>
        <v>1.0000000000000011E-2</v>
      </c>
      <c r="AH269" s="211">
        <f t="shared" si="176"/>
        <v>1.0000000000000011E-2</v>
      </c>
      <c r="AI269" s="211">
        <f t="shared" si="176"/>
        <v>1.0000000000000011E-2</v>
      </c>
      <c r="AJ269" s="211">
        <f t="shared" si="176"/>
        <v>1.0000000000000011E-2</v>
      </c>
      <c r="AK269" s="211">
        <f t="shared" si="176"/>
        <v>1.0000000000000011E-2</v>
      </c>
      <c r="AL269" s="211">
        <f t="shared" si="176"/>
        <v>1.0000000000000011E-2</v>
      </c>
      <c r="AM269" s="211">
        <f t="shared" si="176"/>
        <v>1.0000000000000011E-2</v>
      </c>
      <c r="AN269" s="211">
        <f t="shared" si="176"/>
        <v>1.0000000000000011E-2</v>
      </c>
    </row>
    <row r="270" spans="2:40" s="7" customFormat="1" ht="12" hidden="1" customHeight="1" outlineLevel="2">
      <c r="B270" s="245"/>
      <c r="C270" s="250" t="s">
        <v>755</v>
      </c>
      <c r="D270" s="250"/>
      <c r="E270" s="213"/>
      <c r="F270" s="213"/>
      <c r="G270" s="211">
        <f>INDEX($C$199:$AN$221,MATCH("New Customers 1MS",$C$199:$C$221,0),MATCH($C270,$C$199:$AN$199,0))</f>
        <v>0</v>
      </c>
      <c r="H270" s="211">
        <f t="shared" ref="H270:AN270" si="177">$G$270*(E266)</f>
        <v>0</v>
      </c>
      <c r="I270" s="211">
        <f t="shared" si="177"/>
        <v>0</v>
      </c>
      <c r="J270" s="211">
        <f t="shared" si="177"/>
        <v>0</v>
      </c>
      <c r="K270" s="211">
        <f t="shared" si="177"/>
        <v>0</v>
      </c>
      <c r="L270" s="211">
        <f t="shared" si="177"/>
        <v>0</v>
      </c>
      <c r="M270" s="211">
        <f t="shared" si="177"/>
        <v>0</v>
      </c>
      <c r="N270" s="211">
        <f t="shared" si="177"/>
        <v>0</v>
      </c>
      <c r="O270" s="211">
        <f t="shared" si="177"/>
        <v>0</v>
      </c>
      <c r="P270" s="211">
        <f t="shared" si="177"/>
        <v>0</v>
      </c>
      <c r="Q270" s="211">
        <f t="shared" si="177"/>
        <v>0</v>
      </c>
      <c r="R270" s="211">
        <f t="shared" si="177"/>
        <v>0</v>
      </c>
      <c r="S270" s="211">
        <f t="shared" si="177"/>
        <v>0</v>
      </c>
      <c r="T270" s="211">
        <f t="shared" si="177"/>
        <v>0</v>
      </c>
      <c r="U270" s="211">
        <f t="shared" si="177"/>
        <v>0</v>
      </c>
      <c r="V270" s="211">
        <f t="shared" si="177"/>
        <v>0</v>
      </c>
      <c r="W270" s="211">
        <f t="shared" si="177"/>
        <v>0</v>
      </c>
      <c r="X270" s="211">
        <f t="shared" si="177"/>
        <v>0</v>
      </c>
      <c r="Y270" s="211">
        <f t="shared" si="177"/>
        <v>0</v>
      </c>
      <c r="Z270" s="211">
        <f t="shared" si="177"/>
        <v>0</v>
      </c>
      <c r="AA270" s="211">
        <f t="shared" si="177"/>
        <v>0</v>
      </c>
      <c r="AB270" s="211">
        <f t="shared" si="177"/>
        <v>0</v>
      </c>
      <c r="AC270" s="211">
        <f t="shared" si="177"/>
        <v>0</v>
      </c>
      <c r="AD270" s="211">
        <f t="shared" si="177"/>
        <v>0</v>
      </c>
      <c r="AE270" s="211">
        <f t="shared" si="177"/>
        <v>0</v>
      </c>
      <c r="AF270" s="211">
        <f t="shared" si="177"/>
        <v>0</v>
      </c>
      <c r="AG270" s="211">
        <f t="shared" si="177"/>
        <v>0</v>
      </c>
      <c r="AH270" s="211">
        <f t="shared" si="177"/>
        <v>0</v>
      </c>
      <c r="AI270" s="211">
        <f t="shared" si="177"/>
        <v>0</v>
      </c>
      <c r="AJ270" s="211">
        <f t="shared" si="177"/>
        <v>0</v>
      </c>
      <c r="AK270" s="211">
        <f t="shared" si="177"/>
        <v>0</v>
      </c>
      <c r="AL270" s="211">
        <f t="shared" si="177"/>
        <v>0</v>
      </c>
      <c r="AM270" s="211">
        <f t="shared" si="177"/>
        <v>0</v>
      </c>
      <c r="AN270" s="211">
        <f t="shared" si="177"/>
        <v>0</v>
      </c>
    </row>
    <row r="271" spans="2:40" s="7" customFormat="1" ht="12" hidden="1" customHeight="1" outlineLevel="2">
      <c r="B271" s="245"/>
      <c r="C271" s="250" t="s">
        <v>756</v>
      </c>
      <c r="D271" s="250"/>
      <c r="E271" s="213"/>
      <c r="F271" s="213"/>
      <c r="G271" s="213"/>
      <c r="H271" s="211">
        <f>INDEX($C$199:$AN$221,MATCH("New Customers 1MS",$C$199:$C$221,0),MATCH($C271,$C$199:$AN$199,0))</f>
        <v>0</v>
      </c>
      <c r="I271" s="211">
        <f t="shared" ref="I271:AN271" si="178">$H$271*(E266)</f>
        <v>0</v>
      </c>
      <c r="J271" s="211">
        <f t="shared" si="178"/>
        <v>0</v>
      </c>
      <c r="K271" s="211">
        <f t="shared" si="178"/>
        <v>0</v>
      </c>
      <c r="L271" s="211">
        <f t="shared" si="178"/>
        <v>0</v>
      </c>
      <c r="M271" s="211">
        <f t="shared" si="178"/>
        <v>0</v>
      </c>
      <c r="N271" s="211">
        <f t="shared" si="178"/>
        <v>0</v>
      </c>
      <c r="O271" s="211">
        <f t="shared" si="178"/>
        <v>0</v>
      </c>
      <c r="P271" s="211">
        <f t="shared" si="178"/>
        <v>0</v>
      </c>
      <c r="Q271" s="211">
        <f t="shared" si="178"/>
        <v>0</v>
      </c>
      <c r="R271" s="211">
        <f t="shared" si="178"/>
        <v>0</v>
      </c>
      <c r="S271" s="211">
        <f t="shared" si="178"/>
        <v>0</v>
      </c>
      <c r="T271" s="211">
        <f t="shared" si="178"/>
        <v>0</v>
      </c>
      <c r="U271" s="211">
        <f t="shared" si="178"/>
        <v>0</v>
      </c>
      <c r="V271" s="211">
        <f t="shared" si="178"/>
        <v>0</v>
      </c>
      <c r="W271" s="211">
        <f t="shared" si="178"/>
        <v>0</v>
      </c>
      <c r="X271" s="211">
        <f t="shared" si="178"/>
        <v>0</v>
      </c>
      <c r="Y271" s="211">
        <f t="shared" si="178"/>
        <v>0</v>
      </c>
      <c r="Z271" s="211">
        <f t="shared" si="178"/>
        <v>0</v>
      </c>
      <c r="AA271" s="211">
        <f t="shared" si="178"/>
        <v>0</v>
      </c>
      <c r="AB271" s="211">
        <f t="shared" si="178"/>
        <v>0</v>
      </c>
      <c r="AC271" s="211">
        <f t="shared" si="178"/>
        <v>0</v>
      </c>
      <c r="AD271" s="211">
        <f t="shared" si="178"/>
        <v>0</v>
      </c>
      <c r="AE271" s="211">
        <f t="shared" si="178"/>
        <v>0</v>
      </c>
      <c r="AF271" s="211">
        <f t="shared" si="178"/>
        <v>0</v>
      </c>
      <c r="AG271" s="211">
        <f t="shared" si="178"/>
        <v>0</v>
      </c>
      <c r="AH271" s="211">
        <f t="shared" si="178"/>
        <v>0</v>
      </c>
      <c r="AI271" s="211">
        <f t="shared" si="178"/>
        <v>0</v>
      </c>
      <c r="AJ271" s="211">
        <f t="shared" si="178"/>
        <v>0</v>
      </c>
      <c r="AK271" s="211">
        <f t="shared" si="178"/>
        <v>0</v>
      </c>
      <c r="AL271" s="211">
        <f t="shared" si="178"/>
        <v>0</v>
      </c>
      <c r="AM271" s="211">
        <f t="shared" si="178"/>
        <v>0</v>
      </c>
      <c r="AN271" s="211">
        <f t="shared" si="178"/>
        <v>0</v>
      </c>
    </row>
    <row r="272" spans="2:40" s="7" customFormat="1" ht="12" hidden="1" customHeight="1" outlineLevel="2">
      <c r="B272" s="245"/>
      <c r="C272" s="250" t="s">
        <v>757</v>
      </c>
      <c r="D272" s="250"/>
      <c r="E272" s="213"/>
      <c r="F272" s="213"/>
      <c r="G272" s="213"/>
      <c r="H272" s="213"/>
      <c r="I272" s="211">
        <f>INDEX($C$199:$AN$221,MATCH("New Customers 1MS",$C$199:$C$221,0),MATCH($C272,$C$199:$AN$199,0))</f>
        <v>0.99999999999999623</v>
      </c>
      <c r="J272" s="211">
        <f t="shared" ref="J272:AN272" si="179">$I$272*(E266)</f>
        <v>6.9999999999999743E-2</v>
      </c>
      <c r="K272" s="211">
        <f t="shared" si="179"/>
        <v>6.9999999999999743E-2</v>
      </c>
      <c r="L272" s="211">
        <f t="shared" si="179"/>
        <v>6.9999999999999743E-2</v>
      </c>
      <c r="M272" s="211">
        <f t="shared" si="179"/>
        <v>5.9999999999999769E-2</v>
      </c>
      <c r="N272" s="211">
        <f t="shared" si="179"/>
        <v>5.9999999999999769E-2</v>
      </c>
      <c r="O272" s="211">
        <f t="shared" si="179"/>
        <v>5.9999999999999769E-2</v>
      </c>
      <c r="P272" s="211">
        <f t="shared" si="179"/>
        <v>4.9999999999999815E-2</v>
      </c>
      <c r="Q272" s="211">
        <f t="shared" si="179"/>
        <v>4.9999999999999815E-2</v>
      </c>
      <c r="R272" s="211">
        <f t="shared" si="179"/>
        <v>4.9999999999999815E-2</v>
      </c>
      <c r="S272" s="211">
        <f t="shared" si="179"/>
        <v>3.9999999999999848E-2</v>
      </c>
      <c r="T272" s="211">
        <f t="shared" si="179"/>
        <v>3.9999999999999848E-2</v>
      </c>
      <c r="U272" s="211">
        <f t="shared" si="179"/>
        <v>3.9999999999999848E-2</v>
      </c>
      <c r="V272" s="211">
        <f t="shared" si="179"/>
        <v>2.9999999999999884E-2</v>
      </c>
      <c r="W272" s="211">
        <f t="shared" si="179"/>
        <v>2.9999999999999884E-2</v>
      </c>
      <c r="X272" s="211">
        <f t="shared" si="179"/>
        <v>2.9999999999999884E-2</v>
      </c>
      <c r="Y272" s="211">
        <f t="shared" si="179"/>
        <v>1.9999999999999924E-2</v>
      </c>
      <c r="Z272" s="211">
        <f t="shared" si="179"/>
        <v>1.9999999999999924E-2</v>
      </c>
      <c r="AA272" s="211">
        <f t="shared" si="179"/>
        <v>1.9999999999999924E-2</v>
      </c>
      <c r="AB272" s="211">
        <f t="shared" si="179"/>
        <v>9.999999999999962E-3</v>
      </c>
      <c r="AC272" s="211">
        <f t="shared" si="179"/>
        <v>9.999999999999962E-3</v>
      </c>
      <c r="AD272" s="211">
        <f t="shared" si="179"/>
        <v>9.999999999999962E-3</v>
      </c>
      <c r="AE272" s="211">
        <f t="shared" si="179"/>
        <v>9.999999999999962E-3</v>
      </c>
      <c r="AF272" s="211">
        <f t="shared" si="179"/>
        <v>9.999999999999962E-3</v>
      </c>
      <c r="AG272" s="211">
        <f t="shared" si="179"/>
        <v>9.999999999999962E-3</v>
      </c>
      <c r="AH272" s="211">
        <f t="shared" si="179"/>
        <v>9.999999999999962E-3</v>
      </c>
      <c r="AI272" s="211">
        <f t="shared" si="179"/>
        <v>9.999999999999962E-3</v>
      </c>
      <c r="AJ272" s="211">
        <f t="shared" si="179"/>
        <v>9.999999999999962E-3</v>
      </c>
      <c r="AK272" s="211">
        <f t="shared" si="179"/>
        <v>9.999999999999962E-3</v>
      </c>
      <c r="AL272" s="211">
        <f t="shared" si="179"/>
        <v>9.999999999999962E-3</v>
      </c>
      <c r="AM272" s="211">
        <f t="shared" si="179"/>
        <v>9.999999999999962E-3</v>
      </c>
      <c r="AN272" s="211">
        <f t="shared" si="179"/>
        <v>9.999999999999962E-3</v>
      </c>
    </row>
    <row r="273" spans="2:40" s="7" customFormat="1" ht="12" hidden="1" customHeight="1" outlineLevel="2">
      <c r="B273" s="245"/>
      <c r="C273" s="250" t="s">
        <v>758</v>
      </c>
      <c r="D273" s="250"/>
      <c r="E273" s="213"/>
      <c r="F273" s="213"/>
      <c r="G273" s="213"/>
      <c r="H273" s="213"/>
      <c r="I273" s="213"/>
      <c r="J273" s="211">
        <f>INDEX($C$199:$AN$221,MATCH("New Customers 1MS",$C$199:$C$221,0),MATCH($C273,$C$199:$AN$199,0))</f>
        <v>4.0000000000000036</v>
      </c>
      <c r="K273" s="211">
        <f t="shared" ref="K273:AN273" si="180">$J$273*(E266)</f>
        <v>0.28000000000000025</v>
      </c>
      <c r="L273" s="211">
        <f t="shared" si="180"/>
        <v>0.28000000000000025</v>
      </c>
      <c r="M273" s="211">
        <f t="shared" si="180"/>
        <v>0.28000000000000025</v>
      </c>
      <c r="N273" s="211">
        <f t="shared" si="180"/>
        <v>0.24000000000000021</v>
      </c>
      <c r="O273" s="211">
        <f t="shared" si="180"/>
        <v>0.24000000000000021</v>
      </c>
      <c r="P273" s="211">
        <f t="shared" si="180"/>
        <v>0.24000000000000021</v>
      </c>
      <c r="Q273" s="211">
        <f t="shared" si="180"/>
        <v>0.20000000000000018</v>
      </c>
      <c r="R273" s="211">
        <f t="shared" si="180"/>
        <v>0.20000000000000018</v>
      </c>
      <c r="S273" s="211">
        <f t="shared" si="180"/>
        <v>0.20000000000000018</v>
      </c>
      <c r="T273" s="211">
        <f t="shared" si="180"/>
        <v>0.16000000000000014</v>
      </c>
      <c r="U273" s="211">
        <f t="shared" si="180"/>
        <v>0.16000000000000014</v>
      </c>
      <c r="V273" s="211">
        <f t="shared" si="180"/>
        <v>0.16000000000000014</v>
      </c>
      <c r="W273" s="211">
        <f t="shared" si="180"/>
        <v>0.12000000000000011</v>
      </c>
      <c r="X273" s="211">
        <f t="shared" si="180"/>
        <v>0.12000000000000011</v>
      </c>
      <c r="Y273" s="211">
        <f t="shared" si="180"/>
        <v>0.12000000000000011</v>
      </c>
      <c r="Z273" s="211">
        <f t="shared" si="180"/>
        <v>8.0000000000000071E-2</v>
      </c>
      <c r="AA273" s="211">
        <f t="shared" si="180"/>
        <v>8.0000000000000071E-2</v>
      </c>
      <c r="AB273" s="211">
        <f t="shared" si="180"/>
        <v>8.0000000000000071E-2</v>
      </c>
      <c r="AC273" s="211">
        <f t="shared" si="180"/>
        <v>4.0000000000000036E-2</v>
      </c>
      <c r="AD273" s="211">
        <f t="shared" si="180"/>
        <v>4.0000000000000036E-2</v>
      </c>
      <c r="AE273" s="211">
        <f t="shared" si="180"/>
        <v>4.0000000000000036E-2</v>
      </c>
      <c r="AF273" s="211">
        <f t="shared" si="180"/>
        <v>4.0000000000000036E-2</v>
      </c>
      <c r="AG273" s="211">
        <f t="shared" si="180"/>
        <v>4.0000000000000036E-2</v>
      </c>
      <c r="AH273" s="211">
        <f t="shared" si="180"/>
        <v>4.0000000000000036E-2</v>
      </c>
      <c r="AI273" s="211">
        <f t="shared" si="180"/>
        <v>4.0000000000000036E-2</v>
      </c>
      <c r="AJ273" s="211">
        <f t="shared" si="180"/>
        <v>4.0000000000000036E-2</v>
      </c>
      <c r="AK273" s="211">
        <f t="shared" si="180"/>
        <v>4.0000000000000036E-2</v>
      </c>
      <c r="AL273" s="211">
        <f t="shared" si="180"/>
        <v>4.0000000000000036E-2</v>
      </c>
      <c r="AM273" s="211">
        <f t="shared" si="180"/>
        <v>4.0000000000000036E-2</v>
      </c>
      <c r="AN273" s="211">
        <f t="shared" si="180"/>
        <v>4.0000000000000036E-2</v>
      </c>
    </row>
    <row r="274" spans="2:40" s="7" customFormat="1" ht="12" hidden="1" customHeight="1" outlineLevel="2">
      <c r="B274" s="245"/>
      <c r="C274" s="250" t="s">
        <v>759</v>
      </c>
      <c r="D274" s="250"/>
      <c r="E274" s="213"/>
      <c r="F274" s="213"/>
      <c r="G274" s="213"/>
      <c r="H274" s="213"/>
      <c r="I274" s="213"/>
      <c r="J274" s="213"/>
      <c r="K274" s="211">
        <f>INDEX($C$199:$AN$221,MATCH("New Customers 1MS",$C$199:$C$221,0),MATCH($C274,$C$199:$AN$199,0))</f>
        <v>2.0000000000000031</v>
      </c>
      <c r="L274" s="211">
        <f t="shared" ref="L274:AN274" si="181">$K$274*(E266)</f>
        <v>0.14000000000000024</v>
      </c>
      <c r="M274" s="211">
        <f t="shared" si="181"/>
        <v>0.14000000000000024</v>
      </c>
      <c r="N274" s="211">
        <f t="shared" si="181"/>
        <v>0.14000000000000024</v>
      </c>
      <c r="O274" s="211">
        <f t="shared" si="181"/>
        <v>0.12000000000000018</v>
      </c>
      <c r="P274" s="211">
        <f t="shared" si="181"/>
        <v>0.12000000000000018</v>
      </c>
      <c r="Q274" s="211">
        <f t="shared" si="181"/>
        <v>0.12000000000000018</v>
      </c>
      <c r="R274" s="211">
        <f t="shared" si="181"/>
        <v>0.10000000000000016</v>
      </c>
      <c r="S274" s="211">
        <f t="shared" si="181"/>
        <v>0.10000000000000016</v>
      </c>
      <c r="T274" s="211">
        <f t="shared" si="181"/>
        <v>0.10000000000000016</v>
      </c>
      <c r="U274" s="211">
        <f t="shared" si="181"/>
        <v>8.0000000000000127E-2</v>
      </c>
      <c r="V274" s="211">
        <f t="shared" si="181"/>
        <v>8.0000000000000127E-2</v>
      </c>
      <c r="W274" s="211">
        <f t="shared" si="181"/>
        <v>8.0000000000000127E-2</v>
      </c>
      <c r="X274" s="211">
        <f t="shared" si="181"/>
        <v>6.0000000000000088E-2</v>
      </c>
      <c r="Y274" s="211">
        <f t="shared" si="181"/>
        <v>6.0000000000000088E-2</v>
      </c>
      <c r="Z274" s="211">
        <f t="shared" si="181"/>
        <v>6.0000000000000088E-2</v>
      </c>
      <c r="AA274" s="211">
        <f t="shared" si="181"/>
        <v>4.0000000000000063E-2</v>
      </c>
      <c r="AB274" s="211">
        <f t="shared" si="181"/>
        <v>4.0000000000000063E-2</v>
      </c>
      <c r="AC274" s="211">
        <f t="shared" si="181"/>
        <v>4.0000000000000063E-2</v>
      </c>
      <c r="AD274" s="211">
        <f t="shared" si="181"/>
        <v>2.0000000000000032E-2</v>
      </c>
      <c r="AE274" s="211">
        <f t="shared" si="181"/>
        <v>2.0000000000000032E-2</v>
      </c>
      <c r="AF274" s="211">
        <f t="shared" si="181"/>
        <v>2.0000000000000032E-2</v>
      </c>
      <c r="AG274" s="211">
        <f t="shared" si="181"/>
        <v>2.0000000000000032E-2</v>
      </c>
      <c r="AH274" s="211">
        <f t="shared" si="181"/>
        <v>2.0000000000000032E-2</v>
      </c>
      <c r="AI274" s="211">
        <f t="shared" si="181"/>
        <v>2.0000000000000032E-2</v>
      </c>
      <c r="AJ274" s="211">
        <f t="shared" si="181"/>
        <v>2.0000000000000032E-2</v>
      </c>
      <c r="AK274" s="211">
        <f t="shared" si="181"/>
        <v>2.0000000000000032E-2</v>
      </c>
      <c r="AL274" s="211">
        <f t="shared" si="181"/>
        <v>2.0000000000000032E-2</v>
      </c>
      <c r="AM274" s="211">
        <f t="shared" si="181"/>
        <v>2.0000000000000032E-2</v>
      </c>
      <c r="AN274" s="211">
        <f t="shared" si="181"/>
        <v>2.0000000000000032E-2</v>
      </c>
    </row>
    <row r="275" spans="2:40" s="7" customFormat="1" ht="12" hidden="1" customHeight="1" outlineLevel="2">
      <c r="B275" s="245"/>
      <c r="C275" s="250" t="s">
        <v>760</v>
      </c>
      <c r="D275" s="250"/>
      <c r="E275" s="213"/>
      <c r="F275" s="213"/>
      <c r="G275" s="346"/>
      <c r="H275" s="213"/>
      <c r="I275" s="213"/>
      <c r="J275" s="213"/>
      <c r="K275" s="213"/>
      <c r="L275" s="211">
        <f>INDEX($C$199:$AN$221,MATCH("New Customers 1MS",$C$199:$C$221,0),MATCH($C275,$C$199:$AN$199,0))</f>
        <v>0</v>
      </c>
      <c r="M275" s="211">
        <f t="shared" ref="M275:AN275" si="182">$L$275*(E266)</f>
        <v>0</v>
      </c>
      <c r="N275" s="211">
        <f t="shared" si="182"/>
        <v>0</v>
      </c>
      <c r="O275" s="211">
        <f t="shared" si="182"/>
        <v>0</v>
      </c>
      <c r="P275" s="211">
        <f t="shared" si="182"/>
        <v>0</v>
      </c>
      <c r="Q275" s="211">
        <f t="shared" si="182"/>
        <v>0</v>
      </c>
      <c r="R275" s="211">
        <f t="shared" si="182"/>
        <v>0</v>
      </c>
      <c r="S275" s="211">
        <f t="shared" si="182"/>
        <v>0</v>
      </c>
      <c r="T275" s="211">
        <f t="shared" si="182"/>
        <v>0</v>
      </c>
      <c r="U275" s="211">
        <f t="shared" si="182"/>
        <v>0</v>
      </c>
      <c r="V275" s="211">
        <f t="shared" si="182"/>
        <v>0</v>
      </c>
      <c r="W275" s="211">
        <f t="shared" si="182"/>
        <v>0</v>
      </c>
      <c r="X275" s="211">
        <f t="shared" si="182"/>
        <v>0</v>
      </c>
      <c r="Y275" s="211">
        <f t="shared" si="182"/>
        <v>0</v>
      </c>
      <c r="Z275" s="211">
        <f t="shared" si="182"/>
        <v>0</v>
      </c>
      <c r="AA275" s="211">
        <f t="shared" si="182"/>
        <v>0</v>
      </c>
      <c r="AB275" s="211">
        <f t="shared" si="182"/>
        <v>0</v>
      </c>
      <c r="AC275" s="211">
        <f t="shared" si="182"/>
        <v>0</v>
      </c>
      <c r="AD275" s="211">
        <f t="shared" si="182"/>
        <v>0</v>
      </c>
      <c r="AE275" s="211">
        <f t="shared" si="182"/>
        <v>0</v>
      </c>
      <c r="AF275" s="211">
        <f t="shared" si="182"/>
        <v>0</v>
      </c>
      <c r="AG275" s="211">
        <f t="shared" si="182"/>
        <v>0</v>
      </c>
      <c r="AH275" s="211">
        <f t="shared" si="182"/>
        <v>0</v>
      </c>
      <c r="AI275" s="211">
        <f t="shared" si="182"/>
        <v>0</v>
      </c>
      <c r="AJ275" s="211">
        <f t="shared" si="182"/>
        <v>0</v>
      </c>
      <c r="AK275" s="211">
        <f t="shared" si="182"/>
        <v>0</v>
      </c>
      <c r="AL275" s="211">
        <f t="shared" si="182"/>
        <v>0</v>
      </c>
      <c r="AM275" s="211">
        <f t="shared" si="182"/>
        <v>0</v>
      </c>
      <c r="AN275" s="211">
        <f t="shared" si="182"/>
        <v>0</v>
      </c>
    </row>
    <row r="276" spans="2:40" s="7" customFormat="1" ht="12" hidden="1" customHeight="1" outlineLevel="2">
      <c r="B276" s="245"/>
      <c r="C276" s="250" t="s">
        <v>761</v>
      </c>
      <c r="D276" s="250"/>
      <c r="E276" s="213"/>
      <c r="F276" s="213"/>
      <c r="G276" s="213"/>
      <c r="H276" s="213"/>
      <c r="I276" s="213"/>
      <c r="J276" s="213"/>
      <c r="K276" s="213"/>
      <c r="L276" s="213"/>
      <c r="M276" s="211">
        <f>INDEX($C$199:$AN$221,MATCH("New Customers 1MS",$C$199:$C$221,0),MATCH($C276,$C$199:$AN$199,0))</f>
        <v>10.942742963550796</v>
      </c>
      <c r="N276" s="211">
        <f t="shared" ref="N276:AN276" si="183">$M$276*(E266)</f>
        <v>0.76599200744855578</v>
      </c>
      <c r="O276" s="211">
        <f t="shared" si="183"/>
        <v>0.76599200744855578</v>
      </c>
      <c r="P276" s="211">
        <f t="shared" si="183"/>
        <v>0.76599200744855578</v>
      </c>
      <c r="Q276" s="211">
        <f t="shared" si="183"/>
        <v>0.65656457781304767</v>
      </c>
      <c r="R276" s="211">
        <f t="shared" si="183"/>
        <v>0.65656457781304767</v>
      </c>
      <c r="S276" s="211">
        <f t="shared" si="183"/>
        <v>0.65656457781304767</v>
      </c>
      <c r="T276" s="211">
        <f t="shared" si="183"/>
        <v>0.54713714817753978</v>
      </c>
      <c r="U276" s="211">
        <f t="shared" si="183"/>
        <v>0.54713714817753978</v>
      </c>
      <c r="V276" s="211">
        <f t="shared" si="183"/>
        <v>0.54713714817753978</v>
      </c>
      <c r="W276" s="211">
        <f t="shared" si="183"/>
        <v>0.43770971854203183</v>
      </c>
      <c r="X276" s="211">
        <f t="shared" si="183"/>
        <v>0.43770971854203183</v>
      </c>
      <c r="Y276" s="211">
        <f t="shared" si="183"/>
        <v>0.43770971854203183</v>
      </c>
      <c r="Z276" s="211">
        <f t="shared" si="183"/>
        <v>0.32828228890652383</v>
      </c>
      <c r="AA276" s="211">
        <f t="shared" si="183"/>
        <v>0.32828228890652383</v>
      </c>
      <c r="AB276" s="211">
        <f t="shared" si="183"/>
        <v>0.32828228890652383</v>
      </c>
      <c r="AC276" s="211">
        <f t="shared" si="183"/>
        <v>0.21885485927101592</v>
      </c>
      <c r="AD276" s="211">
        <f t="shared" si="183"/>
        <v>0.21885485927101592</v>
      </c>
      <c r="AE276" s="211">
        <f t="shared" si="183"/>
        <v>0.21885485927101592</v>
      </c>
      <c r="AF276" s="211">
        <f t="shared" si="183"/>
        <v>0.10942742963550796</v>
      </c>
      <c r="AG276" s="211">
        <f t="shared" si="183"/>
        <v>0.10942742963550796</v>
      </c>
      <c r="AH276" s="211">
        <f t="shared" si="183"/>
        <v>0.10942742963550796</v>
      </c>
      <c r="AI276" s="211">
        <f t="shared" si="183"/>
        <v>0.10942742963550796</v>
      </c>
      <c r="AJ276" s="211">
        <f t="shared" si="183"/>
        <v>0.10942742963550796</v>
      </c>
      <c r="AK276" s="211">
        <f t="shared" si="183"/>
        <v>0.10942742963550796</v>
      </c>
      <c r="AL276" s="211">
        <f t="shared" si="183"/>
        <v>0.10942742963550796</v>
      </c>
      <c r="AM276" s="211">
        <f t="shared" si="183"/>
        <v>0.10942742963550796</v>
      </c>
      <c r="AN276" s="211">
        <f t="shared" si="183"/>
        <v>0.10942742963550796</v>
      </c>
    </row>
    <row r="277" spans="2:40" s="7" customFormat="1" ht="12" hidden="1" customHeight="1" outlineLevel="2">
      <c r="B277" s="245"/>
      <c r="C277" s="250" t="s">
        <v>762</v>
      </c>
      <c r="D277" s="250"/>
      <c r="E277" s="213"/>
      <c r="F277" s="213"/>
      <c r="G277" s="213"/>
      <c r="H277" s="213"/>
      <c r="I277" s="213"/>
      <c r="J277" s="213"/>
      <c r="K277" s="213"/>
      <c r="L277" s="213"/>
      <c r="M277" s="213"/>
      <c r="N277" s="211">
        <f>INDEX($C$199:$AN$221,MATCH("New Customers 1MS",$C$199:$C$221,0),MATCH($C277,$C$199:$AN$199,0))</f>
        <v>21.885485927101591</v>
      </c>
      <c r="O277" s="211">
        <f t="shared" ref="O277:AN277" si="184">$N$277*(E266)</f>
        <v>1.5319840148971116</v>
      </c>
      <c r="P277" s="211">
        <f t="shared" si="184"/>
        <v>1.5319840148971116</v>
      </c>
      <c r="Q277" s="211">
        <f t="shared" si="184"/>
        <v>1.5319840148971116</v>
      </c>
      <c r="R277" s="211">
        <f t="shared" si="184"/>
        <v>1.3131291556260953</v>
      </c>
      <c r="S277" s="211">
        <f t="shared" si="184"/>
        <v>1.3131291556260953</v>
      </c>
      <c r="T277" s="211">
        <f t="shared" si="184"/>
        <v>1.3131291556260953</v>
      </c>
      <c r="U277" s="211">
        <f t="shared" si="184"/>
        <v>1.0942742963550796</v>
      </c>
      <c r="V277" s="211">
        <f t="shared" si="184"/>
        <v>1.0942742963550796</v>
      </c>
      <c r="W277" s="211">
        <f t="shared" si="184"/>
        <v>1.0942742963550796</v>
      </c>
      <c r="X277" s="211">
        <f t="shared" si="184"/>
        <v>0.87541943708406367</v>
      </c>
      <c r="Y277" s="211">
        <f t="shared" si="184"/>
        <v>0.87541943708406367</v>
      </c>
      <c r="Z277" s="211">
        <f t="shared" si="184"/>
        <v>0.87541943708406367</v>
      </c>
      <c r="AA277" s="211">
        <f t="shared" si="184"/>
        <v>0.65656457781304767</v>
      </c>
      <c r="AB277" s="211">
        <f t="shared" si="184"/>
        <v>0.65656457781304767</v>
      </c>
      <c r="AC277" s="211">
        <f t="shared" si="184"/>
        <v>0.65656457781304767</v>
      </c>
      <c r="AD277" s="211">
        <f t="shared" si="184"/>
        <v>0.43770971854203183</v>
      </c>
      <c r="AE277" s="211">
        <f t="shared" si="184"/>
        <v>0.43770971854203183</v>
      </c>
      <c r="AF277" s="211">
        <f t="shared" si="184"/>
        <v>0.43770971854203183</v>
      </c>
      <c r="AG277" s="211">
        <f t="shared" si="184"/>
        <v>0.21885485927101592</v>
      </c>
      <c r="AH277" s="211">
        <f t="shared" si="184"/>
        <v>0.21885485927101592</v>
      </c>
      <c r="AI277" s="211">
        <f t="shared" si="184"/>
        <v>0.21885485927101592</v>
      </c>
      <c r="AJ277" s="211">
        <f t="shared" si="184"/>
        <v>0.21885485927101592</v>
      </c>
      <c r="AK277" s="211">
        <f t="shared" si="184"/>
        <v>0.21885485927101592</v>
      </c>
      <c r="AL277" s="211">
        <f t="shared" si="184"/>
        <v>0.21885485927101592</v>
      </c>
      <c r="AM277" s="211">
        <f t="shared" si="184"/>
        <v>0.21885485927101592</v>
      </c>
      <c r="AN277" s="211">
        <f t="shared" si="184"/>
        <v>0.21885485927101592</v>
      </c>
    </row>
    <row r="278" spans="2:40" s="7" customFormat="1" ht="12" hidden="1" customHeight="1" outlineLevel="2">
      <c r="B278" s="245"/>
      <c r="C278" s="250" t="s">
        <v>763</v>
      </c>
      <c r="D278" s="250"/>
      <c r="E278" s="213"/>
      <c r="F278" s="213"/>
      <c r="G278" s="213"/>
      <c r="H278" s="213"/>
      <c r="I278" s="213"/>
      <c r="J278" s="213"/>
      <c r="K278" s="213"/>
      <c r="L278" s="213"/>
      <c r="M278" s="213"/>
      <c r="N278" s="213"/>
      <c r="O278" s="211">
        <f>INDEX($C$199:$AN$221,MATCH("New Customers 1MS",$C$199:$C$221,0),MATCH($C278,$C$199:$AN$199,0))</f>
        <v>10.942742963550796</v>
      </c>
      <c r="P278" s="211">
        <f t="shared" ref="P278:AN278" si="185">$O$278*(E266)</f>
        <v>0.76599200744855578</v>
      </c>
      <c r="Q278" s="211">
        <f t="shared" si="185"/>
        <v>0.76599200744855578</v>
      </c>
      <c r="R278" s="211">
        <f t="shared" si="185"/>
        <v>0.76599200744855578</v>
      </c>
      <c r="S278" s="211">
        <f t="shared" si="185"/>
        <v>0.65656457781304767</v>
      </c>
      <c r="T278" s="211">
        <f t="shared" si="185"/>
        <v>0.65656457781304767</v>
      </c>
      <c r="U278" s="211">
        <f t="shared" si="185"/>
        <v>0.65656457781304767</v>
      </c>
      <c r="V278" s="211">
        <f t="shared" si="185"/>
        <v>0.54713714817753978</v>
      </c>
      <c r="W278" s="211">
        <f t="shared" si="185"/>
        <v>0.54713714817753978</v>
      </c>
      <c r="X278" s="211">
        <f t="shared" si="185"/>
        <v>0.54713714817753978</v>
      </c>
      <c r="Y278" s="211">
        <f t="shared" si="185"/>
        <v>0.43770971854203183</v>
      </c>
      <c r="Z278" s="211">
        <f t="shared" si="185"/>
        <v>0.43770971854203183</v>
      </c>
      <c r="AA278" s="211">
        <f t="shared" si="185"/>
        <v>0.43770971854203183</v>
      </c>
      <c r="AB278" s="211">
        <f t="shared" si="185"/>
        <v>0.32828228890652383</v>
      </c>
      <c r="AC278" s="211">
        <f t="shared" si="185"/>
        <v>0.32828228890652383</v>
      </c>
      <c r="AD278" s="211">
        <f t="shared" si="185"/>
        <v>0.32828228890652383</v>
      </c>
      <c r="AE278" s="211">
        <f t="shared" si="185"/>
        <v>0.21885485927101592</v>
      </c>
      <c r="AF278" s="211">
        <f t="shared" si="185"/>
        <v>0.21885485927101592</v>
      </c>
      <c r="AG278" s="211">
        <f t="shared" si="185"/>
        <v>0.21885485927101592</v>
      </c>
      <c r="AH278" s="211">
        <f t="shared" si="185"/>
        <v>0.10942742963550796</v>
      </c>
      <c r="AI278" s="211">
        <f t="shared" si="185"/>
        <v>0.10942742963550796</v>
      </c>
      <c r="AJ278" s="211">
        <f t="shared" si="185"/>
        <v>0.10942742963550796</v>
      </c>
      <c r="AK278" s="211">
        <f t="shared" si="185"/>
        <v>0.10942742963550796</v>
      </c>
      <c r="AL278" s="211">
        <f t="shared" si="185"/>
        <v>0.10942742963550796</v>
      </c>
      <c r="AM278" s="211">
        <f t="shared" si="185"/>
        <v>0.10942742963550796</v>
      </c>
      <c r="AN278" s="211">
        <f t="shared" si="185"/>
        <v>0.10942742963550796</v>
      </c>
    </row>
    <row r="279" spans="2:40" s="7" customFormat="1" ht="12" hidden="1" customHeight="1" outlineLevel="2">
      <c r="B279" s="245"/>
      <c r="C279" s="250" t="s">
        <v>764</v>
      </c>
      <c r="D279" s="250"/>
      <c r="E279" s="213"/>
      <c r="F279" s="213"/>
      <c r="G279" s="213"/>
      <c r="H279" s="213"/>
      <c r="I279" s="213"/>
      <c r="J279" s="213"/>
      <c r="K279" s="213"/>
      <c r="L279" s="213"/>
      <c r="M279" s="213"/>
      <c r="N279" s="213"/>
      <c r="O279" s="213"/>
      <c r="P279" s="211">
        <f>INDEX($C$199:$AN$221,MATCH("New Customers 1MS",$C$199:$C$221,0),MATCH($C279,$C$199:$AN$199,0))</f>
        <v>6</v>
      </c>
      <c r="Q279" s="211">
        <f t="shared" ref="Q279:AN279" si="186">$P$279*(E266)</f>
        <v>0.42000000000000004</v>
      </c>
      <c r="R279" s="211">
        <f t="shared" si="186"/>
        <v>0.42000000000000004</v>
      </c>
      <c r="S279" s="211">
        <f t="shared" si="186"/>
        <v>0.42000000000000004</v>
      </c>
      <c r="T279" s="211">
        <f t="shared" si="186"/>
        <v>0.36</v>
      </c>
      <c r="U279" s="211">
        <f t="shared" si="186"/>
        <v>0.36</v>
      </c>
      <c r="V279" s="211">
        <f t="shared" si="186"/>
        <v>0.36</v>
      </c>
      <c r="W279" s="211">
        <f t="shared" si="186"/>
        <v>0.30000000000000004</v>
      </c>
      <c r="X279" s="211">
        <f t="shared" si="186"/>
        <v>0.30000000000000004</v>
      </c>
      <c r="Y279" s="211">
        <f t="shared" si="186"/>
        <v>0.30000000000000004</v>
      </c>
      <c r="Z279" s="211">
        <f t="shared" si="186"/>
        <v>0.24</v>
      </c>
      <c r="AA279" s="211">
        <f t="shared" si="186"/>
        <v>0.24</v>
      </c>
      <c r="AB279" s="211">
        <f t="shared" si="186"/>
        <v>0.24</v>
      </c>
      <c r="AC279" s="211">
        <f t="shared" si="186"/>
        <v>0.18</v>
      </c>
      <c r="AD279" s="211">
        <f t="shared" si="186"/>
        <v>0.18</v>
      </c>
      <c r="AE279" s="211">
        <f t="shared" si="186"/>
        <v>0.18</v>
      </c>
      <c r="AF279" s="211">
        <f t="shared" si="186"/>
        <v>0.12</v>
      </c>
      <c r="AG279" s="211">
        <f t="shared" si="186"/>
        <v>0.12</v>
      </c>
      <c r="AH279" s="211">
        <f t="shared" si="186"/>
        <v>0.12</v>
      </c>
      <c r="AI279" s="211">
        <f t="shared" si="186"/>
        <v>0.06</v>
      </c>
      <c r="AJ279" s="211">
        <f t="shared" si="186"/>
        <v>0.06</v>
      </c>
      <c r="AK279" s="211">
        <f t="shared" si="186"/>
        <v>0.06</v>
      </c>
      <c r="AL279" s="211">
        <f t="shared" si="186"/>
        <v>0.06</v>
      </c>
      <c r="AM279" s="211">
        <f t="shared" si="186"/>
        <v>0.06</v>
      </c>
      <c r="AN279" s="211">
        <f t="shared" si="186"/>
        <v>0.06</v>
      </c>
    </row>
    <row r="280" spans="2:40" s="7" customFormat="1" ht="12" hidden="1" customHeight="1" outlineLevel="2">
      <c r="B280" s="245"/>
      <c r="C280" s="250" t="s">
        <v>765</v>
      </c>
      <c r="D280" s="250"/>
      <c r="E280" s="213"/>
      <c r="F280" s="213"/>
      <c r="G280" s="213"/>
      <c r="H280" s="213"/>
      <c r="I280" s="213"/>
      <c r="J280" s="213"/>
      <c r="K280" s="213"/>
      <c r="L280" s="213"/>
      <c r="M280" s="213"/>
      <c r="N280" s="213"/>
      <c r="O280" s="213"/>
      <c r="P280" s="213"/>
      <c r="Q280" s="211">
        <f>INDEX($C$199:$AN$221,MATCH("New Customers 1MS",$C$199:$C$221,0),MATCH($C280,$C$199:$AN$199,0))</f>
        <v>7.7547200000000007</v>
      </c>
      <c r="R280" s="211">
        <f t="shared" ref="R280:AN280" si="187">$Q$280*(E266)</f>
        <v>0.54283040000000016</v>
      </c>
      <c r="S280" s="211">
        <f t="shared" si="187"/>
        <v>0.54283040000000016</v>
      </c>
      <c r="T280" s="211">
        <f t="shared" si="187"/>
        <v>0.54283040000000016</v>
      </c>
      <c r="U280" s="211">
        <f t="shared" si="187"/>
        <v>0.46528320000000001</v>
      </c>
      <c r="V280" s="211">
        <f t="shared" si="187"/>
        <v>0.46528320000000001</v>
      </c>
      <c r="W280" s="211">
        <f t="shared" si="187"/>
        <v>0.46528320000000001</v>
      </c>
      <c r="X280" s="211">
        <f t="shared" si="187"/>
        <v>0.38773600000000008</v>
      </c>
      <c r="Y280" s="211">
        <f t="shared" si="187"/>
        <v>0.38773600000000008</v>
      </c>
      <c r="Z280" s="211">
        <f t="shared" si="187"/>
        <v>0.38773600000000008</v>
      </c>
      <c r="AA280" s="211">
        <f t="shared" si="187"/>
        <v>0.31018880000000004</v>
      </c>
      <c r="AB280" s="211">
        <f t="shared" si="187"/>
        <v>0.31018880000000004</v>
      </c>
      <c r="AC280" s="211">
        <f t="shared" si="187"/>
        <v>0.31018880000000004</v>
      </c>
      <c r="AD280" s="211">
        <f t="shared" si="187"/>
        <v>0.2326416</v>
      </c>
      <c r="AE280" s="211">
        <f t="shared" si="187"/>
        <v>0.2326416</v>
      </c>
      <c r="AF280" s="211">
        <f t="shared" si="187"/>
        <v>0.2326416</v>
      </c>
      <c r="AG280" s="211">
        <f t="shared" si="187"/>
        <v>0.15509440000000002</v>
      </c>
      <c r="AH280" s="211">
        <f t="shared" si="187"/>
        <v>0.15509440000000002</v>
      </c>
      <c r="AI280" s="211">
        <f t="shared" si="187"/>
        <v>0.15509440000000002</v>
      </c>
      <c r="AJ280" s="211">
        <f t="shared" si="187"/>
        <v>7.7547200000000011E-2</v>
      </c>
      <c r="AK280" s="211">
        <f t="shared" si="187"/>
        <v>7.7547200000000011E-2</v>
      </c>
      <c r="AL280" s="211">
        <f t="shared" si="187"/>
        <v>7.7547200000000011E-2</v>
      </c>
      <c r="AM280" s="211">
        <f t="shared" si="187"/>
        <v>7.7547200000000011E-2</v>
      </c>
      <c r="AN280" s="211">
        <f t="shared" si="187"/>
        <v>7.7547200000000011E-2</v>
      </c>
    </row>
    <row r="281" spans="2:40" s="7" customFormat="1" ht="12" hidden="1" customHeight="1" outlineLevel="2">
      <c r="B281" s="245"/>
      <c r="C281" s="250" t="s">
        <v>766</v>
      </c>
      <c r="D281" s="250"/>
      <c r="E281" s="213"/>
      <c r="F281" s="213"/>
      <c r="G281" s="213"/>
      <c r="H281" s="213"/>
      <c r="I281" s="213"/>
      <c r="J281" s="213"/>
      <c r="K281" s="213"/>
      <c r="L281" s="213"/>
      <c r="M281" s="213"/>
      <c r="N281" s="213"/>
      <c r="O281" s="213"/>
      <c r="P281" s="213"/>
      <c r="Q281" s="213"/>
      <c r="R281" s="211">
        <f>INDEX($C$199:$AN$221,MATCH("New Customers 1MS",$C$199:$C$221,0),MATCH($C281,$C$199:$AN$199,0))</f>
        <v>12.516839999999998</v>
      </c>
      <c r="S281" s="211">
        <f t="shared" ref="S281:AN281" si="188">$R$281*(E266)</f>
        <v>0.87617879999999992</v>
      </c>
      <c r="T281" s="211">
        <f t="shared" si="188"/>
        <v>0.87617879999999992</v>
      </c>
      <c r="U281" s="211">
        <f t="shared" si="188"/>
        <v>0.87617879999999992</v>
      </c>
      <c r="V281" s="211">
        <f t="shared" si="188"/>
        <v>0.75101039999999986</v>
      </c>
      <c r="W281" s="211">
        <f t="shared" si="188"/>
        <v>0.75101039999999986</v>
      </c>
      <c r="X281" s="211">
        <f t="shared" si="188"/>
        <v>0.75101039999999986</v>
      </c>
      <c r="Y281" s="211">
        <f t="shared" si="188"/>
        <v>0.62584200000000001</v>
      </c>
      <c r="Z281" s="211">
        <f t="shared" si="188"/>
        <v>0.62584200000000001</v>
      </c>
      <c r="AA281" s="211">
        <f t="shared" si="188"/>
        <v>0.62584200000000001</v>
      </c>
      <c r="AB281" s="211">
        <f t="shared" si="188"/>
        <v>0.50067359999999994</v>
      </c>
      <c r="AC281" s="211">
        <f t="shared" si="188"/>
        <v>0.50067359999999994</v>
      </c>
      <c r="AD281" s="211">
        <f t="shared" si="188"/>
        <v>0.50067359999999994</v>
      </c>
      <c r="AE281" s="211">
        <f t="shared" si="188"/>
        <v>0.37550519999999993</v>
      </c>
      <c r="AF281" s="211">
        <f t="shared" si="188"/>
        <v>0.37550519999999993</v>
      </c>
      <c r="AG281" s="211">
        <f t="shared" si="188"/>
        <v>0.37550519999999993</v>
      </c>
      <c r="AH281" s="211">
        <f t="shared" si="188"/>
        <v>0.25033679999999997</v>
      </c>
      <c r="AI281" s="211">
        <f t="shared" si="188"/>
        <v>0.25033679999999997</v>
      </c>
      <c r="AJ281" s="211">
        <f t="shared" si="188"/>
        <v>0.25033679999999997</v>
      </c>
      <c r="AK281" s="211">
        <f t="shared" si="188"/>
        <v>0.12516839999999999</v>
      </c>
      <c r="AL281" s="211">
        <f t="shared" si="188"/>
        <v>0.12516839999999999</v>
      </c>
      <c r="AM281" s="211">
        <f t="shared" si="188"/>
        <v>0.12516839999999999</v>
      </c>
      <c r="AN281" s="211">
        <f t="shared" si="188"/>
        <v>0.12516839999999999</v>
      </c>
    </row>
    <row r="282" spans="2:40" s="7" customFormat="1" ht="12" hidden="1" customHeight="1" outlineLevel="2">
      <c r="B282" s="245"/>
      <c r="C282" s="250" t="s">
        <v>767</v>
      </c>
      <c r="D282" s="250"/>
      <c r="E282" s="213"/>
      <c r="F282" s="213"/>
      <c r="G282" s="213"/>
      <c r="H282" s="213"/>
      <c r="I282" s="213"/>
      <c r="J282" s="213"/>
      <c r="K282" s="213"/>
      <c r="L282" s="213"/>
      <c r="M282" s="213"/>
      <c r="N282" s="213"/>
      <c r="O282" s="213"/>
      <c r="P282" s="213"/>
      <c r="Q282" s="213"/>
      <c r="R282" s="213"/>
      <c r="S282" s="211">
        <f>INDEX($C$199:$AN$221,MATCH("New Customers 1MS",$C$199:$C$221,0),MATCH($C282,$C$199:$AN$199,0))</f>
        <v>12.535380000000002</v>
      </c>
      <c r="T282" s="211">
        <f t="shared" ref="T282:AN282" si="189">$S$282*(E266)</f>
        <v>0.87747660000000016</v>
      </c>
      <c r="U282" s="211">
        <f t="shared" si="189"/>
        <v>0.87747660000000016</v>
      </c>
      <c r="V282" s="211">
        <f t="shared" si="189"/>
        <v>0.87747660000000016</v>
      </c>
      <c r="W282" s="211">
        <f t="shared" si="189"/>
        <v>0.75212280000000009</v>
      </c>
      <c r="X282" s="211">
        <f t="shared" si="189"/>
        <v>0.75212280000000009</v>
      </c>
      <c r="Y282" s="211">
        <f t="shared" si="189"/>
        <v>0.75212280000000009</v>
      </c>
      <c r="Z282" s="211">
        <f t="shared" si="189"/>
        <v>0.62676900000000013</v>
      </c>
      <c r="AA282" s="211">
        <f t="shared" si="189"/>
        <v>0.62676900000000013</v>
      </c>
      <c r="AB282" s="211">
        <f t="shared" si="189"/>
        <v>0.62676900000000013</v>
      </c>
      <c r="AC282" s="211">
        <f t="shared" si="189"/>
        <v>0.50141520000000006</v>
      </c>
      <c r="AD282" s="211">
        <f t="shared" si="189"/>
        <v>0.50141520000000006</v>
      </c>
      <c r="AE282" s="211">
        <f t="shared" si="189"/>
        <v>0.50141520000000006</v>
      </c>
      <c r="AF282" s="211">
        <f t="shared" si="189"/>
        <v>0.37606140000000005</v>
      </c>
      <c r="AG282" s="211">
        <f t="shared" si="189"/>
        <v>0.37606140000000005</v>
      </c>
      <c r="AH282" s="211">
        <f t="shared" si="189"/>
        <v>0.37606140000000005</v>
      </c>
      <c r="AI282" s="211">
        <f t="shared" si="189"/>
        <v>0.25070760000000003</v>
      </c>
      <c r="AJ282" s="211">
        <f t="shared" si="189"/>
        <v>0.25070760000000003</v>
      </c>
      <c r="AK282" s="211">
        <f t="shared" si="189"/>
        <v>0.25070760000000003</v>
      </c>
      <c r="AL282" s="211">
        <f t="shared" si="189"/>
        <v>0.12535380000000002</v>
      </c>
      <c r="AM282" s="211">
        <f t="shared" si="189"/>
        <v>0.12535380000000002</v>
      </c>
      <c r="AN282" s="211">
        <f t="shared" si="189"/>
        <v>0.12535380000000002</v>
      </c>
    </row>
    <row r="283" spans="2:40" s="7" customFormat="1" ht="12" hidden="1" customHeight="1" outlineLevel="2">
      <c r="B283" s="245"/>
      <c r="C283" s="250" t="s">
        <v>768</v>
      </c>
      <c r="D283" s="250"/>
      <c r="E283" s="213"/>
      <c r="F283" s="213"/>
      <c r="G283" s="213"/>
      <c r="H283" s="213"/>
      <c r="I283" s="213"/>
      <c r="J283" s="213"/>
      <c r="K283" s="213"/>
      <c r="L283" s="213"/>
      <c r="M283" s="213"/>
      <c r="N283" s="213"/>
      <c r="O283" s="213"/>
      <c r="P283" s="213"/>
      <c r="Q283" s="213"/>
      <c r="R283" s="213"/>
      <c r="S283" s="213"/>
      <c r="T283" s="211">
        <f>INDEX($C$199:$AN$221,MATCH("New Customers 1MS",$C$199:$C$221,0),MATCH($C283,$C$199:$AN$199,0))</f>
        <v>5.2648400000000004</v>
      </c>
      <c r="U283" s="211">
        <f t="shared" ref="U283:AN283" si="190">$T$283*(E266)</f>
        <v>0.36853880000000006</v>
      </c>
      <c r="V283" s="211">
        <f t="shared" si="190"/>
        <v>0.36853880000000006</v>
      </c>
      <c r="W283" s="211">
        <f t="shared" si="190"/>
        <v>0.36853880000000006</v>
      </c>
      <c r="X283" s="211">
        <f t="shared" si="190"/>
        <v>0.31589040000000002</v>
      </c>
      <c r="Y283" s="211">
        <f t="shared" si="190"/>
        <v>0.31589040000000002</v>
      </c>
      <c r="Z283" s="211">
        <f t="shared" si="190"/>
        <v>0.31589040000000002</v>
      </c>
      <c r="AA283" s="211">
        <f t="shared" si="190"/>
        <v>0.26324200000000003</v>
      </c>
      <c r="AB283" s="211">
        <f t="shared" si="190"/>
        <v>0.26324200000000003</v>
      </c>
      <c r="AC283" s="211">
        <f t="shared" si="190"/>
        <v>0.26324200000000003</v>
      </c>
      <c r="AD283" s="211">
        <f t="shared" si="190"/>
        <v>0.21059360000000002</v>
      </c>
      <c r="AE283" s="211">
        <f t="shared" si="190"/>
        <v>0.21059360000000002</v>
      </c>
      <c r="AF283" s="211">
        <f t="shared" si="190"/>
        <v>0.21059360000000002</v>
      </c>
      <c r="AG283" s="211">
        <f t="shared" si="190"/>
        <v>0.15794520000000001</v>
      </c>
      <c r="AH283" s="211">
        <f t="shared" si="190"/>
        <v>0.15794520000000001</v>
      </c>
      <c r="AI283" s="211">
        <f t="shared" si="190"/>
        <v>0.15794520000000001</v>
      </c>
      <c r="AJ283" s="211">
        <f t="shared" si="190"/>
        <v>0.10529680000000001</v>
      </c>
      <c r="AK283" s="211">
        <f t="shared" si="190"/>
        <v>0.10529680000000001</v>
      </c>
      <c r="AL283" s="211">
        <f t="shared" si="190"/>
        <v>0.10529680000000001</v>
      </c>
      <c r="AM283" s="211">
        <f t="shared" si="190"/>
        <v>5.2648400000000005E-2</v>
      </c>
      <c r="AN283" s="211">
        <f t="shared" si="190"/>
        <v>5.2648400000000005E-2</v>
      </c>
    </row>
    <row r="284" spans="2:40" s="7" customFormat="1" ht="12" hidden="1" customHeight="1" outlineLevel="2">
      <c r="B284" s="245"/>
      <c r="C284" s="250" t="s">
        <v>769</v>
      </c>
      <c r="D284" s="250"/>
      <c r="E284" s="213"/>
      <c r="F284" s="213"/>
      <c r="G284" s="213"/>
      <c r="H284" s="213"/>
      <c r="I284" s="213"/>
      <c r="J284" s="213"/>
      <c r="K284" s="213"/>
      <c r="L284" s="213"/>
      <c r="M284" s="213"/>
      <c r="N284" s="213"/>
      <c r="O284" s="213"/>
      <c r="P284" s="213"/>
      <c r="Q284" s="213"/>
      <c r="R284" s="213"/>
      <c r="S284" s="213"/>
      <c r="T284" s="213"/>
      <c r="U284" s="211">
        <f>INDEX($C$199:$AN$221,MATCH("New Customers 1MS",$C$199:$C$221,0),MATCH($C284,$C$199:$AN$199,0))</f>
        <v>7.0510500000000009</v>
      </c>
      <c r="V284" s="211">
        <f t="shared" ref="V284:AN284" si="191">$U$284*(E266)</f>
        <v>0.49357350000000011</v>
      </c>
      <c r="W284" s="211">
        <f t="shared" si="191"/>
        <v>0.49357350000000011</v>
      </c>
      <c r="X284" s="211">
        <f t="shared" si="191"/>
        <v>0.49357350000000011</v>
      </c>
      <c r="Y284" s="211">
        <f t="shared" si="191"/>
        <v>0.42306300000000002</v>
      </c>
      <c r="Z284" s="211">
        <f t="shared" si="191"/>
        <v>0.42306300000000002</v>
      </c>
      <c r="AA284" s="211">
        <f t="shared" si="191"/>
        <v>0.42306300000000002</v>
      </c>
      <c r="AB284" s="211">
        <f t="shared" si="191"/>
        <v>0.35255250000000005</v>
      </c>
      <c r="AC284" s="211">
        <f t="shared" si="191"/>
        <v>0.35255250000000005</v>
      </c>
      <c r="AD284" s="211">
        <f t="shared" si="191"/>
        <v>0.35255250000000005</v>
      </c>
      <c r="AE284" s="211">
        <f t="shared" si="191"/>
        <v>0.28204200000000007</v>
      </c>
      <c r="AF284" s="211">
        <f t="shared" si="191"/>
        <v>0.28204200000000007</v>
      </c>
      <c r="AG284" s="211">
        <f t="shared" si="191"/>
        <v>0.28204200000000007</v>
      </c>
      <c r="AH284" s="211">
        <f t="shared" si="191"/>
        <v>0.21153150000000001</v>
      </c>
      <c r="AI284" s="211">
        <f t="shared" si="191"/>
        <v>0.21153150000000001</v>
      </c>
      <c r="AJ284" s="211">
        <f t="shared" si="191"/>
        <v>0.21153150000000001</v>
      </c>
      <c r="AK284" s="211">
        <f t="shared" si="191"/>
        <v>0.14102100000000004</v>
      </c>
      <c r="AL284" s="211">
        <f t="shared" si="191"/>
        <v>0.14102100000000004</v>
      </c>
      <c r="AM284" s="211">
        <f t="shared" si="191"/>
        <v>0.14102100000000004</v>
      </c>
      <c r="AN284" s="211">
        <f t="shared" si="191"/>
        <v>7.0510500000000018E-2</v>
      </c>
    </row>
    <row r="285" spans="2:40" s="7" customFormat="1" ht="12" hidden="1" customHeight="1" outlineLevel="2">
      <c r="B285" s="245"/>
      <c r="C285" s="250" t="s">
        <v>770</v>
      </c>
      <c r="D285" s="250"/>
      <c r="E285" s="213"/>
      <c r="F285" s="213"/>
      <c r="G285" s="213"/>
      <c r="H285" s="213"/>
      <c r="I285" s="213"/>
      <c r="J285" s="213"/>
      <c r="K285" s="213"/>
      <c r="L285" s="213"/>
      <c r="M285" s="213"/>
      <c r="N285" s="213"/>
      <c r="O285" s="213"/>
      <c r="P285" s="213"/>
      <c r="Q285" s="213"/>
      <c r="R285" s="213"/>
      <c r="S285" s="213"/>
      <c r="T285" s="213"/>
      <c r="U285" s="213"/>
      <c r="V285" s="211">
        <f>INDEX($C$199:$AN$221,MATCH("New Customers 1MS",$C$199:$C$221,0),MATCH($C285,$C$199:$AN$199,0))</f>
        <v>11.415900000000002</v>
      </c>
      <c r="W285" s="211">
        <f t="shared" ref="W285:AN285" si="192">$V$285*(E266)</f>
        <v>0.7991130000000003</v>
      </c>
      <c r="X285" s="211">
        <f t="shared" si="192"/>
        <v>0.7991130000000003</v>
      </c>
      <c r="Y285" s="211">
        <f t="shared" si="192"/>
        <v>0.7991130000000003</v>
      </c>
      <c r="Z285" s="211">
        <f t="shared" si="192"/>
        <v>0.68495400000000006</v>
      </c>
      <c r="AA285" s="211">
        <f t="shared" si="192"/>
        <v>0.68495400000000006</v>
      </c>
      <c r="AB285" s="211">
        <f t="shared" si="192"/>
        <v>0.68495400000000006</v>
      </c>
      <c r="AC285" s="211">
        <f t="shared" si="192"/>
        <v>0.57079500000000016</v>
      </c>
      <c r="AD285" s="211">
        <f t="shared" si="192"/>
        <v>0.57079500000000016</v>
      </c>
      <c r="AE285" s="211">
        <f t="shared" si="192"/>
        <v>0.57079500000000016</v>
      </c>
      <c r="AF285" s="211">
        <f t="shared" si="192"/>
        <v>0.4566360000000001</v>
      </c>
      <c r="AG285" s="211">
        <f t="shared" si="192"/>
        <v>0.4566360000000001</v>
      </c>
      <c r="AH285" s="211">
        <f t="shared" si="192"/>
        <v>0.4566360000000001</v>
      </c>
      <c r="AI285" s="211">
        <f t="shared" si="192"/>
        <v>0.34247700000000003</v>
      </c>
      <c r="AJ285" s="211">
        <f t="shared" si="192"/>
        <v>0.34247700000000003</v>
      </c>
      <c r="AK285" s="211">
        <f t="shared" si="192"/>
        <v>0.34247700000000003</v>
      </c>
      <c r="AL285" s="211">
        <f t="shared" si="192"/>
        <v>0.22831800000000005</v>
      </c>
      <c r="AM285" s="211">
        <f t="shared" si="192"/>
        <v>0.22831800000000005</v>
      </c>
      <c r="AN285" s="211">
        <f t="shared" si="192"/>
        <v>0.22831800000000005</v>
      </c>
    </row>
    <row r="286" spans="2:40" s="7" customFormat="1" ht="12" hidden="1" customHeight="1" outlineLevel="2">
      <c r="B286" s="245"/>
      <c r="C286" s="250" t="s">
        <v>771</v>
      </c>
      <c r="D286" s="250"/>
      <c r="E286" s="213"/>
      <c r="F286" s="213"/>
      <c r="G286" s="213"/>
      <c r="H286" s="213"/>
      <c r="I286" s="213"/>
      <c r="J286" s="213"/>
      <c r="K286" s="213"/>
      <c r="L286" s="213"/>
      <c r="M286" s="213"/>
      <c r="N286" s="213"/>
      <c r="O286" s="213"/>
      <c r="P286" s="213"/>
      <c r="Q286" s="213"/>
      <c r="R286" s="213"/>
      <c r="S286" s="213"/>
      <c r="T286" s="213"/>
      <c r="U286" s="213"/>
      <c r="V286" s="213"/>
      <c r="W286" s="211">
        <f>INDEX($C$199:$AN$221,MATCH("New Customers 1MS",$C$199:$C$221,0),MATCH($C286,$C$199:$AN$199,0))</f>
        <v>4.4991799999999991</v>
      </c>
      <c r="X286" s="211">
        <f t="shared" ref="X286:AN286" si="193">$W$286*(E266)</f>
        <v>0.31494259999999996</v>
      </c>
      <c r="Y286" s="211">
        <f t="shared" si="193"/>
        <v>0.31494259999999996</v>
      </c>
      <c r="Z286" s="211">
        <f t="shared" si="193"/>
        <v>0.31494259999999996</v>
      </c>
      <c r="AA286" s="211">
        <f t="shared" si="193"/>
        <v>0.26995079999999994</v>
      </c>
      <c r="AB286" s="211">
        <f t="shared" si="193"/>
        <v>0.26995079999999994</v>
      </c>
      <c r="AC286" s="211">
        <f t="shared" si="193"/>
        <v>0.26995079999999994</v>
      </c>
      <c r="AD286" s="211">
        <f t="shared" si="193"/>
        <v>0.22495899999999996</v>
      </c>
      <c r="AE286" s="211">
        <f t="shared" si="193"/>
        <v>0.22495899999999996</v>
      </c>
      <c r="AF286" s="211">
        <f t="shared" si="193"/>
        <v>0.22495899999999996</v>
      </c>
      <c r="AG286" s="211">
        <f t="shared" si="193"/>
        <v>0.17996719999999997</v>
      </c>
      <c r="AH286" s="211">
        <f t="shared" si="193"/>
        <v>0.17996719999999997</v>
      </c>
      <c r="AI286" s="211">
        <f t="shared" si="193"/>
        <v>0.17996719999999997</v>
      </c>
      <c r="AJ286" s="211">
        <f t="shared" si="193"/>
        <v>0.13497539999999997</v>
      </c>
      <c r="AK286" s="211">
        <f t="shared" si="193"/>
        <v>0.13497539999999997</v>
      </c>
      <c r="AL286" s="211">
        <f t="shared" si="193"/>
        <v>0.13497539999999997</v>
      </c>
      <c r="AM286" s="211">
        <f t="shared" si="193"/>
        <v>8.9983599999999983E-2</v>
      </c>
      <c r="AN286" s="211">
        <f t="shared" si="193"/>
        <v>8.9983599999999983E-2</v>
      </c>
    </row>
    <row r="287" spans="2:40" s="7" customFormat="1" ht="12" hidden="1" customHeight="1" outlineLevel="2">
      <c r="B287" s="245"/>
      <c r="C287" s="250" t="s">
        <v>772</v>
      </c>
      <c r="D287" s="250"/>
      <c r="E287" s="213"/>
      <c r="F287" s="213"/>
      <c r="G287" s="213"/>
      <c r="H287" s="213"/>
      <c r="I287" s="213"/>
      <c r="J287" s="213"/>
      <c r="K287" s="213"/>
      <c r="L287" s="213"/>
      <c r="M287" s="213"/>
      <c r="N287" s="213"/>
      <c r="O287" s="213"/>
      <c r="P287" s="213"/>
      <c r="Q287" s="213"/>
      <c r="R287" s="213"/>
      <c r="S287" s="213"/>
      <c r="T287" s="213"/>
      <c r="U287" s="213"/>
      <c r="V287" s="213"/>
      <c r="W287" s="213"/>
      <c r="X287" s="211">
        <f>INDEX($C$199:$AN$221,MATCH("New Customers 1MS",$C$199:$C$221,0),MATCH($C287,$C$199:$AN$199,0))</f>
        <v>6.7765500000000003</v>
      </c>
      <c r="Y287" s="211">
        <f t="shared" ref="Y287:AN287" si="194">$X$287*(E266)</f>
        <v>0.47435850000000007</v>
      </c>
      <c r="Z287" s="211">
        <f t="shared" si="194"/>
        <v>0.47435850000000007</v>
      </c>
      <c r="AA287" s="211">
        <f t="shared" si="194"/>
        <v>0.47435850000000007</v>
      </c>
      <c r="AB287" s="211">
        <f t="shared" si="194"/>
        <v>0.40659299999999998</v>
      </c>
      <c r="AC287" s="211">
        <f t="shared" si="194"/>
        <v>0.40659299999999998</v>
      </c>
      <c r="AD287" s="211">
        <f t="shared" si="194"/>
        <v>0.40659299999999998</v>
      </c>
      <c r="AE287" s="211">
        <f t="shared" si="194"/>
        <v>0.33882750000000006</v>
      </c>
      <c r="AF287" s="211">
        <f t="shared" si="194"/>
        <v>0.33882750000000006</v>
      </c>
      <c r="AG287" s="211">
        <f t="shared" si="194"/>
        <v>0.33882750000000006</v>
      </c>
      <c r="AH287" s="211">
        <f t="shared" si="194"/>
        <v>0.27106200000000003</v>
      </c>
      <c r="AI287" s="211">
        <f t="shared" si="194"/>
        <v>0.27106200000000003</v>
      </c>
      <c r="AJ287" s="211">
        <f t="shared" si="194"/>
        <v>0.27106200000000003</v>
      </c>
      <c r="AK287" s="211">
        <f t="shared" si="194"/>
        <v>0.20329649999999999</v>
      </c>
      <c r="AL287" s="211">
        <f t="shared" si="194"/>
        <v>0.20329649999999999</v>
      </c>
      <c r="AM287" s="211">
        <f t="shared" si="194"/>
        <v>0.20329649999999999</v>
      </c>
      <c r="AN287" s="211">
        <f t="shared" si="194"/>
        <v>0.13553100000000001</v>
      </c>
    </row>
    <row r="288" spans="2:40" s="7" customFormat="1" ht="12" hidden="1" customHeight="1" outlineLevel="2">
      <c r="B288" s="245"/>
      <c r="C288" s="250" t="s">
        <v>773</v>
      </c>
      <c r="D288" s="250"/>
      <c r="E288" s="213"/>
      <c r="F288" s="213"/>
      <c r="G288" s="213"/>
      <c r="H288" s="213"/>
      <c r="I288" s="213"/>
      <c r="J288" s="213"/>
      <c r="K288" s="213"/>
      <c r="L288" s="213"/>
      <c r="M288" s="213"/>
      <c r="N288" s="213"/>
      <c r="O288" s="213"/>
      <c r="P288" s="213"/>
      <c r="Q288" s="213"/>
      <c r="R288" s="213"/>
      <c r="S288" s="213"/>
      <c r="T288" s="213"/>
      <c r="U288" s="213"/>
      <c r="V288" s="213"/>
      <c r="W288" s="213"/>
      <c r="X288" s="213"/>
      <c r="Y288" s="211">
        <f>INDEX($C$199:$AN$221,MATCH("New Customers 1MS",$C$199:$C$221,0),MATCH($C288,$C$199:$AN$199,0))</f>
        <v>15.600000000000001</v>
      </c>
      <c r="Z288" s="211">
        <f t="shared" ref="Z288:AN288" si="195">$Y$288*(E266)</f>
        <v>1.0920000000000003</v>
      </c>
      <c r="AA288" s="211">
        <f t="shared" si="195"/>
        <v>1.0920000000000003</v>
      </c>
      <c r="AB288" s="211">
        <f t="shared" si="195"/>
        <v>1.0920000000000003</v>
      </c>
      <c r="AC288" s="211">
        <f t="shared" si="195"/>
        <v>0.93600000000000005</v>
      </c>
      <c r="AD288" s="211">
        <f t="shared" si="195"/>
        <v>0.93600000000000005</v>
      </c>
      <c r="AE288" s="211">
        <f t="shared" si="195"/>
        <v>0.93600000000000005</v>
      </c>
      <c r="AF288" s="211">
        <f t="shared" si="195"/>
        <v>0.78000000000000014</v>
      </c>
      <c r="AG288" s="211">
        <f t="shared" si="195"/>
        <v>0.78000000000000014</v>
      </c>
      <c r="AH288" s="211">
        <f t="shared" si="195"/>
        <v>0.78000000000000014</v>
      </c>
      <c r="AI288" s="211">
        <f t="shared" si="195"/>
        <v>0.62400000000000011</v>
      </c>
      <c r="AJ288" s="211">
        <f t="shared" si="195"/>
        <v>0.62400000000000011</v>
      </c>
      <c r="AK288" s="211">
        <f t="shared" si="195"/>
        <v>0.62400000000000011</v>
      </c>
      <c r="AL288" s="211">
        <f t="shared" si="195"/>
        <v>0.46800000000000003</v>
      </c>
      <c r="AM288" s="211">
        <f t="shared" si="195"/>
        <v>0.46800000000000003</v>
      </c>
      <c r="AN288" s="211">
        <f t="shared" si="195"/>
        <v>0.46800000000000003</v>
      </c>
    </row>
    <row r="289" spans="2:40" s="7" customFormat="1" ht="12" hidden="1" customHeight="1" outlineLevel="2">
      <c r="B289" s="245"/>
      <c r="C289" s="250" t="s">
        <v>774</v>
      </c>
      <c r="D289" s="250"/>
      <c r="E289" s="213"/>
      <c r="F289" s="213"/>
      <c r="G289" s="213"/>
      <c r="H289" s="213"/>
      <c r="I289" s="213"/>
      <c r="J289" s="213"/>
      <c r="K289" s="213"/>
      <c r="L289" s="213"/>
      <c r="M289" s="213"/>
      <c r="N289" s="213"/>
      <c r="O289" s="213"/>
      <c r="P289" s="213"/>
      <c r="Q289" s="213"/>
      <c r="R289" s="213"/>
      <c r="S289" s="213"/>
      <c r="T289" s="213"/>
      <c r="U289" s="213"/>
      <c r="V289" s="213"/>
      <c r="W289" s="213"/>
      <c r="X289" s="213"/>
      <c r="Y289" s="213"/>
      <c r="Z289" s="211">
        <f>INDEX($C$199:$AN$221,MATCH("New Customers 1MS",$C$199:$C$221,0),MATCH($C289,$C$199:$AN$199,0))</f>
        <v>14.4</v>
      </c>
      <c r="AA289" s="211">
        <f t="shared" ref="AA289:AN289" si="196">$Z$289*(E266)</f>
        <v>1.0080000000000002</v>
      </c>
      <c r="AB289" s="211">
        <f t="shared" si="196"/>
        <v>1.0080000000000002</v>
      </c>
      <c r="AC289" s="211">
        <f t="shared" si="196"/>
        <v>1.0080000000000002</v>
      </c>
      <c r="AD289" s="211">
        <f t="shared" si="196"/>
        <v>0.86399999999999999</v>
      </c>
      <c r="AE289" s="211">
        <f t="shared" si="196"/>
        <v>0.86399999999999999</v>
      </c>
      <c r="AF289" s="211">
        <f t="shared" si="196"/>
        <v>0.86399999999999999</v>
      </c>
      <c r="AG289" s="211">
        <f t="shared" si="196"/>
        <v>0.72000000000000008</v>
      </c>
      <c r="AH289" s="211">
        <f t="shared" si="196"/>
        <v>0.72000000000000008</v>
      </c>
      <c r="AI289" s="211">
        <f t="shared" si="196"/>
        <v>0.72000000000000008</v>
      </c>
      <c r="AJ289" s="211">
        <f t="shared" si="196"/>
        <v>0.57600000000000007</v>
      </c>
      <c r="AK289" s="211">
        <f t="shared" si="196"/>
        <v>0.57600000000000007</v>
      </c>
      <c r="AL289" s="211">
        <f t="shared" si="196"/>
        <v>0.57600000000000007</v>
      </c>
      <c r="AM289" s="211">
        <f t="shared" si="196"/>
        <v>0.432</v>
      </c>
      <c r="AN289" s="211">
        <f t="shared" si="196"/>
        <v>0.432</v>
      </c>
    </row>
    <row r="290" spans="2:40" s="7" customFormat="1" ht="12" hidden="1" customHeight="1" outlineLevel="2">
      <c r="B290" s="245"/>
      <c r="C290" s="250" t="s">
        <v>775</v>
      </c>
      <c r="D290" s="250"/>
      <c r="E290" s="213"/>
      <c r="F290" s="213"/>
      <c r="G290" s="213"/>
      <c r="H290" s="213"/>
      <c r="I290" s="213"/>
      <c r="J290" s="213"/>
      <c r="K290" s="213"/>
      <c r="L290" s="213"/>
      <c r="M290" s="213"/>
      <c r="N290" s="213"/>
      <c r="O290" s="213"/>
      <c r="P290" s="213"/>
      <c r="Q290" s="213"/>
      <c r="R290" s="213"/>
      <c r="S290" s="213"/>
      <c r="T290" s="213"/>
      <c r="U290" s="213"/>
      <c r="V290" s="213"/>
      <c r="W290" s="213"/>
      <c r="X290" s="213"/>
      <c r="Y290" s="213"/>
      <c r="Z290" s="213"/>
      <c r="AA290" s="211">
        <f>INDEX($C$199:$AN$221,MATCH("New Customers 1MS",$C$199:$C$221,0),MATCH($C290,$C$199:$AN$199,0))</f>
        <v>4.8000000000000007</v>
      </c>
      <c r="AB290" s="211">
        <f t="shared" ref="AB290:AN290" si="197">$AA$290*(E266)</f>
        <v>0.33600000000000008</v>
      </c>
      <c r="AC290" s="211">
        <f t="shared" si="197"/>
        <v>0.33600000000000008</v>
      </c>
      <c r="AD290" s="211">
        <f t="shared" si="197"/>
        <v>0.33600000000000008</v>
      </c>
      <c r="AE290" s="211">
        <f t="shared" si="197"/>
        <v>0.28800000000000003</v>
      </c>
      <c r="AF290" s="211">
        <f t="shared" si="197"/>
        <v>0.28800000000000003</v>
      </c>
      <c r="AG290" s="211">
        <f t="shared" si="197"/>
        <v>0.28800000000000003</v>
      </c>
      <c r="AH290" s="211">
        <f t="shared" si="197"/>
        <v>0.24000000000000005</v>
      </c>
      <c r="AI290" s="211">
        <f t="shared" si="197"/>
        <v>0.24000000000000005</v>
      </c>
      <c r="AJ290" s="211">
        <f t="shared" si="197"/>
        <v>0.24000000000000005</v>
      </c>
      <c r="AK290" s="211">
        <f t="shared" si="197"/>
        <v>0.19200000000000003</v>
      </c>
      <c r="AL290" s="211">
        <f t="shared" si="197"/>
        <v>0.19200000000000003</v>
      </c>
      <c r="AM290" s="211">
        <f t="shared" si="197"/>
        <v>0.19200000000000003</v>
      </c>
      <c r="AN290" s="211">
        <f t="shared" si="197"/>
        <v>0.14400000000000002</v>
      </c>
    </row>
    <row r="291" spans="2:40" s="7" customFormat="1" ht="12" hidden="1" customHeight="1" outlineLevel="2">
      <c r="B291" s="245"/>
      <c r="C291" s="250" t="s">
        <v>776</v>
      </c>
      <c r="D291" s="250"/>
      <c r="E291" s="213"/>
      <c r="F291" s="213"/>
      <c r="G291" s="213"/>
      <c r="H291" s="213"/>
      <c r="I291" s="213"/>
      <c r="J291" s="213"/>
      <c r="K291" s="213"/>
      <c r="L291" s="213"/>
      <c r="M291" s="213"/>
      <c r="N291" s="213"/>
      <c r="O291" s="213"/>
      <c r="P291" s="213"/>
      <c r="Q291" s="213"/>
      <c r="R291" s="213"/>
      <c r="S291" s="213"/>
      <c r="T291" s="213"/>
      <c r="U291" s="213"/>
      <c r="V291" s="213"/>
      <c r="W291" s="213"/>
      <c r="X291" s="213"/>
      <c r="Y291" s="213"/>
      <c r="Z291" s="213"/>
      <c r="AA291" s="213"/>
      <c r="AB291" s="211">
        <f>INDEX($C$199:$AN$221,MATCH("New Customers 1MS",$C$199:$C$221,0),MATCH($C291,$C$199:$AN$199,0))</f>
        <v>4.8000000000000007</v>
      </c>
      <c r="AC291" s="211">
        <f t="shared" ref="AC291:AN291" si="198">$AB$291*(E266)</f>
        <v>0.33600000000000008</v>
      </c>
      <c r="AD291" s="211">
        <f t="shared" si="198"/>
        <v>0.33600000000000008</v>
      </c>
      <c r="AE291" s="211">
        <f t="shared" si="198"/>
        <v>0.33600000000000008</v>
      </c>
      <c r="AF291" s="211">
        <f t="shared" si="198"/>
        <v>0.28800000000000003</v>
      </c>
      <c r="AG291" s="211">
        <f t="shared" si="198"/>
        <v>0.28800000000000003</v>
      </c>
      <c r="AH291" s="211">
        <f t="shared" si="198"/>
        <v>0.28800000000000003</v>
      </c>
      <c r="AI291" s="211">
        <f t="shared" si="198"/>
        <v>0.24000000000000005</v>
      </c>
      <c r="AJ291" s="211">
        <f t="shared" si="198"/>
        <v>0.24000000000000005</v>
      </c>
      <c r="AK291" s="211">
        <f t="shared" si="198"/>
        <v>0.24000000000000005</v>
      </c>
      <c r="AL291" s="211">
        <f t="shared" si="198"/>
        <v>0.19200000000000003</v>
      </c>
      <c r="AM291" s="211">
        <f t="shared" si="198"/>
        <v>0.19200000000000003</v>
      </c>
      <c r="AN291" s="211">
        <f t="shared" si="198"/>
        <v>0.19200000000000003</v>
      </c>
    </row>
    <row r="292" spans="2:40" s="7" customFormat="1" ht="12" hidden="1" customHeight="1" outlineLevel="2">
      <c r="B292" s="245"/>
      <c r="C292" s="250" t="s">
        <v>777</v>
      </c>
      <c r="D292" s="250"/>
      <c r="E292" s="213"/>
      <c r="F292" s="213"/>
      <c r="G292" s="213"/>
      <c r="H292" s="213"/>
      <c r="I292" s="213"/>
      <c r="J292" s="213"/>
      <c r="K292" s="213"/>
      <c r="L292" s="213"/>
      <c r="M292" s="213"/>
      <c r="N292" s="213"/>
      <c r="O292" s="213"/>
      <c r="P292" s="213"/>
      <c r="Q292" s="213"/>
      <c r="R292" s="213"/>
      <c r="S292" s="213"/>
      <c r="T292" s="213"/>
      <c r="U292" s="213"/>
      <c r="V292" s="213"/>
      <c r="W292" s="213"/>
      <c r="X292" s="213"/>
      <c r="Y292" s="213"/>
      <c r="Z292" s="213"/>
      <c r="AA292" s="213"/>
      <c r="AB292" s="211"/>
      <c r="AC292" s="211">
        <f>INDEX($C$199:$AN$221,MATCH("New Customers 1MS",$C$199:$C$221,0),MATCH($C292,$C$199:$AN$199,0))</f>
        <v>4.6528320000000001</v>
      </c>
      <c r="AD292" s="211">
        <f t="shared" ref="AD292:AN292" si="199">$AC$292*(E266)</f>
        <v>0.32569824000000003</v>
      </c>
      <c r="AE292" s="211">
        <f t="shared" si="199"/>
        <v>0.32569824000000003</v>
      </c>
      <c r="AF292" s="211">
        <f t="shared" si="199"/>
        <v>0.32569824000000003</v>
      </c>
      <c r="AG292" s="211">
        <f t="shared" si="199"/>
        <v>0.27916992000000002</v>
      </c>
      <c r="AH292" s="211">
        <f t="shared" si="199"/>
        <v>0.27916992000000002</v>
      </c>
      <c r="AI292" s="211">
        <f t="shared" si="199"/>
        <v>0.27916992000000002</v>
      </c>
      <c r="AJ292" s="211">
        <f t="shared" si="199"/>
        <v>0.2326416</v>
      </c>
      <c r="AK292" s="211">
        <f t="shared" si="199"/>
        <v>0.2326416</v>
      </c>
      <c r="AL292" s="211">
        <f t="shared" si="199"/>
        <v>0.2326416</v>
      </c>
      <c r="AM292" s="211">
        <f t="shared" si="199"/>
        <v>0.18611328000000002</v>
      </c>
      <c r="AN292" s="211">
        <f t="shared" si="199"/>
        <v>0.18611328000000002</v>
      </c>
    </row>
    <row r="293" spans="2:40" s="7" customFormat="1" ht="12" hidden="1" customHeight="1" outlineLevel="2">
      <c r="B293" s="245"/>
      <c r="C293" s="250" t="s">
        <v>778</v>
      </c>
      <c r="D293" s="250"/>
      <c r="E293" s="213"/>
      <c r="F293" s="213"/>
      <c r="G293" s="213"/>
      <c r="H293" s="213"/>
      <c r="I293" s="213"/>
      <c r="J293" s="213"/>
      <c r="K293" s="213"/>
      <c r="L293" s="213"/>
      <c r="M293" s="213"/>
      <c r="N293" s="213"/>
      <c r="O293" s="213"/>
      <c r="P293" s="213"/>
      <c r="Q293" s="213"/>
      <c r="R293" s="213"/>
      <c r="S293" s="213"/>
      <c r="T293" s="213"/>
      <c r="U293" s="213"/>
      <c r="V293" s="213"/>
      <c r="W293" s="213"/>
      <c r="X293" s="213"/>
      <c r="Y293" s="213"/>
      <c r="Z293" s="213"/>
      <c r="AA293" s="213"/>
      <c r="AB293" s="211"/>
      <c r="AC293" s="211"/>
      <c r="AD293" s="211">
        <f>INDEX($C$199:$AN$221,MATCH("New Customers 1MS",$C$199:$C$221,0),MATCH($C293,$C$199:$AN$199,0))</f>
        <v>11.682383999999999</v>
      </c>
      <c r="AE293" s="211">
        <f t="shared" ref="AE293:AN293" si="200">$AD$293*(E266)</f>
        <v>0.81776687999999997</v>
      </c>
      <c r="AF293" s="211">
        <f t="shared" si="200"/>
        <v>0.81776687999999997</v>
      </c>
      <c r="AG293" s="211">
        <f t="shared" si="200"/>
        <v>0.81776687999999997</v>
      </c>
      <c r="AH293" s="211">
        <f t="shared" si="200"/>
        <v>0.70094303999999996</v>
      </c>
      <c r="AI293" s="211">
        <f t="shared" si="200"/>
        <v>0.70094303999999996</v>
      </c>
      <c r="AJ293" s="211">
        <f t="shared" si="200"/>
        <v>0.70094303999999996</v>
      </c>
      <c r="AK293" s="211">
        <f t="shared" si="200"/>
        <v>0.58411919999999995</v>
      </c>
      <c r="AL293" s="211">
        <f t="shared" si="200"/>
        <v>0.58411919999999995</v>
      </c>
      <c r="AM293" s="211">
        <f t="shared" si="200"/>
        <v>0.58411919999999995</v>
      </c>
      <c r="AN293" s="211">
        <f t="shared" si="200"/>
        <v>0.46729535999999999</v>
      </c>
    </row>
    <row r="294" spans="2:40" s="7" customFormat="1" ht="12" hidden="1" customHeight="1" outlineLevel="2">
      <c r="B294" s="245"/>
      <c r="C294" s="250" t="s">
        <v>779</v>
      </c>
      <c r="D294" s="250"/>
      <c r="E294" s="213"/>
      <c r="F294" s="213"/>
      <c r="G294" s="213"/>
      <c r="H294" s="213"/>
      <c r="I294" s="213"/>
      <c r="J294" s="213"/>
      <c r="K294" s="213"/>
      <c r="L294" s="213"/>
      <c r="M294" s="213"/>
      <c r="N294" s="213"/>
      <c r="O294" s="213"/>
      <c r="P294" s="213"/>
      <c r="Q294" s="213"/>
      <c r="R294" s="213"/>
      <c r="S294" s="213"/>
      <c r="T294" s="213"/>
      <c r="U294" s="213"/>
      <c r="V294" s="213"/>
      <c r="W294" s="213"/>
      <c r="X294" s="213"/>
      <c r="Y294" s="213"/>
      <c r="Z294" s="213"/>
      <c r="AA294" s="213"/>
      <c r="AB294" s="211"/>
      <c r="AC294" s="211"/>
      <c r="AD294" s="211"/>
      <c r="AE294" s="211">
        <f>INDEX($C$199:$AN$221,MATCH("New Customers 1MS",$C$199:$C$221,0),MATCH($C294,$C$199:$AN$199,0))</f>
        <v>9.1926120000000022</v>
      </c>
      <c r="AF294" s="211">
        <f t="shared" ref="AF294:AN294" si="201">$AE$294*(E266)</f>
        <v>0.64348284000000022</v>
      </c>
      <c r="AG294" s="211">
        <f t="shared" si="201"/>
        <v>0.64348284000000022</v>
      </c>
      <c r="AH294" s="211">
        <f t="shared" si="201"/>
        <v>0.64348284000000022</v>
      </c>
      <c r="AI294" s="211">
        <f t="shared" si="201"/>
        <v>0.55155672000000011</v>
      </c>
      <c r="AJ294" s="211">
        <f t="shared" si="201"/>
        <v>0.55155672000000011</v>
      </c>
      <c r="AK294" s="211">
        <f t="shared" si="201"/>
        <v>0.55155672000000011</v>
      </c>
      <c r="AL294" s="211">
        <f t="shared" si="201"/>
        <v>0.45963060000000011</v>
      </c>
      <c r="AM294" s="211">
        <f t="shared" si="201"/>
        <v>0.45963060000000011</v>
      </c>
      <c r="AN294" s="211">
        <f t="shared" si="201"/>
        <v>0.45963060000000011</v>
      </c>
    </row>
    <row r="295" spans="2:40" s="7" customFormat="1" ht="12" hidden="1" customHeight="1" outlineLevel="2">
      <c r="B295" s="245"/>
      <c r="C295" s="250" t="s">
        <v>780</v>
      </c>
      <c r="D295" s="250"/>
      <c r="E295" s="213"/>
      <c r="F295" s="213"/>
      <c r="G295" s="213"/>
      <c r="H295" s="213"/>
      <c r="I295" s="213"/>
      <c r="J295" s="213"/>
      <c r="K295" s="213"/>
      <c r="L295" s="213"/>
      <c r="M295" s="213"/>
      <c r="N295" s="213"/>
      <c r="O295" s="213"/>
      <c r="P295" s="213"/>
      <c r="Q295" s="213"/>
      <c r="R295" s="213"/>
      <c r="S295" s="213"/>
      <c r="T295" s="213"/>
      <c r="U295" s="213"/>
      <c r="V295" s="213"/>
      <c r="W295" s="213"/>
      <c r="X295" s="213"/>
      <c r="Y295" s="213"/>
      <c r="Z295" s="213"/>
      <c r="AA295" s="213"/>
      <c r="AB295" s="211"/>
      <c r="AC295" s="211"/>
      <c r="AD295" s="211"/>
      <c r="AE295" s="211"/>
      <c r="AF295" s="211">
        <f>INDEX($C$199:$AN$221,MATCH("New Customers 1MS",$C$199:$C$221,0),MATCH($C295,$C$199:$AN$199,0))</f>
        <v>5.7913240000000004</v>
      </c>
      <c r="AG295" s="211">
        <f t="shared" ref="AG295:AN295" si="202">$AF$295*(E266)</f>
        <v>0.40539268000000006</v>
      </c>
      <c r="AH295" s="211">
        <f t="shared" si="202"/>
        <v>0.40539268000000006</v>
      </c>
      <c r="AI295" s="211">
        <f t="shared" si="202"/>
        <v>0.40539268000000006</v>
      </c>
      <c r="AJ295" s="211">
        <f t="shared" si="202"/>
        <v>0.34747944000000003</v>
      </c>
      <c r="AK295" s="211">
        <f t="shared" si="202"/>
        <v>0.34747944000000003</v>
      </c>
      <c r="AL295" s="211">
        <f t="shared" si="202"/>
        <v>0.34747944000000003</v>
      </c>
      <c r="AM295" s="211">
        <f t="shared" si="202"/>
        <v>0.28956620000000005</v>
      </c>
      <c r="AN295" s="211">
        <f t="shared" si="202"/>
        <v>0.28956620000000005</v>
      </c>
    </row>
    <row r="296" spans="2:40" s="7" customFormat="1" ht="12" hidden="1" customHeight="1" outlineLevel="2">
      <c r="B296" s="245"/>
      <c r="C296" s="250" t="s">
        <v>781</v>
      </c>
      <c r="D296" s="250"/>
      <c r="E296" s="213"/>
      <c r="F296" s="213"/>
      <c r="G296" s="213"/>
      <c r="H296" s="213"/>
      <c r="I296" s="213"/>
      <c r="J296" s="213"/>
      <c r="K296" s="213"/>
      <c r="L296" s="213"/>
      <c r="M296" s="213"/>
      <c r="N296" s="213"/>
      <c r="O296" s="213"/>
      <c r="P296" s="213"/>
      <c r="Q296" s="213"/>
      <c r="R296" s="213"/>
      <c r="S296" s="213"/>
      <c r="T296" s="213"/>
      <c r="U296" s="213"/>
      <c r="V296" s="213"/>
      <c r="W296" s="213"/>
      <c r="X296" s="213"/>
      <c r="Y296" s="213"/>
      <c r="Z296" s="213"/>
      <c r="AA296" s="213"/>
      <c r="AB296" s="211"/>
      <c r="AC296" s="211"/>
      <c r="AD296" s="211"/>
      <c r="AE296" s="211"/>
      <c r="AF296" s="211"/>
      <c r="AG296" s="211">
        <f>INDEX($C$199:$AN$221,MATCH("New Customers 1MS",$C$199:$C$221,0),MATCH($C296,$C$199:$AN$199,0))</f>
        <v>7.0510500000000009</v>
      </c>
      <c r="AH296" s="211">
        <f t="shared" ref="AH296:AN296" si="203">$AG$296*(E266)</f>
        <v>0.49357350000000011</v>
      </c>
      <c r="AI296" s="211">
        <f t="shared" si="203"/>
        <v>0.49357350000000011</v>
      </c>
      <c r="AJ296" s="211">
        <f t="shared" si="203"/>
        <v>0.49357350000000011</v>
      </c>
      <c r="AK296" s="211">
        <f t="shared" si="203"/>
        <v>0.42306300000000002</v>
      </c>
      <c r="AL296" s="211">
        <f t="shared" si="203"/>
        <v>0.42306300000000002</v>
      </c>
      <c r="AM296" s="211">
        <f t="shared" si="203"/>
        <v>0.42306300000000002</v>
      </c>
      <c r="AN296" s="211">
        <f t="shared" si="203"/>
        <v>0.35255250000000005</v>
      </c>
    </row>
    <row r="297" spans="2:40" s="7" customFormat="1" ht="12" hidden="1" customHeight="1" outlineLevel="2">
      <c r="B297" s="245"/>
      <c r="C297" s="250" t="s">
        <v>782</v>
      </c>
      <c r="D297" s="250"/>
      <c r="E297" s="213"/>
      <c r="F297" s="213"/>
      <c r="G297" s="213"/>
      <c r="H297" s="213"/>
      <c r="I297" s="213"/>
      <c r="J297" s="213"/>
      <c r="K297" s="213"/>
      <c r="L297" s="213"/>
      <c r="M297" s="213"/>
      <c r="N297" s="213"/>
      <c r="O297" s="213"/>
      <c r="P297" s="213"/>
      <c r="Q297" s="213"/>
      <c r="R297" s="213"/>
      <c r="S297" s="213"/>
      <c r="T297" s="213"/>
      <c r="U297" s="213"/>
      <c r="V297" s="213"/>
      <c r="W297" s="213"/>
      <c r="X297" s="213"/>
      <c r="Y297" s="213"/>
      <c r="Z297" s="213"/>
      <c r="AA297" s="213"/>
      <c r="AB297" s="211"/>
      <c r="AC297" s="211"/>
      <c r="AD297" s="211"/>
      <c r="AE297" s="211"/>
      <c r="AF297" s="211"/>
      <c r="AG297" s="211"/>
      <c r="AH297" s="211">
        <f>INDEX($C$199:$AN$221,MATCH("New Customers 1MS",$C$199:$C$221,0),MATCH($C297,$C$199:$AN$199,0))</f>
        <v>17.123850000000001</v>
      </c>
      <c r="AI297" s="211">
        <f t="shared" ref="AI297:AN297" si="204">$AH$297*(E266)</f>
        <v>1.1986695000000003</v>
      </c>
      <c r="AJ297" s="211">
        <f t="shared" si="204"/>
        <v>1.1986695000000003</v>
      </c>
      <c r="AK297" s="211">
        <f t="shared" si="204"/>
        <v>1.1986695000000003</v>
      </c>
      <c r="AL297" s="211">
        <f t="shared" si="204"/>
        <v>1.027431</v>
      </c>
      <c r="AM297" s="211">
        <f t="shared" si="204"/>
        <v>1.027431</v>
      </c>
      <c r="AN297" s="211">
        <f t="shared" si="204"/>
        <v>1.027431</v>
      </c>
    </row>
    <row r="298" spans="2:40" s="7" customFormat="1" ht="12" hidden="1" customHeight="1" outlineLevel="2">
      <c r="B298" s="245"/>
      <c r="C298" s="250" t="s">
        <v>783</v>
      </c>
      <c r="D298" s="250"/>
      <c r="E298" s="213"/>
      <c r="F298" s="213"/>
      <c r="G298" s="213"/>
      <c r="H298" s="213"/>
      <c r="I298" s="213"/>
      <c r="J298" s="213"/>
      <c r="K298" s="213"/>
      <c r="L298" s="213"/>
      <c r="M298" s="213"/>
      <c r="N298" s="213"/>
      <c r="O298" s="213"/>
      <c r="P298" s="213"/>
      <c r="Q298" s="213"/>
      <c r="R298" s="213"/>
      <c r="S298" s="213"/>
      <c r="T298" s="213"/>
      <c r="U298" s="213"/>
      <c r="V298" s="213"/>
      <c r="W298" s="213"/>
      <c r="X298" s="213"/>
      <c r="Y298" s="213"/>
      <c r="Z298" s="213"/>
      <c r="AA298" s="213"/>
      <c r="AB298" s="211"/>
      <c r="AC298" s="211"/>
      <c r="AD298" s="211"/>
      <c r="AE298" s="211"/>
      <c r="AF298" s="211"/>
      <c r="AG298" s="211"/>
      <c r="AH298" s="211"/>
      <c r="AI298" s="211">
        <f>INDEX($C$199:$AN$221,MATCH("New Customers 1MS",$C$199:$C$221,0),MATCH($C298,$C$199:$AN$199,0))</f>
        <v>3.1494259999999996</v>
      </c>
      <c r="AJ298" s="211">
        <f>$AI$298*(E266)</f>
        <v>0.22045982</v>
      </c>
      <c r="AK298" s="211">
        <f>$AI$298*(F266)</f>
        <v>0.22045982</v>
      </c>
      <c r="AL298" s="211">
        <f>$AI$298*(G266)</f>
        <v>0.22045982</v>
      </c>
      <c r="AM298" s="211">
        <f>$AI$298*(H266)</f>
        <v>0.18896555999999998</v>
      </c>
      <c r="AN298" s="211">
        <f>$AI$298*(I266)</f>
        <v>0.18896555999999998</v>
      </c>
    </row>
    <row r="299" spans="2:40" s="7" customFormat="1" ht="12" hidden="1" customHeight="1" outlineLevel="2">
      <c r="B299" s="245"/>
      <c r="C299" s="250" t="s">
        <v>784</v>
      </c>
      <c r="D299" s="250"/>
      <c r="E299" s="213"/>
      <c r="F299" s="213"/>
      <c r="G299" s="213"/>
      <c r="H299" s="213"/>
      <c r="I299" s="213"/>
      <c r="J299" s="213"/>
      <c r="K299" s="213"/>
      <c r="L299" s="213"/>
      <c r="M299" s="213"/>
      <c r="N299" s="213"/>
      <c r="O299" s="213"/>
      <c r="P299" s="213"/>
      <c r="Q299" s="213"/>
      <c r="R299" s="213"/>
      <c r="S299" s="213"/>
      <c r="T299" s="213"/>
      <c r="U299" s="213"/>
      <c r="V299" s="213"/>
      <c r="W299" s="213"/>
      <c r="X299" s="213"/>
      <c r="Y299" s="213"/>
      <c r="Z299" s="213"/>
      <c r="AA299" s="213"/>
      <c r="AB299" s="211"/>
      <c r="AC299" s="211"/>
      <c r="AD299" s="211"/>
      <c r="AE299" s="211"/>
      <c r="AF299" s="211"/>
      <c r="AG299" s="211"/>
      <c r="AH299" s="211"/>
      <c r="AI299" s="211"/>
      <c r="AJ299" s="211">
        <f>INDEX($C$199:$AN$221,MATCH("New Customers 1MS",$C$199:$C$221,0),MATCH($C299,$C$199:$AN$199,0))</f>
        <v>5.8730100000000007</v>
      </c>
      <c r="AK299" s="211">
        <f>$AJ$299*(E266)</f>
        <v>0.41111070000000011</v>
      </c>
      <c r="AL299" s="211">
        <f>$AJ$299*(F266)</f>
        <v>0.41111070000000011</v>
      </c>
      <c r="AM299" s="211">
        <f>$AJ$299*(G266)</f>
        <v>0.41111070000000011</v>
      </c>
      <c r="AN299" s="211">
        <f>$AJ$299*(H266)</f>
        <v>0.35238060000000004</v>
      </c>
    </row>
    <row r="300" spans="2:40" s="7" customFormat="1" ht="12" hidden="1" customHeight="1" outlineLevel="2">
      <c r="B300" s="245"/>
      <c r="C300" s="250" t="s">
        <v>785</v>
      </c>
      <c r="D300" s="250"/>
      <c r="E300" s="213"/>
      <c r="F300" s="213"/>
      <c r="G300" s="213"/>
      <c r="H300" s="213"/>
      <c r="I300" s="213"/>
      <c r="J300" s="213"/>
      <c r="K300" s="213"/>
      <c r="L300" s="213"/>
      <c r="M300" s="213"/>
      <c r="N300" s="213"/>
      <c r="O300" s="213"/>
      <c r="P300" s="213"/>
      <c r="Q300" s="213"/>
      <c r="R300" s="213"/>
      <c r="S300" s="213"/>
      <c r="T300" s="213"/>
      <c r="U300" s="213"/>
      <c r="V300" s="213"/>
      <c r="W300" s="213"/>
      <c r="X300" s="213"/>
      <c r="Y300" s="213"/>
      <c r="Z300" s="213"/>
      <c r="AA300" s="213"/>
      <c r="AB300" s="211"/>
      <c r="AC300" s="211"/>
      <c r="AD300" s="211"/>
      <c r="AE300" s="211"/>
      <c r="AF300" s="211"/>
      <c r="AG300" s="211"/>
      <c r="AH300" s="211"/>
      <c r="AI300" s="211"/>
      <c r="AJ300" s="211"/>
      <c r="AK300" s="211">
        <f>INDEX($C$199:$AN$221,MATCH("New Customers 1MS",$C$199:$C$221,0),MATCH($C300,$C$199:$AN$199,0))</f>
        <v>20.28</v>
      </c>
      <c r="AL300" s="211">
        <f>$AK$300*(E266)</f>
        <v>1.4196000000000002</v>
      </c>
      <c r="AM300" s="211">
        <f>$AK$300*(F266)</f>
        <v>1.4196000000000002</v>
      </c>
      <c r="AN300" s="211">
        <f>$AK$300*(G266)</f>
        <v>1.4196000000000002</v>
      </c>
    </row>
    <row r="301" spans="2:40" s="7" customFormat="1" ht="12" hidden="1" customHeight="1" outlineLevel="2">
      <c r="B301" s="245"/>
      <c r="C301" s="250" t="s">
        <v>786</v>
      </c>
      <c r="D301" s="250"/>
      <c r="E301" s="213"/>
      <c r="F301" s="213"/>
      <c r="G301" s="213"/>
      <c r="H301" s="213"/>
      <c r="I301" s="213"/>
      <c r="J301" s="213"/>
      <c r="K301" s="213"/>
      <c r="L301" s="213"/>
      <c r="M301" s="213"/>
      <c r="N301" s="213"/>
      <c r="O301" s="213"/>
      <c r="P301" s="213"/>
      <c r="Q301" s="213"/>
      <c r="R301" s="213"/>
      <c r="S301" s="213"/>
      <c r="T301" s="213"/>
      <c r="U301" s="213"/>
      <c r="V301" s="213"/>
      <c r="W301" s="213"/>
      <c r="X301" s="213"/>
      <c r="Y301" s="213"/>
      <c r="Z301" s="213"/>
      <c r="AA301" s="213"/>
      <c r="AB301" s="211"/>
      <c r="AC301" s="211"/>
      <c r="AD301" s="211"/>
      <c r="AE301" s="211"/>
      <c r="AF301" s="211"/>
      <c r="AG301" s="211"/>
      <c r="AH301" s="211"/>
      <c r="AI301" s="211"/>
      <c r="AJ301" s="211"/>
      <c r="AK301" s="211"/>
      <c r="AL301" s="211">
        <f>INDEX($C$199:$AN$221,MATCH("New Customers 1MS",$C$199:$C$221,0),MATCH($C301,$C$199:$AN$199,0))</f>
        <v>17.28</v>
      </c>
      <c r="AM301" s="211">
        <f>$AL$301*(E266)</f>
        <v>1.2096000000000002</v>
      </c>
      <c r="AN301" s="211">
        <f>$AL$301*(F266)</f>
        <v>1.2096000000000002</v>
      </c>
    </row>
    <row r="302" spans="2:40" s="7" customFormat="1" ht="12" hidden="1" customHeight="1" outlineLevel="2">
      <c r="B302" s="245"/>
      <c r="C302" s="250" t="s">
        <v>787</v>
      </c>
      <c r="D302" s="250"/>
      <c r="E302" s="213"/>
      <c r="F302" s="213"/>
      <c r="G302" s="213"/>
      <c r="H302" s="213"/>
      <c r="I302" s="213"/>
      <c r="J302" s="213"/>
      <c r="K302" s="213"/>
      <c r="L302" s="213"/>
      <c r="M302" s="213"/>
      <c r="N302" s="213"/>
      <c r="O302" s="213"/>
      <c r="P302" s="213"/>
      <c r="Q302" s="213"/>
      <c r="R302" s="213"/>
      <c r="S302" s="213"/>
      <c r="T302" s="213"/>
      <c r="U302" s="213"/>
      <c r="V302" s="213"/>
      <c r="W302" s="213"/>
      <c r="X302" s="213"/>
      <c r="Y302" s="213"/>
      <c r="Z302" s="213"/>
      <c r="AA302" s="213"/>
      <c r="AB302" s="211"/>
      <c r="AC302" s="211"/>
      <c r="AD302" s="211"/>
      <c r="AE302" s="211"/>
      <c r="AF302" s="211"/>
      <c r="AG302" s="211"/>
      <c r="AH302" s="211"/>
      <c r="AI302" s="211"/>
      <c r="AJ302" s="211"/>
      <c r="AK302" s="211"/>
      <c r="AL302" s="211"/>
      <c r="AM302" s="211">
        <f>INDEX($C$199:$AN$221,MATCH("New Customers 1MS",$C$199:$C$221,0),MATCH($C302,$C$199:$AN$199,0))</f>
        <v>3.3600000000000003</v>
      </c>
      <c r="AN302" s="211">
        <f>$AM$302*(E266)</f>
        <v>0.23520000000000005</v>
      </c>
    </row>
    <row r="303" spans="2:40" s="7" customFormat="1" ht="12" hidden="1" customHeight="1" outlineLevel="2">
      <c r="B303" s="245"/>
      <c r="C303" s="250" t="s">
        <v>788</v>
      </c>
      <c r="D303" s="250"/>
      <c r="E303" s="213"/>
      <c r="F303" s="213"/>
      <c r="G303" s="213"/>
      <c r="H303" s="213"/>
      <c r="I303" s="213"/>
      <c r="J303" s="213"/>
      <c r="K303" s="213"/>
      <c r="L303" s="213"/>
      <c r="M303" s="213"/>
      <c r="N303" s="213"/>
      <c r="O303" s="213"/>
      <c r="P303" s="213"/>
      <c r="Q303" s="213"/>
      <c r="R303" s="213"/>
      <c r="S303" s="213"/>
      <c r="T303" s="213"/>
      <c r="U303" s="213"/>
      <c r="V303" s="213"/>
      <c r="W303" s="213"/>
      <c r="X303" s="213"/>
      <c r="Y303" s="213"/>
      <c r="Z303" s="213"/>
      <c r="AA303" s="213"/>
      <c r="AB303" s="211"/>
      <c r="AC303" s="211"/>
      <c r="AD303" s="211"/>
      <c r="AE303" s="211"/>
      <c r="AF303" s="211"/>
      <c r="AG303" s="211"/>
      <c r="AH303" s="211"/>
      <c r="AI303" s="211"/>
      <c r="AJ303" s="211"/>
      <c r="AK303" s="211"/>
      <c r="AL303" s="211"/>
      <c r="AM303" s="211"/>
      <c r="AN303" s="211">
        <f>INDEX($C$199:$AN$221,MATCH("New Customers 1MS",$C$199:$C$221,0),MATCH($C303,$C$199:$AN$199,0))</f>
        <v>4.8000000000000007</v>
      </c>
    </row>
    <row r="304" spans="2:40" s="7" customFormat="1" ht="12" hidden="1" customHeight="1" outlineLevel="2">
      <c r="B304" s="245"/>
      <c r="C304" s="250"/>
      <c r="D304" s="250"/>
      <c r="E304" s="213"/>
      <c r="F304" s="213"/>
      <c r="G304" s="213"/>
      <c r="H304" s="213"/>
      <c r="I304" s="213"/>
      <c r="J304" s="213"/>
      <c r="K304" s="213"/>
      <c r="L304" s="213"/>
      <c r="M304" s="213"/>
      <c r="N304" s="213"/>
      <c r="O304" s="213"/>
      <c r="P304" s="213"/>
      <c r="Q304" s="213"/>
      <c r="R304" s="213"/>
      <c r="S304" s="213"/>
      <c r="T304" s="213"/>
      <c r="U304" s="213"/>
      <c r="V304" s="213"/>
      <c r="W304" s="213"/>
      <c r="X304" s="213"/>
      <c r="Y304" s="213"/>
      <c r="Z304" s="213"/>
      <c r="AA304" s="213"/>
      <c r="AB304" s="211"/>
      <c r="AC304" s="211"/>
      <c r="AD304" s="211"/>
      <c r="AE304" s="211"/>
      <c r="AF304" s="211"/>
      <c r="AG304" s="211"/>
      <c r="AH304" s="211"/>
      <c r="AI304" s="211"/>
      <c r="AJ304" s="211"/>
      <c r="AK304" s="211"/>
      <c r="AL304" s="211"/>
      <c r="AM304" s="211"/>
      <c r="AN304" s="211"/>
    </row>
    <row r="305" spans="2:40 16380:16380" s="7" customFormat="1" ht="12" hidden="1" customHeight="1" outlineLevel="2">
      <c r="B305" s="245"/>
      <c r="C305" s="249" t="s">
        <v>854</v>
      </c>
      <c r="D305" s="250"/>
      <c r="E305" s="213"/>
      <c r="F305" s="213"/>
      <c r="G305" s="213"/>
      <c r="H305" s="213"/>
      <c r="I305" s="213"/>
      <c r="J305" s="213"/>
      <c r="K305" s="213"/>
      <c r="L305" s="213"/>
      <c r="M305" s="213"/>
      <c r="N305" s="213"/>
      <c r="O305" s="213"/>
      <c r="P305" s="213"/>
      <c r="Q305" s="213"/>
      <c r="R305" s="213"/>
      <c r="S305" s="213"/>
      <c r="T305" s="213"/>
      <c r="U305" s="213"/>
      <c r="V305" s="213"/>
      <c r="W305" s="213"/>
      <c r="X305" s="213"/>
      <c r="Y305" s="213"/>
      <c r="Z305" s="213"/>
      <c r="AA305" s="213"/>
      <c r="AB305" s="213"/>
      <c r="AC305" s="211"/>
    </row>
    <row r="306" spans="2:40 16380:16380" s="7" customFormat="1" ht="12" hidden="1" customHeight="1" outlineLevel="3">
      <c r="B306" s="239"/>
      <c r="C306" s="212" t="s">
        <v>850</v>
      </c>
      <c r="D306" s="212"/>
      <c r="E306" s="196" t="s">
        <v>753</v>
      </c>
      <c r="F306" s="196" t="s">
        <v>754</v>
      </c>
      <c r="G306" s="196" t="s">
        <v>755</v>
      </c>
      <c r="H306" s="196" t="s">
        <v>756</v>
      </c>
      <c r="I306" s="196" t="s">
        <v>757</v>
      </c>
      <c r="J306" s="196" t="s">
        <v>758</v>
      </c>
      <c r="K306" s="196" t="s">
        <v>759</v>
      </c>
      <c r="L306" s="196" t="s">
        <v>760</v>
      </c>
      <c r="M306" s="196" t="s">
        <v>761</v>
      </c>
      <c r="N306" s="196" t="s">
        <v>762</v>
      </c>
      <c r="O306" s="196" t="s">
        <v>763</v>
      </c>
      <c r="P306" s="196" t="s">
        <v>764</v>
      </c>
      <c r="Q306" s="196" t="s">
        <v>765</v>
      </c>
      <c r="R306" s="196" t="s">
        <v>766</v>
      </c>
      <c r="S306" s="196" t="s">
        <v>767</v>
      </c>
      <c r="T306" s="196" t="s">
        <v>768</v>
      </c>
      <c r="U306" s="196" t="s">
        <v>769</v>
      </c>
      <c r="V306" s="196" t="s">
        <v>770</v>
      </c>
      <c r="W306" s="196" t="s">
        <v>771</v>
      </c>
      <c r="X306" s="196" t="s">
        <v>772</v>
      </c>
      <c r="Y306" s="196" t="s">
        <v>773</v>
      </c>
      <c r="Z306" s="196" t="s">
        <v>774</v>
      </c>
      <c r="AA306" s="196" t="s">
        <v>775</v>
      </c>
      <c r="AB306" s="196" t="s">
        <v>776</v>
      </c>
      <c r="AC306" s="196" t="s">
        <v>777</v>
      </c>
      <c r="AD306" s="196" t="s">
        <v>778</v>
      </c>
      <c r="AE306" s="196" t="s">
        <v>779</v>
      </c>
      <c r="AF306" s="196" t="s">
        <v>780</v>
      </c>
      <c r="AG306" s="196" t="s">
        <v>781</v>
      </c>
      <c r="AH306" s="196" t="s">
        <v>782</v>
      </c>
      <c r="AI306" s="196" t="s">
        <v>783</v>
      </c>
      <c r="AJ306" s="196" t="s">
        <v>784</v>
      </c>
      <c r="AK306" s="196" t="s">
        <v>785</v>
      </c>
      <c r="AL306" s="196" t="s">
        <v>786</v>
      </c>
      <c r="AM306" s="196" t="s">
        <v>787</v>
      </c>
      <c r="AN306" s="196" t="s">
        <v>788</v>
      </c>
    </row>
    <row r="307" spans="2:40 16380:16380" s="7" customFormat="1" ht="12" hidden="1" customHeight="1" outlineLevel="3">
      <c r="B307" s="239"/>
      <c r="C307" s="247" t="s">
        <v>851</v>
      </c>
      <c r="D307" s="212"/>
      <c r="E307" s="345">
        <v>0.86</v>
      </c>
      <c r="F307" s="342"/>
      <c r="G307" s="342"/>
      <c r="H307" s="345">
        <v>0.42</v>
      </c>
      <c r="I307" s="342"/>
      <c r="J307" s="342"/>
      <c r="K307" s="345">
        <v>0.26</v>
      </c>
      <c r="L307" s="342"/>
      <c r="M307" s="342"/>
      <c r="N307" s="345">
        <v>0.16</v>
      </c>
      <c r="O307" s="342"/>
      <c r="P307" s="342"/>
      <c r="Q307" s="345">
        <v>0.1</v>
      </c>
      <c r="R307" s="342"/>
      <c r="S307" s="342"/>
      <c r="T307" s="345">
        <v>0.06</v>
      </c>
      <c r="U307" s="342"/>
      <c r="V307" s="342"/>
      <c r="W307" s="345">
        <v>0.03</v>
      </c>
      <c r="X307" s="342"/>
      <c r="Y307" s="342"/>
      <c r="Z307" s="345">
        <v>0.01</v>
      </c>
      <c r="AA307" s="342"/>
      <c r="AB307" s="342"/>
      <c r="AC307" s="345">
        <v>0.01</v>
      </c>
      <c r="AD307" s="342"/>
      <c r="AE307" s="342"/>
      <c r="AF307" s="345">
        <v>0.01</v>
      </c>
      <c r="AG307" s="342"/>
      <c r="AH307" s="342"/>
      <c r="AI307" s="345">
        <v>0.01</v>
      </c>
      <c r="AJ307" s="342"/>
      <c r="AK307" s="342"/>
      <c r="AL307" s="345">
        <v>0.01</v>
      </c>
      <c r="AM307" s="342"/>
      <c r="AN307" s="342"/>
    </row>
    <row r="308" spans="2:40 16380:16380" s="7" customFormat="1" ht="12" hidden="1" customHeight="1" outlineLevel="3">
      <c r="B308" s="245"/>
      <c r="C308" s="250" t="s">
        <v>753</v>
      </c>
      <c r="D308" s="250"/>
      <c r="E308" s="211">
        <f>INDEX($C$199:$AN$221, MATCH("New Customers 3MS", $C$199:$C$221, 0), MATCH($C308, $C$199:$AN$199, 0))</f>
        <v>0</v>
      </c>
      <c r="F308" s="211"/>
      <c r="G308" s="211"/>
      <c r="H308" s="211">
        <f>E308*(1-E307)</f>
        <v>0</v>
      </c>
      <c r="I308" s="211"/>
      <c r="J308" s="211"/>
      <c r="K308" s="211">
        <f>E308*(1-H307)</f>
        <v>0</v>
      </c>
      <c r="L308" s="211"/>
      <c r="M308" s="211"/>
      <c r="N308" s="211">
        <f>E308*(1-K307)</f>
        <v>0</v>
      </c>
      <c r="O308" s="211"/>
      <c r="P308" s="211"/>
      <c r="Q308" s="211">
        <f>E308*(1-N307)</f>
        <v>0</v>
      </c>
      <c r="R308" s="211"/>
      <c r="S308" s="211"/>
      <c r="T308" s="211">
        <f>E308*(1-Q307)</f>
        <v>0</v>
      </c>
      <c r="U308" s="211"/>
      <c r="V308" s="211"/>
      <c r="W308" s="211">
        <f>E308*(1-T307)</f>
        <v>0</v>
      </c>
      <c r="X308" s="211"/>
      <c r="Y308" s="211"/>
      <c r="Z308" s="211">
        <f>E308*(1-W307)</f>
        <v>0</v>
      </c>
      <c r="AA308" s="211"/>
      <c r="AB308" s="211"/>
      <c r="AC308" s="211">
        <f>E308*(1-Z307)</f>
        <v>0</v>
      </c>
      <c r="AD308" s="211"/>
      <c r="AE308" s="211"/>
      <c r="AF308" s="211">
        <f>E308*(1-AC307)</f>
        <v>0</v>
      </c>
      <c r="AG308" s="211"/>
      <c r="AH308" s="211"/>
      <c r="AI308" s="211">
        <f>E308*(1-AF307)</f>
        <v>0</v>
      </c>
      <c r="AJ308" s="211"/>
      <c r="AK308" s="211"/>
      <c r="AL308" s="211">
        <f>E308*(1-AI307)</f>
        <v>0</v>
      </c>
      <c r="AM308" s="211"/>
      <c r="AN308" s="211"/>
    </row>
    <row r="309" spans="2:40 16380:16380" s="7" customFormat="1" ht="12" hidden="1" customHeight="1" outlineLevel="3">
      <c r="B309" s="245"/>
      <c r="C309" s="250" t="s">
        <v>754</v>
      </c>
      <c r="D309" s="250"/>
      <c r="E309" s="213"/>
      <c r="F309" s="211">
        <f>INDEX($C$199:$AN$221, MATCH("New Customers 3MS", $C$199:$C$221, 0), MATCH($C309, $C$199:$AN$199, 0))</f>
        <v>0</v>
      </c>
      <c r="G309" s="211"/>
      <c r="H309" s="211"/>
      <c r="I309" s="211">
        <f>F309*(E307)</f>
        <v>0</v>
      </c>
      <c r="J309" s="211"/>
      <c r="K309" s="211"/>
      <c r="L309" s="211">
        <f>F309*(H307)</f>
        <v>0</v>
      </c>
      <c r="M309" s="211"/>
      <c r="N309" s="211"/>
      <c r="O309" s="211">
        <f>F309*(K307)</f>
        <v>0</v>
      </c>
      <c r="P309" s="211"/>
      <c r="Q309" s="211"/>
      <c r="R309" s="211">
        <f>F309*(N307)</f>
        <v>0</v>
      </c>
      <c r="S309" s="211"/>
      <c r="T309" s="211"/>
      <c r="U309" s="211">
        <f>F309*(Q307)</f>
        <v>0</v>
      </c>
      <c r="V309" s="211"/>
      <c r="W309" s="211"/>
      <c r="X309" s="211">
        <f>F309*(T307)</f>
        <v>0</v>
      </c>
      <c r="Y309" s="211"/>
      <c r="Z309" s="211"/>
      <c r="AA309" s="211">
        <f>F309*(W307)</f>
        <v>0</v>
      </c>
      <c r="AB309" s="211"/>
      <c r="AC309" s="211"/>
      <c r="AD309" s="211">
        <f>F309*(Z307)</f>
        <v>0</v>
      </c>
      <c r="AE309" s="211"/>
      <c r="AF309" s="211"/>
      <c r="AG309" s="211">
        <f>F309*(AC307)</f>
        <v>0</v>
      </c>
      <c r="AH309" s="211"/>
      <c r="AI309" s="211"/>
      <c r="AJ309" s="211">
        <f>F309*(AF307)</f>
        <v>0</v>
      </c>
      <c r="AK309" s="211"/>
      <c r="AL309" s="211"/>
      <c r="AM309" s="211">
        <f>F309*(AI307)</f>
        <v>0</v>
      </c>
      <c r="AN309" s="211"/>
      <c r="XEZ309" s="211"/>
    </row>
    <row r="310" spans="2:40 16380:16380" s="7" customFormat="1" ht="12" hidden="1" customHeight="1" outlineLevel="3">
      <c r="B310" s="245"/>
      <c r="C310" s="250" t="s">
        <v>755</v>
      </c>
      <c r="D310" s="250"/>
      <c r="E310" s="213"/>
      <c r="F310" s="213"/>
      <c r="G310" s="211">
        <f>INDEX($C$199:$AN$221, MATCH("New Customers 3MS", $C$199:$C$221, 0), MATCH($C310, $C$199:$AN$199, 0))</f>
        <v>0</v>
      </c>
      <c r="H310" s="211"/>
      <c r="I310" s="211"/>
      <c r="J310" s="211">
        <f>G310*(E307)</f>
        <v>0</v>
      </c>
      <c r="K310" s="211"/>
      <c r="L310" s="211"/>
      <c r="M310" s="211">
        <f>G310*(H307)</f>
        <v>0</v>
      </c>
      <c r="N310" s="211"/>
      <c r="O310" s="211"/>
      <c r="P310" s="211">
        <f>G310*(K307)</f>
        <v>0</v>
      </c>
      <c r="Q310" s="211"/>
      <c r="R310" s="211"/>
      <c r="S310" s="211">
        <f>G310*(N307)</f>
        <v>0</v>
      </c>
      <c r="T310" s="211"/>
      <c r="U310" s="211"/>
      <c r="V310" s="211">
        <f>G310*(Q307)</f>
        <v>0</v>
      </c>
      <c r="W310" s="211"/>
      <c r="X310" s="211"/>
      <c r="Y310" s="211">
        <f>G310*(T307)</f>
        <v>0</v>
      </c>
      <c r="Z310" s="211"/>
      <c r="AA310" s="211"/>
      <c r="AB310" s="211">
        <f>G310*(W307)</f>
        <v>0</v>
      </c>
      <c r="AC310" s="211"/>
      <c r="AD310" s="211"/>
      <c r="AE310" s="211">
        <f>G310*(Z307)</f>
        <v>0</v>
      </c>
      <c r="AF310" s="211"/>
      <c r="AG310" s="211"/>
      <c r="AH310" s="211">
        <f>G310*(AC307)</f>
        <v>0</v>
      </c>
      <c r="AI310" s="211"/>
      <c r="AJ310" s="211"/>
      <c r="AK310" s="211">
        <f>G310*(AF307)</f>
        <v>0</v>
      </c>
      <c r="AL310" s="211"/>
      <c r="AM310" s="211"/>
      <c r="AN310" s="211">
        <f>G310*(AI307)</f>
        <v>0</v>
      </c>
    </row>
    <row r="311" spans="2:40 16380:16380" s="7" customFormat="1" ht="12" hidden="1" customHeight="1" outlineLevel="3">
      <c r="B311" s="245"/>
      <c r="C311" s="250" t="s">
        <v>756</v>
      </c>
      <c r="D311" s="250"/>
      <c r="E311" s="213"/>
      <c r="F311" s="213"/>
      <c r="G311" s="213"/>
      <c r="H311" s="211">
        <f>INDEX($C$199:$AN$221, MATCH("New Customers 3MS", $C$199:$C$221, 0), MATCH($C311, $C$199:$AN$199, 0))</f>
        <v>0</v>
      </c>
      <c r="I311" s="211"/>
      <c r="J311" s="211"/>
      <c r="K311" s="211">
        <f>H311*(E307)</f>
        <v>0</v>
      </c>
      <c r="L311" s="211"/>
      <c r="M311" s="211"/>
      <c r="N311" s="211">
        <f>H311*(H307)</f>
        <v>0</v>
      </c>
      <c r="O311" s="211"/>
      <c r="P311" s="211"/>
      <c r="Q311" s="211">
        <f>H311*(K307)</f>
        <v>0</v>
      </c>
      <c r="R311" s="211"/>
      <c r="S311" s="211"/>
      <c r="T311" s="211">
        <f>H311*(N307)</f>
        <v>0</v>
      </c>
      <c r="U311" s="211"/>
      <c r="V311" s="211"/>
      <c r="W311" s="211">
        <f>H311*(Q307)</f>
        <v>0</v>
      </c>
      <c r="X311" s="211"/>
      <c r="Y311" s="211"/>
      <c r="Z311" s="211">
        <f>H311*(T307)</f>
        <v>0</v>
      </c>
      <c r="AA311" s="211"/>
      <c r="AB311" s="211"/>
      <c r="AC311" s="211">
        <f>H311*(W307)</f>
        <v>0</v>
      </c>
      <c r="AD311" s="211"/>
      <c r="AE311" s="211"/>
      <c r="AF311" s="211">
        <f>H311*(Z307)</f>
        <v>0</v>
      </c>
      <c r="AG311" s="211"/>
      <c r="AH311" s="211"/>
      <c r="AI311" s="211">
        <f>H311*(AC307)</f>
        <v>0</v>
      </c>
      <c r="AJ311" s="211"/>
      <c r="AK311" s="211"/>
      <c r="AL311" s="211">
        <f>H311*(AF307)</f>
        <v>0</v>
      </c>
      <c r="AM311" s="211"/>
      <c r="AN311" s="211"/>
    </row>
    <row r="312" spans="2:40 16380:16380" s="7" customFormat="1" ht="12" hidden="1" customHeight="1" outlineLevel="3">
      <c r="B312" s="245"/>
      <c r="C312" s="250" t="s">
        <v>757</v>
      </c>
      <c r="D312" s="250"/>
      <c r="E312" s="213"/>
      <c r="F312" s="213"/>
      <c r="G312" s="213"/>
      <c r="H312" s="213"/>
      <c r="I312" s="211">
        <f>INDEX($C$199:$AN$221, MATCH("New Customers 3MS", $C$199:$C$221, 0), MATCH($C312, $C$199:$AN$199, 0))</f>
        <v>0</v>
      </c>
      <c r="J312" s="211"/>
      <c r="K312" s="211"/>
      <c r="L312" s="211">
        <f>I312*(E307)</f>
        <v>0</v>
      </c>
      <c r="M312" s="211"/>
      <c r="N312" s="211"/>
      <c r="O312" s="211">
        <f>I312*(H307)</f>
        <v>0</v>
      </c>
      <c r="P312" s="211"/>
      <c r="Q312" s="211"/>
      <c r="R312" s="211">
        <f>I312*(K307)</f>
        <v>0</v>
      </c>
      <c r="S312" s="211"/>
      <c r="T312" s="211"/>
      <c r="U312" s="211">
        <f>I312*(N307)</f>
        <v>0</v>
      </c>
      <c r="V312" s="211"/>
      <c r="W312" s="211"/>
      <c r="X312" s="211">
        <f>I312*(Q307)</f>
        <v>0</v>
      </c>
      <c r="Y312" s="211"/>
      <c r="Z312" s="211"/>
      <c r="AA312" s="211">
        <f>I312*(T307)</f>
        <v>0</v>
      </c>
      <c r="AB312" s="211"/>
      <c r="AC312" s="211"/>
      <c r="AD312" s="211">
        <f>I312*(W307)</f>
        <v>0</v>
      </c>
      <c r="AE312" s="211"/>
      <c r="AF312" s="211"/>
      <c r="AG312" s="211">
        <f>I312*(Z307)</f>
        <v>0</v>
      </c>
      <c r="AH312" s="211"/>
      <c r="AI312" s="211"/>
      <c r="AJ312" s="211">
        <f>I312*(AC307)</f>
        <v>0</v>
      </c>
      <c r="AK312" s="211"/>
      <c r="AL312" s="211"/>
      <c r="AM312" s="211">
        <f>I312*(AF307)</f>
        <v>0</v>
      </c>
      <c r="AN312" s="211"/>
    </row>
    <row r="313" spans="2:40 16380:16380" s="7" customFormat="1" ht="12" hidden="1" customHeight="1" outlineLevel="3">
      <c r="B313" s="245"/>
      <c r="C313" s="250" t="s">
        <v>758</v>
      </c>
      <c r="D313" s="250"/>
      <c r="E313" s="213"/>
      <c r="F313" s="213"/>
      <c r="G313" s="213"/>
      <c r="H313" s="213"/>
      <c r="I313" s="213"/>
      <c r="J313" s="211">
        <f>INDEX($C$199:$AN$221, MATCH("New Customers 3MS", $C$199:$C$221, 0), MATCH($C313, $C$199:$AN$199, 0))</f>
        <v>0</v>
      </c>
      <c r="K313" s="211"/>
      <c r="L313" s="211"/>
      <c r="M313" s="211">
        <f>J313*(E307)</f>
        <v>0</v>
      </c>
      <c r="N313" s="211"/>
      <c r="O313" s="211"/>
      <c r="P313" s="211">
        <f>J313*(H307)</f>
        <v>0</v>
      </c>
      <c r="Q313" s="211"/>
      <c r="R313" s="211"/>
      <c r="S313" s="211">
        <f>J313*(K307)</f>
        <v>0</v>
      </c>
      <c r="T313" s="211"/>
      <c r="U313" s="211"/>
      <c r="V313" s="211">
        <f>J313*(N307)</f>
        <v>0</v>
      </c>
      <c r="W313" s="211"/>
      <c r="X313" s="211"/>
      <c r="Y313" s="211">
        <f>J313*(Q307)</f>
        <v>0</v>
      </c>
      <c r="Z313" s="211"/>
      <c r="AA313" s="211"/>
      <c r="AB313" s="211">
        <f>J313*(T307)</f>
        <v>0</v>
      </c>
      <c r="AC313" s="211"/>
      <c r="AD313" s="211"/>
      <c r="AE313" s="211">
        <f>J313*(W307)</f>
        <v>0</v>
      </c>
      <c r="AF313" s="211"/>
      <c r="AG313" s="211"/>
      <c r="AH313" s="211">
        <f>J313*(Z307)</f>
        <v>0</v>
      </c>
      <c r="AI313" s="211"/>
      <c r="AJ313" s="211"/>
      <c r="AK313" s="211">
        <f>J313*(AC307)</f>
        <v>0</v>
      </c>
      <c r="AL313" s="211"/>
      <c r="AM313" s="211"/>
      <c r="AN313" s="211">
        <f>J313*(AF307)</f>
        <v>0</v>
      </c>
    </row>
    <row r="314" spans="2:40 16380:16380" s="7" customFormat="1" ht="12" hidden="1" customHeight="1" outlineLevel="3">
      <c r="B314" s="245"/>
      <c r="C314" s="250" t="s">
        <v>759</v>
      </c>
      <c r="D314" s="250"/>
      <c r="E314" s="213"/>
      <c r="F314" s="213"/>
      <c r="G314" s="213"/>
      <c r="H314" s="213"/>
      <c r="I314" s="213"/>
      <c r="J314" s="213"/>
      <c r="K314" s="211">
        <f>INDEX($C$199:$AN$221, MATCH("New Customers 3MS", $C$199:$C$221, 0), MATCH($C314, $C$199:$AN$199, 0))</f>
        <v>0</v>
      </c>
      <c r="L314" s="211"/>
      <c r="M314" s="211"/>
      <c r="N314" s="211">
        <f>K314*(E307)</f>
        <v>0</v>
      </c>
      <c r="O314" s="211"/>
      <c r="P314" s="211"/>
      <c r="Q314" s="211">
        <f>K314*(H307)</f>
        <v>0</v>
      </c>
      <c r="R314" s="211"/>
      <c r="S314" s="211"/>
      <c r="T314" s="211">
        <f>K314*(K307)</f>
        <v>0</v>
      </c>
      <c r="U314" s="211"/>
      <c r="V314" s="211"/>
      <c r="W314" s="211">
        <f>K314*(N307)</f>
        <v>0</v>
      </c>
      <c r="X314" s="211"/>
      <c r="Y314" s="211"/>
      <c r="Z314" s="211">
        <f>K314*(Q307)</f>
        <v>0</v>
      </c>
      <c r="AA314" s="211"/>
      <c r="AB314" s="211"/>
      <c r="AC314" s="211">
        <f>K314*(T307)</f>
        <v>0</v>
      </c>
      <c r="AD314" s="211"/>
      <c r="AE314" s="211"/>
      <c r="AF314" s="211">
        <f>K314*(W307)</f>
        <v>0</v>
      </c>
      <c r="AG314" s="211"/>
      <c r="AH314" s="211"/>
      <c r="AI314" s="211">
        <f>K314*(Z307)</f>
        <v>0</v>
      </c>
      <c r="AJ314" s="211"/>
      <c r="AK314" s="211"/>
      <c r="AL314" s="211">
        <f>K314*(AC307)</f>
        <v>0</v>
      </c>
      <c r="AM314" s="211"/>
      <c r="AN314" s="211"/>
      <c r="XEZ314" s="211"/>
    </row>
    <row r="315" spans="2:40 16380:16380" s="7" customFormat="1" ht="12" hidden="1" customHeight="1" outlineLevel="3">
      <c r="B315" s="245"/>
      <c r="C315" s="250" t="s">
        <v>760</v>
      </c>
      <c r="D315" s="250"/>
      <c r="E315" s="213"/>
      <c r="F315" s="213"/>
      <c r="G315" s="213"/>
      <c r="H315" s="213"/>
      <c r="I315" s="213"/>
      <c r="J315" s="213"/>
      <c r="K315" s="213"/>
      <c r="L315" s="211">
        <f>INDEX($C$199:$AN$221, MATCH("New Customers 3MS", $C$199:$C$221, 0), MATCH($C315, $C$199:$AN$199, 0))</f>
        <v>0</v>
      </c>
      <c r="M315" s="211"/>
      <c r="N315" s="211"/>
      <c r="O315" s="211">
        <f>L315*(E307)</f>
        <v>0</v>
      </c>
      <c r="P315" s="211"/>
      <c r="Q315" s="211"/>
      <c r="R315" s="211">
        <f>L315*(H307)</f>
        <v>0</v>
      </c>
      <c r="S315" s="211"/>
      <c r="T315" s="211"/>
      <c r="U315" s="211">
        <f>L315*(K307)</f>
        <v>0</v>
      </c>
      <c r="V315" s="211"/>
      <c r="W315" s="211"/>
      <c r="X315" s="211">
        <f>L315*(N307)</f>
        <v>0</v>
      </c>
      <c r="Y315" s="211"/>
      <c r="Z315" s="211"/>
      <c r="AA315" s="211">
        <f>L315*(Q307)</f>
        <v>0</v>
      </c>
      <c r="AB315" s="211"/>
      <c r="AC315" s="211"/>
      <c r="AD315" s="211">
        <f>L315*(T307)</f>
        <v>0</v>
      </c>
      <c r="AE315" s="211"/>
      <c r="AF315" s="211"/>
      <c r="AG315" s="211">
        <f>L315*(W307)</f>
        <v>0</v>
      </c>
      <c r="AH315" s="211"/>
      <c r="AI315" s="211"/>
      <c r="AJ315" s="211">
        <f>L315*(Z307)</f>
        <v>0</v>
      </c>
      <c r="AK315" s="211"/>
      <c r="AL315" s="211"/>
      <c r="AM315" s="211">
        <f>L315*(AC307)</f>
        <v>0</v>
      </c>
      <c r="AN315" s="211"/>
      <c r="XEZ315" s="211"/>
    </row>
    <row r="316" spans="2:40 16380:16380" s="7" customFormat="1" ht="12" hidden="1" customHeight="1" outlineLevel="3">
      <c r="B316" s="245"/>
      <c r="C316" s="250" t="s">
        <v>761</v>
      </c>
      <c r="D316" s="250"/>
      <c r="E316" s="213"/>
      <c r="F316" s="213"/>
      <c r="G316" s="213"/>
      <c r="H316" s="213"/>
      <c r="I316" s="213"/>
      <c r="J316" s="213"/>
      <c r="K316" s="213"/>
      <c r="L316" s="213"/>
      <c r="M316" s="211">
        <f>INDEX($C$199:$AN$221, MATCH("New Customers 3MS", $C$199:$C$221, 0), MATCH($C316, $C$199:$AN$199, 0))</f>
        <v>0</v>
      </c>
      <c r="N316" s="211"/>
      <c r="O316" s="211"/>
      <c r="P316" s="211">
        <f>M316*(E307)</f>
        <v>0</v>
      </c>
      <c r="Q316" s="211"/>
      <c r="R316" s="211"/>
      <c r="S316" s="211">
        <f>M316*(H307)</f>
        <v>0</v>
      </c>
      <c r="T316" s="211"/>
      <c r="U316" s="211"/>
      <c r="V316" s="211">
        <f>M316*(K307)</f>
        <v>0</v>
      </c>
      <c r="W316" s="211"/>
      <c r="X316" s="211"/>
      <c r="Y316" s="211">
        <f>M316*(N307)</f>
        <v>0</v>
      </c>
      <c r="Z316" s="211"/>
      <c r="AA316" s="211"/>
      <c r="AB316" s="211">
        <f>M316*(Q307)</f>
        <v>0</v>
      </c>
      <c r="AC316" s="211"/>
      <c r="AD316" s="211"/>
      <c r="AE316" s="211">
        <f>M316*(T307)</f>
        <v>0</v>
      </c>
      <c r="AF316" s="211"/>
      <c r="AG316" s="211"/>
      <c r="AH316" s="211">
        <f>M316*(W307)</f>
        <v>0</v>
      </c>
      <c r="AI316" s="211"/>
      <c r="AJ316" s="211"/>
      <c r="AK316" s="211">
        <f>M316*(Z307)</f>
        <v>0</v>
      </c>
      <c r="AL316" s="211"/>
      <c r="AM316" s="211"/>
      <c r="AN316" s="211">
        <f>M316*(AC307)</f>
        <v>0</v>
      </c>
    </row>
    <row r="317" spans="2:40 16380:16380" s="7" customFormat="1" ht="12" hidden="1" customHeight="1" outlineLevel="3">
      <c r="B317" s="245"/>
      <c r="C317" s="250" t="s">
        <v>762</v>
      </c>
      <c r="D317" s="250"/>
      <c r="E317" s="213"/>
      <c r="F317" s="213"/>
      <c r="G317" s="213"/>
      <c r="H317" s="213"/>
      <c r="I317" s="213"/>
      <c r="J317" s="213"/>
      <c r="K317" s="213"/>
      <c r="L317" s="213"/>
      <c r="M317" s="213"/>
      <c r="N317" s="211">
        <f>INDEX($C$199:$AN$221, MATCH("New Customers 3MS", $C$199:$C$221, 0), MATCH($C317, $C$199:$AN$199, 0))</f>
        <v>0</v>
      </c>
      <c r="O317" s="211"/>
      <c r="P317" s="211"/>
      <c r="Q317" s="211">
        <f>N317*(E307)</f>
        <v>0</v>
      </c>
      <c r="R317" s="211"/>
      <c r="S317" s="211"/>
      <c r="T317" s="211">
        <f>N317*(H307)</f>
        <v>0</v>
      </c>
      <c r="U317" s="211"/>
      <c r="V317" s="211"/>
      <c r="W317" s="211">
        <f>N317*(K307)</f>
        <v>0</v>
      </c>
      <c r="X317" s="211"/>
      <c r="Y317" s="211"/>
      <c r="Z317" s="211">
        <f>N317*(N307)</f>
        <v>0</v>
      </c>
      <c r="AA317" s="211"/>
      <c r="AB317" s="211"/>
      <c r="AC317" s="211">
        <f>N317*(Q307)</f>
        <v>0</v>
      </c>
      <c r="AD317" s="211"/>
      <c r="AE317" s="211"/>
      <c r="AF317" s="211">
        <f>N317*(T307)</f>
        <v>0</v>
      </c>
      <c r="AG317" s="211"/>
      <c r="AH317" s="211"/>
      <c r="AI317" s="211">
        <f>N317*(W307)</f>
        <v>0</v>
      </c>
      <c r="AJ317" s="211"/>
      <c r="AK317" s="211"/>
      <c r="AL317" s="211">
        <f>N317*(Z307)</f>
        <v>0</v>
      </c>
      <c r="AM317" s="211"/>
      <c r="AN317" s="211"/>
      <c r="XEZ317" s="211"/>
    </row>
    <row r="318" spans="2:40 16380:16380" s="7" customFormat="1" ht="12" hidden="1" customHeight="1" outlineLevel="3">
      <c r="B318" s="245"/>
      <c r="C318" s="250" t="s">
        <v>763</v>
      </c>
      <c r="D318" s="250"/>
      <c r="E318" s="213"/>
      <c r="F318" s="213"/>
      <c r="G318" s="213"/>
      <c r="H318" s="213"/>
      <c r="I318" s="213"/>
      <c r="J318" s="213"/>
      <c r="K318" s="213"/>
      <c r="L318" s="213"/>
      <c r="M318" s="213"/>
      <c r="N318" s="213"/>
      <c r="O318" s="211">
        <f>INDEX($C$199:$AN$221, MATCH("New Customers 3MS", $C$199:$C$221, 0), MATCH($C318, $C$199:$AN$199, 0))</f>
        <v>0</v>
      </c>
      <c r="P318" s="211"/>
      <c r="Q318" s="211"/>
      <c r="R318" s="211">
        <f>O318*(E307)</f>
        <v>0</v>
      </c>
      <c r="S318" s="211"/>
      <c r="T318" s="211"/>
      <c r="U318" s="211">
        <f>O318*(H307)</f>
        <v>0</v>
      </c>
      <c r="V318" s="211"/>
      <c r="W318" s="211"/>
      <c r="X318" s="211">
        <f>O318*(K307)</f>
        <v>0</v>
      </c>
      <c r="Y318" s="211"/>
      <c r="Z318" s="211"/>
      <c r="AA318" s="211">
        <f>O318*(N307)</f>
        <v>0</v>
      </c>
      <c r="AB318" s="211"/>
      <c r="AC318" s="211"/>
      <c r="AD318" s="211">
        <f>O318*(Q307)</f>
        <v>0</v>
      </c>
      <c r="AE318" s="211"/>
      <c r="AF318" s="211"/>
      <c r="AG318" s="211">
        <f>O318*(T307)</f>
        <v>0</v>
      </c>
      <c r="AH318" s="211"/>
      <c r="AI318" s="211"/>
      <c r="AJ318" s="211">
        <f>O318*(W307)</f>
        <v>0</v>
      </c>
      <c r="AK318" s="211"/>
      <c r="AL318" s="211"/>
      <c r="AM318" s="211">
        <f>O318*(Z307)</f>
        <v>0</v>
      </c>
      <c r="AN318" s="211"/>
    </row>
    <row r="319" spans="2:40 16380:16380" s="7" customFormat="1" ht="12" hidden="1" customHeight="1" outlineLevel="3">
      <c r="B319" s="245"/>
      <c r="C319" s="250" t="s">
        <v>764</v>
      </c>
      <c r="D319" s="250"/>
      <c r="E319" s="213"/>
      <c r="F319" s="213"/>
      <c r="G319" s="213"/>
      <c r="H319" s="213"/>
      <c r="I319" s="213"/>
      <c r="J319" s="213"/>
      <c r="K319" s="213"/>
      <c r="L319" s="213"/>
      <c r="M319" s="213"/>
      <c r="N319" s="213"/>
      <c r="O319" s="213"/>
      <c r="P319" s="211">
        <f>INDEX($C$199:$AN$221, MATCH("New Customers 3MS", $C$199:$C$221, 0), MATCH($C319, $C$199:$AN$199, 0))</f>
        <v>0</v>
      </c>
      <c r="Q319" s="211"/>
      <c r="R319" s="211"/>
      <c r="S319" s="211">
        <f>P319*(E307)</f>
        <v>0</v>
      </c>
      <c r="T319" s="211"/>
      <c r="U319" s="211"/>
      <c r="V319" s="211">
        <f>P319*(H307)</f>
        <v>0</v>
      </c>
      <c r="W319" s="211"/>
      <c r="X319" s="211"/>
      <c r="Y319" s="211">
        <f>P319*(K307)</f>
        <v>0</v>
      </c>
      <c r="Z319" s="211"/>
      <c r="AA319" s="211"/>
      <c r="AB319" s="211">
        <f>P319*(N307)</f>
        <v>0</v>
      </c>
      <c r="AC319" s="211"/>
      <c r="AD319" s="211"/>
      <c r="AE319" s="211">
        <f>P319*(Q307)</f>
        <v>0</v>
      </c>
      <c r="AF319" s="211"/>
      <c r="AG319" s="211"/>
      <c r="AH319" s="211">
        <f>P319*(T307)</f>
        <v>0</v>
      </c>
      <c r="AI319" s="211"/>
      <c r="AJ319" s="211"/>
      <c r="AK319" s="211">
        <f>P319*(W307)</f>
        <v>0</v>
      </c>
      <c r="AL319" s="211"/>
      <c r="AM319" s="211"/>
      <c r="AN319" s="211">
        <f>P319*(Z307)</f>
        <v>0</v>
      </c>
    </row>
    <row r="320" spans="2:40 16380:16380" s="7" customFormat="1" ht="12" hidden="1" customHeight="1" outlineLevel="3">
      <c r="B320" s="245"/>
      <c r="C320" s="250" t="s">
        <v>765</v>
      </c>
      <c r="D320" s="250"/>
      <c r="E320" s="213"/>
      <c r="F320" s="213"/>
      <c r="G320" s="213"/>
      <c r="H320" s="213"/>
      <c r="I320" s="213"/>
      <c r="J320" s="213"/>
      <c r="K320" s="213"/>
      <c r="L320" s="213"/>
      <c r="M320" s="213"/>
      <c r="N320" s="213"/>
      <c r="O320" s="213"/>
      <c r="P320" s="213"/>
      <c r="Q320" s="211">
        <f>INDEX($C$199:$AN$221, MATCH("New Customers 3MS", $C$199:$C$221, 0), MATCH($C320, $C$199:$AN$199, 0))</f>
        <v>0</v>
      </c>
      <c r="R320" s="211"/>
      <c r="S320" s="211"/>
      <c r="T320" s="211">
        <f>Q320*(E307)</f>
        <v>0</v>
      </c>
      <c r="U320" s="211"/>
      <c r="V320" s="211"/>
      <c r="W320" s="211">
        <f>Q320*(H307)</f>
        <v>0</v>
      </c>
      <c r="X320" s="211"/>
      <c r="Y320" s="211"/>
      <c r="Z320" s="211">
        <f>Q320*(K307)</f>
        <v>0</v>
      </c>
      <c r="AA320" s="211"/>
      <c r="AB320" s="211"/>
      <c r="AC320" s="211">
        <f>Q320*(N307)</f>
        <v>0</v>
      </c>
      <c r="AD320" s="211"/>
      <c r="AE320" s="211"/>
      <c r="AF320" s="211">
        <f>Q320*(Q307)</f>
        <v>0</v>
      </c>
      <c r="AG320" s="211"/>
      <c r="AH320" s="211"/>
      <c r="AI320" s="211">
        <f>Q320*(T307)</f>
        <v>0</v>
      </c>
      <c r="AJ320" s="211"/>
      <c r="AK320" s="211"/>
      <c r="AL320" s="211">
        <f>Q320*(W307)</f>
        <v>0</v>
      </c>
      <c r="AM320" s="211"/>
      <c r="AN320" s="211"/>
    </row>
    <row r="321" spans="2:40 16380:16380" s="7" customFormat="1" ht="12" hidden="1" customHeight="1" outlineLevel="3">
      <c r="B321" s="245"/>
      <c r="C321" s="250" t="s">
        <v>766</v>
      </c>
      <c r="D321" s="250"/>
      <c r="E321" s="213"/>
      <c r="F321" s="213"/>
      <c r="G321" s="213"/>
      <c r="H321" s="213"/>
      <c r="I321" s="213"/>
      <c r="J321" s="213"/>
      <c r="K321" s="213"/>
      <c r="L321" s="213"/>
      <c r="M321" s="213"/>
      <c r="N321" s="213"/>
      <c r="O321" s="213"/>
      <c r="P321" s="213"/>
      <c r="Q321" s="213"/>
      <c r="R321" s="211">
        <f>INDEX($C$199:$AN$221, MATCH("New Customers 3MS", $C$199:$C$221, 0), MATCH($C321, $C$199:$AN$199, 0))</f>
        <v>0</v>
      </c>
      <c r="S321" s="211"/>
      <c r="T321" s="211"/>
      <c r="U321" s="211">
        <f>R321*(E307)</f>
        <v>0</v>
      </c>
      <c r="V321" s="211"/>
      <c r="W321" s="211"/>
      <c r="X321" s="211">
        <f>R321*(H307)</f>
        <v>0</v>
      </c>
      <c r="Y321" s="211"/>
      <c r="Z321" s="211"/>
      <c r="AA321" s="211">
        <f>R321*(K307)</f>
        <v>0</v>
      </c>
      <c r="AB321" s="211"/>
      <c r="AC321" s="211"/>
      <c r="AD321" s="211">
        <f>R321*(N307)</f>
        <v>0</v>
      </c>
      <c r="AE321" s="211"/>
      <c r="AF321" s="211"/>
      <c r="AG321" s="211">
        <f>R321*(Q307)</f>
        <v>0</v>
      </c>
      <c r="AH321" s="211"/>
      <c r="AI321" s="211"/>
      <c r="AJ321" s="211">
        <f>R321*(T307)</f>
        <v>0</v>
      </c>
      <c r="AK321" s="211"/>
      <c r="AL321" s="211"/>
      <c r="AM321" s="211">
        <f>R321*(W307)</f>
        <v>0</v>
      </c>
      <c r="AN321" s="211"/>
      <c r="XEZ321" s="211"/>
    </row>
    <row r="322" spans="2:40 16380:16380" s="7" customFormat="1" ht="12" hidden="1" customHeight="1" outlineLevel="3">
      <c r="B322" s="245"/>
      <c r="C322" s="250" t="s">
        <v>767</v>
      </c>
      <c r="D322" s="250"/>
      <c r="E322" s="213"/>
      <c r="F322" s="213"/>
      <c r="G322" s="213"/>
      <c r="H322" s="213"/>
      <c r="I322" s="213"/>
      <c r="J322" s="213"/>
      <c r="K322" s="213"/>
      <c r="L322" s="213"/>
      <c r="M322" s="213"/>
      <c r="N322" s="213"/>
      <c r="O322" s="213"/>
      <c r="P322" s="213"/>
      <c r="Q322" s="213"/>
      <c r="R322" s="213"/>
      <c r="S322" s="211">
        <f>INDEX($C$199:$AN$221, MATCH("New Customers 3MS", $C$199:$C$221, 0), MATCH($C322, $C$199:$AN$199, 0))</f>
        <v>0</v>
      </c>
      <c r="T322" s="211"/>
      <c r="U322" s="211"/>
      <c r="V322" s="211">
        <f>S322*(E307)</f>
        <v>0</v>
      </c>
      <c r="W322" s="211"/>
      <c r="X322" s="211"/>
      <c r="Y322" s="211">
        <f>S322*(H307)</f>
        <v>0</v>
      </c>
      <c r="Z322" s="211"/>
      <c r="AA322" s="211"/>
      <c r="AB322" s="211">
        <f>S322*(K307)</f>
        <v>0</v>
      </c>
      <c r="AC322" s="211"/>
      <c r="AD322" s="211"/>
      <c r="AE322" s="211">
        <f>S322*(N307)</f>
        <v>0</v>
      </c>
      <c r="AF322" s="211"/>
      <c r="AG322" s="211"/>
      <c r="AH322" s="211">
        <f>S322*(Q307)</f>
        <v>0</v>
      </c>
      <c r="AI322" s="211"/>
      <c r="AJ322" s="211"/>
      <c r="AK322" s="211">
        <f>S322*(T307)</f>
        <v>0</v>
      </c>
      <c r="AL322" s="211"/>
      <c r="AM322" s="211"/>
      <c r="AN322" s="211">
        <f>S322*(W307)</f>
        <v>0</v>
      </c>
    </row>
    <row r="323" spans="2:40 16380:16380" s="7" customFormat="1" ht="12" hidden="1" customHeight="1" outlineLevel="3">
      <c r="B323" s="245"/>
      <c r="C323" s="250" t="s">
        <v>768</v>
      </c>
      <c r="D323" s="250"/>
      <c r="E323" s="213"/>
      <c r="F323" s="213"/>
      <c r="G323" s="213"/>
      <c r="H323" s="213"/>
      <c r="I323" s="213"/>
      <c r="J323" s="213"/>
      <c r="K323" s="213"/>
      <c r="L323" s="213"/>
      <c r="M323" s="213"/>
      <c r="N323" s="213"/>
      <c r="O323" s="213"/>
      <c r="P323" s="213"/>
      <c r="Q323" s="213"/>
      <c r="R323" s="213"/>
      <c r="S323" s="213"/>
      <c r="T323" s="211">
        <f>INDEX($C$199:$AN$221, MATCH("New Customers 3MS", $C$199:$C$221, 0), MATCH($C323, $C$199:$AN$199, 0))</f>
        <v>0</v>
      </c>
      <c r="U323" s="211"/>
      <c r="V323" s="211"/>
      <c r="W323" s="211">
        <f>T323*(E307)</f>
        <v>0</v>
      </c>
      <c r="X323" s="211"/>
      <c r="Y323" s="211"/>
      <c r="Z323" s="211">
        <f>T323*(H307)</f>
        <v>0</v>
      </c>
      <c r="AA323" s="211"/>
      <c r="AB323" s="211"/>
      <c r="AC323" s="211">
        <f>T323*(K307)</f>
        <v>0</v>
      </c>
      <c r="AD323" s="211"/>
      <c r="AE323" s="211"/>
      <c r="AF323" s="211">
        <f>T323*(N307)</f>
        <v>0</v>
      </c>
      <c r="AG323" s="211"/>
      <c r="AH323" s="211"/>
      <c r="AI323" s="211">
        <f>T323*(Q307)</f>
        <v>0</v>
      </c>
      <c r="AJ323" s="211"/>
      <c r="AK323" s="211"/>
      <c r="AL323" s="211">
        <f>T323*(T307)</f>
        <v>0</v>
      </c>
      <c r="AM323" s="211"/>
      <c r="AN323" s="211"/>
    </row>
    <row r="324" spans="2:40 16380:16380" s="7" customFormat="1" ht="12" hidden="1" customHeight="1" outlineLevel="3">
      <c r="B324" s="245"/>
      <c r="C324" s="250" t="s">
        <v>769</v>
      </c>
      <c r="D324" s="250"/>
      <c r="E324" s="213"/>
      <c r="F324" s="213"/>
      <c r="G324" s="213"/>
      <c r="H324" s="213"/>
      <c r="I324" s="213"/>
      <c r="J324" s="213"/>
      <c r="K324" s="213"/>
      <c r="L324" s="213"/>
      <c r="M324" s="213"/>
      <c r="N324" s="213"/>
      <c r="O324" s="213"/>
      <c r="P324" s="213"/>
      <c r="Q324" s="213"/>
      <c r="R324" s="213"/>
      <c r="S324" s="213"/>
      <c r="T324" s="213"/>
      <c r="U324" s="211">
        <f>INDEX($C$199:$AN$221, MATCH("New Customers 3MS", $C$199:$C$221, 0), MATCH($C324, $C$199:$AN$199, 0))</f>
        <v>0</v>
      </c>
      <c r="V324" s="211"/>
      <c r="W324" s="211"/>
      <c r="X324" s="211">
        <f>U324*(E307)</f>
        <v>0</v>
      </c>
      <c r="Y324" s="211"/>
      <c r="Z324" s="211"/>
      <c r="AA324" s="211">
        <f>U324*(H307)</f>
        <v>0</v>
      </c>
      <c r="AB324" s="211"/>
      <c r="AC324" s="211"/>
      <c r="AD324" s="211">
        <f>U324*(K307)</f>
        <v>0</v>
      </c>
      <c r="AE324" s="211"/>
      <c r="AF324" s="211"/>
      <c r="AG324" s="211">
        <f>U324*(N307)</f>
        <v>0</v>
      </c>
      <c r="AH324" s="211"/>
      <c r="AI324" s="211"/>
      <c r="AJ324" s="211">
        <f>U324*(Q307)</f>
        <v>0</v>
      </c>
      <c r="AK324" s="211"/>
      <c r="AL324" s="211"/>
      <c r="AM324" s="211">
        <f>U324*(T307)</f>
        <v>0</v>
      </c>
      <c r="AN324" s="211"/>
    </row>
    <row r="325" spans="2:40 16380:16380" s="7" customFormat="1" ht="12" hidden="1" customHeight="1" outlineLevel="3">
      <c r="B325" s="245"/>
      <c r="C325" s="250" t="s">
        <v>770</v>
      </c>
      <c r="D325" s="250"/>
      <c r="E325" s="213"/>
      <c r="F325" s="213"/>
      <c r="G325" s="213"/>
      <c r="H325" s="213"/>
      <c r="I325" s="213"/>
      <c r="J325" s="213"/>
      <c r="K325" s="213"/>
      <c r="L325" s="213"/>
      <c r="M325" s="213"/>
      <c r="N325" s="213"/>
      <c r="O325" s="213"/>
      <c r="P325" s="213"/>
      <c r="Q325" s="213"/>
      <c r="R325" s="213"/>
      <c r="S325" s="213"/>
      <c r="T325" s="213"/>
      <c r="U325" s="213"/>
      <c r="V325" s="211">
        <f>INDEX($C$199:$AN$221, MATCH("New Customers 3MS", $C$199:$C$221, 0), MATCH($C325, $C$199:$AN$199, 0))</f>
        <v>0</v>
      </c>
      <c r="W325" s="211"/>
      <c r="X325" s="211"/>
      <c r="Y325" s="211">
        <f>V325*(E307)</f>
        <v>0</v>
      </c>
      <c r="Z325" s="211"/>
      <c r="AA325" s="211"/>
      <c r="AB325" s="211">
        <f>V325*(H307)</f>
        <v>0</v>
      </c>
      <c r="AC325" s="211"/>
      <c r="AD325" s="211"/>
      <c r="AE325" s="211">
        <f>V325*(K307)</f>
        <v>0</v>
      </c>
      <c r="AF325" s="211"/>
      <c r="AG325" s="211"/>
      <c r="AH325" s="211">
        <f>V325*(N307)</f>
        <v>0</v>
      </c>
      <c r="AI325" s="211"/>
      <c r="AJ325" s="211"/>
      <c r="AK325" s="211">
        <f>V325*(Q307)</f>
        <v>0</v>
      </c>
      <c r="AL325" s="211"/>
      <c r="AM325" s="211"/>
      <c r="AN325" s="211">
        <f>V325*(T307)</f>
        <v>0</v>
      </c>
    </row>
    <row r="326" spans="2:40 16380:16380" s="7" customFormat="1" ht="12" hidden="1" customHeight="1" outlineLevel="3">
      <c r="B326" s="245"/>
      <c r="C326" s="250" t="s">
        <v>771</v>
      </c>
      <c r="D326" s="250"/>
      <c r="E326" s="213"/>
      <c r="F326" s="213"/>
      <c r="G326" s="213"/>
      <c r="H326" s="213"/>
      <c r="I326" s="213"/>
      <c r="J326" s="213"/>
      <c r="K326" s="213"/>
      <c r="L326" s="213"/>
      <c r="M326" s="213"/>
      <c r="N326" s="213"/>
      <c r="O326" s="213"/>
      <c r="P326" s="213"/>
      <c r="Q326" s="213"/>
      <c r="R326" s="213"/>
      <c r="S326" s="213"/>
      <c r="T326" s="213"/>
      <c r="U326" s="213"/>
      <c r="V326" s="213"/>
      <c r="W326" s="211">
        <f>INDEX($C$199:$AN$221, MATCH("New Customers 3MS", $C$199:$C$221, 0), MATCH($C326, $C$199:$AN$199, 0))</f>
        <v>0</v>
      </c>
      <c r="X326" s="211"/>
      <c r="Y326" s="211"/>
      <c r="Z326" s="211">
        <f>W326*(E307)</f>
        <v>0</v>
      </c>
      <c r="AA326" s="211"/>
      <c r="AB326" s="211"/>
      <c r="AC326" s="211">
        <f>W326*(H307)</f>
        <v>0</v>
      </c>
      <c r="AD326" s="211"/>
      <c r="AE326" s="211"/>
      <c r="AF326" s="211">
        <f>W326*(K307)</f>
        <v>0</v>
      </c>
      <c r="AG326" s="211"/>
      <c r="AH326" s="211"/>
      <c r="AI326" s="211">
        <f>W326*(N307)</f>
        <v>0</v>
      </c>
      <c r="AJ326" s="211"/>
      <c r="AK326" s="211"/>
      <c r="AL326" s="211">
        <f>W326*(Q307)</f>
        <v>0</v>
      </c>
      <c r="AM326" s="211"/>
      <c r="AN326" s="211"/>
    </row>
    <row r="327" spans="2:40 16380:16380" s="7" customFormat="1" ht="12" hidden="1" customHeight="1" outlineLevel="3">
      <c r="B327" s="245"/>
      <c r="C327" s="250" t="s">
        <v>772</v>
      </c>
      <c r="D327" s="250"/>
      <c r="E327" s="213"/>
      <c r="F327" s="213"/>
      <c r="G327" s="213"/>
      <c r="H327" s="213"/>
      <c r="I327" s="213"/>
      <c r="J327" s="213"/>
      <c r="K327" s="213"/>
      <c r="L327" s="213"/>
      <c r="M327" s="213"/>
      <c r="N327" s="213"/>
      <c r="O327" s="213"/>
      <c r="P327" s="213"/>
      <c r="Q327" s="213"/>
      <c r="R327" s="213"/>
      <c r="S327" s="213"/>
      <c r="T327" s="213"/>
      <c r="U327" s="213"/>
      <c r="V327" s="213"/>
      <c r="W327" s="213"/>
      <c r="X327" s="211">
        <f>INDEX($C$199:$AN$221, MATCH("New Customers 3MS", $C$199:$C$221, 0), MATCH($C327, $C$199:$AN$199, 0))</f>
        <v>0</v>
      </c>
      <c r="Y327" s="211"/>
      <c r="Z327" s="211"/>
      <c r="AA327" s="211">
        <f>X327*(E307)</f>
        <v>0</v>
      </c>
      <c r="AB327" s="211"/>
      <c r="AC327" s="211"/>
      <c r="AD327" s="211">
        <f>X327*(H307)</f>
        <v>0</v>
      </c>
      <c r="AE327" s="211"/>
      <c r="AF327" s="211"/>
      <c r="AG327" s="211">
        <f>X327*(K307)</f>
        <v>0</v>
      </c>
      <c r="AH327" s="211"/>
      <c r="AI327" s="211"/>
      <c r="AJ327" s="211">
        <f>X327*(N307)</f>
        <v>0</v>
      </c>
      <c r="AK327" s="211"/>
      <c r="AL327" s="211"/>
      <c r="AM327" s="211">
        <f>X327*(Q307)</f>
        <v>0</v>
      </c>
      <c r="AN327" s="211"/>
    </row>
    <row r="328" spans="2:40 16380:16380" s="7" customFormat="1" ht="12" hidden="1" customHeight="1" outlineLevel="3">
      <c r="B328" s="245"/>
      <c r="C328" s="250" t="s">
        <v>773</v>
      </c>
      <c r="D328" s="250"/>
      <c r="E328" s="213"/>
      <c r="F328" s="213"/>
      <c r="G328" s="213"/>
      <c r="H328" s="213"/>
      <c r="I328" s="213"/>
      <c r="J328" s="213"/>
      <c r="K328" s="213"/>
      <c r="L328" s="213"/>
      <c r="M328" s="213"/>
      <c r="N328" s="213"/>
      <c r="O328" s="213"/>
      <c r="P328" s="213"/>
      <c r="Q328" s="213"/>
      <c r="R328" s="213"/>
      <c r="S328" s="213"/>
      <c r="T328" s="213"/>
      <c r="U328" s="213"/>
      <c r="V328" s="213"/>
      <c r="W328" s="213"/>
      <c r="X328" s="213"/>
      <c r="Y328" s="211">
        <f>INDEX($C$199:$AN$221, MATCH("New Customers 3MS", $C$199:$C$221, 0), MATCH($C328, $C$199:$AN$199, 0))</f>
        <v>0</v>
      </c>
      <c r="Z328" s="211"/>
      <c r="AA328" s="211"/>
      <c r="AB328" s="211">
        <f>Y328*(E307)</f>
        <v>0</v>
      </c>
      <c r="AC328" s="211"/>
      <c r="AD328" s="211"/>
      <c r="AE328" s="211">
        <f>Y328*(H307)</f>
        <v>0</v>
      </c>
      <c r="AF328" s="211"/>
      <c r="AG328" s="211"/>
      <c r="AH328" s="211">
        <f>Y328*(K307)</f>
        <v>0</v>
      </c>
      <c r="AI328" s="211"/>
      <c r="AJ328" s="211"/>
      <c r="AK328" s="211">
        <f>Y328*(N307)</f>
        <v>0</v>
      </c>
      <c r="AL328" s="211"/>
      <c r="AM328" s="211"/>
      <c r="AN328" s="211">
        <f>Y328*(Q307)</f>
        <v>0</v>
      </c>
    </row>
    <row r="329" spans="2:40 16380:16380" s="7" customFormat="1" ht="12" hidden="1" customHeight="1" outlineLevel="3">
      <c r="B329" s="245"/>
      <c r="C329" s="250" t="s">
        <v>774</v>
      </c>
      <c r="D329" s="250"/>
      <c r="E329" s="213"/>
      <c r="F329" s="213"/>
      <c r="G329" s="213"/>
      <c r="H329" s="213"/>
      <c r="I329" s="213"/>
      <c r="J329" s="213"/>
      <c r="K329" s="213"/>
      <c r="L329" s="213"/>
      <c r="M329" s="213"/>
      <c r="N329" s="213"/>
      <c r="O329" s="213"/>
      <c r="P329" s="213"/>
      <c r="Q329" s="213"/>
      <c r="R329" s="213"/>
      <c r="S329" s="213"/>
      <c r="T329" s="213"/>
      <c r="U329" s="213"/>
      <c r="V329" s="213"/>
      <c r="W329" s="213"/>
      <c r="X329" s="213"/>
      <c r="Y329" s="213"/>
      <c r="Z329" s="211">
        <f>INDEX($C$199:$AN$221, MATCH("New Customers 3MS", $C$199:$C$221, 0), MATCH($C329, $C$199:$AN$199, 0))</f>
        <v>0</v>
      </c>
      <c r="AA329" s="211"/>
      <c r="AB329" s="211"/>
      <c r="AC329" s="211">
        <f>Z329*(E307)</f>
        <v>0</v>
      </c>
      <c r="AD329" s="211"/>
      <c r="AE329" s="211"/>
      <c r="AF329" s="211">
        <f>Z329*(H307)</f>
        <v>0</v>
      </c>
      <c r="AG329" s="211"/>
      <c r="AH329" s="211"/>
      <c r="AI329" s="211">
        <f>Z329*(K307)</f>
        <v>0</v>
      </c>
      <c r="AJ329" s="211"/>
      <c r="AK329" s="211"/>
      <c r="AL329" s="211">
        <f>Z329*(N307)</f>
        <v>0</v>
      </c>
      <c r="AM329" s="211"/>
      <c r="AN329" s="211"/>
    </row>
    <row r="330" spans="2:40 16380:16380" s="7" customFormat="1" ht="12" hidden="1" customHeight="1" outlineLevel="3">
      <c r="B330" s="245"/>
      <c r="C330" s="250" t="s">
        <v>775</v>
      </c>
      <c r="D330" s="250"/>
      <c r="E330" s="213"/>
      <c r="F330" s="213"/>
      <c r="G330" s="213"/>
      <c r="H330" s="213"/>
      <c r="I330" s="213"/>
      <c r="J330" s="213"/>
      <c r="K330" s="213"/>
      <c r="L330" s="213"/>
      <c r="M330" s="213"/>
      <c r="N330" s="213"/>
      <c r="O330" s="213"/>
      <c r="P330" s="213"/>
      <c r="Q330" s="213"/>
      <c r="R330" s="213"/>
      <c r="S330" s="213"/>
      <c r="T330" s="213"/>
      <c r="U330" s="213"/>
      <c r="V330" s="213"/>
      <c r="W330" s="213"/>
      <c r="X330" s="213"/>
      <c r="Y330" s="213"/>
      <c r="Z330" s="213"/>
      <c r="AA330" s="211">
        <f>INDEX($C$199:$AN$221, MATCH("New Customers 3MS", $C$199:$C$221, 0), MATCH($C330, $C$199:$AN$199, 0))</f>
        <v>0</v>
      </c>
      <c r="AB330" s="211"/>
      <c r="AC330" s="211"/>
      <c r="AD330" s="211">
        <f>AA330*(E307)</f>
        <v>0</v>
      </c>
      <c r="AE330" s="211"/>
      <c r="AF330" s="211"/>
      <c r="AG330" s="211">
        <f>AA330*(H307)</f>
        <v>0</v>
      </c>
      <c r="AH330" s="211"/>
      <c r="AI330" s="211"/>
      <c r="AJ330" s="211">
        <f>AA330*(K307)</f>
        <v>0</v>
      </c>
      <c r="AK330" s="211"/>
      <c r="AL330" s="211"/>
      <c r="AM330" s="211">
        <f>AA330*(N307)</f>
        <v>0</v>
      </c>
      <c r="AN330" s="211"/>
    </row>
    <row r="331" spans="2:40 16380:16380" s="7" customFormat="1" ht="12" hidden="1" customHeight="1" outlineLevel="3">
      <c r="B331" s="245"/>
      <c r="C331" s="250" t="s">
        <v>776</v>
      </c>
      <c r="D331" s="250"/>
      <c r="E331" s="213"/>
      <c r="F331" s="213"/>
      <c r="G331" s="213"/>
      <c r="H331" s="213"/>
      <c r="I331" s="213"/>
      <c r="J331" s="213"/>
      <c r="K331" s="213"/>
      <c r="L331" s="213"/>
      <c r="M331" s="213"/>
      <c r="N331" s="213"/>
      <c r="O331" s="213"/>
      <c r="P331" s="213"/>
      <c r="Q331" s="213"/>
      <c r="R331" s="213"/>
      <c r="S331" s="213"/>
      <c r="T331" s="213"/>
      <c r="U331" s="213"/>
      <c r="V331" s="213"/>
      <c r="W331" s="213"/>
      <c r="X331" s="213"/>
      <c r="Y331" s="213"/>
      <c r="Z331" s="213"/>
      <c r="AA331" s="213"/>
      <c r="AB331" s="211">
        <f>INDEX($C$199:$AN$221, MATCH("New Customers 3MS", $C$199:$C$221, 0), MATCH($C331, $C$199:$AN$199, 0))</f>
        <v>0</v>
      </c>
      <c r="AC331" s="211"/>
      <c r="AD331" s="211"/>
      <c r="AE331" s="211">
        <f>AB331*(E307)</f>
        <v>0</v>
      </c>
      <c r="AF331" s="211"/>
      <c r="AG331" s="211"/>
      <c r="AH331" s="211">
        <f>AB331*(H307)</f>
        <v>0</v>
      </c>
      <c r="AI331" s="211"/>
      <c r="AJ331" s="211"/>
      <c r="AK331" s="211">
        <f>AB331*($K$153)</f>
        <v>0</v>
      </c>
      <c r="AL331" s="211"/>
      <c r="AM331" s="211"/>
      <c r="AN331" s="211">
        <f>AB331*(N307)</f>
        <v>0</v>
      </c>
    </row>
    <row r="332" spans="2:40 16380:16380" s="7" customFormat="1" ht="12" hidden="1" customHeight="1" outlineLevel="3">
      <c r="B332" s="245"/>
      <c r="C332" s="250" t="s">
        <v>777</v>
      </c>
      <c r="D332" s="250"/>
      <c r="E332" s="213"/>
      <c r="F332" s="213"/>
      <c r="G332" s="213"/>
      <c r="H332" s="213"/>
      <c r="I332" s="213"/>
      <c r="J332" s="213"/>
      <c r="K332" s="213"/>
      <c r="L332" s="213"/>
      <c r="M332" s="213"/>
      <c r="N332" s="213"/>
      <c r="O332" s="213"/>
      <c r="P332" s="213"/>
      <c r="Q332" s="213"/>
      <c r="R332" s="213"/>
      <c r="S332" s="213"/>
      <c r="T332" s="213"/>
      <c r="U332" s="213"/>
      <c r="V332" s="213"/>
      <c r="W332" s="213"/>
      <c r="X332" s="213"/>
      <c r="Y332" s="213"/>
      <c r="Z332" s="213"/>
      <c r="AA332" s="213"/>
      <c r="AB332" s="211"/>
      <c r="AC332" s="211">
        <f>INDEX($C$199:$AN$221, MATCH("New Customers 3MS", $C$199:$C$221, 0), MATCH($C332, $C$199:$AN$199, 0))</f>
        <v>0</v>
      </c>
      <c r="AD332" s="211"/>
      <c r="AE332" s="211"/>
      <c r="AF332" s="211">
        <f>AC332*($E$153)</f>
        <v>0</v>
      </c>
      <c r="AG332" s="211"/>
      <c r="AH332" s="211"/>
      <c r="AI332" s="211">
        <f>AB331*($H$153)</f>
        <v>0</v>
      </c>
      <c r="AJ332" s="211"/>
      <c r="AK332" s="211"/>
      <c r="AL332" s="211">
        <f>AC332*($K$153)</f>
        <v>0</v>
      </c>
      <c r="AM332" s="211"/>
      <c r="AN332" s="211"/>
    </row>
    <row r="333" spans="2:40 16380:16380" s="7" customFormat="1" ht="12" hidden="1" customHeight="1" outlineLevel="3">
      <c r="B333" s="245"/>
      <c r="C333" s="250" t="s">
        <v>778</v>
      </c>
      <c r="D333" s="250"/>
      <c r="E333" s="213"/>
      <c r="F333" s="213"/>
      <c r="G333" s="213"/>
      <c r="H333" s="213"/>
      <c r="I333" s="213"/>
      <c r="J333" s="213"/>
      <c r="K333" s="213"/>
      <c r="L333" s="213"/>
      <c r="M333" s="213"/>
      <c r="N333" s="213"/>
      <c r="O333" s="213"/>
      <c r="P333" s="213"/>
      <c r="Q333" s="213"/>
      <c r="R333" s="213"/>
      <c r="S333" s="213"/>
      <c r="T333" s="213"/>
      <c r="U333" s="213"/>
      <c r="V333" s="213"/>
      <c r="W333" s="213"/>
      <c r="X333" s="213"/>
      <c r="Y333" s="213"/>
      <c r="Z333" s="213"/>
      <c r="AA333" s="213"/>
      <c r="AB333" s="211"/>
      <c r="AC333" s="211"/>
      <c r="AD333" s="211">
        <f>INDEX($C$199:$AN$221, MATCH("New Customers 3MS", $C$199:$C$221, 0), MATCH($C333, $C$199:$AN$199, 0))</f>
        <v>0</v>
      </c>
      <c r="AE333" s="211"/>
      <c r="AF333" s="211"/>
      <c r="AG333" s="211">
        <f>AD333*($E$153)</f>
        <v>0</v>
      </c>
      <c r="AH333" s="211"/>
      <c r="AI333" s="211"/>
      <c r="AJ333" s="211">
        <f>AB331*($H$153)</f>
        <v>0</v>
      </c>
      <c r="AK333" s="211"/>
      <c r="AL333" s="211"/>
      <c r="AM333" s="211">
        <f>AD333*($K$153)</f>
        <v>0</v>
      </c>
      <c r="AN333" s="211"/>
    </row>
    <row r="334" spans="2:40 16380:16380" s="7" customFormat="1" ht="12" hidden="1" customHeight="1" outlineLevel="3">
      <c r="B334" s="245"/>
      <c r="C334" s="250" t="s">
        <v>779</v>
      </c>
      <c r="D334" s="250"/>
      <c r="E334" s="213"/>
      <c r="F334" s="213"/>
      <c r="G334" s="213"/>
      <c r="H334" s="213"/>
      <c r="I334" s="213"/>
      <c r="J334" s="213"/>
      <c r="K334" s="213"/>
      <c r="L334" s="213"/>
      <c r="M334" s="213"/>
      <c r="N334" s="213"/>
      <c r="O334" s="213"/>
      <c r="P334" s="213"/>
      <c r="Q334" s="213"/>
      <c r="R334" s="213"/>
      <c r="S334" s="213"/>
      <c r="T334" s="213"/>
      <c r="U334" s="213"/>
      <c r="V334" s="213"/>
      <c r="W334" s="213"/>
      <c r="X334" s="213"/>
      <c r="Y334" s="213"/>
      <c r="Z334" s="213"/>
      <c r="AA334" s="213"/>
      <c r="AB334" s="211"/>
      <c r="AC334" s="211"/>
      <c r="AD334" s="211"/>
      <c r="AE334" s="211">
        <f>INDEX($C$199:$AN$221, MATCH("New Customers 3MS", $C$199:$C$221, 0), MATCH($C334, $C$199:$AN$199, 0))</f>
        <v>0</v>
      </c>
      <c r="AF334" s="211"/>
      <c r="AG334" s="211"/>
      <c r="AH334" s="211">
        <f>AE334*($E$153)</f>
        <v>0</v>
      </c>
      <c r="AI334" s="211"/>
      <c r="AJ334" s="211"/>
      <c r="AK334" s="211">
        <f>AB331*($H$153)</f>
        <v>0</v>
      </c>
      <c r="AL334" s="211"/>
      <c r="AM334" s="211"/>
      <c r="AN334" s="211">
        <f>AE334*($K$153)</f>
        <v>0</v>
      </c>
    </row>
    <row r="335" spans="2:40 16380:16380" s="7" customFormat="1" ht="12" hidden="1" customHeight="1" outlineLevel="3">
      <c r="B335" s="245"/>
      <c r="C335" s="250" t="s">
        <v>780</v>
      </c>
      <c r="D335" s="250"/>
      <c r="E335" s="213"/>
      <c r="F335" s="213"/>
      <c r="G335" s="213"/>
      <c r="H335" s="213"/>
      <c r="I335" s="213"/>
      <c r="J335" s="213"/>
      <c r="K335" s="213"/>
      <c r="L335" s="213"/>
      <c r="M335" s="213"/>
      <c r="N335" s="213"/>
      <c r="O335" s="213"/>
      <c r="P335" s="213"/>
      <c r="Q335" s="213"/>
      <c r="R335" s="213"/>
      <c r="S335" s="213"/>
      <c r="T335" s="213"/>
      <c r="U335" s="213"/>
      <c r="V335" s="213"/>
      <c r="W335" s="213"/>
      <c r="X335" s="213"/>
      <c r="Y335" s="213"/>
      <c r="Z335" s="213"/>
      <c r="AA335" s="213"/>
      <c r="AB335" s="211"/>
      <c r="AC335" s="211"/>
      <c r="AD335" s="211"/>
      <c r="AE335" s="211"/>
      <c r="AF335" s="211">
        <f>INDEX($C$199:$AN$221, MATCH("New Customers 3MS", $C$199:$C$221, 0), MATCH($C335, $C$199:$AN$199, 0))</f>
        <v>0</v>
      </c>
      <c r="AG335" s="211"/>
      <c r="AH335" s="211"/>
      <c r="AI335" s="211">
        <f>AF335*($E$153)</f>
        <v>0</v>
      </c>
      <c r="AJ335" s="211"/>
      <c r="AK335" s="211"/>
      <c r="AL335" s="211">
        <f>AB331*($H$153)</f>
        <v>0</v>
      </c>
      <c r="AM335" s="211"/>
      <c r="AN335" s="211"/>
    </row>
    <row r="336" spans="2:40 16380:16380" s="7" customFormat="1" ht="12" hidden="1" customHeight="1" outlineLevel="3">
      <c r="B336" s="245"/>
      <c r="C336" s="250" t="s">
        <v>781</v>
      </c>
      <c r="D336" s="250"/>
      <c r="E336" s="213"/>
      <c r="F336" s="213"/>
      <c r="G336" s="213"/>
      <c r="H336" s="213"/>
      <c r="I336" s="213"/>
      <c r="J336" s="213"/>
      <c r="K336" s="213"/>
      <c r="L336" s="213"/>
      <c r="M336" s="213"/>
      <c r="N336" s="213"/>
      <c r="O336" s="213"/>
      <c r="P336" s="213"/>
      <c r="Q336" s="213"/>
      <c r="R336" s="213"/>
      <c r="S336" s="213"/>
      <c r="T336" s="213"/>
      <c r="U336" s="213"/>
      <c r="V336" s="213"/>
      <c r="W336" s="213"/>
      <c r="X336" s="213"/>
      <c r="Y336" s="213"/>
      <c r="Z336" s="213"/>
      <c r="AA336" s="213"/>
      <c r="AB336" s="211"/>
      <c r="AC336" s="211"/>
      <c r="AD336" s="211"/>
      <c r="AE336" s="211"/>
      <c r="AF336" s="211"/>
      <c r="AG336" s="211">
        <f>INDEX($C$199:$AN$221, MATCH("New Customers 3MS", $C$199:$C$221, 0), MATCH($C336, $C$199:$AN$199, 0))</f>
        <v>0</v>
      </c>
      <c r="AH336" s="211"/>
      <c r="AI336" s="211"/>
      <c r="AJ336" s="211">
        <f>AG336*($E$153)</f>
        <v>0</v>
      </c>
      <c r="AK336" s="211"/>
      <c r="AL336" s="211"/>
      <c r="AM336" s="211">
        <f>AB331*($H$153)</f>
        <v>0</v>
      </c>
      <c r="AN336" s="211"/>
    </row>
    <row r="337" spans="2:40" s="7" customFormat="1" ht="12" hidden="1" customHeight="1" outlineLevel="3">
      <c r="B337" s="245"/>
      <c r="C337" s="250" t="s">
        <v>782</v>
      </c>
      <c r="D337" s="250"/>
      <c r="E337" s="213"/>
      <c r="F337" s="213"/>
      <c r="G337" s="213"/>
      <c r="H337" s="213"/>
      <c r="I337" s="213"/>
      <c r="J337" s="213"/>
      <c r="K337" s="213"/>
      <c r="L337" s="213"/>
      <c r="M337" s="213"/>
      <c r="N337" s="213"/>
      <c r="O337" s="213"/>
      <c r="P337" s="213"/>
      <c r="Q337" s="213"/>
      <c r="R337" s="213"/>
      <c r="S337" s="213"/>
      <c r="T337" s="213"/>
      <c r="U337" s="213"/>
      <c r="V337" s="213"/>
      <c r="W337" s="213"/>
      <c r="X337" s="213"/>
      <c r="Y337" s="213"/>
      <c r="Z337" s="213"/>
      <c r="AA337" s="213"/>
      <c r="AB337" s="211"/>
      <c r="AC337" s="211"/>
      <c r="AD337" s="211"/>
      <c r="AE337" s="211"/>
      <c r="AF337" s="211"/>
      <c r="AG337" s="211"/>
      <c r="AH337" s="211">
        <f>INDEX($C$199:$AN$221, MATCH("New Customers 3MS", $C$199:$C$221, 0), MATCH($C337, $C$199:$AN$199, 0))</f>
        <v>0</v>
      </c>
      <c r="AI337" s="211"/>
      <c r="AJ337" s="211"/>
      <c r="AK337" s="211">
        <f>AH337*($E$153)</f>
        <v>0</v>
      </c>
      <c r="AL337" s="211"/>
      <c r="AM337" s="211"/>
      <c r="AN337" s="211">
        <f>AB331*($H$153)</f>
        <v>0</v>
      </c>
    </row>
    <row r="338" spans="2:40" s="7" customFormat="1" ht="12" hidden="1" customHeight="1" outlineLevel="3">
      <c r="B338" s="245"/>
      <c r="C338" s="250" t="s">
        <v>783</v>
      </c>
      <c r="D338" s="250"/>
      <c r="E338" s="213"/>
      <c r="F338" s="213"/>
      <c r="G338" s="213"/>
      <c r="H338" s="213"/>
      <c r="I338" s="213"/>
      <c r="J338" s="213"/>
      <c r="K338" s="213"/>
      <c r="L338" s="213"/>
      <c r="M338" s="213"/>
      <c r="N338" s="213"/>
      <c r="O338" s="213"/>
      <c r="P338" s="213"/>
      <c r="Q338" s="213"/>
      <c r="R338" s="213"/>
      <c r="S338" s="213"/>
      <c r="T338" s="213"/>
      <c r="U338" s="213"/>
      <c r="V338" s="213"/>
      <c r="W338" s="213"/>
      <c r="X338" s="213"/>
      <c r="Y338" s="213"/>
      <c r="Z338" s="213"/>
      <c r="AA338" s="213"/>
      <c r="AB338" s="211"/>
      <c r="AC338" s="211"/>
      <c r="AD338" s="211"/>
      <c r="AE338" s="211"/>
      <c r="AF338" s="211"/>
      <c r="AG338" s="211"/>
      <c r="AH338" s="211"/>
      <c r="AI338" s="211">
        <f>INDEX($C$199:$AN$221, MATCH("New Customers 3MS", $C$199:$C$221, 0), MATCH($C338, $C$199:$AN$199, 0))</f>
        <v>0</v>
      </c>
      <c r="AJ338" s="211"/>
      <c r="AK338" s="211"/>
      <c r="AL338" s="211">
        <f>AI338*($E$153)</f>
        <v>0</v>
      </c>
      <c r="AM338" s="211"/>
      <c r="AN338" s="211"/>
    </row>
    <row r="339" spans="2:40" s="7" customFormat="1" ht="12" hidden="1" customHeight="1" outlineLevel="3">
      <c r="B339" s="245"/>
      <c r="C339" s="250" t="s">
        <v>784</v>
      </c>
      <c r="D339" s="250"/>
      <c r="E339" s="213"/>
      <c r="F339" s="213"/>
      <c r="G339" s="213"/>
      <c r="H339" s="213"/>
      <c r="I339" s="213"/>
      <c r="J339" s="213"/>
      <c r="K339" s="213"/>
      <c r="L339" s="213"/>
      <c r="M339" s="213"/>
      <c r="N339" s="213"/>
      <c r="O339" s="213"/>
      <c r="P339" s="213"/>
      <c r="Q339" s="213"/>
      <c r="R339" s="213"/>
      <c r="S339" s="213"/>
      <c r="T339" s="213"/>
      <c r="U339" s="213"/>
      <c r="V339" s="213"/>
      <c r="W339" s="213"/>
      <c r="X339" s="213"/>
      <c r="Y339" s="213"/>
      <c r="Z339" s="213"/>
      <c r="AA339" s="213"/>
      <c r="AB339" s="211"/>
      <c r="AC339" s="211"/>
      <c r="AD339" s="211"/>
      <c r="AE339" s="211"/>
      <c r="AF339" s="211"/>
      <c r="AG339" s="211"/>
      <c r="AH339" s="211"/>
      <c r="AI339" s="211"/>
      <c r="AJ339" s="211">
        <f>INDEX($C$199:$AN$221, MATCH("New Customers 3MS", $C$199:$C$221, 0), MATCH($C339, $C$199:$AN$199, 0))</f>
        <v>0</v>
      </c>
      <c r="AK339" s="211"/>
      <c r="AL339" s="211"/>
      <c r="AM339" s="211">
        <f>AJ339*($E$153)</f>
        <v>0</v>
      </c>
      <c r="AN339" s="211"/>
    </row>
    <row r="340" spans="2:40" s="7" customFormat="1" ht="12" hidden="1" customHeight="1" outlineLevel="3">
      <c r="B340" s="245"/>
      <c r="C340" s="250" t="s">
        <v>785</v>
      </c>
      <c r="D340" s="250"/>
      <c r="E340" s="213"/>
      <c r="F340" s="213"/>
      <c r="G340" s="213"/>
      <c r="H340" s="213"/>
      <c r="I340" s="213"/>
      <c r="J340" s="213"/>
      <c r="K340" s="213"/>
      <c r="L340" s="213"/>
      <c r="M340" s="213"/>
      <c r="N340" s="213"/>
      <c r="O340" s="213"/>
      <c r="P340" s="213"/>
      <c r="Q340" s="213"/>
      <c r="R340" s="213"/>
      <c r="S340" s="213"/>
      <c r="T340" s="213"/>
      <c r="U340" s="213"/>
      <c r="V340" s="213"/>
      <c r="W340" s="213"/>
      <c r="X340" s="213"/>
      <c r="Y340" s="213"/>
      <c r="Z340" s="213"/>
      <c r="AA340" s="213"/>
      <c r="AB340" s="211"/>
      <c r="AC340" s="211"/>
      <c r="AD340" s="211"/>
      <c r="AE340" s="211"/>
      <c r="AF340" s="211"/>
      <c r="AG340" s="211"/>
      <c r="AH340" s="211"/>
      <c r="AI340" s="211"/>
      <c r="AJ340" s="211"/>
      <c r="AK340" s="211">
        <f>INDEX($C$199:$AN$221, MATCH("New Customers 3MS", $C$199:$C$221, 0), MATCH($C340, $C$199:$AN$199, 0))</f>
        <v>0</v>
      </c>
      <c r="AL340" s="211"/>
      <c r="AM340" s="211"/>
      <c r="AN340" s="211">
        <f>AK340*($E$153)</f>
        <v>0</v>
      </c>
    </row>
    <row r="341" spans="2:40" s="7" customFormat="1" ht="12" hidden="1" customHeight="1" outlineLevel="3">
      <c r="B341" s="245"/>
      <c r="C341" s="250" t="s">
        <v>786</v>
      </c>
      <c r="D341" s="250"/>
      <c r="E341" s="213"/>
      <c r="F341" s="213"/>
      <c r="G341" s="213"/>
      <c r="H341" s="213"/>
      <c r="I341" s="213"/>
      <c r="J341" s="213"/>
      <c r="K341" s="213"/>
      <c r="L341" s="213"/>
      <c r="M341" s="213"/>
      <c r="N341" s="213"/>
      <c r="O341" s="213"/>
      <c r="P341" s="213"/>
      <c r="Q341" s="213"/>
      <c r="R341" s="213"/>
      <c r="S341" s="213"/>
      <c r="T341" s="213"/>
      <c r="U341" s="213"/>
      <c r="V341" s="213"/>
      <c r="W341" s="213"/>
      <c r="X341" s="213"/>
      <c r="Y341" s="213"/>
      <c r="Z341" s="213"/>
      <c r="AA341" s="213"/>
      <c r="AB341" s="211"/>
      <c r="AC341" s="211"/>
      <c r="AD341" s="211"/>
      <c r="AE341" s="211"/>
      <c r="AF341" s="211"/>
      <c r="AG341" s="211"/>
      <c r="AH341" s="211"/>
      <c r="AI341" s="211"/>
      <c r="AJ341" s="211"/>
      <c r="AK341" s="211"/>
      <c r="AL341" s="211">
        <f>INDEX($C$199:$AN$221, MATCH("New Customers 3MS", $C$199:$C$221, 0), MATCH($C341, $C$199:$AN$199, 0))</f>
        <v>0</v>
      </c>
      <c r="AM341" s="211"/>
      <c r="AN341" s="211"/>
    </row>
    <row r="342" spans="2:40" s="7" customFormat="1" ht="12" hidden="1" customHeight="1" outlineLevel="3">
      <c r="B342" s="245"/>
      <c r="C342" s="250" t="s">
        <v>787</v>
      </c>
      <c r="D342" s="250"/>
      <c r="E342" s="213"/>
      <c r="F342" s="213"/>
      <c r="G342" s="213"/>
      <c r="H342" s="213"/>
      <c r="I342" s="213"/>
      <c r="J342" s="213"/>
      <c r="K342" s="213"/>
      <c r="L342" s="213"/>
      <c r="M342" s="213"/>
      <c r="N342" s="213"/>
      <c r="O342" s="213"/>
      <c r="P342" s="213"/>
      <c r="Q342" s="213"/>
      <c r="R342" s="213"/>
      <c r="S342" s="213"/>
      <c r="T342" s="213"/>
      <c r="U342" s="213"/>
      <c r="V342" s="213"/>
      <c r="W342" s="213"/>
      <c r="X342" s="213"/>
      <c r="Y342" s="213"/>
      <c r="Z342" s="213"/>
      <c r="AA342" s="213"/>
      <c r="AB342" s="211"/>
      <c r="AC342" s="211"/>
      <c r="AD342" s="211"/>
      <c r="AE342" s="211"/>
      <c r="AF342" s="211"/>
      <c r="AG342" s="211"/>
      <c r="AH342" s="211"/>
      <c r="AI342" s="211"/>
      <c r="AJ342" s="211"/>
      <c r="AK342" s="211"/>
      <c r="AL342" s="211"/>
      <c r="AM342" s="211">
        <f>INDEX($C$199:$AN$221, MATCH("New Customers 3MS", $C$199:$C$221, 0), MATCH($C342, $C$199:$AN$199, 0))</f>
        <v>0</v>
      </c>
      <c r="AN342" s="211"/>
    </row>
    <row r="343" spans="2:40" s="7" customFormat="1" ht="12" hidden="1" customHeight="1" outlineLevel="3">
      <c r="B343" s="245"/>
      <c r="C343" s="250" t="s">
        <v>788</v>
      </c>
      <c r="D343" s="250"/>
      <c r="E343" s="213"/>
      <c r="F343" s="213"/>
      <c r="G343" s="213"/>
      <c r="H343" s="213"/>
      <c r="I343" s="213"/>
      <c r="J343" s="213"/>
      <c r="K343" s="213"/>
      <c r="L343" s="213"/>
      <c r="M343" s="213"/>
      <c r="N343" s="213"/>
      <c r="O343" s="213"/>
      <c r="P343" s="213"/>
      <c r="Q343" s="213"/>
      <c r="R343" s="213"/>
      <c r="S343" s="213"/>
      <c r="T343" s="213"/>
      <c r="U343" s="213"/>
      <c r="V343" s="213"/>
      <c r="W343" s="213"/>
      <c r="X343" s="213"/>
      <c r="Y343" s="213"/>
      <c r="Z343" s="213"/>
      <c r="AA343" s="213"/>
      <c r="AB343" s="211"/>
      <c r="AC343" s="211"/>
      <c r="AD343" s="211"/>
      <c r="AE343" s="211"/>
      <c r="AF343" s="211"/>
      <c r="AG343" s="211"/>
      <c r="AH343" s="211"/>
      <c r="AI343" s="211"/>
      <c r="AJ343" s="211"/>
      <c r="AK343" s="211"/>
      <c r="AL343" s="211"/>
      <c r="AM343" s="211"/>
      <c r="AN343" s="211">
        <f>INDEX($C$199:$AN$221, MATCH("New Customers 3MS", $C$199:$C$221, 0), MATCH($C343, $C$199:$AN$199, 0))</f>
        <v>0</v>
      </c>
    </row>
    <row r="344" spans="2:40" s="7" customFormat="1" ht="12" hidden="1" customHeight="1" outlineLevel="2">
      <c r="B344" s="245"/>
      <c r="C344" s="250"/>
      <c r="D344" s="250"/>
      <c r="E344" s="213"/>
      <c r="F344" s="213"/>
      <c r="G344" s="213"/>
      <c r="H344" s="213"/>
      <c r="I344" s="213"/>
      <c r="J344" s="213"/>
      <c r="K344" s="213"/>
      <c r="L344" s="213"/>
      <c r="M344" s="213"/>
      <c r="N344" s="213"/>
      <c r="O344" s="213"/>
      <c r="P344" s="213"/>
      <c r="Q344" s="213"/>
      <c r="R344" s="213"/>
      <c r="S344" s="213"/>
      <c r="T344" s="213"/>
      <c r="U344" s="213"/>
      <c r="V344" s="213"/>
      <c r="W344" s="213"/>
      <c r="X344" s="213"/>
      <c r="Y344" s="213"/>
      <c r="Z344" s="213"/>
      <c r="AA344" s="213"/>
      <c r="AB344" s="211"/>
      <c r="AC344" s="211"/>
      <c r="AD344" s="211"/>
      <c r="AE344" s="211"/>
      <c r="AF344" s="211"/>
      <c r="AG344" s="211"/>
      <c r="AH344" s="211"/>
      <c r="AI344" s="211"/>
      <c r="AJ344" s="211"/>
      <c r="AK344" s="211"/>
      <c r="AL344" s="211"/>
      <c r="AM344" s="211"/>
      <c r="AN344" s="211"/>
    </row>
    <row r="345" spans="2:40" s="7" customFormat="1" ht="12" customHeight="1" outlineLevel="1" collapsed="1">
      <c r="B345" s="239"/>
      <c r="C345" s="243" t="s">
        <v>855</v>
      </c>
      <c r="D345" s="212"/>
      <c r="E345" s="214"/>
      <c r="F345" s="214"/>
      <c r="G345" s="214"/>
      <c r="H345" s="214"/>
      <c r="I345" s="214"/>
      <c r="J345" s="214"/>
      <c r="K345" s="214"/>
      <c r="L345" s="214"/>
      <c r="M345" s="214"/>
      <c r="N345" s="214"/>
      <c r="O345" s="214"/>
      <c r="P345" s="214"/>
      <c r="Q345" s="214"/>
      <c r="R345" s="214"/>
      <c r="S345" s="214"/>
      <c r="T345" s="214"/>
      <c r="U345" s="214"/>
      <c r="V345" s="214"/>
      <c r="W345" s="214"/>
      <c r="X345" s="214"/>
      <c r="Y345" s="214"/>
      <c r="Z345" s="214"/>
      <c r="AA345" s="214"/>
      <c r="AB345" s="214"/>
      <c r="AC345" s="215"/>
    </row>
    <row r="346" spans="2:40" s="7" customFormat="1" ht="12" customHeight="1" outlineLevel="1">
      <c r="B346" s="239"/>
      <c r="C346" s="214"/>
      <c r="D346" s="212"/>
      <c r="E346" s="214"/>
      <c r="F346" s="214"/>
      <c r="G346" s="214"/>
      <c r="H346" s="214"/>
      <c r="I346" s="214"/>
      <c r="J346" s="214"/>
      <c r="K346" s="214"/>
      <c r="L346" s="214"/>
      <c r="M346" s="214"/>
      <c r="N346" s="214"/>
      <c r="O346" s="214"/>
      <c r="P346" s="214"/>
      <c r="Q346" s="214"/>
      <c r="R346" s="214"/>
      <c r="S346" s="214"/>
      <c r="T346" s="214"/>
      <c r="U346" s="214"/>
      <c r="V346" s="214"/>
      <c r="W346" s="214"/>
      <c r="X346" s="214"/>
      <c r="Y346" s="214"/>
      <c r="Z346" s="214"/>
      <c r="AA346" s="214"/>
      <c r="AB346" s="214"/>
      <c r="AC346" s="214"/>
    </row>
    <row r="347" spans="2:40" s="7" customFormat="1" outlineLevel="1">
      <c r="B347" s="235"/>
      <c r="C347" s="10"/>
      <c r="D347" s="10"/>
    </row>
    <row r="348" spans="2:40" s="207" customFormat="1">
      <c r="C348" s="248" t="s">
        <v>862</v>
      </c>
    </row>
    <row r="349" spans="2:40" s="7" customFormat="1" ht="12" customHeight="1" outlineLevel="1">
      <c r="B349" s="237"/>
      <c r="C349" s="208"/>
      <c r="D349" s="208"/>
      <c r="E349" s="196" t="s">
        <v>753</v>
      </c>
      <c r="F349" s="196" t="s">
        <v>754</v>
      </c>
      <c r="G349" s="196" t="s">
        <v>755</v>
      </c>
      <c r="H349" s="196" t="s">
        <v>756</v>
      </c>
      <c r="I349" s="196" t="s">
        <v>757</v>
      </c>
      <c r="J349" s="196" t="s">
        <v>758</v>
      </c>
      <c r="K349" s="196" t="s">
        <v>759</v>
      </c>
      <c r="L349" s="196" t="s">
        <v>760</v>
      </c>
      <c r="M349" s="196" t="s">
        <v>761</v>
      </c>
      <c r="N349" s="196" t="s">
        <v>762</v>
      </c>
      <c r="O349" s="196" t="s">
        <v>763</v>
      </c>
      <c r="P349" s="196" t="s">
        <v>764</v>
      </c>
      <c r="Q349" s="196" t="s">
        <v>765</v>
      </c>
      <c r="R349" s="196" t="s">
        <v>766</v>
      </c>
      <c r="S349" s="196" t="s">
        <v>767</v>
      </c>
      <c r="T349" s="196" t="s">
        <v>768</v>
      </c>
      <c r="U349" s="196" t="s">
        <v>769</v>
      </c>
      <c r="V349" s="196" t="s">
        <v>770</v>
      </c>
      <c r="W349" s="196" t="s">
        <v>771</v>
      </c>
      <c r="X349" s="196" t="s">
        <v>772</v>
      </c>
      <c r="Y349" s="196" t="s">
        <v>773</v>
      </c>
      <c r="Z349" s="196" t="s">
        <v>774</v>
      </c>
      <c r="AA349" s="196" t="s">
        <v>775</v>
      </c>
      <c r="AB349" s="196" t="s">
        <v>776</v>
      </c>
      <c r="AC349" s="196" t="s">
        <v>777</v>
      </c>
      <c r="AD349" s="196" t="s">
        <v>778</v>
      </c>
      <c r="AE349" s="196" t="s">
        <v>779</v>
      </c>
      <c r="AF349" s="196" t="s">
        <v>780</v>
      </c>
      <c r="AG349" s="196" t="s">
        <v>781</v>
      </c>
      <c r="AH349" s="196" t="s">
        <v>782</v>
      </c>
      <c r="AI349" s="196" t="s">
        <v>783</v>
      </c>
      <c r="AJ349" s="196" t="s">
        <v>784</v>
      </c>
      <c r="AK349" s="196" t="s">
        <v>785</v>
      </c>
      <c r="AL349" s="196" t="s">
        <v>786</v>
      </c>
      <c r="AM349" s="196" t="s">
        <v>787</v>
      </c>
      <c r="AN349" s="196" t="s">
        <v>788</v>
      </c>
    </row>
    <row r="350" spans="2:40" s="7" customFormat="1" ht="12" customHeight="1" outlineLevel="1">
      <c r="B350" s="239"/>
      <c r="C350" s="214" t="s">
        <v>821</v>
      </c>
      <c r="D350" s="214"/>
      <c r="E350" s="337"/>
      <c r="F350" s="337"/>
      <c r="G350" s="337"/>
      <c r="H350" s="337"/>
      <c r="I350" s="337"/>
      <c r="J350" s="337">
        <f t="shared" ref="J350:AN350" si="205">J36*J41</f>
        <v>0</v>
      </c>
      <c r="K350" s="337">
        <f t="shared" si="205"/>
        <v>0</v>
      </c>
      <c r="L350" s="337">
        <f t="shared" si="205"/>
        <v>0</v>
      </c>
      <c r="M350" s="337">
        <f t="shared" si="205"/>
        <v>54000</v>
      </c>
      <c r="N350" s="337">
        <f t="shared" si="205"/>
        <v>45000</v>
      </c>
      <c r="O350" s="337">
        <f t="shared" si="205"/>
        <v>22500</v>
      </c>
      <c r="P350" s="337">
        <f t="shared" si="205"/>
        <v>22500</v>
      </c>
      <c r="Q350" s="337">
        <f t="shared" si="205"/>
        <v>11632.08</v>
      </c>
      <c r="R350" s="337">
        <f t="shared" si="205"/>
        <v>29205.959999999995</v>
      </c>
      <c r="S350" s="337">
        <f t="shared" si="205"/>
        <v>29249.22</v>
      </c>
      <c r="T350" s="337">
        <f t="shared" si="205"/>
        <v>19743.149999999998</v>
      </c>
      <c r="U350" s="337">
        <f t="shared" si="205"/>
        <v>15277.275</v>
      </c>
      <c r="V350" s="337">
        <f t="shared" si="205"/>
        <v>42809.625</v>
      </c>
      <c r="W350" s="337">
        <f t="shared" si="205"/>
        <v>16871.924999999999</v>
      </c>
      <c r="X350" s="337">
        <f t="shared" si="205"/>
        <v>14682.525</v>
      </c>
      <c r="Y350" s="337">
        <f t="shared" si="205"/>
        <v>58500</v>
      </c>
      <c r="Z350" s="337">
        <f t="shared" si="205"/>
        <v>54000</v>
      </c>
      <c r="AA350" s="337">
        <f t="shared" si="205"/>
        <v>18000</v>
      </c>
      <c r="AB350" s="337">
        <f t="shared" si="205"/>
        <v>18000</v>
      </c>
      <c r="AC350" s="337">
        <f t="shared" si="205"/>
        <v>17448.12</v>
      </c>
      <c r="AD350" s="337">
        <f t="shared" si="205"/>
        <v>43808.939999999995</v>
      </c>
      <c r="AE350" s="337">
        <f t="shared" si="205"/>
        <v>34472.295000000013</v>
      </c>
      <c r="AF350" s="337">
        <f t="shared" si="205"/>
        <v>21717.465</v>
      </c>
      <c r="AG350" s="337">
        <f t="shared" si="205"/>
        <v>26441.4375</v>
      </c>
      <c r="AH350" s="337">
        <f t="shared" si="205"/>
        <v>64214.4375</v>
      </c>
      <c r="AI350" s="337">
        <f t="shared" si="205"/>
        <v>11810.347499999998</v>
      </c>
      <c r="AJ350" s="337">
        <f t="shared" si="205"/>
        <v>22023.787499999999</v>
      </c>
      <c r="AK350" s="337">
        <f t="shared" si="205"/>
        <v>76050</v>
      </c>
      <c r="AL350" s="337">
        <f t="shared" si="205"/>
        <v>64800</v>
      </c>
      <c r="AM350" s="337">
        <f t="shared" si="205"/>
        <v>12600</v>
      </c>
      <c r="AN350" s="337">
        <f t="shared" si="205"/>
        <v>18000</v>
      </c>
    </row>
    <row r="351" spans="2:40" ht="12" customHeight="1" outlineLevel="1">
      <c r="B351" s="301"/>
      <c r="C351" s="303" t="s">
        <v>827</v>
      </c>
      <c r="D351" s="303"/>
      <c r="E351" s="312"/>
      <c r="F351" s="312"/>
      <c r="G351" s="312"/>
      <c r="H351" s="312"/>
      <c r="I351" s="312"/>
      <c r="J351" s="312"/>
      <c r="K351" s="312"/>
      <c r="L351" s="312"/>
      <c r="M351" s="313">
        <v>20</v>
      </c>
      <c r="N351" s="313">
        <v>20</v>
      </c>
      <c r="O351" s="313">
        <v>20</v>
      </c>
      <c r="P351" s="313">
        <v>20</v>
      </c>
      <c r="Q351" s="313">
        <v>20</v>
      </c>
      <c r="R351" s="313">
        <v>20</v>
      </c>
      <c r="S351" s="313">
        <v>20</v>
      </c>
      <c r="T351" s="313">
        <v>20</v>
      </c>
      <c r="U351" s="313">
        <v>20</v>
      </c>
      <c r="V351" s="313">
        <v>20</v>
      </c>
      <c r="W351" s="313">
        <v>20</v>
      </c>
      <c r="X351" s="313">
        <v>20</v>
      </c>
      <c r="Y351" s="313">
        <v>20</v>
      </c>
      <c r="Z351" s="313">
        <v>20</v>
      </c>
      <c r="AA351" s="313">
        <v>20</v>
      </c>
      <c r="AB351" s="313">
        <v>20</v>
      </c>
      <c r="AC351" s="313">
        <v>20</v>
      </c>
      <c r="AD351" s="313">
        <v>20</v>
      </c>
      <c r="AE351" s="313">
        <v>20</v>
      </c>
      <c r="AF351" s="313">
        <v>20</v>
      </c>
      <c r="AG351" s="313">
        <v>20</v>
      </c>
      <c r="AH351" s="313">
        <v>20</v>
      </c>
      <c r="AI351" s="313">
        <v>20</v>
      </c>
      <c r="AJ351" s="313">
        <v>20</v>
      </c>
      <c r="AK351" s="313">
        <v>20</v>
      </c>
      <c r="AL351" s="313">
        <v>20</v>
      </c>
      <c r="AM351" s="313">
        <v>20</v>
      </c>
      <c r="AN351" s="313">
        <v>20</v>
      </c>
    </row>
    <row r="352" spans="2:40" s="7" customFormat="1" ht="12" customHeight="1" outlineLevel="1">
      <c r="B352" s="239"/>
      <c r="C352" s="214" t="s">
        <v>829</v>
      </c>
      <c r="D352" s="214"/>
      <c r="E352" s="232"/>
      <c r="F352" s="232"/>
      <c r="G352" s="232"/>
      <c r="H352" s="232"/>
      <c r="I352" s="232"/>
      <c r="J352" s="232"/>
      <c r="K352" s="232"/>
      <c r="L352" s="232"/>
      <c r="M352" s="205">
        <f t="shared" ref="M352:AN352" si="206">M350/M351</f>
        <v>2700</v>
      </c>
      <c r="N352" s="205">
        <f t="shared" si="206"/>
        <v>2250</v>
      </c>
      <c r="O352" s="205">
        <f t="shared" si="206"/>
        <v>1125</v>
      </c>
      <c r="P352" s="205">
        <f t="shared" si="206"/>
        <v>1125</v>
      </c>
      <c r="Q352" s="205">
        <f t="shared" si="206"/>
        <v>581.60400000000004</v>
      </c>
      <c r="R352" s="205">
        <f t="shared" si="206"/>
        <v>1460.2979999999998</v>
      </c>
      <c r="S352" s="205">
        <f t="shared" si="206"/>
        <v>1462.461</v>
      </c>
      <c r="T352" s="205">
        <f t="shared" si="206"/>
        <v>987.15749999999991</v>
      </c>
      <c r="U352" s="205">
        <f t="shared" si="206"/>
        <v>763.86374999999998</v>
      </c>
      <c r="V352" s="205">
        <f t="shared" si="206"/>
        <v>2140.4812499999998</v>
      </c>
      <c r="W352" s="205">
        <f t="shared" si="206"/>
        <v>843.59624999999994</v>
      </c>
      <c r="X352" s="205">
        <f t="shared" si="206"/>
        <v>734.12625000000003</v>
      </c>
      <c r="Y352" s="205">
        <f t="shared" si="206"/>
        <v>2925</v>
      </c>
      <c r="Z352" s="205">
        <f t="shared" si="206"/>
        <v>2700</v>
      </c>
      <c r="AA352" s="205">
        <f t="shared" si="206"/>
        <v>900</v>
      </c>
      <c r="AB352" s="205">
        <f t="shared" si="206"/>
        <v>900</v>
      </c>
      <c r="AC352" s="205">
        <f t="shared" si="206"/>
        <v>872.40599999999995</v>
      </c>
      <c r="AD352" s="205">
        <f t="shared" si="206"/>
        <v>2190.4469999999997</v>
      </c>
      <c r="AE352" s="205">
        <f t="shared" si="206"/>
        <v>1723.6147500000006</v>
      </c>
      <c r="AF352" s="205">
        <f t="shared" si="206"/>
        <v>1085.8732500000001</v>
      </c>
      <c r="AG352" s="205">
        <f t="shared" si="206"/>
        <v>1322.0718750000001</v>
      </c>
      <c r="AH352" s="205">
        <f t="shared" si="206"/>
        <v>3210.7218750000002</v>
      </c>
      <c r="AI352" s="205">
        <f t="shared" si="206"/>
        <v>590.5173749999999</v>
      </c>
      <c r="AJ352" s="205">
        <f t="shared" si="206"/>
        <v>1101.1893749999999</v>
      </c>
      <c r="AK352" s="205">
        <f t="shared" si="206"/>
        <v>3802.5</v>
      </c>
      <c r="AL352" s="205">
        <f t="shared" si="206"/>
        <v>3240</v>
      </c>
      <c r="AM352" s="205">
        <f t="shared" si="206"/>
        <v>630</v>
      </c>
      <c r="AN352" s="205">
        <f t="shared" si="206"/>
        <v>900</v>
      </c>
    </row>
    <row r="353" spans="2:40" ht="12" customHeight="1" outlineLevel="1">
      <c r="B353" s="301"/>
      <c r="C353" s="303" t="s">
        <v>830</v>
      </c>
      <c r="D353" s="303"/>
      <c r="E353" s="314">
        <v>0</v>
      </c>
      <c r="F353" s="314">
        <v>0</v>
      </c>
      <c r="G353" s="314">
        <v>0</v>
      </c>
      <c r="H353" s="314">
        <v>0</v>
      </c>
      <c r="I353" s="314">
        <v>0</v>
      </c>
      <c r="J353" s="314">
        <v>0</v>
      </c>
      <c r="K353" s="314">
        <v>0</v>
      </c>
      <c r="L353" s="314">
        <v>0</v>
      </c>
      <c r="M353" s="315">
        <v>0.02</v>
      </c>
      <c r="N353" s="315">
        <v>0.02</v>
      </c>
      <c r="O353" s="315">
        <v>0.02</v>
      </c>
      <c r="P353" s="315">
        <v>0.02</v>
      </c>
      <c r="Q353" s="315">
        <v>0.02</v>
      </c>
      <c r="R353" s="315">
        <v>0.02</v>
      </c>
      <c r="S353" s="315">
        <v>0.02</v>
      </c>
      <c r="T353" s="315">
        <v>0.02</v>
      </c>
      <c r="U353" s="315">
        <v>0.02</v>
      </c>
      <c r="V353" s="315">
        <v>0.02</v>
      </c>
      <c r="W353" s="315">
        <v>0.02</v>
      </c>
      <c r="X353" s="315">
        <v>0.02</v>
      </c>
      <c r="Y353" s="315">
        <v>0.02</v>
      </c>
      <c r="Z353" s="315">
        <v>0.02</v>
      </c>
      <c r="AA353" s="315">
        <v>0.02</v>
      </c>
      <c r="AB353" s="315">
        <v>0.02</v>
      </c>
      <c r="AC353" s="315">
        <v>0.02</v>
      </c>
      <c r="AD353" s="315">
        <v>0.02</v>
      </c>
      <c r="AE353" s="315">
        <v>0.02</v>
      </c>
      <c r="AF353" s="315">
        <v>0.02</v>
      </c>
      <c r="AG353" s="315">
        <v>0.02</v>
      </c>
      <c r="AH353" s="315">
        <v>0.02</v>
      </c>
      <c r="AI353" s="315">
        <v>0.02</v>
      </c>
      <c r="AJ353" s="315">
        <v>0.02</v>
      </c>
      <c r="AK353" s="315">
        <v>0.02</v>
      </c>
      <c r="AL353" s="315">
        <v>0.02</v>
      </c>
      <c r="AM353" s="315">
        <v>0.02</v>
      </c>
      <c r="AN353" s="315">
        <v>0.02</v>
      </c>
    </row>
    <row r="354" spans="2:40" s="7" customFormat="1" ht="12" customHeight="1" outlineLevel="1">
      <c r="B354" s="239"/>
      <c r="C354" s="214" t="s">
        <v>831</v>
      </c>
      <c r="D354" s="214"/>
      <c r="E354" s="232">
        <f t="shared" ref="E354:L354" si="207">E352*E353</f>
        <v>0</v>
      </c>
      <c r="F354" s="232">
        <f t="shared" si="207"/>
        <v>0</v>
      </c>
      <c r="G354" s="232">
        <f t="shared" si="207"/>
        <v>0</v>
      </c>
      <c r="H354" s="232">
        <f t="shared" si="207"/>
        <v>0</v>
      </c>
      <c r="I354" s="232">
        <f t="shared" si="207"/>
        <v>0</v>
      </c>
      <c r="J354" s="232">
        <f t="shared" si="207"/>
        <v>0</v>
      </c>
      <c r="K354" s="232">
        <f t="shared" si="207"/>
        <v>0</v>
      </c>
      <c r="L354" s="232">
        <f t="shared" si="207"/>
        <v>0</v>
      </c>
      <c r="M354" s="205">
        <f t="shared" ref="M354:AN354" si="208">M352*M353</f>
        <v>54</v>
      </c>
      <c r="N354" s="205">
        <f t="shared" si="208"/>
        <v>45</v>
      </c>
      <c r="O354" s="205">
        <f t="shared" si="208"/>
        <v>22.5</v>
      </c>
      <c r="P354" s="205">
        <f t="shared" si="208"/>
        <v>22.5</v>
      </c>
      <c r="Q354" s="205">
        <f t="shared" si="208"/>
        <v>11.63208</v>
      </c>
      <c r="R354" s="205">
        <f t="shared" si="208"/>
        <v>29.205959999999997</v>
      </c>
      <c r="S354" s="205">
        <f t="shared" si="208"/>
        <v>29.249220000000001</v>
      </c>
      <c r="T354" s="205">
        <f t="shared" si="208"/>
        <v>19.74315</v>
      </c>
      <c r="U354" s="205">
        <f t="shared" si="208"/>
        <v>15.277274999999999</v>
      </c>
      <c r="V354" s="205">
        <f t="shared" si="208"/>
        <v>42.809624999999997</v>
      </c>
      <c r="W354" s="205">
        <f t="shared" si="208"/>
        <v>16.871924999999997</v>
      </c>
      <c r="X354" s="205">
        <f t="shared" si="208"/>
        <v>14.682525</v>
      </c>
      <c r="Y354" s="205">
        <f t="shared" si="208"/>
        <v>58.5</v>
      </c>
      <c r="Z354" s="205">
        <f t="shared" si="208"/>
        <v>54</v>
      </c>
      <c r="AA354" s="205">
        <f t="shared" si="208"/>
        <v>18</v>
      </c>
      <c r="AB354" s="205">
        <f t="shared" si="208"/>
        <v>18</v>
      </c>
      <c r="AC354" s="205">
        <f t="shared" si="208"/>
        <v>17.448119999999999</v>
      </c>
      <c r="AD354" s="205">
        <f t="shared" si="208"/>
        <v>43.808939999999993</v>
      </c>
      <c r="AE354" s="205">
        <f t="shared" si="208"/>
        <v>34.472295000000017</v>
      </c>
      <c r="AF354" s="205">
        <f t="shared" si="208"/>
        <v>21.717465000000001</v>
      </c>
      <c r="AG354" s="205">
        <f t="shared" si="208"/>
        <v>26.441437500000003</v>
      </c>
      <c r="AH354" s="205">
        <f t="shared" si="208"/>
        <v>64.214437500000003</v>
      </c>
      <c r="AI354" s="205">
        <f t="shared" si="208"/>
        <v>11.810347499999999</v>
      </c>
      <c r="AJ354" s="205">
        <f t="shared" si="208"/>
        <v>22.023787499999997</v>
      </c>
      <c r="AK354" s="205">
        <f t="shared" si="208"/>
        <v>76.05</v>
      </c>
      <c r="AL354" s="205">
        <f t="shared" si="208"/>
        <v>64.8</v>
      </c>
      <c r="AM354" s="205">
        <f t="shared" si="208"/>
        <v>12.6</v>
      </c>
      <c r="AN354" s="205">
        <f t="shared" si="208"/>
        <v>18</v>
      </c>
    </row>
    <row r="355" spans="2:40" s="7" customFormat="1" ht="12" customHeight="1" outlineLevel="1">
      <c r="B355" s="239"/>
      <c r="C355" s="214" t="s">
        <v>833</v>
      </c>
      <c r="D355" s="214"/>
      <c r="E355" s="232">
        <f>367+77</f>
        <v>444</v>
      </c>
      <c r="F355" s="232">
        <f>1931+34</f>
        <v>1965</v>
      </c>
      <c r="G355" s="232">
        <f>2072+28</f>
        <v>2100</v>
      </c>
      <c r="H355" s="232">
        <f>476+22</f>
        <v>498</v>
      </c>
      <c r="I355" s="232">
        <f>466+5</f>
        <v>471</v>
      </c>
      <c r="J355" s="232">
        <f>2603+72</f>
        <v>2675</v>
      </c>
      <c r="K355" s="232">
        <f>2521+37</f>
        <v>2558</v>
      </c>
      <c r="L355" s="232">
        <f>419+28</f>
        <v>447</v>
      </c>
      <c r="M355" s="205">
        <f t="shared" ref="M355:AN355" si="209">M352+M354</f>
        <v>2754</v>
      </c>
      <c r="N355" s="205">
        <f t="shared" si="209"/>
        <v>2295</v>
      </c>
      <c r="O355" s="205">
        <f t="shared" si="209"/>
        <v>1147.5</v>
      </c>
      <c r="P355" s="205">
        <f t="shared" si="209"/>
        <v>1147.5</v>
      </c>
      <c r="Q355" s="205">
        <f t="shared" si="209"/>
        <v>593.23608000000002</v>
      </c>
      <c r="R355" s="205">
        <f t="shared" si="209"/>
        <v>1489.5039599999998</v>
      </c>
      <c r="S355" s="205">
        <f t="shared" si="209"/>
        <v>1491.7102199999999</v>
      </c>
      <c r="T355" s="205">
        <f t="shared" si="209"/>
        <v>1006.9006499999999</v>
      </c>
      <c r="U355" s="205">
        <f t="shared" si="209"/>
        <v>779.14102500000001</v>
      </c>
      <c r="V355" s="205">
        <f t="shared" si="209"/>
        <v>2183.2908749999997</v>
      </c>
      <c r="W355" s="205">
        <f t="shared" si="209"/>
        <v>860.46817499999997</v>
      </c>
      <c r="X355" s="205">
        <f t="shared" si="209"/>
        <v>748.80877500000008</v>
      </c>
      <c r="Y355" s="205">
        <f t="shared" si="209"/>
        <v>2983.5</v>
      </c>
      <c r="Z355" s="205">
        <f t="shared" si="209"/>
        <v>2754</v>
      </c>
      <c r="AA355" s="205">
        <f t="shared" si="209"/>
        <v>918</v>
      </c>
      <c r="AB355" s="205">
        <f t="shared" si="209"/>
        <v>918</v>
      </c>
      <c r="AC355" s="205">
        <f t="shared" si="209"/>
        <v>889.85411999999997</v>
      </c>
      <c r="AD355" s="205">
        <f t="shared" si="209"/>
        <v>2234.2559399999996</v>
      </c>
      <c r="AE355" s="205">
        <f t="shared" si="209"/>
        <v>1758.0870450000007</v>
      </c>
      <c r="AF355" s="205">
        <f t="shared" si="209"/>
        <v>1107.590715</v>
      </c>
      <c r="AG355" s="205">
        <f t="shared" si="209"/>
        <v>1348.5133125</v>
      </c>
      <c r="AH355" s="205">
        <f t="shared" si="209"/>
        <v>3274.9363125</v>
      </c>
      <c r="AI355" s="205">
        <f t="shared" si="209"/>
        <v>602.32772249999994</v>
      </c>
      <c r="AJ355" s="205">
        <f t="shared" si="209"/>
        <v>1123.2131625</v>
      </c>
      <c r="AK355" s="205">
        <f t="shared" si="209"/>
        <v>3878.55</v>
      </c>
      <c r="AL355" s="205">
        <f t="shared" si="209"/>
        <v>3304.8</v>
      </c>
      <c r="AM355" s="205">
        <f t="shared" si="209"/>
        <v>642.6</v>
      </c>
      <c r="AN355" s="205">
        <f t="shared" si="209"/>
        <v>918</v>
      </c>
    </row>
    <row r="356" spans="2:40" s="7" customFormat="1" ht="12" customHeight="1" outlineLevel="1">
      <c r="B356" s="239"/>
      <c r="C356" s="214" t="s">
        <v>834</v>
      </c>
      <c r="D356" s="214"/>
      <c r="E356" s="232">
        <v>77</v>
      </c>
      <c r="F356" s="232">
        <v>34</v>
      </c>
      <c r="G356" s="232">
        <v>28</v>
      </c>
      <c r="H356" s="232">
        <v>22</v>
      </c>
      <c r="I356" s="232">
        <v>5</v>
      </c>
      <c r="J356" s="232">
        <v>72</v>
      </c>
      <c r="K356" s="232">
        <v>37</v>
      </c>
      <c r="L356" s="232">
        <v>28</v>
      </c>
      <c r="M356" s="205">
        <f t="shared" ref="M356:AN356" si="210">M364+M365</f>
        <v>0</v>
      </c>
      <c r="N356" s="205">
        <f t="shared" si="210"/>
        <v>0</v>
      </c>
      <c r="O356" s="205">
        <f t="shared" si="210"/>
        <v>0</v>
      </c>
      <c r="P356" s="205">
        <f t="shared" si="210"/>
        <v>0</v>
      </c>
      <c r="Q356" s="205">
        <f t="shared" si="210"/>
        <v>0</v>
      </c>
      <c r="R356" s="205">
        <f t="shared" si="210"/>
        <v>0</v>
      </c>
      <c r="S356" s="205">
        <f t="shared" si="210"/>
        <v>0</v>
      </c>
      <c r="T356" s="205">
        <f t="shared" si="210"/>
        <v>0</v>
      </c>
      <c r="U356" s="205">
        <f t="shared" si="210"/>
        <v>0</v>
      </c>
      <c r="V356" s="205">
        <f t="shared" si="210"/>
        <v>0</v>
      </c>
      <c r="W356" s="205">
        <f t="shared" si="210"/>
        <v>0</v>
      </c>
      <c r="X356" s="205">
        <f t="shared" si="210"/>
        <v>0</v>
      </c>
      <c r="Y356" s="205">
        <f t="shared" si="210"/>
        <v>0</v>
      </c>
      <c r="Z356" s="205">
        <f t="shared" si="210"/>
        <v>0</v>
      </c>
      <c r="AA356" s="205">
        <f t="shared" si="210"/>
        <v>0</v>
      </c>
      <c r="AB356" s="205">
        <f t="shared" si="210"/>
        <v>0</v>
      </c>
      <c r="AC356" s="205">
        <f t="shared" si="210"/>
        <v>0</v>
      </c>
      <c r="AD356" s="205">
        <f t="shared" si="210"/>
        <v>0</v>
      </c>
      <c r="AE356" s="205">
        <f t="shared" si="210"/>
        <v>0</v>
      </c>
      <c r="AF356" s="205">
        <f t="shared" si="210"/>
        <v>0</v>
      </c>
      <c r="AG356" s="205">
        <f t="shared" si="210"/>
        <v>0</v>
      </c>
      <c r="AH356" s="205">
        <f t="shared" si="210"/>
        <v>0</v>
      </c>
      <c r="AI356" s="205">
        <f t="shared" si="210"/>
        <v>0</v>
      </c>
      <c r="AJ356" s="205">
        <f t="shared" si="210"/>
        <v>0</v>
      </c>
      <c r="AK356" s="205">
        <f t="shared" si="210"/>
        <v>0</v>
      </c>
      <c r="AL356" s="205">
        <f t="shared" si="210"/>
        <v>0</v>
      </c>
      <c r="AM356" s="205">
        <f t="shared" si="210"/>
        <v>0</v>
      </c>
      <c r="AN356" s="205">
        <f t="shared" si="210"/>
        <v>0</v>
      </c>
    </row>
    <row r="357" spans="2:40" s="7" customFormat="1" ht="12" customHeight="1" outlineLevel="1">
      <c r="B357" s="239"/>
      <c r="C357" s="214" t="s">
        <v>835</v>
      </c>
      <c r="D357" s="214"/>
      <c r="E357" s="232"/>
      <c r="F357" s="232"/>
      <c r="G357" s="232"/>
      <c r="H357" s="232"/>
      <c r="I357" s="232"/>
      <c r="J357" s="232"/>
      <c r="K357" s="232"/>
      <c r="L357" s="232"/>
      <c r="M357" s="205"/>
      <c r="N357" s="205"/>
      <c r="O357" s="205"/>
      <c r="P357" s="205"/>
      <c r="Q357" s="205"/>
      <c r="R357" s="205"/>
      <c r="S357" s="205"/>
      <c r="T357" s="205"/>
      <c r="U357" s="205"/>
      <c r="V357" s="205"/>
      <c r="W357" s="205"/>
      <c r="X357" s="205"/>
      <c r="Y357" s="205"/>
      <c r="Z357" s="205"/>
      <c r="AA357" s="205"/>
      <c r="AB357" s="205"/>
      <c r="AC357" s="205"/>
      <c r="AD357" s="205"/>
      <c r="AE357" s="205"/>
      <c r="AF357" s="205"/>
      <c r="AG357" s="205"/>
      <c r="AH357" s="205"/>
      <c r="AI357" s="205"/>
      <c r="AJ357" s="205"/>
      <c r="AK357" s="205"/>
      <c r="AL357" s="205"/>
      <c r="AM357" s="205"/>
      <c r="AN357" s="205"/>
    </row>
    <row r="358" spans="2:40" s="7" customFormat="1" ht="12" customHeight="1" outlineLevel="1">
      <c r="B358" s="239"/>
      <c r="C358" s="214" t="s">
        <v>836</v>
      </c>
      <c r="D358" s="214"/>
      <c r="E358" s="232"/>
      <c r="F358" s="232"/>
      <c r="G358" s="232"/>
      <c r="H358" s="232"/>
      <c r="I358" s="232"/>
      <c r="J358" s="232"/>
      <c r="K358" s="232"/>
      <c r="L358" s="232"/>
      <c r="M358" s="205"/>
      <c r="N358" s="205"/>
      <c r="O358" s="205"/>
      <c r="P358" s="205"/>
      <c r="Q358" s="205"/>
      <c r="R358" s="205"/>
      <c r="S358" s="205"/>
      <c r="T358" s="205"/>
      <c r="U358" s="205"/>
      <c r="V358" s="205"/>
      <c r="W358" s="205"/>
      <c r="X358" s="205"/>
      <c r="Y358" s="205"/>
      <c r="Z358" s="205"/>
      <c r="AA358" s="205"/>
      <c r="AB358" s="205"/>
      <c r="AC358" s="205"/>
      <c r="AD358" s="205"/>
      <c r="AE358" s="205"/>
      <c r="AF358" s="205"/>
      <c r="AG358" s="205"/>
      <c r="AH358" s="205"/>
      <c r="AI358" s="205"/>
      <c r="AJ358" s="205"/>
      <c r="AK358" s="205"/>
      <c r="AL358" s="205"/>
      <c r="AM358" s="205"/>
      <c r="AN358" s="205"/>
    </row>
    <row r="359" spans="2:40" ht="12" customHeight="1" outlineLevel="1">
      <c r="B359" s="301" t="s">
        <v>911</v>
      </c>
      <c r="C359" s="303" t="s">
        <v>837</v>
      </c>
      <c r="D359" s="303"/>
      <c r="E359" s="317">
        <f>1-(E356/E355)</f>
        <v>0.82657657657657657</v>
      </c>
      <c r="F359" s="317">
        <f t="shared" ref="F359:I359" si="211">1-(F356/F355)</f>
        <v>0.98269720101781166</v>
      </c>
      <c r="G359" s="317">
        <f t="shared" si="211"/>
        <v>0.98666666666666669</v>
      </c>
      <c r="H359" s="317">
        <f t="shared" si="211"/>
        <v>0.95582329317269077</v>
      </c>
      <c r="I359" s="317">
        <f t="shared" si="211"/>
        <v>0.98938428874734607</v>
      </c>
      <c r="J359" s="317">
        <f>2603/2675</f>
        <v>0.97308411214953272</v>
      </c>
      <c r="K359" s="317">
        <f>2521/2558</f>
        <v>0.98553557466770914</v>
      </c>
      <c r="L359" s="317">
        <v>0.94</v>
      </c>
      <c r="M359" s="318">
        <v>1</v>
      </c>
      <c r="N359" s="318">
        <v>1</v>
      </c>
      <c r="O359" s="318">
        <v>1</v>
      </c>
      <c r="P359" s="318">
        <v>1</v>
      </c>
      <c r="Q359" s="318">
        <v>1</v>
      </c>
      <c r="R359" s="318">
        <v>1</v>
      </c>
      <c r="S359" s="318">
        <v>1</v>
      </c>
      <c r="T359" s="318">
        <v>1</v>
      </c>
      <c r="U359" s="318">
        <v>1</v>
      </c>
      <c r="V359" s="318">
        <v>1</v>
      </c>
      <c r="W359" s="318">
        <v>1</v>
      </c>
      <c r="X359" s="318">
        <v>1</v>
      </c>
      <c r="Y359" s="318">
        <v>1</v>
      </c>
      <c r="Z359" s="318">
        <v>1</v>
      </c>
      <c r="AA359" s="318">
        <v>1</v>
      </c>
      <c r="AB359" s="318">
        <v>1</v>
      </c>
      <c r="AC359" s="318">
        <v>1</v>
      </c>
      <c r="AD359" s="318">
        <v>1</v>
      </c>
      <c r="AE359" s="318">
        <v>1</v>
      </c>
      <c r="AF359" s="318">
        <v>1</v>
      </c>
      <c r="AG359" s="318">
        <v>1</v>
      </c>
      <c r="AH359" s="318">
        <v>1</v>
      </c>
      <c r="AI359" s="318">
        <v>1</v>
      </c>
      <c r="AJ359" s="318">
        <v>1</v>
      </c>
      <c r="AK359" s="318">
        <v>1</v>
      </c>
      <c r="AL359" s="318">
        <v>1</v>
      </c>
      <c r="AM359" s="318">
        <v>1</v>
      </c>
      <c r="AN359" s="318">
        <v>1</v>
      </c>
    </row>
    <row r="360" spans="2:40" ht="12" customHeight="1" outlineLevel="1">
      <c r="B360" s="301"/>
      <c r="C360" s="303" t="s">
        <v>839</v>
      </c>
      <c r="D360" s="303"/>
      <c r="E360" s="317">
        <f>1-E359</f>
        <v>0.17342342342342343</v>
      </c>
      <c r="F360" s="317">
        <f t="shared" ref="F360:I360" si="212">1-F359</f>
        <v>1.7302798982188339E-2</v>
      </c>
      <c r="G360" s="317">
        <f t="shared" si="212"/>
        <v>1.3333333333333308E-2</v>
      </c>
      <c r="H360" s="317">
        <f t="shared" si="212"/>
        <v>4.4176706827309231E-2</v>
      </c>
      <c r="I360" s="317">
        <f t="shared" si="212"/>
        <v>1.0615711252653925E-2</v>
      </c>
      <c r="J360" s="317">
        <f t="shared" ref="J360:AN360" si="213">1-J359</f>
        <v>2.6915887850467279E-2</v>
      </c>
      <c r="K360" s="317">
        <f t="shared" si="213"/>
        <v>1.4464425332290864E-2</v>
      </c>
      <c r="L360" s="317">
        <v>0.06</v>
      </c>
      <c r="M360" s="318">
        <f t="shared" si="213"/>
        <v>0</v>
      </c>
      <c r="N360" s="318">
        <f t="shared" si="213"/>
        <v>0</v>
      </c>
      <c r="O360" s="318">
        <f t="shared" si="213"/>
        <v>0</v>
      </c>
      <c r="P360" s="318">
        <f t="shared" si="213"/>
        <v>0</v>
      </c>
      <c r="Q360" s="318">
        <f t="shared" si="213"/>
        <v>0</v>
      </c>
      <c r="R360" s="318">
        <f t="shared" si="213"/>
        <v>0</v>
      </c>
      <c r="S360" s="318">
        <f t="shared" si="213"/>
        <v>0</v>
      </c>
      <c r="T360" s="318">
        <f t="shared" si="213"/>
        <v>0</v>
      </c>
      <c r="U360" s="318">
        <f t="shared" si="213"/>
        <v>0</v>
      </c>
      <c r="V360" s="318">
        <f t="shared" si="213"/>
        <v>0</v>
      </c>
      <c r="W360" s="318">
        <f t="shared" si="213"/>
        <v>0</v>
      </c>
      <c r="X360" s="318">
        <f t="shared" si="213"/>
        <v>0</v>
      </c>
      <c r="Y360" s="318">
        <f t="shared" si="213"/>
        <v>0</v>
      </c>
      <c r="Z360" s="318">
        <f t="shared" si="213"/>
        <v>0</v>
      </c>
      <c r="AA360" s="318">
        <f t="shared" si="213"/>
        <v>0</v>
      </c>
      <c r="AB360" s="318">
        <f t="shared" si="213"/>
        <v>0</v>
      </c>
      <c r="AC360" s="318">
        <f t="shared" si="213"/>
        <v>0</v>
      </c>
      <c r="AD360" s="318">
        <f t="shared" si="213"/>
        <v>0</v>
      </c>
      <c r="AE360" s="318">
        <f t="shared" si="213"/>
        <v>0</v>
      </c>
      <c r="AF360" s="318">
        <f t="shared" si="213"/>
        <v>0</v>
      </c>
      <c r="AG360" s="318">
        <f t="shared" si="213"/>
        <v>0</v>
      </c>
      <c r="AH360" s="318">
        <f t="shared" si="213"/>
        <v>0</v>
      </c>
      <c r="AI360" s="318">
        <f t="shared" si="213"/>
        <v>0</v>
      </c>
      <c r="AJ360" s="318">
        <f t="shared" si="213"/>
        <v>0</v>
      </c>
      <c r="AK360" s="318">
        <f t="shared" si="213"/>
        <v>0</v>
      </c>
      <c r="AL360" s="318">
        <f t="shared" si="213"/>
        <v>0</v>
      </c>
      <c r="AM360" s="318">
        <f t="shared" si="213"/>
        <v>0</v>
      </c>
      <c r="AN360" s="318">
        <f t="shared" si="213"/>
        <v>0</v>
      </c>
    </row>
    <row r="361" spans="2:40" ht="12" customHeight="1" outlineLevel="1">
      <c r="B361" s="301"/>
      <c r="C361" s="303" t="s">
        <v>840</v>
      </c>
      <c r="D361" s="303"/>
      <c r="E361" s="317">
        <v>0</v>
      </c>
      <c r="F361" s="317">
        <v>0</v>
      </c>
      <c r="G361" s="317">
        <v>0</v>
      </c>
      <c r="H361" s="317">
        <v>0</v>
      </c>
      <c r="I361" s="317">
        <v>0</v>
      </c>
      <c r="J361" s="317">
        <v>0</v>
      </c>
      <c r="K361" s="317">
        <v>0</v>
      </c>
      <c r="L361" s="317">
        <v>0</v>
      </c>
      <c r="M361" s="318">
        <v>0</v>
      </c>
      <c r="N361" s="318">
        <v>0</v>
      </c>
      <c r="O361" s="318">
        <v>0</v>
      </c>
      <c r="P361" s="318">
        <v>0</v>
      </c>
      <c r="Q361" s="318">
        <v>0</v>
      </c>
      <c r="R361" s="318">
        <v>0</v>
      </c>
      <c r="S361" s="318">
        <v>0</v>
      </c>
      <c r="T361" s="318">
        <v>0</v>
      </c>
      <c r="U361" s="318">
        <v>0</v>
      </c>
      <c r="V361" s="318">
        <v>0</v>
      </c>
      <c r="W361" s="318">
        <v>0</v>
      </c>
      <c r="X361" s="318">
        <v>0</v>
      </c>
      <c r="Y361" s="318">
        <v>0</v>
      </c>
      <c r="Z361" s="318">
        <v>0</v>
      </c>
      <c r="AA361" s="318">
        <v>0</v>
      </c>
      <c r="AB361" s="318">
        <v>0</v>
      </c>
      <c r="AC361" s="318">
        <v>0</v>
      </c>
      <c r="AD361" s="318">
        <v>0</v>
      </c>
      <c r="AE361" s="318">
        <v>0</v>
      </c>
      <c r="AF361" s="318">
        <v>0</v>
      </c>
      <c r="AG361" s="318">
        <v>0</v>
      </c>
      <c r="AH361" s="318">
        <v>0</v>
      </c>
      <c r="AI361" s="318">
        <v>0</v>
      </c>
      <c r="AJ361" s="318">
        <v>0</v>
      </c>
      <c r="AK361" s="318">
        <v>0</v>
      </c>
      <c r="AL361" s="318">
        <v>0</v>
      </c>
      <c r="AM361" s="318">
        <v>0</v>
      </c>
      <c r="AN361" s="318">
        <v>0</v>
      </c>
    </row>
    <row r="362" spans="2:40" s="7" customFormat="1" ht="12" customHeight="1" outlineLevel="1">
      <c r="B362" s="237"/>
      <c r="C362" s="208"/>
      <c r="D362" s="208"/>
      <c r="E362" s="216"/>
      <c r="F362" s="216"/>
      <c r="G362" s="216"/>
      <c r="H362" s="216"/>
      <c r="I362" s="216"/>
      <c r="J362" s="216"/>
      <c r="K362" s="216"/>
      <c r="L362" s="216"/>
      <c r="M362" s="216"/>
      <c r="N362" s="216"/>
      <c r="O362" s="216"/>
      <c r="P362" s="216"/>
      <c r="Q362" s="216"/>
      <c r="R362" s="216"/>
      <c r="S362" s="216"/>
      <c r="T362" s="216"/>
      <c r="U362" s="216"/>
      <c r="V362" s="216"/>
      <c r="W362" s="216"/>
      <c r="X362" s="216"/>
      <c r="Y362" s="216"/>
      <c r="Z362" s="216"/>
      <c r="AA362" s="216"/>
      <c r="AB362" s="216"/>
      <c r="AC362" s="216"/>
      <c r="AD362" s="216"/>
      <c r="AE362" s="216"/>
      <c r="AF362" s="216"/>
      <c r="AG362" s="216"/>
      <c r="AH362" s="216"/>
      <c r="AI362" s="216"/>
      <c r="AJ362" s="216"/>
      <c r="AK362" s="216"/>
      <c r="AL362" s="216"/>
      <c r="AM362" s="216"/>
      <c r="AN362" s="216"/>
    </row>
    <row r="363" spans="2:40" s="7" customFormat="1" ht="12" customHeight="1" outlineLevel="1">
      <c r="B363" s="239"/>
      <c r="C363" s="214" t="s">
        <v>841</v>
      </c>
      <c r="D363" s="214"/>
      <c r="E363" s="209">
        <f>E355*E359</f>
        <v>367</v>
      </c>
      <c r="F363" s="209">
        <f>F355*F359</f>
        <v>1931</v>
      </c>
      <c r="G363" s="209">
        <f t="shared" ref="G363:I363" si="214">G355*G359</f>
        <v>2072</v>
      </c>
      <c r="H363" s="209">
        <f>H355*H359</f>
        <v>476</v>
      </c>
      <c r="I363" s="209">
        <f t="shared" si="214"/>
        <v>466</v>
      </c>
      <c r="J363" s="209">
        <f t="shared" ref="J363:AN363" si="215">J355*J359</f>
        <v>2603</v>
      </c>
      <c r="K363" s="209">
        <f t="shared" si="215"/>
        <v>2521</v>
      </c>
      <c r="L363" s="209">
        <f t="shared" si="215"/>
        <v>420.17999999999995</v>
      </c>
      <c r="M363" s="209">
        <f t="shared" si="215"/>
        <v>2754</v>
      </c>
      <c r="N363" s="209">
        <f t="shared" si="215"/>
        <v>2295</v>
      </c>
      <c r="O363" s="209">
        <f t="shared" si="215"/>
        <v>1147.5</v>
      </c>
      <c r="P363" s="209">
        <f t="shared" si="215"/>
        <v>1147.5</v>
      </c>
      <c r="Q363" s="209">
        <f t="shared" si="215"/>
        <v>593.23608000000002</v>
      </c>
      <c r="R363" s="209">
        <f t="shared" si="215"/>
        <v>1489.5039599999998</v>
      </c>
      <c r="S363" s="209">
        <f t="shared" si="215"/>
        <v>1491.7102199999999</v>
      </c>
      <c r="T363" s="209">
        <f t="shared" si="215"/>
        <v>1006.9006499999999</v>
      </c>
      <c r="U363" s="209">
        <f t="shared" si="215"/>
        <v>779.14102500000001</v>
      </c>
      <c r="V363" s="209">
        <f t="shared" si="215"/>
        <v>2183.2908749999997</v>
      </c>
      <c r="W363" s="209">
        <f t="shared" si="215"/>
        <v>860.46817499999997</v>
      </c>
      <c r="X363" s="209">
        <f t="shared" si="215"/>
        <v>748.80877500000008</v>
      </c>
      <c r="Y363" s="209">
        <f t="shared" si="215"/>
        <v>2983.5</v>
      </c>
      <c r="Z363" s="209">
        <f t="shared" si="215"/>
        <v>2754</v>
      </c>
      <c r="AA363" s="209">
        <f t="shared" si="215"/>
        <v>918</v>
      </c>
      <c r="AB363" s="209">
        <f t="shared" si="215"/>
        <v>918</v>
      </c>
      <c r="AC363" s="209">
        <f t="shared" si="215"/>
        <v>889.85411999999997</v>
      </c>
      <c r="AD363" s="209">
        <f t="shared" si="215"/>
        <v>2234.2559399999996</v>
      </c>
      <c r="AE363" s="209">
        <f t="shared" si="215"/>
        <v>1758.0870450000007</v>
      </c>
      <c r="AF363" s="209">
        <f t="shared" si="215"/>
        <v>1107.590715</v>
      </c>
      <c r="AG363" s="209">
        <f t="shared" si="215"/>
        <v>1348.5133125</v>
      </c>
      <c r="AH363" s="209">
        <f t="shared" si="215"/>
        <v>3274.9363125</v>
      </c>
      <c r="AI363" s="209">
        <f t="shared" si="215"/>
        <v>602.32772249999994</v>
      </c>
      <c r="AJ363" s="209">
        <f t="shared" si="215"/>
        <v>1123.2131625</v>
      </c>
      <c r="AK363" s="209">
        <f t="shared" si="215"/>
        <v>3878.55</v>
      </c>
      <c r="AL363" s="209">
        <f t="shared" si="215"/>
        <v>3304.8</v>
      </c>
      <c r="AM363" s="209">
        <f t="shared" si="215"/>
        <v>642.6</v>
      </c>
      <c r="AN363" s="209">
        <f t="shared" si="215"/>
        <v>918</v>
      </c>
    </row>
    <row r="364" spans="2:40" s="7" customFormat="1" ht="12" customHeight="1" outlineLevel="1">
      <c r="B364" s="239"/>
      <c r="C364" s="214" t="s">
        <v>842</v>
      </c>
      <c r="D364" s="214"/>
      <c r="E364" s="209">
        <f>E355*E360</f>
        <v>77</v>
      </c>
      <c r="F364" s="209">
        <f t="shared" ref="F364:I364" si="216">F355*F360</f>
        <v>34.000000000000085</v>
      </c>
      <c r="G364" s="209">
        <f t="shared" si="216"/>
        <v>27.999999999999947</v>
      </c>
      <c r="H364" s="209">
        <f t="shared" si="216"/>
        <v>21.999999999999996</v>
      </c>
      <c r="I364" s="209">
        <f t="shared" si="216"/>
        <v>4.9999999999999991</v>
      </c>
      <c r="J364" s="209">
        <f t="shared" ref="J364:AN364" si="217">J355*J360</f>
        <v>71.999999999999972</v>
      </c>
      <c r="K364" s="209">
        <f t="shared" si="217"/>
        <v>37.000000000000028</v>
      </c>
      <c r="L364" s="209">
        <f t="shared" si="217"/>
        <v>26.82</v>
      </c>
      <c r="M364" s="209">
        <f t="shared" si="217"/>
        <v>0</v>
      </c>
      <c r="N364" s="209">
        <f t="shared" si="217"/>
        <v>0</v>
      </c>
      <c r="O364" s="209">
        <f t="shared" si="217"/>
        <v>0</v>
      </c>
      <c r="P364" s="209">
        <f t="shared" si="217"/>
        <v>0</v>
      </c>
      <c r="Q364" s="209">
        <f t="shared" si="217"/>
        <v>0</v>
      </c>
      <c r="R364" s="209">
        <f t="shared" si="217"/>
        <v>0</v>
      </c>
      <c r="S364" s="209">
        <f t="shared" si="217"/>
        <v>0</v>
      </c>
      <c r="T364" s="209">
        <f t="shared" si="217"/>
        <v>0</v>
      </c>
      <c r="U364" s="209">
        <f t="shared" si="217"/>
        <v>0</v>
      </c>
      <c r="V364" s="209">
        <f t="shared" si="217"/>
        <v>0</v>
      </c>
      <c r="W364" s="209">
        <f t="shared" si="217"/>
        <v>0</v>
      </c>
      <c r="X364" s="209">
        <f t="shared" si="217"/>
        <v>0</v>
      </c>
      <c r="Y364" s="209">
        <f t="shared" si="217"/>
        <v>0</v>
      </c>
      <c r="Z364" s="209">
        <f t="shared" si="217"/>
        <v>0</v>
      </c>
      <c r="AA364" s="209">
        <f t="shared" si="217"/>
        <v>0</v>
      </c>
      <c r="AB364" s="209">
        <f t="shared" si="217"/>
        <v>0</v>
      </c>
      <c r="AC364" s="209">
        <f t="shared" si="217"/>
        <v>0</v>
      </c>
      <c r="AD364" s="209">
        <f t="shared" si="217"/>
        <v>0</v>
      </c>
      <c r="AE364" s="209">
        <f t="shared" si="217"/>
        <v>0</v>
      </c>
      <c r="AF364" s="209">
        <f t="shared" si="217"/>
        <v>0</v>
      </c>
      <c r="AG364" s="209">
        <f t="shared" si="217"/>
        <v>0</v>
      </c>
      <c r="AH364" s="209">
        <f t="shared" si="217"/>
        <v>0</v>
      </c>
      <c r="AI364" s="209">
        <f t="shared" si="217"/>
        <v>0</v>
      </c>
      <c r="AJ364" s="209">
        <f t="shared" si="217"/>
        <v>0</v>
      </c>
      <c r="AK364" s="209">
        <f t="shared" si="217"/>
        <v>0</v>
      </c>
      <c r="AL364" s="209">
        <f t="shared" si="217"/>
        <v>0</v>
      </c>
      <c r="AM364" s="209">
        <f t="shared" si="217"/>
        <v>0</v>
      </c>
      <c r="AN364" s="209">
        <f t="shared" si="217"/>
        <v>0</v>
      </c>
    </row>
    <row r="365" spans="2:40" s="7" customFormat="1" ht="12" customHeight="1" outlineLevel="1">
      <c r="B365" s="239"/>
      <c r="C365" s="214" t="s">
        <v>843</v>
      </c>
      <c r="D365" s="214"/>
      <c r="E365" s="209">
        <f>E355*E361</f>
        <v>0</v>
      </c>
      <c r="F365" s="209">
        <f t="shared" ref="F365:I365" si="218">F355*F361</f>
        <v>0</v>
      </c>
      <c r="G365" s="209">
        <f t="shared" si="218"/>
        <v>0</v>
      </c>
      <c r="H365" s="209">
        <f t="shared" si="218"/>
        <v>0</v>
      </c>
      <c r="I365" s="209">
        <f t="shared" si="218"/>
        <v>0</v>
      </c>
      <c r="J365" s="209">
        <f t="shared" ref="J365:AN365" si="219">J355*J361</f>
        <v>0</v>
      </c>
      <c r="K365" s="209">
        <f t="shared" si="219"/>
        <v>0</v>
      </c>
      <c r="L365" s="209">
        <f t="shared" si="219"/>
        <v>0</v>
      </c>
      <c r="M365" s="209">
        <f t="shared" si="219"/>
        <v>0</v>
      </c>
      <c r="N365" s="209">
        <f t="shared" si="219"/>
        <v>0</v>
      </c>
      <c r="O365" s="209">
        <f t="shared" si="219"/>
        <v>0</v>
      </c>
      <c r="P365" s="209">
        <f t="shared" si="219"/>
        <v>0</v>
      </c>
      <c r="Q365" s="209">
        <f t="shared" si="219"/>
        <v>0</v>
      </c>
      <c r="R365" s="209">
        <f t="shared" si="219"/>
        <v>0</v>
      </c>
      <c r="S365" s="209">
        <f t="shared" si="219"/>
        <v>0</v>
      </c>
      <c r="T365" s="209">
        <f t="shared" si="219"/>
        <v>0</v>
      </c>
      <c r="U365" s="209">
        <f t="shared" si="219"/>
        <v>0</v>
      </c>
      <c r="V365" s="209">
        <f t="shared" si="219"/>
        <v>0</v>
      </c>
      <c r="W365" s="209">
        <f t="shared" si="219"/>
        <v>0</v>
      </c>
      <c r="X365" s="209">
        <f t="shared" si="219"/>
        <v>0</v>
      </c>
      <c r="Y365" s="209">
        <f t="shared" si="219"/>
        <v>0</v>
      </c>
      <c r="Z365" s="209">
        <f t="shared" si="219"/>
        <v>0</v>
      </c>
      <c r="AA365" s="209">
        <f t="shared" si="219"/>
        <v>0</v>
      </c>
      <c r="AB365" s="209">
        <f t="shared" si="219"/>
        <v>0</v>
      </c>
      <c r="AC365" s="209">
        <f t="shared" si="219"/>
        <v>0</v>
      </c>
      <c r="AD365" s="209">
        <f t="shared" si="219"/>
        <v>0</v>
      </c>
      <c r="AE365" s="209">
        <f t="shared" si="219"/>
        <v>0</v>
      </c>
      <c r="AF365" s="209">
        <f t="shared" si="219"/>
        <v>0</v>
      </c>
      <c r="AG365" s="209">
        <f t="shared" si="219"/>
        <v>0</v>
      </c>
      <c r="AH365" s="209">
        <f t="shared" si="219"/>
        <v>0</v>
      </c>
      <c r="AI365" s="209">
        <f t="shared" si="219"/>
        <v>0</v>
      </c>
      <c r="AJ365" s="209">
        <f t="shared" si="219"/>
        <v>0</v>
      </c>
      <c r="AK365" s="209">
        <f t="shared" si="219"/>
        <v>0</v>
      </c>
      <c r="AL365" s="209">
        <f t="shared" si="219"/>
        <v>0</v>
      </c>
      <c r="AM365" s="209">
        <f t="shared" si="219"/>
        <v>0</v>
      </c>
      <c r="AN365" s="209">
        <f t="shared" si="219"/>
        <v>0</v>
      </c>
    </row>
    <row r="366" spans="2:40" s="7" customFormat="1" ht="12" customHeight="1" outlineLevel="1">
      <c r="B366" s="239"/>
      <c r="C366" s="214" t="s">
        <v>844</v>
      </c>
      <c r="D366" s="214"/>
      <c r="E366" s="209">
        <f>IF((SUM(E376:E412)-E363)&lt;2,ROUNDUP(SUM(E376:E412),0)-E363,ROUNDDOWN(SUM(E376:E412),0)-E363)</f>
        <v>418</v>
      </c>
      <c r="F366" s="209">
        <f t="shared" ref="F366:I366" si="220">IF((SUM(F376:F412)-F363)&lt;2,ROUNDUP(SUM(F376:F412),0)-F363,ROUNDDOWN(SUM(F376:F412),0)-F363)</f>
        <v>520</v>
      </c>
      <c r="G366" s="209">
        <f t="shared" si="220"/>
        <v>1498</v>
      </c>
      <c r="H366" s="209">
        <f>IF((SUM(H376:H412)-H363)&lt;2,ROUNDUP(SUM(H376:H412),0)-H363,ROUNDDOWN(SUM(H376:H412),0)-H363)</f>
        <v>3097</v>
      </c>
      <c r="I366" s="209">
        <f t="shared" si="220"/>
        <v>303</v>
      </c>
      <c r="J366" s="209">
        <f t="shared" ref="J366:AN366" si="221">IF((SUM(J376:J412)-J363)&lt;2,ROUNDUP(SUM(J376:J412),0)-J363,ROUNDDOWN(SUM(J376:J412),0)-J363)</f>
        <v>272</v>
      </c>
      <c r="K366" s="209">
        <f t="shared" si="221"/>
        <v>245</v>
      </c>
      <c r="L366" s="209">
        <f t="shared" si="221"/>
        <v>220.82000000000005</v>
      </c>
      <c r="M366" s="209">
        <f t="shared" si="221"/>
        <v>198</v>
      </c>
      <c r="N366" s="209">
        <f t="shared" si="221"/>
        <v>178</v>
      </c>
      <c r="O366" s="209">
        <f t="shared" si="221"/>
        <v>160.5</v>
      </c>
      <c r="P366" s="209">
        <f t="shared" si="221"/>
        <v>144.5</v>
      </c>
      <c r="Q366" s="209">
        <f t="shared" si="221"/>
        <v>129.76391999999998</v>
      </c>
      <c r="R366" s="209">
        <f t="shared" si="221"/>
        <v>116.49604000000022</v>
      </c>
      <c r="S366" s="209">
        <f t="shared" si="221"/>
        <v>105.28978000000006</v>
      </c>
      <c r="T366" s="209">
        <f t="shared" si="221"/>
        <v>94.099350000000072</v>
      </c>
      <c r="U366" s="209">
        <f t="shared" si="221"/>
        <v>84.858974999999987</v>
      </c>
      <c r="V366" s="209">
        <f t="shared" si="221"/>
        <v>76.709125000000313</v>
      </c>
      <c r="W366" s="209">
        <f t="shared" si="221"/>
        <v>68.531825000000026</v>
      </c>
      <c r="X366" s="209">
        <f t="shared" si="221"/>
        <v>62.191224999999918</v>
      </c>
      <c r="Y366" s="209">
        <f t="shared" si="221"/>
        <v>55.5</v>
      </c>
      <c r="Z366" s="209">
        <f t="shared" si="221"/>
        <v>50</v>
      </c>
      <c r="AA366" s="209">
        <f t="shared" si="221"/>
        <v>45</v>
      </c>
      <c r="AB366" s="209">
        <f t="shared" si="221"/>
        <v>40</v>
      </c>
      <c r="AC366" s="209">
        <f t="shared" si="221"/>
        <v>36.145880000000034</v>
      </c>
      <c r="AD366" s="209">
        <f t="shared" si="221"/>
        <v>32.744060000000445</v>
      </c>
      <c r="AE366" s="209">
        <f t="shared" si="221"/>
        <v>28.912954999999329</v>
      </c>
      <c r="AF366" s="209">
        <f t="shared" si="221"/>
        <v>26.409284999999954</v>
      </c>
      <c r="AG366" s="209">
        <f t="shared" si="221"/>
        <v>23.486687500000016</v>
      </c>
      <c r="AH366" s="209">
        <f t="shared" si="221"/>
        <v>21.063687500000015</v>
      </c>
      <c r="AI366" s="209">
        <f t="shared" si="221"/>
        <v>18.672277500000064</v>
      </c>
      <c r="AJ366" s="209">
        <f t="shared" si="221"/>
        <v>16.786837500000047</v>
      </c>
      <c r="AK366" s="209">
        <f t="shared" si="221"/>
        <v>15.449999999999818</v>
      </c>
      <c r="AL366" s="209">
        <f t="shared" si="221"/>
        <v>14.199999999999818</v>
      </c>
      <c r="AM366" s="209">
        <f t="shared" si="221"/>
        <v>12.399999999999977</v>
      </c>
      <c r="AN366" s="209">
        <f t="shared" si="221"/>
        <v>11</v>
      </c>
    </row>
    <row r="367" spans="2:40" s="7" customFormat="1" ht="12" customHeight="1" outlineLevel="1">
      <c r="B367" s="239"/>
      <c r="C367" s="214" t="s">
        <v>845</v>
      </c>
      <c r="D367" s="214"/>
      <c r="E367" s="209">
        <f>IF((SUM(E417:E453)-E364)&lt;2,ROUNDUP(SUM(E417:E453),0)-E364,ROUNDDOWN(SUM(E417:E453),0)-E364)</f>
        <v>322</v>
      </c>
      <c r="F367" s="209">
        <f t="shared" ref="F367:I367" si="222">IF((SUM(F417:F453)-F364)&lt;2,ROUNDUP(SUM(F417:F453),0)-F364,ROUNDDOWN(SUM(F417:F453),0)-F364)</f>
        <v>381.99999999999989</v>
      </c>
      <c r="G367" s="209">
        <f t="shared" si="222"/>
        <v>484.00000000000006</v>
      </c>
      <c r="H367" s="209">
        <f t="shared" si="222"/>
        <v>368</v>
      </c>
      <c r="I367" s="209">
        <f t="shared" si="222"/>
        <v>311</v>
      </c>
      <c r="J367" s="209">
        <f t="shared" ref="J367:AN367" si="223">IF((SUM(J417:J453)-J364)&lt;2,ROUNDUP(SUM(J417:J453),0)-J364,ROUNDDOWN(SUM(J417:J453),0)-J364)</f>
        <v>280</v>
      </c>
      <c r="K367" s="209">
        <f t="shared" si="223"/>
        <v>254.99999999999997</v>
      </c>
      <c r="L367" s="209">
        <f t="shared" si="223"/>
        <v>231.18</v>
      </c>
      <c r="M367" s="209">
        <f t="shared" si="223"/>
        <v>210</v>
      </c>
      <c r="N367" s="209">
        <f t="shared" si="223"/>
        <v>189</v>
      </c>
      <c r="O367" s="209">
        <f t="shared" si="223"/>
        <v>170</v>
      </c>
      <c r="P367" s="209">
        <f t="shared" si="223"/>
        <v>153</v>
      </c>
      <c r="Q367" s="209">
        <f t="shared" si="223"/>
        <v>139</v>
      </c>
      <c r="R367" s="209">
        <f t="shared" si="223"/>
        <v>126</v>
      </c>
      <c r="S367" s="209">
        <f t="shared" si="223"/>
        <v>112</v>
      </c>
      <c r="T367" s="209">
        <f t="shared" si="223"/>
        <v>101</v>
      </c>
      <c r="U367" s="209">
        <f t="shared" si="223"/>
        <v>91</v>
      </c>
      <c r="V367" s="209">
        <f t="shared" si="223"/>
        <v>82</v>
      </c>
      <c r="W367" s="209">
        <f t="shared" si="223"/>
        <v>75</v>
      </c>
      <c r="X367" s="209">
        <f t="shared" si="223"/>
        <v>67</v>
      </c>
      <c r="Y367" s="209">
        <f t="shared" si="223"/>
        <v>60</v>
      </c>
      <c r="Z367" s="209">
        <f t="shared" si="223"/>
        <v>53</v>
      </c>
      <c r="AA367" s="209">
        <f t="shared" si="223"/>
        <v>48</v>
      </c>
      <c r="AB367" s="209">
        <f t="shared" si="223"/>
        <v>44</v>
      </c>
      <c r="AC367" s="209">
        <f t="shared" si="223"/>
        <v>40</v>
      </c>
      <c r="AD367" s="209">
        <f t="shared" si="223"/>
        <v>36</v>
      </c>
      <c r="AE367" s="209">
        <f t="shared" si="223"/>
        <v>33</v>
      </c>
      <c r="AF367" s="209">
        <f t="shared" si="223"/>
        <v>30</v>
      </c>
      <c r="AG367" s="209">
        <f t="shared" si="223"/>
        <v>27</v>
      </c>
      <c r="AH367" s="209">
        <f t="shared" si="223"/>
        <v>24</v>
      </c>
      <c r="AI367" s="209">
        <f t="shared" si="223"/>
        <v>22</v>
      </c>
      <c r="AJ367" s="209">
        <f t="shared" si="223"/>
        <v>20</v>
      </c>
      <c r="AK367" s="209">
        <f t="shared" si="223"/>
        <v>18</v>
      </c>
      <c r="AL367" s="209">
        <f t="shared" si="223"/>
        <v>17</v>
      </c>
      <c r="AM367" s="209">
        <f t="shared" si="223"/>
        <v>15</v>
      </c>
      <c r="AN367" s="209">
        <f t="shared" si="223"/>
        <v>14</v>
      </c>
    </row>
    <row r="368" spans="2:40" s="7" customFormat="1" ht="12" customHeight="1" outlineLevel="1">
      <c r="B368" s="239"/>
      <c r="C368" s="214" t="s">
        <v>846</v>
      </c>
      <c r="D368" s="214"/>
      <c r="E368" s="209">
        <f t="shared" ref="E368:I368" si="224">IF((SUM(E458:E481)-E365)&lt;1,ROUNDUP(SUM(E458:E481),0)-E365,ROUNDDOWN(SUM(E458:E481),0)-E365)</f>
        <v>0</v>
      </c>
      <c r="F368" s="209">
        <f t="shared" si="224"/>
        <v>0</v>
      </c>
      <c r="G368" s="209">
        <f t="shared" si="224"/>
        <v>0</v>
      </c>
      <c r="H368" s="209">
        <f t="shared" si="224"/>
        <v>0</v>
      </c>
      <c r="I368" s="209">
        <f t="shared" si="224"/>
        <v>0</v>
      </c>
      <c r="J368" s="209">
        <f t="shared" ref="J368:AN368" si="225">IF((SUM(J458:J481)-J365)&lt;1,ROUNDUP(SUM(J458:J481),0)-J365,ROUNDDOWN(SUM(J458:J481),0)-J365)</f>
        <v>0</v>
      </c>
      <c r="K368" s="209">
        <f t="shared" si="225"/>
        <v>0</v>
      </c>
      <c r="L368" s="209">
        <f t="shared" si="225"/>
        <v>0</v>
      </c>
      <c r="M368" s="209">
        <f t="shared" si="225"/>
        <v>0</v>
      </c>
      <c r="N368" s="209">
        <f t="shared" si="225"/>
        <v>0</v>
      </c>
      <c r="O368" s="209">
        <f t="shared" si="225"/>
        <v>0</v>
      </c>
      <c r="P368" s="209">
        <f t="shared" si="225"/>
        <v>0</v>
      </c>
      <c r="Q368" s="209">
        <f t="shared" si="225"/>
        <v>0</v>
      </c>
      <c r="R368" s="209">
        <f t="shared" si="225"/>
        <v>0</v>
      </c>
      <c r="S368" s="209">
        <f t="shared" si="225"/>
        <v>0</v>
      </c>
      <c r="T368" s="209">
        <f t="shared" si="225"/>
        <v>0</v>
      </c>
      <c r="U368" s="209">
        <f t="shared" si="225"/>
        <v>0</v>
      </c>
      <c r="V368" s="209">
        <f t="shared" si="225"/>
        <v>0</v>
      </c>
      <c r="W368" s="209">
        <f t="shared" si="225"/>
        <v>0</v>
      </c>
      <c r="X368" s="209">
        <f t="shared" si="225"/>
        <v>0</v>
      </c>
      <c r="Y368" s="209">
        <f t="shared" si="225"/>
        <v>0</v>
      </c>
      <c r="Z368" s="209">
        <f t="shared" si="225"/>
        <v>0</v>
      </c>
      <c r="AA368" s="209">
        <f t="shared" si="225"/>
        <v>0</v>
      </c>
      <c r="AB368" s="209">
        <f t="shared" si="225"/>
        <v>0</v>
      </c>
      <c r="AC368" s="209">
        <f t="shared" si="225"/>
        <v>0</v>
      </c>
      <c r="AD368" s="209">
        <f t="shared" si="225"/>
        <v>0</v>
      </c>
      <c r="AE368" s="209">
        <f t="shared" si="225"/>
        <v>0</v>
      </c>
      <c r="AF368" s="209">
        <f t="shared" si="225"/>
        <v>0</v>
      </c>
      <c r="AG368" s="209">
        <f t="shared" si="225"/>
        <v>0</v>
      </c>
      <c r="AH368" s="209">
        <f t="shared" si="225"/>
        <v>0</v>
      </c>
      <c r="AI368" s="209">
        <f t="shared" si="225"/>
        <v>0</v>
      </c>
      <c r="AJ368" s="209">
        <f t="shared" si="225"/>
        <v>0</v>
      </c>
      <c r="AK368" s="209">
        <f t="shared" si="225"/>
        <v>0</v>
      </c>
      <c r="AL368" s="209">
        <f t="shared" si="225"/>
        <v>0</v>
      </c>
      <c r="AM368" s="209">
        <f t="shared" si="225"/>
        <v>0</v>
      </c>
      <c r="AN368" s="209">
        <f t="shared" si="225"/>
        <v>0</v>
      </c>
    </row>
    <row r="369" spans="2:40" s="7" customFormat="1" ht="12" customHeight="1" outlineLevel="1">
      <c r="B369" s="237"/>
      <c r="C369" s="214" t="s">
        <v>833</v>
      </c>
      <c r="D369" s="214"/>
      <c r="E369" s="210">
        <f>SUM(E363:E365)</f>
        <v>444</v>
      </c>
      <c r="F369" s="210">
        <f>SUM(F363:F365)</f>
        <v>1965</v>
      </c>
      <c r="G369" s="210">
        <f t="shared" ref="G369:I369" si="226">SUM(G363:G365)</f>
        <v>2100</v>
      </c>
      <c r="H369" s="210">
        <f t="shared" si="226"/>
        <v>498</v>
      </c>
      <c r="I369" s="210">
        <f t="shared" si="226"/>
        <v>471</v>
      </c>
      <c r="J369" s="210">
        <f t="shared" ref="J369:AN369" si="227">SUM(J363:J365)</f>
        <v>2675</v>
      </c>
      <c r="K369" s="210">
        <f t="shared" si="227"/>
        <v>2558</v>
      </c>
      <c r="L369" s="210">
        <f t="shared" si="227"/>
        <v>446.99999999999994</v>
      </c>
      <c r="M369" s="210">
        <f t="shared" si="227"/>
        <v>2754</v>
      </c>
      <c r="N369" s="210">
        <f t="shared" si="227"/>
        <v>2295</v>
      </c>
      <c r="O369" s="210">
        <f t="shared" si="227"/>
        <v>1147.5</v>
      </c>
      <c r="P369" s="210">
        <f t="shared" si="227"/>
        <v>1147.5</v>
      </c>
      <c r="Q369" s="210">
        <f t="shared" si="227"/>
        <v>593.23608000000002</v>
      </c>
      <c r="R369" s="210">
        <f t="shared" si="227"/>
        <v>1489.5039599999998</v>
      </c>
      <c r="S369" s="210">
        <f t="shared" si="227"/>
        <v>1491.7102199999999</v>
      </c>
      <c r="T369" s="210">
        <f t="shared" si="227"/>
        <v>1006.9006499999999</v>
      </c>
      <c r="U369" s="210">
        <f t="shared" si="227"/>
        <v>779.14102500000001</v>
      </c>
      <c r="V369" s="210">
        <f t="shared" si="227"/>
        <v>2183.2908749999997</v>
      </c>
      <c r="W369" s="210">
        <f t="shared" si="227"/>
        <v>860.46817499999997</v>
      </c>
      <c r="X369" s="210">
        <f t="shared" si="227"/>
        <v>748.80877500000008</v>
      </c>
      <c r="Y369" s="210">
        <f t="shared" si="227"/>
        <v>2983.5</v>
      </c>
      <c r="Z369" s="210">
        <f t="shared" si="227"/>
        <v>2754</v>
      </c>
      <c r="AA369" s="210">
        <f t="shared" si="227"/>
        <v>918</v>
      </c>
      <c r="AB369" s="210">
        <f t="shared" si="227"/>
        <v>918</v>
      </c>
      <c r="AC369" s="210">
        <f t="shared" si="227"/>
        <v>889.85411999999997</v>
      </c>
      <c r="AD369" s="210">
        <f t="shared" si="227"/>
        <v>2234.2559399999996</v>
      </c>
      <c r="AE369" s="210">
        <f t="shared" si="227"/>
        <v>1758.0870450000007</v>
      </c>
      <c r="AF369" s="210">
        <f t="shared" si="227"/>
        <v>1107.590715</v>
      </c>
      <c r="AG369" s="210">
        <f t="shared" si="227"/>
        <v>1348.5133125</v>
      </c>
      <c r="AH369" s="210">
        <f t="shared" si="227"/>
        <v>3274.9363125</v>
      </c>
      <c r="AI369" s="210">
        <f t="shared" si="227"/>
        <v>602.32772249999994</v>
      </c>
      <c r="AJ369" s="210">
        <f t="shared" si="227"/>
        <v>1123.2131625</v>
      </c>
      <c r="AK369" s="210">
        <f t="shared" si="227"/>
        <v>3878.55</v>
      </c>
      <c r="AL369" s="210">
        <f t="shared" si="227"/>
        <v>3304.8</v>
      </c>
      <c r="AM369" s="210">
        <f t="shared" si="227"/>
        <v>642.6</v>
      </c>
      <c r="AN369" s="210">
        <f t="shared" si="227"/>
        <v>918</v>
      </c>
    </row>
    <row r="370" spans="2:40" s="7" customFormat="1" ht="12" customHeight="1" outlineLevel="1">
      <c r="B370" s="237"/>
      <c r="C370" s="214" t="s">
        <v>847</v>
      </c>
      <c r="D370" s="214"/>
      <c r="E370" s="210">
        <f t="shared" ref="E370:I370" si="228">SUM(E366:E368)</f>
        <v>740</v>
      </c>
      <c r="F370" s="210">
        <f t="shared" si="228"/>
        <v>901.99999999999989</v>
      </c>
      <c r="G370" s="210">
        <f t="shared" si="228"/>
        <v>1982</v>
      </c>
      <c r="H370" s="210">
        <f t="shared" si="228"/>
        <v>3465</v>
      </c>
      <c r="I370" s="210">
        <f t="shared" si="228"/>
        <v>614</v>
      </c>
      <c r="J370" s="210">
        <f t="shared" ref="J370:AN370" si="229">SUM(J366:J368)</f>
        <v>552</v>
      </c>
      <c r="K370" s="210">
        <f t="shared" si="229"/>
        <v>500</v>
      </c>
      <c r="L370" s="210">
        <f t="shared" si="229"/>
        <v>452.00000000000006</v>
      </c>
      <c r="M370" s="210">
        <f t="shared" si="229"/>
        <v>408</v>
      </c>
      <c r="N370" s="210">
        <f t="shared" si="229"/>
        <v>367</v>
      </c>
      <c r="O370" s="210">
        <f t="shared" si="229"/>
        <v>330.5</v>
      </c>
      <c r="P370" s="210">
        <f t="shared" si="229"/>
        <v>297.5</v>
      </c>
      <c r="Q370" s="210">
        <f t="shared" si="229"/>
        <v>268.76391999999998</v>
      </c>
      <c r="R370" s="210">
        <f t="shared" si="229"/>
        <v>242.49604000000022</v>
      </c>
      <c r="S370" s="210">
        <f t="shared" si="229"/>
        <v>217.28978000000006</v>
      </c>
      <c r="T370" s="210">
        <f t="shared" si="229"/>
        <v>195.09935000000007</v>
      </c>
      <c r="U370" s="210">
        <f t="shared" si="229"/>
        <v>175.85897499999999</v>
      </c>
      <c r="V370" s="210">
        <f t="shared" si="229"/>
        <v>158.70912500000031</v>
      </c>
      <c r="W370" s="210">
        <f t="shared" si="229"/>
        <v>143.53182500000003</v>
      </c>
      <c r="X370" s="210">
        <f t="shared" si="229"/>
        <v>129.19122499999992</v>
      </c>
      <c r="Y370" s="210">
        <f t="shared" si="229"/>
        <v>115.5</v>
      </c>
      <c r="Z370" s="210">
        <f t="shared" si="229"/>
        <v>103</v>
      </c>
      <c r="AA370" s="210">
        <f t="shared" si="229"/>
        <v>93</v>
      </c>
      <c r="AB370" s="210">
        <f t="shared" si="229"/>
        <v>84</v>
      </c>
      <c r="AC370" s="210">
        <f t="shared" si="229"/>
        <v>76.145880000000034</v>
      </c>
      <c r="AD370" s="210">
        <f t="shared" si="229"/>
        <v>68.744060000000445</v>
      </c>
      <c r="AE370" s="210">
        <f t="shared" si="229"/>
        <v>61.912954999999329</v>
      </c>
      <c r="AF370" s="210">
        <f t="shared" si="229"/>
        <v>56.409284999999954</v>
      </c>
      <c r="AG370" s="210">
        <f t="shared" si="229"/>
        <v>50.486687500000016</v>
      </c>
      <c r="AH370" s="210">
        <f t="shared" si="229"/>
        <v>45.063687500000015</v>
      </c>
      <c r="AI370" s="210">
        <f t="shared" si="229"/>
        <v>40.672277500000064</v>
      </c>
      <c r="AJ370" s="210">
        <f t="shared" si="229"/>
        <v>36.786837500000047</v>
      </c>
      <c r="AK370" s="210">
        <f t="shared" si="229"/>
        <v>33.449999999999818</v>
      </c>
      <c r="AL370" s="210">
        <f t="shared" si="229"/>
        <v>31.199999999999818</v>
      </c>
      <c r="AM370" s="210">
        <f t="shared" si="229"/>
        <v>27.399999999999977</v>
      </c>
      <c r="AN370" s="210">
        <f t="shared" si="229"/>
        <v>25</v>
      </c>
    </row>
    <row r="371" spans="2:40" s="7" customFormat="1" ht="12" customHeight="1" outlineLevel="1">
      <c r="B371" s="237"/>
      <c r="C371" s="214" t="s">
        <v>848</v>
      </c>
      <c r="D371" s="214"/>
      <c r="E371" s="205">
        <f>SUM(E369:E370)</f>
        <v>1184</v>
      </c>
      <c r="F371" s="205">
        <f t="shared" ref="F371:I371" si="230">SUM(F369:F370)</f>
        <v>2867</v>
      </c>
      <c r="G371" s="205">
        <f t="shared" si="230"/>
        <v>4082</v>
      </c>
      <c r="H371" s="205">
        <f t="shared" si="230"/>
        <v>3963</v>
      </c>
      <c r="I371" s="205">
        <f t="shared" si="230"/>
        <v>1085</v>
      </c>
      <c r="J371" s="205">
        <f t="shared" ref="J371:AN371" si="231">SUM(J369:J370)</f>
        <v>3227</v>
      </c>
      <c r="K371" s="205">
        <f t="shared" si="231"/>
        <v>3058</v>
      </c>
      <c r="L371" s="205">
        <f t="shared" si="231"/>
        <v>899</v>
      </c>
      <c r="M371" s="205">
        <f t="shared" si="231"/>
        <v>3162</v>
      </c>
      <c r="N371" s="205">
        <f t="shared" si="231"/>
        <v>2662</v>
      </c>
      <c r="O371" s="205">
        <f t="shared" si="231"/>
        <v>1478</v>
      </c>
      <c r="P371" s="205">
        <f t="shared" si="231"/>
        <v>1445</v>
      </c>
      <c r="Q371" s="205">
        <f t="shared" si="231"/>
        <v>862</v>
      </c>
      <c r="R371" s="205">
        <f t="shared" si="231"/>
        <v>1732</v>
      </c>
      <c r="S371" s="205">
        <f t="shared" si="231"/>
        <v>1709</v>
      </c>
      <c r="T371" s="205">
        <f t="shared" si="231"/>
        <v>1202</v>
      </c>
      <c r="U371" s="205">
        <f t="shared" si="231"/>
        <v>955</v>
      </c>
      <c r="V371" s="205">
        <f t="shared" si="231"/>
        <v>2342</v>
      </c>
      <c r="W371" s="205">
        <f t="shared" si="231"/>
        <v>1004</v>
      </c>
      <c r="X371" s="205">
        <f t="shared" si="231"/>
        <v>878</v>
      </c>
      <c r="Y371" s="205">
        <f t="shared" si="231"/>
        <v>3099</v>
      </c>
      <c r="Z371" s="205">
        <f t="shared" si="231"/>
        <v>2857</v>
      </c>
      <c r="AA371" s="205">
        <f t="shared" si="231"/>
        <v>1011</v>
      </c>
      <c r="AB371" s="205">
        <f t="shared" si="231"/>
        <v>1002</v>
      </c>
      <c r="AC371" s="205">
        <f t="shared" si="231"/>
        <v>966</v>
      </c>
      <c r="AD371" s="205">
        <f t="shared" si="231"/>
        <v>2303</v>
      </c>
      <c r="AE371" s="205">
        <f t="shared" si="231"/>
        <v>1820</v>
      </c>
      <c r="AF371" s="205">
        <f t="shared" si="231"/>
        <v>1164</v>
      </c>
      <c r="AG371" s="205">
        <f t="shared" si="231"/>
        <v>1399</v>
      </c>
      <c r="AH371" s="205">
        <f t="shared" si="231"/>
        <v>3320</v>
      </c>
      <c r="AI371" s="205">
        <f t="shared" si="231"/>
        <v>643</v>
      </c>
      <c r="AJ371" s="205">
        <f t="shared" si="231"/>
        <v>1160</v>
      </c>
      <c r="AK371" s="205">
        <f t="shared" si="231"/>
        <v>3912</v>
      </c>
      <c r="AL371" s="205">
        <f t="shared" si="231"/>
        <v>3336</v>
      </c>
      <c r="AM371" s="205">
        <f t="shared" si="231"/>
        <v>670</v>
      </c>
      <c r="AN371" s="205">
        <f t="shared" si="231"/>
        <v>943</v>
      </c>
    </row>
    <row r="372" spans="2:40" s="7" customFormat="1" ht="12" customHeight="1" outlineLevel="1">
      <c r="B372" s="239"/>
      <c r="C372" s="214"/>
      <c r="D372" s="214"/>
      <c r="E372" s="211"/>
      <c r="F372" s="211"/>
      <c r="G372" s="211"/>
      <c r="H372" s="211"/>
      <c r="I372" s="211"/>
      <c r="J372" s="211"/>
      <c r="K372" s="211"/>
      <c r="L372" s="211"/>
      <c r="M372" s="211"/>
      <c r="N372" s="211"/>
      <c r="O372" s="211"/>
      <c r="P372" s="211"/>
      <c r="Q372" s="211"/>
      <c r="R372" s="211"/>
      <c r="S372" s="211"/>
      <c r="T372" s="211"/>
      <c r="U372" s="211"/>
      <c r="V372" s="211"/>
      <c r="W372" s="211"/>
      <c r="X372" s="211"/>
      <c r="Y372" s="211"/>
      <c r="Z372" s="211"/>
      <c r="AA372" s="211"/>
      <c r="AB372" s="211"/>
      <c r="AC372" s="211"/>
      <c r="AD372" s="211"/>
      <c r="AE372" s="211"/>
      <c r="AF372" s="211"/>
      <c r="AG372" s="211"/>
      <c r="AH372" s="211"/>
      <c r="AI372" s="211"/>
      <c r="AJ372" s="211"/>
      <c r="AK372" s="211"/>
      <c r="AL372" s="211"/>
      <c r="AM372" s="211"/>
      <c r="AN372" s="211"/>
    </row>
    <row r="373" spans="2:40" s="7" customFormat="1" ht="12" hidden="1" customHeight="1" outlineLevel="2">
      <c r="B373" s="239"/>
      <c r="C373" s="243" t="s">
        <v>849</v>
      </c>
      <c r="D373" s="214"/>
      <c r="O373" s="212"/>
      <c r="P373" s="212"/>
      <c r="Q373" s="212"/>
      <c r="R373" s="212"/>
      <c r="S373" s="212"/>
      <c r="T373" s="212"/>
      <c r="U373" s="212"/>
      <c r="V373" s="212"/>
      <c r="W373" s="212"/>
      <c r="X373" s="212"/>
      <c r="Y373" s="212"/>
      <c r="Z373" s="212"/>
      <c r="AA373" s="212"/>
      <c r="AB373" s="212"/>
      <c r="AC373" s="212"/>
      <c r="AD373" s="212"/>
      <c r="AE373" s="212"/>
      <c r="AF373" s="212"/>
      <c r="AG373" s="212"/>
      <c r="AH373" s="212"/>
      <c r="AI373" s="212"/>
      <c r="AJ373" s="212"/>
      <c r="AK373" s="212"/>
      <c r="AL373" s="212"/>
      <c r="AM373" s="212"/>
      <c r="AN373" s="212"/>
    </row>
    <row r="374" spans="2:40" s="7" customFormat="1" ht="12" hidden="1" customHeight="1" outlineLevel="2">
      <c r="B374" s="239"/>
      <c r="C374" s="214" t="s">
        <v>850</v>
      </c>
      <c r="D374" s="214"/>
      <c r="E374" s="196" t="s">
        <v>753</v>
      </c>
      <c r="F374" s="196" t="s">
        <v>754</v>
      </c>
      <c r="G374" s="196" t="s">
        <v>755</v>
      </c>
      <c r="H374" s="196" t="s">
        <v>756</v>
      </c>
      <c r="I374" s="196" t="s">
        <v>757</v>
      </c>
      <c r="J374" s="196" t="s">
        <v>758</v>
      </c>
      <c r="K374" s="196" t="s">
        <v>759</v>
      </c>
      <c r="L374" s="196" t="s">
        <v>760</v>
      </c>
      <c r="M374" s="196" t="s">
        <v>761</v>
      </c>
      <c r="N374" s="196" t="s">
        <v>762</v>
      </c>
      <c r="O374" s="196" t="s">
        <v>763</v>
      </c>
      <c r="P374" s="196" t="s">
        <v>764</v>
      </c>
      <c r="Q374" s="196" t="s">
        <v>765</v>
      </c>
      <c r="R374" s="196" t="s">
        <v>766</v>
      </c>
      <c r="S374" s="196" t="s">
        <v>767</v>
      </c>
      <c r="T374" s="196" t="s">
        <v>768</v>
      </c>
      <c r="U374" s="196" t="s">
        <v>769</v>
      </c>
      <c r="V374" s="196" t="s">
        <v>770</v>
      </c>
      <c r="W374" s="196" t="s">
        <v>771</v>
      </c>
      <c r="X374" s="196" t="s">
        <v>772</v>
      </c>
      <c r="Y374" s="196" t="s">
        <v>773</v>
      </c>
      <c r="Z374" s="196" t="s">
        <v>774</v>
      </c>
      <c r="AA374" s="196" t="s">
        <v>775</v>
      </c>
      <c r="AB374" s="196" t="s">
        <v>776</v>
      </c>
      <c r="AC374" s="196" t="s">
        <v>777</v>
      </c>
      <c r="AD374" s="196" t="s">
        <v>778</v>
      </c>
      <c r="AE374" s="196" t="s">
        <v>779</v>
      </c>
      <c r="AF374" s="196" t="s">
        <v>780</v>
      </c>
      <c r="AG374" s="196" t="s">
        <v>781</v>
      </c>
      <c r="AH374" s="196" t="s">
        <v>782</v>
      </c>
      <c r="AI374" s="196" t="s">
        <v>783</v>
      </c>
      <c r="AJ374" s="196" t="s">
        <v>784</v>
      </c>
      <c r="AK374" s="196" t="s">
        <v>785</v>
      </c>
      <c r="AL374" s="196" t="s">
        <v>786</v>
      </c>
      <c r="AM374" s="196" t="s">
        <v>787</v>
      </c>
      <c r="AN374" s="196" t="s">
        <v>788</v>
      </c>
    </row>
    <row r="375" spans="2:40" s="7" customFormat="1" ht="12" hidden="1" customHeight="1" outlineLevel="2">
      <c r="B375" s="239"/>
      <c r="C375" s="212" t="s">
        <v>851</v>
      </c>
      <c r="D375" s="212"/>
      <c r="E375" s="344">
        <v>0</v>
      </c>
      <c r="F375" s="344">
        <v>0</v>
      </c>
      <c r="G375" s="344">
        <v>0</v>
      </c>
      <c r="H375" s="344">
        <v>0</v>
      </c>
      <c r="I375" s="344">
        <v>0</v>
      </c>
      <c r="J375" s="344">
        <v>0</v>
      </c>
      <c r="K375" s="344">
        <v>0</v>
      </c>
      <c r="L375" s="344">
        <v>0</v>
      </c>
      <c r="M375" s="344">
        <v>0</v>
      </c>
      <c r="N375" s="344">
        <v>0</v>
      </c>
      <c r="O375" s="344">
        <v>0</v>
      </c>
      <c r="P375" s="344">
        <v>0</v>
      </c>
      <c r="Q375" s="344">
        <v>0</v>
      </c>
      <c r="R375" s="344">
        <v>0</v>
      </c>
      <c r="S375" s="344">
        <v>0</v>
      </c>
      <c r="T375" s="344">
        <v>0</v>
      </c>
      <c r="U375" s="344">
        <v>0</v>
      </c>
      <c r="V375" s="344">
        <v>0</v>
      </c>
      <c r="W375" s="344">
        <v>0</v>
      </c>
      <c r="X375" s="344">
        <v>0</v>
      </c>
      <c r="Y375" s="344">
        <v>0</v>
      </c>
      <c r="Z375" s="344">
        <v>0</v>
      </c>
      <c r="AA375" s="344">
        <v>0</v>
      </c>
      <c r="AB375" s="344">
        <v>0</v>
      </c>
      <c r="AC375" s="344">
        <v>0</v>
      </c>
      <c r="AD375" s="344">
        <v>0</v>
      </c>
      <c r="AE375" s="344">
        <v>0</v>
      </c>
      <c r="AF375" s="344">
        <v>0</v>
      </c>
      <c r="AG375" s="344">
        <v>0</v>
      </c>
      <c r="AH375" s="344">
        <v>0</v>
      </c>
      <c r="AI375" s="344">
        <v>0</v>
      </c>
      <c r="AJ375" s="344">
        <v>0</v>
      </c>
      <c r="AK375" s="344">
        <v>0</v>
      </c>
      <c r="AL375" s="344">
        <v>0</v>
      </c>
      <c r="AM375" s="344">
        <v>0</v>
      </c>
      <c r="AN375" s="344">
        <v>0</v>
      </c>
    </row>
    <row r="376" spans="2:40" s="7" customFormat="1" ht="12" hidden="1" customHeight="1" outlineLevel="2">
      <c r="B376" s="239"/>
      <c r="C376" s="213" t="s">
        <v>861</v>
      </c>
      <c r="D376" s="214"/>
      <c r="E376" s="211">
        <v>418</v>
      </c>
      <c r="F376" s="211">
        <v>520</v>
      </c>
      <c r="G376" s="211">
        <v>1498</v>
      </c>
      <c r="H376" s="211">
        <v>3097</v>
      </c>
      <c r="I376" s="211">
        <v>303</v>
      </c>
      <c r="J376" s="211">
        <f t="shared" ref="J376:AN376" si="232">I376*90%</f>
        <v>272.7</v>
      </c>
      <c r="K376" s="211">
        <f t="shared" si="232"/>
        <v>245.43</v>
      </c>
      <c r="L376" s="211">
        <f t="shared" si="232"/>
        <v>220.887</v>
      </c>
      <c r="M376" s="211">
        <f t="shared" si="232"/>
        <v>198.79830000000001</v>
      </c>
      <c r="N376" s="211">
        <f t="shared" si="232"/>
        <v>178.91847000000001</v>
      </c>
      <c r="O376" s="211">
        <f t="shared" si="232"/>
        <v>161.02662300000003</v>
      </c>
      <c r="P376" s="211">
        <f t="shared" si="232"/>
        <v>144.92396070000004</v>
      </c>
      <c r="Q376" s="211">
        <f t="shared" si="232"/>
        <v>130.43156463000003</v>
      </c>
      <c r="R376" s="211">
        <f t="shared" si="232"/>
        <v>117.38840816700002</v>
      </c>
      <c r="S376" s="211">
        <f t="shared" si="232"/>
        <v>105.64956735030002</v>
      </c>
      <c r="T376" s="211">
        <f t="shared" si="232"/>
        <v>95.084610615270023</v>
      </c>
      <c r="U376" s="211">
        <f t="shared" si="232"/>
        <v>85.576149553743022</v>
      </c>
      <c r="V376" s="211">
        <f t="shared" si="232"/>
        <v>77.018534598368717</v>
      </c>
      <c r="W376" s="211">
        <f t="shared" si="232"/>
        <v>69.316681138531848</v>
      </c>
      <c r="X376" s="211">
        <f t="shared" si="232"/>
        <v>62.385013024678663</v>
      </c>
      <c r="Y376" s="211">
        <f t="shared" si="232"/>
        <v>56.146511722210796</v>
      </c>
      <c r="Z376" s="211">
        <f t="shared" si="232"/>
        <v>50.531860549989716</v>
      </c>
      <c r="AA376" s="211">
        <f t="shared" si="232"/>
        <v>45.478674494990749</v>
      </c>
      <c r="AB376" s="211">
        <f t="shared" si="232"/>
        <v>40.930807045491676</v>
      </c>
      <c r="AC376" s="211">
        <f t="shared" si="232"/>
        <v>36.83772634094251</v>
      </c>
      <c r="AD376" s="211">
        <f t="shared" si="232"/>
        <v>33.153953706848263</v>
      </c>
      <c r="AE376" s="211">
        <f t="shared" si="232"/>
        <v>29.838558336163437</v>
      </c>
      <c r="AF376" s="211">
        <f t="shared" si="232"/>
        <v>26.854702502547095</v>
      </c>
      <c r="AG376" s="211">
        <f t="shared" si="232"/>
        <v>24.169232252292385</v>
      </c>
      <c r="AH376" s="211">
        <f t="shared" si="232"/>
        <v>21.752309027063149</v>
      </c>
      <c r="AI376" s="211">
        <f t="shared" si="232"/>
        <v>19.577078124356834</v>
      </c>
      <c r="AJ376" s="211">
        <f t="shared" si="232"/>
        <v>17.619370311921152</v>
      </c>
      <c r="AK376" s="211">
        <f t="shared" si="232"/>
        <v>15.857433280729037</v>
      </c>
      <c r="AL376" s="211">
        <f t="shared" si="232"/>
        <v>14.271689952656134</v>
      </c>
      <c r="AM376" s="211">
        <f t="shared" si="232"/>
        <v>12.84452095739052</v>
      </c>
      <c r="AN376" s="211">
        <f t="shared" si="232"/>
        <v>11.560068861651468</v>
      </c>
    </row>
    <row r="377" spans="2:40" s="7" customFormat="1" ht="12" hidden="1" customHeight="1" outlineLevel="2">
      <c r="B377" s="245"/>
      <c r="C377" s="213" t="s">
        <v>753</v>
      </c>
      <c r="D377" s="213"/>
      <c r="E377" s="211">
        <f>INDEX($C$349:$AN$371,MATCH("New Customers One-Time",$C$349:$C$371,0),MATCH($C377,$C$349:$AN$349,0))</f>
        <v>367</v>
      </c>
      <c r="F377" s="211">
        <f t="shared" ref="F377:AN377" si="233">$E377*(E375)</f>
        <v>0</v>
      </c>
      <c r="G377" s="211">
        <f t="shared" si="233"/>
        <v>0</v>
      </c>
      <c r="H377" s="211">
        <f t="shared" si="233"/>
        <v>0</v>
      </c>
      <c r="I377" s="211">
        <f t="shared" si="233"/>
        <v>0</v>
      </c>
      <c r="J377" s="211">
        <f t="shared" si="233"/>
        <v>0</v>
      </c>
      <c r="K377" s="211">
        <f t="shared" si="233"/>
        <v>0</v>
      </c>
      <c r="L377" s="211">
        <f t="shared" si="233"/>
        <v>0</v>
      </c>
      <c r="M377" s="211">
        <f t="shared" si="233"/>
        <v>0</v>
      </c>
      <c r="N377" s="211">
        <f t="shared" si="233"/>
        <v>0</v>
      </c>
      <c r="O377" s="211">
        <f t="shared" si="233"/>
        <v>0</v>
      </c>
      <c r="P377" s="211">
        <f t="shared" si="233"/>
        <v>0</v>
      </c>
      <c r="Q377" s="211">
        <f t="shared" si="233"/>
        <v>0</v>
      </c>
      <c r="R377" s="211">
        <f t="shared" si="233"/>
        <v>0</v>
      </c>
      <c r="S377" s="211">
        <f t="shared" si="233"/>
        <v>0</v>
      </c>
      <c r="T377" s="211">
        <f t="shared" si="233"/>
        <v>0</v>
      </c>
      <c r="U377" s="211">
        <f t="shared" si="233"/>
        <v>0</v>
      </c>
      <c r="V377" s="211">
        <f t="shared" si="233"/>
        <v>0</v>
      </c>
      <c r="W377" s="211">
        <f t="shared" si="233"/>
        <v>0</v>
      </c>
      <c r="X377" s="211">
        <f t="shared" si="233"/>
        <v>0</v>
      </c>
      <c r="Y377" s="211">
        <f t="shared" si="233"/>
        <v>0</v>
      </c>
      <c r="Z377" s="211">
        <f t="shared" si="233"/>
        <v>0</v>
      </c>
      <c r="AA377" s="211">
        <f t="shared" si="233"/>
        <v>0</v>
      </c>
      <c r="AB377" s="211">
        <f t="shared" si="233"/>
        <v>0</v>
      </c>
      <c r="AC377" s="211">
        <f t="shared" si="233"/>
        <v>0</v>
      </c>
      <c r="AD377" s="211">
        <f t="shared" si="233"/>
        <v>0</v>
      </c>
      <c r="AE377" s="211">
        <f t="shared" si="233"/>
        <v>0</v>
      </c>
      <c r="AF377" s="211">
        <f t="shared" si="233"/>
        <v>0</v>
      </c>
      <c r="AG377" s="211">
        <f t="shared" si="233"/>
        <v>0</v>
      </c>
      <c r="AH377" s="211">
        <f t="shared" si="233"/>
        <v>0</v>
      </c>
      <c r="AI377" s="211">
        <f t="shared" si="233"/>
        <v>0</v>
      </c>
      <c r="AJ377" s="211">
        <f t="shared" si="233"/>
        <v>0</v>
      </c>
      <c r="AK377" s="211">
        <f t="shared" si="233"/>
        <v>0</v>
      </c>
      <c r="AL377" s="211">
        <f t="shared" si="233"/>
        <v>0</v>
      </c>
      <c r="AM377" s="211">
        <f t="shared" si="233"/>
        <v>0</v>
      </c>
      <c r="AN377" s="211">
        <f t="shared" si="233"/>
        <v>0</v>
      </c>
    </row>
    <row r="378" spans="2:40" s="7" customFormat="1" ht="12" hidden="1" customHeight="1" outlineLevel="2">
      <c r="B378" s="245"/>
      <c r="C378" s="213" t="s">
        <v>754</v>
      </c>
      <c r="D378" s="213"/>
      <c r="E378" s="213"/>
      <c r="F378" s="211">
        <f>INDEX($C$349:$AN$371,MATCH("New Customers One-Time",$C$349:$C$371,0),MATCH($C378,$C$349:$AN$349,0))</f>
        <v>1931</v>
      </c>
      <c r="G378" s="211">
        <f t="shared" ref="G378:AN378" si="234">$F378*(E375)</f>
        <v>0</v>
      </c>
      <c r="H378" s="211">
        <f t="shared" si="234"/>
        <v>0</v>
      </c>
      <c r="I378" s="211">
        <f t="shared" si="234"/>
        <v>0</v>
      </c>
      <c r="J378" s="211">
        <f t="shared" si="234"/>
        <v>0</v>
      </c>
      <c r="K378" s="211">
        <f t="shared" si="234"/>
        <v>0</v>
      </c>
      <c r="L378" s="211">
        <f t="shared" si="234"/>
        <v>0</v>
      </c>
      <c r="M378" s="211">
        <f t="shared" si="234"/>
        <v>0</v>
      </c>
      <c r="N378" s="211">
        <f t="shared" si="234"/>
        <v>0</v>
      </c>
      <c r="O378" s="211">
        <f t="shared" si="234"/>
        <v>0</v>
      </c>
      <c r="P378" s="211">
        <f t="shared" si="234"/>
        <v>0</v>
      </c>
      <c r="Q378" s="211">
        <f t="shared" si="234"/>
        <v>0</v>
      </c>
      <c r="R378" s="211">
        <f t="shared" si="234"/>
        <v>0</v>
      </c>
      <c r="S378" s="211">
        <f t="shared" si="234"/>
        <v>0</v>
      </c>
      <c r="T378" s="211">
        <f t="shared" si="234"/>
        <v>0</v>
      </c>
      <c r="U378" s="211">
        <f t="shared" si="234"/>
        <v>0</v>
      </c>
      <c r="V378" s="211">
        <f t="shared" si="234"/>
        <v>0</v>
      </c>
      <c r="W378" s="211">
        <f t="shared" si="234"/>
        <v>0</v>
      </c>
      <c r="X378" s="211">
        <f t="shared" si="234"/>
        <v>0</v>
      </c>
      <c r="Y378" s="211">
        <f t="shared" si="234"/>
        <v>0</v>
      </c>
      <c r="Z378" s="211">
        <f t="shared" si="234"/>
        <v>0</v>
      </c>
      <c r="AA378" s="211">
        <f t="shared" si="234"/>
        <v>0</v>
      </c>
      <c r="AB378" s="211">
        <f t="shared" si="234"/>
        <v>0</v>
      </c>
      <c r="AC378" s="211">
        <f t="shared" si="234"/>
        <v>0</v>
      </c>
      <c r="AD378" s="211">
        <f t="shared" si="234"/>
        <v>0</v>
      </c>
      <c r="AE378" s="211">
        <f t="shared" si="234"/>
        <v>0</v>
      </c>
      <c r="AF378" s="211">
        <f t="shared" si="234"/>
        <v>0</v>
      </c>
      <c r="AG378" s="211">
        <f t="shared" si="234"/>
        <v>0</v>
      </c>
      <c r="AH378" s="211">
        <f t="shared" si="234"/>
        <v>0</v>
      </c>
      <c r="AI378" s="211">
        <f t="shared" si="234"/>
        <v>0</v>
      </c>
      <c r="AJ378" s="211">
        <f t="shared" si="234"/>
        <v>0</v>
      </c>
      <c r="AK378" s="211">
        <f t="shared" si="234"/>
        <v>0</v>
      </c>
      <c r="AL378" s="211">
        <f t="shared" si="234"/>
        <v>0</v>
      </c>
      <c r="AM378" s="211">
        <f t="shared" si="234"/>
        <v>0</v>
      </c>
      <c r="AN378" s="211">
        <f t="shared" si="234"/>
        <v>0</v>
      </c>
    </row>
    <row r="379" spans="2:40" s="7" customFormat="1" ht="12" hidden="1" customHeight="1" outlineLevel="2">
      <c r="B379" s="245"/>
      <c r="C379" s="213" t="s">
        <v>755</v>
      </c>
      <c r="D379" s="213"/>
      <c r="E379" s="213"/>
      <c r="G379" s="211">
        <f>INDEX($C$349:$AN$371,MATCH("New Customers One-Time",$C$349:$C$371,0),MATCH($C379,$C$349:$AN$349,0))</f>
        <v>2072</v>
      </c>
      <c r="H379" s="211">
        <f t="shared" ref="H379:AN379" si="235">$G379*(E375)</f>
        <v>0</v>
      </c>
      <c r="I379" s="211">
        <f t="shared" si="235"/>
        <v>0</v>
      </c>
      <c r="J379" s="211">
        <f t="shared" si="235"/>
        <v>0</v>
      </c>
      <c r="K379" s="211">
        <f t="shared" si="235"/>
        <v>0</v>
      </c>
      <c r="L379" s="211">
        <f t="shared" si="235"/>
        <v>0</v>
      </c>
      <c r="M379" s="211">
        <f t="shared" si="235"/>
        <v>0</v>
      </c>
      <c r="N379" s="211">
        <f t="shared" si="235"/>
        <v>0</v>
      </c>
      <c r="O379" s="211">
        <f t="shared" si="235"/>
        <v>0</v>
      </c>
      <c r="P379" s="211">
        <f t="shared" si="235"/>
        <v>0</v>
      </c>
      <c r="Q379" s="211">
        <f t="shared" si="235"/>
        <v>0</v>
      </c>
      <c r="R379" s="211">
        <f t="shared" si="235"/>
        <v>0</v>
      </c>
      <c r="S379" s="211">
        <f t="shared" si="235"/>
        <v>0</v>
      </c>
      <c r="T379" s="211">
        <f t="shared" si="235"/>
        <v>0</v>
      </c>
      <c r="U379" s="211">
        <f t="shared" si="235"/>
        <v>0</v>
      </c>
      <c r="V379" s="211">
        <f t="shared" si="235"/>
        <v>0</v>
      </c>
      <c r="W379" s="211">
        <f t="shared" si="235"/>
        <v>0</v>
      </c>
      <c r="X379" s="211">
        <f t="shared" si="235"/>
        <v>0</v>
      </c>
      <c r="Y379" s="211">
        <f t="shared" si="235"/>
        <v>0</v>
      </c>
      <c r="Z379" s="211">
        <f t="shared" si="235"/>
        <v>0</v>
      </c>
      <c r="AA379" s="211">
        <f t="shared" si="235"/>
        <v>0</v>
      </c>
      <c r="AB379" s="211">
        <f t="shared" si="235"/>
        <v>0</v>
      </c>
      <c r="AC379" s="211">
        <f t="shared" si="235"/>
        <v>0</v>
      </c>
      <c r="AD379" s="211">
        <f t="shared" si="235"/>
        <v>0</v>
      </c>
      <c r="AE379" s="211">
        <f t="shared" si="235"/>
        <v>0</v>
      </c>
      <c r="AF379" s="211">
        <f t="shared" si="235"/>
        <v>0</v>
      </c>
      <c r="AG379" s="211">
        <f t="shared" si="235"/>
        <v>0</v>
      </c>
      <c r="AH379" s="211">
        <f t="shared" si="235"/>
        <v>0</v>
      </c>
      <c r="AI379" s="211">
        <f t="shared" si="235"/>
        <v>0</v>
      </c>
      <c r="AJ379" s="211">
        <f t="shared" si="235"/>
        <v>0</v>
      </c>
      <c r="AK379" s="211">
        <f t="shared" si="235"/>
        <v>0</v>
      </c>
      <c r="AL379" s="211">
        <f t="shared" si="235"/>
        <v>0</v>
      </c>
      <c r="AM379" s="211">
        <f t="shared" si="235"/>
        <v>0</v>
      </c>
      <c r="AN379" s="211">
        <f t="shared" si="235"/>
        <v>0</v>
      </c>
    </row>
    <row r="380" spans="2:40" s="7" customFormat="1" ht="12" hidden="1" customHeight="1" outlineLevel="2">
      <c r="B380" s="245"/>
      <c r="C380" s="213" t="s">
        <v>756</v>
      </c>
      <c r="D380" s="213"/>
      <c r="E380" s="213"/>
      <c r="F380" s="213"/>
      <c r="G380" s="213"/>
      <c r="H380" s="211">
        <f>INDEX($C$349:$AN$371,MATCH("New Customers One-Time",$C$349:$C$371,0),MATCH($C380,$C$349:$AN$349,0))</f>
        <v>476</v>
      </c>
      <c r="I380" s="211">
        <f t="shared" ref="I380:AN380" si="236">$H380*(E375)</f>
        <v>0</v>
      </c>
      <c r="J380" s="211">
        <f t="shared" si="236"/>
        <v>0</v>
      </c>
      <c r="K380" s="211">
        <f t="shared" si="236"/>
        <v>0</v>
      </c>
      <c r="L380" s="211">
        <f t="shared" si="236"/>
        <v>0</v>
      </c>
      <c r="M380" s="211">
        <f t="shared" si="236"/>
        <v>0</v>
      </c>
      <c r="N380" s="211">
        <f t="shared" si="236"/>
        <v>0</v>
      </c>
      <c r="O380" s="211">
        <f t="shared" si="236"/>
        <v>0</v>
      </c>
      <c r="P380" s="211">
        <f t="shared" si="236"/>
        <v>0</v>
      </c>
      <c r="Q380" s="211">
        <f t="shared" si="236"/>
        <v>0</v>
      </c>
      <c r="R380" s="211">
        <f t="shared" si="236"/>
        <v>0</v>
      </c>
      <c r="S380" s="211">
        <f t="shared" si="236"/>
        <v>0</v>
      </c>
      <c r="T380" s="211">
        <f t="shared" si="236"/>
        <v>0</v>
      </c>
      <c r="U380" s="211">
        <f t="shared" si="236"/>
        <v>0</v>
      </c>
      <c r="V380" s="211">
        <f t="shared" si="236"/>
        <v>0</v>
      </c>
      <c r="W380" s="211">
        <f t="shared" si="236"/>
        <v>0</v>
      </c>
      <c r="X380" s="211">
        <f t="shared" si="236"/>
        <v>0</v>
      </c>
      <c r="Y380" s="211">
        <f t="shared" si="236"/>
        <v>0</v>
      </c>
      <c r="Z380" s="211">
        <f t="shared" si="236"/>
        <v>0</v>
      </c>
      <c r="AA380" s="211">
        <f t="shared" si="236"/>
        <v>0</v>
      </c>
      <c r="AB380" s="211">
        <f t="shared" si="236"/>
        <v>0</v>
      </c>
      <c r="AC380" s="211">
        <f t="shared" si="236"/>
        <v>0</v>
      </c>
      <c r="AD380" s="211">
        <f t="shared" si="236"/>
        <v>0</v>
      </c>
      <c r="AE380" s="211">
        <f t="shared" si="236"/>
        <v>0</v>
      </c>
      <c r="AF380" s="211">
        <f t="shared" si="236"/>
        <v>0</v>
      </c>
      <c r="AG380" s="211">
        <f t="shared" si="236"/>
        <v>0</v>
      </c>
      <c r="AH380" s="211">
        <f t="shared" si="236"/>
        <v>0</v>
      </c>
      <c r="AI380" s="211">
        <f t="shared" si="236"/>
        <v>0</v>
      </c>
      <c r="AJ380" s="211">
        <f t="shared" si="236"/>
        <v>0</v>
      </c>
      <c r="AK380" s="211">
        <f t="shared" si="236"/>
        <v>0</v>
      </c>
      <c r="AL380" s="211">
        <f t="shared" si="236"/>
        <v>0</v>
      </c>
      <c r="AM380" s="211">
        <f t="shared" si="236"/>
        <v>0</v>
      </c>
      <c r="AN380" s="211">
        <f t="shared" si="236"/>
        <v>0</v>
      </c>
    </row>
    <row r="381" spans="2:40" s="7" customFormat="1" ht="12" hidden="1" customHeight="1" outlineLevel="2">
      <c r="B381" s="245"/>
      <c r="C381" s="213" t="s">
        <v>757</v>
      </c>
      <c r="D381" s="213"/>
      <c r="E381" s="213"/>
      <c r="F381" s="213"/>
      <c r="G381" s="213"/>
      <c r="H381" s="213"/>
      <c r="I381" s="211">
        <f>INDEX($C$349:$AN$371,MATCH("New Customers One-Time",$C$349:$C$371,0),MATCH($C381,$C$349:$AN$349,0))</f>
        <v>466</v>
      </c>
      <c r="J381" s="211">
        <f t="shared" ref="J381:AN381" si="237">$I381*(E375)</f>
        <v>0</v>
      </c>
      <c r="K381" s="211">
        <f t="shared" si="237"/>
        <v>0</v>
      </c>
      <c r="L381" s="211">
        <f t="shared" si="237"/>
        <v>0</v>
      </c>
      <c r="M381" s="211">
        <f t="shared" si="237"/>
        <v>0</v>
      </c>
      <c r="N381" s="211">
        <f t="shared" si="237"/>
        <v>0</v>
      </c>
      <c r="O381" s="211">
        <f t="shared" si="237"/>
        <v>0</v>
      </c>
      <c r="P381" s="211">
        <f t="shared" si="237"/>
        <v>0</v>
      </c>
      <c r="Q381" s="211">
        <f t="shared" si="237"/>
        <v>0</v>
      </c>
      <c r="R381" s="211">
        <f t="shared" si="237"/>
        <v>0</v>
      </c>
      <c r="S381" s="211">
        <f t="shared" si="237"/>
        <v>0</v>
      </c>
      <c r="T381" s="211">
        <f t="shared" si="237"/>
        <v>0</v>
      </c>
      <c r="U381" s="211">
        <f t="shared" si="237"/>
        <v>0</v>
      </c>
      <c r="V381" s="211">
        <f t="shared" si="237"/>
        <v>0</v>
      </c>
      <c r="W381" s="211">
        <f t="shared" si="237"/>
        <v>0</v>
      </c>
      <c r="X381" s="211">
        <f t="shared" si="237"/>
        <v>0</v>
      </c>
      <c r="Y381" s="211">
        <f t="shared" si="237"/>
        <v>0</v>
      </c>
      <c r="Z381" s="211">
        <f t="shared" si="237"/>
        <v>0</v>
      </c>
      <c r="AA381" s="211">
        <f t="shared" si="237"/>
        <v>0</v>
      </c>
      <c r="AB381" s="211">
        <f t="shared" si="237"/>
        <v>0</v>
      </c>
      <c r="AC381" s="211">
        <f t="shared" si="237"/>
        <v>0</v>
      </c>
      <c r="AD381" s="211">
        <f t="shared" si="237"/>
        <v>0</v>
      </c>
      <c r="AE381" s="211">
        <f t="shared" si="237"/>
        <v>0</v>
      </c>
      <c r="AF381" s="211">
        <f t="shared" si="237"/>
        <v>0</v>
      </c>
      <c r="AG381" s="211">
        <f t="shared" si="237"/>
        <v>0</v>
      </c>
      <c r="AH381" s="211">
        <f t="shared" si="237"/>
        <v>0</v>
      </c>
      <c r="AI381" s="211">
        <f t="shared" si="237"/>
        <v>0</v>
      </c>
      <c r="AJ381" s="211">
        <f t="shared" si="237"/>
        <v>0</v>
      </c>
      <c r="AK381" s="211">
        <f t="shared" si="237"/>
        <v>0</v>
      </c>
      <c r="AL381" s="211">
        <f t="shared" si="237"/>
        <v>0</v>
      </c>
      <c r="AM381" s="211">
        <f t="shared" si="237"/>
        <v>0</v>
      </c>
      <c r="AN381" s="211">
        <f t="shared" si="237"/>
        <v>0</v>
      </c>
    </row>
    <row r="382" spans="2:40" s="7" customFormat="1" ht="12" hidden="1" customHeight="1" outlineLevel="2">
      <c r="B382" s="245"/>
      <c r="C382" s="213" t="s">
        <v>758</v>
      </c>
      <c r="D382" s="213"/>
      <c r="E382" s="213"/>
      <c r="F382" s="213"/>
      <c r="G382" s="213"/>
      <c r="H382" s="213"/>
      <c r="I382" s="213"/>
      <c r="J382" s="211">
        <f>INDEX($C$349:$AN$371,MATCH("New Customers One-Time",$C$349:$C$371,0),MATCH($C382,$C$349:$AN$349,0))</f>
        <v>2603</v>
      </c>
      <c r="K382" s="211">
        <f t="shared" ref="K382:AN382" si="238">$J382*(E375)</f>
        <v>0</v>
      </c>
      <c r="L382" s="211">
        <f t="shared" si="238"/>
        <v>0</v>
      </c>
      <c r="M382" s="211">
        <f t="shared" si="238"/>
        <v>0</v>
      </c>
      <c r="N382" s="211">
        <f t="shared" si="238"/>
        <v>0</v>
      </c>
      <c r="O382" s="211">
        <f t="shared" si="238"/>
        <v>0</v>
      </c>
      <c r="P382" s="211">
        <f t="shared" si="238"/>
        <v>0</v>
      </c>
      <c r="Q382" s="211">
        <f t="shared" si="238"/>
        <v>0</v>
      </c>
      <c r="R382" s="211">
        <f t="shared" si="238"/>
        <v>0</v>
      </c>
      <c r="S382" s="211">
        <f t="shared" si="238"/>
        <v>0</v>
      </c>
      <c r="T382" s="211">
        <f t="shared" si="238"/>
        <v>0</v>
      </c>
      <c r="U382" s="211">
        <f t="shared" si="238"/>
        <v>0</v>
      </c>
      <c r="V382" s="211">
        <f t="shared" si="238"/>
        <v>0</v>
      </c>
      <c r="W382" s="211">
        <f t="shared" si="238"/>
        <v>0</v>
      </c>
      <c r="X382" s="211">
        <f t="shared" si="238"/>
        <v>0</v>
      </c>
      <c r="Y382" s="211">
        <f t="shared" si="238"/>
        <v>0</v>
      </c>
      <c r="Z382" s="211">
        <f t="shared" si="238"/>
        <v>0</v>
      </c>
      <c r="AA382" s="211">
        <f t="shared" si="238"/>
        <v>0</v>
      </c>
      <c r="AB382" s="211">
        <f t="shared" si="238"/>
        <v>0</v>
      </c>
      <c r="AC382" s="211">
        <f t="shared" si="238"/>
        <v>0</v>
      </c>
      <c r="AD382" s="211">
        <f t="shared" si="238"/>
        <v>0</v>
      </c>
      <c r="AE382" s="211">
        <f t="shared" si="238"/>
        <v>0</v>
      </c>
      <c r="AF382" s="211">
        <f t="shared" si="238"/>
        <v>0</v>
      </c>
      <c r="AG382" s="211">
        <f t="shared" si="238"/>
        <v>0</v>
      </c>
      <c r="AH382" s="211">
        <f t="shared" si="238"/>
        <v>0</v>
      </c>
      <c r="AI382" s="211">
        <f t="shared" si="238"/>
        <v>0</v>
      </c>
      <c r="AJ382" s="211">
        <f t="shared" si="238"/>
        <v>0</v>
      </c>
      <c r="AK382" s="211">
        <f t="shared" si="238"/>
        <v>0</v>
      </c>
      <c r="AL382" s="211">
        <f t="shared" si="238"/>
        <v>0</v>
      </c>
      <c r="AM382" s="211">
        <f t="shared" si="238"/>
        <v>0</v>
      </c>
      <c r="AN382" s="211">
        <f t="shared" si="238"/>
        <v>0</v>
      </c>
    </row>
    <row r="383" spans="2:40" s="7" customFormat="1" ht="12" hidden="1" customHeight="1" outlineLevel="2">
      <c r="B383" s="245"/>
      <c r="C383" s="213" t="s">
        <v>759</v>
      </c>
      <c r="D383" s="213"/>
      <c r="E383" s="213"/>
      <c r="F383" s="213"/>
      <c r="G383" s="213"/>
      <c r="H383" s="213"/>
      <c r="I383" s="213"/>
      <c r="J383" s="213"/>
      <c r="K383" s="211">
        <f>INDEX($C$349:$AN$371,MATCH("New Customers One-Time",$C$349:$C$371,0),MATCH($C383,$C$349:$AN$349,0))</f>
        <v>2521</v>
      </c>
      <c r="L383" s="211">
        <f t="shared" ref="L383:AN383" si="239">$K383*(E375)</f>
        <v>0</v>
      </c>
      <c r="M383" s="211">
        <f t="shared" si="239"/>
        <v>0</v>
      </c>
      <c r="N383" s="211">
        <f t="shared" si="239"/>
        <v>0</v>
      </c>
      <c r="O383" s="211">
        <f t="shared" si="239"/>
        <v>0</v>
      </c>
      <c r="P383" s="211">
        <f t="shared" si="239"/>
        <v>0</v>
      </c>
      <c r="Q383" s="211">
        <f t="shared" si="239"/>
        <v>0</v>
      </c>
      <c r="R383" s="211">
        <f t="shared" si="239"/>
        <v>0</v>
      </c>
      <c r="S383" s="211">
        <f t="shared" si="239"/>
        <v>0</v>
      </c>
      <c r="T383" s="211">
        <f t="shared" si="239"/>
        <v>0</v>
      </c>
      <c r="U383" s="211">
        <f t="shared" si="239"/>
        <v>0</v>
      </c>
      <c r="V383" s="211">
        <f t="shared" si="239"/>
        <v>0</v>
      </c>
      <c r="W383" s="211">
        <f t="shared" si="239"/>
        <v>0</v>
      </c>
      <c r="X383" s="211">
        <f t="shared" si="239"/>
        <v>0</v>
      </c>
      <c r="Y383" s="211">
        <f t="shared" si="239"/>
        <v>0</v>
      </c>
      <c r="Z383" s="211">
        <f t="shared" si="239"/>
        <v>0</v>
      </c>
      <c r="AA383" s="211">
        <f t="shared" si="239"/>
        <v>0</v>
      </c>
      <c r="AB383" s="211">
        <f t="shared" si="239"/>
        <v>0</v>
      </c>
      <c r="AC383" s="211">
        <f t="shared" si="239"/>
        <v>0</v>
      </c>
      <c r="AD383" s="211">
        <f t="shared" si="239"/>
        <v>0</v>
      </c>
      <c r="AE383" s="211">
        <f t="shared" si="239"/>
        <v>0</v>
      </c>
      <c r="AF383" s="211">
        <f t="shared" si="239"/>
        <v>0</v>
      </c>
      <c r="AG383" s="211">
        <f t="shared" si="239"/>
        <v>0</v>
      </c>
      <c r="AH383" s="211">
        <f t="shared" si="239"/>
        <v>0</v>
      </c>
      <c r="AI383" s="211">
        <f t="shared" si="239"/>
        <v>0</v>
      </c>
      <c r="AJ383" s="211">
        <f t="shared" si="239"/>
        <v>0</v>
      </c>
      <c r="AK383" s="211">
        <f t="shared" si="239"/>
        <v>0</v>
      </c>
      <c r="AL383" s="211">
        <f t="shared" si="239"/>
        <v>0</v>
      </c>
      <c r="AM383" s="211">
        <f t="shared" si="239"/>
        <v>0</v>
      </c>
      <c r="AN383" s="211">
        <f t="shared" si="239"/>
        <v>0</v>
      </c>
    </row>
    <row r="384" spans="2:40" s="7" customFormat="1" ht="12" hidden="1" customHeight="1" outlineLevel="2">
      <c r="B384" s="245"/>
      <c r="C384" s="213" t="s">
        <v>760</v>
      </c>
      <c r="D384" s="213"/>
      <c r="E384" s="213"/>
      <c r="F384" s="213"/>
      <c r="G384" s="213"/>
      <c r="H384" s="213"/>
      <c r="I384" s="213"/>
      <c r="J384" s="213"/>
      <c r="K384" s="213"/>
      <c r="L384" s="211">
        <f>INDEX($C$349:$AN$371,MATCH("New Customers One-Time",$C$349:$C$371,0),MATCH($C384,$C$349:$AN$349,0))</f>
        <v>420.17999999999995</v>
      </c>
      <c r="M384" s="211">
        <f t="shared" ref="M384:AN384" si="240">$L384*(E375)</f>
        <v>0</v>
      </c>
      <c r="N384" s="211">
        <f t="shared" si="240"/>
        <v>0</v>
      </c>
      <c r="O384" s="211">
        <f t="shared" si="240"/>
        <v>0</v>
      </c>
      <c r="P384" s="211">
        <f t="shared" si="240"/>
        <v>0</v>
      </c>
      <c r="Q384" s="211">
        <f t="shared" si="240"/>
        <v>0</v>
      </c>
      <c r="R384" s="211">
        <f t="shared" si="240"/>
        <v>0</v>
      </c>
      <c r="S384" s="211">
        <f t="shared" si="240"/>
        <v>0</v>
      </c>
      <c r="T384" s="211">
        <f t="shared" si="240"/>
        <v>0</v>
      </c>
      <c r="U384" s="211">
        <f t="shared" si="240"/>
        <v>0</v>
      </c>
      <c r="V384" s="211">
        <f t="shared" si="240"/>
        <v>0</v>
      </c>
      <c r="W384" s="211">
        <f t="shared" si="240"/>
        <v>0</v>
      </c>
      <c r="X384" s="211">
        <f t="shared" si="240"/>
        <v>0</v>
      </c>
      <c r="Y384" s="211">
        <f t="shared" si="240"/>
        <v>0</v>
      </c>
      <c r="Z384" s="211">
        <f t="shared" si="240"/>
        <v>0</v>
      </c>
      <c r="AA384" s="211">
        <f t="shared" si="240"/>
        <v>0</v>
      </c>
      <c r="AB384" s="211">
        <f t="shared" si="240"/>
        <v>0</v>
      </c>
      <c r="AC384" s="211">
        <f t="shared" si="240"/>
        <v>0</v>
      </c>
      <c r="AD384" s="211">
        <f t="shared" si="240"/>
        <v>0</v>
      </c>
      <c r="AE384" s="211">
        <f t="shared" si="240"/>
        <v>0</v>
      </c>
      <c r="AF384" s="211">
        <f t="shared" si="240"/>
        <v>0</v>
      </c>
      <c r="AG384" s="211">
        <f t="shared" si="240"/>
        <v>0</v>
      </c>
      <c r="AH384" s="211">
        <f t="shared" si="240"/>
        <v>0</v>
      </c>
      <c r="AI384" s="211">
        <f t="shared" si="240"/>
        <v>0</v>
      </c>
      <c r="AJ384" s="211">
        <f t="shared" si="240"/>
        <v>0</v>
      </c>
      <c r="AK384" s="211">
        <f t="shared" si="240"/>
        <v>0</v>
      </c>
      <c r="AL384" s="211">
        <f t="shared" si="240"/>
        <v>0</v>
      </c>
      <c r="AM384" s="211">
        <f t="shared" si="240"/>
        <v>0</v>
      </c>
      <c r="AN384" s="211">
        <f t="shared" si="240"/>
        <v>0</v>
      </c>
    </row>
    <row r="385" spans="2:40" s="7" customFormat="1" ht="12" hidden="1" customHeight="1" outlineLevel="2">
      <c r="B385" s="245"/>
      <c r="C385" s="213" t="s">
        <v>761</v>
      </c>
      <c r="D385" s="213"/>
      <c r="E385" s="213"/>
      <c r="F385" s="213"/>
      <c r="G385" s="213"/>
      <c r="H385" s="213"/>
      <c r="I385" s="213"/>
      <c r="J385" s="213"/>
      <c r="K385" s="213"/>
      <c r="L385" s="213"/>
      <c r="M385" s="211">
        <f>INDEX($C$349:$AN$371,MATCH("New Customers One-Time",$C$349:$C$371,0),MATCH($C385,$C$349:$AN$349,0))</f>
        <v>2754</v>
      </c>
      <c r="N385" s="211">
        <f t="shared" ref="N385:AN385" si="241">$M385*(E375)</f>
        <v>0</v>
      </c>
      <c r="O385" s="211">
        <f t="shared" si="241"/>
        <v>0</v>
      </c>
      <c r="P385" s="211">
        <f t="shared" si="241"/>
        <v>0</v>
      </c>
      <c r="Q385" s="211">
        <f t="shared" si="241"/>
        <v>0</v>
      </c>
      <c r="R385" s="211">
        <f t="shared" si="241"/>
        <v>0</v>
      </c>
      <c r="S385" s="211">
        <f t="shared" si="241"/>
        <v>0</v>
      </c>
      <c r="T385" s="211">
        <f t="shared" si="241"/>
        <v>0</v>
      </c>
      <c r="U385" s="211">
        <f t="shared" si="241"/>
        <v>0</v>
      </c>
      <c r="V385" s="211">
        <f t="shared" si="241"/>
        <v>0</v>
      </c>
      <c r="W385" s="211">
        <f t="shared" si="241"/>
        <v>0</v>
      </c>
      <c r="X385" s="211">
        <f t="shared" si="241"/>
        <v>0</v>
      </c>
      <c r="Y385" s="211">
        <f t="shared" si="241"/>
        <v>0</v>
      </c>
      <c r="Z385" s="211">
        <f t="shared" si="241"/>
        <v>0</v>
      </c>
      <c r="AA385" s="211">
        <f t="shared" si="241"/>
        <v>0</v>
      </c>
      <c r="AB385" s="211">
        <f t="shared" si="241"/>
        <v>0</v>
      </c>
      <c r="AC385" s="211">
        <f t="shared" si="241"/>
        <v>0</v>
      </c>
      <c r="AD385" s="211">
        <f t="shared" si="241"/>
        <v>0</v>
      </c>
      <c r="AE385" s="211">
        <f t="shared" si="241"/>
        <v>0</v>
      </c>
      <c r="AF385" s="211">
        <f t="shared" si="241"/>
        <v>0</v>
      </c>
      <c r="AG385" s="211">
        <f t="shared" si="241"/>
        <v>0</v>
      </c>
      <c r="AH385" s="211">
        <f t="shared" si="241"/>
        <v>0</v>
      </c>
      <c r="AI385" s="211">
        <f t="shared" si="241"/>
        <v>0</v>
      </c>
      <c r="AJ385" s="211">
        <f t="shared" si="241"/>
        <v>0</v>
      </c>
      <c r="AK385" s="211">
        <f t="shared" si="241"/>
        <v>0</v>
      </c>
      <c r="AL385" s="211">
        <f t="shared" si="241"/>
        <v>0</v>
      </c>
      <c r="AM385" s="211">
        <f t="shared" si="241"/>
        <v>0</v>
      </c>
      <c r="AN385" s="211">
        <f t="shared" si="241"/>
        <v>0</v>
      </c>
    </row>
    <row r="386" spans="2:40" s="7" customFormat="1" ht="12" hidden="1" customHeight="1" outlineLevel="2">
      <c r="B386" s="245"/>
      <c r="C386" s="213" t="s">
        <v>762</v>
      </c>
      <c r="D386" s="213"/>
      <c r="E386" s="213"/>
      <c r="F386" s="213"/>
      <c r="G386" s="213"/>
      <c r="H386" s="213"/>
      <c r="I386" s="213"/>
      <c r="J386" s="213"/>
      <c r="K386" s="213"/>
      <c r="L386" s="213"/>
      <c r="M386" s="213"/>
      <c r="N386" s="211">
        <f>INDEX($C$349:$AN$371,MATCH("New Customers One-Time",$C$349:$C$371,0),MATCH($C386,$C$349:$AN$349,0))</f>
        <v>2295</v>
      </c>
      <c r="O386" s="211">
        <f t="shared" ref="O386:AN386" si="242">$N386*(E375)</f>
        <v>0</v>
      </c>
      <c r="P386" s="211">
        <f t="shared" si="242"/>
        <v>0</v>
      </c>
      <c r="Q386" s="211">
        <f t="shared" si="242"/>
        <v>0</v>
      </c>
      <c r="R386" s="211">
        <f t="shared" si="242"/>
        <v>0</v>
      </c>
      <c r="S386" s="211">
        <f t="shared" si="242"/>
        <v>0</v>
      </c>
      <c r="T386" s="211">
        <f t="shared" si="242"/>
        <v>0</v>
      </c>
      <c r="U386" s="211">
        <f t="shared" si="242"/>
        <v>0</v>
      </c>
      <c r="V386" s="211">
        <f t="shared" si="242"/>
        <v>0</v>
      </c>
      <c r="W386" s="211">
        <f t="shared" si="242"/>
        <v>0</v>
      </c>
      <c r="X386" s="211">
        <f t="shared" si="242"/>
        <v>0</v>
      </c>
      <c r="Y386" s="211">
        <f t="shared" si="242"/>
        <v>0</v>
      </c>
      <c r="Z386" s="211">
        <f t="shared" si="242"/>
        <v>0</v>
      </c>
      <c r="AA386" s="211">
        <f t="shared" si="242"/>
        <v>0</v>
      </c>
      <c r="AB386" s="211">
        <f t="shared" si="242"/>
        <v>0</v>
      </c>
      <c r="AC386" s="211">
        <f t="shared" si="242"/>
        <v>0</v>
      </c>
      <c r="AD386" s="211">
        <f t="shared" si="242"/>
        <v>0</v>
      </c>
      <c r="AE386" s="211">
        <f t="shared" si="242"/>
        <v>0</v>
      </c>
      <c r="AF386" s="211">
        <f t="shared" si="242"/>
        <v>0</v>
      </c>
      <c r="AG386" s="211">
        <f t="shared" si="242"/>
        <v>0</v>
      </c>
      <c r="AH386" s="211">
        <f t="shared" si="242"/>
        <v>0</v>
      </c>
      <c r="AI386" s="211">
        <f t="shared" si="242"/>
        <v>0</v>
      </c>
      <c r="AJ386" s="211">
        <f t="shared" si="242"/>
        <v>0</v>
      </c>
      <c r="AK386" s="211">
        <f t="shared" si="242"/>
        <v>0</v>
      </c>
      <c r="AL386" s="211">
        <f t="shared" si="242"/>
        <v>0</v>
      </c>
      <c r="AM386" s="211">
        <f t="shared" si="242"/>
        <v>0</v>
      </c>
      <c r="AN386" s="211">
        <f t="shared" si="242"/>
        <v>0</v>
      </c>
    </row>
    <row r="387" spans="2:40" s="7" customFormat="1" ht="12" hidden="1" customHeight="1" outlineLevel="2">
      <c r="B387" s="245"/>
      <c r="C387" s="213" t="s">
        <v>763</v>
      </c>
      <c r="D387" s="213"/>
      <c r="E387" s="213"/>
      <c r="F387" s="213"/>
      <c r="G387" s="213"/>
      <c r="H387" s="213"/>
      <c r="I387" s="213"/>
      <c r="J387" s="213"/>
      <c r="K387" s="213"/>
      <c r="L387" s="213"/>
      <c r="M387" s="213"/>
      <c r="N387" s="213"/>
      <c r="O387" s="211">
        <f>INDEX($C$349:$AN$371,MATCH("New Customers One-Time",$C$349:$C$371,0),MATCH($C387,$C$349:$AN$349,0))</f>
        <v>1147.5</v>
      </c>
      <c r="P387" s="211">
        <f t="shared" ref="P387:AN387" si="243">$O387*(E375)</f>
        <v>0</v>
      </c>
      <c r="Q387" s="211">
        <f t="shared" si="243"/>
        <v>0</v>
      </c>
      <c r="R387" s="211">
        <f t="shared" si="243"/>
        <v>0</v>
      </c>
      <c r="S387" s="211">
        <f t="shared" si="243"/>
        <v>0</v>
      </c>
      <c r="T387" s="211">
        <f t="shared" si="243"/>
        <v>0</v>
      </c>
      <c r="U387" s="211">
        <f t="shared" si="243"/>
        <v>0</v>
      </c>
      <c r="V387" s="211">
        <f t="shared" si="243"/>
        <v>0</v>
      </c>
      <c r="W387" s="211">
        <f t="shared" si="243"/>
        <v>0</v>
      </c>
      <c r="X387" s="211">
        <f t="shared" si="243"/>
        <v>0</v>
      </c>
      <c r="Y387" s="211">
        <f t="shared" si="243"/>
        <v>0</v>
      </c>
      <c r="Z387" s="211">
        <f t="shared" si="243"/>
        <v>0</v>
      </c>
      <c r="AA387" s="211">
        <f t="shared" si="243"/>
        <v>0</v>
      </c>
      <c r="AB387" s="211">
        <f t="shared" si="243"/>
        <v>0</v>
      </c>
      <c r="AC387" s="211">
        <f t="shared" si="243"/>
        <v>0</v>
      </c>
      <c r="AD387" s="211">
        <f t="shared" si="243"/>
        <v>0</v>
      </c>
      <c r="AE387" s="211">
        <f t="shared" si="243"/>
        <v>0</v>
      </c>
      <c r="AF387" s="211">
        <f t="shared" si="243"/>
        <v>0</v>
      </c>
      <c r="AG387" s="211">
        <f t="shared" si="243"/>
        <v>0</v>
      </c>
      <c r="AH387" s="211">
        <f t="shared" si="243"/>
        <v>0</v>
      </c>
      <c r="AI387" s="211">
        <f t="shared" si="243"/>
        <v>0</v>
      </c>
      <c r="AJ387" s="211">
        <f t="shared" si="243"/>
        <v>0</v>
      </c>
      <c r="AK387" s="211">
        <f t="shared" si="243"/>
        <v>0</v>
      </c>
      <c r="AL387" s="211">
        <f t="shared" si="243"/>
        <v>0</v>
      </c>
      <c r="AM387" s="211">
        <f t="shared" si="243"/>
        <v>0</v>
      </c>
      <c r="AN387" s="211">
        <f t="shared" si="243"/>
        <v>0</v>
      </c>
    </row>
    <row r="388" spans="2:40" s="7" customFormat="1" ht="12" hidden="1" customHeight="1" outlineLevel="2">
      <c r="B388" s="245"/>
      <c r="C388" s="213" t="s">
        <v>764</v>
      </c>
      <c r="D388" s="213"/>
      <c r="E388" s="213"/>
      <c r="F388" s="213"/>
      <c r="G388" s="213"/>
      <c r="H388" s="213"/>
      <c r="I388" s="213"/>
      <c r="J388" s="213"/>
      <c r="K388" s="213"/>
      <c r="L388" s="213"/>
      <c r="M388" s="213"/>
      <c r="N388" s="213"/>
      <c r="O388" s="213"/>
      <c r="P388" s="211">
        <f>INDEX($C$349:$AN$371,MATCH("New Customers One-Time",$C$349:$C$371,0),MATCH($C388,$C$349:$AN$349,0))</f>
        <v>1147.5</v>
      </c>
      <c r="Q388" s="211">
        <f t="shared" ref="Q388:AN388" si="244">$P388*(E375)</f>
        <v>0</v>
      </c>
      <c r="R388" s="211">
        <f t="shared" si="244"/>
        <v>0</v>
      </c>
      <c r="S388" s="211">
        <f t="shared" si="244"/>
        <v>0</v>
      </c>
      <c r="T388" s="211">
        <f t="shared" si="244"/>
        <v>0</v>
      </c>
      <c r="U388" s="211">
        <f t="shared" si="244"/>
        <v>0</v>
      </c>
      <c r="V388" s="211">
        <f t="shared" si="244"/>
        <v>0</v>
      </c>
      <c r="W388" s="211">
        <f t="shared" si="244"/>
        <v>0</v>
      </c>
      <c r="X388" s="211">
        <f t="shared" si="244"/>
        <v>0</v>
      </c>
      <c r="Y388" s="211">
        <f t="shared" si="244"/>
        <v>0</v>
      </c>
      <c r="Z388" s="211">
        <f t="shared" si="244"/>
        <v>0</v>
      </c>
      <c r="AA388" s="211">
        <f t="shared" si="244"/>
        <v>0</v>
      </c>
      <c r="AB388" s="211">
        <f t="shared" si="244"/>
        <v>0</v>
      </c>
      <c r="AC388" s="211">
        <f t="shared" si="244"/>
        <v>0</v>
      </c>
      <c r="AD388" s="211">
        <f t="shared" si="244"/>
        <v>0</v>
      </c>
      <c r="AE388" s="211">
        <f t="shared" si="244"/>
        <v>0</v>
      </c>
      <c r="AF388" s="211">
        <f t="shared" si="244"/>
        <v>0</v>
      </c>
      <c r="AG388" s="211">
        <f t="shared" si="244"/>
        <v>0</v>
      </c>
      <c r="AH388" s="211">
        <f t="shared" si="244"/>
        <v>0</v>
      </c>
      <c r="AI388" s="211">
        <f t="shared" si="244"/>
        <v>0</v>
      </c>
      <c r="AJ388" s="211">
        <f t="shared" si="244"/>
        <v>0</v>
      </c>
      <c r="AK388" s="211">
        <f t="shared" si="244"/>
        <v>0</v>
      </c>
      <c r="AL388" s="211">
        <f t="shared" si="244"/>
        <v>0</v>
      </c>
      <c r="AM388" s="211">
        <f t="shared" si="244"/>
        <v>0</v>
      </c>
      <c r="AN388" s="211">
        <f t="shared" si="244"/>
        <v>0</v>
      </c>
    </row>
    <row r="389" spans="2:40" s="7" customFormat="1" ht="12" hidden="1" customHeight="1" outlineLevel="2">
      <c r="B389" s="245"/>
      <c r="C389" s="213" t="s">
        <v>765</v>
      </c>
      <c r="D389" s="213"/>
      <c r="E389" s="213"/>
      <c r="F389" s="213"/>
      <c r="G389" s="213"/>
      <c r="H389" s="213"/>
      <c r="I389" s="213"/>
      <c r="J389" s="213"/>
      <c r="K389" s="213"/>
      <c r="L389" s="213"/>
      <c r="M389" s="213"/>
      <c r="N389" s="213"/>
      <c r="O389" s="213"/>
      <c r="P389" s="213"/>
      <c r="Q389" s="211">
        <f>INDEX($C$349:$AN$371,MATCH("New Customers One-Time",$C$349:$C$371,0),MATCH($C389,$C$349:$AN$349,0))</f>
        <v>593.23608000000002</v>
      </c>
      <c r="R389" s="211">
        <f t="shared" ref="R389:AN389" si="245">$Q389*(E375)</f>
        <v>0</v>
      </c>
      <c r="S389" s="211">
        <f t="shared" si="245"/>
        <v>0</v>
      </c>
      <c r="T389" s="211">
        <f t="shared" si="245"/>
        <v>0</v>
      </c>
      <c r="U389" s="211">
        <f t="shared" si="245"/>
        <v>0</v>
      </c>
      <c r="V389" s="211">
        <f t="shared" si="245"/>
        <v>0</v>
      </c>
      <c r="W389" s="211">
        <f t="shared" si="245"/>
        <v>0</v>
      </c>
      <c r="X389" s="211">
        <f t="shared" si="245"/>
        <v>0</v>
      </c>
      <c r="Y389" s="211">
        <f t="shared" si="245"/>
        <v>0</v>
      </c>
      <c r="Z389" s="211">
        <f t="shared" si="245"/>
        <v>0</v>
      </c>
      <c r="AA389" s="211">
        <f t="shared" si="245"/>
        <v>0</v>
      </c>
      <c r="AB389" s="211">
        <f t="shared" si="245"/>
        <v>0</v>
      </c>
      <c r="AC389" s="211">
        <f t="shared" si="245"/>
        <v>0</v>
      </c>
      <c r="AD389" s="211">
        <f t="shared" si="245"/>
        <v>0</v>
      </c>
      <c r="AE389" s="211">
        <f t="shared" si="245"/>
        <v>0</v>
      </c>
      <c r="AF389" s="211">
        <f t="shared" si="245"/>
        <v>0</v>
      </c>
      <c r="AG389" s="211">
        <f t="shared" si="245"/>
        <v>0</v>
      </c>
      <c r="AH389" s="211">
        <f t="shared" si="245"/>
        <v>0</v>
      </c>
      <c r="AI389" s="211">
        <f t="shared" si="245"/>
        <v>0</v>
      </c>
      <c r="AJ389" s="211">
        <f t="shared" si="245"/>
        <v>0</v>
      </c>
      <c r="AK389" s="211">
        <f t="shared" si="245"/>
        <v>0</v>
      </c>
      <c r="AL389" s="211">
        <f t="shared" si="245"/>
        <v>0</v>
      </c>
      <c r="AM389" s="211">
        <f t="shared" si="245"/>
        <v>0</v>
      </c>
      <c r="AN389" s="211">
        <f t="shared" si="245"/>
        <v>0</v>
      </c>
    </row>
    <row r="390" spans="2:40" s="7" customFormat="1" ht="12" hidden="1" customHeight="1" outlineLevel="2">
      <c r="B390" s="245"/>
      <c r="C390" s="213" t="s">
        <v>766</v>
      </c>
      <c r="D390" s="213"/>
      <c r="E390" s="213"/>
      <c r="F390" s="213"/>
      <c r="G390" s="213"/>
      <c r="H390" s="213"/>
      <c r="I390" s="213"/>
      <c r="J390" s="213"/>
      <c r="K390" s="213"/>
      <c r="L390" s="213"/>
      <c r="M390" s="213"/>
      <c r="N390" s="213"/>
      <c r="O390" s="213"/>
      <c r="P390" s="213"/>
      <c r="Q390" s="213"/>
      <c r="R390" s="211">
        <f>INDEX($C$349:$AN$371,MATCH("New Customers One-Time",$C$349:$C$371,0),MATCH($C390,$C$349:$AN$349,0))</f>
        <v>1489.5039599999998</v>
      </c>
      <c r="S390" s="211">
        <f t="shared" ref="S390:AN390" si="246">$R390*(E375)</f>
        <v>0</v>
      </c>
      <c r="T390" s="211">
        <f t="shared" si="246"/>
        <v>0</v>
      </c>
      <c r="U390" s="211">
        <f t="shared" si="246"/>
        <v>0</v>
      </c>
      <c r="V390" s="211">
        <f t="shared" si="246"/>
        <v>0</v>
      </c>
      <c r="W390" s="211">
        <f t="shared" si="246"/>
        <v>0</v>
      </c>
      <c r="X390" s="211">
        <f t="shared" si="246"/>
        <v>0</v>
      </c>
      <c r="Y390" s="211">
        <f t="shared" si="246"/>
        <v>0</v>
      </c>
      <c r="Z390" s="211">
        <f t="shared" si="246"/>
        <v>0</v>
      </c>
      <c r="AA390" s="211">
        <f t="shared" si="246"/>
        <v>0</v>
      </c>
      <c r="AB390" s="211">
        <f t="shared" si="246"/>
        <v>0</v>
      </c>
      <c r="AC390" s="211">
        <f t="shared" si="246"/>
        <v>0</v>
      </c>
      <c r="AD390" s="211">
        <f t="shared" si="246"/>
        <v>0</v>
      </c>
      <c r="AE390" s="211">
        <f t="shared" si="246"/>
        <v>0</v>
      </c>
      <c r="AF390" s="211">
        <f t="shared" si="246"/>
        <v>0</v>
      </c>
      <c r="AG390" s="211">
        <f t="shared" si="246"/>
        <v>0</v>
      </c>
      <c r="AH390" s="211">
        <f t="shared" si="246"/>
        <v>0</v>
      </c>
      <c r="AI390" s="211">
        <f t="shared" si="246"/>
        <v>0</v>
      </c>
      <c r="AJ390" s="211">
        <f t="shared" si="246"/>
        <v>0</v>
      </c>
      <c r="AK390" s="211">
        <f t="shared" si="246"/>
        <v>0</v>
      </c>
      <c r="AL390" s="211">
        <f t="shared" si="246"/>
        <v>0</v>
      </c>
      <c r="AM390" s="211">
        <f t="shared" si="246"/>
        <v>0</v>
      </c>
      <c r="AN390" s="211">
        <f t="shared" si="246"/>
        <v>0</v>
      </c>
    </row>
    <row r="391" spans="2:40" s="7" customFormat="1" ht="12" hidden="1" customHeight="1" outlineLevel="2">
      <c r="B391" s="245"/>
      <c r="C391" s="213" t="s">
        <v>767</v>
      </c>
      <c r="D391" s="213"/>
      <c r="E391" s="213"/>
      <c r="F391" s="213"/>
      <c r="G391" s="213"/>
      <c r="H391" s="213"/>
      <c r="I391" s="213"/>
      <c r="J391" s="213"/>
      <c r="K391" s="213"/>
      <c r="L391" s="213"/>
      <c r="M391" s="213"/>
      <c r="N391" s="213"/>
      <c r="O391" s="213"/>
      <c r="P391" s="213"/>
      <c r="Q391" s="213"/>
      <c r="R391" s="213"/>
      <c r="S391" s="211">
        <f>INDEX($C$349:$AN$371,MATCH("New Customers One-Time",$C$349:$C$371,0),MATCH($C391,$C$349:$AN$349,0))</f>
        <v>1491.7102199999999</v>
      </c>
      <c r="T391" s="211">
        <f t="shared" ref="T391:AN391" si="247">$S391*(E375)</f>
        <v>0</v>
      </c>
      <c r="U391" s="211">
        <f t="shared" si="247"/>
        <v>0</v>
      </c>
      <c r="V391" s="211">
        <f t="shared" si="247"/>
        <v>0</v>
      </c>
      <c r="W391" s="211">
        <f t="shared" si="247"/>
        <v>0</v>
      </c>
      <c r="X391" s="211">
        <f t="shared" si="247"/>
        <v>0</v>
      </c>
      <c r="Y391" s="211">
        <f t="shared" si="247"/>
        <v>0</v>
      </c>
      <c r="Z391" s="211">
        <f t="shared" si="247"/>
        <v>0</v>
      </c>
      <c r="AA391" s="211">
        <f t="shared" si="247"/>
        <v>0</v>
      </c>
      <c r="AB391" s="211">
        <f t="shared" si="247"/>
        <v>0</v>
      </c>
      <c r="AC391" s="211">
        <f t="shared" si="247"/>
        <v>0</v>
      </c>
      <c r="AD391" s="211">
        <f t="shared" si="247"/>
        <v>0</v>
      </c>
      <c r="AE391" s="211">
        <f t="shared" si="247"/>
        <v>0</v>
      </c>
      <c r="AF391" s="211">
        <f t="shared" si="247"/>
        <v>0</v>
      </c>
      <c r="AG391" s="211">
        <f t="shared" si="247"/>
        <v>0</v>
      </c>
      <c r="AH391" s="211">
        <f t="shared" si="247"/>
        <v>0</v>
      </c>
      <c r="AI391" s="211">
        <f t="shared" si="247"/>
        <v>0</v>
      </c>
      <c r="AJ391" s="211">
        <f t="shared" si="247"/>
        <v>0</v>
      </c>
      <c r="AK391" s="211">
        <f t="shared" si="247"/>
        <v>0</v>
      </c>
      <c r="AL391" s="211">
        <f t="shared" si="247"/>
        <v>0</v>
      </c>
      <c r="AM391" s="211">
        <f t="shared" si="247"/>
        <v>0</v>
      </c>
      <c r="AN391" s="211">
        <f t="shared" si="247"/>
        <v>0</v>
      </c>
    </row>
    <row r="392" spans="2:40" s="7" customFormat="1" ht="12" hidden="1" customHeight="1" outlineLevel="2">
      <c r="B392" s="245"/>
      <c r="C392" s="213" t="s">
        <v>768</v>
      </c>
      <c r="D392" s="213"/>
      <c r="E392" s="213"/>
      <c r="F392" s="213"/>
      <c r="G392" s="213"/>
      <c r="H392" s="213"/>
      <c r="I392" s="213"/>
      <c r="J392" s="213"/>
      <c r="K392" s="213"/>
      <c r="L392" s="213"/>
      <c r="M392" s="213"/>
      <c r="N392" s="213"/>
      <c r="O392" s="213"/>
      <c r="P392" s="213"/>
      <c r="Q392" s="213"/>
      <c r="R392" s="213"/>
      <c r="S392" s="213"/>
      <c r="T392" s="211">
        <f>INDEX($C$349:$AN$371,MATCH("New Customers One-Time",$C$349:$C$371,0),MATCH($C392,$C$349:$AN$349,0))</f>
        <v>1006.9006499999999</v>
      </c>
      <c r="U392" s="211">
        <f t="shared" ref="U392:AN392" si="248">$T392*(E375)</f>
        <v>0</v>
      </c>
      <c r="V392" s="211">
        <f t="shared" si="248"/>
        <v>0</v>
      </c>
      <c r="W392" s="211">
        <f t="shared" si="248"/>
        <v>0</v>
      </c>
      <c r="X392" s="211">
        <f t="shared" si="248"/>
        <v>0</v>
      </c>
      <c r="Y392" s="211">
        <f t="shared" si="248"/>
        <v>0</v>
      </c>
      <c r="Z392" s="211">
        <f t="shared" si="248"/>
        <v>0</v>
      </c>
      <c r="AA392" s="211">
        <f t="shared" si="248"/>
        <v>0</v>
      </c>
      <c r="AB392" s="211">
        <f t="shared" si="248"/>
        <v>0</v>
      </c>
      <c r="AC392" s="211">
        <f t="shared" si="248"/>
        <v>0</v>
      </c>
      <c r="AD392" s="211">
        <f t="shared" si="248"/>
        <v>0</v>
      </c>
      <c r="AE392" s="211">
        <f t="shared" si="248"/>
        <v>0</v>
      </c>
      <c r="AF392" s="211">
        <f t="shared" si="248"/>
        <v>0</v>
      </c>
      <c r="AG392" s="211">
        <f t="shared" si="248"/>
        <v>0</v>
      </c>
      <c r="AH392" s="211">
        <f t="shared" si="248"/>
        <v>0</v>
      </c>
      <c r="AI392" s="211">
        <f t="shared" si="248"/>
        <v>0</v>
      </c>
      <c r="AJ392" s="211">
        <f t="shared" si="248"/>
        <v>0</v>
      </c>
      <c r="AK392" s="211">
        <f t="shared" si="248"/>
        <v>0</v>
      </c>
      <c r="AL392" s="211">
        <f t="shared" si="248"/>
        <v>0</v>
      </c>
      <c r="AM392" s="211">
        <f t="shared" si="248"/>
        <v>0</v>
      </c>
      <c r="AN392" s="211">
        <f t="shared" si="248"/>
        <v>0</v>
      </c>
    </row>
    <row r="393" spans="2:40" s="7" customFormat="1" ht="12" hidden="1" customHeight="1" outlineLevel="2">
      <c r="B393" s="245"/>
      <c r="C393" s="213" t="s">
        <v>769</v>
      </c>
      <c r="D393" s="213"/>
      <c r="E393" s="213"/>
      <c r="F393" s="213"/>
      <c r="G393" s="213"/>
      <c r="H393" s="213"/>
      <c r="I393" s="213"/>
      <c r="J393" s="213"/>
      <c r="K393" s="213"/>
      <c r="L393" s="213"/>
      <c r="M393" s="213"/>
      <c r="N393" s="213"/>
      <c r="O393" s="213"/>
      <c r="P393" s="213"/>
      <c r="Q393" s="213"/>
      <c r="R393" s="213"/>
      <c r="S393" s="213"/>
      <c r="T393" s="213"/>
      <c r="U393" s="211">
        <f>INDEX($C$349:$AN$371,MATCH("New Customers One-Time",$C$349:$C$371,0),MATCH($C393,$C$349:$AN$349,0))</f>
        <v>779.14102500000001</v>
      </c>
      <c r="V393" s="211">
        <f t="shared" ref="V393:AN393" si="249">$U393*(E375)</f>
        <v>0</v>
      </c>
      <c r="W393" s="211">
        <f t="shared" si="249"/>
        <v>0</v>
      </c>
      <c r="X393" s="211">
        <f t="shared" si="249"/>
        <v>0</v>
      </c>
      <c r="Y393" s="211">
        <f t="shared" si="249"/>
        <v>0</v>
      </c>
      <c r="Z393" s="211">
        <f t="shared" si="249"/>
        <v>0</v>
      </c>
      <c r="AA393" s="211">
        <f t="shared" si="249"/>
        <v>0</v>
      </c>
      <c r="AB393" s="211">
        <f t="shared" si="249"/>
        <v>0</v>
      </c>
      <c r="AC393" s="211">
        <f t="shared" si="249"/>
        <v>0</v>
      </c>
      <c r="AD393" s="211">
        <f t="shared" si="249"/>
        <v>0</v>
      </c>
      <c r="AE393" s="211">
        <f t="shared" si="249"/>
        <v>0</v>
      </c>
      <c r="AF393" s="211">
        <f t="shared" si="249"/>
        <v>0</v>
      </c>
      <c r="AG393" s="211">
        <f t="shared" si="249"/>
        <v>0</v>
      </c>
      <c r="AH393" s="211">
        <f t="shared" si="249"/>
        <v>0</v>
      </c>
      <c r="AI393" s="211">
        <f t="shared" si="249"/>
        <v>0</v>
      </c>
      <c r="AJ393" s="211">
        <f t="shared" si="249"/>
        <v>0</v>
      </c>
      <c r="AK393" s="211">
        <f t="shared" si="249"/>
        <v>0</v>
      </c>
      <c r="AL393" s="211">
        <f t="shared" si="249"/>
        <v>0</v>
      </c>
      <c r="AM393" s="211">
        <f t="shared" si="249"/>
        <v>0</v>
      </c>
      <c r="AN393" s="211">
        <f t="shared" si="249"/>
        <v>0</v>
      </c>
    </row>
    <row r="394" spans="2:40" s="7" customFormat="1" ht="12" hidden="1" customHeight="1" outlineLevel="2">
      <c r="B394" s="245"/>
      <c r="C394" s="213" t="s">
        <v>770</v>
      </c>
      <c r="D394" s="213"/>
      <c r="E394" s="213"/>
      <c r="F394" s="213"/>
      <c r="G394" s="213"/>
      <c r="H394" s="213"/>
      <c r="I394" s="213"/>
      <c r="J394" s="213"/>
      <c r="K394" s="213"/>
      <c r="L394" s="213"/>
      <c r="M394" s="213"/>
      <c r="N394" s="213"/>
      <c r="O394" s="213"/>
      <c r="P394" s="213"/>
      <c r="Q394" s="213"/>
      <c r="R394" s="213"/>
      <c r="S394" s="213"/>
      <c r="T394" s="213"/>
      <c r="U394" s="213"/>
      <c r="V394" s="211">
        <f>INDEX($C$349:$AN$371,MATCH("New Customers One-Time",$C$349:$C$371,0),MATCH($C394,$C$349:$AN$349,0))</f>
        <v>2183.2908749999997</v>
      </c>
      <c r="W394" s="211">
        <f t="shared" ref="W394:AN394" si="250">$V394*(E375)</f>
        <v>0</v>
      </c>
      <c r="X394" s="211">
        <f t="shared" si="250"/>
        <v>0</v>
      </c>
      <c r="Y394" s="211">
        <f t="shared" si="250"/>
        <v>0</v>
      </c>
      <c r="Z394" s="211">
        <f t="shared" si="250"/>
        <v>0</v>
      </c>
      <c r="AA394" s="211">
        <f t="shared" si="250"/>
        <v>0</v>
      </c>
      <c r="AB394" s="211">
        <f t="shared" si="250"/>
        <v>0</v>
      </c>
      <c r="AC394" s="211">
        <f t="shared" si="250"/>
        <v>0</v>
      </c>
      <c r="AD394" s="211">
        <f t="shared" si="250"/>
        <v>0</v>
      </c>
      <c r="AE394" s="211">
        <f t="shared" si="250"/>
        <v>0</v>
      </c>
      <c r="AF394" s="211">
        <f t="shared" si="250"/>
        <v>0</v>
      </c>
      <c r="AG394" s="211">
        <f t="shared" si="250"/>
        <v>0</v>
      </c>
      <c r="AH394" s="211">
        <f t="shared" si="250"/>
        <v>0</v>
      </c>
      <c r="AI394" s="211">
        <f t="shared" si="250"/>
        <v>0</v>
      </c>
      <c r="AJ394" s="211">
        <f t="shared" si="250"/>
        <v>0</v>
      </c>
      <c r="AK394" s="211">
        <f t="shared" si="250"/>
        <v>0</v>
      </c>
      <c r="AL394" s="211">
        <f t="shared" si="250"/>
        <v>0</v>
      </c>
      <c r="AM394" s="211">
        <f t="shared" si="250"/>
        <v>0</v>
      </c>
      <c r="AN394" s="211">
        <f t="shared" si="250"/>
        <v>0</v>
      </c>
    </row>
    <row r="395" spans="2:40" s="7" customFormat="1" ht="12" hidden="1" customHeight="1" outlineLevel="2">
      <c r="B395" s="245"/>
      <c r="C395" s="213" t="s">
        <v>771</v>
      </c>
      <c r="D395" s="213"/>
      <c r="E395" s="213"/>
      <c r="F395" s="213"/>
      <c r="G395" s="213"/>
      <c r="H395" s="213"/>
      <c r="I395" s="213"/>
      <c r="J395" s="213"/>
      <c r="K395" s="213"/>
      <c r="L395" s="213"/>
      <c r="M395" s="213"/>
      <c r="N395" s="213"/>
      <c r="O395" s="213"/>
      <c r="P395" s="213"/>
      <c r="Q395" s="213"/>
      <c r="R395" s="213"/>
      <c r="S395" s="213"/>
      <c r="T395" s="213"/>
      <c r="U395" s="213"/>
      <c r="V395" s="213"/>
      <c r="W395" s="211">
        <f>INDEX($C$349:$AN$371,MATCH("New Customers One-Time",$C$349:$C$371,0),MATCH($C395,$C$349:$AN$349,0))</f>
        <v>860.46817499999997</v>
      </c>
      <c r="X395" s="211">
        <f t="shared" ref="X395:AN395" si="251">$W395*(E375)</f>
        <v>0</v>
      </c>
      <c r="Y395" s="211">
        <f t="shared" si="251"/>
        <v>0</v>
      </c>
      <c r="Z395" s="211">
        <f t="shared" si="251"/>
        <v>0</v>
      </c>
      <c r="AA395" s="211">
        <f t="shared" si="251"/>
        <v>0</v>
      </c>
      <c r="AB395" s="211">
        <f t="shared" si="251"/>
        <v>0</v>
      </c>
      <c r="AC395" s="211">
        <f t="shared" si="251"/>
        <v>0</v>
      </c>
      <c r="AD395" s="211">
        <f t="shared" si="251"/>
        <v>0</v>
      </c>
      <c r="AE395" s="211">
        <f t="shared" si="251"/>
        <v>0</v>
      </c>
      <c r="AF395" s="211">
        <f t="shared" si="251"/>
        <v>0</v>
      </c>
      <c r="AG395" s="211">
        <f t="shared" si="251"/>
        <v>0</v>
      </c>
      <c r="AH395" s="211">
        <f t="shared" si="251"/>
        <v>0</v>
      </c>
      <c r="AI395" s="211">
        <f t="shared" si="251"/>
        <v>0</v>
      </c>
      <c r="AJ395" s="211">
        <f t="shared" si="251"/>
        <v>0</v>
      </c>
      <c r="AK395" s="211">
        <f t="shared" si="251"/>
        <v>0</v>
      </c>
      <c r="AL395" s="211">
        <f t="shared" si="251"/>
        <v>0</v>
      </c>
      <c r="AM395" s="211">
        <f t="shared" si="251"/>
        <v>0</v>
      </c>
      <c r="AN395" s="211">
        <f t="shared" si="251"/>
        <v>0</v>
      </c>
    </row>
    <row r="396" spans="2:40" s="7" customFormat="1" ht="12" hidden="1" customHeight="1" outlineLevel="2">
      <c r="B396" s="245"/>
      <c r="C396" s="213" t="s">
        <v>772</v>
      </c>
      <c r="D396" s="213"/>
      <c r="E396" s="213"/>
      <c r="F396" s="213"/>
      <c r="G396" s="213"/>
      <c r="H396" s="213"/>
      <c r="I396" s="213"/>
      <c r="J396" s="213"/>
      <c r="K396" s="213"/>
      <c r="L396" s="213"/>
      <c r="M396" s="213"/>
      <c r="N396" s="213"/>
      <c r="O396" s="213"/>
      <c r="P396" s="213"/>
      <c r="Q396" s="213"/>
      <c r="R396" s="213"/>
      <c r="S396" s="213"/>
      <c r="T396" s="213"/>
      <c r="U396" s="213"/>
      <c r="V396" s="213"/>
      <c r="W396" s="213"/>
      <c r="X396" s="211">
        <f>INDEX($C$349:$AN$371,MATCH("New Customers One-Time",$C$349:$C$371,0),MATCH($C396,$C$349:$AN$349,0))</f>
        <v>748.80877500000008</v>
      </c>
      <c r="Y396" s="211">
        <f t="shared" ref="Y396:AN396" si="252">$X396*(E375)</f>
        <v>0</v>
      </c>
      <c r="Z396" s="211">
        <f t="shared" si="252"/>
        <v>0</v>
      </c>
      <c r="AA396" s="211">
        <f t="shared" si="252"/>
        <v>0</v>
      </c>
      <c r="AB396" s="211">
        <f t="shared" si="252"/>
        <v>0</v>
      </c>
      <c r="AC396" s="211">
        <f t="shared" si="252"/>
        <v>0</v>
      </c>
      <c r="AD396" s="211">
        <f t="shared" si="252"/>
        <v>0</v>
      </c>
      <c r="AE396" s="211">
        <f t="shared" si="252"/>
        <v>0</v>
      </c>
      <c r="AF396" s="211">
        <f t="shared" si="252"/>
        <v>0</v>
      </c>
      <c r="AG396" s="211">
        <f t="shared" si="252"/>
        <v>0</v>
      </c>
      <c r="AH396" s="211">
        <f t="shared" si="252"/>
        <v>0</v>
      </c>
      <c r="AI396" s="211">
        <f t="shared" si="252"/>
        <v>0</v>
      </c>
      <c r="AJ396" s="211">
        <f t="shared" si="252"/>
        <v>0</v>
      </c>
      <c r="AK396" s="211">
        <f t="shared" si="252"/>
        <v>0</v>
      </c>
      <c r="AL396" s="211">
        <f t="shared" si="252"/>
        <v>0</v>
      </c>
      <c r="AM396" s="211">
        <f t="shared" si="252"/>
        <v>0</v>
      </c>
      <c r="AN396" s="211">
        <f t="shared" si="252"/>
        <v>0</v>
      </c>
    </row>
    <row r="397" spans="2:40" s="7" customFormat="1" ht="12" hidden="1" customHeight="1" outlineLevel="2">
      <c r="B397" s="245"/>
      <c r="C397" s="213" t="s">
        <v>773</v>
      </c>
      <c r="D397" s="213"/>
      <c r="E397" s="213"/>
      <c r="F397" s="213"/>
      <c r="G397" s="213"/>
      <c r="H397" s="213"/>
      <c r="I397" s="213"/>
      <c r="J397" s="213"/>
      <c r="K397" s="213"/>
      <c r="L397" s="213"/>
      <c r="M397" s="213"/>
      <c r="N397" s="213"/>
      <c r="O397" s="213"/>
      <c r="P397" s="213"/>
      <c r="Q397" s="213"/>
      <c r="R397" s="213"/>
      <c r="S397" s="213"/>
      <c r="T397" s="213"/>
      <c r="U397" s="213"/>
      <c r="V397" s="213"/>
      <c r="W397" s="213"/>
      <c r="X397" s="213"/>
      <c r="Y397" s="211">
        <f>INDEX($C$349:$AN$371,MATCH("New Customers One-Time",$C$349:$C$371,0),MATCH($C397,$C$349:$AN$349,0))</f>
        <v>2983.5</v>
      </c>
      <c r="Z397" s="211">
        <f t="shared" ref="Z397:AN397" si="253">$Y397*(E375)</f>
        <v>0</v>
      </c>
      <c r="AA397" s="211">
        <f t="shared" si="253"/>
        <v>0</v>
      </c>
      <c r="AB397" s="211">
        <f t="shared" si="253"/>
        <v>0</v>
      </c>
      <c r="AC397" s="211">
        <f t="shared" si="253"/>
        <v>0</v>
      </c>
      <c r="AD397" s="211">
        <f t="shared" si="253"/>
        <v>0</v>
      </c>
      <c r="AE397" s="211">
        <f t="shared" si="253"/>
        <v>0</v>
      </c>
      <c r="AF397" s="211">
        <f t="shared" si="253"/>
        <v>0</v>
      </c>
      <c r="AG397" s="211">
        <f t="shared" si="253"/>
        <v>0</v>
      </c>
      <c r="AH397" s="211">
        <f t="shared" si="253"/>
        <v>0</v>
      </c>
      <c r="AI397" s="211">
        <f t="shared" si="253"/>
        <v>0</v>
      </c>
      <c r="AJ397" s="211">
        <f t="shared" si="253"/>
        <v>0</v>
      </c>
      <c r="AK397" s="211">
        <f t="shared" si="253"/>
        <v>0</v>
      </c>
      <c r="AL397" s="211">
        <f t="shared" si="253"/>
        <v>0</v>
      </c>
      <c r="AM397" s="211">
        <f t="shared" si="253"/>
        <v>0</v>
      </c>
      <c r="AN397" s="211">
        <f t="shared" si="253"/>
        <v>0</v>
      </c>
    </row>
    <row r="398" spans="2:40" s="7" customFormat="1" ht="12" hidden="1" customHeight="1" outlineLevel="2">
      <c r="B398" s="245"/>
      <c r="C398" s="213" t="s">
        <v>774</v>
      </c>
      <c r="D398" s="213"/>
      <c r="E398" s="213"/>
      <c r="F398" s="213"/>
      <c r="G398" s="213"/>
      <c r="H398" s="213"/>
      <c r="I398" s="213"/>
      <c r="J398" s="213"/>
      <c r="K398" s="213"/>
      <c r="L398" s="213"/>
      <c r="M398" s="213"/>
      <c r="N398" s="213"/>
      <c r="O398" s="213"/>
      <c r="P398" s="213"/>
      <c r="Q398" s="213"/>
      <c r="R398" s="213"/>
      <c r="S398" s="213"/>
      <c r="T398" s="213"/>
      <c r="U398" s="213"/>
      <c r="V398" s="213"/>
      <c r="W398" s="213"/>
      <c r="X398" s="213"/>
      <c r="Y398" s="213"/>
      <c r="Z398" s="211">
        <f>INDEX($C$349:$AN$371,MATCH("New Customers One-Time",$C$349:$C$371,0),MATCH($C398,$C$349:$AN$349,0))</f>
        <v>2754</v>
      </c>
      <c r="AA398" s="211">
        <f t="shared" ref="AA398:AN398" si="254">$Z398*(E375)</f>
        <v>0</v>
      </c>
      <c r="AB398" s="211">
        <f t="shared" si="254"/>
        <v>0</v>
      </c>
      <c r="AC398" s="211">
        <f t="shared" si="254"/>
        <v>0</v>
      </c>
      <c r="AD398" s="211">
        <f t="shared" si="254"/>
        <v>0</v>
      </c>
      <c r="AE398" s="211">
        <f t="shared" si="254"/>
        <v>0</v>
      </c>
      <c r="AF398" s="211">
        <f t="shared" si="254"/>
        <v>0</v>
      </c>
      <c r="AG398" s="211">
        <f t="shared" si="254"/>
        <v>0</v>
      </c>
      <c r="AH398" s="211">
        <f t="shared" si="254"/>
        <v>0</v>
      </c>
      <c r="AI398" s="211">
        <f t="shared" si="254"/>
        <v>0</v>
      </c>
      <c r="AJ398" s="211">
        <f t="shared" si="254"/>
        <v>0</v>
      </c>
      <c r="AK398" s="211">
        <f t="shared" si="254"/>
        <v>0</v>
      </c>
      <c r="AL398" s="211">
        <f t="shared" si="254"/>
        <v>0</v>
      </c>
      <c r="AM398" s="211">
        <f t="shared" si="254"/>
        <v>0</v>
      </c>
      <c r="AN398" s="211">
        <f t="shared" si="254"/>
        <v>0</v>
      </c>
    </row>
    <row r="399" spans="2:40" s="7" customFormat="1" ht="12" hidden="1" customHeight="1" outlineLevel="2">
      <c r="B399" s="245"/>
      <c r="C399" s="213" t="s">
        <v>775</v>
      </c>
      <c r="D399" s="213"/>
      <c r="E399" s="213"/>
      <c r="F399" s="213"/>
      <c r="G399" s="213"/>
      <c r="H399" s="213"/>
      <c r="I399" s="213"/>
      <c r="J399" s="213"/>
      <c r="K399" s="213"/>
      <c r="L399" s="213"/>
      <c r="M399" s="213"/>
      <c r="N399" s="213"/>
      <c r="O399" s="213"/>
      <c r="P399" s="213"/>
      <c r="Q399" s="213"/>
      <c r="R399" s="213"/>
      <c r="S399" s="213"/>
      <c r="T399" s="213"/>
      <c r="U399" s="213"/>
      <c r="V399" s="213"/>
      <c r="W399" s="213"/>
      <c r="X399" s="213"/>
      <c r="Y399" s="213"/>
      <c r="Z399" s="213"/>
      <c r="AA399" s="211">
        <f>INDEX($C$349:$AN$371,MATCH("New Customers One-Time",$C$349:$C$371,0),MATCH($C399,$C$349:$AN$349,0))</f>
        <v>918</v>
      </c>
      <c r="AB399" s="211">
        <f t="shared" ref="AB399:AN399" si="255">$AA399*(E375)</f>
        <v>0</v>
      </c>
      <c r="AC399" s="211">
        <f t="shared" si="255"/>
        <v>0</v>
      </c>
      <c r="AD399" s="211">
        <f t="shared" si="255"/>
        <v>0</v>
      </c>
      <c r="AE399" s="211">
        <f t="shared" si="255"/>
        <v>0</v>
      </c>
      <c r="AF399" s="211">
        <f t="shared" si="255"/>
        <v>0</v>
      </c>
      <c r="AG399" s="211">
        <f t="shared" si="255"/>
        <v>0</v>
      </c>
      <c r="AH399" s="211">
        <f t="shared" si="255"/>
        <v>0</v>
      </c>
      <c r="AI399" s="211">
        <f t="shared" si="255"/>
        <v>0</v>
      </c>
      <c r="AJ399" s="211">
        <f t="shared" si="255"/>
        <v>0</v>
      </c>
      <c r="AK399" s="211">
        <f t="shared" si="255"/>
        <v>0</v>
      </c>
      <c r="AL399" s="211">
        <f t="shared" si="255"/>
        <v>0</v>
      </c>
      <c r="AM399" s="211">
        <f t="shared" si="255"/>
        <v>0</v>
      </c>
      <c r="AN399" s="211">
        <f t="shared" si="255"/>
        <v>0</v>
      </c>
    </row>
    <row r="400" spans="2:40" s="7" customFormat="1" ht="12" hidden="1" customHeight="1" outlineLevel="2">
      <c r="B400" s="245"/>
      <c r="C400" s="213" t="s">
        <v>776</v>
      </c>
      <c r="D400" s="213"/>
      <c r="E400" s="213"/>
      <c r="F400" s="213"/>
      <c r="G400" s="213"/>
      <c r="H400" s="213"/>
      <c r="I400" s="213"/>
      <c r="J400" s="213"/>
      <c r="K400" s="213"/>
      <c r="L400" s="213"/>
      <c r="M400" s="213"/>
      <c r="N400" s="213"/>
      <c r="O400" s="213"/>
      <c r="P400" s="213"/>
      <c r="Q400" s="213"/>
      <c r="R400" s="213"/>
      <c r="S400" s="213"/>
      <c r="T400" s="213"/>
      <c r="U400" s="213"/>
      <c r="V400" s="213"/>
      <c r="W400" s="213"/>
      <c r="X400" s="213"/>
      <c r="Y400" s="213"/>
      <c r="Z400" s="213"/>
      <c r="AA400" s="213"/>
      <c r="AB400" s="211">
        <f>INDEX($C$349:$AN$371,MATCH("New Customers One-Time",$C$349:$C$371,0),MATCH($C400,$C$349:$AN$349,0))</f>
        <v>918</v>
      </c>
      <c r="AC400" s="211">
        <f t="shared" ref="AC400:AN400" si="256">$AB400*(E375)</f>
        <v>0</v>
      </c>
      <c r="AD400" s="211">
        <f t="shared" si="256"/>
        <v>0</v>
      </c>
      <c r="AE400" s="211">
        <f t="shared" si="256"/>
        <v>0</v>
      </c>
      <c r="AF400" s="211">
        <f t="shared" si="256"/>
        <v>0</v>
      </c>
      <c r="AG400" s="211">
        <f t="shared" si="256"/>
        <v>0</v>
      </c>
      <c r="AH400" s="211">
        <f t="shared" si="256"/>
        <v>0</v>
      </c>
      <c r="AI400" s="211">
        <f t="shared" si="256"/>
        <v>0</v>
      </c>
      <c r="AJ400" s="211">
        <f t="shared" si="256"/>
        <v>0</v>
      </c>
      <c r="AK400" s="211">
        <f t="shared" si="256"/>
        <v>0</v>
      </c>
      <c r="AL400" s="211">
        <f t="shared" si="256"/>
        <v>0</v>
      </c>
      <c r="AM400" s="211">
        <f t="shared" si="256"/>
        <v>0</v>
      </c>
      <c r="AN400" s="211">
        <f t="shared" si="256"/>
        <v>0</v>
      </c>
    </row>
    <row r="401" spans="2:40" s="7" customFormat="1" ht="12" hidden="1" customHeight="1" outlineLevel="2">
      <c r="B401" s="245"/>
      <c r="C401" s="213" t="s">
        <v>777</v>
      </c>
      <c r="D401" s="213"/>
      <c r="E401" s="213"/>
      <c r="F401" s="213"/>
      <c r="G401" s="213"/>
      <c r="H401" s="213"/>
      <c r="I401" s="213"/>
      <c r="J401" s="213"/>
      <c r="K401" s="213"/>
      <c r="L401" s="213"/>
      <c r="M401" s="213"/>
      <c r="N401" s="213"/>
      <c r="O401" s="213"/>
      <c r="P401" s="213"/>
      <c r="Q401" s="213"/>
      <c r="R401" s="213"/>
      <c r="S401" s="213"/>
      <c r="T401" s="213"/>
      <c r="U401" s="213"/>
      <c r="V401" s="213"/>
      <c r="W401" s="213"/>
      <c r="X401" s="213"/>
      <c r="Y401" s="213"/>
      <c r="Z401" s="213"/>
      <c r="AA401" s="213"/>
      <c r="AB401" s="211"/>
      <c r="AC401" s="211">
        <f>INDEX($C$349:$AN$371,MATCH("New Customers One-Time",$C$349:$C$371,0),MATCH($C401,$C$349:$AN$349,0))</f>
        <v>889.85411999999997</v>
      </c>
      <c r="AD401" s="211">
        <f t="shared" ref="AD401:AN401" si="257">$AC401*(E375)</f>
        <v>0</v>
      </c>
      <c r="AE401" s="211">
        <f t="shared" si="257"/>
        <v>0</v>
      </c>
      <c r="AF401" s="211">
        <f t="shared" si="257"/>
        <v>0</v>
      </c>
      <c r="AG401" s="211">
        <f t="shared" si="257"/>
        <v>0</v>
      </c>
      <c r="AH401" s="211">
        <f t="shared" si="257"/>
        <v>0</v>
      </c>
      <c r="AI401" s="211">
        <f t="shared" si="257"/>
        <v>0</v>
      </c>
      <c r="AJ401" s="211">
        <f t="shared" si="257"/>
        <v>0</v>
      </c>
      <c r="AK401" s="211">
        <f t="shared" si="257"/>
        <v>0</v>
      </c>
      <c r="AL401" s="211">
        <f t="shared" si="257"/>
        <v>0</v>
      </c>
      <c r="AM401" s="211">
        <f t="shared" si="257"/>
        <v>0</v>
      </c>
      <c r="AN401" s="211">
        <f t="shared" si="257"/>
        <v>0</v>
      </c>
    </row>
    <row r="402" spans="2:40" s="7" customFormat="1" ht="12" hidden="1" customHeight="1" outlineLevel="2">
      <c r="B402" s="245"/>
      <c r="C402" s="213" t="s">
        <v>778</v>
      </c>
      <c r="D402" s="213"/>
      <c r="E402" s="213"/>
      <c r="F402" s="213"/>
      <c r="G402" s="213"/>
      <c r="H402" s="213"/>
      <c r="I402" s="213"/>
      <c r="J402" s="213"/>
      <c r="K402" s="213"/>
      <c r="L402" s="213"/>
      <c r="M402" s="213"/>
      <c r="N402" s="213"/>
      <c r="O402" s="213"/>
      <c r="P402" s="213"/>
      <c r="Q402" s="213"/>
      <c r="R402" s="213"/>
      <c r="S402" s="213"/>
      <c r="T402" s="213"/>
      <c r="U402" s="213"/>
      <c r="V402" s="213"/>
      <c r="W402" s="213"/>
      <c r="X402" s="213"/>
      <c r="Y402" s="213"/>
      <c r="Z402" s="213"/>
      <c r="AA402" s="213"/>
      <c r="AB402" s="211"/>
      <c r="AC402" s="211"/>
      <c r="AD402" s="211">
        <f>INDEX($C$349:$AN$371,MATCH("New Customers One-Time",$C$349:$C$371,0),MATCH($C402,$C$349:$AN$349,0))</f>
        <v>2234.2559399999996</v>
      </c>
      <c r="AE402" s="211">
        <f t="shared" ref="AE402:AN402" si="258">$AD402*(E375)</f>
        <v>0</v>
      </c>
      <c r="AF402" s="211">
        <f t="shared" si="258"/>
        <v>0</v>
      </c>
      <c r="AG402" s="211">
        <f t="shared" si="258"/>
        <v>0</v>
      </c>
      <c r="AH402" s="211">
        <f t="shared" si="258"/>
        <v>0</v>
      </c>
      <c r="AI402" s="211">
        <f t="shared" si="258"/>
        <v>0</v>
      </c>
      <c r="AJ402" s="211">
        <f t="shared" si="258"/>
        <v>0</v>
      </c>
      <c r="AK402" s="211">
        <f t="shared" si="258"/>
        <v>0</v>
      </c>
      <c r="AL402" s="211">
        <f t="shared" si="258"/>
        <v>0</v>
      </c>
      <c r="AM402" s="211">
        <f t="shared" si="258"/>
        <v>0</v>
      </c>
      <c r="AN402" s="211">
        <f t="shared" si="258"/>
        <v>0</v>
      </c>
    </row>
    <row r="403" spans="2:40" s="7" customFormat="1" ht="12" hidden="1" customHeight="1" outlineLevel="2">
      <c r="B403" s="245"/>
      <c r="C403" s="213" t="s">
        <v>779</v>
      </c>
      <c r="D403" s="213"/>
      <c r="E403" s="213"/>
      <c r="F403" s="213"/>
      <c r="G403" s="213"/>
      <c r="H403" s="213"/>
      <c r="I403" s="213"/>
      <c r="J403" s="213"/>
      <c r="K403" s="213"/>
      <c r="L403" s="213"/>
      <c r="M403" s="213"/>
      <c r="N403" s="213"/>
      <c r="O403" s="213"/>
      <c r="P403" s="213"/>
      <c r="Q403" s="213"/>
      <c r="R403" s="213"/>
      <c r="S403" s="213"/>
      <c r="T403" s="213"/>
      <c r="U403" s="213"/>
      <c r="V403" s="213"/>
      <c r="W403" s="213"/>
      <c r="X403" s="213"/>
      <c r="Y403" s="213"/>
      <c r="Z403" s="213"/>
      <c r="AA403" s="213"/>
      <c r="AB403" s="211"/>
      <c r="AC403" s="211"/>
      <c r="AD403" s="211"/>
      <c r="AE403" s="211">
        <f>INDEX($C$349:$AN$371,MATCH("New Customers One-Time",$C$349:$C$371,0),MATCH($C403,$C$349:$AN$349,0))</f>
        <v>1758.0870450000007</v>
      </c>
      <c r="AF403" s="211">
        <f t="shared" ref="AF403:AN403" si="259">$AE403*(E375)</f>
        <v>0</v>
      </c>
      <c r="AG403" s="211">
        <f t="shared" si="259"/>
        <v>0</v>
      </c>
      <c r="AH403" s="211">
        <f t="shared" si="259"/>
        <v>0</v>
      </c>
      <c r="AI403" s="211">
        <f t="shared" si="259"/>
        <v>0</v>
      </c>
      <c r="AJ403" s="211">
        <f t="shared" si="259"/>
        <v>0</v>
      </c>
      <c r="AK403" s="211">
        <f t="shared" si="259"/>
        <v>0</v>
      </c>
      <c r="AL403" s="211">
        <f t="shared" si="259"/>
        <v>0</v>
      </c>
      <c r="AM403" s="211">
        <f t="shared" si="259"/>
        <v>0</v>
      </c>
      <c r="AN403" s="211">
        <f t="shared" si="259"/>
        <v>0</v>
      </c>
    </row>
    <row r="404" spans="2:40" s="7" customFormat="1" ht="12" hidden="1" customHeight="1" outlineLevel="2">
      <c r="B404" s="245"/>
      <c r="C404" s="213" t="s">
        <v>780</v>
      </c>
      <c r="D404" s="213"/>
      <c r="E404" s="213"/>
      <c r="F404" s="213"/>
      <c r="G404" s="213"/>
      <c r="H404" s="213"/>
      <c r="I404" s="213"/>
      <c r="J404" s="213"/>
      <c r="K404" s="213"/>
      <c r="L404" s="213"/>
      <c r="M404" s="213"/>
      <c r="N404" s="213"/>
      <c r="O404" s="213"/>
      <c r="P404" s="213"/>
      <c r="Q404" s="213"/>
      <c r="R404" s="213"/>
      <c r="S404" s="213"/>
      <c r="T404" s="213"/>
      <c r="U404" s="213"/>
      <c r="V404" s="213"/>
      <c r="W404" s="213"/>
      <c r="X404" s="213"/>
      <c r="Y404" s="213"/>
      <c r="Z404" s="213"/>
      <c r="AA404" s="213"/>
      <c r="AB404" s="211"/>
      <c r="AC404" s="211"/>
      <c r="AD404" s="211"/>
      <c r="AE404" s="211"/>
      <c r="AF404" s="211">
        <f>INDEX($C$349:$AN$371,MATCH("New Customers One-Time",$C$349:$C$371,0),MATCH($C404,$C$349:$AN$349,0))</f>
        <v>1107.590715</v>
      </c>
      <c r="AG404" s="211">
        <f t="shared" ref="AG404:AN404" si="260">$AF404*(E375)</f>
        <v>0</v>
      </c>
      <c r="AH404" s="211">
        <f t="shared" si="260"/>
        <v>0</v>
      </c>
      <c r="AI404" s="211">
        <f t="shared" si="260"/>
        <v>0</v>
      </c>
      <c r="AJ404" s="211">
        <f t="shared" si="260"/>
        <v>0</v>
      </c>
      <c r="AK404" s="211">
        <f t="shared" si="260"/>
        <v>0</v>
      </c>
      <c r="AL404" s="211">
        <f t="shared" si="260"/>
        <v>0</v>
      </c>
      <c r="AM404" s="211">
        <f t="shared" si="260"/>
        <v>0</v>
      </c>
      <c r="AN404" s="211">
        <f t="shared" si="260"/>
        <v>0</v>
      </c>
    </row>
    <row r="405" spans="2:40" s="7" customFormat="1" ht="12" hidden="1" customHeight="1" outlineLevel="2">
      <c r="B405" s="245"/>
      <c r="C405" s="213" t="s">
        <v>781</v>
      </c>
      <c r="D405" s="213"/>
      <c r="E405" s="213"/>
      <c r="F405" s="213"/>
      <c r="G405" s="213"/>
      <c r="H405" s="213"/>
      <c r="I405" s="213"/>
      <c r="J405" s="213"/>
      <c r="K405" s="213"/>
      <c r="L405" s="213"/>
      <c r="M405" s="213"/>
      <c r="N405" s="213"/>
      <c r="O405" s="213"/>
      <c r="P405" s="213"/>
      <c r="Q405" s="213"/>
      <c r="R405" s="213"/>
      <c r="S405" s="213"/>
      <c r="T405" s="213"/>
      <c r="U405" s="213"/>
      <c r="V405" s="213"/>
      <c r="W405" s="213"/>
      <c r="X405" s="213"/>
      <c r="Y405" s="213"/>
      <c r="Z405" s="213"/>
      <c r="AA405" s="213"/>
      <c r="AB405" s="211"/>
      <c r="AC405" s="211"/>
      <c r="AD405" s="211"/>
      <c r="AE405" s="211"/>
      <c r="AF405" s="211"/>
      <c r="AG405" s="211">
        <f>INDEX($C$349:$AN$371,MATCH("New Customers One-Time",$C$349:$C$371,0),MATCH($C405,$C$349:$AN$349,0))</f>
        <v>1348.5133125</v>
      </c>
      <c r="AH405" s="211">
        <f t="shared" ref="AH405:AN405" si="261">$AG405*(E375)</f>
        <v>0</v>
      </c>
      <c r="AI405" s="211">
        <f t="shared" si="261"/>
        <v>0</v>
      </c>
      <c r="AJ405" s="211">
        <f t="shared" si="261"/>
        <v>0</v>
      </c>
      <c r="AK405" s="211">
        <f t="shared" si="261"/>
        <v>0</v>
      </c>
      <c r="AL405" s="211">
        <f t="shared" si="261"/>
        <v>0</v>
      </c>
      <c r="AM405" s="211">
        <f t="shared" si="261"/>
        <v>0</v>
      </c>
      <c r="AN405" s="211">
        <f t="shared" si="261"/>
        <v>0</v>
      </c>
    </row>
    <row r="406" spans="2:40" s="7" customFormat="1" ht="12" hidden="1" customHeight="1" outlineLevel="2">
      <c r="B406" s="245"/>
      <c r="C406" s="213" t="s">
        <v>782</v>
      </c>
      <c r="D406" s="213"/>
      <c r="E406" s="213"/>
      <c r="F406" s="213"/>
      <c r="G406" s="213"/>
      <c r="H406" s="213"/>
      <c r="I406" s="213"/>
      <c r="J406" s="213"/>
      <c r="K406" s="213"/>
      <c r="L406" s="213"/>
      <c r="M406" s="213"/>
      <c r="N406" s="213"/>
      <c r="O406" s="213"/>
      <c r="P406" s="213"/>
      <c r="Q406" s="213"/>
      <c r="R406" s="213"/>
      <c r="S406" s="213"/>
      <c r="T406" s="213"/>
      <c r="U406" s="213"/>
      <c r="V406" s="213"/>
      <c r="W406" s="213"/>
      <c r="X406" s="213"/>
      <c r="Y406" s="213"/>
      <c r="Z406" s="213"/>
      <c r="AA406" s="213"/>
      <c r="AB406" s="211"/>
      <c r="AC406" s="211"/>
      <c r="AD406" s="211"/>
      <c r="AE406" s="211"/>
      <c r="AF406" s="211"/>
      <c r="AG406" s="211"/>
      <c r="AH406" s="211">
        <f>INDEX($C$349:$AN$371,MATCH("New Customers One-Time",$C$349:$C$371,0),MATCH($C406,$C$349:$AN$349,0))</f>
        <v>3274.9363125</v>
      </c>
      <c r="AI406" s="211">
        <f t="shared" ref="AI406:AN406" si="262">$AH406*(E375)</f>
        <v>0</v>
      </c>
      <c r="AJ406" s="211">
        <f t="shared" si="262"/>
        <v>0</v>
      </c>
      <c r="AK406" s="211">
        <f t="shared" si="262"/>
        <v>0</v>
      </c>
      <c r="AL406" s="211">
        <f t="shared" si="262"/>
        <v>0</v>
      </c>
      <c r="AM406" s="211">
        <f t="shared" si="262"/>
        <v>0</v>
      </c>
      <c r="AN406" s="211">
        <f t="shared" si="262"/>
        <v>0</v>
      </c>
    </row>
    <row r="407" spans="2:40" s="7" customFormat="1" ht="12" hidden="1" customHeight="1" outlineLevel="2">
      <c r="B407" s="245"/>
      <c r="C407" s="213" t="s">
        <v>783</v>
      </c>
      <c r="D407" s="213"/>
      <c r="E407" s="213"/>
      <c r="F407" s="213"/>
      <c r="G407" s="213"/>
      <c r="H407" s="213"/>
      <c r="I407" s="213"/>
      <c r="J407" s="213"/>
      <c r="K407" s="213"/>
      <c r="L407" s="213"/>
      <c r="M407" s="213"/>
      <c r="N407" s="213"/>
      <c r="O407" s="213"/>
      <c r="P407" s="213"/>
      <c r="Q407" s="213"/>
      <c r="R407" s="213"/>
      <c r="S407" s="213"/>
      <c r="T407" s="213"/>
      <c r="U407" s="213"/>
      <c r="V407" s="213"/>
      <c r="W407" s="213"/>
      <c r="X407" s="213"/>
      <c r="Y407" s="213"/>
      <c r="Z407" s="213"/>
      <c r="AA407" s="213"/>
      <c r="AB407" s="211"/>
      <c r="AC407" s="211"/>
      <c r="AD407" s="211"/>
      <c r="AE407" s="211"/>
      <c r="AF407" s="211"/>
      <c r="AG407" s="211"/>
      <c r="AH407" s="211"/>
      <c r="AI407" s="211">
        <f>INDEX($C$349:$AN$371,MATCH("New Customers One-Time",$C$349:$C$371,0),MATCH($C407,$C$349:$AN$349,0))</f>
        <v>602.32772249999994</v>
      </c>
      <c r="AJ407" s="211">
        <f>$AI407*(E375)</f>
        <v>0</v>
      </c>
      <c r="AK407" s="211">
        <f>$AI407*(F375)</f>
        <v>0</v>
      </c>
      <c r="AL407" s="211">
        <f>$AI407*(G375)</f>
        <v>0</v>
      </c>
      <c r="AM407" s="211">
        <f>$AI407*(H375)</f>
        <v>0</v>
      </c>
      <c r="AN407" s="211">
        <f>$AI407*(I375)</f>
        <v>0</v>
      </c>
    </row>
    <row r="408" spans="2:40" s="7" customFormat="1" ht="12" hidden="1" customHeight="1" outlineLevel="2">
      <c r="B408" s="245"/>
      <c r="C408" s="213" t="s">
        <v>784</v>
      </c>
      <c r="D408" s="213"/>
      <c r="E408" s="213"/>
      <c r="F408" s="213"/>
      <c r="G408" s="213"/>
      <c r="H408" s="213"/>
      <c r="I408" s="213"/>
      <c r="J408" s="213"/>
      <c r="K408" s="213"/>
      <c r="L408" s="213"/>
      <c r="M408" s="213"/>
      <c r="N408" s="213"/>
      <c r="O408" s="213"/>
      <c r="P408" s="213"/>
      <c r="Q408" s="213"/>
      <c r="R408" s="213"/>
      <c r="S408" s="213"/>
      <c r="T408" s="213"/>
      <c r="U408" s="213"/>
      <c r="V408" s="213"/>
      <c r="W408" s="213"/>
      <c r="X408" s="213"/>
      <c r="Y408" s="213"/>
      <c r="Z408" s="213"/>
      <c r="AA408" s="213"/>
      <c r="AB408" s="211"/>
      <c r="AC408" s="211"/>
      <c r="AD408" s="211"/>
      <c r="AE408" s="211"/>
      <c r="AF408" s="211"/>
      <c r="AG408" s="211"/>
      <c r="AH408" s="211"/>
      <c r="AI408" s="211"/>
      <c r="AJ408" s="211">
        <f>INDEX($C$349:$AN$371,MATCH("New Customers One-Time",$C$349:$C$371,0),MATCH($C408,$C$349:$AN$349,0))</f>
        <v>1123.2131625</v>
      </c>
      <c r="AK408" s="211">
        <f>$AJ408*(E375)</f>
        <v>0</v>
      </c>
      <c r="AL408" s="211">
        <f>$AJ408*(F375)</f>
        <v>0</v>
      </c>
      <c r="AM408" s="211">
        <f>$AJ408*(G375)</f>
        <v>0</v>
      </c>
      <c r="AN408" s="211">
        <f>$AJ408*(H375)</f>
        <v>0</v>
      </c>
    </row>
    <row r="409" spans="2:40" s="7" customFormat="1" ht="12" hidden="1" customHeight="1" outlineLevel="2">
      <c r="B409" s="245"/>
      <c r="C409" s="213" t="s">
        <v>785</v>
      </c>
      <c r="D409" s="213"/>
      <c r="E409" s="213"/>
      <c r="F409" s="213"/>
      <c r="G409" s="213"/>
      <c r="H409" s="213"/>
      <c r="I409" s="213"/>
      <c r="J409" s="213"/>
      <c r="K409" s="213"/>
      <c r="L409" s="213"/>
      <c r="M409" s="213"/>
      <c r="N409" s="213"/>
      <c r="O409" s="213"/>
      <c r="P409" s="213"/>
      <c r="Q409" s="213"/>
      <c r="R409" s="213"/>
      <c r="S409" s="213"/>
      <c r="T409" s="213"/>
      <c r="U409" s="213"/>
      <c r="V409" s="213"/>
      <c r="W409" s="213"/>
      <c r="X409" s="213"/>
      <c r="Y409" s="213"/>
      <c r="Z409" s="213"/>
      <c r="AA409" s="213"/>
      <c r="AB409" s="211"/>
      <c r="AC409" s="211"/>
      <c r="AD409" s="211"/>
      <c r="AE409" s="211"/>
      <c r="AF409" s="211"/>
      <c r="AG409" s="211"/>
      <c r="AH409" s="211"/>
      <c r="AI409" s="211"/>
      <c r="AJ409" s="211"/>
      <c r="AK409" s="211">
        <f>INDEX($C$349:$AN$371,MATCH("New Customers One-Time",$C$349:$C$371,0),MATCH($C409,$C$349:$AN$349,0))</f>
        <v>3878.55</v>
      </c>
      <c r="AL409" s="211">
        <f>$AK409*(E375)</f>
        <v>0</v>
      </c>
      <c r="AM409" s="211">
        <f>$AK409*(F375)</f>
        <v>0</v>
      </c>
      <c r="AN409" s="211">
        <f>$AK409*(G375)</f>
        <v>0</v>
      </c>
    </row>
    <row r="410" spans="2:40" s="7" customFormat="1" ht="12" hidden="1" customHeight="1" outlineLevel="2">
      <c r="B410" s="245"/>
      <c r="C410" s="213" t="s">
        <v>786</v>
      </c>
      <c r="D410" s="213"/>
      <c r="E410" s="213"/>
      <c r="F410" s="213"/>
      <c r="G410" s="213"/>
      <c r="H410" s="213"/>
      <c r="I410" s="213"/>
      <c r="J410" s="213"/>
      <c r="K410" s="213"/>
      <c r="L410" s="213"/>
      <c r="M410" s="213"/>
      <c r="N410" s="213"/>
      <c r="O410" s="213"/>
      <c r="P410" s="213"/>
      <c r="Q410" s="213"/>
      <c r="R410" s="213"/>
      <c r="S410" s="213"/>
      <c r="T410" s="213"/>
      <c r="U410" s="213"/>
      <c r="V410" s="213"/>
      <c r="W410" s="213"/>
      <c r="X410" s="213"/>
      <c r="Y410" s="213"/>
      <c r="Z410" s="213"/>
      <c r="AA410" s="213"/>
      <c r="AB410" s="211"/>
      <c r="AC410" s="211"/>
      <c r="AD410" s="211"/>
      <c r="AE410" s="211"/>
      <c r="AF410" s="211"/>
      <c r="AG410" s="211"/>
      <c r="AH410" s="211"/>
      <c r="AI410" s="211"/>
      <c r="AJ410" s="211"/>
      <c r="AK410" s="211"/>
      <c r="AL410" s="211">
        <f>INDEX($C$349:$AN$371,MATCH("New Customers One-Time",$C$349:$C$371,0),MATCH($C410,$C$349:$AN$349,0))</f>
        <v>3304.8</v>
      </c>
      <c r="AM410" s="211">
        <f>$AL410*(E375)</f>
        <v>0</v>
      </c>
      <c r="AN410" s="211">
        <f>$AL410*(F375)</f>
        <v>0</v>
      </c>
    </row>
    <row r="411" spans="2:40" s="7" customFormat="1" ht="12" hidden="1" customHeight="1" outlineLevel="2">
      <c r="B411" s="245"/>
      <c r="C411" s="213" t="s">
        <v>787</v>
      </c>
      <c r="D411" s="213"/>
      <c r="E411" s="213"/>
      <c r="F411" s="213"/>
      <c r="G411" s="213"/>
      <c r="H411" s="213"/>
      <c r="I411" s="213"/>
      <c r="J411" s="213"/>
      <c r="K411" s="213"/>
      <c r="L411" s="213"/>
      <c r="M411" s="213"/>
      <c r="N411" s="213"/>
      <c r="O411" s="213"/>
      <c r="P411" s="213"/>
      <c r="Q411" s="213"/>
      <c r="R411" s="213"/>
      <c r="S411" s="213"/>
      <c r="T411" s="213"/>
      <c r="U411" s="213"/>
      <c r="V411" s="213"/>
      <c r="W411" s="213"/>
      <c r="X411" s="213"/>
      <c r="Y411" s="213"/>
      <c r="Z411" s="213"/>
      <c r="AA411" s="213"/>
      <c r="AB411" s="211"/>
      <c r="AC411" s="211"/>
      <c r="AD411" s="211"/>
      <c r="AE411" s="211"/>
      <c r="AF411" s="211"/>
      <c r="AG411" s="211"/>
      <c r="AH411" s="211"/>
      <c r="AI411" s="211"/>
      <c r="AJ411" s="211"/>
      <c r="AK411" s="211"/>
      <c r="AL411" s="211"/>
      <c r="AM411" s="211">
        <f>INDEX($C$349:$AN$371,MATCH("New Customers One-Time",$C$349:$C$371,0),MATCH($C411,$C$349:$AN$349,0))</f>
        <v>642.6</v>
      </c>
      <c r="AN411" s="211">
        <f>$AM411*(E375)</f>
        <v>0</v>
      </c>
    </row>
    <row r="412" spans="2:40" s="7" customFormat="1" ht="12" hidden="1" customHeight="1" outlineLevel="2">
      <c r="B412" s="245"/>
      <c r="C412" s="213" t="s">
        <v>788</v>
      </c>
      <c r="D412" s="213"/>
      <c r="E412" s="213"/>
      <c r="F412" s="213"/>
      <c r="G412" s="213"/>
      <c r="H412" s="213"/>
      <c r="I412" s="213"/>
      <c r="J412" s="213"/>
      <c r="K412" s="213"/>
      <c r="L412" s="213"/>
      <c r="M412" s="213"/>
      <c r="N412" s="213"/>
      <c r="O412" s="213"/>
      <c r="P412" s="213"/>
      <c r="Q412" s="213"/>
      <c r="R412" s="213"/>
      <c r="S412" s="213"/>
      <c r="T412" s="213"/>
      <c r="U412" s="213"/>
      <c r="V412" s="213"/>
      <c r="W412" s="213"/>
      <c r="X412" s="213"/>
      <c r="Y412" s="213"/>
      <c r="Z412" s="213"/>
      <c r="AA412" s="213"/>
      <c r="AB412" s="211"/>
      <c r="AC412" s="211"/>
      <c r="AD412" s="211"/>
      <c r="AE412" s="211"/>
      <c r="AF412" s="211"/>
      <c r="AG412" s="211"/>
      <c r="AH412" s="211"/>
      <c r="AI412" s="211"/>
      <c r="AJ412" s="211"/>
      <c r="AK412" s="211"/>
      <c r="AL412" s="211"/>
      <c r="AM412" s="211"/>
      <c r="AN412" s="211">
        <f>INDEX($C$349:$AN$371,MATCH("New Customers One-Time",$C$349:$C$371,0),MATCH($C412,$C$349:$AN$349,0))</f>
        <v>918</v>
      </c>
    </row>
    <row r="413" spans="2:40" s="7" customFormat="1" ht="12" hidden="1" customHeight="1" outlineLevel="2">
      <c r="B413" s="245"/>
      <c r="C413" s="213"/>
      <c r="D413" s="213"/>
      <c r="E413" s="213"/>
      <c r="F413" s="213"/>
      <c r="G413" s="213"/>
      <c r="H413" s="213"/>
      <c r="I413" s="213"/>
      <c r="J413" s="213"/>
      <c r="K413" s="213"/>
      <c r="L413" s="213"/>
      <c r="M413" s="213"/>
      <c r="N413" s="213"/>
      <c r="O413" s="213"/>
      <c r="P413" s="213"/>
      <c r="Q413" s="213"/>
      <c r="R413" s="213"/>
      <c r="S413" s="213"/>
      <c r="T413" s="213"/>
      <c r="U413" s="213"/>
      <c r="V413" s="213"/>
      <c r="W413" s="213"/>
      <c r="X413" s="213"/>
      <c r="Y413" s="213"/>
      <c r="Z413" s="213"/>
      <c r="AA413" s="213"/>
      <c r="AB413" s="211"/>
      <c r="AC413" s="211"/>
      <c r="AD413" s="211"/>
      <c r="AE413" s="211"/>
      <c r="AF413" s="211"/>
      <c r="AG413" s="211"/>
      <c r="AH413" s="211"/>
      <c r="AI413" s="211"/>
      <c r="AJ413" s="211"/>
      <c r="AK413" s="211"/>
      <c r="AL413" s="211"/>
      <c r="AM413" s="211"/>
      <c r="AN413" s="211"/>
    </row>
    <row r="414" spans="2:40" s="7" customFormat="1" ht="12" hidden="1" customHeight="1" outlineLevel="2">
      <c r="B414" s="245"/>
      <c r="C414" s="243" t="s">
        <v>853</v>
      </c>
      <c r="D414" s="213"/>
      <c r="E414" s="213"/>
      <c r="F414" s="213"/>
      <c r="G414" s="213"/>
      <c r="H414" s="213"/>
      <c r="I414" s="213"/>
      <c r="J414" s="213"/>
      <c r="K414" s="213"/>
      <c r="L414" s="213"/>
      <c r="M414" s="213"/>
      <c r="N414" s="213"/>
      <c r="O414" s="213"/>
      <c r="P414" s="213"/>
      <c r="Q414" s="213"/>
      <c r="R414" s="213"/>
      <c r="S414" s="213"/>
      <c r="T414" s="213"/>
      <c r="U414" s="213"/>
      <c r="V414" s="213"/>
      <c r="W414" s="213"/>
      <c r="X414" s="213"/>
      <c r="Y414" s="213"/>
      <c r="Z414" s="213"/>
      <c r="AA414" s="213"/>
      <c r="AB414" s="213"/>
      <c r="AC414" s="211"/>
    </row>
    <row r="415" spans="2:40" s="7" customFormat="1" ht="12" hidden="1" customHeight="1" outlineLevel="2">
      <c r="B415" s="239"/>
      <c r="C415" s="214" t="s">
        <v>850</v>
      </c>
      <c r="D415" s="214"/>
      <c r="E415" s="196" t="s">
        <v>753</v>
      </c>
      <c r="F415" s="196" t="s">
        <v>754</v>
      </c>
      <c r="G415" s="196" t="s">
        <v>755</v>
      </c>
      <c r="H415" s="196" t="s">
        <v>756</v>
      </c>
      <c r="I415" s="196" t="s">
        <v>757</v>
      </c>
      <c r="J415" s="196" t="s">
        <v>758</v>
      </c>
      <c r="K415" s="196" t="s">
        <v>759</v>
      </c>
      <c r="L415" s="196" t="s">
        <v>760</v>
      </c>
      <c r="M415" s="196" t="s">
        <v>761</v>
      </c>
      <c r="N415" s="196" t="s">
        <v>762</v>
      </c>
      <c r="O415" s="196" t="s">
        <v>763</v>
      </c>
      <c r="P415" s="196" t="s">
        <v>764</v>
      </c>
      <c r="Q415" s="196" t="s">
        <v>765</v>
      </c>
      <c r="R415" s="196" t="s">
        <v>766</v>
      </c>
      <c r="S415" s="196" t="s">
        <v>767</v>
      </c>
      <c r="T415" s="196" t="s">
        <v>768</v>
      </c>
      <c r="U415" s="196" t="s">
        <v>769</v>
      </c>
      <c r="V415" s="196" t="s">
        <v>770</v>
      </c>
      <c r="W415" s="196" t="s">
        <v>771</v>
      </c>
      <c r="X415" s="196" t="s">
        <v>772</v>
      </c>
      <c r="Y415" s="196" t="s">
        <v>773</v>
      </c>
      <c r="Z415" s="196" t="s">
        <v>774</v>
      </c>
      <c r="AA415" s="196" t="s">
        <v>775</v>
      </c>
      <c r="AB415" s="196" t="s">
        <v>776</v>
      </c>
      <c r="AC415" s="196" t="s">
        <v>777</v>
      </c>
      <c r="AD415" s="196" t="s">
        <v>778</v>
      </c>
      <c r="AE415" s="196" t="s">
        <v>779</v>
      </c>
      <c r="AF415" s="196" t="s">
        <v>780</v>
      </c>
      <c r="AG415" s="196" t="s">
        <v>781</v>
      </c>
      <c r="AH415" s="196" t="s">
        <v>782</v>
      </c>
      <c r="AI415" s="196" t="s">
        <v>783</v>
      </c>
      <c r="AJ415" s="196" t="s">
        <v>784</v>
      </c>
      <c r="AK415" s="196" t="s">
        <v>785</v>
      </c>
      <c r="AL415" s="196" t="s">
        <v>786</v>
      </c>
      <c r="AM415" s="196" t="s">
        <v>787</v>
      </c>
      <c r="AN415" s="196" t="s">
        <v>788</v>
      </c>
    </row>
    <row r="416" spans="2:40" s="7" customFormat="1" ht="12" hidden="1" customHeight="1" outlineLevel="2">
      <c r="B416" s="239"/>
      <c r="C416" s="247" t="s">
        <v>851</v>
      </c>
      <c r="D416" s="214"/>
      <c r="E416" s="345">
        <v>0.04</v>
      </c>
      <c r="F416" s="345">
        <v>0.04</v>
      </c>
      <c r="G416" s="345">
        <v>0.04</v>
      </c>
      <c r="H416" s="345">
        <v>0.04</v>
      </c>
      <c r="I416" s="345">
        <v>0.03</v>
      </c>
      <c r="J416" s="345">
        <v>0.03</v>
      </c>
      <c r="K416" s="345">
        <v>0.03</v>
      </c>
      <c r="L416" s="345">
        <v>0.03</v>
      </c>
      <c r="M416" s="345">
        <v>0.02</v>
      </c>
      <c r="N416" s="345">
        <v>0.02</v>
      </c>
      <c r="O416" s="345">
        <v>0.02</v>
      </c>
      <c r="P416" s="345">
        <v>0.03</v>
      </c>
      <c r="Q416" s="345">
        <v>0.03</v>
      </c>
      <c r="R416" s="345">
        <v>0.01</v>
      </c>
      <c r="S416" s="345">
        <v>0.01</v>
      </c>
      <c r="T416" s="345">
        <v>0.01</v>
      </c>
      <c r="U416" s="345">
        <v>0.01</v>
      </c>
      <c r="V416" s="345">
        <v>0.01</v>
      </c>
      <c r="W416" s="345">
        <v>0.01</v>
      </c>
      <c r="X416" s="345">
        <v>0.01</v>
      </c>
      <c r="Y416" s="345">
        <v>0.01</v>
      </c>
      <c r="Z416" s="345">
        <v>0.01</v>
      </c>
      <c r="AA416" s="345">
        <v>0.01</v>
      </c>
      <c r="AB416" s="345">
        <v>0.01</v>
      </c>
      <c r="AC416" s="345">
        <v>0.01</v>
      </c>
      <c r="AD416" s="345">
        <v>0.01</v>
      </c>
      <c r="AE416" s="345">
        <v>0.01</v>
      </c>
      <c r="AF416" s="345">
        <v>0.01</v>
      </c>
      <c r="AG416" s="345">
        <v>0.01</v>
      </c>
      <c r="AH416" s="345">
        <v>0.01</v>
      </c>
      <c r="AI416" s="345">
        <v>0.01</v>
      </c>
      <c r="AJ416" s="345">
        <v>0.01</v>
      </c>
      <c r="AK416" s="345">
        <v>0.01</v>
      </c>
      <c r="AL416" s="345">
        <v>0.01</v>
      </c>
      <c r="AM416" s="345">
        <v>0.01</v>
      </c>
      <c r="AN416" s="345">
        <v>0.01</v>
      </c>
    </row>
    <row r="417" spans="2:40" s="214" customFormat="1" ht="12" hidden="1" customHeight="1" outlineLevel="2">
      <c r="C417" s="213" t="s">
        <v>861</v>
      </c>
      <c r="E417" s="211">
        <v>322</v>
      </c>
      <c r="F417" s="211">
        <v>379</v>
      </c>
      <c r="G417" s="211">
        <v>480</v>
      </c>
      <c r="H417" s="211">
        <v>363</v>
      </c>
      <c r="I417" s="211">
        <v>305</v>
      </c>
      <c r="J417" s="211">
        <f t="shared" ref="J417:AN417" si="263">I417*0.9</f>
        <v>274.5</v>
      </c>
      <c r="K417" s="211">
        <f t="shared" si="263"/>
        <v>247.05</v>
      </c>
      <c r="L417" s="211">
        <f t="shared" si="263"/>
        <v>222.34500000000003</v>
      </c>
      <c r="M417" s="211">
        <f t="shared" si="263"/>
        <v>200.11050000000003</v>
      </c>
      <c r="N417" s="211">
        <f t="shared" si="263"/>
        <v>180.09945000000002</v>
      </c>
      <c r="O417" s="211">
        <f t="shared" si="263"/>
        <v>162.08950500000003</v>
      </c>
      <c r="P417" s="211">
        <f t="shared" si="263"/>
        <v>145.88055450000004</v>
      </c>
      <c r="Q417" s="211">
        <f t="shared" si="263"/>
        <v>131.29249905000003</v>
      </c>
      <c r="R417" s="211">
        <f t="shared" si="263"/>
        <v>118.16324914500004</v>
      </c>
      <c r="S417" s="211">
        <f t="shared" si="263"/>
        <v>106.34692423050004</v>
      </c>
      <c r="T417" s="211">
        <f t="shared" si="263"/>
        <v>95.712231807450038</v>
      </c>
      <c r="U417" s="211">
        <f t="shared" si="263"/>
        <v>86.14100862670503</v>
      </c>
      <c r="V417" s="211">
        <f t="shared" si="263"/>
        <v>77.526907764034533</v>
      </c>
      <c r="W417" s="211">
        <f t="shared" si="263"/>
        <v>69.774216987631078</v>
      </c>
      <c r="X417" s="211">
        <f t="shared" si="263"/>
        <v>62.796795288867969</v>
      </c>
      <c r="Y417" s="211">
        <f t="shared" si="263"/>
        <v>56.517115759981174</v>
      </c>
      <c r="Z417" s="211">
        <f t="shared" si="263"/>
        <v>50.86540418398306</v>
      </c>
      <c r="AA417" s="211">
        <f t="shared" si="263"/>
        <v>45.778863765584752</v>
      </c>
      <c r="AB417" s="211">
        <f t="shared" si="263"/>
        <v>41.200977389026278</v>
      </c>
      <c r="AC417" s="211">
        <f t="shared" si="263"/>
        <v>37.080879650123649</v>
      </c>
      <c r="AD417" s="211">
        <f t="shared" si="263"/>
        <v>33.372791685111288</v>
      </c>
      <c r="AE417" s="211">
        <f t="shared" si="263"/>
        <v>30.035512516600161</v>
      </c>
      <c r="AF417" s="211">
        <f t="shared" si="263"/>
        <v>27.031961264940144</v>
      </c>
      <c r="AG417" s="211">
        <f t="shared" si="263"/>
        <v>24.32876513844613</v>
      </c>
      <c r="AH417" s="211">
        <f t="shared" si="263"/>
        <v>21.895888624601518</v>
      </c>
      <c r="AI417" s="211">
        <f t="shared" si="263"/>
        <v>19.706299762141366</v>
      </c>
      <c r="AJ417" s="211">
        <f t="shared" si="263"/>
        <v>17.735669785927229</v>
      </c>
      <c r="AK417" s="211">
        <f t="shared" si="263"/>
        <v>15.962102807334507</v>
      </c>
      <c r="AL417" s="211">
        <f t="shared" si="263"/>
        <v>14.365892526601057</v>
      </c>
      <c r="AM417" s="211">
        <f t="shared" si="263"/>
        <v>12.929303273940951</v>
      </c>
      <c r="AN417" s="211">
        <f t="shared" si="263"/>
        <v>11.636372946546857</v>
      </c>
    </row>
    <row r="418" spans="2:40" s="7" customFormat="1" ht="12" hidden="1" customHeight="1" outlineLevel="2">
      <c r="B418" s="245"/>
      <c r="C418" s="213" t="s">
        <v>753</v>
      </c>
      <c r="D418" s="213"/>
      <c r="E418" s="211">
        <f>INDEX($C$349:$AN$371,MATCH("New Customers 1MS",$C$349:$C$371,0),MATCH($C418,$C$349:$AN$349,0))</f>
        <v>77</v>
      </c>
      <c r="F418" s="211">
        <f t="shared" ref="F418:AN418" si="264">$E418*(E416)</f>
        <v>3.08</v>
      </c>
      <c r="G418" s="211">
        <f t="shared" si="264"/>
        <v>3.08</v>
      </c>
      <c r="H418" s="211">
        <f t="shared" si="264"/>
        <v>3.08</v>
      </c>
      <c r="I418" s="211">
        <f t="shared" si="264"/>
        <v>3.08</v>
      </c>
      <c r="J418" s="211">
        <f t="shared" si="264"/>
        <v>2.31</v>
      </c>
      <c r="K418" s="211">
        <f t="shared" si="264"/>
        <v>2.31</v>
      </c>
      <c r="L418" s="211">
        <f t="shared" si="264"/>
        <v>2.31</v>
      </c>
      <c r="M418" s="211">
        <f t="shared" si="264"/>
        <v>2.31</v>
      </c>
      <c r="N418" s="211">
        <f t="shared" si="264"/>
        <v>1.54</v>
      </c>
      <c r="O418" s="211">
        <f t="shared" si="264"/>
        <v>1.54</v>
      </c>
      <c r="P418" s="211">
        <f t="shared" si="264"/>
        <v>1.54</v>
      </c>
      <c r="Q418" s="211">
        <f t="shared" si="264"/>
        <v>2.31</v>
      </c>
      <c r="R418" s="211">
        <f t="shared" si="264"/>
        <v>2.31</v>
      </c>
      <c r="S418" s="211">
        <f t="shared" si="264"/>
        <v>0.77</v>
      </c>
      <c r="T418" s="211">
        <f t="shared" si="264"/>
        <v>0.77</v>
      </c>
      <c r="U418" s="211">
        <f t="shared" si="264"/>
        <v>0.77</v>
      </c>
      <c r="V418" s="211">
        <f t="shared" si="264"/>
        <v>0.77</v>
      </c>
      <c r="W418" s="211">
        <f t="shared" si="264"/>
        <v>0.77</v>
      </c>
      <c r="X418" s="211">
        <f t="shared" si="264"/>
        <v>0.77</v>
      </c>
      <c r="Y418" s="211">
        <f t="shared" si="264"/>
        <v>0.77</v>
      </c>
      <c r="Z418" s="211">
        <f t="shared" si="264"/>
        <v>0.77</v>
      </c>
      <c r="AA418" s="211">
        <f t="shared" si="264"/>
        <v>0.77</v>
      </c>
      <c r="AB418" s="211">
        <f t="shared" si="264"/>
        <v>0.77</v>
      </c>
      <c r="AC418" s="211">
        <f t="shared" si="264"/>
        <v>0.77</v>
      </c>
      <c r="AD418" s="211">
        <f t="shared" si="264"/>
        <v>0.77</v>
      </c>
      <c r="AE418" s="211">
        <f t="shared" si="264"/>
        <v>0.77</v>
      </c>
      <c r="AF418" s="211">
        <f t="shared" si="264"/>
        <v>0.77</v>
      </c>
      <c r="AG418" s="211">
        <f t="shared" si="264"/>
        <v>0.77</v>
      </c>
      <c r="AH418" s="211">
        <f t="shared" si="264"/>
        <v>0.77</v>
      </c>
      <c r="AI418" s="211">
        <f t="shared" si="264"/>
        <v>0.77</v>
      </c>
      <c r="AJ418" s="211">
        <f t="shared" si="264"/>
        <v>0.77</v>
      </c>
      <c r="AK418" s="211">
        <f t="shared" si="264"/>
        <v>0.77</v>
      </c>
      <c r="AL418" s="211">
        <f t="shared" si="264"/>
        <v>0.77</v>
      </c>
      <c r="AM418" s="211">
        <f t="shared" si="264"/>
        <v>0.77</v>
      </c>
      <c r="AN418" s="211">
        <f t="shared" si="264"/>
        <v>0.77</v>
      </c>
    </row>
    <row r="419" spans="2:40" s="7" customFormat="1" ht="12" hidden="1" customHeight="1" outlineLevel="2">
      <c r="B419" s="245"/>
      <c r="C419" s="213" t="s">
        <v>754</v>
      </c>
      <c r="D419" s="213"/>
      <c r="E419" s="213"/>
      <c r="F419" s="211">
        <f>INDEX($C$349:$AN$371,MATCH("New Customers 1MS",$C$349:$C$371,0),MATCH($C419,$C$349:$AN$349,0))</f>
        <v>34.000000000000085</v>
      </c>
      <c r="G419" s="211">
        <f t="shared" ref="G419:AN419" si="265">$F419*(E416)</f>
        <v>1.3600000000000034</v>
      </c>
      <c r="H419" s="211">
        <f t="shared" si="265"/>
        <v>1.3600000000000034</v>
      </c>
      <c r="I419" s="211">
        <f t="shared" si="265"/>
        <v>1.3600000000000034</v>
      </c>
      <c r="J419" s="211">
        <f t="shared" si="265"/>
        <v>1.3600000000000034</v>
      </c>
      <c r="K419" s="211">
        <f t="shared" si="265"/>
        <v>1.0200000000000025</v>
      </c>
      <c r="L419" s="211">
        <f t="shared" si="265"/>
        <v>1.0200000000000025</v>
      </c>
      <c r="M419" s="211">
        <f t="shared" si="265"/>
        <v>1.0200000000000025</v>
      </c>
      <c r="N419" s="211">
        <f t="shared" si="265"/>
        <v>1.0200000000000025</v>
      </c>
      <c r="O419" s="211">
        <f t="shared" si="265"/>
        <v>0.68000000000000171</v>
      </c>
      <c r="P419" s="211">
        <f t="shared" si="265"/>
        <v>0.68000000000000171</v>
      </c>
      <c r="Q419" s="211">
        <f t="shared" si="265"/>
        <v>0.68000000000000171</v>
      </c>
      <c r="R419" s="211">
        <f t="shared" si="265"/>
        <v>1.0200000000000025</v>
      </c>
      <c r="S419" s="211">
        <f t="shared" si="265"/>
        <v>1.0200000000000025</v>
      </c>
      <c r="T419" s="211">
        <f t="shared" si="265"/>
        <v>0.34000000000000086</v>
      </c>
      <c r="U419" s="211">
        <f t="shared" si="265"/>
        <v>0.34000000000000086</v>
      </c>
      <c r="V419" s="211">
        <f t="shared" si="265"/>
        <v>0.34000000000000086</v>
      </c>
      <c r="W419" s="211">
        <f t="shared" si="265"/>
        <v>0.34000000000000086</v>
      </c>
      <c r="X419" s="211">
        <f t="shared" si="265"/>
        <v>0.34000000000000086</v>
      </c>
      <c r="Y419" s="211">
        <f t="shared" si="265"/>
        <v>0.34000000000000086</v>
      </c>
      <c r="Z419" s="211">
        <f t="shared" si="265"/>
        <v>0.34000000000000086</v>
      </c>
      <c r="AA419" s="211">
        <f t="shared" si="265"/>
        <v>0.34000000000000086</v>
      </c>
      <c r="AB419" s="211">
        <f t="shared" si="265"/>
        <v>0.34000000000000086</v>
      </c>
      <c r="AC419" s="211">
        <f t="shared" si="265"/>
        <v>0.34000000000000086</v>
      </c>
      <c r="AD419" s="211">
        <f t="shared" si="265"/>
        <v>0.34000000000000086</v>
      </c>
      <c r="AE419" s="211">
        <f t="shared" si="265"/>
        <v>0.34000000000000086</v>
      </c>
      <c r="AF419" s="211">
        <f t="shared" si="265"/>
        <v>0.34000000000000086</v>
      </c>
      <c r="AG419" s="211">
        <f t="shared" si="265"/>
        <v>0.34000000000000086</v>
      </c>
      <c r="AH419" s="211">
        <f t="shared" si="265"/>
        <v>0.34000000000000086</v>
      </c>
      <c r="AI419" s="211">
        <f t="shared" si="265"/>
        <v>0.34000000000000086</v>
      </c>
      <c r="AJ419" s="211">
        <f t="shared" si="265"/>
        <v>0.34000000000000086</v>
      </c>
      <c r="AK419" s="211">
        <f t="shared" si="265"/>
        <v>0.34000000000000086</v>
      </c>
      <c r="AL419" s="211">
        <f t="shared" si="265"/>
        <v>0.34000000000000086</v>
      </c>
      <c r="AM419" s="211">
        <f t="shared" si="265"/>
        <v>0.34000000000000086</v>
      </c>
      <c r="AN419" s="211">
        <f t="shared" si="265"/>
        <v>0.34000000000000086</v>
      </c>
    </row>
    <row r="420" spans="2:40" s="7" customFormat="1" ht="12" hidden="1" customHeight="1" outlineLevel="2">
      <c r="B420" s="245"/>
      <c r="C420" s="213" t="s">
        <v>755</v>
      </c>
      <c r="D420" s="213"/>
      <c r="E420" s="213"/>
      <c r="G420" s="211">
        <f>INDEX($C$349:$AN$371,MATCH("New Customers 1MS",$C$349:$C$371,0),MATCH($C420,$C$349:$AN$349,0))</f>
        <v>27.999999999999947</v>
      </c>
      <c r="H420" s="211">
        <f>G420*(E416)</f>
        <v>1.1199999999999979</v>
      </c>
      <c r="I420" s="211">
        <f>G420*(F416)</f>
        <v>1.1199999999999979</v>
      </c>
      <c r="J420" s="211">
        <f>G420*(G416)</f>
        <v>1.1199999999999979</v>
      </c>
      <c r="K420" s="211">
        <f>G420*(H416)</f>
        <v>1.1199999999999979</v>
      </c>
      <c r="L420" s="211">
        <f>G420*(I416)</f>
        <v>0.83999999999999841</v>
      </c>
      <c r="M420" s="211">
        <f>G420*(J416)</f>
        <v>0.83999999999999841</v>
      </c>
      <c r="N420" s="211">
        <f>G420*(K416)</f>
        <v>0.83999999999999841</v>
      </c>
      <c r="O420" s="211">
        <f>G420*(L416)</f>
        <v>0.83999999999999841</v>
      </c>
      <c r="P420" s="211">
        <f>G420*(M416)</f>
        <v>0.55999999999999894</v>
      </c>
      <c r="Q420" s="211">
        <f>G420*(N416)</f>
        <v>0.55999999999999894</v>
      </c>
      <c r="R420" s="211">
        <f>G420*(O416)</f>
        <v>0.55999999999999894</v>
      </c>
      <c r="S420" s="211">
        <f>G420*(P416)</f>
        <v>0.83999999999999841</v>
      </c>
      <c r="T420" s="211">
        <f>G420*(Q416)</f>
        <v>0.83999999999999841</v>
      </c>
      <c r="U420" s="211">
        <f>G420*(R416)</f>
        <v>0.27999999999999947</v>
      </c>
      <c r="V420" s="211">
        <f>G420*(S416)</f>
        <v>0.27999999999999947</v>
      </c>
      <c r="W420" s="211">
        <f>G420*(T416)</f>
        <v>0.27999999999999947</v>
      </c>
      <c r="X420" s="211">
        <f>G420*(U416)</f>
        <v>0.27999999999999947</v>
      </c>
      <c r="Y420" s="211">
        <f>G420*(V416)</f>
        <v>0.27999999999999947</v>
      </c>
      <c r="Z420" s="211">
        <f>G420*(W416)</f>
        <v>0.27999999999999947</v>
      </c>
      <c r="AA420" s="211">
        <f>G420*(X416)</f>
        <v>0.27999999999999947</v>
      </c>
      <c r="AB420" s="211">
        <f>G420*(Y416)</f>
        <v>0.27999999999999947</v>
      </c>
      <c r="AC420" s="211">
        <f>G420*(Z416)</f>
        <v>0.27999999999999947</v>
      </c>
      <c r="AD420" s="211">
        <f>G420*(AA416)</f>
        <v>0.27999999999999947</v>
      </c>
      <c r="AE420" s="211">
        <f>G420*(AB416)</f>
        <v>0.27999999999999947</v>
      </c>
      <c r="AF420" s="211">
        <f>G420*(AC416)</f>
        <v>0.27999999999999947</v>
      </c>
      <c r="AG420" s="211">
        <f>G420*(AD416)</f>
        <v>0.27999999999999947</v>
      </c>
      <c r="AH420" s="211">
        <f>G420*(AE416)</f>
        <v>0.27999999999999947</v>
      </c>
      <c r="AI420" s="211">
        <f>G420*(AF416)</f>
        <v>0.27999999999999947</v>
      </c>
      <c r="AJ420" s="211">
        <f>G420*(AG416)</f>
        <v>0.27999999999999947</v>
      </c>
      <c r="AK420" s="211">
        <f>G420*(AH416)</f>
        <v>0.27999999999999947</v>
      </c>
      <c r="AL420" s="211">
        <f>G420*(AI416)</f>
        <v>0.27999999999999947</v>
      </c>
      <c r="AM420" s="211">
        <f>G420*(AJ416)</f>
        <v>0.27999999999999947</v>
      </c>
      <c r="AN420" s="211">
        <f>G420*(AK416)</f>
        <v>0.27999999999999947</v>
      </c>
    </row>
    <row r="421" spans="2:40" s="7" customFormat="1" ht="12" hidden="1" customHeight="1" outlineLevel="2">
      <c r="B421" s="245"/>
      <c r="C421" s="213" t="s">
        <v>756</v>
      </c>
      <c r="D421" s="213"/>
      <c r="E421" s="213"/>
      <c r="F421" s="213"/>
      <c r="G421" s="213"/>
      <c r="H421" s="211">
        <f>INDEX($C$349:$AN$371,MATCH("New Customers 1MS",$C$349:$C$371,0),MATCH($C421,$C$349:$AN$349,0))</f>
        <v>21.999999999999996</v>
      </c>
      <c r="I421" s="211">
        <f>H421*(E416)</f>
        <v>0.87999999999999989</v>
      </c>
      <c r="J421" s="211">
        <f>H421*(F416)</f>
        <v>0.87999999999999989</v>
      </c>
      <c r="K421" s="211">
        <f>H421*(G416)</f>
        <v>0.87999999999999989</v>
      </c>
      <c r="L421" s="211">
        <f>H421*(H416)</f>
        <v>0.87999999999999989</v>
      </c>
      <c r="M421" s="211">
        <f>H421*(I416)</f>
        <v>0.65999999999999992</v>
      </c>
      <c r="N421" s="211">
        <f>H421*(J416)</f>
        <v>0.65999999999999992</v>
      </c>
      <c r="O421" s="211">
        <f>H421*(K416)</f>
        <v>0.65999999999999992</v>
      </c>
      <c r="P421" s="211">
        <f>H421*(L416)</f>
        <v>0.65999999999999992</v>
      </c>
      <c r="Q421" s="211">
        <f>H421*(M416)</f>
        <v>0.43999999999999995</v>
      </c>
      <c r="R421" s="211">
        <f>H421*(N416)</f>
        <v>0.43999999999999995</v>
      </c>
      <c r="S421" s="211">
        <f>H421*(O416)</f>
        <v>0.43999999999999995</v>
      </c>
      <c r="T421" s="211">
        <f>H421*(P416)</f>
        <v>0.65999999999999992</v>
      </c>
      <c r="U421" s="211">
        <f>H421*(Q416)</f>
        <v>0.65999999999999992</v>
      </c>
      <c r="V421" s="211">
        <f>H421*(R416)</f>
        <v>0.21999999999999997</v>
      </c>
      <c r="W421" s="211">
        <f>H421*(S416)</f>
        <v>0.21999999999999997</v>
      </c>
      <c r="X421" s="211">
        <f>H421*(T416)</f>
        <v>0.21999999999999997</v>
      </c>
      <c r="Y421" s="211">
        <f>H421*(U416)</f>
        <v>0.21999999999999997</v>
      </c>
      <c r="Z421" s="211">
        <f>H421*(V416)</f>
        <v>0.21999999999999997</v>
      </c>
      <c r="AA421" s="211">
        <f>H421*(W416)</f>
        <v>0.21999999999999997</v>
      </c>
      <c r="AB421" s="211">
        <f>H421*(X416)</f>
        <v>0.21999999999999997</v>
      </c>
      <c r="AC421" s="211">
        <f>H421*(Y416)</f>
        <v>0.21999999999999997</v>
      </c>
      <c r="AD421" s="211">
        <f>H421*(Z416)</f>
        <v>0.21999999999999997</v>
      </c>
      <c r="AE421" s="211">
        <f>H421*(AA416)</f>
        <v>0.21999999999999997</v>
      </c>
      <c r="AF421" s="211">
        <f>H421*(AB416)</f>
        <v>0.21999999999999997</v>
      </c>
      <c r="AG421" s="211">
        <f>H421*(AC416)</f>
        <v>0.21999999999999997</v>
      </c>
      <c r="AH421" s="211">
        <f>H421*(AD416)</f>
        <v>0.21999999999999997</v>
      </c>
      <c r="AI421" s="211">
        <f>H421*(AE416)</f>
        <v>0.21999999999999997</v>
      </c>
      <c r="AJ421" s="211">
        <f>H421*(AF416)</f>
        <v>0.21999999999999997</v>
      </c>
      <c r="AK421" s="211">
        <f>H421*(AG416)</f>
        <v>0.21999999999999997</v>
      </c>
      <c r="AL421" s="211">
        <f>H421*(AH416)</f>
        <v>0.21999999999999997</v>
      </c>
      <c r="AM421" s="211">
        <f>H421*(AI416)</f>
        <v>0.21999999999999997</v>
      </c>
      <c r="AN421" s="211">
        <f>H421*(AJ416)</f>
        <v>0.21999999999999997</v>
      </c>
    </row>
    <row r="422" spans="2:40" s="7" customFormat="1" ht="12" hidden="1" customHeight="1" outlineLevel="2">
      <c r="B422" s="245"/>
      <c r="C422" s="213" t="s">
        <v>757</v>
      </c>
      <c r="D422" s="213"/>
      <c r="E422" s="213"/>
      <c r="F422" s="213"/>
      <c r="G422" s="213"/>
      <c r="H422" s="213"/>
      <c r="I422" s="211">
        <f>INDEX($C$349:$AN$371,MATCH("New Customers 1MS",$C$349:$C$371,0),MATCH($C422,$C$349:$AN$349,0))</f>
        <v>4.9999999999999991</v>
      </c>
      <c r="J422" s="211">
        <f>I422*(E416)</f>
        <v>0.19999999999999996</v>
      </c>
      <c r="K422" s="211">
        <f>I422*(F416)</f>
        <v>0.19999999999999996</v>
      </c>
      <c r="L422" s="211">
        <f>I422*(G416)</f>
        <v>0.19999999999999996</v>
      </c>
      <c r="M422" s="211">
        <f>I422*(H416)</f>
        <v>0.19999999999999996</v>
      </c>
      <c r="N422" s="211">
        <f>I422*(I416)</f>
        <v>0.14999999999999997</v>
      </c>
      <c r="O422" s="211">
        <f>I422*(J416)</f>
        <v>0.14999999999999997</v>
      </c>
      <c r="P422" s="211">
        <f>I422*(K416)</f>
        <v>0.14999999999999997</v>
      </c>
      <c r="Q422" s="211">
        <f>I422*(L416)</f>
        <v>0.14999999999999997</v>
      </c>
      <c r="R422" s="211">
        <f>I422*(M416)</f>
        <v>9.9999999999999978E-2</v>
      </c>
      <c r="S422" s="211">
        <f>I422*(N416)</f>
        <v>9.9999999999999978E-2</v>
      </c>
      <c r="T422" s="211">
        <f>I422*(O416)</f>
        <v>9.9999999999999978E-2</v>
      </c>
      <c r="U422" s="211">
        <f>I422*(P416)</f>
        <v>0.14999999999999997</v>
      </c>
      <c r="V422" s="211">
        <f>I422*(Q416)</f>
        <v>0.14999999999999997</v>
      </c>
      <c r="W422" s="211">
        <f>I422*(R416)</f>
        <v>4.9999999999999989E-2</v>
      </c>
      <c r="X422" s="211">
        <f>I422*(S416)</f>
        <v>4.9999999999999989E-2</v>
      </c>
      <c r="Y422" s="211">
        <f>I422*(T416)</f>
        <v>4.9999999999999989E-2</v>
      </c>
      <c r="Z422" s="211">
        <f>I422*(U416)</f>
        <v>4.9999999999999989E-2</v>
      </c>
      <c r="AA422" s="211">
        <f>I422*(V416)</f>
        <v>4.9999999999999989E-2</v>
      </c>
      <c r="AB422" s="211">
        <f>I422*(W416)</f>
        <v>4.9999999999999989E-2</v>
      </c>
      <c r="AC422" s="211">
        <f>I422*(X416)</f>
        <v>4.9999999999999989E-2</v>
      </c>
      <c r="AD422" s="211">
        <f>I422*(Y416)</f>
        <v>4.9999999999999989E-2</v>
      </c>
      <c r="AE422" s="211">
        <f>I422*(Z416)</f>
        <v>4.9999999999999989E-2</v>
      </c>
      <c r="AF422" s="211">
        <f>I422*(AA416)</f>
        <v>4.9999999999999989E-2</v>
      </c>
      <c r="AG422" s="211">
        <f>I422*(AB416)</f>
        <v>4.9999999999999989E-2</v>
      </c>
      <c r="AH422" s="211">
        <f>I422*(AC416)</f>
        <v>4.9999999999999989E-2</v>
      </c>
      <c r="AI422" s="211">
        <f>I422*(AD416)</f>
        <v>4.9999999999999989E-2</v>
      </c>
      <c r="AJ422" s="211">
        <f>I422*(AE416)</f>
        <v>4.9999999999999989E-2</v>
      </c>
      <c r="AK422" s="211">
        <f>I422*(AF416)</f>
        <v>4.9999999999999989E-2</v>
      </c>
      <c r="AL422" s="211">
        <f>I422*(AG416)</f>
        <v>4.9999999999999989E-2</v>
      </c>
      <c r="AM422" s="211">
        <f>I422*(AH416)</f>
        <v>4.9999999999999989E-2</v>
      </c>
      <c r="AN422" s="211">
        <f>I422*(AI416)</f>
        <v>4.9999999999999989E-2</v>
      </c>
    </row>
    <row r="423" spans="2:40" s="7" customFormat="1" ht="12" hidden="1" customHeight="1" outlineLevel="2">
      <c r="B423" s="245"/>
      <c r="C423" s="213" t="s">
        <v>758</v>
      </c>
      <c r="D423" s="213"/>
      <c r="E423" s="213"/>
      <c r="F423" s="213"/>
      <c r="G423" s="213"/>
      <c r="H423" s="213"/>
      <c r="I423" s="213"/>
      <c r="J423" s="211">
        <f>INDEX($C$349:$AN$371,MATCH("New Customers 1MS",$C$349:$C$371,0),MATCH($C423,$C$349:$AN$349,0))</f>
        <v>71.999999999999972</v>
      </c>
      <c r="K423" s="211">
        <f>J423*(E416)</f>
        <v>2.879999999999999</v>
      </c>
      <c r="L423" s="211">
        <f>J423*(F416)</f>
        <v>2.879999999999999</v>
      </c>
      <c r="M423" s="211">
        <f>J423*(G416)</f>
        <v>2.879999999999999</v>
      </c>
      <c r="N423" s="211">
        <f>J423*(H416)</f>
        <v>2.879999999999999</v>
      </c>
      <c r="O423" s="211">
        <f>J423*(I416)</f>
        <v>2.1599999999999993</v>
      </c>
      <c r="P423" s="211">
        <f>J423*(J416)</f>
        <v>2.1599999999999993</v>
      </c>
      <c r="Q423" s="211">
        <f>J423*(K416)</f>
        <v>2.1599999999999993</v>
      </c>
      <c r="R423" s="211">
        <f>J423*(L416)</f>
        <v>2.1599999999999993</v>
      </c>
      <c r="S423" s="211">
        <f>J423*(M416)</f>
        <v>1.4399999999999995</v>
      </c>
      <c r="T423" s="211">
        <f>J423*(N416)</f>
        <v>1.4399999999999995</v>
      </c>
      <c r="U423" s="211">
        <f>J423*(O416)</f>
        <v>1.4399999999999995</v>
      </c>
      <c r="V423" s="211">
        <f>J423*(P416)</f>
        <v>2.1599999999999993</v>
      </c>
      <c r="W423" s="211">
        <f>J423*(Q416)</f>
        <v>2.1599999999999993</v>
      </c>
      <c r="X423" s="211">
        <f>J423*(R416)</f>
        <v>0.71999999999999975</v>
      </c>
      <c r="Y423" s="211">
        <f>J423*(S416)</f>
        <v>0.71999999999999975</v>
      </c>
      <c r="Z423" s="211">
        <f>J423*(T416)</f>
        <v>0.71999999999999975</v>
      </c>
      <c r="AA423" s="211">
        <f>J423*(U416)</f>
        <v>0.71999999999999975</v>
      </c>
      <c r="AB423" s="211">
        <f>J423*(V416)</f>
        <v>0.71999999999999975</v>
      </c>
      <c r="AC423" s="211">
        <f>J423*(W416)</f>
        <v>0.71999999999999975</v>
      </c>
      <c r="AD423" s="211">
        <f>J423*(X416)</f>
        <v>0.71999999999999975</v>
      </c>
      <c r="AE423" s="211">
        <f>J423*(Y416)</f>
        <v>0.71999999999999975</v>
      </c>
      <c r="AF423" s="211">
        <f>J423*(Z416)</f>
        <v>0.71999999999999975</v>
      </c>
      <c r="AG423" s="211">
        <f>J423*(AA416)</f>
        <v>0.71999999999999975</v>
      </c>
      <c r="AH423" s="211">
        <f>J423*(AB416)</f>
        <v>0.71999999999999975</v>
      </c>
      <c r="AI423" s="211">
        <f>J423*(AC416)</f>
        <v>0.71999999999999975</v>
      </c>
      <c r="AJ423" s="211">
        <f>J423*(AD416)</f>
        <v>0.71999999999999975</v>
      </c>
      <c r="AK423" s="211">
        <f>J423*(AE416)</f>
        <v>0.71999999999999975</v>
      </c>
      <c r="AL423" s="211">
        <f>J423*(AF416)</f>
        <v>0.71999999999999975</v>
      </c>
      <c r="AM423" s="211">
        <f>J423*(AG416)</f>
        <v>0.71999999999999975</v>
      </c>
      <c r="AN423" s="211">
        <f>J423*(AH416)</f>
        <v>0.71999999999999975</v>
      </c>
    </row>
    <row r="424" spans="2:40" s="7" customFormat="1" ht="12" hidden="1" customHeight="1" outlineLevel="2">
      <c r="B424" s="245"/>
      <c r="C424" s="213" t="s">
        <v>759</v>
      </c>
      <c r="D424" s="213"/>
      <c r="E424" s="213"/>
      <c r="F424" s="213"/>
      <c r="G424" s="213"/>
      <c r="H424" s="213"/>
      <c r="I424" s="213"/>
      <c r="J424" s="213"/>
      <c r="K424" s="211">
        <f>INDEX($C$349:$AN$371,MATCH("New Customers 1MS",$C$349:$C$371,0),MATCH($C424,$C$349:$AN$349,0))</f>
        <v>37.000000000000028</v>
      </c>
      <c r="L424" s="211">
        <f>K424*(E416)</f>
        <v>1.4800000000000011</v>
      </c>
      <c r="M424" s="211">
        <f>K424*(F416)</f>
        <v>1.4800000000000011</v>
      </c>
      <c r="N424" s="211">
        <f>K424*(G416)</f>
        <v>1.4800000000000011</v>
      </c>
      <c r="O424" s="211">
        <f>K424*(H416)</f>
        <v>1.4800000000000011</v>
      </c>
      <c r="P424" s="211">
        <f>K424*(I416)</f>
        <v>1.1100000000000008</v>
      </c>
      <c r="Q424" s="211">
        <f>K424*(J416)</f>
        <v>1.1100000000000008</v>
      </c>
      <c r="R424" s="211">
        <f>K424*(K416)</f>
        <v>1.1100000000000008</v>
      </c>
      <c r="S424" s="211">
        <f>K424*(L416)</f>
        <v>1.1100000000000008</v>
      </c>
      <c r="T424" s="211">
        <f>K424*(M416)</f>
        <v>0.74000000000000055</v>
      </c>
      <c r="U424" s="211">
        <f>K424*(N416)</f>
        <v>0.74000000000000055</v>
      </c>
      <c r="V424" s="211">
        <f>K424*(O416)</f>
        <v>0.74000000000000055</v>
      </c>
      <c r="W424" s="211">
        <f>K424*(P416)</f>
        <v>1.1100000000000008</v>
      </c>
      <c r="X424" s="211">
        <f>K424*(Q416)</f>
        <v>1.1100000000000008</v>
      </c>
      <c r="Y424" s="211">
        <f>K424*(R416)</f>
        <v>0.37000000000000027</v>
      </c>
      <c r="Z424" s="211">
        <f>K424*(S416)</f>
        <v>0.37000000000000027</v>
      </c>
      <c r="AA424" s="211">
        <f>K424*(T416)</f>
        <v>0.37000000000000027</v>
      </c>
      <c r="AB424" s="211">
        <f>K424*(U416)</f>
        <v>0.37000000000000027</v>
      </c>
      <c r="AC424" s="211">
        <f>K424*(V416)</f>
        <v>0.37000000000000027</v>
      </c>
      <c r="AD424" s="211">
        <f>K424*(W416)</f>
        <v>0.37000000000000027</v>
      </c>
      <c r="AE424" s="211">
        <f>K424*(X416)</f>
        <v>0.37000000000000027</v>
      </c>
      <c r="AF424" s="211">
        <f>K424*(Y416)</f>
        <v>0.37000000000000027</v>
      </c>
      <c r="AG424" s="211">
        <f>K424*(Z416)</f>
        <v>0.37000000000000027</v>
      </c>
      <c r="AH424" s="211">
        <f>K424*(AA416)</f>
        <v>0.37000000000000027</v>
      </c>
      <c r="AI424" s="211">
        <f>K424*(AB416)</f>
        <v>0.37000000000000027</v>
      </c>
      <c r="AJ424" s="211">
        <f>K424*(AC416)</f>
        <v>0.37000000000000027</v>
      </c>
      <c r="AK424" s="211">
        <f>K424*(AD416)</f>
        <v>0.37000000000000027</v>
      </c>
      <c r="AL424" s="211">
        <f>K424*(AE416)</f>
        <v>0.37000000000000027</v>
      </c>
      <c r="AM424" s="211">
        <f>K424*(AF416)</f>
        <v>0.37000000000000027</v>
      </c>
      <c r="AN424" s="211">
        <f>K424*(AG416)</f>
        <v>0.37000000000000027</v>
      </c>
    </row>
    <row r="425" spans="2:40" s="7" customFormat="1" ht="12" hidden="1" customHeight="1" outlineLevel="2">
      <c r="B425" s="245"/>
      <c r="C425" s="213" t="s">
        <v>760</v>
      </c>
      <c r="D425" s="213"/>
      <c r="E425" s="213"/>
      <c r="F425" s="213"/>
      <c r="G425" s="213"/>
      <c r="H425" s="213"/>
      <c r="I425" s="213"/>
      <c r="J425" s="213"/>
      <c r="K425" s="213"/>
      <c r="L425" s="211">
        <f>INDEX($C$349:$AN$371,MATCH("New Customers 1MS",$C$349:$C$371,0),MATCH($C425,$C$349:$AN$349,0))</f>
        <v>26.82</v>
      </c>
      <c r="M425" s="211">
        <f>L425*(E416)</f>
        <v>1.0728</v>
      </c>
      <c r="N425" s="211">
        <f>L425*(F416)</f>
        <v>1.0728</v>
      </c>
      <c r="O425" s="211">
        <f>L425*(G416)</f>
        <v>1.0728</v>
      </c>
      <c r="P425" s="211">
        <f>L425*(H416)</f>
        <v>1.0728</v>
      </c>
      <c r="Q425" s="211">
        <f>L425*(I416)</f>
        <v>0.80459999999999998</v>
      </c>
      <c r="R425" s="211">
        <f>L425*(J416)</f>
        <v>0.80459999999999998</v>
      </c>
      <c r="S425" s="211">
        <f>L425*(K416)</f>
        <v>0.80459999999999998</v>
      </c>
      <c r="T425" s="211">
        <f>L425*(L416)</f>
        <v>0.80459999999999998</v>
      </c>
      <c r="U425" s="211">
        <f>L425*(M416)</f>
        <v>0.53639999999999999</v>
      </c>
      <c r="V425" s="211">
        <f>L425*(N416)</f>
        <v>0.53639999999999999</v>
      </c>
      <c r="W425" s="211">
        <f>L425*(O416)</f>
        <v>0.53639999999999999</v>
      </c>
      <c r="X425" s="211">
        <f>L425*(P416)</f>
        <v>0.80459999999999998</v>
      </c>
      <c r="Y425" s="211">
        <f>L425*(Q416)</f>
        <v>0.80459999999999998</v>
      </c>
      <c r="Z425" s="211">
        <f>L425*(R416)</f>
        <v>0.26819999999999999</v>
      </c>
      <c r="AA425" s="211">
        <f>L425*(S416)</f>
        <v>0.26819999999999999</v>
      </c>
      <c r="AB425" s="211">
        <f>L425*(T416)</f>
        <v>0.26819999999999999</v>
      </c>
      <c r="AC425" s="211">
        <f>L425*(U416)</f>
        <v>0.26819999999999999</v>
      </c>
      <c r="AD425" s="211">
        <f>L425*(V416)</f>
        <v>0.26819999999999999</v>
      </c>
      <c r="AE425" s="211">
        <f>L425*(W416)</f>
        <v>0.26819999999999999</v>
      </c>
      <c r="AF425" s="211">
        <f>L425*(X416)</f>
        <v>0.26819999999999999</v>
      </c>
      <c r="AG425" s="211">
        <f>L425*(Y416)</f>
        <v>0.26819999999999999</v>
      </c>
      <c r="AH425" s="211">
        <f>L425*(Z416)</f>
        <v>0.26819999999999999</v>
      </c>
      <c r="AI425" s="211">
        <f>L425*(AA416)</f>
        <v>0.26819999999999999</v>
      </c>
      <c r="AJ425" s="211">
        <f>L425*(AB416)</f>
        <v>0.26819999999999999</v>
      </c>
      <c r="AK425" s="211">
        <f>L425*(AC416)</f>
        <v>0.26819999999999999</v>
      </c>
      <c r="AL425" s="211">
        <f>L425*(AD416)</f>
        <v>0.26819999999999999</v>
      </c>
      <c r="AM425" s="211">
        <f>L425*(AE416)</f>
        <v>0.26819999999999999</v>
      </c>
      <c r="AN425" s="211">
        <f>L425*(AF416)</f>
        <v>0.26819999999999999</v>
      </c>
    </row>
    <row r="426" spans="2:40" s="7" customFormat="1" ht="12" hidden="1" customHeight="1" outlineLevel="2">
      <c r="B426" s="245"/>
      <c r="C426" s="213" t="s">
        <v>761</v>
      </c>
      <c r="D426" s="213"/>
      <c r="E426" s="213"/>
      <c r="F426" s="213"/>
      <c r="G426" s="213"/>
      <c r="H426" s="213"/>
      <c r="I426" s="213"/>
      <c r="J426" s="213"/>
      <c r="K426" s="213"/>
      <c r="L426" s="213"/>
      <c r="M426" s="211">
        <f>INDEX($C$349:$AN$371,MATCH("New Customers 1MS",$C$349:$C$371,0),MATCH($C426,$C$349:$AN$349,0))</f>
        <v>0</v>
      </c>
      <c r="N426" s="211">
        <f>M426*(E416)</f>
        <v>0</v>
      </c>
      <c r="O426" s="211">
        <f>M426*(F416)</f>
        <v>0</v>
      </c>
      <c r="P426" s="211">
        <f>M426*(G416)</f>
        <v>0</v>
      </c>
      <c r="Q426" s="211">
        <f>M426*(H416)</f>
        <v>0</v>
      </c>
      <c r="R426" s="211">
        <f>M426*(I416)</f>
        <v>0</v>
      </c>
      <c r="S426" s="211">
        <f>M426*(J416)</f>
        <v>0</v>
      </c>
      <c r="T426" s="211">
        <f>M426*(K416)</f>
        <v>0</v>
      </c>
      <c r="U426" s="211">
        <f>M426*(L416)</f>
        <v>0</v>
      </c>
      <c r="V426" s="211">
        <f>M426*(M416)</f>
        <v>0</v>
      </c>
      <c r="W426" s="211">
        <f>M426*(N416)</f>
        <v>0</v>
      </c>
      <c r="X426" s="211">
        <f>M426*(O416)</f>
        <v>0</v>
      </c>
      <c r="Y426" s="211">
        <f>M426*(P416)</f>
        <v>0</v>
      </c>
      <c r="Z426" s="211">
        <f>M426*(Q416)</f>
        <v>0</v>
      </c>
      <c r="AA426" s="211">
        <f>M426*(R416)</f>
        <v>0</v>
      </c>
      <c r="AB426" s="211">
        <f>M426*(S416)</f>
        <v>0</v>
      </c>
      <c r="AC426" s="211">
        <f>M426*(T416)</f>
        <v>0</v>
      </c>
      <c r="AD426" s="211">
        <f>M426*(U416)</f>
        <v>0</v>
      </c>
      <c r="AE426" s="211">
        <f>M426*(V416)</f>
        <v>0</v>
      </c>
      <c r="AF426" s="211">
        <f>M426*(W416)</f>
        <v>0</v>
      </c>
      <c r="AG426" s="211">
        <f>M426*(X416)</f>
        <v>0</v>
      </c>
      <c r="AH426" s="211">
        <f>M426*(Y416)</f>
        <v>0</v>
      </c>
      <c r="AI426" s="211">
        <f>M426*(Z416)</f>
        <v>0</v>
      </c>
      <c r="AJ426" s="211">
        <f>M426*(AA416)</f>
        <v>0</v>
      </c>
      <c r="AK426" s="211">
        <f>M426*(AB416)</f>
        <v>0</v>
      </c>
      <c r="AL426" s="211">
        <f>M426*(AC416)</f>
        <v>0</v>
      </c>
      <c r="AM426" s="211">
        <f>M426*(AD416)</f>
        <v>0</v>
      </c>
      <c r="AN426" s="211">
        <f>M426*(AE416)</f>
        <v>0</v>
      </c>
    </row>
    <row r="427" spans="2:40" s="7" customFormat="1" ht="12" hidden="1" customHeight="1" outlineLevel="2">
      <c r="B427" s="245"/>
      <c r="C427" s="213" t="s">
        <v>762</v>
      </c>
      <c r="D427" s="213"/>
      <c r="E427" s="213"/>
      <c r="F427" s="213"/>
      <c r="G427" s="213"/>
      <c r="H427" s="213"/>
      <c r="I427" s="213"/>
      <c r="J427" s="213"/>
      <c r="K427" s="213"/>
      <c r="L427" s="213"/>
      <c r="M427" s="213"/>
      <c r="N427" s="211">
        <f>INDEX($C$349:$AN$371,MATCH("New Customers 1MS",$C$349:$C$371,0),MATCH($C427,$C$349:$AN$349,0))</f>
        <v>0</v>
      </c>
      <c r="O427" s="211">
        <f>N427*(E416)</f>
        <v>0</v>
      </c>
      <c r="P427" s="211">
        <f>N427*(F416)</f>
        <v>0</v>
      </c>
      <c r="Q427" s="211">
        <f>N427*(G416)</f>
        <v>0</v>
      </c>
      <c r="R427" s="211">
        <f>N427*(H416)</f>
        <v>0</v>
      </c>
      <c r="S427" s="211">
        <f>N427*(I416)</f>
        <v>0</v>
      </c>
      <c r="T427" s="211">
        <f>N427*(J416)</f>
        <v>0</v>
      </c>
      <c r="U427" s="211">
        <f>N427*(K416)</f>
        <v>0</v>
      </c>
      <c r="V427" s="211">
        <f>N427*(L416)</f>
        <v>0</v>
      </c>
      <c r="W427" s="211">
        <f>N427*(M416)</f>
        <v>0</v>
      </c>
      <c r="X427" s="211">
        <f>N427*(N416)</f>
        <v>0</v>
      </c>
      <c r="Y427" s="211">
        <f>N427*(O416)</f>
        <v>0</v>
      </c>
      <c r="Z427" s="211">
        <f>N427*(P416)</f>
        <v>0</v>
      </c>
      <c r="AA427" s="211">
        <f>N427*(Q416)</f>
        <v>0</v>
      </c>
      <c r="AB427" s="211">
        <f>N427*(R416)</f>
        <v>0</v>
      </c>
      <c r="AC427" s="211">
        <f>N427*(S416)</f>
        <v>0</v>
      </c>
      <c r="AD427" s="211">
        <f>N427*(T416)</f>
        <v>0</v>
      </c>
      <c r="AE427" s="211">
        <f>N427*(U416)</f>
        <v>0</v>
      </c>
      <c r="AF427" s="211">
        <f>N427*(V416)</f>
        <v>0</v>
      </c>
      <c r="AG427" s="211">
        <f>N427*(W416)</f>
        <v>0</v>
      </c>
      <c r="AH427" s="211">
        <f>N427*(X416)</f>
        <v>0</v>
      </c>
      <c r="AI427" s="211">
        <f>N427*(Y416)</f>
        <v>0</v>
      </c>
      <c r="AJ427" s="211">
        <f>N427*(Z416)</f>
        <v>0</v>
      </c>
      <c r="AK427" s="211">
        <f>N427*(AA416)</f>
        <v>0</v>
      </c>
      <c r="AL427" s="211">
        <f>N427*(AB416)</f>
        <v>0</v>
      </c>
      <c r="AM427" s="211">
        <f>N427*(AC416)</f>
        <v>0</v>
      </c>
      <c r="AN427" s="211">
        <f>N427*(AD416)</f>
        <v>0</v>
      </c>
    </row>
    <row r="428" spans="2:40" s="7" customFormat="1" ht="12" hidden="1" customHeight="1" outlineLevel="2">
      <c r="B428" s="245"/>
      <c r="C428" s="213" t="s">
        <v>763</v>
      </c>
      <c r="D428" s="213"/>
      <c r="E428" s="213"/>
      <c r="F428" s="213"/>
      <c r="G428" s="213"/>
      <c r="H428" s="213"/>
      <c r="I428" s="213"/>
      <c r="J428" s="213"/>
      <c r="K428" s="213"/>
      <c r="L428" s="213"/>
      <c r="M428" s="213"/>
      <c r="N428" s="213"/>
      <c r="O428" s="211">
        <f>INDEX($C$349:$AN$371,MATCH("New Customers 1MS",$C$349:$C$371,0),MATCH($C428,$C$349:$AN$349,0))</f>
        <v>0</v>
      </c>
      <c r="P428" s="211">
        <f>O428*(E416)</f>
        <v>0</v>
      </c>
      <c r="Q428" s="211">
        <f>O428*(F416)</f>
        <v>0</v>
      </c>
      <c r="R428" s="211">
        <f>O428*(G416)</f>
        <v>0</v>
      </c>
      <c r="S428" s="211">
        <f>O428*(H416)</f>
        <v>0</v>
      </c>
      <c r="T428" s="211">
        <f>O428*(I416)</f>
        <v>0</v>
      </c>
      <c r="U428" s="211">
        <f>O428*(J416)</f>
        <v>0</v>
      </c>
      <c r="V428" s="211">
        <f>O428*(K416)</f>
        <v>0</v>
      </c>
      <c r="W428" s="211">
        <f>O428*(L416)</f>
        <v>0</v>
      </c>
      <c r="X428" s="211">
        <f>O428*(M416)</f>
        <v>0</v>
      </c>
      <c r="Y428" s="211">
        <f>O428*(N416)</f>
        <v>0</v>
      </c>
      <c r="Z428" s="211">
        <f>O428*(O416)</f>
        <v>0</v>
      </c>
      <c r="AA428" s="211">
        <f>O428*(P416)</f>
        <v>0</v>
      </c>
      <c r="AB428" s="211">
        <f>O428*(Q416)</f>
        <v>0</v>
      </c>
      <c r="AC428" s="211">
        <f>O428*(R416)</f>
        <v>0</v>
      </c>
      <c r="AD428" s="211">
        <f>O428*(S416)</f>
        <v>0</v>
      </c>
      <c r="AE428" s="211">
        <f>O428*(T416)</f>
        <v>0</v>
      </c>
      <c r="AF428" s="211">
        <f>O428*(U416)</f>
        <v>0</v>
      </c>
      <c r="AG428" s="211">
        <f>O428*(V416)</f>
        <v>0</v>
      </c>
      <c r="AH428" s="211">
        <f>O428*(W416)</f>
        <v>0</v>
      </c>
      <c r="AI428" s="211">
        <f>O428*(X416)</f>
        <v>0</v>
      </c>
      <c r="AJ428" s="211">
        <f>O428*(Y416)</f>
        <v>0</v>
      </c>
      <c r="AK428" s="211">
        <f>O428*(Z416)</f>
        <v>0</v>
      </c>
      <c r="AL428" s="211">
        <f>O428*(AA416)</f>
        <v>0</v>
      </c>
      <c r="AM428" s="211">
        <f>O428*(AB416)</f>
        <v>0</v>
      </c>
      <c r="AN428" s="211">
        <f>O428*(AC416)</f>
        <v>0</v>
      </c>
    </row>
    <row r="429" spans="2:40" s="7" customFormat="1" ht="12" hidden="1" customHeight="1" outlineLevel="2">
      <c r="B429" s="245"/>
      <c r="C429" s="213" t="s">
        <v>764</v>
      </c>
      <c r="D429" s="213"/>
      <c r="E429" s="213"/>
      <c r="F429" s="213"/>
      <c r="G429" s="213"/>
      <c r="H429" s="213"/>
      <c r="I429" s="213"/>
      <c r="J429" s="213"/>
      <c r="K429" s="213"/>
      <c r="L429" s="213"/>
      <c r="M429" s="213"/>
      <c r="N429" s="213"/>
      <c r="O429" s="213"/>
      <c r="P429" s="211">
        <f>INDEX($C$349:$AN$371,MATCH("New Customers 1MS",$C$349:$C$371,0),MATCH($C429,$C$349:$AN$349,0))</f>
        <v>0</v>
      </c>
      <c r="Q429" s="211">
        <f>P429*(E416)</f>
        <v>0</v>
      </c>
      <c r="R429" s="211">
        <f>P429*(F416)</f>
        <v>0</v>
      </c>
      <c r="S429" s="211">
        <f>P429*(G416)</f>
        <v>0</v>
      </c>
      <c r="T429" s="211">
        <f>P429*(H416)</f>
        <v>0</v>
      </c>
      <c r="U429" s="211">
        <f>P429*(I416)</f>
        <v>0</v>
      </c>
      <c r="V429" s="211">
        <f>P429*(J416)</f>
        <v>0</v>
      </c>
      <c r="W429" s="211">
        <f>P429*(K416)</f>
        <v>0</v>
      </c>
      <c r="X429" s="211">
        <f>P429*(L416)</f>
        <v>0</v>
      </c>
      <c r="Y429" s="211">
        <f>P429*(M416)</f>
        <v>0</v>
      </c>
      <c r="Z429" s="211">
        <f>P429*(N416)</f>
        <v>0</v>
      </c>
      <c r="AA429" s="211">
        <f>P429*(O416)</f>
        <v>0</v>
      </c>
      <c r="AB429" s="211">
        <f>P429*(P416)</f>
        <v>0</v>
      </c>
      <c r="AC429" s="211">
        <f>P429*(Q416)</f>
        <v>0</v>
      </c>
      <c r="AD429" s="211">
        <f>P429*(R416)</f>
        <v>0</v>
      </c>
      <c r="AE429" s="211">
        <f>P429*(S416)</f>
        <v>0</v>
      </c>
      <c r="AF429" s="211">
        <f>P429*(T416)</f>
        <v>0</v>
      </c>
      <c r="AG429" s="211">
        <f>P429*(U416)</f>
        <v>0</v>
      </c>
      <c r="AH429" s="211">
        <f>P429*(V416)</f>
        <v>0</v>
      </c>
      <c r="AI429" s="211">
        <f>P429*(W416)</f>
        <v>0</v>
      </c>
      <c r="AJ429" s="211">
        <f>P429*(X416)</f>
        <v>0</v>
      </c>
      <c r="AK429" s="211">
        <f>P429*(Y416)</f>
        <v>0</v>
      </c>
      <c r="AL429" s="211">
        <f>P429*(Z416)</f>
        <v>0</v>
      </c>
      <c r="AM429" s="211">
        <f>P429*(AA416)</f>
        <v>0</v>
      </c>
      <c r="AN429" s="211">
        <f>P429*(AB416)</f>
        <v>0</v>
      </c>
    </row>
    <row r="430" spans="2:40" s="7" customFormat="1" ht="12" hidden="1" customHeight="1" outlineLevel="2">
      <c r="B430" s="245"/>
      <c r="C430" s="213" t="s">
        <v>765</v>
      </c>
      <c r="D430" s="213"/>
      <c r="E430" s="213"/>
      <c r="F430" s="213"/>
      <c r="G430" s="213"/>
      <c r="H430" s="213"/>
      <c r="I430" s="213"/>
      <c r="J430" s="213"/>
      <c r="K430" s="213"/>
      <c r="L430" s="213"/>
      <c r="M430" s="213"/>
      <c r="N430" s="213"/>
      <c r="O430" s="213"/>
      <c r="P430" s="213"/>
      <c r="Q430" s="211">
        <f>INDEX($C$349:$AN$371,MATCH("New Customers 1MS",$C$349:$C$371,0),MATCH($C430,$C$349:$AN$349,0))</f>
        <v>0</v>
      </c>
      <c r="R430" s="211">
        <f>Q430*(E416)</f>
        <v>0</v>
      </c>
      <c r="S430" s="211">
        <f>Q430*(F416)</f>
        <v>0</v>
      </c>
      <c r="T430" s="211">
        <f>Q430*(G416)</f>
        <v>0</v>
      </c>
      <c r="U430" s="211">
        <f>Q430*(H416)</f>
        <v>0</v>
      </c>
      <c r="V430" s="211">
        <f>Q430*(I416)</f>
        <v>0</v>
      </c>
      <c r="W430" s="211">
        <f>Q430*(J416)</f>
        <v>0</v>
      </c>
      <c r="X430" s="211">
        <f>Q430*(K416)</f>
        <v>0</v>
      </c>
      <c r="Y430" s="211">
        <f>Q430*(L416)</f>
        <v>0</v>
      </c>
      <c r="Z430" s="211">
        <f>Q430*(M416)</f>
        <v>0</v>
      </c>
      <c r="AA430" s="211">
        <f>Q430*(N416)</f>
        <v>0</v>
      </c>
      <c r="AB430" s="211">
        <f>Q430*(O416)</f>
        <v>0</v>
      </c>
      <c r="AC430" s="211">
        <f>Q430*(P416)</f>
        <v>0</v>
      </c>
      <c r="AD430" s="211">
        <f>Q430*(Q416)</f>
        <v>0</v>
      </c>
      <c r="AE430" s="211">
        <f>Q430*(R416)</f>
        <v>0</v>
      </c>
      <c r="AF430" s="211">
        <f>Q430*(S416)</f>
        <v>0</v>
      </c>
      <c r="AG430" s="211">
        <f>Q430*(T416)</f>
        <v>0</v>
      </c>
      <c r="AH430" s="211">
        <f>Q430*(U416)</f>
        <v>0</v>
      </c>
      <c r="AI430" s="211">
        <f>Q430*(V416)</f>
        <v>0</v>
      </c>
      <c r="AJ430" s="211">
        <f>Q430*(W416)</f>
        <v>0</v>
      </c>
      <c r="AK430" s="211">
        <f>Q430*(X416)</f>
        <v>0</v>
      </c>
      <c r="AL430" s="211">
        <f>Q430*(Y416)</f>
        <v>0</v>
      </c>
      <c r="AM430" s="211">
        <f>Q430*(Z416)</f>
        <v>0</v>
      </c>
      <c r="AN430" s="211">
        <f>Q430*(AA416)</f>
        <v>0</v>
      </c>
    </row>
    <row r="431" spans="2:40" s="7" customFormat="1" ht="12" hidden="1" customHeight="1" outlineLevel="2">
      <c r="B431" s="245"/>
      <c r="C431" s="213" t="s">
        <v>766</v>
      </c>
      <c r="D431" s="213"/>
      <c r="E431" s="213"/>
      <c r="F431" s="213"/>
      <c r="G431" s="213"/>
      <c r="H431" s="213"/>
      <c r="I431" s="213"/>
      <c r="J431" s="213"/>
      <c r="K431" s="213"/>
      <c r="L431" s="213"/>
      <c r="M431" s="213"/>
      <c r="N431" s="213"/>
      <c r="O431" s="213"/>
      <c r="P431" s="213"/>
      <c r="Q431" s="213"/>
      <c r="R431" s="211">
        <f>INDEX($C$349:$AN$371,MATCH("New Customers 1MS",$C$349:$C$371,0),MATCH($C431,$C$349:$AN$349,0))</f>
        <v>0</v>
      </c>
      <c r="S431" s="211">
        <f>R431*(E416)</f>
        <v>0</v>
      </c>
      <c r="T431" s="211">
        <f>R431*(F416)</f>
        <v>0</v>
      </c>
      <c r="U431" s="211">
        <f>R431*(G416)</f>
        <v>0</v>
      </c>
      <c r="V431" s="211">
        <f>R431*(H416)</f>
        <v>0</v>
      </c>
      <c r="W431" s="211">
        <f>R431*(I416)</f>
        <v>0</v>
      </c>
      <c r="X431" s="211">
        <f>R431*(J416)</f>
        <v>0</v>
      </c>
      <c r="Y431" s="211">
        <f>R431*(K416)</f>
        <v>0</v>
      </c>
      <c r="Z431" s="211">
        <f>R431*(L416)</f>
        <v>0</v>
      </c>
      <c r="AA431" s="211">
        <f>R431*(M416)</f>
        <v>0</v>
      </c>
      <c r="AB431" s="211">
        <f>R431*(N416)</f>
        <v>0</v>
      </c>
      <c r="AC431" s="211">
        <f>R431*(O416)</f>
        <v>0</v>
      </c>
      <c r="AD431" s="211">
        <f>R431*(P416)</f>
        <v>0</v>
      </c>
      <c r="AE431" s="211">
        <f>R431*(Q416)</f>
        <v>0</v>
      </c>
      <c r="AF431" s="211">
        <f>R431*(R416)</f>
        <v>0</v>
      </c>
      <c r="AG431" s="211">
        <f>R431*(S416)</f>
        <v>0</v>
      </c>
      <c r="AH431" s="211">
        <f>R431*(T416)</f>
        <v>0</v>
      </c>
      <c r="AI431" s="211">
        <f>R431*(U416)</f>
        <v>0</v>
      </c>
      <c r="AJ431" s="211">
        <f>R431*(V416)</f>
        <v>0</v>
      </c>
      <c r="AK431" s="211">
        <f>R431*(W416)</f>
        <v>0</v>
      </c>
      <c r="AL431" s="211">
        <f>R431*(X416)</f>
        <v>0</v>
      </c>
      <c r="AM431" s="211">
        <f>R431*(Y416)</f>
        <v>0</v>
      </c>
      <c r="AN431" s="211">
        <f>R431*(Z416)</f>
        <v>0</v>
      </c>
    </row>
    <row r="432" spans="2:40" s="7" customFormat="1" ht="12" hidden="1" customHeight="1" outlineLevel="2">
      <c r="B432" s="245"/>
      <c r="C432" s="213" t="s">
        <v>767</v>
      </c>
      <c r="D432" s="213"/>
      <c r="E432" s="213"/>
      <c r="F432" s="213"/>
      <c r="G432" s="213"/>
      <c r="H432" s="213"/>
      <c r="I432" s="213"/>
      <c r="J432" s="213"/>
      <c r="K432" s="213"/>
      <c r="L432" s="213"/>
      <c r="M432" s="213"/>
      <c r="N432" s="213"/>
      <c r="O432" s="213"/>
      <c r="P432" s="213"/>
      <c r="Q432" s="213"/>
      <c r="R432" s="213"/>
      <c r="S432" s="211">
        <f>INDEX($C$349:$AN$371,MATCH("New Customers 1MS",$C$349:$C$371,0),MATCH($C432,$C$349:$AN$349,0))</f>
        <v>0</v>
      </c>
      <c r="T432" s="211">
        <f>S432*(E416)</f>
        <v>0</v>
      </c>
      <c r="U432" s="211">
        <f>S432*(F416)</f>
        <v>0</v>
      </c>
      <c r="V432" s="211">
        <f>S432*(G416)</f>
        <v>0</v>
      </c>
      <c r="W432" s="211">
        <f>S432*(H416)</f>
        <v>0</v>
      </c>
      <c r="X432" s="211">
        <f>S432*(I416)</f>
        <v>0</v>
      </c>
      <c r="Y432" s="211">
        <f>S432*(J416)</f>
        <v>0</v>
      </c>
      <c r="Z432" s="211">
        <f>S432*(K416)</f>
        <v>0</v>
      </c>
      <c r="AA432" s="211">
        <f>S432*(L416)</f>
        <v>0</v>
      </c>
      <c r="AB432" s="211">
        <f>S432*(M416)</f>
        <v>0</v>
      </c>
      <c r="AC432" s="211">
        <f>S432*(N416)</f>
        <v>0</v>
      </c>
      <c r="AD432" s="211">
        <f>S432*(O416)</f>
        <v>0</v>
      </c>
      <c r="AE432" s="211">
        <f>S432*(P416)</f>
        <v>0</v>
      </c>
      <c r="AF432" s="211">
        <f>S432*(Q416)</f>
        <v>0</v>
      </c>
      <c r="AG432" s="211">
        <f>S432*(R416)</f>
        <v>0</v>
      </c>
      <c r="AH432" s="211">
        <f>S432*(S416)</f>
        <v>0</v>
      </c>
      <c r="AI432" s="211">
        <f>S432*(T416)</f>
        <v>0</v>
      </c>
      <c r="AJ432" s="211">
        <f>S432*(U416)</f>
        <v>0</v>
      </c>
      <c r="AK432" s="211">
        <f>S432*(V416)</f>
        <v>0</v>
      </c>
      <c r="AL432" s="211">
        <f>S432*(W416)</f>
        <v>0</v>
      </c>
      <c r="AM432" s="211">
        <f>S432*(X416)</f>
        <v>0</v>
      </c>
      <c r="AN432" s="211">
        <f>S432*(Y416)</f>
        <v>0</v>
      </c>
    </row>
    <row r="433" spans="2:40" s="7" customFormat="1" ht="12" hidden="1" customHeight="1" outlineLevel="2">
      <c r="B433" s="245"/>
      <c r="C433" s="213" t="s">
        <v>768</v>
      </c>
      <c r="D433" s="213"/>
      <c r="E433" s="213"/>
      <c r="F433" s="213"/>
      <c r="G433" s="213"/>
      <c r="H433" s="213"/>
      <c r="I433" s="213"/>
      <c r="J433" s="213"/>
      <c r="K433" s="213"/>
      <c r="L433" s="213"/>
      <c r="M433" s="213"/>
      <c r="N433" s="213"/>
      <c r="O433" s="213"/>
      <c r="P433" s="213"/>
      <c r="Q433" s="213"/>
      <c r="R433" s="213"/>
      <c r="S433" s="213"/>
      <c r="T433" s="211">
        <f>INDEX($C$349:$AN$371,MATCH("New Customers 1MS",$C$349:$C$371,0),MATCH($C433,$C$349:$AN$349,0))</f>
        <v>0</v>
      </c>
      <c r="U433" s="211">
        <f>T433*(E416)</f>
        <v>0</v>
      </c>
      <c r="V433" s="211">
        <f>T433*(F416)</f>
        <v>0</v>
      </c>
      <c r="W433" s="211">
        <f>T433*(G416)</f>
        <v>0</v>
      </c>
      <c r="X433" s="211">
        <f>T433*(H416)</f>
        <v>0</v>
      </c>
      <c r="Y433" s="211">
        <f>T433*(I416)</f>
        <v>0</v>
      </c>
      <c r="Z433" s="211">
        <f>T433*(J416)</f>
        <v>0</v>
      </c>
      <c r="AA433" s="211">
        <f>T433*(K416)</f>
        <v>0</v>
      </c>
      <c r="AB433" s="211">
        <f>T433*(L416)</f>
        <v>0</v>
      </c>
      <c r="AC433" s="211">
        <f>T433*(M416)</f>
        <v>0</v>
      </c>
      <c r="AD433" s="211">
        <f>T433*(N416)</f>
        <v>0</v>
      </c>
      <c r="AE433" s="211">
        <f>T433*(O416)</f>
        <v>0</v>
      </c>
      <c r="AF433" s="211">
        <f>T433*(P416)</f>
        <v>0</v>
      </c>
      <c r="AG433" s="211">
        <f>T433*(Q416)</f>
        <v>0</v>
      </c>
      <c r="AH433" s="211">
        <f>T433*(R416)</f>
        <v>0</v>
      </c>
      <c r="AI433" s="211">
        <f>T433*(S416)</f>
        <v>0</v>
      </c>
      <c r="AJ433" s="211">
        <f>T433*(T416)</f>
        <v>0</v>
      </c>
      <c r="AK433" s="211">
        <f>T433*(U416)</f>
        <v>0</v>
      </c>
      <c r="AL433" s="211">
        <f>T433*(V416)</f>
        <v>0</v>
      </c>
      <c r="AM433" s="211">
        <f>T433*(W416)</f>
        <v>0</v>
      </c>
      <c r="AN433" s="211">
        <f>T433*(X416)</f>
        <v>0</v>
      </c>
    </row>
    <row r="434" spans="2:40" s="7" customFormat="1" ht="12" hidden="1" customHeight="1" outlineLevel="2">
      <c r="B434" s="245"/>
      <c r="C434" s="213" t="s">
        <v>769</v>
      </c>
      <c r="D434" s="213"/>
      <c r="E434" s="213"/>
      <c r="F434" s="213"/>
      <c r="G434" s="213"/>
      <c r="H434" s="213"/>
      <c r="I434" s="213"/>
      <c r="J434" s="213"/>
      <c r="K434" s="213"/>
      <c r="L434" s="213"/>
      <c r="M434" s="213"/>
      <c r="N434" s="213"/>
      <c r="O434" s="213"/>
      <c r="P434" s="213"/>
      <c r="Q434" s="213"/>
      <c r="R434" s="213"/>
      <c r="S434" s="213"/>
      <c r="T434" s="213"/>
      <c r="U434" s="211">
        <f>INDEX($C$349:$AN$371,MATCH("New Customers 1MS",$C$349:$C$371,0),MATCH($C434,$C$349:$AN$349,0))</f>
        <v>0</v>
      </c>
      <c r="V434" s="211">
        <f>U434*(E416)</f>
        <v>0</v>
      </c>
      <c r="W434" s="211">
        <f>U434*(F416)</f>
        <v>0</v>
      </c>
      <c r="X434" s="211">
        <f>U434*(G416)</f>
        <v>0</v>
      </c>
      <c r="Y434" s="211">
        <f>U434*(H416)</f>
        <v>0</v>
      </c>
      <c r="Z434" s="211">
        <f>U434*(I416)</f>
        <v>0</v>
      </c>
      <c r="AA434" s="211">
        <f>U434*(J416)</f>
        <v>0</v>
      </c>
      <c r="AB434" s="211">
        <f>U434*(K416)</f>
        <v>0</v>
      </c>
      <c r="AC434" s="211">
        <f>U434*(L416)</f>
        <v>0</v>
      </c>
      <c r="AD434" s="211">
        <f>U434*(M416)</f>
        <v>0</v>
      </c>
      <c r="AE434" s="211">
        <f>U434*(N416)</f>
        <v>0</v>
      </c>
      <c r="AF434" s="211">
        <f>U434*(O416)</f>
        <v>0</v>
      </c>
      <c r="AG434" s="211">
        <f>U434*(P416)</f>
        <v>0</v>
      </c>
      <c r="AH434" s="211">
        <f>U434*(Q416)</f>
        <v>0</v>
      </c>
      <c r="AI434" s="211">
        <f>U434*(R416)</f>
        <v>0</v>
      </c>
      <c r="AJ434" s="211">
        <f>U434*(S416)</f>
        <v>0</v>
      </c>
      <c r="AK434" s="211">
        <f>U434*(T416)</f>
        <v>0</v>
      </c>
      <c r="AL434" s="211">
        <f>U434*(U416)</f>
        <v>0</v>
      </c>
      <c r="AM434" s="211">
        <f>U434*(V416)</f>
        <v>0</v>
      </c>
      <c r="AN434" s="211">
        <f>U434*(W416)</f>
        <v>0</v>
      </c>
    </row>
    <row r="435" spans="2:40" s="7" customFormat="1" ht="12" hidden="1" customHeight="1" outlineLevel="2">
      <c r="B435" s="245"/>
      <c r="C435" s="213" t="s">
        <v>770</v>
      </c>
      <c r="D435" s="213"/>
      <c r="E435" s="213"/>
      <c r="F435" s="213"/>
      <c r="G435" s="213"/>
      <c r="H435" s="213"/>
      <c r="I435" s="213"/>
      <c r="J435" s="213"/>
      <c r="K435" s="213"/>
      <c r="L435" s="213"/>
      <c r="M435" s="213"/>
      <c r="N435" s="213"/>
      <c r="O435" s="213"/>
      <c r="P435" s="213"/>
      <c r="Q435" s="213"/>
      <c r="R435" s="213"/>
      <c r="S435" s="213"/>
      <c r="T435" s="213"/>
      <c r="U435" s="213"/>
      <c r="V435" s="211">
        <f>INDEX($C$349:$AN$371,MATCH("New Customers 1MS",$C$349:$C$371,0),MATCH($C435,$C$349:$AN$349,0))</f>
        <v>0</v>
      </c>
      <c r="W435" s="211">
        <f>V435*(E416)</f>
        <v>0</v>
      </c>
      <c r="X435" s="211">
        <f>V435*(F416)</f>
        <v>0</v>
      </c>
      <c r="Y435" s="211">
        <f>V435*(G416)</f>
        <v>0</v>
      </c>
      <c r="Z435" s="211">
        <f>V435*(H416)</f>
        <v>0</v>
      </c>
      <c r="AA435" s="211">
        <f>V435*(I416)</f>
        <v>0</v>
      </c>
      <c r="AB435" s="211">
        <f>V435*(J416)</f>
        <v>0</v>
      </c>
      <c r="AC435" s="211">
        <f>V435*(K416)</f>
        <v>0</v>
      </c>
      <c r="AD435" s="211">
        <f>V435*(L416)</f>
        <v>0</v>
      </c>
      <c r="AE435" s="211">
        <f>V435*(M416)</f>
        <v>0</v>
      </c>
      <c r="AF435" s="211">
        <f>V435*(N416)</f>
        <v>0</v>
      </c>
      <c r="AG435" s="211">
        <f>V435*(O416)</f>
        <v>0</v>
      </c>
      <c r="AH435" s="211">
        <f>V435*(P416)</f>
        <v>0</v>
      </c>
      <c r="AI435" s="211">
        <f>V435*(Q416)</f>
        <v>0</v>
      </c>
      <c r="AJ435" s="211">
        <f>V435*(R416)</f>
        <v>0</v>
      </c>
      <c r="AK435" s="211">
        <f>V435*(S416)</f>
        <v>0</v>
      </c>
      <c r="AL435" s="211">
        <f>V435*(T416)</f>
        <v>0</v>
      </c>
      <c r="AM435" s="211">
        <f>V435*(U416)</f>
        <v>0</v>
      </c>
      <c r="AN435" s="211">
        <f>V435*(V416)</f>
        <v>0</v>
      </c>
    </row>
    <row r="436" spans="2:40" s="7" customFormat="1" ht="12" hidden="1" customHeight="1" outlineLevel="2">
      <c r="B436" s="245"/>
      <c r="C436" s="213" t="s">
        <v>771</v>
      </c>
      <c r="D436" s="213"/>
      <c r="E436" s="213"/>
      <c r="F436" s="213"/>
      <c r="G436" s="213"/>
      <c r="H436" s="213"/>
      <c r="I436" s="213"/>
      <c r="J436" s="213"/>
      <c r="K436" s="213"/>
      <c r="L436" s="213"/>
      <c r="M436" s="213"/>
      <c r="N436" s="213"/>
      <c r="O436" s="213"/>
      <c r="P436" s="213"/>
      <c r="Q436" s="213"/>
      <c r="R436" s="213"/>
      <c r="S436" s="213"/>
      <c r="T436" s="213"/>
      <c r="U436" s="213"/>
      <c r="V436" s="213"/>
      <c r="W436" s="211">
        <f>INDEX($C$349:$AN$371,MATCH("New Customers 1MS",$C$349:$C$371,0),MATCH($C436,$C$349:$AN$349,0))</f>
        <v>0</v>
      </c>
      <c r="X436" s="211">
        <f>W436*(E416)</f>
        <v>0</v>
      </c>
      <c r="Y436" s="211">
        <f>W436*(F416)</f>
        <v>0</v>
      </c>
      <c r="Z436" s="211">
        <f>W436*(G416)</f>
        <v>0</v>
      </c>
      <c r="AA436" s="211">
        <f>W436*(H416)</f>
        <v>0</v>
      </c>
      <c r="AB436" s="211">
        <f>W436*(I416)</f>
        <v>0</v>
      </c>
      <c r="AC436" s="211">
        <f>W436*(J416)</f>
        <v>0</v>
      </c>
      <c r="AD436" s="211">
        <f>W436*(K416)</f>
        <v>0</v>
      </c>
      <c r="AE436" s="211">
        <f>W436*(L416)</f>
        <v>0</v>
      </c>
      <c r="AF436" s="211">
        <f>W436*(M416)</f>
        <v>0</v>
      </c>
      <c r="AG436" s="211">
        <f>W436*(N416)</f>
        <v>0</v>
      </c>
      <c r="AH436" s="211">
        <f>W436*(O416)</f>
        <v>0</v>
      </c>
      <c r="AI436" s="211">
        <f>W436*(P416)</f>
        <v>0</v>
      </c>
      <c r="AJ436" s="211">
        <f>W436*(Q416)</f>
        <v>0</v>
      </c>
      <c r="AK436" s="211">
        <f>W436*(R416)</f>
        <v>0</v>
      </c>
      <c r="AL436" s="211">
        <f>W436*(S416)</f>
        <v>0</v>
      </c>
      <c r="AM436" s="211">
        <f>W436*(T416)</f>
        <v>0</v>
      </c>
      <c r="AN436" s="211">
        <f>W436*(U416)</f>
        <v>0</v>
      </c>
    </row>
    <row r="437" spans="2:40" s="7" customFormat="1" ht="12" hidden="1" customHeight="1" outlineLevel="2">
      <c r="B437" s="245"/>
      <c r="C437" s="213" t="s">
        <v>772</v>
      </c>
      <c r="D437" s="213"/>
      <c r="E437" s="213"/>
      <c r="F437" s="213"/>
      <c r="G437" s="213"/>
      <c r="H437" s="213"/>
      <c r="I437" s="213"/>
      <c r="J437" s="213"/>
      <c r="K437" s="213"/>
      <c r="L437" s="213"/>
      <c r="M437" s="213"/>
      <c r="N437" s="213"/>
      <c r="O437" s="213"/>
      <c r="P437" s="213"/>
      <c r="Q437" s="213"/>
      <c r="R437" s="213"/>
      <c r="S437" s="213"/>
      <c r="T437" s="213"/>
      <c r="U437" s="213"/>
      <c r="V437" s="213"/>
      <c r="W437" s="213"/>
      <c r="X437" s="211">
        <f>INDEX($C$349:$AN$371,MATCH("New Customers 1MS",$C$349:$C$371,0),MATCH($C437,$C$349:$AN$349,0))</f>
        <v>0</v>
      </c>
      <c r="Y437" s="211">
        <f>X437*(E416)</f>
        <v>0</v>
      </c>
      <c r="Z437" s="211">
        <f>X437*(F416)</f>
        <v>0</v>
      </c>
      <c r="AA437" s="211">
        <f>X437*(G416)</f>
        <v>0</v>
      </c>
      <c r="AB437" s="211">
        <f>X437*(H416)</f>
        <v>0</v>
      </c>
      <c r="AC437" s="211">
        <f>X437*(I416)</f>
        <v>0</v>
      </c>
      <c r="AD437" s="211">
        <f>X437*(J416)</f>
        <v>0</v>
      </c>
      <c r="AE437" s="211">
        <f>X437*(K416)</f>
        <v>0</v>
      </c>
      <c r="AF437" s="211">
        <f>X437*(L416)</f>
        <v>0</v>
      </c>
      <c r="AG437" s="211">
        <f>X437*(M416)</f>
        <v>0</v>
      </c>
      <c r="AH437" s="211">
        <f>X437*(N416)</f>
        <v>0</v>
      </c>
      <c r="AI437" s="211">
        <f>X437*(O416)</f>
        <v>0</v>
      </c>
      <c r="AJ437" s="211">
        <f>X437*(P416)</f>
        <v>0</v>
      </c>
      <c r="AK437" s="211">
        <f>X437*(Q416)</f>
        <v>0</v>
      </c>
      <c r="AL437" s="211">
        <f>X437*(R416)</f>
        <v>0</v>
      </c>
      <c r="AM437" s="211">
        <f>X437*(S416)</f>
        <v>0</v>
      </c>
      <c r="AN437" s="211">
        <f>X437*(T416)</f>
        <v>0</v>
      </c>
    </row>
    <row r="438" spans="2:40" s="7" customFormat="1" ht="12" hidden="1" customHeight="1" outlineLevel="2">
      <c r="B438" s="245"/>
      <c r="C438" s="213" t="s">
        <v>773</v>
      </c>
      <c r="D438" s="213"/>
      <c r="E438" s="213"/>
      <c r="F438" s="213"/>
      <c r="G438" s="213"/>
      <c r="H438" s="213"/>
      <c r="I438" s="213"/>
      <c r="J438" s="213"/>
      <c r="K438" s="213"/>
      <c r="L438" s="213"/>
      <c r="M438" s="213"/>
      <c r="N438" s="213"/>
      <c r="O438" s="213"/>
      <c r="P438" s="213"/>
      <c r="Q438" s="213"/>
      <c r="R438" s="213"/>
      <c r="S438" s="213"/>
      <c r="T438" s="213"/>
      <c r="U438" s="213"/>
      <c r="V438" s="213"/>
      <c r="W438" s="213"/>
      <c r="X438" s="213"/>
      <c r="Y438" s="211">
        <f>INDEX($C$349:$AN$371,MATCH("New Customers 1MS",$C$349:$C$371,0),MATCH($C438,$C$349:$AN$349,0))</f>
        <v>0</v>
      </c>
      <c r="Z438" s="211">
        <f>Y438*(E416)</f>
        <v>0</v>
      </c>
      <c r="AA438" s="211">
        <f>Y438*(F416)</f>
        <v>0</v>
      </c>
      <c r="AB438" s="211">
        <f>Y438*(G416)</f>
        <v>0</v>
      </c>
      <c r="AC438" s="211">
        <f>Y438*(H416)</f>
        <v>0</v>
      </c>
      <c r="AD438" s="211">
        <f>Y438*(I416)</f>
        <v>0</v>
      </c>
      <c r="AE438" s="211">
        <f>Y438*(J416)</f>
        <v>0</v>
      </c>
      <c r="AF438" s="211">
        <f>Y438*(K416)</f>
        <v>0</v>
      </c>
      <c r="AG438" s="211">
        <f>Y438*(L416)</f>
        <v>0</v>
      </c>
      <c r="AH438" s="211">
        <f>Y438*(M416)</f>
        <v>0</v>
      </c>
      <c r="AI438" s="211">
        <f>Y438*(N416)</f>
        <v>0</v>
      </c>
      <c r="AJ438" s="211">
        <f>Y438*(O416)</f>
        <v>0</v>
      </c>
      <c r="AK438" s="211">
        <f>Y438*(P416)</f>
        <v>0</v>
      </c>
      <c r="AL438" s="211">
        <f>Y438*(Q416)</f>
        <v>0</v>
      </c>
      <c r="AM438" s="211">
        <f>Y438*(R416)</f>
        <v>0</v>
      </c>
      <c r="AN438" s="211">
        <f>Y438*(S416)</f>
        <v>0</v>
      </c>
    </row>
    <row r="439" spans="2:40" s="7" customFormat="1" ht="12" hidden="1" customHeight="1" outlineLevel="2">
      <c r="B439" s="245"/>
      <c r="C439" s="213" t="s">
        <v>774</v>
      </c>
      <c r="D439" s="213"/>
      <c r="E439" s="213"/>
      <c r="F439" s="213"/>
      <c r="G439" s="213"/>
      <c r="H439" s="213"/>
      <c r="I439" s="213"/>
      <c r="J439" s="213"/>
      <c r="K439" s="213"/>
      <c r="L439" s="213"/>
      <c r="M439" s="213"/>
      <c r="N439" s="213"/>
      <c r="O439" s="213"/>
      <c r="P439" s="213"/>
      <c r="Q439" s="213"/>
      <c r="R439" s="213"/>
      <c r="S439" s="213"/>
      <c r="T439" s="213"/>
      <c r="U439" s="213"/>
      <c r="V439" s="213"/>
      <c r="W439" s="213"/>
      <c r="X439" s="213"/>
      <c r="Y439" s="213"/>
      <c r="Z439" s="211">
        <f>INDEX($C$349:$AN$371,MATCH("New Customers 1MS",$C$349:$C$371,0),MATCH($C439,$C$349:$AN$349,0))</f>
        <v>0</v>
      </c>
      <c r="AA439" s="211">
        <f>Z439*(E416)</f>
        <v>0</v>
      </c>
      <c r="AB439" s="211">
        <f>Z439*(F416)</f>
        <v>0</v>
      </c>
      <c r="AC439" s="211">
        <f>Z439*(G416)</f>
        <v>0</v>
      </c>
      <c r="AD439" s="211">
        <f>Z439*(H416)</f>
        <v>0</v>
      </c>
      <c r="AE439" s="211">
        <f>Z439*(I416)</f>
        <v>0</v>
      </c>
      <c r="AF439" s="211">
        <f>Z439*(J416)</f>
        <v>0</v>
      </c>
      <c r="AG439" s="211">
        <f>Z439*(K416)</f>
        <v>0</v>
      </c>
      <c r="AH439" s="211">
        <f>Z439*(L416)</f>
        <v>0</v>
      </c>
      <c r="AI439" s="211">
        <f>Z439*(M416)</f>
        <v>0</v>
      </c>
      <c r="AJ439" s="211">
        <f>Z439*(N416)</f>
        <v>0</v>
      </c>
      <c r="AK439" s="211">
        <f>Z439*(O416)</f>
        <v>0</v>
      </c>
      <c r="AL439" s="211">
        <f>Z439*(P416)</f>
        <v>0</v>
      </c>
      <c r="AM439" s="211">
        <f>Z439*(Q416)</f>
        <v>0</v>
      </c>
      <c r="AN439" s="211">
        <f>Z439*(R416)</f>
        <v>0</v>
      </c>
    </row>
    <row r="440" spans="2:40" s="7" customFormat="1" ht="12" hidden="1" customHeight="1" outlineLevel="2">
      <c r="B440" s="245"/>
      <c r="C440" s="213" t="s">
        <v>775</v>
      </c>
      <c r="D440" s="213"/>
      <c r="E440" s="213"/>
      <c r="F440" s="213"/>
      <c r="G440" s="213"/>
      <c r="H440" s="213"/>
      <c r="I440" s="213"/>
      <c r="J440" s="213"/>
      <c r="K440" s="213"/>
      <c r="L440" s="213"/>
      <c r="M440" s="213"/>
      <c r="N440" s="213"/>
      <c r="O440" s="213"/>
      <c r="P440" s="213"/>
      <c r="Q440" s="213"/>
      <c r="R440" s="213"/>
      <c r="S440" s="213"/>
      <c r="T440" s="213"/>
      <c r="U440" s="213"/>
      <c r="V440" s="213"/>
      <c r="W440" s="213"/>
      <c r="X440" s="213"/>
      <c r="Y440" s="213"/>
      <c r="Z440" s="213"/>
      <c r="AA440" s="211">
        <f>INDEX($C$349:$AN$371,MATCH("New Customers 1MS",$C$349:$C$371,0),MATCH($C440,$C$349:$AN$349,0))</f>
        <v>0</v>
      </c>
      <c r="AB440" s="211">
        <f>AA440*(E416)</f>
        <v>0</v>
      </c>
      <c r="AC440" s="211">
        <f>AA440*(F416)</f>
        <v>0</v>
      </c>
      <c r="AD440" s="211">
        <f>AA440*(G416)</f>
        <v>0</v>
      </c>
      <c r="AE440" s="211">
        <f>AA440*(H416)</f>
        <v>0</v>
      </c>
      <c r="AF440" s="211">
        <f>AA440*(I416)</f>
        <v>0</v>
      </c>
      <c r="AG440" s="211">
        <f>AA440*(J416)</f>
        <v>0</v>
      </c>
      <c r="AH440" s="211">
        <f>AA440*(K416)</f>
        <v>0</v>
      </c>
      <c r="AI440" s="211">
        <f>AA440*(L416)</f>
        <v>0</v>
      </c>
      <c r="AJ440" s="211">
        <f>AA440*(M416)</f>
        <v>0</v>
      </c>
      <c r="AK440" s="211">
        <f>AA440*(N416)</f>
        <v>0</v>
      </c>
      <c r="AL440" s="211">
        <f>AA440*(O416)</f>
        <v>0</v>
      </c>
      <c r="AM440" s="211">
        <f>AA440*(P416)</f>
        <v>0</v>
      </c>
      <c r="AN440" s="211">
        <f>AA440*(Q416)</f>
        <v>0</v>
      </c>
    </row>
    <row r="441" spans="2:40" s="7" customFormat="1" ht="12" hidden="1" customHeight="1" outlineLevel="2">
      <c r="B441" s="245"/>
      <c r="C441" s="213" t="s">
        <v>776</v>
      </c>
      <c r="D441" s="213"/>
      <c r="E441" s="213"/>
      <c r="F441" s="213"/>
      <c r="G441" s="213"/>
      <c r="H441" s="213"/>
      <c r="I441" s="213"/>
      <c r="J441" s="213"/>
      <c r="K441" s="213"/>
      <c r="L441" s="213"/>
      <c r="M441" s="213"/>
      <c r="N441" s="213"/>
      <c r="O441" s="213"/>
      <c r="P441" s="213"/>
      <c r="Q441" s="213"/>
      <c r="R441" s="213"/>
      <c r="S441" s="213"/>
      <c r="T441" s="213"/>
      <c r="U441" s="213"/>
      <c r="V441" s="213"/>
      <c r="W441" s="213"/>
      <c r="X441" s="213"/>
      <c r="Y441" s="213"/>
      <c r="Z441" s="213"/>
      <c r="AA441" s="213"/>
      <c r="AB441" s="211">
        <f>INDEX($C$349:$AN$371,MATCH("New Customers 1MS",$C$349:$C$371,0),MATCH($C441,$C$349:$AN$349,0))</f>
        <v>0</v>
      </c>
      <c r="AC441" s="211">
        <f>AB441*(E416)</f>
        <v>0</v>
      </c>
      <c r="AD441" s="211">
        <f>AB441*(F416)</f>
        <v>0</v>
      </c>
      <c r="AE441" s="211">
        <f>AB441*(G416)</f>
        <v>0</v>
      </c>
      <c r="AF441" s="211">
        <f>AB441*(H416)</f>
        <v>0</v>
      </c>
      <c r="AG441" s="211">
        <f>AB441*(I416)</f>
        <v>0</v>
      </c>
      <c r="AH441" s="211">
        <f>AB441*(J416)</f>
        <v>0</v>
      </c>
      <c r="AI441" s="211">
        <f>AB441*(K416)</f>
        <v>0</v>
      </c>
      <c r="AJ441" s="211">
        <f>AB441*(L416)</f>
        <v>0</v>
      </c>
      <c r="AK441" s="211">
        <f>AB441*(M416)</f>
        <v>0</v>
      </c>
      <c r="AL441" s="211">
        <f>AB441*(N416)</f>
        <v>0</v>
      </c>
      <c r="AM441" s="211">
        <f>AB441*(O416)</f>
        <v>0</v>
      </c>
      <c r="AN441" s="211">
        <f>AB441*(P416)</f>
        <v>0</v>
      </c>
    </row>
    <row r="442" spans="2:40" s="7" customFormat="1" ht="12" hidden="1" customHeight="1" outlineLevel="2">
      <c r="B442" s="245"/>
      <c r="C442" s="213" t="s">
        <v>777</v>
      </c>
      <c r="D442" s="213"/>
      <c r="E442" s="213"/>
      <c r="F442" s="213"/>
      <c r="G442" s="213"/>
      <c r="H442" s="213"/>
      <c r="I442" s="213"/>
      <c r="J442" s="213"/>
      <c r="K442" s="213"/>
      <c r="L442" s="213"/>
      <c r="M442" s="213"/>
      <c r="N442" s="213"/>
      <c r="O442" s="213"/>
      <c r="P442" s="213"/>
      <c r="Q442" s="213"/>
      <c r="R442" s="213"/>
      <c r="S442" s="213"/>
      <c r="T442" s="213"/>
      <c r="U442" s="213"/>
      <c r="V442" s="213"/>
      <c r="W442" s="213"/>
      <c r="X442" s="213"/>
      <c r="Y442" s="213"/>
      <c r="Z442" s="213"/>
      <c r="AA442" s="213"/>
      <c r="AB442" s="211"/>
      <c r="AC442" s="211">
        <f>INDEX($C$349:$AN$371,MATCH("New Customers 1MS",$C$349:$C$371,0),MATCH($C442,$C$349:$AN$349,0))</f>
        <v>0</v>
      </c>
      <c r="AD442" s="211">
        <f>AC442*(E416)</f>
        <v>0</v>
      </c>
      <c r="AE442" s="211">
        <f>AC442*($F$70)</f>
        <v>0</v>
      </c>
      <c r="AF442" s="211">
        <f>AC442*($G$70)</f>
        <v>0</v>
      </c>
      <c r="AG442" s="211">
        <f>AC442*($H$70)</f>
        <v>0</v>
      </c>
      <c r="AH442" s="211">
        <f>AC442*($I$70)</f>
        <v>0</v>
      </c>
      <c r="AI442" s="211">
        <f>AC442*($J$70)</f>
        <v>0</v>
      </c>
      <c r="AJ442" s="211">
        <f>AC442*($K$70)</f>
        <v>0</v>
      </c>
      <c r="AK442" s="211">
        <f>AC442*($L$70)</f>
        <v>0</v>
      </c>
      <c r="AL442" s="211">
        <f>AC442*($M$70)</f>
        <v>0</v>
      </c>
      <c r="AM442" s="211">
        <f>AC442*($N$70)</f>
        <v>0</v>
      </c>
      <c r="AN442" s="211">
        <f>AC442*(O416)</f>
        <v>0</v>
      </c>
    </row>
    <row r="443" spans="2:40" s="7" customFormat="1" ht="12" hidden="1" customHeight="1" outlineLevel="2">
      <c r="B443" s="245"/>
      <c r="C443" s="213" t="s">
        <v>778</v>
      </c>
      <c r="D443" s="213"/>
      <c r="E443" s="213"/>
      <c r="F443" s="213"/>
      <c r="G443" s="213"/>
      <c r="H443" s="213"/>
      <c r="I443" s="213"/>
      <c r="J443" s="213"/>
      <c r="K443" s="213"/>
      <c r="L443" s="213"/>
      <c r="M443" s="213"/>
      <c r="N443" s="213"/>
      <c r="O443" s="213"/>
      <c r="P443" s="213"/>
      <c r="Q443" s="213"/>
      <c r="R443" s="213"/>
      <c r="S443" s="213"/>
      <c r="T443" s="213"/>
      <c r="U443" s="213"/>
      <c r="V443" s="213"/>
      <c r="W443" s="213"/>
      <c r="X443" s="213"/>
      <c r="Y443" s="213"/>
      <c r="Z443" s="213"/>
      <c r="AA443" s="213"/>
      <c r="AB443" s="211"/>
      <c r="AC443" s="211"/>
      <c r="AD443" s="211">
        <f>INDEX($C$349:$AN$371,MATCH("New Customers 1MS",$C$349:$C$371,0),MATCH($C443,$C$349:$AN$349,0))</f>
        <v>0</v>
      </c>
      <c r="AE443" s="211">
        <f>AD443*(E416)</f>
        <v>0</v>
      </c>
      <c r="AF443" s="211">
        <f>AD443*($F$70)</f>
        <v>0</v>
      </c>
      <c r="AG443" s="211">
        <f>AD443*($G$70)</f>
        <v>0</v>
      </c>
      <c r="AH443" s="211">
        <f>AD443*($H$70)</f>
        <v>0</v>
      </c>
      <c r="AI443" s="211">
        <f>AD443*($I$70)</f>
        <v>0</v>
      </c>
      <c r="AJ443" s="211">
        <f>AD443*($J$70)</f>
        <v>0</v>
      </c>
      <c r="AK443" s="211">
        <f>AD443*($K$70)</f>
        <v>0</v>
      </c>
      <c r="AL443" s="211">
        <f>AD443*($L$70)</f>
        <v>0</v>
      </c>
      <c r="AM443" s="211">
        <f>AD443*($M$70)</f>
        <v>0</v>
      </c>
      <c r="AN443" s="211">
        <f>AD443*($N$70)</f>
        <v>0</v>
      </c>
    </row>
    <row r="444" spans="2:40" s="7" customFormat="1" ht="12" hidden="1" customHeight="1" outlineLevel="2">
      <c r="B444" s="245"/>
      <c r="C444" s="213" t="s">
        <v>779</v>
      </c>
      <c r="D444" s="213"/>
      <c r="E444" s="213"/>
      <c r="F444" s="213"/>
      <c r="G444" s="213"/>
      <c r="H444" s="213"/>
      <c r="I444" s="213"/>
      <c r="J444" s="213"/>
      <c r="K444" s="213"/>
      <c r="L444" s="213"/>
      <c r="M444" s="213"/>
      <c r="N444" s="213"/>
      <c r="O444" s="213"/>
      <c r="P444" s="213"/>
      <c r="Q444" s="213"/>
      <c r="R444" s="213"/>
      <c r="S444" s="213"/>
      <c r="T444" s="213"/>
      <c r="U444" s="213"/>
      <c r="V444" s="213"/>
      <c r="W444" s="213"/>
      <c r="X444" s="213"/>
      <c r="Y444" s="213"/>
      <c r="Z444" s="213"/>
      <c r="AA444" s="213"/>
      <c r="AB444" s="211"/>
      <c r="AC444" s="211"/>
      <c r="AD444" s="211"/>
      <c r="AE444" s="211">
        <f>INDEX($C$349:$AN$371,MATCH("New Customers 1MS",$C$349:$C$371,0),MATCH($C444,$C$349:$AN$349,0))</f>
        <v>0</v>
      </c>
      <c r="AF444" s="211">
        <f>AE444*(E416)</f>
        <v>0</v>
      </c>
      <c r="AG444" s="211">
        <f>AE444*($F$70)</f>
        <v>0</v>
      </c>
      <c r="AH444" s="211">
        <f>AE444*($G$70)</f>
        <v>0</v>
      </c>
      <c r="AI444" s="211">
        <f>AE444*($H$70)</f>
        <v>0</v>
      </c>
      <c r="AJ444" s="211">
        <f>AE444*($I$70)</f>
        <v>0</v>
      </c>
      <c r="AK444" s="211">
        <f>AE444*($J$70)</f>
        <v>0</v>
      </c>
      <c r="AL444" s="211">
        <f>AE444*($K$70)</f>
        <v>0</v>
      </c>
      <c r="AM444" s="211">
        <f>AE444*($L$70)</f>
        <v>0</v>
      </c>
      <c r="AN444" s="211">
        <f>AE444*($M$70)</f>
        <v>0</v>
      </c>
    </row>
    <row r="445" spans="2:40" s="7" customFormat="1" ht="12" hidden="1" customHeight="1" outlineLevel="2">
      <c r="B445" s="245"/>
      <c r="C445" s="213" t="s">
        <v>780</v>
      </c>
      <c r="D445" s="213"/>
      <c r="E445" s="213"/>
      <c r="F445" s="213"/>
      <c r="G445" s="213"/>
      <c r="H445" s="213"/>
      <c r="I445" s="213"/>
      <c r="J445" s="213"/>
      <c r="K445" s="213"/>
      <c r="L445" s="213"/>
      <c r="M445" s="213"/>
      <c r="N445" s="213"/>
      <c r="O445" s="213"/>
      <c r="P445" s="213"/>
      <c r="Q445" s="213"/>
      <c r="R445" s="213"/>
      <c r="S445" s="213"/>
      <c r="T445" s="213"/>
      <c r="U445" s="213"/>
      <c r="V445" s="213"/>
      <c r="W445" s="213"/>
      <c r="X445" s="213"/>
      <c r="Y445" s="213"/>
      <c r="Z445" s="213"/>
      <c r="AA445" s="213"/>
      <c r="AB445" s="211"/>
      <c r="AC445" s="211"/>
      <c r="AD445" s="211"/>
      <c r="AE445" s="211"/>
      <c r="AF445" s="211">
        <f>INDEX($C$349:$AN$371,MATCH("New Customers 1MS",$C$349:$C$371,0),MATCH($C445,$C$349:$AN$349,0))</f>
        <v>0</v>
      </c>
      <c r="AG445" s="211">
        <f>AF445*(E416)</f>
        <v>0</v>
      </c>
      <c r="AH445" s="211">
        <f>AF445*($F$70)</f>
        <v>0</v>
      </c>
      <c r="AI445" s="211">
        <f>AF445*($G$70)</f>
        <v>0</v>
      </c>
      <c r="AJ445" s="211">
        <f>AF445*($H$70)</f>
        <v>0</v>
      </c>
      <c r="AK445" s="211">
        <f>AF445*($I$70)</f>
        <v>0</v>
      </c>
      <c r="AL445" s="211">
        <f>AF445*($J$70)</f>
        <v>0</v>
      </c>
      <c r="AM445" s="211">
        <f>AF445*($K$70)</f>
        <v>0</v>
      </c>
      <c r="AN445" s="211">
        <f>AF445*($L$70)</f>
        <v>0</v>
      </c>
    </row>
    <row r="446" spans="2:40" s="7" customFormat="1" ht="12" hidden="1" customHeight="1" outlineLevel="2">
      <c r="B446" s="245"/>
      <c r="C446" s="213" t="s">
        <v>781</v>
      </c>
      <c r="D446" s="213"/>
      <c r="E446" s="213"/>
      <c r="F446" s="213"/>
      <c r="G446" s="213"/>
      <c r="H446" s="213"/>
      <c r="I446" s="213"/>
      <c r="J446" s="213"/>
      <c r="K446" s="213"/>
      <c r="L446" s="213"/>
      <c r="M446" s="213"/>
      <c r="N446" s="213"/>
      <c r="O446" s="213"/>
      <c r="P446" s="213"/>
      <c r="Q446" s="213"/>
      <c r="R446" s="213"/>
      <c r="S446" s="213"/>
      <c r="T446" s="213"/>
      <c r="U446" s="213"/>
      <c r="V446" s="213"/>
      <c r="W446" s="213"/>
      <c r="X446" s="213"/>
      <c r="Y446" s="213"/>
      <c r="Z446" s="213"/>
      <c r="AA446" s="213"/>
      <c r="AB446" s="211"/>
      <c r="AC446" s="211"/>
      <c r="AD446" s="211"/>
      <c r="AE446" s="211"/>
      <c r="AF446" s="211"/>
      <c r="AG446" s="211">
        <f>INDEX($C$349:$AN$371,MATCH("New Customers 1MS",$C$349:$C$371,0),MATCH($C446,$C$349:$AN$349,0))</f>
        <v>0</v>
      </c>
      <c r="AH446" s="211">
        <f>AG446*(E416)</f>
        <v>0</v>
      </c>
      <c r="AI446" s="211">
        <f>AG446*($F$70)</f>
        <v>0</v>
      </c>
      <c r="AJ446" s="211">
        <f>AG446*($G$70)</f>
        <v>0</v>
      </c>
      <c r="AK446" s="211">
        <f>AG446*($H$70)</f>
        <v>0</v>
      </c>
      <c r="AL446" s="211">
        <f>AG446*($I$70)</f>
        <v>0</v>
      </c>
      <c r="AM446" s="211">
        <f>AG446*($J$70)</f>
        <v>0</v>
      </c>
      <c r="AN446" s="211">
        <f>AG446*($K$70)</f>
        <v>0</v>
      </c>
    </row>
    <row r="447" spans="2:40" s="7" customFormat="1" ht="12" hidden="1" customHeight="1" outlineLevel="2">
      <c r="B447" s="245"/>
      <c r="C447" s="213" t="s">
        <v>782</v>
      </c>
      <c r="D447" s="213"/>
      <c r="E447" s="213"/>
      <c r="F447" s="213"/>
      <c r="G447" s="213"/>
      <c r="H447" s="213"/>
      <c r="I447" s="213"/>
      <c r="J447" s="213"/>
      <c r="K447" s="213"/>
      <c r="L447" s="213"/>
      <c r="M447" s="213"/>
      <c r="N447" s="213"/>
      <c r="O447" s="213"/>
      <c r="P447" s="213"/>
      <c r="Q447" s="213"/>
      <c r="R447" s="213"/>
      <c r="S447" s="213"/>
      <c r="T447" s="213"/>
      <c r="U447" s="213"/>
      <c r="V447" s="213"/>
      <c r="W447" s="213"/>
      <c r="X447" s="213"/>
      <c r="Y447" s="213"/>
      <c r="Z447" s="213"/>
      <c r="AA447" s="213"/>
      <c r="AB447" s="211"/>
      <c r="AC447" s="211"/>
      <c r="AD447" s="211"/>
      <c r="AE447" s="211"/>
      <c r="AF447" s="211"/>
      <c r="AG447" s="211"/>
      <c r="AH447" s="211">
        <f>INDEX($C$349:$AN$371,MATCH("New Customers 1MS",$C$349:$C$371,0),MATCH($C447,$C$349:$AN$349,0))</f>
        <v>0</v>
      </c>
      <c r="AI447" s="211">
        <f>AH447*(E416)</f>
        <v>0</v>
      </c>
      <c r="AJ447" s="211">
        <f>AH447*($F$70)</f>
        <v>0</v>
      </c>
      <c r="AK447" s="211">
        <f>AH447*($G$70)</f>
        <v>0</v>
      </c>
      <c r="AL447" s="211">
        <f>AH447*($H$70)</f>
        <v>0</v>
      </c>
      <c r="AM447" s="211">
        <f>AH447*($I$70)</f>
        <v>0</v>
      </c>
      <c r="AN447" s="211">
        <f>AH447*($J$70)</f>
        <v>0</v>
      </c>
    </row>
    <row r="448" spans="2:40" s="7" customFormat="1" ht="12" hidden="1" customHeight="1" outlineLevel="2">
      <c r="B448" s="245"/>
      <c r="C448" s="213" t="s">
        <v>783</v>
      </c>
      <c r="D448" s="213"/>
      <c r="E448" s="213"/>
      <c r="F448" s="213"/>
      <c r="G448" s="213"/>
      <c r="H448" s="213"/>
      <c r="I448" s="213"/>
      <c r="J448" s="213"/>
      <c r="K448" s="213"/>
      <c r="L448" s="213"/>
      <c r="M448" s="213"/>
      <c r="N448" s="213"/>
      <c r="O448" s="213"/>
      <c r="P448" s="213"/>
      <c r="Q448" s="213"/>
      <c r="R448" s="213"/>
      <c r="S448" s="213"/>
      <c r="T448" s="213"/>
      <c r="U448" s="213"/>
      <c r="V448" s="213"/>
      <c r="W448" s="213"/>
      <c r="X448" s="213"/>
      <c r="Y448" s="213"/>
      <c r="Z448" s="213"/>
      <c r="AA448" s="213"/>
      <c r="AB448" s="211"/>
      <c r="AC448" s="211"/>
      <c r="AD448" s="211"/>
      <c r="AE448" s="211"/>
      <c r="AF448" s="211"/>
      <c r="AG448" s="211"/>
      <c r="AH448" s="211"/>
      <c r="AI448" s="211">
        <f>INDEX($C$349:$AN$371,MATCH("New Customers 1MS",$C$349:$C$371,0),MATCH($C448,$C$349:$AN$349,0))</f>
        <v>0</v>
      </c>
      <c r="AJ448" s="211">
        <f>AI448*(E416)</f>
        <v>0</v>
      </c>
      <c r="AK448" s="211">
        <f>AI448*($F$70)</f>
        <v>0</v>
      </c>
      <c r="AL448" s="211">
        <f>AI448*($G$70)</f>
        <v>0</v>
      </c>
      <c r="AM448" s="211">
        <f>AI448*($H$70)</f>
        <v>0</v>
      </c>
      <c r="AN448" s="211">
        <f>AI448*($I$70)</f>
        <v>0</v>
      </c>
    </row>
    <row r="449" spans="2:40" s="7" customFormat="1" ht="12" hidden="1" customHeight="1" outlineLevel="2">
      <c r="B449" s="245"/>
      <c r="C449" s="213" t="s">
        <v>784</v>
      </c>
      <c r="D449" s="213"/>
      <c r="E449" s="213"/>
      <c r="F449" s="213"/>
      <c r="G449" s="213"/>
      <c r="H449" s="213"/>
      <c r="I449" s="213"/>
      <c r="J449" s="213"/>
      <c r="K449" s="213"/>
      <c r="L449" s="213"/>
      <c r="M449" s="213"/>
      <c r="N449" s="213"/>
      <c r="O449" s="213"/>
      <c r="P449" s="213"/>
      <c r="Q449" s="213"/>
      <c r="R449" s="213"/>
      <c r="S449" s="213"/>
      <c r="T449" s="213"/>
      <c r="U449" s="213"/>
      <c r="V449" s="213"/>
      <c r="W449" s="213"/>
      <c r="X449" s="213"/>
      <c r="Y449" s="213"/>
      <c r="Z449" s="213"/>
      <c r="AA449" s="213"/>
      <c r="AB449" s="211"/>
      <c r="AC449" s="211"/>
      <c r="AD449" s="211"/>
      <c r="AE449" s="211"/>
      <c r="AF449" s="211"/>
      <c r="AG449" s="211"/>
      <c r="AH449" s="211"/>
      <c r="AI449" s="211"/>
      <c r="AJ449" s="211">
        <f>INDEX($C$349:$AN$371,MATCH("New Customers 1MS",$C$349:$C$371,0),MATCH($C449,$C$349:$AN$349,0))</f>
        <v>0</v>
      </c>
      <c r="AK449" s="211">
        <f>AJ449*(E416)</f>
        <v>0</v>
      </c>
      <c r="AL449" s="211">
        <f>AJ449*($F$70)</f>
        <v>0</v>
      </c>
      <c r="AM449" s="211">
        <f>AJ449*($G$70)</f>
        <v>0</v>
      </c>
      <c r="AN449" s="211">
        <f>AJ449*($H$70)</f>
        <v>0</v>
      </c>
    </row>
    <row r="450" spans="2:40" s="7" customFormat="1" ht="12" hidden="1" customHeight="1" outlineLevel="2">
      <c r="B450" s="245"/>
      <c r="C450" s="213" t="s">
        <v>785</v>
      </c>
      <c r="D450" s="213"/>
      <c r="E450" s="213"/>
      <c r="F450" s="213"/>
      <c r="G450" s="213"/>
      <c r="H450" s="213"/>
      <c r="I450" s="213"/>
      <c r="J450" s="213"/>
      <c r="K450" s="213"/>
      <c r="L450" s="213"/>
      <c r="M450" s="213"/>
      <c r="N450" s="213"/>
      <c r="O450" s="213"/>
      <c r="P450" s="213"/>
      <c r="Q450" s="213"/>
      <c r="R450" s="213"/>
      <c r="S450" s="213"/>
      <c r="T450" s="213"/>
      <c r="U450" s="213"/>
      <c r="V450" s="213"/>
      <c r="W450" s="213"/>
      <c r="X450" s="213"/>
      <c r="Y450" s="213"/>
      <c r="Z450" s="213"/>
      <c r="AA450" s="213"/>
      <c r="AB450" s="211"/>
      <c r="AC450" s="211"/>
      <c r="AD450" s="211"/>
      <c r="AE450" s="211"/>
      <c r="AF450" s="211"/>
      <c r="AG450" s="211"/>
      <c r="AH450" s="211"/>
      <c r="AI450" s="211"/>
      <c r="AJ450" s="211"/>
      <c r="AK450" s="211">
        <f>INDEX($C$349:$AN$371,MATCH("New Customers 1MS",$C$349:$C$371,0),MATCH($C450,$C$349:$AN$349,0))</f>
        <v>0</v>
      </c>
      <c r="AL450" s="211">
        <f>AK450*(E416)</f>
        <v>0</v>
      </c>
      <c r="AM450" s="211">
        <f>AK450*($F$70)</f>
        <v>0</v>
      </c>
      <c r="AN450" s="211">
        <f>AK450*($G$70)</f>
        <v>0</v>
      </c>
    </row>
    <row r="451" spans="2:40" s="7" customFormat="1" ht="12" hidden="1" customHeight="1" outlineLevel="2">
      <c r="B451" s="245"/>
      <c r="C451" s="213" t="s">
        <v>786</v>
      </c>
      <c r="D451" s="213"/>
      <c r="E451" s="213"/>
      <c r="F451" s="213"/>
      <c r="G451" s="213"/>
      <c r="H451" s="213"/>
      <c r="I451" s="213"/>
      <c r="J451" s="213"/>
      <c r="K451" s="213"/>
      <c r="L451" s="213"/>
      <c r="M451" s="213"/>
      <c r="N451" s="213"/>
      <c r="O451" s="213"/>
      <c r="P451" s="213"/>
      <c r="Q451" s="213"/>
      <c r="R451" s="213"/>
      <c r="S451" s="213"/>
      <c r="T451" s="213"/>
      <c r="U451" s="213"/>
      <c r="V451" s="213"/>
      <c r="W451" s="213"/>
      <c r="X451" s="213"/>
      <c r="Y451" s="213"/>
      <c r="Z451" s="213"/>
      <c r="AA451" s="213"/>
      <c r="AB451" s="211"/>
      <c r="AC451" s="211"/>
      <c r="AD451" s="211"/>
      <c r="AE451" s="211"/>
      <c r="AF451" s="211"/>
      <c r="AG451" s="211"/>
      <c r="AH451" s="211"/>
      <c r="AI451" s="211"/>
      <c r="AJ451" s="211"/>
      <c r="AK451" s="211"/>
      <c r="AL451" s="211">
        <f>INDEX($C$349:$AN$371,MATCH("New Customers 1MS",$C$349:$C$371,0),MATCH($C451,$C$349:$AN$349,0))</f>
        <v>0</v>
      </c>
      <c r="AM451" s="211">
        <f>AL451*(E416)</f>
        <v>0</v>
      </c>
      <c r="AN451" s="211">
        <f>AL451*($F$70)</f>
        <v>0</v>
      </c>
    </row>
    <row r="452" spans="2:40" s="7" customFormat="1" ht="12" hidden="1" customHeight="1" outlineLevel="2">
      <c r="B452" s="245"/>
      <c r="C452" s="213" t="s">
        <v>787</v>
      </c>
      <c r="D452" s="213"/>
      <c r="E452" s="213"/>
      <c r="F452" s="213"/>
      <c r="G452" s="213"/>
      <c r="H452" s="213"/>
      <c r="I452" s="213"/>
      <c r="J452" s="213"/>
      <c r="K452" s="213"/>
      <c r="L452" s="213"/>
      <c r="M452" s="213"/>
      <c r="N452" s="213"/>
      <c r="O452" s="213"/>
      <c r="P452" s="213"/>
      <c r="Q452" s="213"/>
      <c r="R452" s="213"/>
      <c r="S452" s="213"/>
      <c r="T452" s="213"/>
      <c r="U452" s="213"/>
      <c r="V452" s="213"/>
      <c r="W452" s="213"/>
      <c r="X452" s="213"/>
      <c r="Y452" s="213"/>
      <c r="Z452" s="213"/>
      <c r="AA452" s="213"/>
      <c r="AB452" s="211"/>
      <c r="AC452" s="211"/>
      <c r="AD452" s="211"/>
      <c r="AE452" s="211"/>
      <c r="AF452" s="211"/>
      <c r="AG452" s="211"/>
      <c r="AH452" s="211"/>
      <c r="AI452" s="211"/>
      <c r="AJ452" s="211"/>
      <c r="AK452" s="211"/>
      <c r="AL452" s="211"/>
      <c r="AM452" s="211">
        <f>INDEX($C$349:$AN$371,MATCH("New Customers 1MS",$C$349:$C$371,0),MATCH($C452,$C$349:$AN$349,0))</f>
        <v>0</v>
      </c>
      <c r="AN452" s="211">
        <f>AM452*(E416)</f>
        <v>0</v>
      </c>
    </row>
    <row r="453" spans="2:40" s="7" customFormat="1" ht="12" hidden="1" customHeight="1" outlineLevel="2">
      <c r="B453" s="245"/>
      <c r="C453" s="213" t="s">
        <v>788</v>
      </c>
      <c r="D453" s="213"/>
      <c r="E453" s="213"/>
      <c r="F453" s="213"/>
      <c r="G453" s="213"/>
      <c r="H453" s="213"/>
      <c r="I453" s="213"/>
      <c r="J453" s="213"/>
      <c r="K453" s="213"/>
      <c r="L453" s="213"/>
      <c r="M453" s="213"/>
      <c r="N453" s="213"/>
      <c r="O453" s="213"/>
      <c r="P453" s="213"/>
      <c r="Q453" s="213"/>
      <c r="R453" s="213"/>
      <c r="S453" s="213"/>
      <c r="T453" s="213"/>
      <c r="U453" s="213"/>
      <c r="V453" s="213"/>
      <c r="W453" s="213"/>
      <c r="X453" s="213"/>
      <c r="Y453" s="213"/>
      <c r="Z453" s="213"/>
      <c r="AA453" s="213"/>
      <c r="AB453" s="211"/>
      <c r="AC453" s="211"/>
      <c r="AD453" s="211"/>
      <c r="AE453" s="211"/>
      <c r="AF453" s="211"/>
      <c r="AG453" s="211"/>
      <c r="AH453" s="211"/>
      <c r="AI453" s="211"/>
      <c r="AJ453" s="211"/>
      <c r="AK453" s="211"/>
      <c r="AL453" s="211"/>
      <c r="AM453" s="211"/>
      <c r="AN453" s="211">
        <f>INDEX($C$349:$AN$371,MATCH("New Customers 1MS",$C$349:$C$371,0),MATCH($C453,$C$349:$AN$349,0))</f>
        <v>0</v>
      </c>
    </row>
    <row r="454" spans="2:40" s="7" customFormat="1" ht="12" hidden="1" customHeight="1" outlineLevel="2">
      <c r="B454" s="245"/>
      <c r="C454" s="213"/>
      <c r="D454" s="213"/>
      <c r="E454" s="213"/>
      <c r="F454" s="213"/>
      <c r="G454" s="213"/>
      <c r="H454" s="213"/>
      <c r="I454" s="213"/>
      <c r="J454" s="213"/>
      <c r="K454" s="213"/>
      <c r="L454" s="213"/>
      <c r="M454" s="213"/>
      <c r="N454" s="213"/>
      <c r="O454" s="213"/>
      <c r="P454" s="213"/>
      <c r="Q454" s="213"/>
      <c r="R454" s="213"/>
      <c r="S454" s="213"/>
      <c r="T454" s="213"/>
      <c r="U454" s="213"/>
      <c r="V454" s="213"/>
      <c r="W454" s="213"/>
      <c r="X454" s="213"/>
      <c r="Y454" s="213"/>
      <c r="Z454" s="213"/>
      <c r="AA454" s="213"/>
      <c r="AB454" s="211"/>
      <c r="AC454" s="211"/>
      <c r="AD454" s="211"/>
      <c r="AE454" s="211"/>
      <c r="AF454" s="211"/>
      <c r="AG454" s="211"/>
      <c r="AH454" s="211"/>
      <c r="AI454" s="211"/>
      <c r="AJ454" s="211"/>
      <c r="AK454" s="211"/>
      <c r="AL454" s="211"/>
      <c r="AM454" s="211"/>
      <c r="AN454" s="211"/>
    </row>
    <row r="455" spans="2:40" s="7" customFormat="1" ht="12" hidden="1" customHeight="1" outlineLevel="3">
      <c r="B455" s="245"/>
      <c r="C455" s="243" t="s">
        <v>854</v>
      </c>
      <c r="D455" s="213"/>
      <c r="E455" s="213"/>
      <c r="F455" s="213"/>
      <c r="G455" s="213"/>
      <c r="H455" s="213"/>
      <c r="I455" s="213"/>
      <c r="J455" s="213"/>
      <c r="K455" s="213"/>
      <c r="L455" s="213"/>
      <c r="M455" s="213"/>
      <c r="N455" s="213"/>
      <c r="O455" s="213"/>
      <c r="P455" s="213"/>
      <c r="Q455" s="213"/>
      <c r="R455" s="213"/>
      <c r="S455" s="213"/>
      <c r="T455" s="213"/>
      <c r="U455" s="213"/>
      <c r="V455" s="213"/>
      <c r="W455" s="213"/>
      <c r="X455" s="213"/>
      <c r="Y455" s="213"/>
      <c r="Z455" s="213"/>
      <c r="AA455" s="213"/>
      <c r="AB455" s="213"/>
      <c r="AC455" s="211"/>
    </row>
    <row r="456" spans="2:40" s="7" customFormat="1" hidden="1" outlineLevel="3">
      <c r="B456" s="239"/>
      <c r="C456" s="214" t="s">
        <v>850</v>
      </c>
      <c r="D456" s="214"/>
      <c r="E456" s="196" t="s">
        <v>753</v>
      </c>
      <c r="F456" s="196" t="s">
        <v>754</v>
      </c>
      <c r="G456" s="196" t="s">
        <v>755</v>
      </c>
      <c r="H456" s="196" t="s">
        <v>756</v>
      </c>
      <c r="I456" s="196" t="s">
        <v>757</v>
      </c>
      <c r="J456" s="196" t="s">
        <v>758</v>
      </c>
      <c r="K456" s="196" t="s">
        <v>759</v>
      </c>
      <c r="L456" s="196" t="s">
        <v>760</v>
      </c>
      <c r="M456" s="196" t="s">
        <v>761</v>
      </c>
      <c r="N456" s="196" t="s">
        <v>762</v>
      </c>
      <c r="O456" s="196" t="s">
        <v>763</v>
      </c>
      <c r="P456" s="196" t="s">
        <v>764</v>
      </c>
      <c r="Q456" s="196" t="s">
        <v>765</v>
      </c>
      <c r="R456" s="196" t="s">
        <v>766</v>
      </c>
      <c r="S456" s="196" t="s">
        <v>767</v>
      </c>
      <c r="T456" s="196" t="s">
        <v>768</v>
      </c>
      <c r="U456" s="196" t="s">
        <v>769</v>
      </c>
      <c r="V456" s="196" t="s">
        <v>770</v>
      </c>
      <c r="W456" s="196" t="s">
        <v>771</v>
      </c>
      <c r="X456" s="196" t="s">
        <v>772</v>
      </c>
      <c r="Y456" s="196" t="s">
        <v>773</v>
      </c>
      <c r="Z456" s="196" t="s">
        <v>774</v>
      </c>
      <c r="AA456" s="196" t="s">
        <v>775</v>
      </c>
      <c r="AB456" s="196" t="s">
        <v>776</v>
      </c>
      <c r="AC456" s="196" t="s">
        <v>777</v>
      </c>
      <c r="AD456" s="196" t="s">
        <v>778</v>
      </c>
      <c r="AE456" s="196" t="s">
        <v>779</v>
      </c>
      <c r="AF456" s="196" t="s">
        <v>780</v>
      </c>
      <c r="AG456" s="196" t="s">
        <v>781</v>
      </c>
      <c r="AH456" s="196" t="s">
        <v>782</v>
      </c>
      <c r="AI456" s="196" t="s">
        <v>783</v>
      </c>
      <c r="AJ456" s="196" t="s">
        <v>784</v>
      </c>
      <c r="AK456" s="196" t="s">
        <v>785</v>
      </c>
      <c r="AL456" s="196" t="s">
        <v>786</v>
      </c>
      <c r="AM456" s="196" t="s">
        <v>787</v>
      </c>
      <c r="AN456" s="196" t="s">
        <v>788</v>
      </c>
    </row>
    <row r="457" spans="2:40" s="7" customFormat="1" ht="12" hidden="1" customHeight="1" outlineLevel="3">
      <c r="B457" s="239"/>
      <c r="C457" s="247" t="s">
        <v>851</v>
      </c>
      <c r="D457" s="214"/>
      <c r="E457" s="345">
        <v>0.86</v>
      </c>
      <c r="F457" s="342"/>
      <c r="G457" s="342"/>
      <c r="H457" s="345">
        <v>0.42</v>
      </c>
      <c r="I457" s="342"/>
      <c r="J457" s="342"/>
      <c r="K457" s="345">
        <v>0.26</v>
      </c>
      <c r="L457" s="342"/>
      <c r="M457" s="342"/>
      <c r="N457" s="345">
        <v>0.16</v>
      </c>
      <c r="O457" s="342"/>
      <c r="P457" s="342"/>
      <c r="Q457" s="345">
        <v>0.1</v>
      </c>
      <c r="R457" s="342"/>
      <c r="S457" s="342"/>
      <c r="T457" s="345">
        <v>0.06</v>
      </c>
      <c r="U457" s="342"/>
      <c r="V457" s="342"/>
      <c r="W457" s="345">
        <v>0.03</v>
      </c>
      <c r="X457" s="342"/>
      <c r="Y457" s="342"/>
      <c r="Z457" s="345">
        <v>0.01</v>
      </c>
      <c r="AA457" s="342"/>
      <c r="AB457" s="342"/>
      <c r="AC457" s="345">
        <v>0.01</v>
      </c>
      <c r="AD457" s="342"/>
      <c r="AE457" s="342"/>
      <c r="AF457" s="345">
        <v>0.01</v>
      </c>
      <c r="AG457" s="342"/>
      <c r="AH457" s="342"/>
      <c r="AI457" s="345">
        <v>0.01</v>
      </c>
      <c r="AJ457" s="342"/>
      <c r="AK457" s="342"/>
      <c r="AL457" s="345">
        <v>0.01</v>
      </c>
      <c r="AM457" s="342"/>
      <c r="AN457" s="342"/>
    </row>
    <row r="458" spans="2:40" s="7" customFormat="1" ht="12" hidden="1" customHeight="1" outlineLevel="3">
      <c r="B458" s="245"/>
      <c r="C458" s="213" t="s">
        <v>753</v>
      </c>
      <c r="D458" s="213"/>
      <c r="E458" s="211">
        <f>INDEX($C$349:$AN$371, MATCH("New Customers 3MS", $C$349:$C$371, 0), MATCH($C458, $C$349:$AN$349, 0))</f>
        <v>0</v>
      </c>
      <c r="F458" s="211"/>
      <c r="G458" s="211"/>
      <c r="H458" s="211">
        <f>E458*(1-E457)</f>
        <v>0</v>
      </c>
      <c r="I458" s="211"/>
      <c r="J458" s="211"/>
      <c r="K458" s="211">
        <f>E458*(1-H457)</f>
        <v>0</v>
      </c>
      <c r="L458" s="211"/>
      <c r="M458" s="211"/>
      <c r="N458" s="211">
        <f>E458*(1-K457)</f>
        <v>0</v>
      </c>
      <c r="O458" s="211"/>
      <c r="P458" s="211"/>
      <c r="Q458" s="211">
        <f>E458*(1-N457)</f>
        <v>0</v>
      </c>
      <c r="R458" s="211"/>
      <c r="S458" s="211"/>
      <c r="T458" s="211">
        <f>E458*(1-Q457)</f>
        <v>0</v>
      </c>
      <c r="U458" s="211"/>
      <c r="V458" s="211"/>
      <c r="W458" s="211">
        <f>E458*(1-T457)</f>
        <v>0</v>
      </c>
      <c r="X458" s="211"/>
      <c r="Y458" s="211"/>
      <c r="Z458" s="211">
        <f>E458*(1-W457)</f>
        <v>0</v>
      </c>
      <c r="AA458" s="211"/>
      <c r="AB458" s="211"/>
      <c r="AC458" s="211">
        <f>E458*(1-Z457)</f>
        <v>0</v>
      </c>
      <c r="AD458" s="211"/>
      <c r="AE458" s="211"/>
      <c r="AF458" s="211">
        <f>E458*(1-AC457)</f>
        <v>0</v>
      </c>
      <c r="AG458" s="211"/>
      <c r="AH458" s="211"/>
      <c r="AI458" s="211">
        <f>E458*(1-AF457)</f>
        <v>0</v>
      </c>
      <c r="AJ458" s="211"/>
      <c r="AK458" s="211"/>
      <c r="AL458" s="211">
        <f>E458*(1-AI457)</f>
        <v>0</v>
      </c>
      <c r="AM458" s="211"/>
      <c r="AN458" s="211"/>
    </row>
    <row r="459" spans="2:40" s="7" customFormat="1" ht="12" hidden="1" customHeight="1" outlineLevel="3">
      <c r="B459" s="245"/>
      <c r="C459" s="213" t="s">
        <v>754</v>
      </c>
      <c r="D459" s="213"/>
      <c r="E459" s="213"/>
      <c r="F459" s="211">
        <f>INDEX($C$349:$AN$371, MATCH("New Customers 3MS", $C$349:$C$371, 0), MATCH($C459, $C$349:$AN$349, 0))</f>
        <v>0</v>
      </c>
      <c r="G459" s="211"/>
      <c r="H459" s="211"/>
      <c r="I459" s="211">
        <f>F459*(E457)</f>
        <v>0</v>
      </c>
      <c r="J459" s="211"/>
      <c r="K459" s="211"/>
      <c r="L459" s="211">
        <f>F459*(H457)</f>
        <v>0</v>
      </c>
      <c r="M459" s="211"/>
      <c r="N459" s="211"/>
      <c r="O459" s="211">
        <f>F459*(K457)</f>
        <v>0</v>
      </c>
      <c r="P459" s="211"/>
      <c r="Q459" s="211"/>
      <c r="R459" s="211">
        <f>F459*(N457)</f>
        <v>0</v>
      </c>
      <c r="S459" s="211"/>
      <c r="T459" s="211"/>
      <c r="U459" s="211">
        <f>F459*(Q457)</f>
        <v>0</v>
      </c>
      <c r="V459" s="211"/>
      <c r="W459" s="211"/>
      <c r="X459" s="211">
        <f>F459*(T457)</f>
        <v>0</v>
      </c>
      <c r="Y459" s="211"/>
      <c r="Z459" s="211"/>
      <c r="AA459" s="211">
        <f>F459*(W457)</f>
        <v>0</v>
      </c>
      <c r="AB459" s="211"/>
      <c r="AC459" s="211"/>
      <c r="AD459" s="211">
        <f>F459*(Z457)</f>
        <v>0</v>
      </c>
      <c r="AE459" s="211"/>
      <c r="AF459" s="211"/>
      <c r="AG459" s="211">
        <f>F459*(AC457)</f>
        <v>0</v>
      </c>
      <c r="AH459" s="211"/>
      <c r="AI459" s="211"/>
      <c r="AJ459" s="211">
        <f>F459*(AF457)</f>
        <v>0</v>
      </c>
      <c r="AK459" s="211"/>
      <c r="AL459" s="211"/>
      <c r="AM459" s="211">
        <f>F459*(AI457)</f>
        <v>0</v>
      </c>
      <c r="AN459" s="211"/>
    </row>
    <row r="460" spans="2:40" s="7" customFormat="1" ht="12" hidden="1" customHeight="1" outlineLevel="3">
      <c r="B460" s="245"/>
      <c r="C460" s="213" t="s">
        <v>755</v>
      </c>
      <c r="D460" s="213"/>
      <c r="E460" s="213"/>
      <c r="F460" s="213"/>
      <c r="G460" s="211">
        <f>INDEX($C$349:$AN$371, MATCH("New Customers 3MS", $C$349:$C$371, 0), MATCH($C460, $C$349:$AN$349, 0))</f>
        <v>0</v>
      </c>
      <c r="H460" s="211"/>
      <c r="I460" s="211"/>
      <c r="J460" s="211">
        <f>G460*(E457)</f>
        <v>0</v>
      </c>
      <c r="K460" s="211"/>
      <c r="L460" s="211"/>
      <c r="M460" s="211">
        <f>G460*(H457)</f>
        <v>0</v>
      </c>
      <c r="N460" s="211"/>
      <c r="O460" s="211"/>
      <c r="P460" s="211">
        <f>G460*(K457)</f>
        <v>0</v>
      </c>
      <c r="Q460" s="211"/>
      <c r="R460" s="211"/>
      <c r="S460" s="211">
        <f>G460*(N457)</f>
        <v>0</v>
      </c>
      <c r="T460" s="211"/>
      <c r="U460" s="211"/>
      <c r="V460" s="211">
        <f>G460*(Q457)</f>
        <v>0</v>
      </c>
      <c r="W460" s="211"/>
      <c r="X460" s="211"/>
      <c r="Y460" s="211">
        <f>G460*(T457)</f>
        <v>0</v>
      </c>
      <c r="Z460" s="211"/>
      <c r="AA460" s="211"/>
      <c r="AB460" s="211">
        <f>G460*(W457)</f>
        <v>0</v>
      </c>
      <c r="AC460" s="211"/>
      <c r="AD460" s="211"/>
      <c r="AE460" s="211">
        <f>G460*(Z457)</f>
        <v>0</v>
      </c>
      <c r="AF460" s="211"/>
      <c r="AG460" s="211"/>
      <c r="AH460" s="211">
        <f>G460*(AC457)</f>
        <v>0</v>
      </c>
      <c r="AI460" s="211"/>
      <c r="AJ460" s="211"/>
      <c r="AK460" s="211">
        <f>G460*(AF457)</f>
        <v>0</v>
      </c>
      <c r="AL460" s="211"/>
      <c r="AM460" s="211"/>
      <c r="AN460" s="211">
        <f>G460*(AI457)</f>
        <v>0</v>
      </c>
    </row>
    <row r="461" spans="2:40" s="7" customFormat="1" ht="12" hidden="1" customHeight="1" outlineLevel="3">
      <c r="B461" s="245"/>
      <c r="C461" s="213" t="s">
        <v>756</v>
      </c>
      <c r="D461" s="213"/>
      <c r="E461" s="213"/>
      <c r="F461" s="213"/>
      <c r="G461" s="213"/>
      <c r="H461" s="211">
        <f>INDEX($C$349:$AN$371, MATCH("New Customers 3MS", $C$349:$C$371, 0), MATCH($C461, $C$349:$AN$349, 0))</f>
        <v>0</v>
      </c>
      <c r="I461" s="211"/>
      <c r="J461" s="211"/>
      <c r="K461" s="211">
        <f>H461*(E457)</f>
        <v>0</v>
      </c>
      <c r="L461" s="211"/>
      <c r="M461" s="211"/>
      <c r="N461" s="211">
        <f>H461*(H457)</f>
        <v>0</v>
      </c>
      <c r="O461" s="211"/>
      <c r="P461" s="211"/>
      <c r="Q461" s="211">
        <f>H461*(K457)</f>
        <v>0</v>
      </c>
      <c r="R461" s="211"/>
      <c r="S461" s="211"/>
      <c r="T461" s="211">
        <f>H461*(N457)</f>
        <v>0</v>
      </c>
      <c r="U461" s="211"/>
      <c r="V461" s="211"/>
      <c r="W461" s="211">
        <f>H461*(Q457)</f>
        <v>0</v>
      </c>
      <c r="X461" s="211"/>
      <c r="Y461" s="211"/>
      <c r="Z461" s="211">
        <f>H461*(T457)</f>
        <v>0</v>
      </c>
      <c r="AA461" s="211"/>
      <c r="AB461" s="211"/>
      <c r="AC461" s="211">
        <f>H461*(W457)</f>
        <v>0</v>
      </c>
      <c r="AD461" s="211"/>
      <c r="AE461" s="211"/>
      <c r="AF461" s="211">
        <f>H461*(Z457)</f>
        <v>0</v>
      </c>
      <c r="AG461" s="211"/>
      <c r="AH461" s="211"/>
      <c r="AI461" s="211">
        <f>H461*(AC457)</f>
        <v>0</v>
      </c>
      <c r="AJ461" s="211"/>
      <c r="AK461" s="211"/>
      <c r="AL461" s="211">
        <f>H461*(AF457)</f>
        <v>0</v>
      </c>
      <c r="AM461" s="211"/>
      <c r="AN461" s="211"/>
    </row>
    <row r="462" spans="2:40" s="7" customFormat="1" ht="12" hidden="1" customHeight="1" outlineLevel="3">
      <c r="B462" s="245"/>
      <c r="C462" s="213" t="s">
        <v>757</v>
      </c>
      <c r="D462" s="213"/>
      <c r="E462" s="213"/>
      <c r="F462" s="213"/>
      <c r="G462" s="213"/>
      <c r="H462" s="213"/>
      <c r="I462" s="211">
        <f>INDEX($C$349:$AN$371, MATCH("New Customers 3MS", $C$349:$C$371, 0), MATCH($C462, $C$349:$AN$349, 0))</f>
        <v>0</v>
      </c>
      <c r="J462" s="211"/>
      <c r="K462" s="211"/>
      <c r="L462" s="211">
        <f>I462*(E457)</f>
        <v>0</v>
      </c>
      <c r="M462" s="211"/>
      <c r="N462" s="211"/>
      <c r="O462" s="211">
        <f>I462*(H457)</f>
        <v>0</v>
      </c>
      <c r="P462" s="211"/>
      <c r="Q462" s="211"/>
      <c r="R462" s="211">
        <f>I462*(K457)</f>
        <v>0</v>
      </c>
      <c r="S462" s="211"/>
      <c r="T462" s="211"/>
      <c r="U462" s="211">
        <f>I462*(N457)</f>
        <v>0</v>
      </c>
      <c r="V462" s="211"/>
      <c r="W462" s="211"/>
      <c r="X462" s="211">
        <f>I462*(Q457)</f>
        <v>0</v>
      </c>
      <c r="Y462" s="211"/>
      <c r="Z462" s="211"/>
      <c r="AA462" s="211">
        <f>I462*(T457)</f>
        <v>0</v>
      </c>
      <c r="AB462" s="211"/>
      <c r="AC462" s="211"/>
      <c r="AD462" s="211">
        <f>I462*(W457)</f>
        <v>0</v>
      </c>
      <c r="AE462" s="211"/>
      <c r="AF462" s="211"/>
      <c r="AG462" s="211">
        <f>I462*(Z457)</f>
        <v>0</v>
      </c>
      <c r="AH462" s="211"/>
      <c r="AI462" s="211"/>
      <c r="AJ462" s="211">
        <f>I462*(AC457)</f>
        <v>0</v>
      </c>
      <c r="AK462" s="211"/>
      <c r="AL462" s="211"/>
      <c r="AM462" s="211">
        <f>I462*(AF457)</f>
        <v>0</v>
      </c>
      <c r="AN462" s="211"/>
    </row>
    <row r="463" spans="2:40" s="7" customFormat="1" ht="12" hidden="1" customHeight="1" outlineLevel="3">
      <c r="B463" s="245"/>
      <c r="C463" s="213" t="s">
        <v>758</v>
      </c>
      <c r="D463" s="213"/>
      <c r="E463" s="213"/>
      <c r="F463" s="213"/>
      <c r="G463" s="213"/>
      <c r="H463" s="213"/>
      <c r="I463" s="213"/>
      <c r="J463" s="211">
        <f>INDEX($C$349:$AN$371, MATCH("New Customers 3MS", $C$349:$C$371, 0), MATCH($C463, $C$349:$AN$349, 0))</f>
        <v>0</v>
      </c>
      <c r="K463" s="211"/>
      <c r="L463" s="211"/>
      <c r="M463" s="211">
        <f>J463*(E457)</f>
        <v>0</v>
      </c>
      <c r="N463" s="211"/>
      <c r="O463" s="211"/>
      <c r="P463" s="211">
        <f>J463*(H457)</f>
        <v>0</v>
      </c>
      <c r="Q463" s="211"/>
      <c r="R463" s="211"/>
      <c r="S463" s="211">
        <f>J463*(K457)</f>
        <v>0</v>
      </c>
      <c r="T463" s="211"/>
      <c r="U463" s="211"/>
      <c r="V463" s="211">
        <f>J463*(N457)</f>
        <v>0</v>
      </c>
      <c r="W463" s="211"/>
      <c r="X463" s="211"/>
      <c r="Y463" s="211">
        <f>J463*(Q457)</f>
        <v>0</v>
      </c>
      <c r="Z463" s="211"/>
      <c r="AA463" s="211"/>
      <c r="AB463" s="211">
        <f>J463*(T457)</f>
        <v>0</v>
      </c>
      <c r="AC463" s="211"/>
      <c r="AD463" s="211"/>
      <c r="AE463" s="211">
        <f>J463*(W457)</f>
        <v>0</v>
      </c>
      <c r="AF463" s="211"/>
      <c r="AG463" s="211"/>
      <c r="AH463" s="211">
        <f>J463*(Z457)</f>
        <v>0</v>
      </c>
      <c r="AI463" s="211"/>
      <c r="AJ463" s="211"/>
      <c r="AK463" s="211">
        <f>J463*(AC457)</f>
        <v>0</v>
      </c>
      <c r="AL463" s="211"/>
      <c r="AM463" s="211"/>
      <c r="AN463" s="211">
        <f>J463*(AF457)</f>
        <v>0</v>
      </c>
    </row>
    <row r="464" spans="2:40" s="7" customFormat="1" ht="12" hidden="1" customHeight="1" outlineLevel="3">
      <c r="B464" s="245"/>
      <c r="C464" s="213" t="s">
        <v>759</v>
      </c>
      <c r="D464" s="213"/>
      <c r="E464" s="213"/>
      <c r="F464" s="213"/>
      <c r="G464" s="213"/>
      <c r="H464" s="213"/>
      <c r="I464" s="213"/>
      <c r="J464" s="213"/>
      <c r="K464" s="211">
        <f>INDEX($C$349:$AN$371, MATCH("New Customers 3MS", $C$349:$C$371, 0), MATCH($C464, $C$349:$AN$349, 0))</f>
        <v>0</v>
      </c>
      <c r="L464" s="211"/>
      <c r="M464" s="211"/>
      <c r="N464" s="211">
        <f>K464*(E457)</f>
        <v>0</v>
      </c>
      <c r="O464" s="211"/>
      <c r="P464" s="211"/>
      <c r="Q464" s="211">
        <f>K464*(H457)</f>
        <v>0</v>
      </c>
      <c r="R464" s="211"/>
      <c r="S464" s="211"/>
      <c r="T464" s="211">
        <f>K464*(K457)</f>
        <v>0</v>
      </c>
      <c r="U464" s="211"/>
      <c r="V464" s="211"/>
      <c r="W464" s="211">
        <f>K464*(N457)</f>
        <v>0</v>
      </c>
      <c r="X464" s="211"/>
      <c r="Y464" s="211"/>
      <c r="Z464" s="211">
        <f>K464*(Q457)</f>
        <v>0</v>
      </c>
      <c r="AA464" s="211"/>
      <c r="AB464" s="211"/>
      <c r="AC464" s="211">
        <f>K464*(T457)</f>
        <v>0</v>
      </c>
      <c r="AD464" s="211"/>
      <c r="AE464" s="211"/>
      <c r="AF464" s="211">
        <f>K464*(W457)</f>
        <v>0</v>
      </c>
      <c r="AG464" s="211"/>
      <c r="AH464" s="211"/>
      <c r="AI464" s="211">
        <f>K464*(Z457)</f>
        <v>0</v>
      </c>
      <c r="AJ464" s="211"/>
      <c r="AK464" s="211"/>
      <c r="AL464" s="211">
        <f>K464*(AC457)</f>
        <v>0</v>
      </c>
      <c r="AM464" s="211"/>
      <c r="AN464" s="211"/>
    </row>
    <row r="465" spans="2:40" s="7" customFormat="1" ht="12" hidden="1" customHeight="1" outlineLevel="3">
      <c r="B465" s="245"/>
      <c r="C465" s="213" t="s">
        <v>760</v>
      </c>
      <c r="D465" s="213"/>
      <c r="E465" s="213"/>
      <c r="F465" s="213"/>
      <c r="G465" s="213"/>
      <c r="H465" s="213"/>
      <c r="I465" s="213"/>
      <c r="J465" s="213"/>
      <c r="K465" s="213"/>
      <c r="L465" s="211">
        <f>INDEX($C$349:$AN$371, MATCH("New Customers 3MS", $C$349:$C$371, 0), MATCH($C465, $C$349:$AN$349, 0))</f>
        <v>0</v>
      </c>
      <c r="M465" s="211"/>
      <c r="N465" s="211"/>
      <c r="O465" s="211">
        <f>L465*(E457)</f>
        <v>0</v>
      </c>
      <c r="P465" s="211"/>
      <c r="Q465" s="211"/>
      <c r="R465" s="211">
        <f>L465*(H457)</f>
        <v>0</v>
      </c>
      <c r="S465" s="211"/>
      <c r="T465" s="211"/>
      <c r="U465" s="211">
        <f>L465*(K457)</f>
        <v>0</v>
      </c>
      <c r="V465" s="211"/>
      <c r="W465" s="211"/>
      <c r="X465" s="211">
        <f>L465*(N457)</f>
        <v>0</v>
      </c>
      <c r="Y465" s="211"/>
      <c r="Z465" s="211"/>
      <c r="AA465" s="211">
        <f>L465*(Q457)</f>
        <v>0</v>
      </c>
      <c r="AB465" s="211"/>
      <c r="AC465" s="211"/>
      <c r="AD465" s="211">
        <f>L465*(T457)</f>
        <v>0</v>
      </c>
      <c r="AE465" s="211"/>
      <c r="AF465" s="211"/>
      <c r="AG465" s="211">
        <f>L465*(W457)</f>
        <v>0</v>
      </c>
      <c r="AH465" s="211"/>
      <c r="AI465" s="211"/>
      <c r="AJ465" s="211">
        <f>L465*(Z457)</f>
        <v>0</v>
      </c>
      <c r="AK465" s="211"/>
      <c r="AL465" s="211"/>
      <c r="AM465" s="211">
        <f>L465*(AC457)</f>
        <v>0</v>
      </c>
      <c r="AN465" s="211"/>
    </row>
    <row r="466" spans="2:40" s="7" customFormat="1" ht="12" hidden="1" customHeight="1" outlineLevel="3">
      <c r="B466" s="245"/>
      <c r="C466" s="213" t="s">
        <v>761</v>
      </c>
      <c r="D466" s="213"/>
      <c r="E466" s="213"/>
      <c r="F466" s="213"/>
      <c r="G466" s="213"/>
      <c r="H466" s="213"/>
      <c r="I466" s="213"/>
      <c r="J466" s="213"/>
      <c r="K466" s="213"/>
      <c r="L466" s="213"/>
      <c r="M466" s="211">
        <f>INDEX($C$349:$AN$371, MATCH("New Customers 3MS", $C$349:$C$371, 0), MATCH($C466, $C$349:$AN$349, 0))</f>
        <v>0</v>
      </c>
      <c r="N466" s="211"/>
      <c r="O466" s="211"/>
      <c r="P466" s="211">
        <f>M466*(E457)</f>
        <v>0</v>
      </c>
      <c r="Q466" s="211"/>
      <c r="R466" s="211"/>
      <c r="S466" s="211">
        <f>M466*(H457)</f>
        <v>0</v>
      </c>
      <c r="T466" s="211"/>
      <c r="U466" s="211"/>
      <c r="V466" s="211">
        <f>M466*(K457)</f>
        <v>0</v>
      </c>
      <c r="W466" s="211"/>
      <c r="X466" s="211"/>
      <c r="Y466" s="211">
        <f>M466*(N457)</f>
        <v>0</v>
      </c>
      <c r="Z466" s="211"/>
      <c r="AA466" s="211"/>
      <c r="AB466" s="211">
        <f>M466*(Q457)</f>
        <v>0</v>
      </c>
      <c r="AC466" s="211"/>
      <c r="AD466" s="211"/>
      <c r="AE466" s="211">
        <f>M466*(T457)</f>
        <v>0</v>
      </c>
      <c r="AF466" s="211"/>
      <c r="AG466" s="211"/>
      <c r="AH466" s="211">
        <f>M466*(W457)</f>
        <v>0</v>
      </c>
      <c r="AI466" s="211"/>
      <c r="AJ466" s="211"/>
      <c r="AK466" s="211">
        <f>M466*(Z457)</f>
        <v>0</v>
      </c>
      <c r="AL466" s="211"/>
      <c r="AM466" s="211"/>
      <c r="AN466" s="211">
        <f>M466*(AC457)</f>
        <v>0</v>
      </c>
    </row>
    <row r="467" spans="2:40" s="7" customFormat="1" ht="12" hidden="1" customHeight="1" outlineLevel="3">
      <c r="B467" s="245"/>
      <c r="C467" s="213" t="s">
        <v>762</v>
      </c>
      <c r="D467" s="213"/>
      <c r="E467" s="213"/>
      <c r="F467" s="213"/>
      <c r="G467" s="213"/>
      <c r="H467" s="213"/>
      <c r="I467" s="213"/>
      <c r="J467" s="213"/>
      <c r="K467" s="213"/>
      <c r="L467" s="213"/>
      <c r="M467" s="213"/>
      <c r="N467" s="211">
        <f>INDEX($C$349:$AN$371, MATCH("New Customers 3MS", $C$349:$C$371, 0), MATCH($C467, $C$349:$AN$349, 0))</f>
        <v>0</v>
      </c>
      <c r="O467" s="211"/>
      <c r="P467" s="211"/>
      <c r="Q467" s="211">
        <f>N467*(E457)</f>
        <v>0</v>
      </c>
      <c r="R467" s="211"/>
      <c r="S467" s="211"/>
      <c r="T467" s="211">
        <f>N467*(H457)</f>
        <v>0</v>
      </c>
      <c r="U467" s="211"/>
      <c r="V467" s="211"/>
      <c r="W467" s="211">
        <f>N467*(K457)</f>
        <v>0</v>
      </c>
      <c r="X467" s="211"/>
      <c r="Y467" s="211"/>
      <c r="Z467" s="211">
        <f>N467*(N457)</f>
        <v>0</v>
      </c>
      <c r="AA467" s="211"/>
      <c r="AB467" s="211"/>
      <c r="AC467" s="211">
        <f>N467*(Q457)</f>
        <v>0</v>
      </c>
      <c r="AD467" s="211"/>
      <c r="AE467" s="211"/>
      <c r="AF467" s="211">
        <f>N467*(T457)</f>
        <v>0</v>
      </c>
      <c r="AG467" s="211"/>
      <c r="AH467" s="211"/>
      <c r="AI467" s="211">
        <f>N467*(W457)</f>
        <v>0</v>
      </c>
      <c r="AJ467" s="211"/>
      <c r="AK467" s="211"/>
      <c r="AL467" s="211">
        <f>N467*(Z457)</f>
        <v>0</v>
      </c>
      <c r="AM467" s="211"/>
      <c r="AN467" s="211"/>
    </row>
    <row r="468" spans="2:40" s="7" customFormat="1" ht="12" hidden="1" customHeight="1" outlineLevel="3">
      <c r="B468" s="245"/>
      <c r="C468" s="213" t="s">
        <v>763</v>
      </c>
      <c r="D468" s="213"/>
      <c r="E468" s="213"/>
      <c r="F468" s="213"/>
      <c r="G468" s="213"/>
      <c r="H468" s="213"/>
      <c r="I468" s="213"/>
      <c r="J468" s="213"/>
      <c r="K468" s="213"/>
      <c r="L468" s="213"/>
      <c r="M468" s="213"/>
      <c r="N468" s="213"/>
      <c r="O468" s="211">
        <f>INDEX($C$349:$AN$371, MATCH("New Customers 3MS", $C$349:$C$371, 0), MATCH($C468, $C$349:$AN$349, 0))</f>
        <v>0</v>
      </c>
      <c r="P468" s="211"/>
      <c r="Q468" s="211"/>
      <c r="R468" s="211">
        <f>O468*(E457)</f>
        <v>0</v>
      </c>
      <c r="S468" s="211"/>
      <c r="T468" s="211"/>
      <c r="U468" s="211">
        <f>O468*(H457)</f>
        <v>0</v>
      </c>
      <c r="V468" s="211"/>
      <c r="W468" s="211"/>
      <c r="X468" s="211">
        <f>O468*(K457)</f>
        <v>0</v>
      </c>
      <c r="Y468" s="211"/>
      <c r="Z468" s="211"/>
      <c r="AA468" s="211">
        <f>O468*(N457)</f>
        <v>0</v>
      </c>
      <c r="AB468" s="211"/>
      <c r="AC468" s="211"/>
      <c r="AD468" s="211">
        <f>O468*(Q457)</f>
        <v>0</v>
      </c>
      <c r="AE468" s="211"/>
      <c r="AF468" s="211"/>
      <c r="AG468" s="211">
        <f>O468*(T457)</f>
        <v>0</v>
      </c>
      <c r="AH468" s="211"/>
      <c r="AI468" s="211"/>
      <c r="AJ468" s="211">
        <f>O468*(W457)</f>
        <v>0</v>
      </c>
      <c r="AK468" s="211"/>
      <c r="AL468" s="211"/>
      <c r="AM468" s="211">
        <f>O468*(Z457)</f>
        <v>0</v>
      </c>
      <c r="AN468" s="211"/>
    </row>
    <row r="469" spans="2:40" s="7" customFormat="1" ht="12" hidden="1" customHeight="1" outlineLevel="3">
      <c r="B469" s="245"/>
      <c r="C469" s="213" t="s">
        <v>764</v>
      </c>
      <c r="D469" s="213"/>
      <c r="E469" s="213"/>
      <c r="F469" s="213"/>
      <c r="G469" s="213"/>
      <c r="H469" s="213"/>
      <c r="I469" s="213"/>
      <c r="J469" s="213"/>
      <c r="K469" s="213"/>
      <c r="L469" s="213"/>
      <c r="M469" s="213"/>
      <c r="N469" s="213"/>
      <c r="O469" s="213"/>
      <c r="P469" s="211">
        <f>INDEX($C$349:$AN$371, MATCH("New Customers 3MS", $C$349:$C$371, 0), MATCH($C469, $C$349:$AN$349, 0))</f>
        <v>0</v>
      </c>
      <c r="Q469" s="211"/>
      <c r="R469" s="211"/>
      <c r="S469" s="211">
        <f>P469*(E457)</f>
        <v>0</v>
      </c>
      <c r="T469" s="211"/>
      <c r="U469" s="211"/>
      <c r="V469" s="211">
        <f>P469*(H457)</f>
        <v>0</v>
      </c>
      <c r="W469" s="211"/>
      <c r="X469" s="211"/>
      <c r="Y469" s="211">
        <f>P469*(K457)</f>
        <v>0</v>
      </c>
      <c r="Z469" s="211"/>
      <c r="AA469" s="211"/>
      <c r="AB469" s="211">
        <f>P469*(N457)</f>
        <v>0</v>
      </c>
      <c r="AC469" s="211"/>
      <c r="AD469" s="211"/>
      <c r="AE469" s="211">
        <f>P469*(Q457)</f>
        <v>0</v>
      </c>
      <c r="AF469" s="211"/>
      <c r="AG469" s="211"/>
      <c r="AH469" s="211">
        <f>P469*(T457)</f>
        <v>0</v>
      </c>
      <c r="AI469" s="211"/>
      <c r="AJ469" s="211"/>
      <c r="AK469" s="211">
        <f>P469*(W457)</f>
        <v>0</v>
      </c>
      <c r="AL469" s="211"/>
      <c r="AM469" s="211"/>
      <c r="AN469" s="211">
        <f>P469*(Z457)</f>
        <v>0</v>
      </c>
    </row>
    <row r="470" spans="2:40" s="7" customFormat="1" ht="12" hidden="1" customHeight="1" outlineLevel="3">
      <c r="B470" s="245"/>
      <c r="C470" s="213" t="s">
        <v>765</v>
      </c>
      <c r="D470" s="213"/>
      <c r="E470" s="213"/>
      <c r="F470" s="213"/>
      <c r="G470" s="213"/>
      <c r="H470" s="213"/>
      <c r="I470" s="213"/>
      <c r="J470" s="213"/>
      <c r="K470" s="213"/>
      <c r="L470" s="213"/>
      <c r="M470" s="213"/>
      <c r="N470" s="213"/>
      <c r="O470" s="213"/>
      <c r="P470" s="213"/>
      <c r="Q470" s="211">
        <f>INDEX($C$349:$AN$371, MATCH("New Customers 3MS", $C$349:$C$371, 0), MATCH($C470, $C$349:$AN$349, 0))</f>
        <v>0</v>
      </c>
      <c r="R470" s="211"/>
      <c r="S470" s="211"/>
      <c r="T470" s="211">
        <f>Q470*(E457)</f>
        <v>0</v>
      </c>
      <c r="U470" s="211"/>
      <c r="V470" s="211"/>
      <c r="W470" s="211">
        <f>Q470*(H457)</f>
        <v>0</v>
      </c>
      <c r="X470" s="211"/>
      <c r="Y470" s="211"/>
      <c r="Z470" s="211">
        <f>Q470*(K457)</f>
        <v>0</v>
      </c>
      <c r="AA470" s="211"/>
      <c r="AB470" s="211"/>
      <c r="AC470" s="211">
        <f>Q470*(N457)</f>
        <v>0</v>
      </c>
      <c r="AD470" s="211"/>
      <c r="AE470" s="211"/>
      <c r="AF470" s="211">
        <f>Q470*(Q457)</f>
        <v>0</v>
      </c>
      <c r="AG470" s="211"/>
      <c r="AH470" s="211"/>
      <c r="AI470" s="211">
        <f>Q470*(T457)</f>
        <v>0</v>
      </c>
      <c r="AJ470" s="211"/>
      <c r="AK470" s="211"/>
      <c r="AL470" s="211">
        <f>Q470*(W457)</f>
        <v>0</v>
      </c>
      <c r="AM470" s="211"/>
      <c r="AN470" s="211"/>
    </row>
    <row r="471" spans="2:40" s="7" customFormat="1" ht="12" hidden="1" customHeight="1" outlineLevel="3">
      <c r="B471" s="245"/>
      <c r="C471" s="213" t="s">
        <v>766</v>
      </c>
      <c r="D471" s="213"/>
      <c r="E471" s="213"/>
      <c r="F471" s="213"/>
      <c r="G471" s="213"/>
      <c r="H471" s="213"/>
      <c r="I471" s="213"/>
      <c r="J471" s="213"/>
      <c r="K471" s="213"/>
      <c r="L471" s="213"/>
      <c r="M471" s="213"/>
      <c r="N471" s="213"/>
      <c r="O471" s="213"/>
      <c r="P471" s="213"/>
      <c r="Q471" s="213"/>
      <c r="R471" s="211">
        <f>INDEX($C$349:$AN$371, MATCH("New Customers 3MS", $C$349:$C$371, 0), MATCH($C471, $C$349:$AN$349, 0))</f>
        <v>0</v>
      </c>
      <c r="S471" s="211"/>
      <c r="T471" s="211"/>
      <c r="U471" s="211">
        <f>R471*(E457)</f>
        <v>0</v>
      </c>
      <c r="V471" s="211"/>
      <c r="W471" s="211"/>
      <c r="X471" s="211">
        <f>R471*(H457)</f>
        <v>0</v>
      </c>
      <c r="Y471" s="211"/>
      <c r="Z471" s="211"/>
      <c r="AA471" s="211">
        <f>R471*(K457)</f>
        <v>0</v>
      </c>
      <c r="AB471" s="211"/>
      <c r="AC471" s="211"/>
      <c r="AD471" s="211">
        <f>R471*(N457)</f>
        <v>0</v>
      </c>
      <c r="AE471" s="211"/>
      <c r="AF471" s="211"/>
      <c r="AG471" s="211">
        <f>R471*(Q457)</f>
        <v>0</v>
      </c>
      <c r="AH471" s="211"/>
      <c r="AI471" s="211"/>
      <c r="AJ471" s="211">
        <f>R471*(T457)</f>
        <v>0</v>
      </c>
      <c r="AK471" s="211"/>
      <c r="AL471" s="211"/>
      <c r="AM471" s="211">
        <f>R471*(W457)</f>
        <v>0</v>
      </c>
      <c r="AN471" s="211"/>
    </row>
    <row r="472" spans="2:40" s="7" customFormat="1" ht="12" hidden="1" customHeight="1" outlineLevel="3">
      <c r="B472" s="245"/>
      <c r="C472" s="213" t="s">
        <v>767</v>
      </c>
      <c r="D472" s="213"/>
      <c r="E472" s="213"/>
      <c r="F472" s="213"/>
      <c r="G472" s="213"/>
      <c r="H472" s="213"/>
      <c r="I472" s="213"/>
      <c r="J472" s="213"/>
      <c r="K472" s="213"/>
      <c r="L472" s="213"/>
      <c r="M472" s="213"/>
      <c r="N472" s="213"/>
      <c r="O472" s="213"/>
      <c r="P472" s="213"/>
      <c r="Q472" s="213"/>
      <c r="R472" s="213"/>
      <c r="S472" s="211">
        <f>INDEX($C$349:$AN$371, MATCH("New Customers 3MS", $C$349:$C$371, 0), MATCH($C472, $C$349:$AN$349, 0))</f>
        <v>0</v>
      </c>
      <c r="T472" s="211"/>
      <c r="U472" s="211"/>
      <c r="V472" s="211">
        <f>S472*(E457)</f>
        <v>0</v>
      </c>
      <c r="W472" s="211"/>
      <c r="X472" s="211"/>
      <c r="Y472" s="211">
        <f>S472*(H457)</f>
        <v>0</v>
      </c>
      <c r="Z472" s="211"/>
      <c r="AA472" s="211"/>
      <c r="AB472" s="211">
        <f>S472*(K457)</f>
        <v>0</v>
      </c>
      <c r="AC472" s="211"/>
      <c r="AD472" s="211"/>
      <c r="AE472" s="211">
        <f>S472*(N457)</f>
        <v>0</v>
      </c>
      <c r="AF472" s="211"/>
      <c r="AG472" s="211"/>
      <c r="AH472" s="211">
        <f>S472*(Q457)</f>
        <v>0</v>
      </c>
      <c r="AI472" s="211"/>
      <c r="AJ472" s="211"/>
      <c r="AK472" s="211">
        <f>S472*(T457)</f>
        <v>0</v>
      </c>
      <c r="AL472" s="211"/>
      <c r="AM472" s="211"/>
      <c r="AN472" s="211">
        <f>S472*(W457)</f>
        <v>0</v>
      </c>
    </row>
    <row r="473" spans="2:40" s="7" customFormat="1" ht="12" hidden="1" customHeight="1" outlineLevel="3">
      <c r="B473" s="245"/>
      <c r="C473" s="213" t="s">
        <v>768</v>
      </c>
      <c r="D473" s="213"/>
      <c r="E473" s="213"/>
      <c r="F473" s="213"/>
      <c r="G473" s="213"/>
      <c r="H473" s="213"/>
      <c r="I473" s="213"/>
      <c r="J473" s="213"/>
      <c r="K473" s="213"/>
      <c r="L473" s="213"/>
      <c r="M473" s="213"/>
      <c r="N473" s="213"/>
      <c r="O473" s="213"/>
      <c r="P473" s="213"/>
      <c r="Q473" s="213"/>
      <c r="R473" s="213"/>
      <c r="S473" s="213"/>
      <c r="T473" s="211">
        <f>INDEX($C$349:$AN$371, MATCH("New Customers 3MS", $C$349:$C$371, 0), MATCH($C473, $C$349:$AN$349, 0))</f>
        <v>0</v>
      </c>
      <c r="U473" s="211"/>
      <c r="V473" s="211"/>
      <c r="W473" s="211">
        <f>T473*(E457)</f>
        <v>0</v>
      </c>
      <c r="X473" s="211"/>
      <c r="Y473" s="211"/>
      <c r="Z473" s="211">
        <f>T473*(H457)</f>
        <v>0</v>
      </c>
      <c r="AA473" s="211"/>
      <c r="AB473" s="211"/>
      <c r="AC473" s="211">
        <f>T473*(K457)</f>
        <v>0</v>
      </c>
      <c r="AD473" s="211"/>
      <c r="AE473" s="211"/>
      <c r="AF473" s="211">
        <f>T473*(N457)</f>
        <v>0</v>
      </c>
      <c r="AG473" s="211"/>
      <c r="AH473" s="211"/>
      <c r="AI473" s="211">
        <f>T473*(Q457)</f>
        <v>0</v>
      </c>
      <c r="AJ473" s="211"/>
      <c r="AK473" s="211"/>
      <c r="AL473" s="211">
        <f>T473*(T457)</f>
        <v>0</v>
      </c>
      <c r="AM473" s="211"/>
      <c r="AN473" s="211"/>
    </row>
    <row r="474" spans="2:40" s="7" customFormat="1" ht="12" hidden="1" customHeight="1" outlineLevel="3">
      <c r="B474" s="245"/>
      <c r="C474" s="213" t="s">
        <v>769</v>
      </c>
      <c r="D474" s="213"/>
      <c r="E474" s="213"/>
      <c r="F474" s="213"/>
      <c r="G474" s="213"/>
      <c r="H474" s="213"/>
      <c r="I474" s="213"/>
      <c r="J474" s="213"/>
      <c r="K474" s="213"/>
      <c r="L474" s="213"/>
      <c r="M474" s="213"/>
      <c r="N474" s="213"/>
      <c r="O474" s="213"/>
      <c r="P474" s="213"/>
      <c r="Q474" s="213"/>
      <c r="R474" s="213"/>
      <c r="S474" s="213"/>
      <c r="T474" s="213"/>
      <c r="U474" s="211">
        <f>INDEX($C$349:$AN$371, MATCH("New Customers 3MS", $C$349:$C$371, 0), MATCH($C474, $C$349:$AN$349, 0))</f>
        <v>0</v>
      </c>
      <c r="V474" s="211"/>
      <c r="W474" s="211"/>
      <c r="X474" s="211">
        <f>U474*(E457)</f>
        <v>0</v>
      </c>
      <c r="Y474" s="211"/>
      <c r="Z474" s="211"/>
      <c r="AA474" s="211">
        <f>U474*(H457)</f>
        <v>0</v>
      </c>
      <c r="AB474" s="211"/>
      <c r="AC474" s="211"/>
      <c r="AD474" s="211">
        <f>U474*(K457)</f>
        <v>0</v>
      </c>
      <c r="AE474" s="211"/>
      <c r="AF474" s="211"/>
      <c r="AG474" s="211">
        <f>U474*(N457)</f>
        <v>0</v>
      </c>
      <c r="AH474" s="211"/>
      <c r="AI474" s="211"/>
      <c r="AJ474" s="211">
        <f>U474*(Q457)</f>
        <v>0</v>
      </c>
      <c r="AK474" s="211"/>
      <c r="AL474" s="211"/>
      <c r="AM474" s="211">
        <f>U474*(T457)</f>
        <v>0</v>
      </c>
      <c r="AN474" s="211"/>
    </row>
    <row r="475" spans="2:40" s="7" customFormat="1" ht="12" hidden="1" customHeight="1" outlineLevel="3">
      <c r="B475" s="245"/>
      <c r="C475" s="213" t="s">
        <v>770</v>
      </c>
      <c r="D475" s="213"/>
      <c r="E475" s="213"/>
      <c r="F475" s="213"/>
      <c r="G475" s="213"/>
      <c r="H475" s="213"/>
      <c r="I475" s="213"/>
      <c r="J475" s="213"/>
      <c r="K475" s="213"/>
      <c r="L475" s="213"/>
      <c r="M475" s="213"/>
      <c r="N475" s="213"/>
      <c r="O475" s="213"/>
      <c r="P475" s="213"/>
      <c r="Q475" s="213"/>
      <c r="R475" s="213"/>
      <c r="S475" s="213"/>
      <c r="T475" s="213"/>
      <c r="U475" s="213"/>
      <c r="V475" s="211">
        <f>INDEX($C$349:$AN$371, MATCH("New Customers 3MS", $C$349:$C$371, 0), MATCH($C475, $C$349:$AN$349, 0))</f>
        <v>0</v>
      </c>
      <c r="W475" s="211"/>
      <c r="X475" s="211"/>
      <c r="Y475" s="211">
        <f>V475*(E457)</f>
        <v>0</v>
      </c>
      <c r="Z475" s="211"/>
      <c r="AA475" s="211"/>
      <c r="AB475" s="211">
        <f>V475*(H457)</f>
        <v>0</v>
      </c>
      <c r="AC475" s="211"/>
      <c r="AD475" s="211"/>
      <c r="AE475" s="211">
        <f>V475*(K457)</f>
        <v>0</v>
      </c>
      <c r="AF475" s="211"/>
      <c r="AG475" s="211"/>
      <c r="AH475" s="211">
        <f>V475*(N457)</f>
        <v>0</v>
      </c>
      <c r="AI475" s="211"/>
      <c r="AJ475" s="211"/>
      <c r="AK475" s="211">
        <f>V475*(Q457)</f>
        <v>0</v>
      </c>
      <c r="AL475" s="211"/>
      <c r="AM475" s="211"/>
      <c r="AN475" s="211">
        <f>V475*(T457)</f>
        <v>0</v>
      </c>
    </row>
    <row r="476" spans="2:40" s="7" customFormat="1" ht="12" hidden="1" customHeight="1" outlineLevel="3">
      <c r="B476" s="245"/>
      <c r="C476" s="213" t="s">
        <v>771</v>
      </c>
      <c r="D476" s="213"/>
      <c r="E476" s="213"/>
      <c r="F476" s="213"/>
      <c r="G476" s="213"/>
      <c r="H476" s="213"/>
      <c r="I476" s="213"/>
      <c r="J476" s="213"/>
      <c r="K476" s="213"/>
      <c r="L476" s="213"/>
      <c r="M476" s="213"/>
      <c r="N476" s="213"/>
      <c r="O476" s="213"/>
      <c r="P476" s="213"/>
      <c r="Q476" s="213"/>
      <c r="R476" s="213"/>
      <c r="S476" s="213"/>
      <c r="T476" s="213"/>
      <c r="U476" s="213"/>
      <c r="V476" s="213"/>
      <c r="W476" s="211">
        <f>INDEX($C$349:$AN$371, MATCH("New Customers 3MS", $C$349:$C$371, 0), MATCH($C476, $C$349:$AN$349, 0))</f>
        <v>0</v>
      </c>
      <c r="X476" s="211"/>
      <c r="Y476" s="211"/>
      <c r="Z476" s="211">
        <f>W476*(E457)</f>
        <v>0</v>
      </c>
      <c r="AA476" s="211"/>
      <c r="AB476" s="211"/>
      <c r="AC476" s="211">
        <f>W476*(H457)</f>
        <v>0</v>
      </c>
      <c r="AD476" s="211"/>
      <c r="AE476" s="211"/>
      <c r="AF476" s="211">
        <f>W476*(K457)</f>
        <v>0</v>
      </c>
      <c r="AG476" s="211"/>
      <c r="AH476" s="211"/>
      <c r="AI476" s="211">
        <f>W476*(N457)</f>
        <v>0</v>
      </c>
      <c r="AJ476" s="211"/>
      <c r="AK476" s="211"/>
      <c r="AL476" s="211">
        <f>W476*(Q457)</f>
        <v>0</v>
      </c>
      <c r="AM476" s="211"/>
      <c r="AN476" s="211"/>
    </row>
    <row r="477" spans="2:40" s="7" customFormat="1" ht="12" hidden="1" customHeight="1" outlineLevel="3">
      <c r="B477" s="245"/>
      <c r="C477" s="213" t="s">
        <v>772</v>
      </c>
      <c r="D477" s="213"/>
      <c r="E477" s="213"/>
      <c r="F477" s="213"/>
      <c r="G477" s="213"/>
      <c r="H477" s="213"/>
      <c r="I477" s="213"/>
      <c r="J477" s="213"/>
      <c r="K477" s="213"/>
      <c r="L477" s="213"/>
      <c r="M477" s="213"/>
      <c r="N477" s="213"/>
      <c r="O477" s="213"/>
      <c r="P477" s="213"/>
      <c r="Q477" s="213"/>
      <c r="R477" s="213"/>
      <c r="S477" s="213"/>
      <c r="T477" s="213"/>
      <c r="U477" s="213"/>
      <c r="V477" s="213"/>
      <c r="W477" s="213"/>
      <c r="X477" s="211">
        <f>INDEX($C$349:$AN$371, MATCH("New Customers 3MS", $C$349:$C$371, 0), MATCH($C477, $C$349:$AN$349, 0))</f>
        <v>0</v>
      </c>
      <c r="Y477" s="211"/>
      <c r="Z477" s="211"/>
      <c r="AA477" s="211">
        <f>X477*(E457)</f>
        <v>0</v>
      </c>
      <c r="AB477" s="211"/>
      <c r="AC477" s="211"/>
      <c r="AD477" s="211">
        <f>X477*(H457)</f>
        <v>0</v>
      </c>
      <c r="AE477" s="211"/>
      <c r="AF477" s="211"/>
      <c r="AG477" s="211">
        <f>X477*(K457)</f>
        <v>0</v>
      </c>
      <c r="AH477" s="211"/>
      <c r="AI477" s="211"/>
      <c r="AJ477" s="211">
        <f>X477*(N457)</f>
        <v>0</v>
      </c>
      <c r="AK477" s="211"/>
      <c r="AL477" s="211"/>
      <c r="AM477" s="211">
        <f>X477*(Q457)</f>
        <v>0</v>
      </c>
      <c r="AN477" s="211"/>
    </row>
    <row r="478" spans="2:40" s="7" customFormat="1" ht="12" hidden="1" customHeight="1" outlineLevel="3">
      <c r="B478" s="245"/>
      <c r="C478" s="213" t="s">
        <v>773</v>
      </c>
      <c r="D478" s="213"/>
      <c r="E478" s="213"/>
      <c r="F478" s="213"/>
      <c r="G478" s="213"/>
      <c r="H478" s="213"/>
      <c r="I478" s="213"/>
      <c r="J478" s="213"/>
      <c r="K478" s="213"/>
      <c r="L478" s="213"/>
      <c r="M478" s="213"/>
      <c r="N478" s="213"/>
      <c r="O478" s="213"/>
      <c r="P478" s="213"/>
      <c r="Q478" s="213"/>
      <c r="R478" s="213"/>
      <c r="S478" s="213"/>
      <c r="T478" s="213"/>
      <c r="U478" s="213"/>
      <c r="V478" s="213"/>
      <c r="W478" s="213"/>
      <c r="X478" s="213"/>
      <c r="Y478" s="211">
        <f>INDEX($C$349:$AN$371, MATCH("New Customers 3MS", $C$349:$C$371, 0), MATCH($C478, $C$349:$AN$349, 0))</f>
        <v>0</v>
      </c>
      <c r="Z478" s="211"/>
      <c r="AA478" s="211"/>
      <c r="AB478" s="211">
        <f>Y478*(E457)</f>
        <v>0</v>
      </c>
      <c r="AC478" s="211"/>
      <c r="AD478" s="211"/>
      <c r="AE478" s="211">
        <f>Y478*(H457)</f>
        <v>0</v>
      </c>
      <c r="AF478" s="211"/>
      <c r="AG478" s="211"/>
      <c r="AH478" s="211">
        <f>Y478*(K457)</f>
        <v>0</v>
      </c>
      <c r="AI478" s="211"/>
      <c r="AJ478" s="211"/>
      <c r="AK478" s="211">
        <f>Y478*(N457)</f>
        <v>0</v>
      </c>
      <c r="AL478" s="211"/>
      <c r="AM478" s="211"/>
      <c r="AN478" s="211">
        <f>Y478*(Q457)</f>
        <v>0</v>
      </c>
    </row>
    <row r="479" spans="2:40" s="7" customFormat="1" ht="12" hidden="1" customHeight="1" outlineLevel="3">
      <c r="B479" s="245"/>
      <c r="C479" s="213" t="s">
        <v>774</v>
      </c>
      <c r="D479" s="213"/>
      <c r="E479" s="213"/>
      <c r="F479" s="213"/>
      <c r="G479" s="213"/>
      <c r="H479" s="213"/>
      <c r="I479" s="213"/>
      <c r="J479" s="213"/>
      <c r="K479" s="213"/>
      <c r="L479" s="213"/>
      <c r="M479" s="213"/>
      <c r="N479" s="213"/>
      <c r="O479" s="213"/>
      <c r="P479" s="213"/>
      <c r="Q479" s="213"/>
      <c r="R479" s="213"/>
      <c r="S479" s="213"/>
      <c r="T479" s="213"/>
      <c r="U479" s="213"/>
      <c r="V479" s="213"/>
      <c r="W479" s="213"/>
      <c r="X479" s="213"/>
      <c r="Y479" s="213"/>
      <c r="Z479" s="211">
        <f>INDEX($C$349:$AN$371, MATCH("New Customers 3MS", $C$349:$C$371, 0), MATCH($C479, $C$349:$AN$349, 0))</f>
        <v>0</v>
      </c>
      <c r="AA479" s="211"/>
      <c r="AB479" s="211"/>
      <c r="AC479" s="211">
        <f>Z479*(E457)</f>
        <v>0</v>
      </c>
      <c r="AD479" s="211"/>
      <c r="AE479" s="211"/>
      <c r="AF479" s="211">
        <f>Z479*(H457)</f>
        <v>0</v>
      </c>
      <c r="AG479" s="211"/>
      <c r="AH479" s="211"/>
      <c r="AI479" s="211">
        <f>Z479*(K457)</f>
        <v>0</v>
      </c>
      <c r="AJ479" s="211"/>
      <c r="AK479" s="211"/>
      <c r="AL479" s="211">
        <f>Z479*(N457)</f>
        <v>0</v>
      </c>
      <c r="AM479" s="211"/>
      <c r="AN479" s="211"/>
    </row>
    <row r="480" spans="2:40" s="7" customFormat="1" ht="12" hidden="1" customHeight="1" outlineLevel="3">
      <c r="B480" s="245"/>
      <c r="C480" s="213" t="s">
        <v>775</v>
      </c>
      <c r="D480" s="213"/>
      <c r="E480" s="213"/>
      <c r="F480" s="213"/>
      <c r="G480" s="213"/>
      <c r="H480" s="213"/>
      <c r="I480" s="213"/>
      <c r="J480" s="213"/>
      <c r="K480" s="213"/>
      <c r="L480" s="213"/>
      <c r="M480" s="213"/>
      <c r="N480" s="213"/>
      <c r="O480" s="213"/>
      <c r="P480" s="213"/>
      <c r="Q480" s="213"/>
      <c r="R480" s="213"/>
      <c r="S480" s="213"/>
      <c r="T480" s="213"/>
      <c r="U480" s="213"/>
      <c r="V480" s="213"/>
      <c r="W480" s="213"/>
      <c r="X480" s="213"/>
      <c r="Y480" s="213"/>
      <c r="Z480" s="213"/>
      <c r="AA480" s="211">
        <f>INDEX($C$349:$AN$371, MATCH("New Customers 3MS", $C$349:$C$371, 0), MATCH($C480, $C$349:$AN$349, 0))</f>
        <v>0</v>
      </c>
      <c r="AB480" s="211"/>
      <c r="AC480" s="211"/>
      <c r="AD480" s="211">
        <f>AA480*(E457)</f>
        <v>0</v>
      </c>
      <c r="AE480" s="211"/>
      <c r="AF480" s="211"/>
      <c r="AG480" s="211">
        <f>AA480*(H457)</f>
        <v>0</v>
      </c>
      <c r="AH480" s="211"/>
      <c r="AI480" s="211"/>
      <c r="AJ480" s="211">
        <f>AA480*(K457)</f>
        <v>0</v>
      </c>
      <c r="AK480" s="211"/>
      <c r="AL480" s="211"/>
      <c r="AM480" s="211">
        <f>AA480*(N457)</f>
        <v>0</v>
      </c>
      <c r="AN480" s="211"/>
    </row>
    <row r="481" spans="2:40" s="7" customFormat="1" ht="12" hidden="1" customHeight="1" outlineLevel="3">
      <c r="B481" s="245"/>
      <c r="C481" s="213" t="s">
        <v>776</v>
      </c>
      <c r="D481" s="213"/>
      <c r="E481" s="213"/>
      <c r="F481" s="213"/>
      <c r="G481" s="213"/>
      <c r="H481" s="213"/>
      <c r="I481" s="213"/>
      <c r="J481" s="213"/>
      <c r="K481" s="213"/>
      <c r="L481" s="213"/>
      <c r="M481" s="213"/>
      <c r="N481" s="213"/>
      <c r="O481" s="213"/>
      <c r="P481" s="213"/>
      <c r="Q481" s="213"/>
      <c r="R481" s="213"/>
      <c r="S481" s="213"/>
      <c r="T481" s="213"/>
      <c r="U481" s="213"/>
      <c r="V481" s="213"/>
      <c r="W481" s="213"/>
      <c r="X481" s="213"/>
      <c r="Y481" s="213"/>
      <c r="Z481" s="213"/>
      <c r="AA481" s="213"/>
      <c r="AB481" s="211">
        <f>INDEX($C$349:$AN$371, MATCH("New Customers 3MS", $C$349:$C$371, 0), MATCH($C481, $C$349:$AN$349, 0))</f>
        <v>0</v>
      </c>
      <c r="AC481" s="211"/>
      <c r="AD481" s="211"/>
      <c r="AE481" s="211">
        <f>AB481*(E457)</f>
        <v>0</v>
      </c>
      <c r="AF481" s="211"/>
      <c r="AG481" s="211"/>
      <c r="AH481" s="211">
        <f>AB481*(H457)</f>
        <v>0</v>
      </c>
      <c r="AI481" s="211"/>
      <c r="AJ481" s="211"/>
      <c r="AK481" s="211">
        <f>AB481*($K$153)</f>
        <v>0</v>
      </c>
      <c r="AL481" s="211"/>
      <c r="AM481" s="211"/>
      <c r="AN481" s="211">
        <f>AB481*(N457)</f>
        <v>0</v>
      </c>
    </row>
    <row r="482" spans="2:40" s="7" customFormat="1" ht="12" hidden="1" customHeight="1" outlineLevel="3">
      <c r="B482" s="245"/>
      <c r="C482" s="213" t="s">
        <v>777</v>
      </c>
      <c r="D482" s="213"/>
      <c r="E482" s="213"/>
      <c r="F482" s="213"/>
      <c r="G482" s="213"/>
      <c r="H482" s="213"/>
      <c r="I482" s="213"/>
      <c r="J482" s="213"/>
      <c r="K482" s="213"/>
      <c r="L482" s="213"/>
      <c r="M482" s="213"/>
      <c r="N482" s="213"/>
      <c r="O482" s="213"/>
      <c r="P482" s="213"/>
      <c r="Q482" s="213"/>
      <c r="R482" s="213"/>
      <c r="S482" s="213"/>
      <c r="T482" s="213"/>
      <c r="U482" s="213"/>
      <c r="V482" s="213"/>
      <c r="W482" s="213"/>
      <c r="X482" s="213"/>
      <c r="Y482" s="213"/>
      <c r="Z482" s="213"/>
      <c r="AA482" s="213"/>
      <c r="AB482" s="211"/>
      <c r="AC482" s="211">
        <f>INDEX($C$349:$AN$371, MATCH("New Customers 3MS", $C$349:$C$371, 0), MATCH($C482, $C$349:$AN$349, 0))</f>
        <v>0</v>
      </c>
      <c r="AD482" s="211"/>
      <c r="AE482" s="211"/>
      <c r="AF482" s="211">
        <f>AC482*($E$153)</f>
        <v>0</v>
      </c>
      <c r="AG482" s="211"/>
      <c r="AH482" s="211"/>
      <c r="AI482" s="211">
        <f>AB481*($H$153)</f>
        <v>0</v>
      </c>
      <c r="AJ482" s="211"/>
      <c r="AK482" s="211"/>
      <c r="AL482" s="211">
        <f>AC482*($K$153)</f>
        <v>0</v>
      </c>
      <c r="AM482" s="211"/>
      <c r="AN482" s="211"/>
    </row>
    <row r="483" spans="2:40" s="7" customFormat="1" ht="12" hidden="1" customHeight="1" outlineLevel="3">
      <c r="B483" s="245"/>
      <c r="C483" s="213" t="s">
        <v>778</v>
      </c>
      <c r="D483" s="213"/>
      <c r="E483" s="213"/>
      <c r="F483" s="213"/>
      <c r="G483" s="213"/>
      <c r="H483" s="213"/>
      <c r="I483" s="213"/>
      <c r="J483" s="213"/>
      <c r="K483" s="213"/>
      <c r="L483" s="213"/>
      <c r="M483" s="213"/>
      <c r="N483" s="213"/>
      <c r="O483" s="213"/>
      <c r="P483" s="213"/>
      <c r="Q483" s="213"/>
      <c r="R483" s="213"/>
      <c r="S483" s="213"/>
      <c r="T483" s="213"/>
      <c r="U483" s="213"/>
      <c r="V483" s="213"/>
      <c r="W483" s="213"/>
      <c r="X483" s="213"/>
      <c r="Y483" s="213"/>
      <c r="Z483" s="213"/>
      <c r="AA483" s="213"/>
      <c r="AB483" s="211"/>
      <c r="AC483" s="211"/>
      <c r="AD483" s="211">
        <f>INDEX($C$349:$AN$371, MATCH("New Customers 3MS", $C$349:$C$371, 0), MATCH($C483, $C$349:$AN$349, 0))</f>
        <v>0</v>
      </c>
      <c r="AE483" s="211"/>
      <c r="AF483" s="211"/>
      <c r="AG483" s="211">
        <f>AD483*($E$153)</f>
        <v>0</v>
      </c>
      <c r="AH483" s="211"/>
      <c r="AI483" s="211"/>
      <c r="AJ483" s="211">
        <f>AB481*($H$153)</f>
        <v>0</v>
      </c>
      <c r="AK483" s="211"/>
      <c r="AL483" s="211"/>
      <c r="AM483" s="211">
        <f>AD483*($K$153)</f>
        <v>0</v>
      </c>
      <c r="AN483" s="211"/>
    </row>
    <row r="484" spans="2:40" s="7" customFormat="1" ht="12" hidden="1" customHeight="1" outlineLevel="3">
      <c r="B484" s="245"/>
      <c r="C484" s="213" t="s">
        <v>779</v>
      </c>
      <c r="D484" s="213"/>
      <c r="E484" s="213"/>
      <c r="F484" s="213"/>
      <c r="G484" s="213"/>
      <c r="H484" s="213"/>
      <c r="I484" s="213"/>
      <c r="J484" s="213"/>
      <c r="K484" s="213"/>
      <c r="L484" s="213"/>
      <c r="M484" s="213"/>
      <c r="N484" s="213"/>
      <c r="O484" s="213"/>
      <c r="P484" s="213"/>
      <c r="Q484" s="213"/>
      <c r="R484" s="213"/>
      <c r="S484" s="213"/>
      <c r="T484" s="213"/>
      <c r="U484" s="213"/>
      <c r="V484" s="213"/>
      <c r="W484" s="213"/>
      <c r="X484" s="213"/>
      <c r="Y484" s="213"/>
      <c r="Z484" s="213"/>
      <c r="AA484" s="213"/>
      <c r="AB484" s="211"/>
      <c r="AC484" s="211"/>
      <c r="AD484" s="211"/>
      <c r="AE484" s="211">
        <f>INDEX($C$349:$AN$371, MATCH("New Customers 3MS", $C$349:$C$371, 0), MATCH($C484, $C$349:$AN$349, 0))</f>
        <v>0</v>
      </c>
      <c r="AF484" s="211"/>
      <c r="AG484" s="211"/>
      <c r="AH484" s="211">
        <f>AE484*($E$153)</f>
        <v>0</v>
      </c>
      <c r="AI484" s="211"/>
      <c r="AJ484" s="211"/>
      <c r="AK484" s="211">
        <f>AB481*($H$153)</f>
        <v>0</v>
      </c>
      <c r="AL484" s="211"/>
      <c r="AM484" s="211"/>
      <c r="AN484" s="211">
        <f>AE484*($K$153)</f>
        <v>0</v>
      </c>
    </row>
    <row r="485" spans="2:40" s="7" customFormat="1" ht="12" hidden="1" customHeight="1" outlineLevel="3">
      <c r="B485" s="245"/>
      <c r="C485" s="213" t="s">
        <v>780</v>
      </c>
      <c r="D485" s="213"/>
      <c r="E485" s="213"/>
      <c r="F485" s="213"/>
      <c r="G485" s="213"/>
      <c r="H485" s="213"/>
      <c r="I485" s="213"/>
      <c r="J485" s="213"/>
      <c r="K485" s="213"/>
      <c r="L485" s="213"/>
      <c r="M485" s="213"/>
      <c r="N485" s="213"/>
      <c r="O485" s="213"/>
      <c r="P485" s="213"/>
      <c r="Q485" s="213"/>
      <c r="R485" s="213"/>
      <c r="S485" s="213"/>
      <c r="T485" s="213"/>
      <c r="U485" s="213"/>
      <c r="V485" s="213"/>
      <c r="W485" s="213"/>
      <c r="X485" s="213"/>
      <c r="Y485" s="213"/>
      <c r="Z485" s="213"/>
      <c r="AA485" s="213"/>
      <c r="AB485" s="211"/>
      <c r="AC485" s="211"/>
      <c r="AD485" s="211"/>
      <c r="AE485" s="211"/>
      <c r="AF485" s="211">
        <f>INDEX($C$349:$AN$371, MATCH("New Customers 3MS", $C$349:$C$371, 0), MATCH($C485, $C$349:$AN$349, 0))</f>
        <v>0</v>
      </c>
      <c r="AG485" s="211"/>
      <c r="AH485" s="211"/>
      <c r="AI485" s="211">
        <f>AF485*($E$153)</f>
        <v>0</v>
      </c>
      <c r="AJ485" s="211"/>
      <c r="AK485" s="211"/>
      <c r="AL485" s="211">
        <f>AB481*($H$153)</f>
        <v>0</v>
      </c>
      <c r="AM485" s="211"/>
      <c r="AN485" s="211"/>
    </row>
    <row r="486" spans="2:40" s="7" customFormat="1" ht="12" hidden="1" customHeight="1" outlineLevel="3">
      <c r="B486" s="245"/>
      <c r="C486" s="213" t="s">
        <v>781</v>
      </c>
      <c r="D486" s="213"/>
      <c r="E486" s="213"/>
      <c r="F486" s="213"/>
      <c r="G486" s="213"/>
      <c r="H486" s="213"/>
      <c r="I486" s="213"/>
      <c r="J486" s="213"/>
      <c r="K486" s="213"/>
      <c r="L486" s="213"/>
      <c r="M486" s="213"/>
      <c r="N486" s="213"/>
      <c r="O486" s="213"/>
      <c r="P486" s="213"/>
      <c r="Q486" s="213"/>
      <c r="R486" s="213"/>
      <c r="S486" s="213"/>
      <c r="T486" s="213"/>
      <c r="U486" s="213"/>
      <c r="V486" s="213"/>
      <c r="W486" s="213"/>
      <c r="X486" s="213"/>
      <c r="Y486" s="213"/>
      <c r="Z486" s="213"/>
      <c r="AA486" s="213"/>
      <c r="AB486" s="211"/>
      <c r="AC486" s="211"/>
      <c r="AD486" s="211"/>
      <c r="AE486" s="211"/>
      <c r="AF486" s="211"/>
      <c r="AG486" s="211">
        <f>INDEX($C$349:$AN$371, MATCH("New Customers 3MS", $C$349:$C$371, 0), MATCH($C486, $C$349:$AN$349, 0))</f>
        <v>0</v>
      </c>
      <c r="AH486" s="211"/>
      <c r="AI486" s="211"/>
      <c r="AJ486" s="211">
        <f>AG486*($E$153)</f>
        <v>0</v>
      </c>
      <c r="AK486" s="211"/>
      <c r="AL486" s="211"/>
      <c r="AM486" s="211">
        <f>AB481*($H$153)</f>
        <v>0</v>
      </c>
      <c r="AN486" s="211"/>
    </row>
    <row r="487" spans="2:40" s="7" customFormat="1" ht="12" hidden="1" customHeight="1" outlineLevel="3">
      <c r="B487" s="245"/>
      <c r="C487" s="213" t="s">
        <v>782</v>
      </c>
      <c r="D487" s="213"/>
      <c r="E487" s="213"/>
      <c r="F487" s="213"/>
      <c r="G487" s="213"/>
      <c r="H487" s="213"/>
      <c r="I487" s="213"/>
      <c r="J487" s="213"/>
      <c r="K487" s="213"/>
      <c r="L487" s="213"/>
      <c r="M487" s="213"/>
      <c r="N487" s="213"/>
      <c r="O487" s="213"/>
      <c r="P487" s="213"/>
      <c r="Q487" s="213"/>
      <c r="R487" s="213"/>
      <c r="S487" s="213"/>
      <c r="T487" s="213"/>
      <c r="U487" s="213"/>
      <c r="V487" s="213"/>
      <c r="W487" s="213"/>
      <c r="X487" s="213"/>
      <c r="Y487" s="213"/>
      <c r="Z487" s="213"/>
      <c r="AA487" s="213"/>
      <c r="AB487" s="211"/>
      <c r="AC487" s="211"/>
      <c r="AD487" s="211"/>
      <c r="AE487" s="211"/>
      <c r="AF487" s="211"/>
      <c r="AG487" s="211"/>
      <c r="AH487" s="211">
        <f>INDEX($C$349:$AN$371, MATCH("New Customers 3MS", $C$349:$C$371, 0), MATCH($C487, $C$349:$AN$349, 0))</f>
        <v>0</v>
      </c>
      <c r="AI487" s="211"/>
      <c r="AJ487" s="211"/>
      <c r="AK487" s="211">
        <f>AH487*($E$153)</f>
        <v>0</v>
      </c>
      <c r="AL487" s="211"/>
      <c r="AM487" s="211"/>
      <c r="AN487" s="211">
        <f>AB481*($H$153)</f>
        <v>0</v>
      </c>
    </row>
    <row r="488" spans="2:40" s="7" customFormat="1" ht="12" hidden="1" customHeight="1" outlineLevel="3">
      <c r="B488" s="245"/>
      <c r="C488" s="213" t="s">
        <v>783</v>
      </c>
      <c r="D488" s="213"/>
      <c r="E488" s="213"/>
      <c r="F488" s="213"/>
      <c r="G488" s="213"/>
      <c r="H488" s="213"/>
      <c r="I488" s="213"/>
      <c r="J488" s="213"/>
      <c r="K488" s="213"/>
      <c r="L488" s="213"/>
      <c r="M488" s="213"/>
      <c r="N488" s="213"/>
      <c r="O488" s="213"/>
      <c r="P488" s="213"/>
      <c r="Q488" s="213"/>
      <c r="R488" s="213"/>
      <c r="S488" s="213"/>
      <c r="T488" s="213"/>
      <c r="U488" s="213"/>
      <c r="V488" s="213"/>
      <c r="W488" s="213"/>
      <c r="X488" s="213"/>
      <c r="Y488" s="213"/>
      <c r="Z488" s="213"/>
      <c r="AA488" s="213"/>
      <c r="AB488" s="211"/>
      <c r="AC488" s="211"/>
      <c r="AD488" s="211"/>
      <c r="AE488" s="211"/>
      <c r="AF488" s="211"/>
      <c r="AG488" s="211"/>
      <c r="AH488" s="211"/>
      <c r="AI488" s="211">
        <f>INDEX($C$349:$AN$371, MATCH("New Customers 3MS", $C$349:$C$371, 0), MATCH($C488, $C$349:$AN$349, 0))</f>
        <v>0</v>
      </c>
      <c r="AJ488" s="211"/>
      <c r="AK488" s="211"/>
      <c r="AL488" s="211">
        <f>AI488*($E$153)</f>
        <v>0</v>
      </c>
      <c r="AM488" s="211"/>
      <c r="AN488" s="211"/>
    </row>
    <row r="489" spans="2:40" s="7" customFormat="1" ht="12" hidden="1" customHeight="1" outlineLevel="3">
      <c r="B489" s="245"/>
      <c r="C489" s="213" t="s">
        <v>784</v>
      </c>
      <c r="D489" s="213"/>
      <c r="E489" s="213"/>
      <c r="F489" s="213"/>
      <c r="G489" s="213"/>
      <c r="H489" s="213"/>
      <c r="I489" s="213"/>
      <c r="J489" s="213"/>
      <c r="K489" s="213"/>
      <c r="L489" s="213"/>
      <c r="M489" s="213"/>
      <c r="N489" s="213"/>
      <c r="O489" s="213"/>
      <c r="P489" s="213"/>
      <c r="Q489" s="213"/>
      <c r="R489" s="213"/>
      <c r="S489" s="213"/>
      <c r="T489" s="213"/>
      <c r="U489" s="213"/>
      <c r="V489" s="213"/>
      <c r="W489" s="213"/>
      <c r="X489" s="213"/>
      <c r="Y489" s="213"/>
      <c r="Z489" s="213"/>
      <c r="AA489" s="213"/>
      <c r="AB489" s="211"/>
      <c r="AC489" s="211"/>
      <c r="AD489" s="211"/>
      <c r="AE489" s="211"/>
      <c r="AF489" s="211"/>
      <c r="AG489" s="211"/>
      <c r="AH489" s="211"/>
      <c r="AI489" s="211"/>
      <c r="AJ489" s="211">
        <f>INDEX($C$349:$AN$371, MATCH("New Customers 3MS", $C$349:$C$371, 0), MATCH($C489, $C$349:$AN$349, 0))</f>
        <v>0</v>
      </c>
      <c r="AK489" s="211"/>
      <c r="AL489" s="211"/>
      <c r="AM489" s="211">
        <f>AJ489*($E$153)</f>
        <v>0</v>
      </c>
      <c r="AN489" s="211"/>
    </row>
    <row r="490" spans="2:40" s="7" customFormat="1" ht="12" hidden="1" customHeight="1" outlineLevel="3">
      <c r="B490" s="245"/>
      <c r="C490" s="213" t="s">
        <v>785</v>
      </c>
      <c r="D490" s="213"/>
      <c r="E490" s="213"/>
      <c r="F490" s="213"/>
      <c r="G490" s="213"/>
      <c r="H490" s="213"/>
      <c r="I490" s="213"/>
      <c r="J490" s="213"/>
      <c r="K490" s="213"/>
      <c r="L490" s="213"/>
      <c r="M490" s="213"/>
      <c r="N490" s="213"/>
      <c r="O490" s="213"/>
      <c r="P490" s="213"/>
      <c r="Q490" s="213"/>
      <c r="R490" s="213"/>
      <c r="S490" s="213"/>
      <c r="T490" s="213"/>
      <c r="U490" s="213"/>
      <c r="V490" s="213"/>
      <c r="W490" s="213"/>
      <c r="X490" s="213"/>
      <c r="Y490" s="213"/>
      <c r="Z490" s="213"/>
      <c r="AA490" s="213"/>
      <c r="AB490" s="211"/>
      <c r="AC490" s="211"/>
      <c r="AD490" s="211"/>
      <c r="AE490" s="211"/>
      <c r="AF490" s="211"/>
      <c r="AG490" s="211"/>
      <c r="AH490" s="211"/>
      <c r="AI490" s="211"/>
      <c r="AJ490" s="211"/>
      <c r="AK490" s="211">
        <f>INDEX($C$349:$AN$371, MATCH("New Customers 3MS", $C$349:$C$371, 0), MATCH($C490, $C$349:$AN$349, 0))</f>
        <v>0</v>
      </c>
      <c r="AL490" s="211"/>
      <c r="AM490" s="211"/>
      <c r="AN490" s="211">
        <f>AK490*($E$153)</f>
        <v>0</v>
      </c>
    </row>
    <row r="491" spans="2:40" s="7" customFormat="1" ht="12" hidden="1" customHeight="1" outlineLevel="3">
      <c r="B491" s="245"/>
      <c r="C491" s="213" t="s">
        <v>786</v>
      </c>
      <c r="D491" s="213"/>
      <c r="E491" s="213"/>
      <c r="F491" s="213"/>
      <c r="G491" s="213"/>
      <c r="H491" s="213"/>
      <c r="I491" s="213"/>
      <c r="J491" s="213"/>
      <c r="K491" s="213"/>
      <c r="L491" s="213"/>
      <c r="M491" s="213"/>
      <c r="N491" s="213"/>
      <c r="O491" s="213"/>
      <c r="P491" s="213"/>
      <c r="Q491" s="213"/>
      <c r="R491" s="213"/>
      <c r="S491" s="213"/>
      <c r="T491" s="213"/>
      <c r="U491" s="213"/>
      <c r="V491" s="213"/>
      <c r="W491" s="213"/>
      <c r="X491" s="213"/>
      <c r="Y491" s="213"/>
      <c r="Z491" s="213"/>
      <c r="AA491" s="213"/>
      <c r="AB491" s="211"/>
      <c r="AC491" s="211"/>
      <c r="AD491" s="211"/>
      <c r="AE491" s="211"/>
      <c r="AF491" s="211"/>
      <c r="AG491" s="211"/>
      <c r="AH491" s="211"/>
      <c r="AI491" s="211"/>
      <c r="AJ491" s="211"/>
      <c r="AK491" s="211"/>
      <c r="AL491" s="211">
        <f>INDEX($C$349:$AN$371, MATCH("New Customers 3MS", $C$349:$C$371, 0), MATCH($C491, $C$349:$AN$349, 0))</f>
        <v>0</v>
      </c>
      <c r="AM491" s="211"/>
      <c r="AN491" s="211"/>
    </row>
    <row r="492" spans="2:40" s="7" customFormat="1" ht="12" hidden="1" customHeight="1" outlineLevel="3">
      <c r="B492" s="245"/>
      <c r="C492" s="213" t="s">
        <v>787</v>
      </c>
      <c r="D492" s="213"/>
      <c r="E492" s="213"/>
      <c r="F492" s="213"/>
      <c r="G492" s="213"/>
      <c r="H492" s="213"/>
      <c r="I492" s="213"/>
      <c r="J492" s="213"/>
      <c r="K492" s="213"/>
      <c r="L492" s="213"/>
      <c r="M492" s="213"/>
      <c r="N492" s="213"/>
      <c r="O492" s="213"/>
      <c r="P492" s="213"/>
      <c r="Q492" s="213"/>
      <c r="R492" s="213"/>
      <c r="S492" s="213"/>
      <c r="T492" s="213"/>
      <c r="U492" s="213"/>
      <c r="V492" s="213"/>
      <c r="W492" s="213"/>
      <c r="X492" s="213"/>
      <c r="Y492" s="213"/>
      <c r="Z492" s="213"/>
      <c r="AA492" s="213"/>
      <c r="AB492" s="211"/>
      <c r="AC492" s="211"/>
      <c r="AD492" s="211"/>
      <c r="AE492" s="211"/>
      <c r="AF492" s="211"/>
      <c r="AG492" s="211"/>
      <c r="AH492" s="211"/>
      <c r="AI492" s="211"/>
      <c r="AJ492" s="211"/>
      <c r="AK492" s="211"/>
      <c r="AL492" s="211"/>
      <c r="AM492" s="211">
        <f>INDEX($C$349:$AN$371, MATCH("New Customers 3MS", $C$349:$C$371, 0), MATCH($C492, $C$349:$AN$349, 0))</f>
        <v>0</v>
      </c>
      <c r="AN492" s="211"/>
    </row>
    <row r="493" spans="2:40" s="7" customFormat="1" ht="12" hidden="1" customHeight="1" outlineLevel="3">
      <c r="B493" s="245"/>
      <c r="C493" s="213" t="s">
        <v>788</v>
      </c>
      <c r="D493" s="213"/>
      <c r="E493" s="213"/>
      <c r="F493" s="213"/>
      <c r="G493" s="213"/>
      <c r="H493" s="213"/>
      <c r="I493" s="213"/>
      <c r="J493" s="213"/>
      <c r="K493" s="213"/>
      <c r="L493" s="213"/>
      <c r="M493" s="213"/>
      <c r="N493" s="213"/>
      <c r="O493" s="213"/>
      <c r="P493" s="213"/>
      <c r="Q493" s="213"/>
      <c r="R493" s="213"/>
      <c r="S493" s="213"/>
      <c r="T493" s="213"/>
      <c r="U493" s="213"/>
      <c r="V493" s="213"/>
      <c r="W493" s="213"/>
      <c r="X493" s="213"/>
      <c r="Y493" s="213"/>
      <c r="Z493" s="213"/>
      <c r="AA493" s="213"/>
      <c r="AB493" s="211"/>
      <c r="AC493" s="211"/>
      <c r="AD493" s="211"/>
      <c r="AE493" s="211"/>
      <c r="AF493" s="211"/>
      <c r="AG493" s="211"/>
      <c r="AH493" s="211"/>
      <c r="AI493" s="211"/>
      <c r="AJ493" s="211"/>
      <c r="AK493" s="211"/>
      <c r="AL493" s="211"/>
      <c r="AM493" s="211"/>
      <c r="AN493" s="211">
        <f>INDEX($C$349:$AN$371, MATCH("New Customers 3MS", $C$349:$C$371, 0), MATCH($C493, $C$349:$AN$349, 0))</f>
        <v>0</v>
      </c>
    </row>
    <row r="494" spans="2:40" s="7" customFormat="1" ht="12" hidden="1" customHeight="1" outlineLevel="2">
      <c r="B494" s="239"/>
      <c r="C494" s="214"/>
      <c r="D494" s="214"/>
      <c r="E494" s="214"/>
      <c r="F494" s="214"/>
      <c r="G494" s="214"/>
      <c r="H494" s="214"/>
      <c r="I494" s="214"/>
      <c r="J494" s="214"/>
      <c r="K494" s="214"/>
      <c r="L494" s="214"/>
      <c r="M494" s="214"/>
      <c r="N494" s="214"/>
      <c r="O494" s="214"/>
      <c r="P494" s="214"/>
      <c r="Q494" s="214"/>
      <c r="R494" s="214"/>
      <c r="S494" s="214"/>
      <c r="T494" s="214"/>
      <c r="U494" s="214"/>
      <c r="V494" s="214"/>
      <c r="W494" s="214"/>
      <c r="X494" s="214"/>
      <c r="Y494" s="214"/>
      <c r="Z494" s="214"/>
      <c r="AA494" s="214"/>
      <c r="AB494" s="214"/>
      <c r="AC494" s="212"/>
    </row>
    <row r="495" spans="2:40" s="7" customFormat="1" ht="12" customHeight="1" outlineLevel="1" collapsed="1">
      <c r="B495" s="239"/>
      <c r="C495" s="243" t="s">
        <v>855</v>
      </c>
      <c r="D495" s="214"/>
      <c r="E495" s="214"/>
      <c r="F495" s="214"/>
      <c r="G495" s="214"/>
      <c r="H495" s="214"/>
      <c r="I495" s="214"/>
      <c r="J495" s="214"/>
      <c r="K495" s="214"/>
      <c r="L495" s="214"/>
      <c r="M495" s="214"/>
      <c r="N495" s="214"/>
      <c r="O495" s="214"/>
      <c r="P495" s="214"/>
      <c r="Q495" s="214"/>
      <c r="R495" s="214"/>
      <c r="S495" s="214"/>
      <c r="T495" s="214"/>
      <c r="U495" s="214"/>
      <c r="V495" s="214"/>
      <c r="W495" s="214"/>
      <c r="X495" s="214"/>
      <c r="Y495" s="214"/>
      <c r="Z495" s="214"/>
      <c r="AA495" s="214"/>
      <c r="AB495" s="214"/>
      <c r="AC495" s="214"/>
    </row>
    <row r="496" spans="2:40" s="7" customFormat="1" ht="12" customHeight="1" outlineLevel="1">
      <c r="B496" s="239"/>
      <c r="C496" s="243"/>
      <c r="D496" s="214"/>
      <c r="E496" s="214"/>
      <c r="F496" s="214"/>
      <c r="G496" s="214"/>
      <c r="H496" s="214"/>
      <c r="I496" s="214"/>
      <c r="J496" s="214"/>
      <c r="K496" s="214"/>
      <c r="L496" s="214"/>
      <c r="M496" s="214"/>
      <c r="N496" s="214"/>
      <c r="O496" s="214"/>
      <c r="P496" s="214"/>
      <c r="Q496" s="214"/>
      <c r="R496" s="214"/>
      <c r="S496" s="214"/>
      <c r="T496" s="214"/>
      <c r="U496" s="214"/>
      <c r="V496" s="214"/>
      <c r="W496" s="214"/>
      <c r="X496" s="214"/>
      <c r="Y496" s="214"/>
      <c r="Z496" s="214"/>
      <c r="AA496" s="214"/>
      <c r="AB496" s="214"/>
      <c r="AC496" s="214"/>
    </row>
    <row r="497" spans="2:2" s="7" customFormat="1">
      <c r="B497" s="235"/>
    </row>
    <row r="498" spans="2:2" s="7" customFormat="1">
      <c r="B498" s="235"/>
    </row>
    <row r="499" spans="2:2" s="7" customFormat="1">
      <c r="B499" s="235"/>
    </row>
    <row r="500" spans="2:2" s="7" customFormat="1">
      <c r="B500" s="235"/>
    </row>
    <row r="501" spans="2:2" s="7" customFormat="1">
      <c r="B501" s="235"/>
    </row>
  </sheetData>
  <sheetProtection algorithmName="SHA-512" hashValue="0wBk6F147HuqDLEzYKinMAqu26dVR6CJVR7GUUeC4cJVj/wfRhBCntNLIlHc/PXzoa4hjwQNDynC8oEgUrYtow==" saltValue="u50Toz1/d1mcwANybu4Vng==" spinCount="100000" sheet="1" objects="1" scenarios="1"/>
  <hyperlinks>
    <hyperlink ref="B54" r:id="rId1" xr:uid="{AC802077-8620-4693-B7DF-7E8B33B2C0E2}"/>
  </hyperlinks>
  <pageMargins left="0.7" right="0.7" top="0.75" bottom="0.75" header="0.3" footer="0.3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2561E-E5EB-424B-B5E3-BE8537587657}">
  <sheetPr codeName="Sheet32"/>
  <dimension ref="B1:XEZ499"/>
  <sheetViews>
    <sheetView showGridLines="0" topLeftCell="F1" zoomScaleNormal="100" workbookViewId="0">
      <selection activeCell="AI37" sqref="AI37"/>
    </sheetView>
  </sheetViews>
  <sheetFormatPr baseColWidth="10" defaultColWidth="8.5" defaultRowHeight="11" outlineLevelRow="3" outlineLevelCol="1"/>
  <cols>
    <col min="1" max="1" width="6" style="283" customWidth="1"/>
    <col min="2" max="2" width="4.1640625" style="282" customWidth="1"/>
    <col min="3" max="3" width="29.5" style="283" bestFit="1" customWidth="1"/>
    <col min="4" max="4" width="10.5" style="283" customWidth="1"/>
    <col min="5" max="6" width="7.5" style="283" bestFit="1" customWidth="1"/>
    <col min="7" max="8" width="8.5" style="283" bestFit="1" customWidth="1"/>
    <col min="9" max="10" width="7.5" style="283" bestFit="1" customWidth="1"/>
    <col min="11" max="11" width="6.83203125" style="283" bestFit="1" customWidth="1"/>
    <col min="12" max="12" width="7.5" style="283" bestFit="1" customWidth="1"/>
    <col min="13" max="28" width="6.83203125" style="283" bestFit="1" customWidth="1"/>
    <col min="29" max="32" width="6.83203125" style="283" bestFit="1" customWidth="1" outlineLevel="1"/>
    <col min="33" max="40" width="7.5" style="283" bestFit="1" customWidth="1" outlineLevel="1"/>
    <col min="41" max="16384" width="8.5" style="283"/>
  </cols>
  <sheetData>
    <row r="1" spans="2:40" s="7" customFormat="1">
      <c r="B1" s="235"/>
      <c r="E1" s="217" t="s">
        <v>180</v>
      </c>
      <c r="F1" s="217" t="s">
        <v>180</v>
      </c>
      <c r="G1" s="217" t="s">
        <v>180</v>
      </c>
      <c r="H1" s="217" t="s">
        <v>180</v>
      </c>
      <c r="I1" s="217" t="s">
        <v>180</v>
      </c>
      <c r="J1" s="217" t="s">
        <v>180</v>
      </c>
      <c r="K1" s="217" t="s">
        <v>180</v>
      </c>
      <c r="L1" s="217" t="s">
        <v>180</v>
      </c>
      <c r="M1" s="7" t="s">
        <v>42</v>
      </c>
      <c r="N1" s="7" t="s">
        <v>42</v>
      </c>
      <c r="O1" s="7" t="s">
        <v>42</v>
      </c>
      <c r="P1" s="7" t="s">
        <v>42</v>
      </c>
      <c r="Q1" s="7" t="s">
        <v>42</v>
      </c>
      <c r="R1" s="7" t="s">
        <v>42</v>
      </c>
      <c r="S1" s="7" t="s">
        <v>42</v>
      </c>
      <c r="T1" s="7" t="s">
        <v>42</v>
      </c>
      <c r="U1" s="7" t="s">
        <v>42</v>
      </c>
      <c r="V1" s="7" t="s">
        <v>42</v>
      </c>
      <c r="W1" s="7" t="s">
        <v>42</v>
      </c>
      <c r="X1" s="7" t="s">
        <v>42</v>
      </c>
      <c r="Y1" s="7" t="s">
        <v>42</v>
      </c>
      <c r="Z1" s="7" t="s">
        <v>42</v>
      </c>
      <c r="AA1" s="7" t="s">
        <v>42</v>
      </c>
      <c r="AB1" s="7" t="s">
        <v>42</v>
      </c>
      <c r="AC1" s="7" t="s">
        <v>42</v>
      </c>
      <c r="AD1" s="7" t="s">
        <v>42</v>
      </c>
      <c r="AE1" s="7" t="s">
        <v>42</v>
      </c>
      <c r="AF1" s="7" t="s">
        <v>42</v>
      </c>
      <c r="AG1" s="7" t="s">
        <v>42</v>
      </c>
      <c r="AH1" s="7" t="s">
        <v>42</v>
      </c>
      <c r="AI1" s="7" t="s">
        <v>42</v>
      </c>
      <c r="AJ1" s="7" t="s">
        <v>42</v>
      </c>
      <c r="AK1" s="7" t="s">
        <v>42</v>
      </c>
      <c r="AL1" s="7" t="s">
        <v>42</v>
      </c>
      <c r="AM1" s="7" t="s">
        <v>42</v>
      </c>
      <c r="AN1" s="7" t="s">
        <v>42</v>
      </c>
    </row>
    <row r="2" spans="2:40" s="7" customFormat="1">
      <c r="B2" s="235"/>
      <c r="E2" s="218">
        <v>45689</v>
      </c>
      <c r="F2" s="218">
        <v>45717</v>
      </c>
      <c r="G2" s="218">
        <v>45748</v>
      </c>
      <c r="H2" s="218">
        <v>45778</v>
      </c>
      <c r="I2" s="218">
        <v>45809</v>
      </c>
      <c r="J2" s="218">
        <v>45839</v>
      </c>
      <c r="K2" s="218">
        <v>45870</v>
      </c>
      <c r="L2" s="218">
        <v>45901</v>
      </c>
      <c r="M2" s="195">
        <v>45931</v>
      </c>
      <c r="N2" s="195">
        <v>45962</v>
      </c>
      <c r="O2" s="195">
        <v>45992</v>
      </c>
      <c r="P2" s="195">
        <v>46023</v>
      </c>
      <c r="Q2" s="258">
        <v>46054</v>
      </c>
      <c r="R2" s="258">
        <v>46082</v>
      </c>
      <c r="S2" s="258">
        <v>46113</v>
      </c>
      <c r="T2" s="258">
        <v>46143</v>
      </c>
      <c r="U2" s="258">
        <v>46174</v>
      </c>
      <c r="V2" s="258">
        <v>46204</v>
      </c>
      <c r="W2" s="258">
        <v>46235</v>
      </c>
      <c r="X2" s="258">
        <v>46266</v>
      </c>
      <c r="Y2" s="258">
        <v>46296</v>
      </c>
      <c r="Z2" s="258">
        <v>46327</v>
      </c>
      <c r="AA2" s="258">
        <v>46357</v>
      </c>
      <c r="AB2" s="258">
        <v>46388</v>
      </c>
      <c r="AC2" s="195">
        <v>46419</v>
      </c>
      <c r="AD2" s="195">
        <v>46447</v>
      </c>
      <c r="AE2" s="195">
        <v>46478</v>
      </c>
      <c r="AF2" s="195">
        <v>46508</v>
      </c>
      <c r="AG2" s="195">
        <v>46539</v>
      </c>
      <c r="AH2" s="195">
        <v>46569</v>
      </c>
      <c r="AI2" s="195">
        <v>46600</v>
      </c>
      <c r="AJ2" s="195">
        <v>46631</v>
      </c>
      <c r="AK2" s="195">
        <v>46661</v>
      </c>
      <c r="AL2" s="195">
        <v>46692</v>
      </c>
      <c r="AM2" s="195">
        <v>46722</v>
      </c>
      <c r="AN2" s="195">
        <v>46753</v>
      </c>
    </row>
    <row r="3" spans="2:40" s="7" customFormat="1">
      <c r="B3" s="235" t="s">
        <v>686</v>
      </c>
      <c r="E3" s="219" t="s">
        <v>753</v>
      </c>
      <c r="F3" s="219" t="s">
        <v>754</v>
      </c>
      <c r="G3" s="219" t="s">
        <v>755</v>
      </c>
      <c r="H3" s="219" t="s">
        <v>756</v>
      </c>
      <c r="I3" s="219" t="s">
        <v>757</v>
      </c>
      <c r="J3" s="219" t="s">
        <v>758</v>
      </c>
      <c r="K3" s="219" t="s">
        <v>759</v>
      </c>
      <c r="L3" s="219" t="s">
        <v>760</v>
      </c>
      <c r="M3" s="196" t="s">
        <v>761</v>
      </c>
      <c r="N3" s="196" t="s">
        <v>762</v>
      </c>
      <c r="O3" s="196" t="s">
        <v>763</v>
      </c>
      <c r="P3" s="196" t="s">
        <v>764</v>
      </c>
      <c r="Q3" s="259" t="s">
        <v>765</v>
      </c>
      <c r="R3" s="259" t="s">
        <v>766</v>
      </c>
      <c r="S3" s="259" t="s">
        <v>767</v>
      </c>
      <c r="T3" s="259" t="s">
        <v>768</v>
      </c>
      <c r="U3" s="259" t="s">
        <v>769</v>
      </c>
      <c r="V3" s="259" t="s">
        <v>770</v>
      </c>
      <c r="W3" s="259" t="s">
        <v>771</v>
      </c>
      <c r="X3" s="259" t="s">
        <v>772</v>
      </c>
      <c r="Y3" s="259" t="s">
        <v>773</v>
      </c>
      <c r="Z3" s="259" t="s">
        <v>774</v>
      </c>
      <c r="AA3" s="259" t="s">
        <v>775</v>
      </c>
      <c r="AB3" s="259" t="s">
        <v>776</v>
      </c>
      <c r="AC3" s="196" t="s">
        <v>777</v>
      </c>
      <c r="AD3" s="196" t="s">
        <v>778</v>
      </c>
      <c r="AE3" s="196" t="s">
        <v>779</v>
      </c>
      <c r="AF3" s="196" t="s">
        <v>780</v>
      </c>
      <c r="AG3" s="196" t="s">
        <v>781</v>
      </c>
      <c r="AH3" s="196" t="s">
        <v>782</v>
      </c>
      <c r="AI3" s="196" t="s">
        <v>783</v>
      </c>
      <c r="AJ3" s="196" t="s">
        <v>784</v>
      </c>
      <c r="AK3" s="196" t="s">
        <v>785</v>
      </c>
      <c r="AL3" s="196" t="s">
        <v>786</v>
      </c>
      <c r="AM3" s="196" t="s">
        <v>787</v>
      </c>
      <c r="AN3" s="196" t="s">
        <v>788</v>
      </c>
    </row>
    <row r="4" spans="2:40">
      <c r="B4" s="282" t="s">
        <v>913</v>
      </c>
      <c r="C4" s="283" t="s">
        <v>790</v>
      </c>
      <c r="E4" s="285">
        <v>12192</v>
      </c>
      <c r="F4" s="285">
        <v>12094</v>
      </c>
      <c r="G4" s="285">
        <v>12442</v>
      </c>
      <c r="H4" s="285">
        <v>18447</v>
      </c>
      <c r="I4" s="285">
        <v>8845</v>
      </c>
      <c r="J4" s="285">
        <v>21317</v>
      </c>
      <c r="K4" s="285">
        <v>20902</v>
      </c>
      <c r="L4" s="285">
        <v>12363</v>
      </c>
      <c r="M4" s="286">
        <v>24000</v>
      </c>
      <c r="N4" s="286">
        <v>24000</v>
      </c>
      <c r="O4" s="286">
        <f t="shared" ref="O4:P4" si="0">AVERAGE(J4:N4)*O5</f>
        <v>20516.400000000001</v>
      </c>
      <c r="P4" s="286">
        <f t="shared" si="0"/>
        <v>20356.28</v>
      </c>
      <c r="Q4" s="286">
        <f>E4*Q5</f>
        <v>13411.2</v>
      </c>
      <c r="R4" s="286">
        <f t="shared" ref="R4:AM4" si="1">F4*R5</f>
        <v>21769.200000000001</v>
      </c>
      <c r="S4" s="286">
        <f t="shared" si="1"/>
        <v>16174.6</v>
      </c>
      <c r="T4" s="286">
        <f t="shared" si="1"/>
        <v>16602.3</v>
      </c>
      <c r="U4" s="286">
        <f t="shared" si="1"/>
        <v>15921</v>
      </c>
      <c r="V4" s="286">
        <f t="shared" si="1"/>
        <v>38370.6</v>
      </c>
      <c r="W4" s="286">
        <f t="shared" si="1"/>
        <v>20902</v>
      </c>
      <c r="X4" s="286">
        <f t="shared" si="1"/>
        <v>17308.199999999997</v>
      </c>
      <c r="Y4" s="286">
        <f t="shared" si="1"/>
        <v>38400</v>
      </c>
      <c r="Z4" s="286">
        <f t="shared" si="1"/>
        <v>36000</v>
      </c>
      <c r="AA4" s="286">
        <f t="shared" si="1"/>
        <v>20516.400000000001</v>
      </c>
      <c r="AB4" s="286">
        <f t="shared" si="1"/>
        <v>30534.42</v>
      </c>
      <c r="AC4" s="286">
        <f t="shared" si="1"/>
        <v>26822.400000000001</v>
      </c>
      <c r="AD4" s="286">
        <f t="shared" si="1"/>
        <v>43538.400000000001</v>
      </c>
      <c r="AE4" s="286">
        <f t="shared" si="1"/>
        <v>32349.200000000001</v>
      </c>
      <c r="AF4" s="286">
        <f t="shared" si="1"/>
        <v>33204.6</v>
      </c>
      <c r="AG4" s="286">
        <f t="shared" si="1"/>
        <v>31842</v>
      </c>
      <c r="AH4" s="286">
        <f t="shared" si="1"/>
        <v>76741.2</v>
      </c>
      <c r="AI4" s="286">
        <f>W4*AI5</f>
        <v>25082.399999999998</v>
      </c>
      <c r="AJ4" s="286">
        <f t="shared" si="1"/>
        <v>34616.399999999994</v>
      </c>
      <c r="AK4" s="286">
        <f t="shared" si="1"/>
        <v>76800</v>
      </c>
      <c r="AL4" s="286">
        <f t="shared" si="1"/>
        <v>72000</v>
      </c>
      <c r="AM4" s="286">
        <f t="shared" si="1"/>
        <v>41032.800000000003</v>
      </c>
      <c r="AN4" s="286">
        <f>AB4*AN5</f>
        <v>61068.84</v>
      </c>
    </row>
    <row r="5" spans="2:40">
      <c r="C5" s="283" t="s">
        <v>791</v>
      </c>
      <c r="E5" s="285"/>
      <c r="F5" s="285"/>
      <c r="G5" s="285"/>
      <c r="H5" s="285"/>
      <c r="I5" s="285"/>
      <c r="J5" s="300"/>
      <c r="K5" s="300"/>
      <c r="L5" s="300"/>
      <c r="M5" s="290">
        <v>1</v>
      </c>
      <c r="N5" s="290">
        <v>1</v>
      </c>
      <c r="O5" s="290">
        <v>1</v>
      </c>
      <c r="P5" s="290">
        <v>1</v>
      </c>
      <c r="Q5" s="290">
        <v>1.1000000000000001</v>
      </c>
      <c r="R5" s="290">
        <v>1.8</v>
      </c>
      <c r="S5" s="290">
        <v>1.3</v>
      </c>
      <c r="T5" s="290">
        <v>0.9</v>
      </c>
      <c r="U5" s="290">
        <v>1.8</v>
      </c>
      <c r="V5" s="290">
        <v>1.8</v>
      </c>
      <c r="W5" s="290">
        <v>1</v>
      </c>
      <c r="X5" s="290">
        <v>1.4</v>
      </c>
      <c r="Y5" s="290">
        <v>1.6</v>
      </c>
      <c r="Z5" s="290">
        <v>1.5</v>
      </c>
      <c r="AA5" s="290">
        <v>1</v>
      </c>
      <c r="AB5" s="290">
        <v>1.5</v>
      </c>
      <c r="AC5" s="290">
        <v>2</v>
      </c>
      <c r="AD5" s="290">
        <v>2</v>
      </c>
      <c r="AE5" s="290">
        <v>2</v>
      </c>
      <c r="AF5" s="290">
        <v>2</v>
      </c>
      <c r="AG5" s="290">
        <v>2</v>
      </c>
      <c r="AH5" s="290">
        <v>2</v>
      </c>
      <c r="AI5" s="290">
        <v>1.2</v>
      </c>
      <c r="AJ5" s="290">
        <v>2</v>
      </c>
      <c r="AK5" s="290">
        <v>2</v>
      </c>
      <c r="AL5" s="290">
        <v>2</v>
      </c>
      <c r="AM5" s="290">
        <v>2</v>
      </c>
      <c r="AN5" s="290">
        <v>2</v>
      </c>
    </row>
    <row r="6" spans="2:40">
      <c r="B6" s="282" t="s">
        <v>906</v>
      </c>
      <c r="C6" s="283" t="s">
        <v>793</v>
      </c>
      <c r="E6" s="291">
        <v>3.0700000000000002E-2</v>
      </c>
      <c r="F6" s="291">
        <v>2.76E-2</v>
      </c>
      <c r="G6" s="291">
        <v>3.3000000000000002E-2</v>
      </c>
      <c r="H6" s="291">
        <v>5.1999999999999998E-2</v>
      </c>
      <c r="I6" s="291">
        <v>3.3399999999999999E-2</v>
      </c>
      <c r="J6" s="291">
        <v>4.19E-2</v>
      </c>
      <c r="K6" s="291">
        <v>3.7900000000000003E-2</v>
      </c>
      <c r="L6" s="291">
        <v>2.6499999999999999E-2</v>
      </c>
      <c r="M6" s="292">
        <v>0.04</v>
      </c>
      <c r="N6" s="292">
        <v>0.04</v>
      </c>
      <c r="O6" s="292">
        <v>0.04</v>
      </c>
      <c r="P6" s="292">
        <v>0.04</v>
      </c>
      <c r="Q6" s="292">
        <v>2.7E-2</v>
      </c>
      <c r="R6" s="292">
        <v>3.3000000000000002E-2</v>
      </c>
      <c r="S6" s="292">
        <v>3.3000000000000002E-2</v>
      </c>
      <c r="T6" s="292">
        <v>0.04</v>
      </c>
      <c r="U6" s="292">
        <v>3.7999999999999999E-2</v>
      </c>
      <c r="V6" s="292">
        <v>0.04</v>
      </c>
      <c r="W6" s="292">
        <v>0.03</v>
      </c>
      <c r="X6" s="292">
        <v>2.5999999999999999E-2</v>
      </c>
      <c r="Y6" s="292">
        <v>0.04</v>
      </c>
      <c r="Z6" s="292">
        <v>0.04</v>
      </c>
      <c r="AA6" s="292">
        <v>2.7E-2</v>
      </c>
      <c r="AB6" s="292">
        <v>2.7E-2</v>
      </c>
      <c r="AC6" s="292">
        <v>0.04</v>
      </c>
      <c r="AD6" s="292">
        <v>0.04</v>
      </c>
      <c r="AE6" s="292">
        <v>0.04</v>
      </c>
      <c r="AF6" s="292">
        <v>0.04</v>
      </c>
      <c r="AG6" s="292">
        <v>0.04</v>
      </c>
      <c r="AH6" s="292">
        <v>0.04</v>
      </c>
      <c r="AI6" s="292">
        <v>0.04</v>
      </c>
      <c r="AJ6" s="292">
        <v>0.04</v>
      </c>
      <c r="AK6" s="292">
        <v>0.04</v>
      </c>
      <c r="AL6" s="292">
        <v>0.04</v>
      </c>
      <c r="AM6" s="292">
        <v>0.04</v>
      </c>
      <c r="AN6" s="292">
        <v>0.04</v>
      </c>
    </row>
    <row r="7" spans="2:40" s="7" customFormat="1">
      <c r="B7" s="235"/>
      <c r="C7" s="7" t="s">
        <v>794</v>
      </c>
      <c r="E7" s="321">
        <f t="shared" ref="E7:I7" si="2">E4*E6</f>
        <v>374.2944</v>
      </c>
      <c r="F7" s="321">
        <f t="shared" si="2"/>
        <v>333.7944</v>
      </c>
      <c r="G7" s="321">
        <f t="shared" si="2"/>
        <v>410.58600000000001</v>
      </c>
      <c r="H7" s="321">
        <f t="shared" si="2"/>
        <v>959.24399999999991</v>
      </c>
      <c r="I7" s="321">
        <f t="shared" si="2"/>
        <v>295.423</v>
      </c>
      <c r="J7" s="321">
        <f>J4*J6</f>
        <v>893.18229999999994</v>
      </c>
      <c r="K7" s="321">
        <f t="shared" ref="K7:AN7" si="3">K4*K6</f>
        <v>792.18580000000009</v>
      </c>
      <c r="L7" s="321">
        <f t="shared" si="3"/>
        <v>327.61950000000002</v>
      </c>
      <c r="M7" s="322">
        <f t="shared" si="3"/>
        <v>960</v>
      </c>
      <c r="N7" s="322">
        <f t="shared" si="3"/>
        <v>960</v>
      </c>
      <c r="O7" s="322">
        <f t="shared" si="3"/>
        <v>820.65600000000006</v>
      </c>
      <c r="P7" s="322">
        <f t="shared" si="3"/>
        <v>814.25119999999993</v>
      </c>
      <c r="Q7" s="322">
        <f t="shared" si="3"/>
        <v>362.10239999999999</v>
      </c>
      <c r="R7" s="322">
        <f t="shared" si="3"/>
        <v>718.3836</v>
      </c>
      <c r="S7" s="322">
        <f t="shared" si="3"/>
        <v>533.76179999999999</v>
      </c>
      <c r="T7" s="322">
        <f t="shared" si="3"/>
        <v>664.09199999999998</v>
      </c>
      <c r="U7" s="322">
        <f t="shared" si="3"/>
        <v>604.99799999999993</v>
      </c>
      <c r="V7" s="322">
        <f t="shared" si="3"/>
        <v>1534.8240000000001</v>
      </c>
      <c r="W7" s="322">
        <f t="shared" si="3"/>
        <v>627.05999999999995</v>
      </c>
      <c r="X7" s="322">
        <f t="shared" si="3"/>
        <v>450.01319999999993</v>
      </c>
      <c r="Y7" s="322">
        <f t="shared" si="3"/>
        <v>1536</v>
      </c>
      <c r="Z7" s="322">
        <f t="shared" si="3"/>
        <v>1440</v>
      </c>
      <c r="AA7" s="322">
        <f t="shared" si="3"/>
        <v>553.94280000000003</v>
      </c>
      <c r="AB7" s="322">
        <f t="shared" si="3"/>
        <v>824.42933999999991</v>
      </c>
      <c r="AC7" s="322">
        <f t="shared" si="3"/>
        <v>1072.8960000000002</v>
      </c>
      <c r="AD7" s="322">
        <f t="shared" si="3"/>
        <v>1741.5360000000001</v>
      </c>
      <c r="AE7" s="322">
        <f t="shared" si="3"/>
        <v>1293.9680000000001</v>
      </c>
      <c r="AF7" s="322">
        <f t="shared" si="3"/>
        <v>1328.184</v>
      </c>
      <c r="AG7" s="322">
        <f t="shared" si="3"/>
        <v>1273.68</v>
      </c>
      <c r="AH7" s="322">
        <f t="shared" si="3"/>
        <v>3069.6480000000001</v>
      </c>
      <c r="AI7" s="322">
        <f t="shared" si="3"/>
        <v>1003.2959999999999</v>
      </c>
      <c r="AJ7" s="322">
        <f t="shared" si="3"/>
        <v>1384.6559999999997</v>
      </c>
      <c r="AK7" s="322">
        <f t="shared" si="3"/>
        <v>3072</v>
      </c>
      <c r="AL7" s="322">
        <f t="shared" si="3"/>
        <v>2880</v>
      </c>
      <c r="AM7" s="322">
        <f t="shared" si="3"/>
        <v>1641.3120000000001</v>
      </c>
      <c r="AN7" s="322">
        <f t="shared" si="3"/>
        <v>2442.7536</v>
      </c>
    </row>
    <row r="8" spans="2:40">
      <c r="C8" s="283" t="s">
        <v>795</v>
      </c>
      <c r="E8" s="291">
        <f>E12/E13</f>
        <v>0.43665768194070081</v>
      </c>
      <c r="F8" s="291">
        <f t="shared" ref="F8:L8" si="4">F12/F13</f>
        <v>0.42598187311178248</v>
      </c>
      <c r="G8" s="291">
        <f t="shared" si="4"/>
        <v>0.59359605911330049</v>
      </c>
      <c r="H8" s="291">
        <f t="shared" si="4"/>
        <v>0.56046267087276547</v>
      </c>
      <c r="I8" s="291">
        <f t="shared" si="4"/>
        <v>0.38698630136986301</v>
      </c>
      <c r="J8" s="291">
        <f t="shared" si="4"/>
        <v>0.47635135135135137</v>
      </c>
      <c r="K8" s="291">
        <f t="shared" si="4"/>
        <v>0.46031746031746029</v>
      </c>
      <c r="L8" s="291">
        <f t="shared" si="4"/>
        <v>0.29357798165137616</v>
      </c>
      <c r="M8" s="292">
        <v>0.3</v>
      </c>
      <c r="N8" s="292">
        <v>0.3</v>
      </c>
      <c r="O8" s="292">
        <v>0.3</v>
      </c>
      <c r="P8" s="292">
        <v>0.3</v>
      </c>
      <c r="Q8" s="292">
        <v>0.4</v>
      </c>
      <c r="R8" s="292">
        <v>0.56000000000000005</v>
      </c>
      <c r="S8" s="292">
        <v>0.56000000000000005</v>
      </c>
      <c r="T8" s="292">
        <v>0.42</v>
      </c>
      <c r="U8" s="292">
        <v>0.38</v>
      </c>
      <c r="V8" s="292">
        <v>0.45</v>
      </c>
      <c r="W8" s="292">
        <v>0.35</v>
      </c>
      <c r="X8" s="292">
        <v>0.35</v>
      </c>
      <c r="Y8" s="292">
        <v>0.4</v>
      </c>
      <c r="Z8" s="292">
        <v>0.4</v>
      </c>
      <c r="AA8" s="292">
        <v>0.35</v>
      </c>
      <c r="AB8" s="292">
        <v>0.35</v>
      </c>
      <c r="AC8" s="292">
        <v>0.3</v>
      </c>
      <c r="AD8" s="292">
        <v>0.3</v>
      </c>
      <c r="AE8" s="292">
        <v>0.3</v>
      </c>
      <c r="AF8" s="292">
        <v>0.3</v>
      </c>
      <c r="AG8" s="292">
        <v>0.3</v>
      </c>
      <c r="AH8" s="292">
        <v>0.3</v>
      </c>
      <c r="AI8" s="292">
        <v>0.3</v>
      </c>
      <c r="AJ8" s="292">
        <v>0.3</v>
      </c>
      <c r="AK8" s="292">
        <v>0.3</v>
      </c>
      <c r="AL8" s="292">
        <v>0.3</v>
      </c>
      <c r="AM8" s="292">
        <v>0.3</v>
      </c>
      <c r="AN8" s="292">
        <v>0.3</v>
      </c>
    </row>
    <row r="9" spans="2:40" s="7" customFormat="1" ht="14.5" customHeight="1">
      <c r="B9" s="235"/>
      <c r="C9" s="7" t="s">
        <v>865</v>
      </c>
      <c r="E9" s="321">
        <v>148</v>
      </c>
      <c r="F9" s="321">
        <v>141</v>
      </c>
      <c r="G9" s="321">
        <v>112</v>
      </c>
      <c r="H9" s="321">
        <v>379</v>
      </c>
      <c r="I9" s="321">
        <v>131</v>
      </c>
      <c r="J9" s="321">
        <v>419</v>
      </c>
      <c r="K9" s="321">
        <v>368</v>
      </c>
      <c r="L9" s="321">
        <v>111</v>
      </c>
      <c r="M9" s="322">
        <f t="shared" ref="M9:AN9" si="5">M58+M213+M363</f>
        <v>275.33461094459165</v>
      </c>
      <c r="N9" s="322">
        <f t="shared" si="5"/>
        <v>275.33461094459165</v>
      </c>
      <c r="O9" s="322">
        <f t="shared" si="5"/>
        <v>158.84689092957211</v>
      </c>
      <c r="P9" s="322">
        <f t="shared" si="5"/>
        <v>105.89792728638142</v>
      </c>
      <c r="Q9" s="322">
        <f t="shared" si="5"/>
        <v>150.77240876785197</v>
      </c>
      <c r="R9" s="322">
        <f t="shared" si="5"/>
        <v>268.28710703258605</v>
      </c>
      <c r="S9" s="322">
        <f t="shared" si="5"/>
        <v>247.01633409336659</v>
      </c>
      <c r="T9" s="322">
        <f t="shared" si="5"/>
        <v>81.408932322247466</v>
      </c>
      <c r="U9" s="322">
        <f t="shared" si="5"/>
        <v>74.916165891352279</v>
      </c>
      <c r="V9" s="322">
        <f t="shared" si="5"/>
        <v>256.80894924382631</v>
      </c>
      <c r="W9" s="322">
        <f t="shared" si="5"/>
        <v>144.10809325341961</v>
      </c>
      <c r="X9" s="322">
        <f t="shared" si="5"/>
        <v>108.88669909264166</v>
      </c>
      <c r="Y9" s="322">
        <f t="shared" si="5"/>
        <v>188.37206474374955</v>
      </c>
      <c r="Z9" s="322">
        <f t="shared" si="5"/>
        <v>156.97672061979125</v>
      </c>
      <c r="AA9" s="322">
        <f t="shared" si="5"/>
        <v>60.37566177684279</v>
      </c>
      <c r="AB9" s="322">
        <f t="shared" si="5"/>
        <v>60.37566177684279</v>
      </c>
      <c r="AC9" s="322">
        <f t="shared" si="5"/>
        <v>340.93625893995926</v>
      </c>
      <c r="AD9" s="322">
        <f t="shared" si="5"/>
        <v>606.66804583822193</v>
      </c>
      <c r="AE9" s="322">
        <f t="shared" si="5"/>
        <v>558.56920726474743</v>
      </c>
      <c r="AF9" s="322">
        <f t="shared" si="5"/>
        <v>428.36982362468723</v>
      </c>
      <c r="AG9" s="322">
        <f t="shared" si="5"/>
        <v>386.26480773562184</v>
      </c>
      <c r="AH9" s="322">
        <f t="shared" si="5"/>
        <v>1324.0968517838157</v>
      </c>
      <c r="AI9" s="322">
        <f t="shared" si="5"/>
        <v>437.00685857416437</v>
      </c>
      <c r="AJ9" s="322">
        <f t="shared" si="5"/>
        <v>550.33034852186688</v>
      </c>
      <c r="AK9" s="322">
        <f t="shared" si="5"/>
        <v>991.20459940053001</v>
      </c>
      <c r="AL9" s="322">
        <f t="shared" si="5"/>
        <v>826.00383283377505</v>
      </c>
      <c r="AM9" s="322">
        <f t="shared" si="5"/>
        <v>317.69378185914422</v>
      </c>
      <c r="AN9" s="322">
        <f t="shared" si="5"/>
        <v>317.69378185914422</v>
      </c>
    </row>
    <row r="10" spans="2:40" s="7" customFormat="1">
      <c r="B10" s="235"/>
      <c r="C10" s="7" t="s">
        <v>866</v>
      </c>
      <c r="E10" s="321">
        <v>34</v>
      </c>
      <c r="F10" s="321">
        <v>22</v>
      </c>
      <c r="G10" s="321">
        <v>21</v>
      </c>
      <c r="H10" s="321">
        <v>12</v>
      </c>
      <c r="I10" s="321">
        <v>23</v>
      </c>
      <c r="J10" s="321">
        <v>25</v>
      </c>
      <c r="K10" s="321">
        <v>21</v>
      </c>
      <c r="L10" s="321">
        <v>90</v>
      </c>
      <c r="M10" s="322">
        <f t="shared" ref="M10:AN10" si="6">M59+M60+M214+M215+M365+M364</f>
        <v>115.84860418543198</v>
      </c>
      <c r="N10" s="322">
        <f t="shared" si="6"/>
        <v>115.84860418543198</v>
      </c>
      <c r="O10" s="322">
        <f t="shared" si="6"/>
        <v>66.835733183903059</v>
      </c>
      <c r="P10" s="322">
        <f t="shared" si="6"/>
        <v>44.55715545593538</v>
      </c>
      <c r="Q10" s="322">
        <f t="shared" si="6"/>
        <v>64.643530806616141</v>
      </c>
      <c r="R10" s="322">
        <f t="shared" si="6"/>
        <v>115.0278489957827</v>
      </c>
      <c r="S10" s="322">
        <f t="shared" si="6"/>
        <v>105.90802477188163</v>
      </c>
      <c r="T10" s="322">
        <f t="shared" si="6"/>
        <v>91.259357795955879</v>
      </c>
      <c r="U10" s="322">
        <f t="shared" si="6"/>
        <v>88.32544432141367</v>
      </c>
      <c r="V10" s="322">
        <f t="shared" si="6"/>
        <v>302.77529926681206</v>
      </c>
      <c r="W10" s="322">
        <f t="shared" si="6"/>
        <v>177.92903866147404</v>
      </c>
      <c r="X10" s="322">
        <f t="shared" si="6"/>
        <v>134.44148246764203</v>
      </c>
      <c r="Y10" s="322">
        <f t="shared" si="6"/>
        <v>211.16495653284625</v>
      </c>
      <c r="Z10" s="322">
        <f t="shared" si="6"/>
        <v>175.97079711070521</v>
      </c>
      <c r="AA10" s="322">
        <f t="shared" si="6"/>
        <v>67.681075811809691</v>
      </c>
      <c r="AB10" s="322">
        <f t="shared" si="6"/>
        <v>67.681075811809691</v>
      </c>
      <c r="AC10" s="322">
        <f t="shared" si="6"/>
        <v>143.45087084727484</v>
      </c>
      <c r="AD10" s="322">
        <f t="shared" si="6"/>
        <v>255.25903217596266</v>
      </c>
      <c r="AE10" s="322">
        <f t="shared" si="6"/>
        <v>235.02117216787676</v>
      </c>
      <c r="AF10" s="322">
        <f t="shared" si="6"/>
        <v>180.23904067791335</v>
      </c>
      <c r="AG10" s="322">
        <f t="shared" si="6"/>
        <v>162.52311566863338</v>
      </c>
      <c r="AH10" s="322">
        <f t="shared" si="6"/>
        <v>557.12128438639706</v>
      </c>
      <c r="AI10" s="322">
        <f t="shared" si="6"/>
        <v>183.87312227689938</v>
      </c>
      <c r="AJ10" s="322">
        <f t="shared" si="6"/>
        <v>231.55462547340497</v>
      </c>
      <c r="AK10" s="322">
        <f t="shared" si="6"/>
        <v>417.05497506755518</v>
      </c>
      <c r="AL10" s="322">
        <f t="shared" si="6"/>
        <v>347.54581255629591</v>
      </c>
      <c r="AM10" s="322">
        <f t="shared" si="6"/>
        <v>133.67146636780612</v>
      </c>
      <c r="AN10" s="322">
        <f t="shared" si="6"/>
        <v>133.67146636780612</v>
      </c>
    </row>
    <row r="11" spans="2:40" s="7" customFormat="1">
      <c r="B11" s="235"/>
      <c r="C11" s="7" t="s">
        <v>798</v>
      </c>
      <c r="E11" s="321">
        <v>27</v>
      </c>
      <c r="F11" s="321">
        <v>27</v>
      </c>
      <c r="G11" s="321">
        <v>32</v>
      </c>
      <c r="H11" s="321">
        <v>27</v>
      </c>
      <c r="I11" s="321">
        <v>25</v>
      </c>
      <c r="J11" s="321">
        <v>21</v>
      </c>
      <c r="K11" s="321">
        <v>19</v>
      </c>
      <c r="L11" s="321">
        <v>30</v>
      </c>
      <c r="M11" s="322">
        <f t="shared" ref="M11:AN11" si="7">M63+M62+M217+M218+M366+M367</f>
        <v>513.10139581456804</v>
      </c>
      <c r="N11" s="322">
        <f t="shared" si="7"/>
        <v>429.10139581456804</v>
      </c>
      <c r="O11" s="322">
        <f t="shared" si="7"/>
        <v>371.28926681609693</v>
      </c>
      <c r="P11" s="322">
        <f t="shared" si="7"/>
        <v>426.19284454406466</v>
      </c>
      <c r="Q11" s="322">
        <f t="shared" si="7"/>
        <v>348.42103319338389</v>
      </c>
      <c r="R11" s="322">
        <f t="shared" si="7"/>
        <v>295.4539910042173</v>
      </c>
      <c r="S11" s="322">
        <f t="shared" si="7"/>
        <v>353.78875522811842</v>
      </c>
      <c r="T11" s="322">
        <f t="shared" si="7"/>
        <v>291.60371420404414</v>
      </c>
      <c r="U11" s="322">
        <f t="shared" si="7"/>
        <v>256.26906767858634</v>
      </c>
      <c r="V11" s="322">
        <f t="shared" si="7"/>
        <v>327.43281273318797</v>
      </c>
      <c r="W11" s="322">
        <f t="shared" si="7"/>
        <v>315.22514133852599</v>
      </c>
      <c r="X11" s="322">
        <f t="shared" si="7"/>
        <v>327.71659753235792</v>
      </c>
      <c r="Y11" s="322">
        <f t="shared" si="7"/>
        <v>513.45104346715368</v>
      </c>
      <c r="Z11" s="322">
        <f t="shared" si="7"/>
        <v>480.20920288929483</v>
      </c>
      <c r="AA11" s="322">
        <f t="shared" si="7"/>
        <v>487.61892418819036</v>
      </c>
      <c r="AB11" s="322">
        <f t="shared" si="7"/>
        <v>672.61892418819036</v>
      </c>
      <c r="AC11" s="322">
        <f t="shared" si="7"/>
        <v>631.21053915272512</v>
      </c>
      <c r="AD11" s="322">
        <f t="shared" si="7"/>
        <v>594.44556782403731</v>
      </c>
      <c r="AE11" s="322">
        <f t="shared" si="7"/>
        <v>734.22077783212319</v>
      </c>
      <c r="AF11" s="322">
        <f t="shared" si="7"/>
        <v>660.73399932208656</v>
      </c>
      <c r="AG11" s="322">
        <f t="shared" si="7"/>
        <v>616.9357243313666</v>
      </c>
      <c r="AH11" s="322">
        <f t="shared" si="7"/>
        <v>716.93955561360303</v>
      </c>
      <c r="AI11" s="322">
        <f t="shared" si="7"/>
        <v>667.82068772310083</v>
      </c>
      <c r="AJ11" s="322">
        <f t="shared" si="7"/>
        <v>618.63097452659508</v>
      </c>
      <c r="AK11" s="322">
        <f t="shared" si="7"/>
        <v>725.56502493244477</v>
      </c>
      <c r="AL11" s="322">
        <f t="shared" si="7"/>
        <v>657.30418744370411</v>
      </c>
      <c r="AM11" s="322">
        <f t="shared" si="7"/>
        <v>629.57853363219385</v>
      </c>
      <c r="AN11" s="322">
        <f t="shared" si="7"/>
        <v>725.57853363219385</v>
      </c>
    </row>
    <row r="12" spans="2:40" s="7" customFormat="1">
      <c r="B12" s="235"/>
      <c r="C12" s="7" t="s">
        <v>799</v>
      </c>
      <c r="E12" s="321">
        <v>162</v>
      </c>
      <c r="F12" s="321">
        <v>141</v>
      </c>
      <c r="G12" s="321">
        <v>241</v>
      </c>
      <c r="H12" s="321">
        <v>533</v>
      </c>
      <c r="I12" s="321">
        <v>113</v>
      </c>
      <c r="J12" s="321">
        <v>423</v>
      </c>
      <c r="K12" s="321">
        <v>348</v>
      </c>
      <c r="L12" s="321">
        <v>96</v>
      </c>
      <c r="M12" s="322">
        <f t="shared" ref="M12:AN12" si="8">(M61+M216+M366)+(M7*M8)</f>
        <v>504.66538905540835</v>
      </c>
      <c r="N12" s="322">
        <f t="shared" si="8"/>
        <v>484.66538905540835</v>
      </c>
      <c r="O12" s="322">
        <f t="shared" si="8"/>
        <v>424.34990907042788</v>
      </c>
      <c r="P12" s="322">
        <f t="shared" si="8"/>
        <v>407.37743271361853</v>
      </c>
      <c r="Q12" s="322">
        <f t="shared" si="8"/>
        <v>293.06855123214802</v>
      </c>
      <c r="R12" s="322">
        <f t="shared" si="8"/>
        <v>536.00770896741392</v>
      </c>
      <c r="S12" s="322">
        <f t="shared" si="8"/>
        <v>420.89027390663341</v>
      </c>
      <c r="T12" s="322">
        <f t="shared" si="8"/>
        <v>389.50970767775254</v>
      </c>
      <c r="U12" s="322">
        <f t="shared" si="8"/>
        <v>330.98307410864766</v>
      </c>
      <c r="V12" s="322">
        <f t="shared" si="8"/>
        <v>782.86185075617379</v>
      </c>
      <c r="W12" s="322">
        <f t="shared" si="8"/>
        <v>304.36290674658039</v>
      </c>
      <c r="X12" s="322">
        <f t="shared" si="8"/>
        <v>235.6179209073583</v>
      </c>
      <c r="Y12" s="322">
        <f t="shared" si="8"/>
        <v>685.02793525625054</v>
      </c>
      <c r="Z12" s="322">
        <f t="shared" si="8"/>
        <v>641.02327938020869</v>
      </c>
      <c r="AA12" s="322">
        <f t="shared" si="8"/>
        <v>253.50431822315721</v>
      </c>
      <c r="AB12" s="322">
        <f t="shared" si="8"/>
        <v>342.17460722315718</v>
      </c>
      <c r="AC12" s="322">
        <f t="shared" si="8"/>
        <v>371.93254106004076</v>
      </c>
      <c r="AD12" s="322">
        <f t="shared" si="8"/>
        <v>567.79275416177802</v>
      </c>
      <c r="AE12" s="322">
        <f t="shared" si="8"/>
        <v>430.62119273525258</v>
      </c>
      <c r="AF12" s="322">
        <f t="shared" si="8"/>
        <v>437.08537637531276</v>
      </c>
      <c r="AG12" s="322">
        <f t="shared" si="8"/>
        <v>417.83919226437808</v>
      </c>
      <c r="AH12" s="322">
        <f t="shared" si="8"/>
        <v>954.7975482161844</v>
      </c>
      <c r="AI12" s="322">
        <f t="shared" si="8"/>
        <v>331.9819414258356</v>
      </c>
      <c r="AJ12" s="322">
        <f t="shared" si="8"/>
        <v>444.06645147813299</v>
      </c>
      <c r="AK12" s="322">
        <f t="shared" si="8"/>
        <v>948.39540059946989</v>
      </c>
      <c r="AL12" s="322">
        <f t="shared" si="8"/>
        <v>889.99616716622495</v>
      </c>
      <c r="AM12" s="322">
        <f t="shared" si="8"/>
        <v>515.69981814085577</v>
      </c>
      <c r="AN12" s="322">
        <f t="shared" si="8"/>
        <v>755.13229814085571</v>
      </c>
    </row>
    <row r="13" spans="2:40" s="7" customFormat="1">
      <c r="B13" s="235" t="s">
        <v>907</v>
      </c>
      <c r="C13" s="7" t="s">
        <v>801</v>
      </c>
      <c r="E13" s="323">
        <f>SUM(E9:E12)</f>
        <v>371</v>
      </c>
      <c r="F13" s="323">
        <f t="shared" ref="F13:AN13" si="9">SUM(F9:F12)</f>
        <v>331</v>
      </c>
      <c r="G13" s="323">
        <f t="shared" si="9"/>
        <v>406</v>
      </c>
      <c r="H13" s="323">
        <f t="shared" si="9"/>
        <v>951</v>
      </c>
      <c r="I13" s="323">
        <f t="shared" si="9"/>
        <v>292</v>
      </c>
      <c r="J13" s="323">
        <f>SUM(J9:J12)</f>
        <v>888</v>
      </c>
      <c r="K13" s="323">
        <f t="shared" si="9"/>
        <v>756</v>
      </c>
      <c r="L13" s="323">
        <f t="shared" si="9"/>
        <v>327</v>
      </c>
      <c r="M13" s="324">
        <f t="shared" si="9"/>
        <v>1408.95</v>
      </c>
      <c r="N13" s="324">
        <f t="shared" si="9"/>
        <v>1304.95</v>
      </c>
      <c r="O13" s="324">
        <f t="shared" si="9"/>
        <v>1021.3217999999999</v>
      </c>
      <c r="P13" s="324">
        <f t="shared" si="9"/>
        <v>984.02535999999998</v>
      </c>
      <c r="Q13" s="324">
        <f t="shared" si="9"/>
        <v>856.90552400000001</v>
      </c>
      <c r="R13" s="324">
        <f t="shared" si="9"/>
        <v>1214.776656</v>
      </c>
      <c r="S13" s="324">
        <f t="shared" si="9"/>
        <v>1127.603388</v>
      </c>
      <c r="T13" s="324">
        <f t="shared" si="9"/>
        <v>853.78171199999997</v>
      </c>
      <c r="U13" s="324">
        <f t="shared" si="9"/>
        <v>750.49375199999997</v>
      </c>
      <c r="V13" s="324">
        <f t="shared" si="9"/>
        <v>1669.8789120000001</v>
      </c>
      <c r="W13" s="324">
        <f t="shared" si="9"/>
        <v>941.62518</v>
      </c>
      <c r="X13" s="324">
        <f t="shared" si="9"/>
        <v>806.66269999999997</v>
      </c>
      <c r="Y13" s="324">
        <f t="shared" si="9"/>
        <v>1598.0160000000001</v>
      </c>
      <c r="Z13" s="324">
        <f t="shared" si="9"/>
        <v>1454.1799999999998</v>
      </c>
      <c r="AA13" s="324">
        <f t="shared" si="9"/>
        <v>869.17998000000011</v>
      </c>
      <c r="AB13" s="324">
        <f t="shared" si="9"/>
        <v>1142.850269</v>
      </c>
      <c r="AC13" s="324">
        <f t="shared" si="9"/>
        <v>1487.5302099999999</v>
      </c>
      <c r="AD13" s="324">
        <f t="shared" si="9"/>
        <v>2024.1654000000001</v>
      </c>
      <c r="AE13" s="324">
        <f t="shared" si="9"/>
        <v>1958.43235</v>
      </c>
      <c r="AF13" s="324">
        <f t="shared" si="9"/>
        <v>1706.42824</v>
      </c>
      <c r="AG13" s="324">
        <f t="shared" si="9"/>
        <v>1583.5628400000001</v>
      </c>
      <c r="AH13" s="324">
        <f t="shared" si="9"/>
        <v>3552.9552400000002</v>
      </c>
      <c r="AI13" s="324">
        <f t="shared" si="9"/>
        <v>1620.6826100000001</v>
      </c>
      <c r="AJ13" s="324">
        <f t="shared" si="9"/>
        <v>1844.5823999999998</v>
      </c>
      <c r="AK13" s="324">
        <f t="shared" si="9"/>
        <v>3082.2200000000003</v>
      </c>
      <c r="AL13" s="324">
        <f t="shared" si="9"/>
        <v>2720.85</v>
      </c>
      <c r="AM13" s="324">
        <f t="shared" si="9"/>
        <v>1596.6435999999999</v>
      </c>
      <c r="AN13" s="324">
        <f t="shared" si="9"/>
        <v>1932.0760799999998</v>
      </c>
    </row>
    <row r="14" spans="2:40" s="7" customFormat="1">
      <c r="B14" s="235"/>
      <c r="J14" s="366"/>
    </row>
    <row r="15" spans="2:40">
      <c r="B15" s="282" t="s">
        <v>908</v>
      </c>
      <c r="C15" s="283" t="s">
        <v>803</v>
      </c>
      <c r="E15" s="296">
        <v>47.33</v>
      </c>
      <c r="F15" s="296">
        <v>49.02</v>
      </c>
      <c r="G15" s="296">
        <v>54.7</v>
      </c>
      <c r="H15" s="296">
        <v>55.59</v>
      </c>
      <c r="I15" s="296">
        <v>45.9</v>
      </c>
      <c r="J15" s="296">
        <v>55.6</v>
      </c>
      <c r="K15" s="296">
        <v>57.55</v>
      </c>
      <c r="L15" s="296">
        <v>55.05</v>
      </c>
      <c r="M15" s="297">
        <v>47.33</v>
      </c>
      <c r="N15" s="297">
        <v>49.02</v>
      </c>
      <c r="O15" s="297">
        <v>54.7</v>
      </c>
      <c r="P15" s="297">
        <v>55.59</v>
      </c>
      <c r="Q15" s="297">
        <v>45.9</v>
      </c>
      <c r="R15" s="297">
        <v>55.6</v>
      </c>
      <c r="S15" s="297">
        <v>57.55</v>
      </c>
      <c r="T15" s="297">
        <v>55.05</v>
      </c>
      <c r="U15" s="297">
        <v>53</v>
      </c>
      <c r="V15" s="297">
        <f t="shared" ref="V15:AN15" si="10">U15</f>
        <v>53</v>
      </c>
      <c r="W15" s="297">
        <f t="shared" si="10"/>
        <v>53</v>
      </c>
      <c r="X15" s="297">
        <f t="shared" si="10"/>
        <v>53</v>
      </c>
      <c r="Y15" s="297">
        <f t="shared" si="10"/>
        <v>53</v>
      </c>
      <c r="Z15" s="297">
        <f t="shared" si="10"/>
        <v>53</v>
      </c>
      <c r="AA15" s="297">
        <f t="shared" si="10"/>
        <v>53</v>
      </c>
      <c r="AB15" s="297">
        <f t="shared" si="10"/>
        <v>53</v>
      </c>
      <c r="AC15" s="297">
        <f t="shared" si="10"/>
        <v>53</v>
      </c>
      <c r="AD15" s="297">
        <f t="shared" si="10"/>
        <v>53</v>
      </c>
      <c r="AE15" s="297">
        <f t="shared" si="10"/>
        <v>53</v>
      </c>
      <c r="AF15" s="297">
        <f t="shared" si="10"/>
        <v>53</v>
      </c>
      <c r="AG15" s="297">
        <f t="shared" si="10"/>
        <v>53</v>
      </c>
      <c r="AH15" s="297">
        <f t="shared" si="10"/>
        <v>53</v>
      </c>
      <c r="AI15" s="297">
        <f t="shared" si="10"/>
        <v>53</v>
      </c>
      <c r="AJ15" s="297">
        <f t="shared" si="10"/>
        <v>53</v>
      </c>
      <c r="AK15" s="297">
        <f t="shared" si="10"/>
        <v>53</v>
      </c>
      <c r="AL15" s="297">
        <f t="shared" si="10"/>
        <v>53</v>
      </c>
      <c r="AM15" s="297">
        <f t="shared" si="10"/>
        <v>53</v>
      </c>
      <c r="AN15" s="297">
        <f t="shared" si="10"/>
        <v>53</v>
      </c>
    </row>
    <row r="16" spans="2:40" s="7" customFormat="1">
      <c r="B16" s="354"/>
      <c r="C16" s="7" t="s">
        <v>804</v>
      </c>
      <c r="E16" s="321">
        <f t="shared" ref="E16:AN16" si="11">E15*E12</f>
        <v>7667.46</v>
      </c>
      <c r="F16" s="321">
        <f t="shared" si="11"/>
        <v>6911.8200000000006</v>
      </c>
      <c r="G16" s="321">
        <f t="shared" si="11"/>
        <v>13182.7</v>
      </c>
      <c r="H16" s="321">
        <f t="shared" si="11"/>
        <v>29629.47</v>
      </c>
      <c r="I16" s="321">
        <f t="shared" si="11"/>
        <v>5186.7</v>
      </c>
      <c r="J16" s="321">
        <f t="shared" si="11"/>
        <v>23518.799999999999</v>
      </c>
      <c r="K16" s="321">
        <f t="shared" si="11"/>
        <v>20027.399999999998</v>
      </c>
      <c r="L16" s="321">
        <f t="shared" si="11"/>
        <v>5284.7999999999993</v>
      </c>
      <c r="M16" s="322">
        <f t="shared" si="11"/>
        <v>23885.812863992476</v>
      </c>
      <c r="N16" s="322">
        <f t="shared" si="11"/>
        <v>23758.297371496119</v>
      </c>
      <c r="O16" s="322">
        <f t="shared" si="11"/>
        <v>23211.940026152406</v>
      </c>
      <c r="P16" s="322">
        <f t="shared" si="11"/>
        <v>22646.111484550056</v>
      </c>
      <c r="Q16" s="322">
        <f t="shared" si="11"/>
        <v>13451.846501555594</v>
      </c>
      <c r="R16" s="322">
        <f t="shared" si="11"/>
        <v>29802.028618588214</v>
      </c>
      <c r="S16" s="322">
        <f t="shared" si="11"/>
        <v>24222.235263326751</v>
      </c>
      <c r="T16" s="322">
        <f t="shared" si="11"/>
        <v>21442.509407660276</v>
      </c>
      <c r="U16" s="322">
        <f t="shared" si="11"/>
        <v>17542.102927758326</v>
      </c>
      <c r="V16" s="322">
        <f t="shared" si="11"/>
        <v>41491.678090077214</v>
      </c>
      <c r="W16" s="322">
        <f t="shared" si="11"/>
        <v>16131.234057568761</v>
      </c>
      <c r="X16" s="322">
        <f t="shared" si="11"/>
        <v>12487.74980808999</v>
      </c>
      <c r="Y16" s="322">
        <f t="shared" si="11"/>
        <v>36306.480568581275</v>
      </c>
      <c r="Z16" s="322">
        <f t="shared" si="11"/>
        <v>33974.23380715106</v>
      </c>
      <c r="AA16" s="322">
        <f t="shared" si="11"/>
        <v>13435.728865827332</v>
      </c>
      <c r="AB16" s="322">
        <f t="shared" si="11"/>
        <v>18135.254182827332</v>
      </c>
      <c r="AC16" s="322">
        <f t="shared" si="11"/>
        <v>19712.42467618216</v>
      </c>
      <c r="AD16" s="322">
        <f t="shared" si="11"/>
        <v>30093.015970574234</v>
      </c>
      <c r="AE16" s="322">
        <f t="shared" si="11"/>
        <v>22822.923214968385</v>
      </c>
      <c r="AF16" s="322">
        <f t="shared" si="11"/>
        <v>23165.524947891576</v>
      </c>
      <c r="AG16" s="322">
        <f t="shared" si="11"/>
        <v>22145.47719001204</v>
      </c>
      <c r="AH16" s="322">
        <f t="shared" si="11"/>
        <v>50604.270055457775</v>
      </c>
      <c r="AI16" s="322">
        <f t="shared" si="11"/>
        <v>17595.042895569288</v>
      </c>
      <c r="AJ16" s="322">
        <f t="shared" si="11"/>
        <v>23535.521928341048</v>
      </c>
      <c r="AK16" s="322">
        <f t="shared" si="11"/>
        <v>50264.956231771903</v>
      </c>
      <c r="AL16" s="322">
        <f t="shared" si="11"/>
        <v>47169.796859809925</v>
      </c>
      <c r="AM16" s="322">
        <f t="shared" si="11"/>
        <v>27332.090361465354</v>
      </c>
      <c r="AN16" s="322">
        <f t="shared" si="11"/>
        <v>40022.011801465356</v>
      </c>
    </row>
    <row r="17" spans="2:40">
      <c r="C17" s="283" t="s">
        <v>805</v>
      </c>
      <c r="E17" s="296">
        <v>50.7</v>
      </c>
      <c r="F17" s="296">
        <v>53.14</v>
      </c>
      <c r="G17" s="296">
        <v>55.07</v>
      </c>
      <c r="H17" s="296">
        <v>59.73</v>
      </c>
      <c r="I17" s="296">
        <v>65.7</v>
      </c>
      <c r="J17" s="296">
        <v>52.01</v>
      </c>
      <c r="K17" s="296">
        <v>64.94</v>
      </c>
      <c r="L17" s="296">
        <v>58.91</v>
      </c>
      <c r="M17" s="297">
        <f t="shared" ref="M17:AN17" si="12">L17</f>
        <v>58.91</v>
      </c>
      <c r="N17" s="297">
        <f t="shared" si="12"/>
        <v>58.91</v>
      </c>
      <c r="O17" s="297">
        <f t="shared" si="12"/>
        <v>58.91</v>
      </c>
      <c r="P17" s="297">
        <f t="shared" si="12"/>
        <v>58.91</v>
      </c>
      <c r="Q17" s="297">
        <v>58</v>
      </c>
      <c r="R17" s="297">
        <f t="shared" si="12"/>
        <v>58</v>
      </c>
      <c r="S17" s="297">
        <f t="shared" si="12"/>
        <v>58</v>
      </c>
      <c r="T17" s="297">
        <f t="shared" si="12"/>
        <v>58</v>
      </c>
      <c r="U17" s="297">
        <f t="shared" si="12"/>
        <v>58</v>
      </c>
      <c r="V17" s="297">
        <f t="shared" si="12"/>
        <v>58</v>
      </c>
      <c r="W17" s="297">
        <f t="shared" si="12"/>
        <v>58</v>
      </c>
      <c r="X17" s="297">
        <f t="shared" si="12"/>
        <v>58</v>
      </c>
      <c r="Y17" s="297">
        <f t="shared" si="12"/>
        <v>58</v>
      </c>
      <c r="Z17" s="297">
        <f t="shared" si="12"/>
        <v>58</v>
      </c>
      <c r="AA17" s="297">
        <f t="shared" si="12"/>
        <v>58</v>
      </c>
      <c r="AB17" s="297">
        <f t="shared" si="12"/>
        <v>58</v>
      </c>
      <c r="AC17" s="297">
        <f t="shared" si="12"/>
        <v>58</v>
      </c>
      <c r="AD17" s="297">
        <f t="shared" si="12"/>
        <v>58</v>
      </c>
      <c r="AE17" s="297">
        <f t="shared" si="12"/>
        <v>58</v>
      </c>
      <c r="AF17" s="297">
        <f t="shared" si="12"/>
        <v>58</v>
      </c>
      <c r="AG17" s="297">
        <f t="shared" si="12"/>
        <v>58</v>
      </c>
      <c r="AH17" s="297">
        <f t="shared" si="12"/>
        <v>58</v>
      </c>
      <c r="AI17" s="297">
        <f t="shared" si="12"/>
        <v>58</v>
      </c>
      <c r="AJ17" s="297">
        <f t="shared" si="12"/>
        <v>58</v>
      </c>
      <c r="AK17" s="297">
        <f t="shared" si="12"/>
        <v>58</v>
      </c>
      <c r="AL17" s="297">
        <f t="shared" si="12"/>
        <v>58</v>
      </c>
      <c r="AM17" s="297">
        <f t="shared" si="12"/>
        <v>58</v>
      </c>
      <c r="AN17" s="297">
        <f t="shared" si="12"/>
        <v>58</v>
      </c>
    </row>
    <row r="18" spans="2:40" s="7" customFormat="1">
      <c r="B18" s="235"/>
      <c r="C18" s="7" t="s">
        <v>806</v>
      </c>
      <c r="E18" s="321">
        <f>E11*E17</f>
        <v>1368.9</v>
      </c>
      <c r="F18" s="321">
        <f>F11*F17</f>
        <v>1434.78</v>
      </c>
      <c r="G18" s="321">
        <f>G11*G17</f>
        <v>1762.24</v>
      </c>
      <c r="H18" s="321">
        <f>H11*H17</f>
        <v>1612.7099999999998</v>
      </c>
      <c r="I18" s="321">
        <f>I11*I17</f>
        <v>1642.5</v>
      </c>
      <c r="J18" s="321">
        <f t="shared" ref="J18:AN18" si="13">J11*J15</f>
        <v>1167.6000000000001</v>
      </c>
      <c r="K18" s="321">
        <f t="shared" si="13"/>
        <v>1093.45</v>
      </c>
      <c r="L18" s="321">
        <f t="shared" si="13"/>
        <v>1651.5</v>
      </c>
      <c r="M18" s="322">
        <f t="shared" si="13"/>
        <v>24285.089063903506</v>
      </c>
      <c r="N18" s="322">
        <f t="shared" si="13"/>
        <v>21034.550422830125</v>
      </c>
      <c r="O18" s="322">
        <f t="shared" si="13"/>
        <v>20309.522894840502</v>
      </c>
      <c r="P18" s="322">
        <f t="shared" si="13"/>
        <v>23692.060228204555</v>
      </c>
      <c r="Q18" s="322">
        <f t="shared" si="13"/>
        <v>15992.52542357632</v>
      </c>
      <c r="R18" s="322">
        <f t="shared" si="13"/>
        <v>16427.241899834484</v>
      </c>
      <c r="S18" s="322">
        <f t="shared" si="13"/>
        <v>20360.542863378214</v>
      </c>
      <c r="T18" s="322">
        <f t="shared" si="13"/>
        <v>16052.78446693263</v>
      </c>
      <c r="U18" s="322">
        <f t="shared" si="13"/>
        <v>13582.260586965076</v>
      </c>
      <c r="V18" s="322">
        <f t="shared" si="13"/>
        <v>17353.939074858961</v>
      </c>
      <c r="W18" s="322">
        <f t="shared" si="13"/>
        <v>16706.932490941876</v>
      </c>
      <c r="X18" s="322">
        <f t="shared" si="13"/>
        <v>17368.979669214968</v>
      </c>
      <c r="Y18" s="322">
        <f t="shared" si="13"/>
        <v>27212.905303759144</v>
      </c>
      <c r="Z18" s="322">
        <f t="shared" si="13"/>
        <v>25451.087753132626</v>
      </c>
      <c r="AA18" s="322">
        <f t="shared" si="13"/>
        <v>25843.802981974088</v>
      </c>
      <c r="AB18" s="322">
        <f t="shared" si="13"/>
        <v>35648.802981974091</v>
      </c>
      <c r="AC18" s="322">
        <f t="shared" si="13"/>
        <v>33454.158575094429</v>
      </c>
      <c r="AD18" s="322">
        <f t="shared" si="13"/>
        <v>31505.615094673976</v>
      </c>
      <c r="AE18" s="322">
        <f t="shared" si="13"/>
        <v>38913.70122510253</v>
      </c>
      <c r="AF18" s="322">
        <f t="shared" si="13"/>
        <v>35018.901964070588</v>
      </c>
      <c r="AG18" s="322">
        <f t="shared" si="13"/>
        <v>32697.593389562429</v>
      </c>
      <c r="AH18" s="322">
        <f t="shared" si="13"/>
        <v>37997.796447520959</v>
      </c>
      <c r="AI18" s="322">
        <f t="shared" si="13"/>
        <v>35394.496449324346</v>
      </c>
      <c r="AJ18" s="322">
        <f t="shared" si="13"/>
        <v>32787.441649909539</v>
      </c>
      <c r="AK18" s="322">
        <f t="shared" si="13"/>
        <v>38454.946321419571</v>
      </c>
      <c r="AL18" s="322">
        <f t="shared" si="13"/>
        <v>34837.121934516319</v>
      </c>
      <c r="AM18" s="322">
        <f t="shared" si="13"/>
        <v>33367.662282506273</v>
      </c>
      <c r="AN18" s="322">
        <f t="shared" si="13"/>
        <v>38455.662282506273</v>
      </c>
    </row>
    <row r="19" spans="2:40" s="7" customFormat="1">
      <c r="B19" s="235"/>
      <c r="E19" s="217"/>
      <c r="F19" s="217"/>
      <c r="G19" s="217"/>
      <c r="H19" s="217"/>
      <c r="I19" s="217"/>
      <c r="J19" s="217"/>
      <c r="K19" s="217"/>
      <c r="L19" s="217"/>
    </row>
    <row r="20" spans="2:40">
      <c r="C20" s="283" t="s">
        <v>869</v>
      </c>
      <c r="E20" s="296">
        <v>47.16</v>
      </c>
      <c r="F20" s="296">
        <v>50.01</v>
      </c>
      <c r="G20" s="296">
        <v>47.76</v>
      </c>
      <c r="H20" s="296">
        <v>54.27</v>
      </c>
      <c r="I20" s="296">
        <v>49.98</v>
      </c>
      <c r="J20" s="296">
        <v>56.83</v>
      </c>
      <c r="K20" s="296">
        <v>52.69</v>
      </c>
      <c r="L20" s="296">
        <v>55.22</v>
      </c>
      <c r="M20" s="297">
        <v>47.16</v>
      </c>
      <c r="N20" s="297">
        <v>50.01</v>
      </c>
      <c r="O20" s="297">
        <v>47.76</v>
      </c>
      <c r="P20" s="297">
        <v>54.27</v>
      </c>
      <c r="Q20" s="297">
        <v>49.98</v>
      </c>
      <c r="R20" s="297">
        <v>56.83</v>
      </c>
      <c r="S20" s="297">
        <v>52.69</v>
      </c>
      <c r="T20" s="297">
        <v>52</v>
      </c>
      <c r="U20" s="297">
        <f t="shared" ref="U20:AN20" si="14">T20</f>
        <v>52</v>
      </c>
      <c r="V20" s="297">
        <f t="shared" si="14"/>
        <v>52</v>
      </c>
      <c r="W20" s="297">
        <f t="shared" si="14"/>
        <v>52</v>
      </c>
      <c r="X20" s="297">
        <f t="shared" si="14"/>
        <v>52</v>
      </c>
      <c r="Y20" s="297">
        <f t="shared" si="14"/>
        <v>52</v>
      </c>
      <c r="Z20" s="297">
        <f t="shared" si="14"/>
        <v>52</v>
      </c>
      <c r="AA20" s="297">
        <f t="shared" si="14"/>
        <v>52</v>
      </c>
      <c r="AB20" s="297">
        <f t="shared" si="14"/>
        <v>52</v>
      </c>
      <c r="AC20" s="297">
        <f t="shared" si="14"/>
        <v>52</v>
      </c>
      <c r="AD20" s="297">
        <f t="shared" si="14"/>
        <v>52</v>
      </c>
      <c r="AE20" s="297">
        <f t="shared" si="14"/>
        <v>52</v>
      </c>
      <c r="AF20" s="297">
        <f t="shared" si="14"/>
        <v>52</v>
      </c>
      <c r="AG20" s="297">
        <f t="shared" si="14"/>
        <v>52</v>
      </c>
      <c r="AH20" s="297">
        <f t="shared" si="14"/>
        <v>52</v>
      </c>
      <c r="AI20" s="297">
        <f t="shared" si="14"/>
        <v>52</v>
      </c>
      <c r="AJ20" s="297">
        <f t="shared" si="14"/>
        <v>52</v>
      </c>
      <c r="AK20" s="297">
        <f t="shared" si="14"/>
        <v>52</v>
      </c>
      <c r="AL20" s="297">
        <f t="shared" si="14"/>
        <v>52</v>
      </c>
      <c r="AM20" s="297">
        <f t="shared" si="14"/>
        <v>52</v>
      </c>
      <c r="AN20" s="297">
        <f t="shared" si="14"/>
        <v>52</v>
      </c>
    </row>
    <row r="21" spans="2:40" s="7" customFormat="1">
      <c r="B21" s="235"/>
      <c r="C21" s="7" t="s">
        <v>808</v>
      </c>
      <c r="E21" s="321">
        <f t="shared" ref="E21:AN21" si="15">E9*E20</f>
        <v>6979.6799999999994</v>
      </c>
      <c r="F21" s="321">
        <f t="shared" si="15"/>
        <v>7051.41</v>
      </c>
      <c r="G21" s="321">
        <f t="shared" si="15"/>
        <v>5349.12</v>
      </c>
      <c r="H21" s="321">
        <f t="shared" si="15"/>
        <v>20568.330000000002</v>
      </c>
      <c r="I21" s="321">
        <f t="shared" si="15"/>
        <v>6547.3799999999992</v>
      </c>
      <c r="J21" s="321">
        <f t="shared" si="15"/>
        <v>23811.77</v>
      </c>
      <c r="K21" s="321">
        <f t="shared" si="15"/>
        <v>19389.919999999998</v>
      </c>
      <c r="L21" s="321">
        <f t="shared" si="15"/>
        <v>6129.42</v>
      </c>
      <c r="M21" s="322">
        <f t="shared" si="15"/>
        <v>12984.78025214694</v>
      </c>
      <c r="N21" s="322">
        <f t="shared" si="15"/>
        <v>13769.483893339027</v>
      </c>
      <c r="O21" s="322">
        <f t="shared" si="15"/>
        <v>7586.5275107963635</v>
      </c>
      <c r="P21" s="322">
        <f t="shared" si="15"/>
        <v>5747.0805138319201</v>
      </c>
      <c r="Q21" s="322">
        <f t="shared" si="15"/>
        <v>7535.6049902172408</v>
      </c>
      <c r="R21" s="322">
        <f t="shared" si="15"/>
        <v>15246.756292661865</v>
      </c>
      <c r="S21" s="322">
        <f t="shared" si="15"/>
        <v>13015.290643379485</v>
      </c>
      <c r="T21" s="322">
        <f t="shared" si="15"/>
        <v>4233.2644807568686</v>
      </c>
      <c r="U21" s="322">
        <f t="shared" si="15"/>
        <v>3895.6406263503186</v>
      </c>
      <c r="V21" s="322">
        <f t="shared" si="15"/>
        <v>13354.065360678967</v>
      </c>
      <c r="W21" s="322">
        <f t="shared" si="15"/>
        <v>7493.6208491778198</v>
      </c>
      <c r="X21" s="322">
        <f t="shared" si="15"/>
        <v>5662.1083528173667</v>
      </c>
      <c r="Y21" s="322">
        <f t="shared" si="15"/>
        <v>9795.347366674976</v>
      </c>
      <c r="Z21" s="322">
        <f t="shared" si="15"/>
        <v>8162.7894722291448</v>
      </c>
      <c r="AA21" s="322">
        <f t="shared" si="15"/>
        <v>3139.5344123958253</v>
      </c>
      <c r="AB21" s="322">
        <f t="shared" si="15"/>
        <v>3139.5344123958253</v>
      </c>
      <c r="AC21" s="322">
        <f t="shared" si="15"/>
        <v>17728.685464877883</v>
      </c>
      <c r="AD21" s="322">
        <f t="shared" si="15"/>
        <v>31546.738383587541</v>
      </c>
      <c r="AE21" s="322">
        <f t="shared" si="15"/>
        <v>29045.598777766867</v>
      </c>
      <c r="AF21" s="322">
        <f t="shared" si="15"/>
        <v>22275.230828483735</v>
      </c>
      <c r="AG21" s="322">
        <f t="shared" si="15"/>
        <v>20085.770002252335</v>
      </c>
      <c r="AH21" s="322">
        <f t="shared" si="15"/>
        <v>68853.036292758421</v>
      </c>
      <c r="AI21" s="322">
        <f t="shared" si="15"/>
        <v>22724.356645856547</v>
      </c>
      <c r="AJ21" s="322">
        <f t="shared" si="15"/>
        <v>28617.178123137077</v>
      </c>
      <c r="AK21" s="322">
        <f t="shared" si="15"/>
        <v>51542.639168827562</v>
      </c>
      <c r="AL21" s="322">
        <f t="shared" si="15"/>
        <v>42952.199307356306</v>
      </c>
      <c r="AM21" s="322">
        <f t="shared" si="15"/>
        <v>16520.076656675501</v>
      </c>
      <c r="AN21" s="322">
        <f t="shared" si="15"/>
        <v>16520.076656675501</v>
      </c>
    </row>
    <row r="22" spans="2:40">
      <c r="C22" s="283" t="s">
        <v>809</v>
      </c>
      <c r="E22" s="296">
        <v>65.010000000000005</v>
      </c>
      <c r="F22" s="296">
        <v>65.55</v>
      </c>
      <c r="G22" s="296">
        <v>68.900000000000006</v>
      </c>
      <c r="H22" s="296">
        <v>68.900000000000006</v>
      </c>
      <c r="I22" s="296">
        <v>58.95</v>
      </c>
      <c r="J22" s="296">
        <v>67.28</v>
      </c>
      <c r="K22" s="296">
        <v>58.29</v>
      </c>
      <c r="L22" s="296">
        <v>72.97</v>
      </c>
      <c r="M22" s="297">
        <f t="shared" ref="M22:AN22" si="16">L22</f>
        <v>72.97</v>
      </c>
      <c r="N22" s="297">
        <f t="shared" si="16"/>
        <v>72.97</v>
      </c>
      <c r="O22" s="297">
        <f t="shared" si="16"/>
        <v>72.97</v>
      </c>
      <c r="P22" s="297">
        <f t="shared" si="16"/>
        <v>72.97</v>
      </c>
      <c r="Q22" s="297">
        <v>66</v>
      </c>
      <c r="R22" s="297">
        <f t="shared" si="16"/>
        <v>66</v>
      </c>
      <c r="S22" s="297">
        <f t="shared" si="16"/>
        <v>66</v>
      </c>
      <c r="T22" s="297">
        <f t="shared" si="16"/>
        <v>66</v>
      </c>
      <c r="U22" s="297">
        <f t="shared" si="16"/>
        <v>66</v>
      </c>
      <c r="V22" s="297">
        <f t="shared" si="16"/>
        <v>66</v>
      </c>
      <c r="W22" s="297">
        <f t="shared" si="16"/>
        <v>66</v>
      </c>
      <c r="X22" s="297">
        <f t="shared" si="16"/>
        <v>66</v>
      </c>
      <c r="Y22" s="297">
        <f t="shared" si="16"/>
        <v>66</v>
      </c>
      <c r="Z22" s="297">
        <f t="shared" si="16"/>
        <v>66</v>
      </c>
      <c r="AA22" s="297">
        <f t="shared" si="16"/>
        <v>66</v>
      </c>
      <c r="AB22" s="297">
        <f t="shared" si="16"/>
        <v>66</v>
      </c>
      <c r="AC22" s="297">
        <f t="shared" si="16"/>
        <v>66</v>
      </c>
      <c r="AD22" s="297">
        <f t="shared" si="16"/>
        <v>66</v>
      </c>
      <c r="AE22" s="297">
        <f t="shared" si="16"/>
        <v>66</v>
      </c>
      <c r="AF22" s="297">
        <f t="shared" si="16"/>
        <v>66</v>
      </c>
      <c r="AG22" s="297">
        <f t="shared" si="16"/>
        <v>66</v>
      </c>
      <c r="AH22" s="297">
        <f t="shared" si="16"/>
        <v>66</v>
      </c>
      <c r="AI22" s="297">
        <f t="shared" si="16"/>
        <v>66</v>
      </c>
      <c r="AJ22" s="297">
        <f t="shared" si="16"/>
        <v>66</v>
      </c>
      <c r="AK22" s="297">
        <f t="shared" si="16"/>
        <v>66</v>
      </c>
      <c r="AL22" s="297">
        <f t="shared" si="16"/>
        <v>66</v>
      </c>
      <c r="AM22" s="297">
        <f t="shared" si="16"/>
        <v>66</v>
      </c>
      <c r="AN22" s="297">
        <f t="shared" si="16"/>
        <v>66</v>
      </c>
    </row>
    <row r="23" spans="2:40" s="7" customFormat="1">
      <c r="B23" s="235"/>
      <c r="C23" s="7" t="s">
        <v>810</v>
      </c>
      <c r="E23" s="321">
        <f>E22*E10</f>
        <v>2210.34</v>
      </c>
      <c r="F23" s="321">
        <f>F22*F10</f>
        <v>1442.1</v>
      </c>
      <c r="G23" s="321">
        <f>G22*G10</f>
        <v>1446.9</v>
      </c>
      <c r="H23" s="321">
        <f>H22*H10</f>
        <v>826.80000000000007</v>
      </c>
      <c r="I23" s="321">
        <f>I22*I10</f>
        <v>1355.8500000000001</v>
      </c>
      <c r="J23" s="321">
        <f t="shared" ref="J23:AN23" si="17">J20*J10</f>
        <v>1420.75</v>
      </c>
      <c r="K23" s="321">
        <f t="shared" si="17"/>
        <v>1106.49</v>
      </c>
      <c r="L23" s="321">
        <f t="shared" si="17"/>
        <v>4969.8</v>
      </c>
      <c r="M23" s="322">
        <f t="shared" si="17"/>
        <v>5463.4201733849723</v>
      </c>
      <c r="N23" s="322">
        <f t="shared" si="17"/>
        <v>5793.5886953134532</v>
      </c>
      <c r="O23" s="322">
        <f t="shared" si="17"/>
        <v>3192.0746168632099</v>
      </c>
      <c r="P23" s="322">
        <f t="shared" si="17"/>
        <v>2418.116826593613</v>
      </c>
      <c r="Q23" s="322">
        <f t="shared" si="17"/>
        <v>3230.8836697146744</v>
      </c>
      <c r="R23" s="322">
        <f t="shared" si="17"/>
        <v>6537.0326584303311</v>
      </c>
      <c r="S23" s="322">
        <f t="shared" si="17"/>
        <v>5580.293825230443</v>
      </c>
      <c r="T23" s="322">
        <f t="shared" si="17"/>
        <v>4745.4866053897058</v>
      </c>
      <c r="U23" s="322">
        <f t="shared" si="17"/>
        <v>4592.9231047135108</v>
      </c>
      <c r="V23" s="322">
        <f t="shared" si="17"/>
        <v>15744.315561874228</v>
      </c>
      <c r="W23" s="322">
        <f t="shared" si="17"/>
        <v>9252.3100103966499</v>
      </c>
      <c r="X23" s="322">
        <f t="shared" si="17"/>
        <v>6990.9570883173856</v>
      </c>
      <c r="Y23" s="322">
        <f t="shared" si="17"/>
        <v>10980.577739708006</v>
      </c>
      <c r="Z23" s="322">
        <f t="shared" si="17"/>
        <v>9150.4814497566713</v>
      </c>
      <c r="AA23" s="322">
        <f t="shared" si="17"/>
        <v>3519.4159422141038</v>
      </c>
      <c r="AB23" s="322">
        <f t="shared" si="17"/>
        <v>3519.4159422141038</v>
      </c>
      <c r="AC23" s="322">
        <f t="shared" si="17"/>
        <v>7459.4452840582917</v>
      </c>
      <c r="AD23" s="322">
        <f t="shared" si="17"/>
        <v>13273.469673150059</v>
      </c>
      <c r="AE23" s="322">
        <f t="shared" si="17"/>
        <v>12221.100952729592</v>
      </c>
      <c r="AF23" s="322">
        <f t="shared" si="17"/>
        <v>9372.4301152514945</v>
      </c>
      <c r="AG23" s="322">
        <f t="shared" si="17"/>
        <v>8451.2020147689364</v>
      </c>
      <c r="AH23" s="322">
        <f t="shared" si="17"/>
        <v>28970.306788092646</v>
      </c>
      <c r="AI23" s="322">
        <f t="shared" si="17"/>
        <v>9561.4023583987673</v>
      </c>
      <c r="AJ23" s="322">
        <f t="shared" si="17"/>
        <v>12040.840524617059</v>
      </c>
      <c r="AK23" s="322">
        <f t="shared" si="17"/>
        <v>21686.858703512869</v>
      </c>
      <c r="AL23" s="322">
        <f t="shared" si="17"/>
        <v>18072.382252927389</v>
      </c>
      <c r="AM23" s="322">
        <f t="shared" si="17"/>
        <v>6950.9162511259183</v>
      </c>
      <c r="AN23" s="322">
        <f t="shared" si="17"/>
        <v>6950.9162511259183</v>
      </c>
    </row>
    <row r="24" spans="2:40" s="7" customFormat="1">
      <c r="B24" s="235"/>
    </row>
    <row r="25" spans="2:40" s="7" customFormat="1">
      <c r="B25" s="237"/>
      <c r="C25" s="7" t="s">
        <v>870</v>
      </c>
      <c r="E25" s="227">
        <f>(E21+E16+E18+E23)</f>
        <v>18226.379999999997</v>
      </c>
      <c r="F25" s="227">
        <f t="shared" ref="F25:AN25" si="18">(F21+F16+F18+F23)</f>
        <v>16840.11</v>
      </c>
      <c r="G25" s="227">
        <f t="shared" si="18"/>
        <v>21740.960000000003</v>
      </c>
      <c r="H25" s="227">
        <f t="shared" si="18"/>
        <v>52637.310000000005</v>
      </c>
      <c r="I25" s="227">
        <f t="shared" si="18"/>
        <v>14732.429999999998</v>
      </c>
      <c r="J25" s="227">
        <f t="shared" si="18"/>
        <v>49918.92</v>
      </c>
      <c r="K25" s="227">
        <f t="shared" si="18"/>
        <v>41617.259999999987</v>
      </c>
      <c r="L25" s="227">
        <f t="shared" si="18"/>
        <v>18035.52</v>
      </c>
      <c r="M25" s="201">
        <f t="shared" si="18"/>
        <v>66619.102353427894</v>
      </c>
      <c r="N25" s="201">
        <f t="shared" si="18"/>
        <v>64355.920382978722</v>
      </c>
      <c r="O25" s="201">
        <f t="shared" si="18"/>
        <v>54300.065048652483</v>
      </c>
      <c r="P25" s="201">
        <f t="shared" si="18"/>
        <v>54503.36905318014</v>
      </c>
      <c r="Q25" s="201">
        <f t="shared" si="18"/>
        <v>40210.860585063827</v>
      </c>
      <c r="R25" s="201">
        <f t="shared" si="18"/>
        <v>68013.05946951489</v>
      </c>
      <c r="S25" s="201">
        <f t="shared" si="18"/>
        <v>63178.362595314895</v>
      </c>
      <c r="T25" s="201">
        <f t="shared" si="18"/>
        <v>46474.044960739477</v>
      </c>
      <c r="U25" s="201">
        <f t="shared" si="18"/>
        <v>39612.927245787228</v>
      </c>
      <c r="V25" s="201">
        <f t="shared" si="18"/>
        <v>87943.998087489381</v>
      </c>
      <c r="W25" s="201">
        <f t="shared" si="18"/>
        <v>49584.097408085108</v>
      </c>
      <c r="X25" s="201">
        <f t="shared" si="18"/>
        <v>42509.794918439715</v>
      </c>
      <c r="Y25" s="201">
        <f t="shared" si="18"/>
        <v>84295.310978723399</v>
      </c>
      <c r="Z25" s="201">
        <f t="shared" si="18"/>
        <v>76738.592482269494</v>
      </c>
      <c r="AA25" s="201">
        <f t="shared" si="18"/>
        <v>45938.482202411345</v>
      </c>
      <c r="AB25" s="201">
        <f t="shared" si="18"/>
        <v>60443.007519411352</v>
      </c>
      <c r="AC25" s="201">
        <f t="shared" si="18"/>
        <v>78354.714000212771</v>
      </c>
      <c r="AD25" s="201">
        <f t="shared" si="18"/>
        <v>106418.83912198582</v>
      </c>
      <c r="AE25" s="201">
        <f t="shared" si="18"/>
        <v>103003.32417056737</v>
      </c>
      <c r="AF25" s="201">
        <f t="shared" si="18"/>
        <v>89832.087855697391</v>
      </c>
      <c r="AG25" s="201">
        <f t="shared" si="18"/>
        <v>83380.04259659574</v>
      </c>
      <c r="AH25" s="201">
        <f t="shared" si="18"/>
        <v>186425.40958382981</v>
      </c>
      <c r="AI25" s="201">
        <f t="shared" si="18"/>
        <v>85275.298349148958</v>
      </c>
      <c r="AJ25" s="201">
        <f t="shared" si="18"/>
        <v>96980.982226004722</v>
      </c>
      <c r="AK25" s="201">
        <f t="shared" si="18"/>
        <v>161949.4004255319</v>
      </c>
      <c r="AL25" s="201">
        <f t="shared" si="18"/>
        <v>143031.50035460992</v>
      </c>
      <c r="AM25" s="201">
        <f t="shared" si="18"/>
        <v>84170.745551773056</v>
      </c>
      <c r="AN25" s="201">
        <f t="shared" si="18"/>
        <v>101948.66699177306</v>
      </c>
    </row>
    <row r="26" spans="2:40" s="7" customFormat="1">
      <c r="B26" s="235" t="s">
        <v>909</v>
      </c>
      <c r="C26" s="238" t="s">
        <v>812</v>
      </c>
      <c r="E26" s="228">
        <v>15917</v>
      </c>
      <c r="F26" s="228">
        <v>14506</v>
      </c>
      <c r="G26" s="228">
        <v>18679</v>
      </c>
      <c r="H26" s="228">
        <v>44948</v>
      </c>
      <c r="I26" s="228">
        <v>12746</v>
      </c>
      <c r="J26" s="228">
        <v>41228</v>
      </c>
      <c r="K26" s="228">
        <v>36160</v>
      </c>
      <c r="L26" s="228">
        <v>16402</v>
      </c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2"/>
      <c r="AC26" s="202"/>
      <c r="AD26" s="202"/>
      <c r="AE26" s="202"/>
      <c r="AF26" s="202"/>
      <c r="AG26" s="202"/>
      <c r="AH26" s="202"/>
      <c r="AI26" s="202"/>
      <c r="AJ26" s="202"/>
      <c r="AK26" s="202"/>
      <c r="AL26" s="202"/>
      <c r="AM26" s="202"/>
      <c r="AN26" s="202"/>
    </row>
    <row r="27" spans="2:40" s="7" customFormat="1">
      <c r="B27" s="237"/>
      <c r="C27" s="7" t="s">
        <v>872</v>
      </c>
      <c r="E27" s="229">
        <f t="shared" ref="E27:H27" si="19">E26-E25</f>
        <v>-2309.3799999999974</v>
      </c>
      <c r="F27" s="229">
        <f t="shared" si="19"/>
        <v>-2334.1100000000006</v>
      </c>
      <c r="G27" s="229">
        <f t="shared" si="19"/>
        <v>-3061.9600000000028</v>
      </c>
      <c r="H27" s="229">
        <f t="shared" si="19"/>
        <v>-7689.3100000000049</v>
      </c>
      <c r="I27" s="229">
        <f>I26-I25</f>
        <v>-1986.4299999999985</v>
      </c>
      <c r="J27" s="229">
        <f t="shared" ref="J27:L27" si="20">J26-J25</f>
        <v>-8690.9199999999983</v>
      </c>
      <c r="K27" s="229">
        <f t="shared" si="20"/>
        <v>-5457.2599999999875</v>
      </c>
      <c r="L27" s="229">
        <f t="shared" si="20"/>
        <v>-1633.5200000000004</v>
      </c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</row>
    <row r="28" spans="2:40" s="7" customFormat="1">
      <c r="B28" s="235"/>
      <c r="E28" s="326">
        <f>E27/E26</f>
        <v>-0.14508889866180796</v>
      </c>
      <c r="F28" s="326">
        <f t="shared" ref="F28:H28" si="21">F27/F26</f>
        <v>-0.16090652143940443</v>
      </c>
      <c r="G28" s="326">
        <f t="shared" si="21"/>
        <v>-0.16392526366507859</v>
      </c>
      <c r="H28" s="326">
        <f t="shared" si="21"/>
        <v>-0.17107123787487774</v>
      </c>
      <c r="I28" s="326">
        <f>I27/I26</f>
        <v>-0.15584732465087073</v>
      </c>
      <c r="J28" s="326">
        <f t="shared" ref="J28:L28" si="22">J27/J26</f>
        <v>-0.210801397108761</v>
      </c>
      <c r="K28" s="326">
        <f t="shared" si="22"/>
        <v>-0.15091980088495541</v>
      </c>
      <c r="L28" s="326">
        <f t="shared" si="22"/>
        <v>-9.959273259358617E-2</v>
      </c>
    </row>
    <row r="29" spans="2:40">
      <c r="C29" s="283" t="s">
        <v>814</v>
      </c>
      <c r="E29" s="293">
        <v>0</v>
      </c>
      <c r="F29" s="293">
        <v>0</v>
      </c>
      <c r="G29" s="293">
        <v>0</v>
      </c>
      <c r="H29" s="293">
        <v>0</v>
      </c>
      <c r="I29" s="293">
        <v>0</v>
      </c>
      <c r="J29" s="293">
        <v>0</v>
      </c>
      <c r="K29" s="293">
        <v>0</v>
      </c>
      <c r="L29" s="293">
        <v>0</v>
      </c>
      <c r="M29" s="299">
        <v>0</v>
      </c>
      <c r="N29" s="299">
        <v>0</v>
      </c>
      <c r="O29" s="299">
        <v>0</v>
      </c>
      <c r="P29" s="299">
        <v>0</v>
      </c>
      <c r="Q29" s="299">
        <v>10000</v>
      </c>
      <c r="R29" s="299">
        <v>5000</v>
      </c>
      <c r="S29" s="299">
        <v>5000</v>
      </c>
      <c r="T29" s="299">
        <v>2500</v>
      </c>
      <c r="U29" s="299">
        <v>2500</v>
      </c>
      <c r="V29" s="299">
        <v>5000</v>
      </c>
      <c r="W29" s="299">
        <v>2500</v>
      </c>
      <c r="X29" s="299">
        <v>5000</v>
      </c>
      <c r="Y29" s="299">
        <v>5000</v>
      </c>
      <c r="Z29" s="299">
        <v>2500</v>
      </c>
      <c r="AA29" s="299">
        <v>2500</v>
      </c>
      <c r="AB29" s="299">
        <v>0</v>
      </c>
      <c r="AC29" s="299">
        <v>0</v>
      </c>
      <c r="AD29" s="299">
        <v>0</v>
      </c>
      <c r="AE29" s="299">
        <v>0</v>
      </c>
      <c r="AF29" s="299">
        <v>0</v>
      </c>
      <c r="AG29" s="299">
        <v>0</v>
      </c>
      <c r="AH29" s="299">
        <v>0</v>
      </c>
      <c r="AI29" s="299">
        <v>0</v>
      </c>
      <c r="AJ29" s="299">
        <v>0</v>
      </c>
      <c r="AK29" s="299">
        <v>0</v>
      </c>
      <c r="AL29" s="299">
        <v>0</v>
      </c>
      <c r="AM29" s="299">
        <v>0</v>
      </c>
      <c r="AN29" s="299">
        <v>0</v>
      </c>
    </row>
    <row r="30" spans="2:40" s="7" customFormat="1">
      <c r="B30" s="235"/>
      <c r="E30" s="363"/>
      <c r="F30" s="363"/>
      <c r="G30" s="363"/>
      <c r="H30" s="363"/>
      <c r="I30" s="363"/>
      <c r="J30" s="322"/>
    </row>
    <row r="31" spans="2:40" s="7" customFormat="1">
      <c r="B31" s="235"/>
      <c r="E31" s="363"/>
      <c r="F31" s="363"/>
      <c r="G31" s="363"/>
      <c r="H31" s="363"/>
      <c r="I31" s="363"/>
      <c r="J31" s="322"/>
    </row>
    <row r="32" spans="2:40">
      <c r="C32" s="348" t="s">
        <v>815</v>
      </c>
      <c r="E32" s="362"/>
      <c r="F32" s="362"/>
      <c r="G32" s="362"/>
      <c r="H32" s="362"/>
      <c r="I32" s="362"/>
      <c r="J32" s="295"/>
      <c r="K32" s="348"/>
      <c r="L32" s="348"/>
      <c r="M32" s="355" t="s">
        <v>816</v>
      </c>
      <c r="N32" s="356" t="s">
        <v>817</v>
      </c>
      <c r="O32" s="355" t="s">
        <v>816</v>
      </c>
      <c r="P32" s="355" t="s">
        <v>816</v>
      </c>
      <c r="Q32" s="355" t="s">
        <v>816</v>
      </c>
      <c r="R32" s="355" t="s">
        <v>817</v>
      </c>
      <c r="S32" s="355" t="s">
        <v>817</v>
      </c>
      <c r="T32" s="355" t="s">
        <v>816</v>
      </c>
      <c r="U32" s="355" t="s">
        <v>816</v>
      </c>
      <c r="V32" s="355" t="s">
        <v>817</v>
      </c>
      <c r="W32" s="355" t="s">
        <v>816</v>
      </c>
      <c r="X32" s="355" t="s">
        <v>816</v>
      </c>
      <c r="Y32" s="355" t="s">
        <v>817</v>
      </c>
      <c r="Z32" s="355" t="s">
        <v>817</v>
      </c>
      <c r="AA32" s="355" t="s">
        <v>816</v>
      </c>
      <c r="AB32" s="355" t="s">
        <v>816</v>
      </c>
      <c r="AC32" s="355" t="s">
        <v>816</v>
      </c>
      <c r="AD32" s="355" t="s">
        <v>816</v>
      </c>
      <c r="AE32" s="355" t="s">
        <v>816</v>
      </c>
      <c r="AF32" s="355" t="s">
        <v>816</v>
      </c>
      <c r="AG32" s="355" t="s">
        <v>816</v>
      </c>
      <c r="AH32" s="355" t="s">
        <v>816</v>
      </c>
      <c r="AI32" s="355" t="s">
        <v>816</v>
      </c>
      <c r="AJ32" s="355" t="s">
        <v>816</v>
      </c>
      <c r="AK32" s="355" t="s">
        <v>816</v>
      </c>
      <c r="AL32" s="355" t="s">
        <v>816</v>
      </c>
      <c r="AM32" s="355" t="s">
        <v>816</v>
      </c>
      <c r="AN32" s="355" t="s">
        <v>816</v>
      </c>
    </row>
    <row r="33" spans="2:40" s="7" customFormat="1">
      <c r="B33" s="235"/>
      <c r="E33" s="363"/>
      <c r="F33" s="363"/>
      <c r="G33" s="363"/>
      <c r="H33" s="363"/>
      <c r="I33" s="363"/>
    </row>
    <row r="34" spans="2:40" s="7" customFormat="1" ht="12" customHeight="1">
      <c r="B34" s="237" t="s">
        <v>819</v>
      </c>
      <c r="C34" s="208" t="s">
        <v>208</v>
      </c>
      <c r="D34" s="208"/>
      <c r="E34" s="218">
        <v>45689</v>
      </c>
      <c r="F34" s="218">
        <v>45717</v>
      </c>
      <c r="G34" s="218">
        <v>45748</v>
      </c>
      <c r="H34" s="218">
        <v>45778</v>
      </c>
      <c r="I34" s="218">
        <v>45809</v>
      </c>
      <c r="J34" s="218">
        <v>45839</v>
      </c>
      <c r="K34" s="218">
        <v>45870</v>
      </c>
      <c r="L34" s="218">
        <v>45901</v>
      </c>
      <c r="M34" s="195">
        <v>45931</v>
      </c>
      <c r="N34" s="195">
        <v>45962</v>
      </c>
      <c r="O34" s="195">
        <v>45992</v>
      </c>
      <c r="P34" s="195">
        <v>46023</v>
      </c>
      <c r="Q34" s="195">
        <v>46054</v>
      </c>
      <c r="R34" s="195">
        <v>46082</v>
      </c>
      <c r="S34" s="195">
        <v>46113</v>
      </c>
      <c r="T34" s="195">
        <v>46143</v>
      </c>
      <c r="U34" s="195">
        <v>46174</v>
      </c>
      <c r="V34" s="195">
        <v>46204</v>
      </c>
      <c r="W34" s="195">
        <v>46235</v>
      </c>
      <c r="X34" s="195">
        <v>46266</v>
      </c>
      <c r="Y34" s="195">
        <v>46296</v>
      </c>
      <c r="Z34" s="195">
        <v>46327</v>
      </c>
      <c r="AA34" s="195">
        <v>46357</v>
      </c>
      <c r="AB34" s="195">
        <v>46388</v>
      </c>
      <c r="AC34" s="195">
        <v>46419</v>
      </c>
      <c r="AD34" s="195">
        <v>46447</v>
      </c>
      <c r="AE34" s="195">
        <v>46478</v>
      </c>
      <c r="AF34" s="195">
        <v>46508</v>
      </c>
      <c r="AG34" s="195">
        <v>46539</v>
      </c>
      <c r="AH34" s="195">
        <v>46569</v>
      </c>
      <c r="AI34" s="195">
        <v>46600</v>
      </c>
      <c r="AJ34" s="195">
        <v>46631</v>
      </c>
      <c r="AK34" s="195">
        <v>46661</v>
      </c>
      <c r="AL34" s="195">
        <v>46692</v>
      </c>
      <c r="AM34" s="195">
        <v>46722</v>
      </c>
      <c r="AN34" s="195">
        <v>46753</v>
      </c>
    </row>
    <row r="35" spans="2:40" s="7" customFormat="1" ht="12" customHeight="1">
      <c r="B35" s="237"/>
      <c r="C35" s="208"/>
      <c r="D35" s="208"/>
      <c r="E35" s="219" t="s">
        <v>753</v>
      </c>
      <c r="F35" s="219" t="s">
        <v>754</v>
      </c>
      <c r="G35" s="219" t="s">
        <v>755</v>
      </c>
      <c r="H35" s="219" t="s">
        <v>756</v>
      </c>
      <c r="I35" s="219" t="s">
        <v>757</v>
      </c>
      <c r="J35" s="219" t="s">
        <v>758</v>
      </c>
      <c r="K35" s="219" t="s">
        <v>759</v>
      </c>
      <c r="L35" s="219" t="s">
        <v>760</v>
      </c>
      <c r="M35" s="196" t="s">
        <v>761</v>
      </c>
      <c r="N35" s="196" t="s">
        <v>762</v>
      </c>
      <c r="O35" s="196" t="s">
        <v>763</v>
      </c>
      <c r="P35" s="196" t="s">
        <v>764</v>
      </c>
      <c r="Q35" s="196" t="s">
        <v>765</v>
      </c>
      <c r="R35" s="196" t="s">
        <v>766</v>
      </c>
      <c r="S35" s="196" t="s">
        <v>767</v>
      </c>
      <c r="T35" s="196" t="s">
        <v>768</v>
      </c>
      <c r="U35" s="196" t="s">
        <v>769</v>
      </c>
      <c r="V35" s="196" t="s">
        <v>770</v>
      </c>
      <c r="W35" s="196" t="s">
        <v>771</v>
      </c>
      <c r="X35" s="196" t="s">
        <v>772</v>
      </c>
      <c r="Y35" s="196" t="s">
        <v>773</v>
      </c>
      <c r="Z35" s="196" t="s">
        <v>774</v>
      </c>
      <c r="AA35" s="196" t="s">
        <v>775</v>
      </c>
      <c r="AB35" s="196" t="s">
        <v>776</v>
      </c>
      <c r="AC35" s="196" t="s">
        <v>777</v>
      </c>
      <c r="AD35" s="196" t="s">
        <v>778</v>
      </c>
      <c r="AE35" s="196" t="s">
        <v>779</v>
      </c>
      <c r="AF35" s="196" t="s">
        <v>780</v>
      </c>
      <c r="AG35" s="196" t="s">
        <v>781</v>
      </c>
      <c r="AH35" s="196" t="s">
        <v>782</v>
      </c>
      <c r="AI35" s="196" t="s">
        <v>783</v>
      </c>
      <c r="AJ35" s="196" t="s">
        <v>784</v>
      </c>
      <c r="AK35" s="196" t="s">
        <v>785</v>
      </c>
      <c r="AL35" s="196" t="s">
        <v>786</v>
      </c>
      <c r="AM35" s="196" t="s">
        <v>787</v>
      </c>
      <c r="AN35" s="196" t="s">
        <v>788</v>
      </c>
    </row>
    <row r="36" spans="2:40" ht="12" customHeight="1">
      <c r="B36" s="301" t="s">
        <v>910</v>
      </c>
      <c r="C36" s="302" t="s">
        <v>821</v>
      </c>
      <c r="D36" s="303"/>
      <c r="E36" s="304">
        <v>7317</v>
      </c>
      <c r="F36" s="304">
        <v>6510</v>
      </c>
      <c r="G36" s="304">
        <v>8791</v>
      </c>
      <c r="H36" s="304">
        <v>12641</v>
      </c>
      <c r="I36" s="304">
        <v>5364</v>
      </c>
      <c r="J36" s="304">
        <v>17366</v>
      </c>
      <c r="K36" s="304">
        <v>19105</v>
      </c>
      <c r="L36" s="304">
        <v>8120</v>
      </c>
      <c r="M36" s="305">
        <v>13000</v>
      </c>
      <c r="N36" s="305">
        <v>13000</v>
      </c>
      <c r="O36" s="305">
        <v>7500</v>
      </c>
      <c r="P36" s="305">
        <v>5000</v>
      </c>
      <c r="Q36" s="305">
        <f>Q37*E36</f>
        <v>8048.7000000000007</v>
      </c>
      <c r="R36" s="305">
        <f t="shared" ref="R36:AN36" si="23">R37*F36</f>
        <v>14322.000000000002</v>
      </c>
      <c r="S36" s="305">
        <f t="shared" si="23"/>
        <v>13186.5</v>
      </c>
      <c r="T36" s="305">
        <f t="shared" si="23"/>
        <v>10112.800000000001</v>
      </c>
      <c r="U36" s="305">
        <f t="shared" si="23"/>
        <v>9118.7999999999993</v>
      </c>
      <c r="V36" s="305">
        <f t="shared" si="23"/>
        <v>31258.799999999999</v>
      </c>
      <c r="W36" s="305">
        <f t="shared" si="23"/>
        <v>17194.5</v>
      </c>
      <c r="X36" s="305">
        <f t="shared" si="23"/>
        <v>12992</v>
      </c>
      <c r="Y36" s="305">
        <f t="shared" si="23"/>
        <v>23400</v>
      </c>
      <c r="Z36" s="305">
        <f t="shared" si="23"/>
        <v>19500</v>
      </c>
      <c r="AA36" s="305">
        <f t="shared" si="23"/>
        <v>7500</v>
      </c>
      <c r="AB36" s="305">
        <f t="shared" si="23"/>
        <v>7500</v>
      </c>
      <c r="AC36" s="305">
        <f t="shared" si="23"/>
        <v>16097.400000000001</v>
      </c>
      <c r="AD36" s="305">
        <f t="shared" si="23"/>
        <v>28644.000000000004</v>
      </c>
      <c r="AE36" s="305">
        <f t="shared" si="23"/>
        <v>26373</v>
      </c>
      <c r="AF36" s="305">
        <f t="shared" si="23"/>
        <v>20225.600000000002</v>
      </c>
      <c r="AG36" s="305">
        <f t="shared" si="23"/>
        <v>18237.599999999999</v>
      </c>
      <c r="AH36" s="305">
        <f t="shared" si="23"/>
        <v>62517.599999999999</v>
      </c>
      <c r="AI36" s="305">
        <f t="shared" si="23"/>
        <v>20633.399999999998</v>
      </c>
      <c r="AJ36" s="305">
        <f t="shared" si="23"/>
        <v>25984</v>
      </c>
      <c r="AK36" s="305">
        <f t="shared" si="23"/>
        <v>46800</v>
      </c>
      <c r="AL36" s="305">
        <f t="shared" si="23"/>
        <v>39000</v>
      </c>
      <c r="AM36" s="305">
        <f t="shared" si="23"/>
        <v>15000</v>
      </c>
      <c r="AN36" s="305">
        <f t="shared" si="23"/>
        <v>15000</v>
      </c>
    </row>
    <row r="37" spans="2:40" ht="12" customHeight="1">
      <c r="B37" s="301"/>
      <c r="C37" s="302" t="s">
        <v>887</v>
      </c>
      <c r="D37" s="303"/>
      <c r="E37" s="306"/>
      <c r="F37" s="306"/>
      <c r="G37" s="306"/>
      <c r="H37" s="306"/>
      <c r="I37" s="306"/>
      <c r="J37" s="306"/>
      <c r="K37" s="306"/>
      <c r="L37" s="306"/>
      <c r="M37" s="305"/>
      <c r="N37" s="305"/>
      <c r="O37" s="305"/>
      <c r="P37" s="305"/>
      <c r="Q37" s="360">
        <v>1.1000000000000001</v>
      </c>
      <c r="R37" s="360">
        <v>2.2000000000000002</v>
      </c>
      <c r="S37" s="360">
        <v>1.5</v>
      </c>
      <c r="T37" s="360">
        <v>0.8</v>
      </c>
      <c r="U37" s="360">
        <v>1.7</v>
      </c>
      <c r="V37" s="360">
        <v>1.8</v>
      </c>
      <c r="W37" s="360">
        <v>0.9</v>
      </c>
      <c r="X37" s="360">
        <v>1.6</v>
      </c>
      <c r="Y37" s="360">
        <v>1.8</v>
      </c>
      <c r="Z37" s="360">
        <v>1.5</v>
      </c>
      <c r="AA37" s="360">
        <v>1</v>
      </c>
      <c r="AB37" s="360">
        <v>1.5</v>
      </c>
      <c r="AC37" s="360">
        <v>2</v>
      </c>
      <c r="AD37" s="360">
        <v>2</v>
      </c>
      <c r="AE37" s="360">
        <v>2</v>
      </c>
      <c r="AF37" s="360">
        <v>2</v>
      </c>
      <c r="AG37" s="360">
        <v>2</v>
      </c>
      <c r="AH37" s="360">
        <v>2</v>
      </c>
      <c r="AI37" s="360">
        <v>1.2</v>
      </c>
      <c r="AJ37" s="360">
        <v>2</v>
      </c>
      <c r="AK37" s="360">
        <v>2</v>
      </c>
      <c r="AL37" s="360">
        <v>2</v>
      </c>
      <c r="AM37" s="360">
        <v>2</v>
      </c>
      <c r="AN37" s="360">
        <v>2</v>
      </c>
    </row>
    <row r="38" spans="2:40">
      <c r="C38" s="350" t="s">
        <v>822</v>
      </c>
      <c r="D38" s="303"/>
      <c r="J38" s="306"/>
      <c r="K38" s="306"/>
      <c r="L38" s="306"/>
    </row>
    <row r="39" spans="2:40">
      <c r="C39" s="308" t="s">
        <v>751</v>
      </c>
      <c r="E39" s="309"/>
      <c r="F39" s="309"/>
      <c r="G39" s="309"/>
      <c r="H39" s="309"/>
      <c r="I39" s="309"/>
      <c r="J39" s="306"/>
      <c r="K39" s="306"/>
      <c r="L39" s="306"/>
      <c r="M39" s="310">
        <v>0.05</v>
      </c>
      <c r="N39" s="310">
        <v>0.05</v>
      </c>
      <c r="O39" s="310">
        <v>0.05</v>
      </c>
      <c r="P39" s="310">
        <v>0.05</v>
      </c>
      <c r="Q39" s="310">
        <v>0.2</v>
      </c>
      <c r="R39" s="310">
        <v>0.2</v>
      </c>
      <c r="S39" s="310">
        <v>0.2</v>
      </c>
      <c r="T39" s="310">
        <v>0.7</v>
      </c>
      <c r="U39" s="310">
        <v>0.7</v>
      </c>
      <c r="V39" s="310">
        <v>0.7</v>
      </c>
      <c r="W39" s="310">
        <v>0.7</v>
      </c>
      <c r="X39" s="310">
        <v>0.7</v>
      </c>
      <c r="Y39" s="310">
        <v>0.7</v>
      </c>
      <c r="Z39" s="310">
        <v>0.7</v>
      </c>
      <c r="AA39" s="310">
        <v>0.7</v>
      </c>
      <c r="AB39" s="310">
        <v>0.7</v>
      </c>
      <c r="AC39" s="310">
        <v>0.05</v>
      </c>
      <c r="AD39" s="310">
        <v>0.05</v>
      </c>
      <c r="AE39" s="310">
        <v>0.05</v>
      </c>
      <c r="AF39" s="310">
        <v>0.05</v>
      </c>
      <c r="AG39" s="310">
        <v>0.05</v>
      </c>
      <c r="AH39" s="310">
        <v>0.05</v>
      </c>
      <c r="AI39" s="310">
        <v>0.05</v>
      </c>
      <c r="AJ39" s="310">
        <v>0.05</v>
      </c>
      <c r="AK39" s="310">
        <v>0.05</v>
      </c>
      <c r="AL39" s="310">
        <v>0.05</v>
      </c>
      <c r="AM39" s="310">
        <v>0.05</v>
      </c>
      <c r="AN39" s="310">
        <v>0.05</v>
      </c>
    </row>
    <row r="40" spans="2:40">
      <c r="C40" s="308" t="s">
        <v>823</v>
      </c>
      <c r="E40" s="309"/>
      <c r="F40" s="309"/>
      <c r="G40" s="309"/>
      <c r="H40" s="309"/>
      <c r="I40" s="309"/>
      <c r="J40" s="306"/>
      <c r="K40" s="306"/>
      <c r="L40" s="306"/>
      <c r="M40" s="310">
        <v>0.2</v>
      </c>
      <c r="N40" s="310">
        <v>0.2</v>
      </c>
      <c r="O40" s="310">
        <v>0.2</v>
      </c>
      <c r="P40" s="310">
        <v>0.2</v>
      </c>
      <c r="Q40" s="310">
        <v>0.2</v>
      </c>
      <c r="R40" s="310">
        <v>0.2</v>
      </c>
      <c r="S40" s="310">
        <v>0.2</v>
      </c>
      <c r="T40" s="310">
        <v>0.1</v>
      </c>
      <c r="U40" s="310">
        <v>0.1</v>
      </c>
      <c r="V40" s="310">
        <v>0.1</v>
      </c>
      <c r="W40" s="310">
        <v>0.1</v>
      </c>
      <c r="X40" s="310">
        <v>0.1</v>
      </c>
      <c r="Y40" s="310">
        <v>0.1</v>
      </c>
      <c r="Z40" s="310">
        <v>0.1</v>
      </c>
      <c r="AA40" s="310">
        <v>0.1</v>
      </c>
      <c r="AB40" s="310">
        <v>0.1</v>
      </c>
      <c r="AC40" s="310">
        <v>0.2</v>
      </c>
      <c r="AD40" s="310">
        <v>0.2</v>
      </c>
      <c r="AE40" s="310">
        <v>0.2</v>
      </c>
      <c r="AF40" s="310">
        <v>0.2</v>
      </c>
      <c r="AG40" s="310">
        <v>0.2</v>
      </c>
      <c r="AH40" s="310">
        <v>0.2</v>
      </c>
      <c r="AI40" s="310">
        <v>0.2</v>
      </c>
      <c r="AJ40" s="310">
        <v>0.2</v>
      </c>
      <c r="AK40" s="310">
        <v>0.2</v>
      </c>
      <c r="AL40" s="310">
        <v>0.2</v>
      </c>
      <c r="AM40" s="310">
        <v>0.2</v>
      </c>
      <c r="AN40" s="310">
        <v>0.2</v>
      </c>
    </row>
    <row r="41" spans="2:40">
      <c r="C41" s="308" t="s">
        <v>824</v>
      </c>
      <c r="E41" s="309"/>
      <c r="F41" s="309"/>
      <c r="G41" s="309"/>
      <c r="H41" s="309"/>
      <c r="I41" s="309"/>
      <c r="J41" s="306"/>
      <c r="K41" s="306"/>
      <c r="L41" s="306"/>
      <c r="M41" s="310">
        <v>0.75</v>
      </c>
      <c r="N41" s="310">
        <v>0.75</v>
      </c>
      <c r="O41" s="310">
        <v>0.75</v>
      </c>
      <c r="P41" s="310">
        <v>0.75</v>
      </c>
      <c r="Q41" s="310">
        <v>0.6</v>
      </c>
      <c r="R41" s="310">
        <v>0.6</v>
      </c>
      <c r="S41" s="310">
        <v>0.6</v>
      </c>
      <c r="T41" s="310">
        <v>0.2</v>
      </c>
      <c r="U41" s="310">
        <v>0.2</v>
      </c>
      <c r="V41" s="310">
        <v>0.2</v>
      </c>
      <c r="W41" s="310">
        <v>0.2</v>
      </c>
      <c r="X41" s="310">
        <v>0.2</v>
      </c>
      <c r="Y41" s="310">
        <v>0.2</v>
      </c>
      <c r="Z41" s="310">
        <v>0.2</v>
      </c>
      <c r="AA41" s="310">
        <v>0.2</v>
      </c>
      <c r="AB41" s="310">
        <v>0.2</v>
      </c>
      <c r="AC41" s="310">
        <v>0.75</v>
      </c>
      <c r="AD41" s="310">
        <v>0.75</v>
      </c>
      <c r="AE41" s="310">
        <v>0.75</v>
      </c>
      <c r="AF41" s="310">
        <v>0.75</v>
      </c>
      <c r="AG41" s="310">
        <v>0.75</v>
      </c>
      <c r="AH41" s="310">
        <v>0.75</v>
      </c>
      <c r="AI41" s="310">
        <v>0.75</v>
      </c>
      <c r="AJ41" s="310">
        <v>0.75</v>
      </c>
      <c r="AK41" s="310">
        <v>0.75</v>
      </c>
      <c r="AL41" s="310">
        <v>0.75</v>
      </c>
      <c r="AM41" s="310">
        <v>0.75</v>
      </c>
      <c r="AN41" s="310">
        <v>0.75</v>
      </c>
    </row>
    <row r="42" spans="2:40" s="7" customFormat="1">
      <c r="B42" s="235"/>
      <c r="J42" s="205"/>
      <c r="K42" s="205"/>
      <c r="L42" s="205"/>
      <c r="M42" s="206"/>
      <c r="N42" s="206"/>
      <c r="O42" s="206"/>
      <c r="P42" s="206"/>
      <c r="Q42" s="206"/>
      <c r="R42" s="206"/>
      <c r="S42" s="206"/>
      <c r="T42" s="206"/>
      <c r="U42" s="206"/>
      <c r="V42" s="206"/>
      <c r="W42" s="206"/>
      <c r="X42" s="206"/>
      <c r="Y42" s="206"/>
      <c r="Z42" s="206"/>
      <c r="AA42" s="206"/>
      <c r="AB42" s="206"/>
      <c r="AC42" s="206"/>
      <c r="AD42" s="206"/>
      <c r="AE42" s="206"/>
      <c r="AF42" s="206"/>
      <c r="AG42" s="206"/>
      <c r="AH42" s="206"/>
      <c r="AI42" s="206"/>
      <c r="AJ42" s="206"/>
      <c r="AK42" s="206"/>
      <c r="AL42" s="206"/>
      <c r="AM42" s="206"/>
      <c r="AN42" s="206"/>
    </row>
    <row r="43" spans="2:40" s="207" customFormat="1">
      <c r="C43" s="242" t="s">
        <v>825</v>
      </c>
    </row>
    <row r="44" spans="2:40" s="7" customFormat="1" ht="12" customHeight="1" outlineLevel="1">
      <c r="B44" s="235"/>
      <c r="C44" s="208"/>
      <c r="D44" s="208"/>
      <c r="E44" s="196" t="s">
        <v>753</v>
      </c>
      <c r="F44" s="196" t="s">
        <v>754</v>
      </c>
      <c r="G44" s="196" t="s">
        <v>755</v>
      </c>
      <c r="H44" s="196" t="s">
        <v>756</v>
      </c>
      <c r="I44" s="196" t="s">
        <v>757</v>
      </c>
      <c r="J44" s="196" t="s">
        <v>758</v>
      </c>
      <c r="K44" s="196" t="s">
        <v>759</v>
      </c>
      <c r="L44" s="196" t="s">
        <v>760</v>
      </c>
      <c r="M44" s="196" t="s">
        <v>761</v>
      </c>
      <c r="N44" s="196" t="s">
        <v>762</v>
      </c>
      <c r="O44" s="196" t="s">
        <v>763</v>
      </c>
      <c r="P44" s="196" t="s">
        <v>764</v>
      </c>
      <c r="Q44" s="196" t="s">
        <v>765</v>
      </c>
      <c r="R44" s="196" t="s">
        <v>766</v>
      </c>
      <c r="S44" s="196" t="s">
        <v>767</v>
      </c>
      <c r="T44" s="196" t="s">
        <v>768</v>
      </c>
      <c r="U44" s="196" t="s">
        <v>769</v>
      </c>
      <c r="V44" s="196" t="s">
        <v>770</v>
      </c>
      <c r="W44" s="196" t="s">
        <v>771</v>
      </c>
      <c r="X44" s="196" t="s">
        <v>772</v>
      </c>
      <c r="Y44" s="196" t="s">
        <v>773</v>
      </c>
      <c r="Z44" s="196" t="s">
        <v>774</v>
      </c>
      <c r="AA44" s="196" t="s">
        <v>775</v>
      </c>
      <c r="AB44" s="196" t="s">
        <v>776</v>
      </c>
      <c r="AC44" s="196" t="s">
        <v>777</v>
      </c>
      <c r="AD44" s="196" t="s">
        <v>778</v>
      </c>
      <c r="AE44" s="196" t="s">
        <v>779</v>
      </c>
      <c r="AF44" s="196" t="s">
        <v>780</v>
      </c>
      <c r="AG44" s="196" t="s">
        <v>781</v>
      </c>
      <c r="AH44" s="196" t="s">
        <v>782</v>
      </c>
      <c r="AI44" s="196" t="s">
        <v>783</v>
      </c>
      <c r="AJ44" s="196" t="s">
        <v>784</v>
      </c>
      <c r="AK44" s="196" t="s">
        <v>785</v>
      </c>
      <c r="AL44" s="196" t="s">
        <v>786</v>
      </c>
      <c r="AM44" s="196" t="s">
        <v>787</v>
      </c>
      <c r="AN44" s="196" t="s">
        <v>788</v>
      </c>
    </row>
    <row r="45" spans="2:40" s="7" customFormat="1" ht="12" customHeight="1" outlineLevel="1">
      <c r="B45" s="239"/>
      <c r="C45" s="214" t="s">
        <v>821</v>
      </c>
      <c r="D45" s="212"/>
      <c r="E45" s="337"/>
      <c r="F45" s="337"/>
      <c r="G45" s="337"/>
      <c r="H45" s="337"/>
      <c r="I45" s="337"/>
      <c r="J45" s="337"/>
      <c r="K45" s="337"/>
      <c r="L45" s="337"/>
      <c r="M45" s="337">
        <f t="shared" ref="M45:AN45" si="24">M36*M39</f>
        <v>650</v>
      </c>
      <c r="N45" s="337">
        <f t="shared" si="24"/>
        <v>650</v>
      </c>
      <c r="O45" s="337">
        <f t="shared" si="24"/>
        <v>375</v>
      </c>
      <c r="P45" s="337">
        <f t="shared" si="24"/>
        <v>250</v>
      </c>
      <c r="Q45" s="337">
        <f t="shared" si="24"/>
        <v>1609.7400000000002</v>
      </c>
      <c r="R45" s="337">
        <f t="shared" si="24"/>
        <v>2864.4000000000005</v>
      </c>
      <c r="S45" s="337">
        <f t="shared" si="24"/>
        <v>2637.3</v>
      </c>
      <c r="T45" s="337">
        <f t="shared" si="24"/>
        <v>7078.96</v>
      </c>
      <c r="U45" s="337">
        <f t="shared" si="24"/>
        <v>6383.1599999999989</v>
      </c>
      <c r="V45" s="337">
        <f t="shared" si="24"/>
        <v>21881.16</v>
      </c>
      <c r="W45" s="337">
        <f t="shared" si="24"/>
        <v>12036.15</v>
      </c>
      <c r="X45" s="337">
        <f t="shared" si="24"/>
        <v>9094.4</v>
      </c>
      <c r="Y45" s="337">
        <f t="shared" si="24"/>
        <v>16379.999999999998</v>
      </c>
      <c r="Z45" s="337">
        <f t="shared" si="24"/>
        <v>13650</v>
      </c>
      <c r="AA45" s="337">
        <f t="shared" si="24"/>
        <v>5250</v>
      </c>
      <c r="AB45" s="337">
        <f t="shared" si="24"/>
        <v>5250</v>
      </c>
      <c r="AC45" s="337">
        <f t="shared" si="24"/>
        <v>804.87000000000012</v>
      </c>
      <c r="AD45" s="337">
        <f t="shared" si="24"/>
        <v>1432.2000000000003</v>
      </c>
      <c r="AE45" s="337">
        <f t="shared" si="24"/>
        <v>1318.65</v>
      </c>
      <c r="AF45" s="337">
        <f t="shared" si="24"/>
        <v>1011.2800000000002</v>
      </c>
      <c r="AG45" s="337">
        <f t="shared" si="24"/>
        <v>911.88</v>
      </c>
      <c r="AH45" s="337">
        <f t="shared" si="24"/>
        <v>3125.88</v>
      </c>
      <c r="AI45" s="337">
        <f t="shared" si="24"/>
        <v>1031.6699999999998</v>
      </c>
      <c r="AJ45" s="337">
        <f t="shared" si="24"/>
        <v>1299.2</v>
      </c>
      <c r="AK45" s="337">
        <f t="shared" si="24"/>
        <v>2340</v>
      </c>
      <c r="AL45" s="337">
        <f t="shared" si="24"/>
        <v>1950</v>
      </c>
      <c r="AM45" s="337">
        <f t="shared" si="24"/>
        <v>750</v>
      </c>
      <c r="AN45" s="337">
        <f t="shared" si="24"/>
        <v>750</v>
      </c>
    </row>
    <row r="46" spans="2:40" ht="12" customHeight="1" outlineLevel="1">
      <c r="B46" s="301" t="s">
        <v>856</v>
      </c>
      <c r="C46" s="303" t="s">
        <v>827</v>
      </c>
      <c r="D46" s="302"/>
      <c r="E46" s="312"/>
      <c r="F46" s="312"/>
      <c r="G46" s="312"/>
      <c r="H46" s="312"/>
      <c r="I46" s="312"/>
      <c r="J46" s="312"/>
      <c r="K46" s="312"/>
      <c r="L46" s="312"/>
      <c r="M46" s="313">
        <v>84.6</v>
      </c>
      <c r="N46" s="313">
        <v>84.6</v>
      </c>
      <c r="O46" s="313">
        <v>84.6</v>
      </c>
      <c r="P46" s="313">
        <v>84.6</v>
      </c>
      <c r="Q46" s="313">
        <v>84.6</v>
      </c>
      <c r="R46" s="313">
        <v>84.6</v>
      </c>
      <c r="S46" s="313">
        <v>84.6</v>
      </c>
      <c r="T46" s="313">
        <v>84.6</v>
      </c>
      <c r="U46" s="313">
        <v>84.6</v>
      </c>
      <c r="V46" s="313">
        <v>84.6</v>
      </c>
      <c r="W46" s="313">
        <v>84.6</v>
      </c>
      <c r="X46" s="313">
        <v>84.6</v>
      </c>
      <c r="Y46" s="313">
        <v>84.6</v>
      </c>
      <c r="Z46" s="313">
        <v>84.6</v>
      </c>
      <c r="AA46" s="313">
        <v>84.6</v>
      </c>
      <c r="AB46" s="313">
        <v>84.6</v>
      </c>
      <c r="AC46" s="313">
        <v>84.6</v>
      </c>
      <c r="AD46" s="313">
        <v>84.6</v>
      </c>
      <c r="AE46" s="313">
        <v>84.6</v>
      </c>
      <c r="AF46" s="313">
        <v>84.6</v>
      </c>
      <c r="AG46" s="313">
        <v>84.6</v>
      </c>
      <c r="AH46" s="313">
        <v>84.6</v>
      </c>
      <c r="AI46" s="313">
        <v>84.6</v>
      </c>
      <c r="AJ46" s="313">
        <v>84.6</v>
      </c>
      <c r="AK46" s="313">
        <v>84.6</v>
      </c>
      <c r="AL46" s="313">
        <v>84.6</v>
      </c>
      <c r="AM46" s="313">
        <v>84.6</v>
      </c>
      <c r="AN46" s="313">
        <v>84.6</v>
      </c>
    </row>
    <row r="47" spans="2:40" s="7" customFormat="1" ht="12" customHeight="1" outlineLevel="1">
      <c r="B47" s="239" t="s">
        <v>828</v>
      </c>
      <c r="C47" s="214" t="s">
        <v>829</v>
      </c>
      <c r="D47" s="212"/>
      <c r="E47" s="232"/>
      <c r="F47" s="232"/>
      <c r="G47" s="232"/>
      <c r="H47" s="232"/>
      <c r="I47" s="232"/>
      <c r="J47" s="232"/>
      <c r="K47" s="232"/>
      <c r="L47" s="232"/>
      <c r="M47" s="205">
        <f t="shared" ref="M47:AN47" si="25">M45/M46</f>
        <v>7.6832151300236413</v>
      </c>
      <c r="N47" s="205">
        <f t="shared" si="25"/>
        <v>7.6832151300236413</v>
      </c>
      <c r="O47" s="205">
        <f t="shared" si="25"/>
        <v>4.4326241134751774</v>
      </c>
      <c r="P47" s="205">
        <f t="shared" si="25"/>
        <v>2.9550827423167849</v>
      </c>
      <c r="Q47" s="205">
        <f t="shared" si="25"/>
        <v>19.027659574468089</v>
      </c>
      <c r="R47" s="205">
        <f t="shared" si="25"/>
        <v>33.858156028368803</v>
      </c>
      <c r="S47" s="205">
        <f t="shared" si="25"/>
        <v>31.173758865248232</v>
      </c>
      <c r="T47" s="205">
        <f t="shared" si="25"/>
        <v>83.675650118203322</v>
      </c>
      <c r="U47" s="205">
        <f t="shared" si="25"/>
        <v>75.45106382978723</v>
      </c>
      <c r="V47" s="205">
        <f t="shared" si="25"/>
        <v>258.64255319148936</v>
      </c>
      <c r="W47" s="205">
        <f t="shared" si="25"/>
        <v>142.27127659574469</v>
      </c>
      <c r="X47" s="205">
        <f t="shared" si="25"/>
        <v>107.49881796690308</v>
      </c>
      <c r="Y47" s="205">
        <f t="shared" si="25"/>
        <v>193.61702127659575</v>
      </c>
      <c r="Z47" s="205">
        <f t="shared" si="25"/>
        <v>161.34751773049646</v>
      </c>
      <c r="AA47" s="205">
        <f t="shared" si="25"/>
        <v>62.056737588652489</v>
      </c>
      <c r="AB47" s="205">
        <f t="shared" si="25"/>
        <v>62.056737588652489</v>
      </c>
      <c r="AC47" s="205">
        <f t="shared" si="25"/>
        <v>9.5138297872340445</v>
      </c>
      <c r="AD47" s="205">
        <f t="shared" si="25"/>
        <v>16.929078014184402</v>
      </c>
      <c r="AE47" s="205">
        <f t="shared" si="25"/>
        <v>15.586879432624116</v>
      </c>
      <c r="AF47" s="205">
        <f t="shared" si="25"/>
        <v>11.953664302600476</v>
      </c>
      <c r="AG47" s="205">
        <f t="shared" si="25"/>
        <v>10.77872340425532</v>
      </c>
      <c r="AH47" s="205">
        <f t="shared" si="25"/>
        <v>36.948936170212768</v>
      </c>
      <c r="AI47" s="205">
        <f t="shared" si="25"/>
        <v>12.194680851063829</v>
      </c>
      <c r="AJ47" s="205">
        <f t="shared" si="25"/>
        <v>15.356973995271868</v>
      </c>
      <c r="AK47" s="205">
        <f t="shared" si="25"/>
        <v>27.659574468085108</v>
      </c>
      <c r="AL47" s="205">
        <f t="shared" si="25"/>
        <v>23.049645390070925</v>
      </c>
      <c r="AM47" s="205">
        <f t="shared" si="25"/>
        <v>8.8652482269503547</v>
      </c>
      <c r="AN47" s="205">
        <f t="shared" si="25"/>
        <v>8.8652482269503547</v>
      </c>
    </row>
    <row r="48" spans="2:40" ht="12" customHeight="1" outlineLevel="1">
      <c r="B48" s="301"/>
      <c r="C48" s="303" t="s">
        <v>830</v>
      </c>
      <c r="D48" s="302"/>
      <c r="E48" s="314">
        <v>0</v>
      </c>
      <c r="F48" s="314">
        <v>0</v>
      </c>
      <c r="G48" s="314">
        <v>0</v>
      </c>
      <c r="H48" s="314">
        <v>0</v>
      </c>
      <c r="I48" s="314">
        <v>0</v>
      </c>
      <c r="J48" s="314">
        <v>0</v>
      </c>
      <c r="K48" s="314">
        <v>0</v>
      </c>
      <c r="L48" s="314">
        <v>0</v>
      </c>
      <c r="M48" s="315">
        <v>0</v>
      </c>
      <c r="N48" s="315">
        <v>0</v>
      </c>
      <c r="O48" s="315">
        <v>0</v>
      </c>
      <c r="P48" s="315">
        <v>0</v>
      </c>
      <c r="Q48" s="315">
        <v>0</v>
      </c>
      <c r="R48" s="315">
        <f>Q48</f>
        <v>0</v>
      </c>
      <c r="S48" s="315">
        <f t="shared" ref="S48:AN48" si="26">R48</f>
        <v>0</v>
      </c>
      <c r="T48" s="315">
        <f t="shared" si="26"/>
        <v>0</v>
      </c>
      <c r="U48" s="315">
        <v>0.1</v>
      </c>
      <c r="V48" s="315">
        <f t="shared" si="26"/>
        <v>0.1</v>
      </c>
      <c r="W48" s="315">
        <v>0.2</v>
      </c>
      <c r="X48" s="315">
        <f t="shared" si="26"/>
        <v>0.2</v>
      </c>
      <c r="Y48" s="315">
        <v>0</v>
      </c>
      <c r="Z48" s="315">
        <f t="shared" si="26"/>
        <v>0</v>
      </c>
      <c r="AA48" s="315">
        <f t="shared" si="26"/>
        <v>0</v>
      </c>
      <c r="AB48" s="315">
        <f t="shared" si="26"/>
        <v>0</v>
      </c>
      <c r="AC48" s="315">
        <f t="shared" si="26"/>
        <v>0</v>
      </c>
      <c r="AD48" s="315">
        <f t="shared" si="26"/>
        <v>0</v>
      </c>
      <c r="AE48" s="315">
        <f t="shared" si="26"/>
        <v>0</v>
      </c>
      <c r="AF48" s="315">
        <f t="shared" si="26"/>
        <v>0</v>
      </c>
      <c r="AG48" s="315">
        <f t="shared" si="26"/>
        <v>0</v>
      </c>
      <c r="AH48" s="315">
        <f t="shared" si="26"/>
        <v>0</v>
      </c>
      <c r="AI48" s="315">
        <f t="shared" si="26"/>
        <v>0</v>
      </c>
      <c r="AJ48" s="315">
        <f t="shared" si="26"/>
        <v>0</v>
      </c>
      <c r="AK48" s="315">
        <f t="shared" si="26"/>
        <v>0</v>
      </c>
      <c r="AL48" s="315">
        <f t="shared" si="26"/>
        <v>0</v>
      </c>
      <c r="AM48" s="315">
        <f t="shared" si="26"/>
        <v>0</v>
      </c>
      <c r="AN48" s="315">
        <f t="shared" si="26"/>
        <v>0</v>
      </c>
    </row>
    <row r="49" spans="2:40" s="7" customFormat="1" ht="12" customHeight="1" outlineLevel="1">
      <c r="B49" s="239"/>
      <c r="C49" s="214" t="s">
        <v>831</v>
      </c>
      <c r="D49" s="212"/>
      <c r="E49" s="232">
        <f t="shared" ref="E49:I49" si="27">E47*E48</f>
        <v>0</v>
      </c>
      <c r="F49" s="232">
        <f t="shared" si="27"/>
        <v>0</v>
      </c>
      <c r="G49" s="232">
        <f t="shared" si="27"/>
        <v>0</v>
      </c>
      <c r="H49" s="232">
        <f t="shared" si="27"/>
        <v>0</v>
      </c>
      <c r="I49" s="232">
        <f t="shared" si="27"/>
        <v>0</v>
      </c>
      <c r="J49" s="232">
        <f t="shared" ref="J49:AN49" si="28">J47*J48</f>
        <v>0</v>
      </c>
      <c r="K49" s="232">
        <f t="shared" si="28"/>
        <v>0</v>
      </c>
      <c r="L49" s="232">
        <f t="shared" si="28"/>
        <v>0</v>
      </c>
      <c r="M49" s="205">
        <f t="shared" si="28"/>
        <v>0</v>
      </c>
      <c r="N49" s="205">
        <f t="shared" si="28"/>
        <v>0</v>
      </c>
      <c r="O49" s="205">
        <f t="shared" si="28"/>
        <v>0</v>
      </c>
      <c r="P49" s="205">
        <f t="shared" si="28"/>
        <v>0</v>
      </c>
      <c r="Q49" s="205">
        <f t="shared" si="28"/>
        <v>0</v>
      </c>
      <c r="R49" s="205">
        <f t="shared" si="28"/>
        <v>0</v>
      </c>
      <c r="S49" s="205">
        <f t="shared" si="28"/>
        <v>0</v>
      </c>
      <c r="T49" s="205">
        <f t="shared" si="28"/>
        <v>0</v>
      </c>
      <c r="U49" s="205">
        <f t="shared" si="28"/>
        <v>7.545106382978723</v>
      </c>
      <c r="V49" s="205">
        <f t="shared" si="28"/>
        <v>25.864255319148938</v>
      </c>
      <c r="W49" s="205">
        <f t="shared" si="28"/>
        <v>28.454255319148942</v>
      </c>
      <c r="X49" s="205">
        <f t="shared" si="28"/>
        <v>21.499763593380617</v>
      </c>
      <c r="Y49" s="205">
        <f t="shared" si="28"/>
        <v>0</v>
      </c>
      <c r="Z49" s="205">
        <f t="shared" si="28"/>
        <v>0</v>
      </c>
      <c r="AA49" s="205">
        <f t="shared" si="28"/>
        <v>0</v>
      </c>
      <c r="AB49" s="205">
        <f t="shared" si="28"/>
        <v>0</v>
      </c>
      <c r="AC49" s="205">
        <f t="shared" si="28"/>
        <v>0</v>
      </c>
      <c r="AD49" s="205">
        <f t="shared" si="28"/>
        <v>0</v>
      </c>
      <c r="AE49" s="205">
        <f t="shared" si="28"/>
        <v>0</v>
      </c>
      <c r="AF49" s="205">
        <f t="shared" si="28"/>
        <v>0</v>
      </c>
      <c r="AG49" s="205">
        <f t="shared" si="28"/>
        <v>0</v>
      </c>
      <c r="AH49" s="205">
        <f t="shared" si="28"/>
        <v>0</v>
      </c>
      <c r="AI49" s="205">
        <f t="shared" si="28"/>
        <v>0</v>
      </c>
      <c r="AJ49" s="205">
        <f t="shared" si="28"/>
        <v>0</v>
      </c>
      <c r="AK49" s="205">
        <f t="shared" si="28"/>
        <v>0</v>
      </c>
      <c r="AL49" s="205">
        <f t="shared" si="28"/>
        <v>0</v>
      </c>
      <c r="AM49" s="205">
        <f t="shared" si="28"/>
        <v>0</v>
      </c>
      <c r="AN49" s="205">
        <f t="shared" si="28"/>
        <v>0</v>
      </c>
    </row>
    <row r="50" spans="2:40" s="7" customFormat="1" ht="12" customHeight="1" outlineLevel="1">
      <c r="B50" s="239" t="s">
        <v>911</v>
      </c>
      <c r="C50" s="214" t="s">
        <v>833</v>
      </c>
      <c r="D50" s="212"/>
      <c r="E50" s="232">
        <v>17</v>
      </c>
      <c r="F50" s="232">
        <v>16</v>
      </c>
      <c r="G50" s="232">
        <v>7</v>
      </c>
      <c r="H50" s="232">
        <v>7</v>
      </c>
      <c r="I50" s="232">
        <v>3</v>
      </c>
      <c r="J50" s="232">
        <v>11</v>
      </c>
      <c r="K50" s="232">
        <f>5+1</f>
        <v>6</v>
      </c>
      <c r="L50" s="232">
        <f>5+7</f>
        <v>12</v>
      </c>
      <c r="M50" s="205">
        <f t="shared" ref="M50:AN50" si="29">M47+M49</f>
        <v>7.6832151300236413</v>
      </c>
      <c r="N50" s="205">
        <f t="shared" si="29"/>
        <v>7.6832151300236413</v>
      </c>
      <c r="O50" s="205">
        <f t="shared" si="29"/>
        <v>4.4326241134751774</v>
      </c>
      <c r="P50" s="205">
        <f t="shared" si="29"/>
        <v>2.9550827423167849</v>
      </c>
      <c r="Q50" s="205">
        <f t="shared" si="29"/>
        <v>19.027659574468089</v>
      </c>
      <c r="R50" s="205">
        <f t="shared" si="29"/>
        <v>33.858156028368803</v>
      </c>
      <c r="S50" s="205">
        <f>S47+S49</f>
        <v>31.173758865248232</v>
      </c>
      <c r="T50" s="205">
        <f t="shared" si="29"/>
        <v>83.675650118203322</v>
      </c>
      <c r="U50" s="205">
        <f t="shared" si="29"/>
        <v>82.996170212765946</v>
      </c>
      <c r="V50" s="205">
        <f t="shared" si="29"/>
        <v>284.50680851063828</v>
      </c>
      <c r="W50" s="205">
        <f t="shared" si="29"/>
        <v>170.72553191489362</v>
      </c>
      <c r="X50" s="205">
        <f t="shared" si="29"/>
        <v>128.9985815602837</v>
      </c>
      <c r="Y50" s="205">
        <f t="shared" si="29"/>
        <v>193.61702127659575</v>
      </c>
      <c r="Z50" s="205">
        <f t="shared" si="29"/>
        <v>161.34751773049646</v>
      </c>
      <c r="AA50" s="205">
        <f t="shared" si="29"/>
        <v>62.056737588652489</v>
      </c>
      <c r="AB50" s="205">
        <f t="shared" si="29"/>
        <v>62.056737588652489</v>
      </c>
      <c r="AC50" s="205">
        <f t="shared" si="29"/>
        <v>9.5138297872340445</v>
      </c>
      <c r="AD50" s="205">
        <f t="shared" si="29"/>
        <v>16.929078014184402</v>
      </c>
      <c r="AE50" s="205">
        <f t="shared" si="29"/>
        <v>15.586879432624116</v>
      </c>
      <c r="AF50" s="205">
        <f t="shared" si="29"/>
        <v>11.953664302600476</v>
      </c>
      <c r="AG50" s="205">
        <f t="shared" si="29"/>
        <v>10.77872340425532</v>
      </c>
      <c r="AH50" s="205">
        <f t="shared" si="29"/>
        <v>36.948936170212768</v>
      </c>
      <c r="AI50" s="205">
        <f t="shared" si="29"/>
        <v>12.194680851063829</v>
      </c>
      <c r="AJ50" s="205">
        <f t="shared" si="29"/>
        <v>15.356973995271868</v>
      </c>
      <c r="AK50" s="205">
        <f t="shared" si="29"/>
        <v>27.659574468085108</v>
      </c>
      <c r="AL50" s="205">
        <f t="shared" si="29"/>
        <v>23.049645390070925</v>
      </c>
      <c r="AM50" s="205">
        <f t="shared" si="29"/>
        <v>8.8652482269503547</v>
      </c>
      <c r="AN50" s="205">
        <f t="shared" si="29"/>
        <v>8.8652482269503547</v>
      </c>
    </row>
    <row r="51" spans="2:40" s="7" customFormat="1" ht="12" customHeight="1" outlineLevel="1">
      <c r="B51" s="239"/>
      <c r="C51" s="214" t="s">
        <v>834</v>
      </c>
      <c r="D51" s="212"/>
      <c r="E51" s="232">
        <v>7</v>
      </c>
      <c r="F51" s="232">
        <v>3</v>
      </c>
      <c r="G51" s="232">
        <v>4</v>
      </c>
      <c r="H51" s="232">
        <v>4</v>
      </c>
      <c r="I51" s="232">
        <v>3</v>
      </c>
      <c r="J51" s="232">
        <v>7</v>
      </c>
      <c r="K51" s="232">
        <v>1</v>
      </c>
      <c r="L51" s="232">
        <v>7</v>
      </c>
      <c r="M51" s="205">
        <f t="shared" ref="M51:AN51" si="30">M59+M60</f>
        <v>6.9148936170212778</v>
      </c>
      <c r="N51" s="205">
        <f t="shared" si="30"/>
        <v>6.9148936170212778</v>
      </c>
      <c r="O51" s="205">
        <f t="shared" si="30"/>
        <v>3.9893617021276597</v>
      </c>
      <c r="P51" s="205">
        <f t="shared" si="30"/>
        <v>2.6595744680851068</v>
      </c>
      <c r="Q51" s="205">
        <f t="shared" si="30"/>
        <v>9.5138297872340445</v>
      </c>
      <c r="R51" s="205">
        <f t="shared" si="30"/>
        <v>16.929078014184402</v>
      </c>
      <c r="S51" s="205">
        <f t="shared" si="30"/>
        <v>15.586879432624116</v>
      </c>
      <c r="T51" s="205">
        <f t="shared" si="30"/>
        <v>66.940520094562658</v>
      </c>
      <c r="U51" s="205">
        <f t="shared" si="30"/>
        <v>66.396936170212754</v>
      </c>
      <c r="V51" s="205">
        <f t="shared" si="30"/>
        <v>227.60544680851064</v>
      </c>
      <c r="W51" s="205">
        <f t="shared" si="30"/>
        <v>136.5804255319149</v>
      </c>
      <c r="X51" s="205">
        <f t="shared" si="30"/>
        <v>103.19886524822697</v>
      </c>
      <c r="Y51" s="205">
        <f t="shared" si="30"/>
        <v>154.89361702127661</v>
      </c>
      <c r="Z51" s="205">
        <f t="shared" si="30"/>
        <v>129.07801418439718</v>
      </c>
      <c r="AA51" s="205">
        <f t="shared" si="30"/>
        <v>49.645390070921991</v>
      </c>
      <c r="AB51" s="205">
        <f t="shared" si="30"/>
        <v>49.645390070921991</v>
      </c>
      <c r="AC51" s="205">
        <f t="shared" si="30"/>
        <v>8.5624468085106411</v>
      </c>
      <c r="AD51" s="205">
        <f t="shared" si="30"/>
        <v>15.236170212765963</v>
      </c>
      <c r="AE51" s="205">
        <f t="shared" si="30"/>
        <v>14.028191489361705</v>
      </c>
      <c r="AF51" s="205">
        <f t="shared" si="30"/>
        <v>10.75829787234043</v>
      </c>
      <c r="AG51" s="205">
        <f t="shared" si="30"/>
        <v>9.7008510638297896</v>
      </c>
      <c r="AH51" s="205">
        <f t="shared" si="30"/>
        <v>33.254042553191496</v>
      </c>
      <c r="AI51" s="205">
        <f t="shared" si="30"/>
        <v>10.975212765957448</v>
      </c>
      <c r="AJ51" s="205">
        <f t="shared" si="30"/>
        <v>13.821276595744683</v>
      </c>
      <c r="AK51" s="205">
        <f t="shared" si="30"/>
        <v>24.893617021276597</v>
      </c>
      <c r="AL51" s="205">
        <f t="shared" si="30"/>
        <v>20.744680851063833</v>
      </c>
      <c r="AM51" s="205">
        <f t="shared" si="30"/>
        <v>7.9787234042553195</v>
      </c>
      <c r="AN51" s="205">
        <f t="shared" si="30"/>
        <v>7.9787234042553195</v>
      </c>
    </row>
    <row r="52" spans="2:40" s="7" customFormat="1" ht="12" customHeight="1" outlineLevel="1">
      <c r="B52" s="239"/>
      <c r="C52" s="214" t="s">
        <v>835</v>
      </c>
      <c r="D52" s="212"/>
      <c r="E52" s="232">
        <f>E45/E50</f>
        <v>0</v>
      </c>
      <c r="F52" s="232">
        <f t="shared" ref="F52:I52" si="31">F45/F50</f>
        <v>0</v>
      </c>
      <c r="G52" s="232">
        <f t="shared" si="31"/>
        <v>0</v>
      </c>
      <c r="H52" s="232">
        <f t="shared" si="31"/>
        <v>0</v>
      </c>
      <c r="I52" s="232">
        <f t="shared" si="31"/>
        <v>0</v>
      </c>
      <c r="J52" s="232">
        <f>J45/J50</f>
        <v>0</v>
      </c>
      <c r="K52" s="232">
        <f t="shared" ref="K52:AN52" si="32">K45/K50</f>
        <v>0</v>
      </c>
      <c r="L52" s="232">
        <f t="shared" si="32"/>
        <v>0</v>
      </c>
      <c r="M52" s="205">
        <f t="shared" si="32"/>
        <v>84.6</v>
      </c>
      <c r="N52" s="205">
        <f t="shared" si="32"/>
        <v>84.6</v>
      </c>
      <c r="O52" s="205">
        <f t="shared" si="32"/>
        <v>84.6</v>
      </c>
      <c r="P52" s="205">
        <f t="shared" si="32"/>
        <v>84.6</v>
      </c>
      <c r="Q52" s="205">
        <f t="shared" si="32"/>
        <v>84.6</v>
      </c>
      <c r="R52" s="205">
        <f t="shared" si="32"/>
        <v>84.6</v>
      </c>
      <c r="S52" s="205">
        <f t="shared" si="32"/>
        <v>84.6</v>
      </c>
      <c r="T52" s="205">
        <f t="shared" si="32"/>
        <v>84.6</v>
      </c>
      <c r="U52" s="205">
        <f t="shared" si="32"/>
        <v>76.909090909090907</v>
      </c>
      <c r="V52" s="205">
        <f t="shared" si="32"/>
        <v>76.909090909090907</v>
      </c>
      <c r="W52" s="205">
        <f t="shared" si="32"/>
        <v>70.5</v>
      </c>
      <c r="X52" s="205">
        <f t="shared" si="32"/>
        <v>70.499999999999986</v>
      </c>
      <c r="Y52" s="205">
        <f t="shared" si="32"/>
        <v>84.6</v>
      </c>
      <c r="Z52" s="205">
        <f t="shared" si="32"/>
        <v>84.6</v>
      </c>
      <c r="AA52" s="205">
        <f t="shared" si="32"/>
        <v>84.6</v>
      </c>
      <c r="AB52" s="205">
        <f t="shared" si="32"/>
        <v>84.6</v>
      </c>
      <c r="AC52" s="205">
        <f t="shared" si="32"/>
        <v>84.6</v>
      </c>
      <c r="AD52" s="205">
        <f t="shared" si="32"/>
        <v>84.6</v>
      </c>
      <c r="AE52" s="205">
        <f t="shared" si="32"/>
        <v>84.6</v>
      </c>
      <c r="AF52" s="205">
        <f t="shared" si="32"/>
        <v>84.6</v>
      </c>
      <c r="AG52" s="205">
        <f t="shared" si="32"/>
        <v>84.6</v>
      </c>
      <c r="AH52" s="205">
        <f t="shared" si="32"/>
        <v>84.6</v>
      </c>
      <c r="AI52" s="205">
        <f t="shared" si="32"/>
        <v>84.6</v>
      </c>
      <c r="AJ52" s="205">
        <f t="shared" si="32"/>
        <v>84.6</v>
      </c>
      <c r="AK52" s="205">
        <f t="shared" si="32"/>
        <v>84.6</v>
      </c>
      <c r="AL52" s="205">
        <f t="shared" si="32"/>
        <v>84.6</v>
      </c>
      <c r="AM52" s="205">
        <f t="shared" si="32"/>
        <v>84.6</v>
      </c>
      <c r="AN52" s="205">
        <f t="shared" si="32"/>
        <v>84.6</v>
      </c>
    </row>
    <row r="53" spans="2:40" s="7" customFormat="1" ht="12" customHeight="1" outlineLevel="1">
      <c r="B53" s="239"/>
      <c r="C53" s="243" t="s">
        <v>836</v>
      </c>
      <c r="D53" s="212"/>
      <c r="E53" s="232"/>
      <c r="F53" s="232"/>
      <c r="G53" s="232"/>
      <c r="H53" s="232"/>
      <c r="I53" s="232"/>
      <c r="J53" s="232"/>
      <c r="K53" s="232"/>
      <c r="L53" s="232"/>
      <c r="M53" s="205"/>
      <c r="N53" s="205"/>
      <c r="O53" s="205"/>
      <c r="P53" s="205"/>
      <c r="Q53" s="205"/>
      <c r="R53" s="205"/>
      <c r="S53" s="205"/>
      <c r="T53" s="205"/>
      <c r="U53" s="205"/>
      <c r="V53" s="205"/>
      <c r="W53" s="205"/>
      <c r="X53" s="205"/>
      <c r="Y53" s="205"/>
      <c r="Z53" s="205"/>
      <c r="AA53" s="205"/>
      <c r="AB53" s="205"/>
      <c r="AC53" s="205"/>
      <c r="AD53" s="205"/>
      <c r="AE53" s="205"/>
      <c r="AF53" s="205"/>
      <c r="AG53" s="205"/>
      <c r="AH53" s="205"/>
      <c r="AI53" s="205"/>
      <c r="AJ53" s="205"/>
      <c r="AK53" s="205"/>
      <c r="AL53" s="205"/>
      <c r="AM53" s="205"/>
      <c r="AN53" s="205"/>
    </row>
    <row r="54" spans="2:40" ht="12" customHeight="1" outlineLevel="1">
      <c r="B54" s="316" t="s">
        <v>858</v>
      </c>
      <c r="C54" s="303" t="s">
        <v>837</v>
      </c>
      <c r="D54" s="302"/>
      <c r="E54" s="317">
        <f t="shared" ref="E54:F54" si="33">1-(E51/E50)</f>
        <v>0.58823529411764708</v>
      </c>
      <c r="F54" s="317">
        <f t="shared" si="33"/>
        <v>0.8125</v>
      </c>
      <c r="G54" s="317">
        <f>1-(G51/G50)</f>
        <v>0.4285714285714286</v>
      </c>
      <c r="H54" s="317">
        <f t="shared" ref="H54:I54" si="34">1-(H51/H50)</f>
        <v>0.4285714285714286</v>
      </c>
      <c r="I54" s="317">
        <f t="shared" si="34"/>
        <v>0</v>
      </c>
      <c r="J54" s="317">
        <f t="shared" ref="J54:K54" si="35">(J50-J51)/J50</f>
        <v>0.36363636363636365</v>
      </c>
      <c r="K54" s="317">
        <f t="shared" si="35"/>
        <v>0.83333333333333337</v>
      </c>
      <c r="L54" s="317">
        <f>(L50-L51)/L50</f>
        <v>0.41666666666666669</v>
      </c>
      <c r="M54" s="318">
        <v>0.1</v>
      </c>
      <c r="N54" s="318">
        <v>0.1</v>
      </c>
      <c r="O54" s="318">
        <v>0.1</v>
      </c>
      <c r="P54" s="318">
        <v>0.1</v>
      </c>
      <c r="Q54" s="318">
        <v>0.5</v>
      </c>
      <c r="R54" s="318">
        <v>0.5</v>
      </c>
      <c r="S54" s="318">
        <v>0.5</v>
      </c>
      <c r="T54" s="318">
        <v>0.2</v>
      </c>
      <c r="U54" s="318">
        <v>0.2</v>
      </c>
      <c r="V54" s="318">
        <v>0.2</v>
      </c>
      <c r="W54" s="318">
        <v>0.2</v>
      </c>
      <c r="X54" s="318">
        <v>0.2</v>
      </c>
      <c r="Y54" s="318">
        <v>0.2</v>
      </c>
      <c r="Z54" s="318">
        <v>0.2</v>
      </c>
      <c r="AA54" s="318">
        <v>0.2</v>
      </c>
      <c r="AB54" s="318">
        <v>0.2</v>
      </c>
      <c r="AC54" s="318">
        <v>0.1</v>
      </c>
      <c r="AD54" s="318">
        <v>0.1</v>
      </c>
      <c r="AE54" s="318">
        <v>0.1</v>
      </c>
      <c r="AF54" s="318">
        <v>0.1</v>
      </c>
      <c r="AG54" s="318">
        <v>0.1</v>
      </c>
      <c r="AH54" s="318">
        <v>0.1</v>
      </c>
      <c r="AI54" s="318">
        <v>0.1</v>
      </c>
      <c r="AJ54" s="318">
        <v>0.1</v>
      </c>
      <c r="AK54" s="318">
        <v>0.1</v>
      </c>
      <c r="AL54" s="318">
        <v>0.1</v>
      </c>
      <c r="AM54" s="318">
        <v>0.1</v>
      </c>
      <c r="AN54" s="318">
        <v>0.1</v>
      </c>
    </row>
    <row r="55" spans="2:40" ht="12" customHeight="1" outlineLevel="1">
      <c r="B55" s="301" t="s">
        <v>859</v>
      </c>
      <c r="C55" s="303" t="s">
        <v>839</v>
      </c>
      <c r="D55" s="302"/>
      <c r="E55" s="317">
        <f t="shared" ref="E55:K55" si="36">1-E54</f>
        <v>0.41176470588235292</v>
      </c>
      <c r="F55" s="317">
        <f t="shared" si="36"/>
        <v>0.1875</v>
      </c>
      <c r="G55" s="317">
        <f t="shared" si="36"/>
        <v>0.5714285714285714</v>
      </c>
      <c r="H55" s="317">
        <f t="shared" si="36"/>
        <v>0.5714285714285714</v>
      </c>
      <c r="I55" s="317">
        <f t="shared" si="36"/>
        <v>1</v>
      </c>
      <c r="J55" s="317">
        <f t="shared" si="36"/>
        <v>0.63636363636363635</v>
      </c>
      <c r="K55" s="317">
        <f t="shared" si="36"/>
        <v>0.16666666666666663</v>
      </c>
      <c r="L55" s="317">
        <f>1-L54</f>
        <v>0.58333333333333326</v>
      </c>
      <c r="M55" s="318">
        <v>0.1</v>
      </c>
      <c r="N55" s="318">
        <v>0.1</v>
      </c>
      <c r="O55" s="318">
        <v>0.1</v>
      </c>
      <c r="P55" s="318">
        <v>0.1</v>
      </c>
      <c r="Q55" s="318">
        <v>0.2</v>
      </c>
      <c r="R55" s="318">
        <v>0.2</v>
      </c>
      <c r="S55" s="318">
        <v>0.2</v>
      </c>
      <c r="T55" s="318">
        <v>0.4</v>
      </c>
      <c r="U55" s="318">
        <v>0.4</v>
      </c>
      <c r="V55" s="318">
        <v>0.4</v>
      </c>
      <c r="W55" s="318">
        <v>0.4</v>
      </c>
      <c r="X55" s="318">
        <v>0.4</v>
      </c>
      <c r="Y55" s="318">
        <v>0.4</v>
      </c>
      <c r="Z55" s="318">
        <v>0.4</v>
      </c>
      <c r="AA55" s="318">
        <v>0.4</v>
      </c>
      <c r="AB55" s="318">
        <v>0.4</v>
      </c>
      <c r="AC55" s="318">
        <v>0.1</v>
      </c>
      <c r="AD55" s="318">
        <v>0.1</v>
      </c>
      <c r="AE55" s="318">
        <v>0.1</v>
      </c>
      <c r="AF55" s="318">
        <v>0.1</v>
      </c>
      <c r="AG55" s="318">
        <v>0.1</v>
      </c>
      <c r="AH55" s="318">
        <v>0.1</v>
      </c>
      <c r="AI55" s="318">
        <v>0.1</v>
      </c>
      <c r="AJ55" s="318">
        <v>0.1</v>
      </c>
      <c r="AK55" s="318">
        <v>0.1</v>
      </c>
      <c r="AL55" s="318">
        <v>0.1</v>
      </c>
      <c r="AM55" s="318">
        <v>0.1</v>
      </c>
      <c r="AN55" s="318">
        <v>0.1</v>
      </c>
    </row>
    <row r="56" spans="2:40" ht="12" customHeight="1" outlineLevel="1">
      <c r="B56" s="301"/>
      <c r="C56" s="303" t="s">
        <v>840</v>
      </c>
      <c r="D56" s="302"/>
      <c r="E56" s="317">
        <v>0</v>
      </c>
      <c r="F56" s="317">
        <v>0</v>
      </c>
      <c r="G56" s="317">
        <v>0</v>
      </c>
      <c r="H56" s="317">
        <v>0</v>
      </c>
      <c r="I56" s="317">
        <v>0</v>
      </c>
      <c r="J56" s="317">
        <v>0</v>
      </c>
      <c r="K56" s="317">
        <v>0</v>
      </c>
      <c r="L56" s="317">
        <v>0</v>
      </c>
      <c r="M56" s="318">
        <v>0.8</v>
      </c>
      <c r="N56" s="318">
        <v>0.8</v>
      </c>
      <c r="O56" s="318">
        <v>0.8</v>
      </c>
      <c r="P56" s="318">
        <v>0.8</v>
      </c>
      <c r="Q56" s="318">
        <v>0.3</v>
      </c>
      <c r="R56" s="318">
        <v>0.3</v>
      </c>
      <c r="S56" s="318">
        <v>0.3</v>
      </c>
      <c r="T56" s="318">
        <v>0.4</v>
      </c>
      <c r="U56" s="318">
        <v>0.4</v>
      </c>
      <c r="V56" s="318">
        <v>0.4</v>
      </c>
      <c r="W56" s="318">
        <v>0.4</v>
      </c>
      <c r="X56" s="318">
        <v>0.4</v>
      </c>
      <c r="Y56" s="318">
        <v>0.4</v>
      </c>
      <c r="Z56" s="318">
        <v>0.4</v>
      </c>
      <c r="AA56" s="318">
        <v>0.4</v>
      </c>
      <c r="AB56" s="318">
        <v>0.4</v>
      </c>
      <c r="AC56" s="318">
        <v>0.8</v>
      </c>
      <c r="AD56" s="318">
        <v>0.8</v>
      </c>
      <c r="AE56" s="318">
        <v>0.8</v>
      </c>
      <c r="AF56" s="318">
        <v>0.8</v>
      </c>
      <c r="AG56" s="318">
        <v>0.8</v>
      </c>
      <c r="AH56" s="318">
        <v>0.8</v>
      </c>
      <c r="AI56" s="318">
        <v>0.8</v>
      </c>
      <c r="AJ56" s="318">
        <v>0.8</v>
      </c>
      <c r="AK56" s="318">
        <v>0.8</v>
      </c>
      <c r="AL56" s="318">
        <v>0.8</v>
      </c>
      <c r="AM56" s="318">
        <v>0.8</v>
      </c>
      <c r="AN56" s="318">
        <v>0.8</v>
      </c>
    </row>
    <row r="57" spans="2:40" s="7" customFormat="1" ht="12" customHeight="1" outlineLevel="1">
      <c r="B57" s="237"/>
      <c r="C57" s="208"/>
      <c r="D57" s="208"/>
      <c r="E57" s="208"/>
      <c r="F57" s="208"/>
      <c r="G57" s="208"/>
      <c r="H57" s="208"/>
      <c r="I57" s="208"/>
      <c r="J57" s="208"/>
      <c r="K57" s="208"/>
      <c r="L57" s="208"/>
      <c r="M57" s="208"/>
      <c r="N57" s="208"/>
      <c r="O57" s="208"/>
      <c r="P57" s="208"/>
      <c r="Q57" s="208"/>
      <c r="R57" s="208"/>
      <c r="S57" s="208"/>
      <c r="T57" s="208"/>
      <c r="U57" s="208"/>
      <c r="V57" s="208"/>
      <c r="W57" s="208"/>
      <c r="X57" s="208"/>
      <c r="Y57" s="208"/>
      <c r="Z57" s="208"/>
      <c r="AA57" s="208"/>
      <c r="AB57" s="208"/>
      <c r="AC57" s="208"/>
      <c r="AD57" s="208"/>
      <c r="AE57" s="208"/>
      <c r="AF57" s="208"/>
      <c r="AG57" s="208"/>
      <c r="AH57" s="208"/>
      <c r="AI57" s="208"/>
      <c r="AJ57" s="208"/>
      <c r="AK57" s="208"/>
      <c r="AL57" s="208"/>
      <c r="AM57" s="208"/>
      <c r="AN57" s="208"/>
    </row>
    <row r="58" spans="2:40" s="7" customFormat="1" ht="12" customHeight="1" outlineLevel="1">
      <c r="B58" s="239"/>
      <c r="C58" s="214" t="s">
        <v>841</v>
      </c>
      <c r="D58" s="214"/>
      <c r="E58" s="209">
        <f>E$48*E54</f>
        <v>0</v>
      </c>
      <c r="F58" s="209">
        <f>F$48*F54</f>
        <v>0</v>
      </c>
      <c r="G58" s="209">
        <f t="shared" ref="E58:I60" si="37">G$48*G54</f>
        <v>0</v>
      </c>
      <c r="H58" s="209">
        <f t="shared" si="37"/>
        <v>0</v>
      </c>
      <c r="I58" s="209">
        <f t="shared" si="37"/>
        <v>0</v>
      </c>
      <c r="J58" s="209">
        <f>J$50*J54</f>
        <v>4</v>
      </c>
      <c r="K58" s="209">
        <f t="shared" ref="J58:P60" si="38">K$50*K54</f>
        <v>5</v>
      </c>
      <c r="L58" s="209">
        <f t="shared" si="38"/>
        <v>5</v>
      </c>
      <c r="M58" s="209">
        <f t="shared" si="38"/>
        <v>0.76832151300236418</v>
      </c>
      <c r="N58" s="209">
        <f t="shared" si="38"/>
        <v>0.76832151300236418</v>
      </c>
      <c r="O58" s="209">
        <f t="shared" si="38"/>
        <v>0.44326241134751776</v>
      </c>
      <c r="P58" s="209">
        <f t="shared" si="38"/>
        <v>0.29550827423167852</v>
      </c>
      <c r="Q58" s="209">
        <f>Q$50*Q54</f>
        <v>9.5138297872340445</v>
      </c>
      <c r="R58" s="209">
        <f t="shared" ref="R58:AN60" si="39">R$50*R54</f>
        <v>16.929078014184402</v>
      </c>
      <c r="S58" s="209">
        <f t="shared" si="39"/>
        <v>15.586879432624116</v>
      </c>
      <c r="T58" s="209">
        <f t="shared" si="39"/>
        <v>16.735130023640664</v>
      </c>
      <c r="U58" s="209">
        <f t="shared" si="39"/>
        <v>16.599234042553189</v>
      </c>
      <c r="V58" s="209">
        <f t="shared" si="39"/>
        <v>56.901361702127659</v>
      </c>
      <c r="W58" s="209">
        <f t="shared" si="39"/>
        <v>34.145106382978724</v>
      </c>
      <c r="X58" s="209">
        <f t="shared" si="39"/>
        <v>25.799716312056741</v>
      </c>
      <c r="Y58" s="209">
        <f t="shared" si="39"/>
        <v>38.723404255319153</v>
      </c>
      <c r="Z58" s="209">
        <f t="shared" si="39"/>
        <v>32.269503546099294</v>
      </c>
      <c r="AA58" s="209">
        <f t="shared" si="39"/>
        <v>12.411347517730498</v>
      </c>
      <c r="AB58" s="209">
        <f t="shared" si="39"/>
        <v>12.411347517730498</v>
      </c>
      <c r="AC58" s="209">
        <f t="shared" si="39"/>
        <v>0.95138297872340449</v>
      </c>
      <c r="AD58" s="209">
        <f t="shared" si="39"/>
        <v>1.6929078014184402</v>
      </c>
      <c r="AE58" s="209">
        <f t="shared" si="39"/>
        <v>1.5586879432624117</v>
      </c>
      <c r="AF58" s="209">
        <f t="shared" si="39"/>
        <v>1.1953664302600477</v>
      </c>
      <c r="AG58" s="209">
        <f t="shared" si="39"/>
        <v>1.0778723404255321</v>
      </c>
      <c r="AH58" s="209">
        <f t="shared" si="39"/>
        <v>3.6948936170212772</v>
      </c>
      <c r="AI58" s="209">
        <f t="shared" si="39"/>
        <v>1.219468085106383</v>
      </c>
      <c r="AJ58" s="209">
        <f t="shared" si="39"/>
        <v>1.535697399527187</v>
      </c>
      <c r="AK58" s="209">
        <f t="shared" si="39"/>
        <v>2.7659574468085109</v>
      </c>
      <c r="AL58" s="209">
        <f t="shared" si="39"/>
        <v>2.3049645390070927</v>
      </c>
      <c r="AM58" s="209">
        <f t="shared" si="39"/>
        <v>0.88652482269503552</v>
      </c>
      <c r="AN58" s="209">
        <f t="shared" si="39"/>
        <v>0.88652482269503552</v>
      </c>
    </row>
    <row r="59" spans="2:40" s="7" customFormat="1" ht="12" customHeight="1" outlineLevel="1">
      <c r="B59" s="239"/>
      <c r="C59" s="214" t="s">
        <v>842</v>
      </c>
      <c r="D59" s="214"/>
      <c r="E59" s="209">
        <f>E$48*E55</f>
        <v>0</v>
      </c>
      <c r="F59" s="209">
        <f>F$48*F55</f>
        <v>0</v>
      </c>
      <c r="G59" s="209">
        <f t="shared" si="37"/>
        <v>0</v>
      </c>
      <c r="H59" s="209">
        <f t="shared" si="37"/>
        <v>0</v>
      </c>
      <c r="I59" s="209">
        <f t="shared" si="37"/>
        <v>0</v>
      </c>
      <c r="J59" s="209">
        <f t="shared" si="38"/>
        <v>7</v>
      </c>
      <c r="K59" s="209">
        <f t="shared" si="38"/>
        <v>0.99999999999999978</v>
      </c>
      <c r="L59" s="209">
        <f t="shared" si="38"/>
        <v>6.9999999999999991</v>
      </c>
      <c r="M59" s="209">
        <f t="shared" si="38"/>
        <v>0.76832151300236418</v>
      </c>
      <c r="N59" s="209">
        <f t="shared" si="38"/>
        <v>0.76832151300236418</v>
      </c>
      <c r="O59" s="209">
        <f t="shared" si="38"/>
        <v>0.44326241134751776</v>
      </c>
      <c r="P59" s="209">
        <f t="shared" si="38"/>
        <v>0.29550827423167852</v>
      </c>
      <c r="Q59" s="209">
        <f>Q$50*Q55</f>
        <v>3.805531914893618</v>
      </c>
      <c r="R59" s="209">
        <f t="shared" si="39"/>
        <v>6.7716312056737609</v>
      </c>
      <c r="S59" s="209">
        <f t="shared" si="39"/>
        <v>6.2347517730496467</v>
      </c>
      <c r="T59" s="209">
        <f t="shared" si="39"/>
        <v>33.470260047281329</v>
      </c>
      <c r="U59" s="209">
        <f t="shared" si="39"/>
        <v>33.198468085106377</v>
      </c>
      <c r="V59" s="209">
        <f t="shared" si="39"/>
        <v>113.80272340425532</v>
      </c>
      <c r="W59" s="209">
        <f t="shared" si="39"/>
        <v>68.290212765957449</v>
      </c>
      <c r="X59" s="209">
        <f t="shared" si="39"/>
        <v>51.599432624113483</v>
      </c>
      <c r="Y59" s="209">
        <f t="shared" si="39"/>
        <v>77.446808510638306</v>
      </c>
      <c r="Z59" s="209">
        <f t="shared" si="39"/>
        <v>64.539007092198588</v>
      </c>
      <c r="AA59" s="209">
        <f t="shared" si="39"/>
        <v>24.822695035460995</v>
      </c>
      <c r="AB59" s="209">
        <f t="shared" si="39"/>
        <v>24.822695035460995</v>
      </c>
      <c r="AC59" s="209">
        <f t="shared" si="39"/>
        <v>0.95138297872340449</v>
      </c>
      <c r="AD59" s="209">
        <f t="shared" si="39"/>
        <v>1.6929078014184402</v>
      </c>
      <c r="AE59" s="209">
        <f t="shared" si="39"/>
        <v>1.5586879432624117</v>
      </c>
      <c r="AF59" s="209">
        <f t="shared" si="39"/>
        <v>1.1953664302600477</v>
      </c>
      <c r="AG59" s="209">
        <f t="shared" si="39"/>
        <v>1.0778723404255321</v>
      </c>
      <c r="AH59" s="209">
        <f t="shared" si="39"/>
        <v>3.6948936170212772</v>
      </c>
      <c r="AI59" s="209">
        <f t="shared" si="39"/>
        <v>1.219468085106383</v>
      </c>
      <c r="AJ59" s="209">
        <f t="shared" si="39"/>
        <v>1.535697399527187</v>
      </c>
      <c r="AK59" s="209">
        <f t="shared" si="39"/>
        <v>2.7659574468085109</v>
      </c>
      <c r="AL59" s="209">
        <f t="shared" si="39"/>
        <v>2.3049645390070927</v>
      </c>
      <c r="AM59" s="209">
        <f t="shared" si="39"/>
        <v>0.88652482269503552</v>
      </c>
      <c r="AN59" s="209">
        <f t="shared" si="39"/>
        <v>0.88652482269503552</v>
      </c>
    </row>
    <row r="60" spans="2:40" s="7" customFormat="1" ht="12" customHeight="1" outlineLevel="1">
      <c r="B60" s="239"/>
      <c r="C60" s="214" t="s">
        <v>843</v>
      </c>
      <c r="D60" s="214"/>
      <c r="E60" s="209">
        <f t="shared" si="37"/>
        <v>0</v>
      </c>
      <c r="F60" s="209">
        <f t="shared" si="37"/>
        <v>0</v>
      </c>
      <c r="G60" s="209">
        <f t="shared" si="37"/>
        <v>0</v>
      </c>
      <c r="H60" s="209">
        <f t="shared" si="37"/>
        <v>0</v>
      </c>
      <c r="I60" s="209">
        <f t="shared" si="37"/>
        <v>0</v>
      </c>
      <c r="J60" s="209">
        <f t="shared" si="38"/>
        <v>0</v>
      </c>
      <c r="K60" s="209">
        <f t="shared" si="38"/>
        <v>0</v>
      </c>
      <c r="L60" s="209">
        <f t="shared" si="38"/>
        <v>0</v>
      </c>
      <c r="M60" s="209">
        <f t="shared" si="38"/>
        <v>6.1465721040189134</v>
      </c>
      <c r="N60" s="209">
        <f t="shared" si="38"/>
        <v>6.1465721040189134</v>
      </c>
      <c r="O60" s="209">
        <f t="shared" si="38"/>
        <v>3.5460992907801421</v>
      </c>
      <c r="P60" s="209">
        <f t="shared" si="38"/>
        <v>2.3640661938534282</v>
      </c>
      <c r="Q60" s="209">
        <f>Q$50*Q56</f>
        <v>5.7082978723404265</v>
      </c>
      <c r="R60" s="209">
        <f t="shared" si="39"/>
        <v>10.15744680851064</v>
      </c>
      <c r="S60" s="209">
        <f t="shared" si="39"/>
        <v>9.3521276595744691</v>
      </c>
      <c r="T60" s="209">
        <f t="shared" si="39"/>
        <v>33.470260047281329</v>
      </c>
      <c r="U60" s="209">
        <f t="shared" si="39"/>
        <v>33.198468085106377</v>
      </c>
      <c r="V60" s="209">
        <f t="shared" si="39"/>
        <v>113.80272340425532</v>
      </c>
      <c r="W60" s="209">
        <f t="shared" si="39"/>
        <v>68.290212765957449</v>
      </c>
      <c r="X60" s="209">
        <f t="shared" si="39"/>
        <v>51.599432624113483</v>
      </c>
      <c r="Y60" s="209">
        <f t="shared" si="39"/>
        <v>77.446808510638306</v>
      </c>
      <c r="Z60" s="209">
        <f t="shared" si="39"/>
        <v>64.539007092198588</v>
      </c>
      <c r="AA60" s="209">
        <f t="shared" si="39"/>
        <v>24.822695035460995</v>
      </c>
      <c r="AB60" s="209">
        <f t="shared" si="39"/>
        <v>24.822695035460995</v>
      </c>
      <c r="AC60" s="209">
        <f t="shared" si="39"/>
        <v>7.6110638297872359</v>
      </c>
      <c r="AD60" s="209">
        <f t="shared" si="39"/>
        <v>13.543262411347522</v>
      </c>
      <c r="AE60" s="209">
        <f t="shared" si="39"/>
        <v>12.469503546099293</v>
      </c>
      <c r="AF60" s="209">
        <f t="shared" si="39"/>
        <v>9.5629314420803819</v>
      </c>
      <c r="AG60" s="209">
        <f t="shared" si="39"/>
        <v>8.6229787234042572</v>
      </c>
      <c r="AH60" s="209">
        <f t="shared" si="39"/>
        <v>29.559148936170217</v>
      </c>
      <c r="AI60" s="209">
        <f t="shared" si="39"/>
        <v>9.7557446808510644</v>
      </c>
      <c r="AJ60" s="209">
        <f t="shared" si="39"/>
        <v>12.285579196217496</v>
      </c>
      <c r="AK60" s="209">
        <f t="shared" si="39"/>
        <v>22.127659574468087</v>
      </c>
      <c r="AL60" s="209">
        <f t="shared" si="39"/>
        <v>18.439716312056742</v>
      </c>
      <c r="AM60" s="209">
        <f t="shared" si="39"/>
        <v>7.0921985815602842</v>
      </c>
      <c r="AN60" s="209">
        <f t="shared" si="39"/>
        <v>7.0921985815602842</v>
      </c>
    </row>
    <row r="61" spans="2:40" s="7" customFormat="1" ht="12" customHeight="1" outlineLevel="1">
      <c r="B61" s="239"/>
      <c r="C61" s="214" t="s">
        <v>844</v>
      </c>
      <c r="D61" s="214"/>
      <c r="E61" s="209">
        <f>ROUNDDOWN(SUM(E71:E107),0)-E58</f>
        <v>26</v>
      </c>
      <c r="F61" s="209">
        <f t="shared" ref="F61:H61" si="40">ROUNDDOWN(SUM(F71:F107),0)-F58</f>
        <v>25</v>
      </c>
      <c r="G61" s="209">
        <f>ROUNDDOWN(SUM(G71:G107),0)-G58</f>
        <v>38</v>
      </c>
      <c r="H61" s="209">
        <f t="shared" si="40"/>
        <v>37</v>
      </c>
      <c r="I61" s="209">
        <f>ROUNDDOWN(SUM(I71:I107),0)-I58</f>
        <v>14</v>
      </c>
      <c r="J61" s="209">
        <f>ROUNDDOWN(SUM(J71:J107),0)-J58</f>
        <v>13</v>
      </c>
      <c r="K61" s="209">
        <f>ROUNDDOWN(SUM(K71:K107),0)-K58</f>
        <v>13</v>
      </c>
      <c r="L61" s="209">
        <f t="shared" ref="L61:AN61" si="41">ROUNDDOWN(SUM(L71:L107),0)-L58</f>
        <v>13</v>
      </c>
      <c r="M61" s="209">
        <f t="shared" si="41"/>
        <v>12.231678486997636</v>
      </c>
      <c r="N61" s="209">
        <f t="shared" si="41"/>
        <v>12.231678486997636</v>
      </c>
      <c r="O61" s="209">
        <f t="shared" si="41"/>
        <v>11.556737588652481</v>
      </c>
      <c r="P61" s="209">
        <f t="shared" si="41"/>
        <v>11.704491725768321</v>
      </c>
      <c r="Q61" s="209">
        <f t="shared" si="41"/>
        <v>11.486170212765956</v>
      </c>
      <c r="R61" s="209">
        <f t="shared" si="41"/>
        <v>11.070921985815598</v>
      </c>
      <c r="S61" s="209">
        <f t="shared" si="41"/>
        <v>11.413120567375884</v>
      </c>
      <c r="T61" s="209">
        <f t="shared" si="41"/>
        <v>10.264869976359336</v>
      </c>
      <c r="U61" s="209">
        <f t="shared" si="41"/>
        <v>10.400765957446811</v>
      </c>
      <c r="V61" s="209">
        <f t="shared" si="41"/>
        <v>10.098638297872341</v>
      </c>
      <c r="W61" s="209">
        <f t="shared" si="41"/>
        <v>9.8548936170212755</v>
      </c>
      <c r="X61" s="209">
        <f t="shared" si="41"/>
        <v>10.200283687943259</v>
      </c>
      <c r="Y61" s="209">
        <f t="shared" si="41"/>
        <v>9.2765957446808471</v>
      </c>
      <c r="Z61" s="209">
        <f t="shared" si="41"/>
        <v>9.7304964539007059</v>
      </c>
      <c r="AA61" s="209">
        <f t="shared" si="41"/>
        <v>9.5886524822695023</v>
      </c>
      <c r="AB61" s="209">
        <f t="shared" si="41"/>
        <v>8.5886524822695023</v>
      </c>
      <c r="AC61" s="209">
        <f t="shared" si="41"/>
        <v>9.0486170212765948</v>
      </c>
      <c r="AD61" s="209">
        <f t="shared" si="41"/>
        <v>8.3070921985815591</v>
      </c>
      <c r="AE61" s="209">
        <f t="shared" si="41"/>
        <v>8.4413120567375888</v>
      </c>
      <c r="AF61" s="209">
        <f t="shared" si="41"/>
        <v>7.804633569739952</v>
      </c>
      <c r="AG61" s="209">
        <f t="shared" si="41"/>
        <v>7.9221276595744676</v>
      </c>
      <c r="AH61" s="209">
        <f t="shared" si="41"/>
        <v>8.3051063829787228</v>
      </c>
      <c r="AI61" s="209">
        <f t="shared" si="41"/>
        <v>7.7805319148936167</v>
      </c>
      <c r="AJ61" s="209">
        <f t="shared" si="41"/>
        <v>7.4643026004728128</v>
      </c>
      <c r="AK61" s="209">
        <f t="shared" si="41"/>
        <v>7.2340425531914896</v>
      </c>
      <c r="AL61" s="209">
        <f t="shared" si="41"/>
        <v>7.6950354609929068</v>
      </c>
      <c r="AM61" s="209">
        <f t="shared" si="41"/>
        <v>7.1134751773049647</v>
      </c>
      <c r="AN61" s="209">
        <f t="shared" si="41"/>
        <v>7.1134751773049647</v>
      </c>
    </row>
    <row r="62" spans="2:40" s="7" customFormat="1" ht="12" customHeight="1" outlineLevel="1">
      <c r="B62" s="239"/>
      <c r="C62" s="214" t="s">
        <v>845</v>
      </c>
      <c r="D62" s="214"/>
      <c r="E62" s="209">
        <f>ROUNDDOWN(SUM(E112:E148),0)-E59</f>
        <v>28</v>
      </c>
      <c r="F62" s="209">
        <f>ROUNDDOWN(SUM(F112:F148),0)-F59</f>
        <v>27</v>
      </c>
      <c r="G62" s="209">
        <f t="shared" ref="G62:I62" si="42">ROUNDDOWN(SUM(G112:G148),0)-G59</f>
        <v>27</v>
      </c>
      <c r="H62" s="209">
        <f t="shared" si="42"/>
        <v>26</v>
      </c>
      <c r="I62" s="209">
        <f t="shared" si="42"/>
        <v>26</v>
      </c>
      <c r="J62" s="209">
        <f t="shared" ref="J62:AN62" si="43">ROUNDDOWN(SUM(J112:J148),0)-J59</f>
        <v>25</v>
      </c>
      <c r="K62" s="209">
        <f t="shared" si="43"/>
        <v>25</v>
      </c>
      <c r="L62" s="209">
        <f t="shared" si="43"/>
        <v>27</v>
      </c>
      <c r="M62" s="209">
        <f t="shared" si="43"/>
        <v>28.231678486997637</v>
      </c>
      <c r="N62" s="209">
        <f t="shared" si="43"/>
        <v>31.231678486997637</v>
      </c>
      <c r="O62" s="209">
        <f t="shared" si="43"/>
        <v>32.556737588652481</v>
      </c>
      <c r="P62" s="209">
        <f t="shared" si="43"/>
        <v>33.704491725768321</v>
      </c>
      <c r="Q62" s="209">
        <f t="shared" si="43"/>
        <v>35.194468085106379</v>
      </c>
      <c r="R62" s="209">
        <f t="shared" si="43"/>
        <v>35.228368794326236</v>
      </c>
      <c r="S62" s="209">
        <f t="shared" si="43"/>
        <v>37.765248226950355</v>
      </c>
      <c r="T62" s="209">
        <f t="shared" si="43"/>
        <v>40.529739952718671</v>
      </c>
      <c r="U62" s="209">
        <f>ROUNDDOWN(SUM(U112:U148),0)-U59</f>
        <v>46.801531914893623</v>
      </c>
      <c r="V62" s="209">
        <f t="shared" si="43"/>
        <v>61.197276595744682</v>
      </c>
      <c r="W62" s="209">
        <f t="shared" si="43"/>
        <v>88.709787234042551</v>
      </c>
      <c r="X62" s="209">
        <f t="shared" si="43"/>
        <v>137.40056737588651</v>
      </c>
      <c r="Y62" s="209">
        <f t="shared" si="43"/>
        <v>189.55319148936169</v>
      </c>
      <c r="Z62" s="209">
        <f t="shared" si="43"/>
        <v>241.46099290780143</v>
      </c>
      <c r="AA62" s="209">
        <f t="shared" si="43"/>
        <v>298.17730496453902</v>
      </c>
      <c r="AB62" s="209">
        <f t="shared" si="43"/>
        <v>352.17730496453902</v>
      </c>
      <c r="AC62" s="209">
        <f t="shared" si="43"/>
        <v>395.04861702127658</v>
      </c>
      <c r="AD62" s="209">
        <f t="shared" si="43"/>
        <v>429.30709219858159</v>
      </c>
      <c r="AE62" s="209">
        <f t="shared" si="43"/>
        <v>454.44131205673762</v>
      </c>
      <c r="AF62" s="209">
        <f t="shared" si="43"/>
        <v>471.80463356973996</v>
      </c>
      <c r="AG62" s="209">
        <f t="shared" si="43"/>
        <v>484.92212765957447</v>
      </c>
      <c r="AH62" s="209">
        <f t="shared" si="43"/>
        <v>495.30510638297875</v>
      </c>
      <c r="AI62" s="209">
        <f t="shared" si="43"/>
        <v>503.78053191489363</v>
      </c>
      <c r="AJ62" s="209">
        <f t="shared" si="43"/>
        <v>511.46430260047282</v>
      </c>
      <c r="AK62" s="209">
        <f t="shared" si="43"/>
        <v>516.23404255319144</v>
      </c>
      <c r="AL62" s="209">
        <f t="shared" si="43"/>
        <v>521.69503546099293</v>
      </c>
      <c r="AM62" s="209">
        <f t="shared" si="43"/>
        <v>527.11347517730496</v>
      </c>
      <c r="AN62" s="209">
        <f t="shared" si="43"/>
        <v>532.11347517730496</v>
      </c>
    </row>
    <row r="63" spans="2:40" s="7" customFormat="1" ht="12" customHeight="1" outlineLevel="1">
      <c r="B63" s="239"/>
      <c r="C63" s="214" t="s">
        <v>846</v>
      </c>
      <c r="D63" s="214"/>
      <c r="E63" s="209">
        <f>ROUNDDOWN(SUM(E154:E190),0)-E60</f>
        <v>56</v>
      </c>
      <c r="F63" s="209">
        <f>ROUNDDOWN(SUM(F154:F190),0)-F60</f>
        <v>41</v>
      </c>
      <c r="G63" s="209">
        <f t="shared" ref="G63:I63" si="44">ROUNDDOWN(SUM(G154:G190),0)-G60</f>
        <v>83</v>
      </c>
      <c r="H63" s="209">
        <f t="shared" si="44"/>
        <v>28</v>
      </c>
      <c r="I63" s="209">
        <f t="shared" si="44"/>
        <v>0</v>
      </c>
      <c r="J63" s="209">
        <f t="shared" ref="J63:AN63" si="45">ROUNDDOWN(SUM(J154:J190),0)-J60</f>
        <v>81</v>
      </c>
      <c r="K63" s="209">
        <f t="shared" si="45"/>
        <v>28</v>
      </c>
      <c r="L63" s="209">
        <f>ROUNDDOWN(SUM(L154:L190),0)-L60</f>
        <v>0</v>
      </c>
      <c r="M63" s="209">
        <f>ROUNDDOWN(SUM(M154:M190),0)-M60</f>
        <v>78.853427895981085</v>
      </c>
      <c r="N63" s="209">
        <f t="shared" si="45"/>
        <v>26.853427895981085</v>
      </c>
      <c r="O63" s="209">
        <f t="shared" si="45"/>
        <v>-0.54609929078014208</v>
      </c>
      <c r="P63" s="209">
        <f t="shared" si="45"/>
        <v>83.635933806146568</v>
      </c>
      <c r="Q63" s="209">
        <f t="shared" si="45"/>
        <v>32.291702127659576</v>
      </c>
      <c r="R63" s="209">
        <f t="shared" si="45"/>
        <v>4.84255319148936</v>
      </c>
      <c r="S63" s="209">
        <f t="shared" si="45"/>
        <v>81.647872340425536</v>
      </c>
      <c r="T63" s="209">
        <f t="shared" si="45"/>
        <v>34.529739952718671</v>
      </c>
      <c r="U63" s="209">
        <f t="shared" si="45"/>
        <v>12.801531914893623</v>
      </c>
      <c r="V63" s="209">
        <f t="shared" si="45"/>
        <v>87.197276595744682</v>
      </c>
      <c r="W63" s="209">
        <f t="shared" si="45"/>
        <v>61.709787234042551</v>
      </c>
      <c r="X63" s="209">
        <f t="shared" si="45"/>
        <v>38.400567375886517</v>
      </c>
      <c r="Y63" s="209">
        <f t="shared" si="45"/>
        <v>183.55319148936169</v>
      </c>
      <c r="Z63" s="209">
        <f t="shared" si="45"/>
        <v>109.46099290780141</v>
      </c>
      <c r="AA63" s="209">
        <f t="shared" si="45"/>
        <v>71.177304964539005</v>
      </c>
      <c r="AB63" s="209">
        <f t="shared" si="45"/>
        <v>214.17730496453902</v>
      </c>
      <c r="AC63" s="209">
        <f t="shared" si="45"/>
        <v>138.38893617021276</v>
      </c>
      <c r="AD63" s="209">
        <f t="shared" si="45"/>
        <v>69.456737588652473</v>
      </c>
      <c r="AE63" s="209">
        <f t="shared" si="45"/>
        <v>187.5304964539007</v>
      </c>
      <c r="AF63" s="209">
        <f t="shared" si="45"/>
        <v>104.43706855791962</v>
      </c>
      <c r="AG63" s="209">
        <f t="shared" si="45"/>
        <v>56.377021276595741</v>
      </c>
      <c r="AH63" s="209">
        <f t="shared" si="45"/>
        <v>150.44085106382977</v>
      </c>
      <c r="AI63" s="209">
        <f t="shared" si="45"/>
        <v>82.244255319148934</v>
      </c>
      <c r="AJ63" s="209">
        <f t="shared" si="45"/>
        <v>42.714420803782502</v>
      </c>
      <c r="AK63" s="209">
        <f t="shared" si="45"/>
        <v>145.87234042553192</v>
      </c>
      <c r="AL63" s="209">
        <f t="shared" si="45"/>
        <v>67.560283687943254</v>
      </c>
      <c r="AM63" s="209">
        <f t="shared" si="45"/>
        <v>38.907801418439718</v>
      </c>
      <c r="AN63" s="209">
        <f t="shared" si="45"/>
        <v>137.9078014184397</v>
      </c>
    </row>
    <row r="64" spans="2:40" s="7" customFormat="1" ht="12" customHeight="1" outlineLevel="1">
      <c r="B64" s="237"/>
      <c r="C64" s="214" t="s">
        <v>833</v>
      </c>
      <c r="D64" s="214"/>
      <c r="E64" s="210">
        <f>SUM(E58:E60)</f>
        <v>0</v>
      </c>
      <c r="F64" s="210">
        <f t="shared" ref="F64:I64" si="46">SUM(F58:F60)</f>
        <v>0</v>
      </c>
      <c r="G64" s="210">
        <f t="shared" si="46"/>
        <v>0</v>
      </c>
      <c r="H64" s="210">
        <f t="shared" si="46"/>
        <v>0</v>
      </c>
      <c r="I64" s="210">
        <f t="shared" si="46"/>
        <v>0</v>
      </c>
      <c r="J64" s="210">
        <f>SUM(J58:J60)</f>
        <v>11</v>
      </c>
      <c r="K64" s="210">
        <f t="shared" ref="K64:P64" si="47">SUM(K58:K60)</f>
        <v>6</v>
      </c>
      <c r="L64" s="210">
        <f t="shared" si="47"/>
        <v>12</v>
      </c>
      <c r="M64" s="210">
        <f t="shared" si="47"/>
        <v>7.6832151300236422</v>
      </c>
      <c r="N64" s="210">
        <f t="shared" si="47"/>
        <v>7.6832151300236422</v>
      </c>
      <c r="O64" s="210">
        <f t="shared" si="47"/>
        <v>4.4326241134751774</v>
      </c>
      <c r="P64" s="210">
        <f t="shared" si="47"/>
        <v>2.9550827423167854</v>
      </c>
      <c r="Q64" s="210">
        <f>SUM(Q58:Q60)</f>
        <v>19.027659574468089</v>
      </c>
      <c r="R64" s="210">
        <f t="shared" ref="R64:AN64" si="48">SUM(R58:R60)</f>
        <v>33.858156028368803</v>
      </c>
      <c r="S64" s="210">
        <f t="shared" si="48"/>
        <v>31.173758865248232</v>
      </c>
      <c r="T64" s="210">
        <f t="shared" si="48"/>
        <v>83.675650118203322</v>
      </c>
      <c r="U64" s="210">
        <f t="shared" si="48"/>
        <v>82.996170212765946</v>
      </c>
      <c r="V64" s="210">
        <f t="shared" si="48"/>
        <v>284.50680851063828</v>
      </c>
      <c r="W64" s="210">
        <f t="shared" si="48"/>
        <v>170.72553191489362</v>
      </c>
      <c r="X64" s="210">
        <f t="shared" si="48"/>
        <v>128.9985815602837</v>
      </c>
      <c r="Y64" s="210">
        <f t="shared" si="48"/>
        <v>193.61702127659578</v>
      </c>
      <c r="Z64" s="210">
        <f t="shared" si="48"/>
        <v>161.34751773049646</v>
      </c>
      <c r="AA64" s="210">
        <f t="shared" si="48"/>
        <v>62.056737588652489</v>
      </c>
      <c r="AB64" s="210">
        <f t="shared" si="48"/>
        <v>62.056737588652489</v>
      </c>
      <c r="AC64" s="210">
        <f t="shared" si="48"/>
        <v>9.5138297872340445</v>
      </c>
      <c r="AD64" s="210">
        <f t="shared" si="48"/>
        <v>16.929078014184402</v>
      </c>
      <c r="AE64" s="210">
        <f t="shared" si="48"/>
        <v>15.586879432624116</v>
      </c>
      <c r="AF64" s="210">
        <f t="shared" si="48"/>
        <v>11.953664302600478</v>
      </c>
      <c r="AG64" s="210">
        <f t="shared" si="48"/>
        <v>10.778723404255322</v>
      </c>
      <c r="AH64" s="210">
        <f t="shared" si="48"/>
        <v>36.948936170212775</v>
      </c>
      <c r="AI64" s="210">
        <f t="shared" si="48"/>
        <v>12.194680851063831</v>
      </c>
      <c r="AJ64" s="210">
        <f t="shared" si="48"/>
        <v>15.35697399527187</v>
      </c>
      <c r="AK64" s="210">
        <f t="shared" si="48"/>
        <v>27.659574468085108</v>
      </c>
      <c r="AL64" s="210">
        <f t="shared" si="48"/>
        <v>23.049645390070928</v>
      </c>
      <c r="AM64" s="210">
        <f t="shared" si="48"/>
        <v>8.8652482269503547</v>
      </c>
      <c r="AN64" s="210">
        <f t="shared" si="48"/>
        <v>8.8652482269503547</v>
      </c>
    </row>
    <row r="65" spans="2:40" s="7" customFormat="1" ht="12" customHeight="1" outlineLevel="1">
      <c r="B65" s="237"/>
      <c r="C65" s="214" t="s">
        <v>847</v>
      </c>
      <c r="D65" s="214"/>
      <c r="E65" s="210">
        <f t="shared" ref="E65:I65" si="49">SUM(E61:E63)</f>
        <v>110</v>
      </c>
      <c r="F65" s="210">
        <f t="shared" si="49"/>
        <v>93</v>
      </c>
      <c r="G65" s="210">
        <f t="shared" si="49"/>
        <v>148</v>
      </c>
      <c r="H65" s="210">
        <f t="shared" si="49"/>
        <v>91</v>
      </c>
      <c r="I65" s="210">
        <f t="shared" si="49"/>
        <v>40</v>
      </c>
      <c r="J65" s="210">
        <f t="shared" ref="J65:AN65" si="50">SUM(J61:J63)</f>
        <v>119</v>
      </c>
      <c r="K65" s="210">
        <f t="shared" si="50"/>
        <v>66</v>
      </c>
      <c r="L65" s="210">
        <f t="shared" si="50"/>
        <v>40</v>
      </c>
      <c r="M65" s="210">
        <f>SUM(M61:M63)</f>
        <v>119.31678486997636</v>
      </c>
      <c r="N65" s="210">
        <f t="shared" si="50"/>
        <v>70.31678486997636</v>
      </c>
      <c r="O65" s="210">
        <f t="shared" si="50"/>
        <v>43.567375886524822</v>
      </c>
      <c r="P65" s="210">
        <f t="shared" si="50"/>
        <v>129.04491725768321</v>
      </c>
      <c r="Q65" s="210">
        <f t="shared" si="50"/>
        <v>78.972340425531911</v>
      </c>
      <c r="R65" s="210">
        <f t="shared" si="50"/>
        <v>51.141843971631189</v>
      </c>
      <c r="S65" s="210">
        <f t="shared" si="50"/>
        <v>130.82624113475177</v>
      </c>
      <c r="T65" s="210">
        <f t="shared" si="50"/>
        <v>85.324349881796678</v>
      </c>
      <c r="U65" s="210">
        <f t="shared" si="50"/>
        <v>70.003829787234054</v>
      </c>
      <c r="V65" s="210">
        <f t="shared" si="50"/>
        <v>158.49319148936172</v>
      </c>
      <c r="W65" s="210">
        <f t="shared" si="50"/>
        <v>160.27446808510638</v>
      </c>
      <c r="X65" s="210">
        <f t="shared" si="50"/>
        <v>186.00141843971628</v>
      </c>
      <c r="Y65" s="210">
        <f t="shared" si="50"/>
        <v>382.38297872340422</v>
      </c>
      <c r="Z65" s="210">
        <f t="shared" si="50"/>
        <v>360.65248226950354</v>
      </c>
      <c r="AA65" s="210">
        <f t="shared" si="50"/>
        <v>378.94326241134752</v>
      </c>
      <c r="AB65" s="210">
        <f t="shared" si="50"/>
        <v>574.94326241134752</v>
      </c>
      <c r="AC65" s="210">
        <f t="shared" si="50"/>
        <v>542.48617021276596</v>
      </c>
      <c r="AD65" s="210">
        <f t="shared" si="50"/>
        <v>507.07092198581563</v>
      </c>
      <c r="AE65" s="210">
        <f t="shared" si="50"/>
        <v>650.41312056737593</v>
      </c>
      <c r="AF65" s="210">
        <f t="shared" si="50"/>
        <v>584.04633569739951</v>
      </c>
      <c r="AG65" s="210">
        <f t="shared" si="50"/>
        <v>549.22127659574471</v>
      </c>
      <c r="AH65" s="210">
        <f t="shared" si="50"/>
        <v>654.05106382978727</v>
      </c>
      <c r="AI65" s="210">
        <f t="shared" si="50"/>
        <v>593.80531914893618</v>
      </c>
      <c r="AJ65" s="210">
        <f t="shared" si="50"/>
        <v>561.6430260047282</v>
      </c>
      <c r="AK65" s="210">
        <f t="shared" si="50"/>
        <v>669.34042553191478</v>
      </c>
      <c r="AL65" s="210">
        <f t="shared" si="50"/>
        <v>596.95035460992915</v>
      </c>
      <c r="AM65" s="210">
        <f t="shared" si="50"/>
        <v>573.13475177304963</v>
      </c>
      <c r="AN65" s="210">
        <f t="shared" si="50"/>
        <v>677.13475177304963</v>
      </c>
    </row>
    <row r="66" spans="2:40" s="7" customFormat="1" ht="12" customHeight="1" outlineLevel="1">
      <c r="B66" s="237"/>
      <c r="C66" s="214" t="s">
        <v>848</v>
      </c>
      <c r="D66" s="214"/>
      <c r="E66" s="205">
        <f t="shared" ref="E66:I66" si="51">SUM(E64:E65)</f>
        <v>110</v>
      </c>
      <c r="F66" s="205">
        <f t="shared" si="51"/>
        <v>93</v>
      </c>
      <c r="G66" s="205">
        <f t="shared" si="51"/>
        <v>148</v>
      </c>
      <c r="H66" s="205">
        <f t="shared" si="51"/>
        <v>91</v>
      </c>
      <c r="I66" s="205">
        <f t="shared" si="51"/>
        <v>40</v>
      </c>
      <c r="J66" s="205">
        <f>SUM(J64:J65)</f>
        <v>130</v>
      </c>
      <c r="K66" s="205">
        <f t="shared" ref="K66:AN66" si="52">SUM(K64:K65)</f>
        <v>72</v>
      </c>
      <c r="L66" s="205">
        <f t="shared" si="52"/>
        <v>52</v>
      </c>
      <c r="M66" s="205">
        <f t="shared" si="52"/>
        <v>127</v>
      </c>
      <c r="N66" s="205">
        <f t="shared" si="52"/>
        <v>78</v>
      </c>
      <c r="O66" s="205">
        <f t="shared" si="52"/>
        <v>48</v>
      </c>
      <c r="P66" s="205">
        <f t="shared" si="52"/>
        <v>132</v>
      </c>
      <c r="Q66" s="205">
        <f t="shared" si="52"/>
        <v>98</v>
      </c>
      <c r="R66" s="205">
        <f t="shared" si="52"/>
        <v>85</v>
      </c>
      <c r="S66" s="205">
        <f t="shared" si="52"/>
        <v>162</v>
      </c>
      <c r="T66" s="205">
        <f t="shared" si="52"/>
        <v>169</v>
      </c>
      <c r="U66" s="205">
        <f t="shared" si="52"/>
        <v>153</v>
      </c>
      <c r="V66" s="205">
        <f t="shared" si="52"/>
        <v>443</v>
      </c>
      <c r="W66" s="205">
        <f t="shared" si="52"/>
        <v>331</v>
      </c>
      <c r="X66" s="205">
        <f t="shared" si="52"/>
        <v>315</v>
      </c>
      <c r="Y66" s="205">
        <f t="shared" si="52"/>
        <v>576</v>
      </c>
      <c r="Z66" s="205">
        <f t="shared" si="52"/>
        <v>522</v>
      </c>
      <c r="AA66" s="205">
        <f t="shared" si="52"/>
        <v>441</v>
      </c>
      <c r="AB66" s="205">
        <f t="shared" si="52"/>
        <v>637</v>
      </c>
      <c r="AC66" s="205">
        <f t="shared" si="52"/>
        <v>552</v>
      </c>
      <c r="AD66" s="205">
        <f t="shared" si="52"/>
        <v>524</v>
      </c>
      <c r="AE66" s="205">
        <f t="shared" si="52"/>
        <v>666</v>
      </c>
      <c r="AF66" s="205">
        <f t="shared" si="52"/>
        <v>596</v>
      </c>
      <c r="AG66" s="205">
        <f t="shared" si="52"/>
        <v>560</v>
      </c>
      <c r="AH66" s="205">
        <f t="shared" si="52"/>
        <v>691</v>
      </c>
      <c r="AI66" s="205">
        <f t="shared" si="52"/>
        <v>606</v>
      </c>
      <c r="AJ66" s="205">
        <f t="shared" si="52"/>
        <v>577.00000000000011</v>
      </c>
      <c r="AK66" s="205">
        <f t="shared" si="52"/>
        <v>696.99999999999989</v>
      </c>
      <c r="AL66" s="205">
        <f t="shared" si="52"/>
        <v>620.00000000000011</v>
      </c>
      <c r="AM66" s="205">
        <f t="shared" si="52"/>
        <v>582</v>
      </c>
      <c r="AN66" s="205">
        <f t="shared" si="52"/>
        <v>686</v>
      </c>
    </row>
    <row r="67" spans="2:40" s="7" customFormat="1" ht="12" customHeight="1" outlineLevel="1">
      <c r="B67" s="239"/>
      <c r="C67" s="214"/>
      <c r="D67" s="214"/>
      <c r="E67" s="211"/>
      <c r="F67" s="211"/>
      <c r="G67" s="211"/>
      <c r="H67" s="211"/>
      <c r="I67" s="211"/>
      <c r="J67" s="211"/>
      <c r="K67" s="211"/>
      <c r="L67" s="211"/>
      <c r="M67" s="211"/>
      <c r="N67" s="211"/>
      <c r="O67" s="211"/>
      <c r="P67" s="211"/>
      <c r="Q67" s="211"/>
      <c r="R67" s="211"/>
      <c r="S67" s="211"/>
      <c r="T67" s="211"/>
      <c r="U67" s="211"/>
      <c r="V67" s="211"/>
      <c r="W67" s="211"/>
      <c r="X67" s="211"/>
      <c r="Y67" s="211"/>
      <c r="Z67" s="211"/>
      <c r="AA67" s="211"/>
      <c r="AB67" s="211"/>
      <c r="AC67" s="211"/>
      <c r="AD67" s="211"/>
      <c r="AE67" s="211"/>
      <c r="AF67" s="211"/>
      <c r="AG67" s="211"/>
      <c r="AH67" s="211"/>
      <c r="AI67" s="211"/>
      <c r="AJ67" s="211"/>
      <c r="AK67" s="211"/>
      <c r="AL67" s="211"/>
      <c r="AM67" s="211"/>
      <c r="AN67" s="211"/>
    </row>
    <row r="68" spans="2:40" s="7" customFormat="1" ht="12" hidden="1" customHeight="1" outlineLevel="2">
      <c r="B68" s="239"/>
      <c r="C68" s="243" t="s">
        <v>849</v>
      </c>
      <c r="D68" s="214"/>
      <c r="O68" s="212"/>
      <c r="P68" s="212"/>
      <c r="Q68" s="212"/>
      <c r="R68" s="212"/>
      <c r="S68" s="212"/>
      <c r="T68" s="212"/>
      <c r="U68" s="212"/>
      <c r="V68" s="212"/>
      <c r="W68" s="212"/>
      <c r="X68" s="212"/>
      <c r="Y68" s="212"/>
      <c r="Z68" s="212"/>
      <c r="AA68" s="212"/>
      <c r="AB68" s="212"/>
      <c r="AC68" s="212"/>
      <c r="AD68" s="212"/>
      <c r="AE68" s="212"/>
      <c r="AF68" s="212"/>
      <c r="AG68" s="212"/>
      <c r="AH68" s="212"/>
      <c r="AI68" s="212"/>
      <c r="AJ68" s="212"/>
      <c r="AK68" s="212"/>
      <c r="AL68" s="212"/>
      <c r="AM68" s="212"/>
      <c r="AN68" s="212"/>
    </row>
    <row r="69" spans="2:40" s="7" customFormat="1" ht="12" hidden="1" customHeight="1" outlineLevel="2">
      <c r="B69" s="239"/>
      <c r="C69" s="214" t="s">
        <v>850</v>
      </c>
      <c r="D69" s="214"/>
      <c r="E69" s="196" t="s">
        <v>753</v>
      </c>
      <c r="F69" s="196" t="s">
        <v>754</v>
      </c>
      <c r="G69" s="196" t="s">
        <v>755</v>
      </c>
      <c r="H69" s="196" t="s">
        <v>756</v>
      </c>
      <c r="I69" s="196" t="s">
        <v>757</v>
      </c>
      <c r="J69" s="196" t="s">
        <v>758</v>
      </c>
      <c r="K69" s="196" t="s">
        <v>759</v>
      </c>
      <c r="L69" s="196" t="s">
        <v>760</v>
      </c>
      <c r="M69" s="196" t="s">
        <v>761</v>
      </c>
      <c r="N69" s="196" t="s">
        <v>762</v>
      </c>
      <c r="O69" s="196" t="s">
        <v>763</v>
      </c>
      <c r="P69" s="196" t="s">
        <v>764</v>
      </c>
      <c r="Q69" s="196" t="s">
        <v>765</v>
      </c>
      <c r="R69" s="196" t="s">
        <v>766</v>
      </c>
      <c r="S69" s="196" t="s">
        <v>767</v>
      </c>
      <c r="T69" s="196" t="s">
        <v>768</v>
      </c>
      <c r="U69" s="196" t="s">
        <v>769</v>
      </c>
      <c r="V69" s="196" t="s">
        <v>770</v>
      </c>
      <c r="W69" s="196" t="s">
        <v>771</v>
      </c>
      <c r="X69" s="196" t="s">
        <v>772</v>
      </c>
      <c r="Y69" s="196" t="s">
        <v>773</v>
      </c>
      <c r="Z69" s="196" t="s">
        <v>774</v>
      </c>
      <c r="AA69" s="196" t="s">
        <v>775</v>
      </c>
      <c r="AB69" s="196" t="s">
        <v>776</v>
      </c>
      <c r="AC69" s="196" t="s">
        <v>777</v>
      </c>
      <c r="AD69" s="196" t="s">
        <v>778</v>
      </c>
      <c r="AE69" s="196" t="s">
        <v>779</v>
      </c>
      <c r="AF69" s="196" t="s">
        <v>780</v>
      </c>
      <c r="AG69" s="196" t="s">
        <v>781</v>
      </c>
      <c r="AH69" s="196" t="s">
        <v>782</v>
      </c>
      <c r="AI69" s="196" t="s">
        <v>783</v>
      </c>
      <c r="AJ69" s="196" t="s">
        <v>784</v>
      </c>
      <c r="AK69" s="196" t="s">
        <v>785</v>
      </c>
      <c r="AL69" s="196" t="s">
        <v>786</v>
      </c>
      <c r="AM69" s="196" t="s">
        <v>787</v>
      </c>
      <c r="AN69" s="196" t="s">
        <v>788</v>
      </c>
    </row>
    <row r="70" spans="2:40" s="7" customFormat="1" ht="12" hidden="1" customHeight="1" outlineLevel="2">
      <c r="B70" s="239"/>
      <c r="C70" s="212" t="s">
        <v>851</v>
      </c>
      <c r="D70" s="212"/>
      <c r="E70" s="344">
        <v>0</v>
      </c>
      <c r="F70" s="344">
        <v>0</v>
      </c>
      <c r="G70" s="344">
        <v>0</v>
      </c>
      <c r="H70" s="344">
        <v>0</v>
      </c>
      <c r="I70" s="344">
        <v>0</v>
      </c>
      <c r="J70" s="344">
        <v>0</v>
      </c>
      <c r="K70" s="344">
        <v>0</v>
      </c>
      <c r="L70" s="344">
        <v>0</v>
      </c>
      <c r="M70" s="344">
        <v>0</v>
      </c>
      <c r="N70" s="344">
        <v>0</v>
      </c>
      <c r="O70" s="344">
        <v>0</v>
      </c>
      <c r="P70" s="344">
        <v>0</v>
      </c>
      <c r="Q70" s="344">
        <v>0</v>
      </c>
      <c r="R70" s="344">
        <v>0</v>
      </c>
      <c r="S70" s="344">
        <v>0</v>
      </c>
      <c r="T70" s="344">
        <v>0</v>
      </c>
      <c r="U70" s="344">
        <v>0</v>
      </c>
      <c r="V70" s="344">
        <v>0</v>
      </c>
      <c r="W70" s="344">
        <v>0</v>
      </c>
      <c r="X70" s="344">
        <v>0</v>
      </c>
      <c r="Y70" s="344">
        <v>0</v>
      </c>
      <c r="Z70" s="344">
        <v>0</v>
      </c>
      <c r="AA70" s="344">
        <v>0</v>
      </c>
      <c r="AB70" s="344">
        <v>0</v>
      </c>
      <c r="AC70" s="344">
        <v>0</v>
      </c>
      <c r="AD70" s="344">
        <v>0</v>
      </c>
      <c r="AE70" s="344">
        <v>0</v>
      </c>
      <c r="AF70" s="344">
        <v>0</v>
      </c>
      <c r="AG70" s="344">
        <v>0</v>
      </c>
      <c r="AH70" s="344">
        <v>0</v>
      </c>
      <c r="AI70" s="344">
        <v>0</v>
      </c>
      <c r="AJ70" s="344">
        <v>0</v>
      </c>
      <c r="AK70" s="344">
        <v>0</v>
      </c>
      <c r="AL70" s="344">
        <v>0</v>
      </c>
      <c r="AM70" s="344">
        <v>0</v>
      </c>
      <c r="AN70" s="344">
        <v>0</v>
      </c>
    </row>
    <row r="71" spans="2:40" s="7" customFormat="1" ht="12" hidden="1" customHeight="1" outlineLevel="2">
      <c r="B71" s="239"/>
      <c r="C71" s="214" t="s">
        <v>852</v>
      </c>
      <c r="D71" s="212"/>
      <c r="E71" s="211">
        <v>26</v>
      </c>
      <c r="F71" s="211">
        <f>E71*98%</f>
        <v>25.48</v>
      </c>
      <c r="G71" s="211">
        <v>38</v>
      </c>
      <c r="H71" s="211">
        <f t="shared" ref="H71:AN71" si="53">G71*98%</f>
        <v>37.24</v>
      </c>
      <c r="I71" s="211">
        <v>14</v>
      </c>
      <c r="J71" s="211">
        <f t="shared" si="53"/>
        <v>13.719999999999999</v>
      </c>
      <c r="K71" s="211">
        <f t="shared" si="53"/>
        <v>13.445599999999999</v>
      </c>
      <c r="L71" s="211">
        <f t="shared" si="53"/>
        <v>13.176687999999999</v>
      </c>
      <c r="M71" s="211">
        <f t="shared" si="53"/>
        <v>12.913154239999999</v>
      </c>
      <c r="N71" s="211">
        <f t="shared" si="53"/>
        <v>12.6548911552</v>
      </c>
      <c r="O71" s="211">
        <f t="shared" si="53"/>
        <v>12.401793332096</v>
      </c>
      <c r="P71" s="211">
        <f t="shared" si="53"/>
        <v>12.153757465454079</v>
      </c>
      <c r="Q71" s="211">
        <f t="shared" si="53"/>
        <v>11.910682316144998</v>
      </c>
      <c r="R71" s="211">
        <f t="shared" si="53"/>
        <v>11.672468669822097</v>
      </c>
      <c r="S71" s="211">
        <f t="shared" si="53"/>
        <v>11.439019296425654</v>
      </c>
      <c r="T71" s="211">
        <f t="shared" si="53"/>
        <v>11.210238910497141</v>
      </c>
      <c r="U71" s="211">
        <f t="shared" si="53"/>
        <v>10.986034132287198</v>
      </c>
      <c r="V71" s="211">
        <f t="shared" si="53"/>
        <v>10.766313449641453</v>
      </c>
      <c r="W71" s="211">
        <f t="shared" si="53"/>
        <v>10.550987180648624</v>
      </c>
      <c r="X71" s="211">
        <f t="shared" si="53"/>
        <v>10.339967437035652</v>
      </c>
      <c r="Y71" s="211">
        <f t="shared" si="53"/>
        <v>10.133168088294939</v>
      </c>
      <c r="Z71" s="211">
        <f t="shared" si="53"/>
        <v>9.9305047265290405</v>
      </c>
      <c r="AA71" s="211">
        <f t="shared" si="53"/>
        <v>9.7318946319984594</v>
      </c>
      <c r="AB71" s="211">
        <f t="shared" si="53"/>
        <v>9.5372567393584902</v>
      </c>
      <c r="AC71" s="211">
        <f t="shared" si="53"/>
        <v>9.3465116045713206</v>
      </c>
      <c r="AD71" s="211">
        <f t="shared" si="53"/>
        <v>9.1595813724798933</v>
      </c>
      <c r="AE71" s="211">
        <f t="shared" si="53"/>
        <v>8.9763897450302945</v>
      </c>
      <c r="AF71" s="211">
        <f t="shared" si="53"/>
        <v>8.7968619501296885</v>
      </c>
      <c r="AG71" s="211">
        <f t="shared" si="53"/>
        <v>8.6209247111270955</v>
      </c>
      <c r="AH71" s="211">
        <f t="shared" si="53"/>
        <v>8.4485062169045531</v>
      </c>
      <c r="AI71" s="211">
        <f t="shared" si="53"/>
        <v>8.2795360925664614</v>
      </c>
      <c r="AJ71" s="211">
        <f t="shared" si="53"/>
        <v>8.1139453707151326</v>
      </c>
      <c r="AK71" s="211">
        <f t="shared" si="53"/>
        <v>7.95166646330083</v>
      </c>
      <c r="AL71" s="211">
        <f t="shared" si="53"/>
        <v>7.7926331340348129</v>
      </c>
      <c r="AM71" s="211">
        <f t="shared" si="53"/>
        <v>7.6367804713541165</v>
      </c>
      <c r="AN71" s="211">
        <f t="shared" si="53"/>
        <v>7.4840448619270337</v>
      </c>
    </row>
    <row r="72" spans="2:40" s="7" customFormat="1" ht="12" hidden="1" customHeight="1" outlineLevel="2">
      <c r="B72" s="245"/>
      <c r="C72" s="213" t="s">
        <v>753</v>
      </c>
      <c r="D72" s="213"/>
      <c r="E72" s="211">
        <f>INDEX($C$44:$AN$64,MATCH("New Customers One-Time",$C$44:$C$64,0),MATCH($C72,$C$44:$AN$44,0))</f>
        <v>0</v>
      </c>
      <c r="F72" s="211">
        <f t="shared" ref="F72:AN72" si="54">$E$72*(E70)</f>
        <v>0</v>
      </c>
      <c r="G72" s="211">
        <f t="shared" si="54"/>
        <v>0</v>
      </c>
      <c r="H72" s="211">
        <f t="shared" si="54"/>
        <v>0</v>
      </c>
      <c r="I72" s="211">
        <f t="shared" si="54"/>
        <v>0</v>
      </c>
      <c r="J72" s="211">
        <f t="shared" si="54"/>
        <v>0</v>
      </c>
      <c r="K72" s="211">
        <f t="shared" si="54"/>
        <v>0</v>
      </c>
      <c r="L72" s="211">
        <f t="shared" si="54"/>
        <v>0</v>
      </c>
      <c r="M72" s="211">
        <f t="shared" si="54"/>
        <v>0</v>
      </c>
      <c r="N72" s="211">
        <f t="shared" si="54"/>
        <v>0</v>
      </c>
      <c r="O72" s="211">
        <f t="shared" si="54"/>
        <v>0</v>
      </c>
      <c r="P72" s="211">
        <f t="shared" si="54"/>
        <v>0</v>
      </c>
      <c r="Q72" s="211">
        <f t="shared" si="54"/>
        <v>0</v>
      </c>
      <c r="R72" s="211">
        <f t="shared" si="54"/>
        <v>0</v>
      </c>
      <c r="S72" s="211">
        <f t="shared" si="54"/>
        <v>0</v>
      </c>
      <c r="T72" s="211">
        <f t="shared" si="54"/>
        <v>0</v>
      </c>
      <c r="U72" s="211">
        <f t="shared" si="54"/>
        <v>0</v>
      </c>
      <c r="V72" s="211">
        <f t="shared" si="54"/>
        <v>0</v>
      </c>
      <c r="W72" s="211">
        <f t="shared" si="54"/>
        <v>0</v>
      </c>
      <c r="X72" s="211">
        <f t="shared" si="54"/>
        <v>0</v>
      </c>
      <c r="Y72" s="211">
        <f t="shared" si="54"/>
        <v>0</v>
      </c>
      <c r="Z72" s="211">
        <f t="shared" si="54"/>
        <v>0</v>
      </c>
      <c r="AA72" s="211">
        <f t="shared" si="54"/>
        <v>0</v>
      </c>
      <c r="AB72" s="211">
        <f t="shared" si="54"/>
        <v>0</v>
      </c>
      <c r="AC72" s="211">
        <f t="shared" si="54"/>
        <v>0</v>
      </c>
      <c r="AD72" s="211">
        <f t="shared" si="54"/>
        <v>0</v>
      </c>
      <c r="AE72" s="211">
        <f t="shared" si="54"/>
        <v>0</v>
      </c>
      <c r="AF72" s="211">
        <f t="shared" si="54"/>
        <v>0</v>
      </c>
      <c r="AG72" s="211">
        <f t="shared" si="54"/>
        <v>0</v>
      </c>
      <c r="AH72" s="211">
        <f t="shared" si="54"/>
        <v>0</v>
      </c>
      <c r="AI72" s="211">
        <f t="shared" si="54"/>
        <v>0</v>
      </c>
      <c r="AJ72" s="211">
        <f t="shared" si="54"/>
        <v>0</v>
      </c>
      <c r="AK72" s="211">
        <f t="shared" si="54"/>
        <v>0</v>
      </c>
      <c r="AL72" s="211">
        <f t="shared" si="54"/>
        <v>0</v>
      </c>
      <c r="AM72" s="211">
        <f t="shared" si="54"/>
        <v>0</v>
      </c>
      <c r="AN72" s="211">
        <f t="shared" si="54"/>
        <v>0</v>
      </c>
    </row>
    <row r="73" spans="2:40" s="7" customFormat="1" ht="12" hidden="1" customHeight="1" outlineLevel="2">
      <c r="B73" s="245"/>
      <c r="C73" s="213" t="s">
        <v>754</v>
      </c>
      <c r="D73" s="213"/>
      <c r="E73" s="213"/>
      <c r="F73" s="211">
        <f>INDEX($C$44:$AN$64,MATCH("New Customers One-Time",$C$44:$C$64,0),MATCH($C73,$C$44:$AN$44,0))</f>
        <v>0</v>
      </c>
      <c r="G73" s="211">
        <f t="shared" ref="G73:AN73" si="55">$F$73*(E70)</f>
        <v>0</v>
      </c>
      <c r="H73" s="211">
        <f t="shared" si="55"/>
        <v>0</v>
      </c>
      <c r="I73" s="211">
        <f t="shared" si="55"/>
        <v>0</v>
      </c>
      <c r="J73" s="211">
        <f t="shared" si="55"/>
        <v>0</v>
      </c>
      <c r="K73" s="211">
        <f t="shared" si="55"/>
        <v>0</v>
      </c>
      <c r="L73" s="211">
        <f t="shared" si="55"/>
        <v>0</v>
      </c>
      <c r="M73" s="211">
        <f t="shared" si="55"/>
        <v>0</v>
      </c>
      <c r="N73" s="211">
        <f t="shared" si="55"/>
        <v>0</v>
      </c>
      <c r="O73" s="211">
        <f t="shared" si="55"/>
        <v>0</v>
      </c>
      <c r="P73" s="211">
        <f t="shared" si="55"/>
        <v>0</v>
      </c>
      <c r="Q73" s="211">
        <f t="shared" si="55"/>
        <v>0</v>
      </c>
      <c r="R73" s="211">
        <f t="shared" si="55"/>
        <v>0</v>
      </c>
      <c r="S73" s="211">
        <f t="shared" si="55"/>
        <v>0</v>
      </c>
      <c r="T73" s="211">
        <f t="shared" si="55"/>
        <v>0</v>
      </c>
      <c r="U73" s="211">
        <f t="shared" si="55"/>
        <v>0</v>
      </c>
      <c r="V73" s="211">
        <f t="shared" si="55"/>
        <v>0</v>
      </c>
      <c r="W73" s="211">
        <f t="shared" si="55"/>
        <v>0</v>
      </c>
      <c r="X73" s="211">
        <f t="shared" si="55"/>
        <v>0</v>
      </c>
      <c r="Y73" s="211">
        <f t="shared" si="55"/>
        <v>0</v>
      </c>
      <c r="Z73" s="211">
        <f t="shared" si="55"/>
        <v>0</v>
      </c>
      <c r="AA73" s="211">
        <f t="shared" si="55"/>
        <v>0</v>
      </c>
      <c r="AB73" s="211">
        <f t="shared" si="55"/>
        <v>0</v>
      </c>
      <c r="AC73" s="211">
        <f t="shared" si="55"/>
        <v>0</v>
      </c>
      <c r="AD73" s="211">
        <f t="shared" si="55"/>
        <v>0</v>
      </c>
      <c r="AE73" s="211">
        <f t="shared" si="55"/>
        <v>0</v>
      </c>
      <c r="AF73" s="211">
        <f t="shared" si="55"/>
        <v>0</v>
      </c>
      <c r="AG73" s="211">
        <f t="shared" si="55"/>
        <v>0</v>
      </c>
      <c r="AH73" s="211">
        <f t="shared" si="55"/>
        <v>0</v>
      </c>
      <c r="AI73" s="211">
        <f t="shared" si="55"/>
        <v>0</v>
      </c>
      <c r="AJ73" s="211">
        <f t="shared" si="55"/>
        <v>0</v>
      </c>
      <c r="AK73" s="211">
        <f t="shared" si="55"/>
        <v>0</v>
      </c>
      <c r="AL73" s="211">
        <f t="shared" si="55"/>
        <v>0</v>
      </c>
      <c r="AM73" s="211">
        <f t="shared" si="55"/>
        <v>0</v>
      </c>
      <c r="AN73" s="211">
        <f t="shared" si="55"/>
        <v>0</v>
      </c>
    </row>
    <row r="74" spans="2:40" s="7" customFormat="1" ht="12" hidden="1" customHeight="1" outlineLevel="2">
      <c r="B74" s="245"/>
      <c r="C74" s="213" t="s">
        <v>755</v>
      </c>
      <c r="D74" s="213"/>
      <c r="E74" s="213"/>
      <c r="G74" s="211">
        <f>INDEX($C$44:$AN$66,MATCH("New Customers One-Time",$C$44:$C$66,0),MATCH($C74,$C$44:$AN$44,0))</f>
        <v>0</v>
      </c>
      <c r="H74" s="211">
        <f t="shared" ref="H74:AN74" si="56">$G$74*(E70)</f>
        <v>0</v>
      </c>
      <c r="I74" s="211">
        <f t="shared" si="56"/>
        <v>0</v>
      </c>
      <c r="J74" s="211">
        <f t="shared" si="56"/>
        <v>0</v>
      </c>
      <c r="K74" s="211">
        <f t="shared" si="56"/>
        <v>0</v>
      </c>
      <c r="L74" s="211">
        <f t="shared" si="56"/>
        <v>0</v>
      </c>
      <c r="M74" s="211">
        <f t="shared" si="56"/>
        <v>0</v>
      </c>
      <c r="N74" s="211">
        <f t="shared" si="56"/>
        <v>0</v>
      </c>
      <c r="O74" s="211">
        <f t="shared" si="56"/>
        <v>0</v>
      </c>
      <c r="P74" s="211">
        <f t="shared" si="56"/>
        <v>0</v>
      </c>
      <c r="Q74" s="211">
        <f t="shared" si="56"/>
        <v>0</v>
      </c>
      <c r="R74" s="211">
        <f t="shared" si="56"/>
        <v>0</v>
      </c>
      <c r="S74" s="211">
        <f t="shared" si="56"/>
        <v>0</v>
      </c>
      <c r="T74" s="211">
        <f t="shared" si="56"/>
        <v>0</v>
      </c>
      <c r="U74" s="211">
        <f t="shared" si="56"/>
        <v>0</v>
      </c>
      <c r="V74" s="211">
        <f t="shared" si="56"/>
        <v>0</v>
      </c>
      <c r="W74" s="211">
        <f t="shared" si="56"/>
        <v>0</v>
      </c>
      <c r="X74" s="211">
        <f t="shared" si="56"/>
        <v>0</v>
      </c>
      <c r="Y74" s="211">
        <f t="shared" si="56"/>
        <v>0</v>
      </c>
      <c r="Z74" s="211">
        <f t="shared" si="56"/>
        <v>0</v>
      </c>
      <c r="AA74" s="211">
        <f t="shared" si="56"/>
        <v>0</v>
      </c>
      <c r="AB74" s="211">
        <f t="shared" si="56"/>
        <v>0</v>
      </c>
      <c r="AC74" s="211">
        <f t="shared" si="56"/>
        <v>0</v>
      </c>
      <c r="AD74" s="211">
        <f t="shared" si="56"/>
        <v>0</v>
      </c>
      <c r="AE74" s="211">
        <f t="shared" si="56"/>
        <v>0</v>
      </c>
      <c r="AF74" s="211">
        <f t="shared" si="56"/>
        <v>0</v>
      </c>
      <c r="AG74" s="211">
        <f t="shared" si="56"/>
        <v>0</v>
      </c>
      <c r="AH74" s="211">
        <f t="shared" si="56"/>
        <v>0</v>
      </c>
      <c r="AI74" s="211">
        <f t="shared" si="56"/>
        <v>0</v>
      </c>
      <c r="AJ74" s="211">
        <f t="shared" si="56"/>
        <v>0</v>
      </c>
      <c r="AK74" s="211">
        <f t="shared" si="56"/>
        <v>0</v>
      </c>
      <c r="AL74" s="211">
        <f t="shared" si="56"/>
        <v>0</v>
      </c>
      <c r="AM74" s="211">
        <f t="shared" si="56"/>
        <v>0</v>
      </c>
      <c r="AN74" s="211">
        <f t="shared" si="56"/>
        <v>0</v>
      </c>
    </row>
    <row r="75" spans="2:40" s="7" customFormat="1" ht="12" hidden="1" customHeight="1" outlineLevel="2">
      <c r="B75" s="245"/>
      <c r="C75" s="213" t="s">
        <v>756</v>
      </c>
      <c r="D75" s="213"/>
      <c r="E75" s="213"/>
      <c r="F75" s="213"/>
      <c r="G75" s="213"/>
      <c r="H75" s="211">
        <f>INDEX($C$44:$AN$66,MATCH("New Customers One-Time",$C$44:$C$66,0),MATCH($C75,$C$44:$AN$44,0))</f>
        <v>0</v>
      </c>
      <c r="I75" s="211">
        <f t="shared" ref="I75:AN75" si="57">$H$75*(E70)</f>
        <v>0</v>
      </c>
      <c r="J75" s="211">
        <f t="shared" si="57"/>
        <v>0</v>
      </c>
      <c r="K75" s="211">
        <f t="shared" si="57"/>
        <v>0</v>
      </c>
      <c r="L75" s="211">
        <f t="shared" si="57"/>
        <v>0</v>
      </c>
      <c r="M75" s="211">
        <f t="shared" si="57"/>
        <v>0</v>
      </c>
      <c r="N75" s="211">
        <f t="shared" si="57"/>
        <v>0</v>
      </c>
      <c r="O75" s="211">
        <f t="shared" si="57"/>
        <v>0</v>
      </c>
      <c r="P75" s="211">
        <f t="shared" si="57"/>
        <v>0</v>
      </c>
      <c r="Q75" s="211">
        <f t="shared" si="57"/>
        <v>0</v>
      </c>
      <c r="R75" s="211">
        <f t="shared" si="57"/>
        <v>0</v>
      </c>
      <c r="S75" s="211">
        <f t="shared" si="57"/>
        <v>0</v>
      </c>
      <c r="T75" s="211">
        <f t="shared" si="57"/>
        <v>0</v>
      </c>
      <c r="U75" s="211">
        <f t="shared" si="57"/>
        <v>0</v>
      </c>
      <c r="V75" s="211">
        <f t="shared" si="57"/>
        <v>0</v>
      </c>
      <c r="W75" s="211">
        <f t="shared" si="57"/>
        <v>0</v>
      </c>
      <c r="X75" s="211">
        <f t="shared" si="57"/>
        <v>0</v>
      </c>
      <c r="Y75" s="211">
        <f t="shared" si="57"/>
        <v>0</v>
      </c>
      <c r="Z75" s="211">
        <f t="shared" si="57"/>
        <v>0</v>
      </c>
      <c r="AA75" s="211">
        <f t="shared" si="57"/>
        <v>0</v>
      </c>
      <c r="AB75" s="211">
        <f t="shared" si="57"/>
        <v>0</v>
      </c>
      <c r="AC75" s="211">
        <f t="shared" si="57"/>
        <v>0</v>
      </c>
      <c r="AD75" s="211">
        <f t="shared" si="57"/>
        <v>0</v>
      </c>
      <c r="AE75" s="211">
        <f t="shared" si="57"/>
        <v>0</v>
      </c>
      <c r="AF75" s="211">
        <f t="shared" si="57"/>
        <v>0</v>
      </c>
      <c r="AG75" s="211">
        <f t="shared" si="57"/>
        <v>0</v>
      </c>
      <c r="AH75" s="211">
        <f t="shared" si="57"/>
        <v>0</v>
      </c>
      <c r="AI75" s="211">
        <f t="shared" si="57"/>
        <v>0</v>
      </c>
      <c r="AJ75" s="211">
        <f t="shared" si="57"/>
        <v>0</v>
      </c>
      <c r="AK75" s="211">
        <f t="shared" si="57"/>
        <v>0</v>
      </c>
      <c r="AL75" s="211">
        <f t="shared" si="57"/>
        <v>0</v>
      </c>
      <c r="AM75" s="211">
        <f t="shared" si="57"/>
        <v>0</v>
      </c>
      <c r="AN75" s="211">
        <f t="shared" si="57"/>
        <v>0</v>
      </c>
    </row>
    <row r="76" spans="2:40" s="7" customFormat="1" ht="12" hidden="1" customHeight="1" outlineLevel="2">
      <c r="B76" s="245"/>
      <c r="C76" s="213" t="s">
        <v>757</v>
      </c>
      <c r="D76" s="213"/>
      <c r="E76" s="213"/>
      <c r="F76" s="213"/>
      <c r="G76" s="213"/>
      <c r="H76" s="213"/>
      <c r="I76" s="211">
        <f>INDEX($C$44:$AN$66,MATCH("New Customers One-Time",$C$44:$C$66,0),MATCH($C76,$C$44:$AN$44,0))</f>
        <v>0</v>
      </c>
      <c r="J76" s="211">
        <f t="shared" ref="J76:AN76" si="58">$I$76*(E70)</f>
        <v>0</v>
      </c>
      <c r="K76" s="211">
        <f t="shared" si="58"/>
        <v>0</v>
      </c>
      <c r="L76" s="211">
        <f t="shared" si="58"/>
        <v>0</v>
      </c>
      <c r="M76" s="211">
        <f t="shared" si="58"/>
        <v>0</v>
      </c>
      <c r="N76" s="211">
        <f t="shared" si="58"/>
        <v>0</v>
      </c>
      <c r="O76" s="211">
        <f t="shared" si="58"/>
        <v>0</v>
      </c>
      <c r="P76" s="211">
        <f t="shared" si="58"/>
        <v>0</v>
      </c>
      <c r="Q76" s="211">
        <f t="shared" si="58"/>
        <v>0</v>
      </c>
      <c r="R76" s="211">
        <f t="shared" si="58"/>
        <v>0</v>
      </c>
      <c r="S76" s="211">
        <f t="shared" si="58"/>
        <v>0</v>
      </c>
      <c r="T76" s="211">
        <f t="shared" si="58"/>
        <v>0</v>
      </c>
      <c r="U76" s="211">
        <f t="shared" si="58"/>
        <v>0</v>
      </c>
      <c r="V76" s="211">
        <f t="shared" si="58"/>
        <v>0</v>
      </c>
      <c r="W76" s="211">
        <f t="shared" si="58"/>
        <v>0</v>
      </c>
      <c r="X76" s="211">
        <f t="shared" si="58"/>
        <v>0</v>
      </c>
      <c r="Y76" s="211">
        <f t="shared" si="58"/>
        <v>0</v>
      </c>
      <c r="Z76" s="211">
        <f t="shared" si="58"/>
        <v>0</v>
      </c>
      <c r="AA76" s="211">
        <f t="shared" si="58"/>
        <v>0</v>
      </c>
      <c r="AB76" s="211">
        <f t="shared" si="58"/>
        <v>0</v>
      </c>
      <c r="AC76" s="211">
        <f t="shared" si="58"/>
        <v>0</v>
      </c>
      <c r="AD76" s="211">
        <f t="shared" si="58"/>
        <v>0</v>
      </c>
      <c r="AE76" s="211">
        <f t="shared" si="58"/>
        <v>0</v>
      </c>
      <c r="AF76" s="211">
        <f t="shared" si="58"/>
        <v>0</v>
      </c>
      <c r="AG76" s="211">
        <f t="shared" si="58"/>
        <v>0</v>
      </c>
      <c r="AH76" s="211">
        <f t="shared" si="58"/>
        <v>0</v>
      </c>
      <c r="AI76" s="211">
        <f t="shared" si="58"/>
        <v>0</v>
      </c>
      <c r="AJ76" s="211">
        <f t="shared" si="58"/>
        <v>0</v>
      </c>
      <c r="AK76" s="211">
        <f t="shared" si="58"/>
        <v>0</v>
      </c>
      <c r="AL76" s="211">
        <f t="shared" si="58"/>
        <v>0</v>
      </c>
      <c r="AM76" s="211">
        <f t="shared" si="58"/>
        <v>0</v>
      </c>
      <c r="AN76" s="211">
        <f t="shared" si="58"/>
        <v>0</v>
      </c>
    </row>
    <row r="77" spans="2:40" s="7" customFormat="1" ht="12" hidden="1" customHeight="1" outlineLevel="2">
      <c r="B77" s="245"/>
      <c r="C77" s="213" t="s">
        <v>758</v>
      </c>
      <c r="D77" s="213"/>
      <c r="E77" s="213"/>
      <c r="F77" s="213"/>
      <c r="G77" s="213"/>
      <c r="H77" s="213"/>
      <c r="I77" s="213"/>
      <c r="J77" s="211">
        <f>INDEX($C$44:$AN$66,MATCH("New Customers One-Time",$C$44:$C$66,0),MATCH($C77,$C$44:$AN$44,0))</f>
        <v>4</v>
      </c>
      <c r="K77" s="211">
        <f t="shared" ref="K77:AN77" si="59">$J$77*(E70)</f>
        <v>0</v>
      </c>
      <c r="L77" s="211">
        <f t="shared" si="59"/>
        <v>0</v>
      </c>
      <c r="M77" s="211">
        <f t="shared" si="59"/>
        <v>0</v>
      </c>
      <c r="N77" s="211">
        <f t="shared" si="59"/>
        <v>0</v>
      </c>
      <c r="O77" s="211">
        <f t="shared" si="59"/>
        <v>0</v>
      </c>
      <c r="P77" s="211">
        <f t="shared" si="59"/>
        <v>0</v>
      </c>
      <c r="Q77" s="211">
        <f t="shared" si="59"/>
        <v>0</v>
      </c>
      <c r="R77" s="211">
        <f t="shared" si="59"/>
        <v>0</v>
      </c>
      <c r="S77" s="211">
        <f t="shared" si="59"/>
        <v>0</v>
      </c>
      <c r="T77" s="211">
        <f t="shared" si="59"/>
        <v>0</v>
      </c>
      <c r="U77" s="211">
        <f t="shared" si="59"/>
        <v>0</v>
      </c>
      <c r="V77" s="211">
        <f t="shared" si="59"/>
        <v>0</v>
      </c>
      <c r="W77" s="211">
        <f t="shared" si="59"/>
        <v>0</v>
      </c>
      <c r="X77" s="211">
        <f t="shared" si="59"/>
        <v>0</v>
      </c>
      <c r="Y77" s="211">
        <f t="shared" si="59"/>
        <v>0</v>
      </c>
      <c r="Z77" s="211">
        <f t="shared" si="59"/>
        <v>0</v>
      </c>
      <c r="AA77" s="211">
        <f t="shared" si="59"/>
        <v>0</v>
      </c>
      <c r="AB77" s="211">
        <f t="shared" si="59"/>
        <v>0</v>
      </c>
      <c r="AC77" s="211">
        <f t="shared" si="59"/>
        <v>0</v>
      </c>
      <c r="AD77" s="211">
        <f t="shared" si="59"/>
        <v>0</v>
      </c>
      <c r="AE77" s="211">
        <f t="shared" si="59"/>
        <v>0</v>
      </c>
      <c r="AF77" s="211">
        <f t="shared" si="59"/>
        <v>0</v>
      </c>
      <c r="AG77" s="211">
        <f t="shared" si="59"/>
        <v>0</v>
      </c>
      <c r="AH77" s="211">
        <f t="shared" si="59"/>
        <v>0</v>
      </c>
      <c r="AI77" s="211">
        <f t="shared" si="59"/>
        <v>0</v>
      </c>
      <c r="AJ77" s="211">
        <f t="shared" si="59"/>
        <v>0</v>
      </c>
      <c r="AK77" s="211">
        <f t="shared" si="59"/>
        <v>0</v>
      </c>
      <c r="AL77" s="211">
        <f t="shared" si="59"/>
        <v>0</v>
      </c>
      <c r="AM77" s="211">
        <f t="shared" si="59"/>
        <v>0</v>
      </c>
      <c r="AN77" s="211">
        <f t="shared" si="59"/>
        <v>0</v>
      </c>
    </row>
    <row r="78" spans="2:40" s="7" customFormat="1" ht="12" hidden="1" customHeight="1" outlineLevel="2">
      <c r="B78" s="245"/>
      <c r="C78" s="213" t="s">
        <v>759</v>
      </c>
      <c r="D78" s="213"/>
      <c r="E78" s="213"/>
      <c r="F78" s="213"/>
      <c r="G78" s="213"/>
      <c r="H78" s="213"/>
      <c r="I78" s="213"/>
      <c r="J78" s="213"/>
      <c r="K78" s="211">
        <f>INDEX($C$44:$AN$66,MATCH("New Customers One-Time",$C$44:$C$66,0),MATCH($C78,$C$44:$AN$44,0))</f>
        <v>5</v>
      </c>
      <c r="L78" s="211">
        <f t="shared" ref="L78:AN78" si="60">$K$78*(E70)</f>
        <v>0</v>
      </c>
      <c r="M78" s="211">
        <f t="shared" si="60"/>
        <v>0</v>
      </c>
      <c r="N78" s="211">
        <f t="shared" si="60"/>
        <v>0</v>
      </c>
      <c r="O78" s="211">
        <f t="shared" si="60"/>
        <v>0</v>
      </c>
      <c r="P78" s="211">
        <f t="shared" si="60"/>
        <v>0</v>
      </c>
      <c r="Q78" s="211">
        <f t="shared" si="60"/>
        <v>0</v>
      </c>
      <c r="R78" s="211">
        <f t="shared" si="60"/>
        <v>0</v>
      </c>
      <c r="S78" s="211">
        <f t="shared" si="60"/>
        <v>0</v>
      </c>
      <c r="T78" s="211">
        <f t="shared" si="60"/>
        <v>0</v>
      </c>
      <c r="U78" s="211">
        <f t="shared" si="60"/>
        <v>0</v>
      </c>
      <c r="V78" s="211">
        <f t="shared" si="60"/>
        <v>0</v>
      </c>
      <c r="W78" s="211">
        <f t="shared" si="60"/>
        <v>0</v>
      </c>
      <c r="X78" s="211">
        <f t="shared" si="60"/>
        <v>0</v>
      </c>
      <c r="Y78" s="211">
        <f t="shared" si="60"/>
        <v>0</v>
      </c>
      <c r="Z78" s="211">
        <f t="shared" si="60"/>
        <v>0</v>
      </c>
      <c r="AA78" s="211">
        <f t="shared" si="60"/>
        <v>0</v>
      </c>
      <c r="AB78" s="211">
        <f t="shared" si="60"/>
        <v>0</v>
      </c>
      <c r="AC78" s="211">
        <f t="shared" si="60"/>
        <v>0</v>
      </c>
      <c r="AD78" s="211">
        <f t="shared" si="60"/>
        <v>0</v>
      </c>
      <c r="AE78" s="211">
        <f t="shared" si="60"/>
        <v>0</v>
      </c>
      <c r="AF78" s="211">
        <f t="shared" si="60"/>
        <v>0</v>
      </c>
      <c r="AG78" s="211">
        <f t="shared" si="60"/>
        <v>0</v>
      </c>
      <c r="AH78" s="211">
        <f t="shared" si="60"/>
        <v>0</v>
      </c>
      <c r="AI78" s="211">
        <f t="shared" si="60"/>
        <v>0</v>
      </c>
      <c r="AJ78" s="211">
        <f t="shared" si="60"/>
        <v>0</v>
      </c>
      <c r="AK78" s="211">
        <f t="shared" si="60"/>
        <v>0</v>
      </c>
      <c r="AL78" s="211">
        <f t="shared" si="60"/>
        <v>0</v>
      </c>
      <c r="AM78" s="211">
        <f t="shared" si="60"/>
        <v>0</v>
      </c>
      <c r="AN78" s="211">
        <f t="shared" si="60"/>
        <v>0</v>
      </c>
    </row>
    <row r="79" spans="2:40" s="7" customFormat="1" ht="12" hidden="1" customHeight="1" outlineLevel="2">
      <c r="B79" s="245"/>
      <c r="C79" s="213" t="s">
        <v>760</v>
      </c>
      <c r="D79" s="213"/>
      <c r="E79" s="213"/>
      <c r="F79" s="213"/>
      <c r="G79" s="213"/>
      <c r="H79" s="213"/>
      <c r="I79" s="213"/>
      <c r="J79" s="213"/>
      <c r="K79" s="213"/>
      <c r="L79" s="211">
        <f>INDEX($C$44:$AN$66,MATCH("New Customers One-Time",$C$44:$C$66,0),MATCH($C79,$C$44:$AN$44,0))</f>
        <v>5</v>
      </c>
      <c r="M79" s="211">
        <f t="shared" ref="M79:AN79" si="61">$L$79*(E70)</f>
        <v>0</v>
      </c>
      <c r="N79" s="211">
        <f t="shared" si="61"/>
        <v>0</v>
      </c>
      <c r="O79" s="211">
        <f t="shared" si="61"/>
        <v>0</v>
      </c>
      <c r="P79" s="211">
        <f t="shared" si="61"/>
        <v>0</v>
      </c>
      <c r="Q79" s="211">
        <f t="shared" si="61"/>
        <v>0</v>
      </c>
      <c r="R79" s="211">
        <f t="shared" si="61"/>
        <v>0</v>
      </c>
      <c r="S79" s="211">
        <f t="shared" si="61"/>
        <v>0</v>
      </c>
      <c r="T79" s="211">
        <f t="shared" si="61"/>
        <v>0</v>
      </c>
      <c r="U79" s="211">
        <f t="shared" si="61"/>
        <v>0</v>
      </c>
      <c r="V79" s="211">
        <f t="shared" si="61"/>
        <v>0</v>
      </c>
      <c r="W79" s="211">
        <f t="shared" si="61"/>
        <v>0</v>
      </c>
      <c r="X79" s="211">
        <f t="shared" si="61"/>
        <v>0</v>
      </c>
      <c r="Y79" s="211">
        <f t="shared" si="61"/>
        <v>0</v>
      </c>
      <c r="Z79" s="211">
        <f t="shared" si="61"/>
        <v>0</v>
      </c>
      <c r="AA79" s="211">
        <f t="shared" si="61"/>
        <v>0</v>
      </c>
      <c r="AB79" s="211">
        <f t="shared" si="61"/>
        <v>0</v>
      </c>
      <c r="AC79" s="211">
        <f t="shared" si="61"/>
        <v>0</v>
      </c>
      <c r="AD79" s="211">
        <f t="shared" si="61"/>
        <v>0</v>
      </c>
      <c r="AE79" s="211">
        <f t="shared" si="61"/>
        <v>0</v>
      </c>
      <c r="AF79" s="211">
        <f t="shared" si="61"/>
        <v>0</v>
      </c>
      <c r="AG79" s="211">
        <f t="shared" si="61"/>
        <v>0</v>
      </c>
      <c r="AH79" s="211">
        <f t="shared" si="61"/>
        <v>0</v>
      </c>
      <c r="AI79" s="211">
        <f t="shared" si="61"/>
        <v>0</v>
      </c>
      <c r="AJ79" s="211">
        <f t="shared" si="61"/>
        <v>0</v>
      </c>
      <c r="AK79" s="211">
        <f t="shared" si="61"/>
        <v>0</v>
      </c>
      <c r="AL79" s="211">
        <f t="shared" si="61"/>
        <v>0</v>
      </c>
      <c r="AM79" s="211">
        <f t="shared" si="61"/>
        <v>0</v>
      </c>
      <c r="AN79" s="211">
        <f t="shared" si="61"/>
        <v>0</v>
      </c>
    </row>
    <row r="80" spans="2:40" s="7" customFormat="1" ht="12" hidden="1" customHeight="1" outlineLevel="2">
      <c r="B80" s="245"/>
      <c r="C80" s="213" t="s">
        <v>761</v>
      </c>
      <c r="D80" s="213"/>
      <c r="E80" s="213"/>
      <c r="F80" s="213"/>
      <c r="G80" s="213"/>
      <c r="H80" s="213"/>
      <c r="I80" s="213"/>
      <c r="J80" s="213"/>
      <c r="K80" s="213"/>
      <c r="L80" s="213"/>
      <c r="M80" s="211">
        <f>INDEX($C$44:$AN$66,MATCH("New Customers One-Time",$C$44:$C$66,0),MATCH($C80,$C$44:$AN$44,0))</f>
        <v>0.76832151300236418</v>
      </c>
      <c r="N80" s="211">
        <f t="shared" ref="N80:AN80" si="62">$M$80*(E70)</f>
        <v>0</v>
      </c>
      <c r="O80" s="211">
        <f t="shared" si="62"/>
        <v>0</v>
      </c>
      <c r="P80" s="211">
        <f t="shared" si="62"/>
        <v>0</v>
      </c>
      <c r="Q80" s="211">
        <f t="shared" si="62"/>
        <v>0</v>
      </c>
      <c r="R80" s="211">
        <f t="shared" si="62"/>
        <v>0</v>
      </c>
      <c r="S80" s="211">
        <f t="shared" si="62"/>
        <v>0</v>
      </c>
      <c r="T80" s="211">
        <f t="shared" si="62"/>
        <v>0</v>
      </c>
      <c r="U80" s="211">
        <f t="shared" si="62"/>
        <v>0</v>
      </c>
      <c r="V80" s="211">
        <f t="shared" si="62"/>
        <v>0</v>
      </c>
      <c r="W80" s="211">
        <f t="shared" si="62"/>
        <v>0</v>
      </c>
      <c r="X80" s="211">
        <f t="shared" si="62"/>
        <v>0</v>
      </c>
      <c r="Y80" s="211">
        <f t="shared" si="62"/>
        <v>0</v>
      </c>
      <c r="Z80" s="211">
        <f t="shared" si="62"/>
        <v>0</v>
      </c>
      <c r="AA80" s="211">
        <f t="shared" si="62"/>
        <v>0</v>
      </c>
      <c r="AB80" s="211">
        <f t="shared" si="62"/>
        <v>0</v>
      </c>
      <c r="AC80" s="211">
        <f t="shared" si="62"/>
        <v>0</v>
      </c>
      <c r="AD80" s="211">
        <f t="shared" si="62"/>
        <v>0</v>
      </c>
      <c r="AE80" s="211">
        <f t="shared" si="62"/>
        <v>0</v>
      </c>
      <c r="AF80" s="211">
        <f t="shared" si="62"/>
        <v>0</v>
      </c>
      <c r="AG80" s="211">
        <f t="shared" si="62"/>
        <v>0</v>
      </c>
      <c r="AH80" s="211">
        <f t="shared" si="62"/>
        <v>0</v>
      </c>
      <c r="AI80" s="211">
        <f t="shared" si="62"/>
        <v>0</v>
      </c>
      <c r="AJ80" s="211">
        <f t="shared" si="62"/>
        <v>0</v>
      </c>
      <c r="AK80" s="211">
        <f t="shared" si="62"/>
        <v>0</v>
      </c>
      <c r="AL80" s="211">
        <f t="shared" si="62"/>
        <v>0</v>
      </c>
      <c r="AM80" s="211">
        <f t="shared" si="62"/>
        <v>0</v>
      </c>
      <c r="AN80" s="211">
        <f t="shared" si="62"/>
        <v>0</v>
      </c>
    </row>
    <row r="81" spans="2:40" s="7" customFormat="1" ht="12" hidden="1" customHeight="1" outlineLevel="2">
      <c r="B81" s="245"/>
      <c r="C81" s="213" t="s">
        <v>762</v>
      </c>
      <c r="D81" s="213"/>
      <c r="E81" s="213"/>
      <c r="F81" s="213"/>
      <c r="G81" s="213"/>
      <c r="H81" s="213"/>
      <c r="I81" s="213"/>
      <c r="J81" s="213"/>
      <c r="K81" s="213"/>
      <c r="L81" s="213"/>
      <c r="M81" s="213"/>
      <c r="N81" s="211">
        <f>INDEX($C$44:$AN$66,MATCH("New Customers One-Time",$C$44:$C$66,0),MATCH($C81,$C$44:$AN$44,0))</f>
        <v>0.76832151300236418</v>
      </c>
      <c r="O81" s="211">
        <f t="shared" ref="O81:AN81" si="63">$N$81*(E70)</f>
        <v>0</v>
      </c>
      <c r="P81" s="211">
        <f t="shared" si="63"/>
        <v>0</v>
      </c>
      <c r="Q81" s="211">
        <f t="shared" si="63"/>
        <v>0</v>
      </c>
      <c r="R81" s="211">
        <f t="shared" si="63"/>
        <v>0</v>
      </c>
      <c r="S81" s="211">
        <f t="shared" si="63"/>
        <v>0</v>
      </c>
      <c r="T81" s="211">
        <f t="shared" si="63"/>
        <v>0</v>
      </c>
      <c r="U81" s="211">
        <f t="shared" si="63"/>
        <v>0</v>
      </c>
      <c r="V81" s="211">
        <f t="shared" si="63"/>
        <v>0</v>
      </c>
      <c r="W81" s="211">
        <f t="shared" si="63"/>
        <v>0</v>
      </c>
      <c r="X81" s="211">
        <f t="shared" si="63"/>
        <v>0</v>
      </c>
      <c r="Y81" s="211">
        <f t="shared" si="63"/>
        <v>0</v>
      </c>
      <c r="Z81" s="211">
        <f t="shared" si="63"/>
        <v>0</v>
      </c>
      <c r="AA81" s="211">
        <f t="shared" si="63"/>
        <v>0</v>
      </c>
      <c r="AB81" s="211">
        <f t="shared" si="63"/>
        <v>0</v>
      </c>
      <c r="AC81" s="211">
        <f t="shared" si="63"/>
        <v>0</v>
      </c>
      <c r="AD81" s="211">
        <f t="shared" si="63"/>
        <v>0</v>
      </c>
      <c r="AE81" s="211">
        <f t="shared" si="63"/>
        <v>0</v>
      </c>
      <c r="AF81" s="211">
        <f t="shared" si="63"/>
        <v>0</v>
      </c>
      <c r="AG81" s="211">
        <f t="shared" si="63"/>
        <v>0</v>
      </c>
      <c r="AH81" s="211">
        <f t="shared" si="63"/>
        <v>0</v>
      </c>
      <c r="AI81" s="211">
        <f t="shared" si="63"/>
        <v>0</v>
      </c>
      <c r="AJ81" s="211">
        <f t="shared" si="63"/>
        <v>0</v>
      </c>
      <c r="AK81" s="211">
        <f t="shared" si="63"/>
        <v>0</v>
      </c>
      <c r="AL81" s="211">
        <f t="shared" si="63"/>
        <v>0</v>
      </c>
      <c r="AM81" s="211">
        <f t="shared" si="63"/>
        <v>0</v>
      </c>
      <c r="AN81" s="211">
        <f t="shared" si="63"/>
        <v>0</v>
      </c>
    </row>
    <row r="82" spans="2:40" s="7" customFormat="1" ht="12" hidden="1" customHeight="1" outlineLevel="2">
      <c r="B82" s="245"/>
      <c r="C82" s="213" t="s">
        <v>763</v>
      </c>
      <c r="D82" s="213"/>
      <c r="E82" s="213"/>
      <c r="F82" s="213"/>
      <c r="G82" s="213"/>
      <c r="H82" s="213"/>
      <c r="I82" s="213"/>
      <c r="J82" s="213"/>
      <c r="K82" s="213"/>
      <c r="L82" s="213"/>
      <c r="M82" s="213"/>
      <c r="N82" s="213"/>
      <c r="O82" s="211">
        <f>INDEX($C$44:$AN$66,MATCH("New Customers One-Time",$C$44:$C$66,0),MATCH($C82,$C$44:$AN$44,0))</f>
        <v>0.44326241134751776</v>
      </c>
      <c r="P82" s="211">
        <f t="shared" ref="P82:AN82" si="64">$O$82*(E70)</f>
        <v>0</v>
      </c>
      <c r="Q82" s="211">
        <f t="shared" si="64"/>
        <v>0</v>
      </c>
      <c r="R82" s="211">
        <f t="shared" si="64"/>
        <v>0</v>
      </c>
      <c r="S82" s="211">
        <f t="shared" si="64"/>
        <v>0</v>
      </c>
      <c r="T82" s="211">
        <f t="shared" si="64"/>
        <v>0</v>
      </c>
      <c r="U82" s="211">
        <f t="shared" si="64"/>
        <v>0</v>
      </c>
      <c r="V82" s="211">
        <f t="shared" si="64"/>
        <v>0</v>
      </c>
      <c r="W82" s="211">
        <f t="shared" si="64"/>
        <v>0</v>
      </c>
      <c r="X82" s="211">
        <f t="shared" si="64"/>
        <v>0</v>
      </c>
      <c r="Y82" s="211">
        <f t="shared" si="64"/>
        <v>0</v>
      </c>
      <c r="Z82" s="211">
        <f t="shared" si="64"/>
        <v>0</v>
      </c>
      <c r="AA82" s="211">
        <f t="shared" si="64"/>
        <v>0</v>
      </c>
      <c r="AB82" s="211">
        <f t="shared" si="64"/>
        <v>0</v>
      </c>
      <c r="AC82" s="211">
        <f t="shared" si="64"/>
        <v>0</v>
      </c>
      <c r="AD82" s="211">
        <f t="shared" si="64"/>
        <v>0</v>
      </c>
      <c r="AE82" s="211">
        <f t="shared" si="64"/>
        <v>0</v>
      </c>
      <c r="AF82" s="211">
        <f t="shared" si="64"/>
        <v>0</v>
      </c>
      <c r="AG82" s="211">
        <f t="shared" si="64"/>
        <v>0</v>
      </c>
      <c r="AH82" s="211">
        <f t="shared" si="64"/>
        <v>0</v>
      </c>
      <c r="AI82" s="211">
        <f t="shared" si="64"/>
        <v>0</v>
      </c>
      <c r="AJ82" s="211">
        <f t="shared" si="64"/>
        <v>0</v>
      </c>
      <c r="AK82" s="211">
        <f t="shared" si="64"/>
        <v>0</v>
      </c>
      <c r="AL82" s="211">
        <f t="shared" si="64"/>
        <v>0</v>
      </c>
      <c r="AM82" s="211">
        <f t="shared" si="64"/>
        <v>0</v>
      </c>
      <c r="AN82" s="211">
        <f t="shared" si="64"/>
        <v>0</v>
      </c>
    </row>
    <row r="83" spans="2:40" s="7" customFormat="1" ht="12" hidden="1" customHeight="1" outlineLevel="2">
      <c r="B83" s="245"/>
      <c r="C83" s="213" t="s">
        <v>764</v>
      </c>
      <c r="D83" s="213"/>
      <c r="E83" s="213"/>
      <c r="F83" s="213"/>
      <c r="G83" s="213"/>
      <c r="H83" s="213"/>
      <c r="I83" s="213"/>
      <c r="J83" s="213"/>
      <c r="K83" s="213"/>
      <c r="L83" s="213"/>
      <c r="M83" s="213"/>
      <c r="N83" s="213"/>
      <c r="O83" s="213"/>
      <c r="P83" s="211">
        <f>INDEX($C$44:$AN$66,MATCH("New Customers One-Time",$C$44:$C$66,0),MATCH($C83,$C$44:$AN$44,0))</f>
        <v>0.29550827423167852</v>
      </c>
      <c r="Q83" s="211">
        <f t="shared" ref="Q83:AN83" si="65">$P$83*(E70)</f>
        <v>0</v>
      </c>
      <c r="R83" s="211">
        <f t="shared" si="65"/>
        <v>0</v>
      </c>
      <c r="S83" s="211">
        <f t="shared" si="65"/>
        <v>0</v>
      </c>
      <c r="T83" s="211">
        <f t="shared" si="65"/>
        <v>0</v>
      </c>
      <c r="U83" s="211">
        <f t="shared" si="65"/>
        <v>0</v>
      </c>
      <c r="V83" s="211">
        <f t="shared" si="65"/>
        <v>0</v>
      </c>
      <c r="W83" s="211">
        <f t="shared" si="65"/>
        <v>0</v>
      </c>
      <c r="X83" s="211">
        <f t="shared" si="65"/>
        <v>0</v>
      </c>
      <c r="Y83" s="211">
        <f t="shared" si="65"/>
        <v>0</v>
      </c>
      <c r="Z83" s="211">
        <f t="shared" si="65"/>
        <v>0</v>
      </c>
      <c r="AA83" s="211">
        <f t="shared" si="65"/>
        <v>0</v>
      </c>
      <c r="AB83" s="211">
        <f t="shared" si="65"/>
        <v>0</v>
      </c>
      <c r="AC83" s="211">
        <f t="shared" si="65"/>
        <v>0</v>
      </c>
      <c r="AD83" s="211">
        <f t="shared" si="65"/>
        <v>0</v>
      </c>
      <c r="AE83" s="211">
        <f t="shared" si="65"/>
        <v>0</v>
      </c>
      <c r="AF83" s="211">
        <f t="shared" si="65"/>
        <v>0</v>
      </c>
      <c r="AG83" s="211">
        <f t="shared" si="65"/>
        <v>0</v>
      </c>
      <c r="AH83" s="211">
        <f t="shared" si="65"/>
        <v>0</v>
      </c>
      <c r="AI83" s="211">
        <f t="shared" si="65"/>
        <v>0</v>
      </c>
      <c r="AJ83" s="211">
        <f t="shared" si="65"/>
        <v>0</v>
      </c>
      <c r="AK83" s="211">
        <f t="shared" si="65"/>
        <v>0</v>
      </c>
      <c r="AL83" s="211">
        <f t="shared" si="65"/>
        <v>0</v>
      </c>
      <c r="AM83" s="211">
        <f t="shared" si="65"/>
        <v>0</v>
      </c>
      <c r="AN83" s="211">
        <f t="shared" si="65"/>
        <v>0</v>
      </c>
    </row>
    <row r="84" spans="2:40" s="7" customFormat="1" ht="12" hidden="1" customHeight="1" outlineLevel="2">
      <c r="B84" s="245"/>
      <c r="C84" s="213" t="s">
        <v>765</v>
      </c>
      <c r="D84" s="213"/>
      <c r="E84" s="213"/>
      <c r="F84" s="213"/>
      <c r="G84" s="213"/>
      <c r="H84" s="213"/>
      <c r="I84" s="213"/>
      <c r="J84" s="213"/>
      <c r="K84" s="213"/>
      <c r="L84" s="213"/>
      <c r="M84" s="213"/>
      <c r="N84" s="213"/>
      <c r="O84" s="213"/>
      <c r="P84" s="213"/>
      <c r="Q84" s="211">
        <f>INDEX($C$44:$AN$66,MATCH("New Customers One-Time",$C$44:$C$66,0),MATCH($C84,$C$44:$AN$44,0))</f>
        <v>9.5138297872340445</v>
      </c>
      <c r="R84" s="211">
        <f t="shared" ref="R84:AN84" si="66">$Q$84*(E70)</f>
        <v>0</v>
      </c>
      <c r="S84" s="211">
        <f t="shared" si="66"/>
        <v>0</v>
      </c>
      <c r="T84" s="211">
        <f t="shared" si="66"/>
        <v>0</v>
      </c>
      <c r="U84" s="211">
        <f t="shared" si="66"/>
        <v>0</v>
      </c>
      <c r="V84" s="211">
        <f t="shared" si="66"/>
        <v>0</v>
      </c>
      <c r="W84" s="211">
        <f t="shared" si="66"/>
        <v>0</v>
      </c>
      <c r="X84" s="211">
        <f t="shared" si="66"/>
        <v>0</v>
      </c>
      <c r="Y84" s="211">
        <f t="shared" si="66"/>
        <v>0</v>
      </c>
      <c r="Z84" s="211">
        <f t="shared" si="66"/>
        <v>0</v>
      </c>
      <c r="AA84" s="211">
        <f t="shared" si="66"/>
        <v>0</v>
      </c>
      <c r="AB84" s="211">
        <f t="shared" si="66"/>
        <v>0</v>
      </c>
      <c r="AC84" s="211">
        <f t="shared" si="66"/>
        <v>0</v>
      </c>
      <c r="AD84" s="211">
        <f t="shared" si="66"/>
        <v>0</v>
      </c>
      <c r="AE84" s="211">
        <f t="shared" si="66"/>
        <v>0</v>
      </c>
      <c r="AF84" s="211">
        <f t="shared" si="66"/>
        <v>0</v>
      </c>
      <c r="AG84" s="211">
        <f t="shared" si="66"/>
        <v>0</v>
      </c>
      <c r="AH84" s="211">
        <f t="shared" si="66"/>
        <v>0</v>
      </c>
      <c r="AI84" s="211">
        <f t="shared" si="66"/>
        <v>0</v>
      </c>
      <c r="AJ84" s="211">
        <f t="shared" si="66"/>
        <v>0</v>
      </c>
      <c r="AK84" s="211">
        <f t="shared" si="66"/>
        <v>0</v>
      </c>
      <c r="AL84" s="211">
        <f t="shared" si="66"/>
        <v>0</v>
      </c>
      <c r="AM84" s="211">
        <f t="shared" si="66"/>
        <v>0</v>
      </c>
      <c r="AN84" s="211">
        <f t="shared" si="66"/>
        <v>0</v>
      </c>
    </row>
    <row r="85" spans="2:40" s="7" customFormat="1" ht="12" hidden="1" customHeight="1" outlineLevel="2">
      <c r="B85" s="245"/>
      <c r="C85" s="213" t="s">
        <v>766</v>
      </c>
      <c r="D85" s="213"/>
      <c r="E85" s="213"/>
      <c r="F85" s="213"/>
      <c r="G85" s="213"/>
      <c r="H85" s="213"/>
      <c r="I85" s="213"/>
      <c r="J85" s="213"/>
      <c r="K85" s="213"/>
      <c r="L85" s="213"/>
      <c r="M85" s="213"/>
      <c r="N85" s="213"/>
      <c r="O85" s="213"/>
      <c r="P85" s="213"/>
      <c r="Q85" s="213"/>
      <c r="R85" s="211">
        <f>INDEX($C$44:$AN$66,MATCH("New Customers One-Time",$C$44:$C$66,0),MATCH($C85,$C$44:$AN$44,0))</f>
        <v>16.929078014184402</v>
      </c>
      <c r="S85" s="211">
        <f t="shared" ref="S85:AN85" si="67">$R$85*(E70)</f>
        <v>0</v>
      </c>
      <c r="T85" s="211">
        <f t="shared" si="67"/>
        <v>0</v>
      </c>
      <c r="U85" s="211">
        <f t="shared" si="67"/>
        <v>0</v>
      </c>
      <c r="V85" s="211">
        <f t="shared" si="67"/>
        <v>0</v>
      </c>
      <c r="W85" s="211">
        <f t="shared" si="67"/>
        <v>0</v>
      </c>
      <c r="X85" s="211">
        <f t="shared" si="67"/>
        <v>0</v>
      </c>
      <c r="Y85" s="211">
        <f t="shared" si="67"/>
        <v>0</v>
      </c>
      <c r="Z85" s="211">
        <f t="shared" si="67"/>
        <v>0</v>
      </c>
      <c r="AA85" s="211">
        <f t="shared" si="67"/>
        <v>0</v>
      </c>
      <c r="AB85" s="211">
        <f t="shared" si="67"/>
        <v>0</v>
      </c>
      <c r="AC85" s="211">
        <f t="shared" si="67"/>
        <v>0</v>
      </c>
      <c r="AD85" s="211">
        <f t="shared" si="67"/>
        <v>0</v>
      </c>
      <c r="AE85" s="211">
        <f t="shared" si="67"/>
        <v>0</v>
      </c>
      <c r="AF85" s="211">
        <f t="shared" si="67"/>
        <v>0</v>
      </c>
      <c r="AG85" s="211">
        <f t="shared" si="67"/>
        <v>0</v>
      </c>
      <c r="AH85" s="211">
        <f t="shared" si="67"/>
        <v>0</v>
      </c>
      <c r="AI85" s="211">
        <f t="shared" si="67"/>
        <v>0</v>
      </c>
      <c r="AJ85" s="211">
        <f t="shared" si="67"/>
        <v>0</v>
      </c>
      <c r="AK85" s="211">
        <f t="shared" si="67"/>
        <v>0</v>
      </c>
      <c r="AL85" s="211">
        <f t="shared" si="67"/>
        <v>0</v>
      </c>
      <c r="AM85" s="211">
        <f t="shared" si="67"/>
        <v>0</v>
      </c>
      <c r="AN85" s="211">
        <f t="shared" si="67"/>
        <v>0</v>
      </c>
    </row>
    <row r="86" spans="2:40" s="7" customFormat="1" ht="12" hidden="1" customHeight="1" outlineLevel="2">
      <c r="B86" s="245"/>
      <c r="C86" s="213" t="s">
        <v>767</v>
      </c>
      <c r="D86" s="213"/>
      <c r="E86" s="213"/>
      <c r="F86" s="213"/>
      <c r="G86" s="213"/>
      <c r="H86" s="213"/>
      <c r="I86" s="213"/>
      <c r="J86" s="213"/>
      <c r="K86" s="213"/>
      <c r="L86" s="213"/>
      <c r="M86" s="213"/>
      <c r="N86" s="213"/>
      <c r="O86" s="213"/>
      <c r="P86" s="213"/>
      <c r="Q86" s="213"/>
      <c r="R86" s="213"/>
      <c r="S86" s="211">
        <f>INDEX($C$44:$AN$66,MATCH("New Customers One-Time",$C$44:$C$66,0),MATCH($C86,$C$44:$AN$44,0))</f>
        <v>15.586879432624116</v>
      </c>
      <c r="T86" s="211">
        <f t="shared" ref="T86:AN86" si="68">$S$86*(E70)</f>
        <v>0</v>
      </c>
      <c r="U86" s="211">
        <f t="shared" si="68"/>
        <v>0</v>
      </c>
      <c r="V86" s="211">
        <f t="shared" si="68"/>
        <v>0</v>
      </c>
      <c r="W86" s="211">
        <f t="shared" si="68"/>
        <v>0</v>
      </c>
      <c r="X86" s="211">
        <f t="shared" si="68"/>
        <v>0</v>
      </c>
      <c r="Y86" s="211">
        <f t="shared" si="68"/>
        <v>0</v>
      </c>
      <c r="Z86" s="211">
        <f t="shared" si="68"/>
        <v>0</v>
      </c>
      <c r="AA86" s="211">
        <f t="shared" si="68"/>
        <v>0</v>
      </c>
      <c r="AB86" s="211">
        <f t="shared" si="68"/>
        <v>0</v>
      </c>
      <c r="AC86" s="211">
        <f t="shared" si="68"/>
        <v>0</v>
      </c>
      <c r="AD86" s="211">
        <f t="shared" si="68"/>
        <v>0</v>
      </c>
      <c r="AE86" s="211">
        <f t="shared" si="68"/>
        <v>0</v>
      </c>
      <c r="AF86" s="211">
        <f t="shared" si="68"/>
        <v>0</v>
      </c>
      <c r="AG86" s="211">
        <f t="shared" si="68"/>
        <v>0</v>
      </c>
      <c r="AH86" s="211">
        <f t="shared" si="68"/>
        <v>0</v>
      </c>
      <c r="AI86" s="211">
        <f t="shared" si="68"/>
        <v>0</v>
      </c>
      <c r="AJ86" s="211">
        <f t="shared" si="68"/>
        <v>0</v>
      </c>
      <c r="AK86" s="211">
        <f t="shared" si="68"/>
        <v>0</v>
      </c>
      <c r="AL86" s="211">
        <f t="shared" si="68"/>
        <v>0</v>
      </c>
      <c r="AM86" s="211">
        <f t="shared" si="68"/>
        <v>0</v>
      </c>
      <c r="AN86" s="211">
        <f t="shared" si="68"/>
        <v>0</v>
      </c>
    </row>
    <row r="87" spans="2:40" s="7" customFormat="1" ht="12" hidden="1" customHeight="1" outlineLevel="2">
      <c r="B87" s="245"/>
      <c r="C87" s="213" t="s">
        <v>768</v>
      </c>
      <c r="D87" s="213"/>
      <c r="E87" s="213"/>
      <c r="F87" s="213"/>
      <c r="G87" s="213"/>
      <c r="H87" s="213"/>
      <c r="I87" s="213"/>
      <c r="J87" s="213"/>
      <c r="K87" s="213"/>
      <c r="L87" s="213"/>
      <c r="M87" s="213"/>
      <c r="N87" s="213"/>
      <c r="O87" s="213"/>
      <c r="P87" s="213"/>
      <c r="Q87" s="213"/>
      <c r="R87" s="213"/>
      <c r="S87" s="213"/>
      <c r="T87" s="211">
        <f>INDEX($C$44:$AN$66,MATCH("New Customers One-Time",$C$44:$C$66,0),MATCH($C87,$C$44:$AN$44,0))</f>
        <v>16.735130023640664</v>
      </c>
      <c r="U87" s="211">
        <f t="shared" ref="U87:AN87" si="69">$T$87*(E70)</f>
        <v>0</v>
      </c>
      <c r="V87" s="211">
        <f t="shared" si="69"/>
        <v>0</v>
      </c>
      <c r="W87" s="211">
        <f t="shared" si="69"/>
        <v>0</v>
      </c>
      <c r="X87" s="211">
        <f t="shared" si="69"/>
        <v>0</v>
      </c>
      <c r="Y87" s="211">
        <f t="shared" si="69"/>
        <v>0</v>
      </c>
      <c r="Z87" s="211">
        <f t="shared" si="69"/>
        <v>0</v>
      </c>
      <c r="AA87" s="211">
        <f t="shared" si="69"/>
        <v>0</v>
      </c>
      <c r="AB87" s="211">
        <f t="shared" si="69"/>
        <v>0</v>
      </c>
      <c r="AC87" s="211">
        <f t="shared" si="69"/>
        <v>0</v>
      </c>
      <c r="AD87" s="211">
        <f t="shared" si="69"/>
        <v>0</v>
      </c>
      <c r="AE87" s="211">
        <f t="shared" si="69"/>
        <v>0</v>
      </c>
      <c r="AF87" s="211">
        <f t="shared" si="69"/>
        <v>0</v>
      </c>
      <c r="AG87" s="211">
        <f t="shared" si="69"/>
        <v>0</v>
      </c>
      <c r="AH87" s="211">
        <f t="shared" si="69"/>
        <v>0</v>
      </c>
      <c r="AI87" s="211">
        <f t="shared" si="69"/>
        <v>0</v>
      </c>
      <c r="AJ87" s="211">
        <f t="shared" si="69"/>
        <v>0</v>
      </c>
      <c r="AK87" s="211">
        <f t="shared" si="69"/>
        <v>0</v>
      </c>
      <c r="AL87" s="211">
        <f t="shared" si="69"/>
        <v>0</v>
      </c>
      <c r="AM87" s="211">
        <f t="shared" si="69"/>
        <v>0</v>
      </c>
      <c r="AN87" s="211">
        <f t="shared" si="69"/>
        <v>0</v>
      </c>
    </row>
    <row r="88" spans="2:40" s="7" customFormat="1" ht="12" hidden="1" customHeight="1" outlineLevel="2">
      <c r="B88" s="245"/>
      <c r="C88" s="213" t="s">
        <v>769</v>
      </c>
      <c r="D88" s="213"/>
      <c r="E88" s="213"/>
      <c r="F88" s="213"/>
      <c r="G88" s="213"/>
      <c r="H88" s="213"/>
      <c r="I88" s="213"/>
      <c r="J88" s="213"/>
      <c r="K88" s="213"/>
      <c r="L88" s="213"/>
      <c r="M88" s="213"/>
      <c r="N88" s="213"/>
      <c r="O88" s="213"/>
      <c r="P88" s="213"/>
      <c r="Q88" s="213"/>
      <c r="R88" s="213"/>
      <c r="S88" s="213"/>
      <c r="T88" s="213"/>
      <c r="U88" s="211">
        <f>INDEX($C$44:$AN$66,MATCH("New Customers One-Time",$C$44:$C$66,0),MATCH($C88,$C$44:$AN$44,0))</f>
        <v>16.599234042553189</v>
      </c>
      <c r="V88" s="211">
        <f t="shared" ref="V88:AN88" si="70">$U$88*(E70)</f>
        <v>0</v>
      </c>
      <c r="W88" s="211">
        <f t="shared" si="70"/>
        <v>0</v>
      </c>
      <c r="X88" s="211">
        <f t="shared" si="70"/>
        <v>0</v>
      </c>
      <c r="Y88" s="211">
        <f t="shared" si="70"/>
        <v>0</v>
      </c>
      <c r="Z88" s="211">
        <f t="shared" si="70"/>
        <v>0</v>
      </c>
      <c r="AA88" s="211">
        <f t="shared" si="70"/>
        <v>0</v>
      </c>
      <c r="AB88" s="211">
        <f t="shared" si="70"/>
        <v>0</v>
      </c>
      <c r="AC88" s="211">
        <f t="shared" si="70"/>
        <v>0</v>
      </c>
      <c r="AD88" s="211">
        <f t="shared" si="70"/>
        <v>0</v>
      </c>
      <c r="AE88" s="211">
        <f t="shared" si="70"/>
        <v>0</v>
      </c>
      <c r="AF88" s="211">
        <f t="shared" si="70"/>
        <v>0</v>
      </c>
      <c r="AG88" s="211">
        <f t="shared" si="70"/>
        <v>0</v>
      </c>
      <c r="AH88" s="211">
        <f t="shared" si="70"/>
        <v>0</v>
      </c>
      <c r="AI88" s="211">
        <f t="shared" si="70"/>
        <v>0</v>
      </c>
      <c r="AJ88" s="211">
        <f t="shared" si="70"/>
        <v>0</v>
      </c>
      <c r="AK88" s="211">
        <f t="shared" si="70"/>
        <v>0</v>
      </c>
      <c r="AL88" s="211">
        <f t="shared" si="70"/>
        <v>0</v>
      </c>
      <c r="AM88" s="211">
        <f t="shared" si="70"/>
        <v>0</v>
      </c>
      <c r="AN88" s="211">
        <f t="shared" si="70"/>
        <v>0</v>
      </c>
    </row>
    <row r="89" spans="2:40" s="7" customFormat="1" ht="12" hidden="1" customHeight="1" outlineLevel="2">
      <c r="B89" s="245"/>
      <c r="C89" s="213" t="s">
        <v>770</v>
      </c>
      <c r="D89" s="213"/>
      <c r="E89" s="213"/>
      <c r="F89" s="213"/>
      <c r="G89" s="213"/>
      <c r="H89" s="213"/>
      <c r="I89" s="213"/>
      <c r="J89" s="213"/>
      <c r="K89" s="213"/>
      <c r="L89" s="213"/>
      <c r="M89" s="213"/>
      <c r="N89" s="213"/>
      <c r="O89" s="213"/>
      <c r="P89" s="213"/>
      <c r="Q89" s="213"/>
      <c r="R89" s="213"/>
      <c r="S89" s="213"/>
      <c r="T89" s="213"/>
      <c r="U89" s="213"/>
      <c r="V89" s="211">
        <f>INDEX($C$44:$AN$66,MATCH("New Customers One-Time",$C$44:$C$66,0),MATCH($C89,$C$44:$AN$44,0))</f>
        <v>56.901361702127659</v>
      </c>
      <c r="W89" s="211">
        <f t="shared" ref="W89:AN89" si="71">$V$89*(E70)</f>
        <v>0</v>
      </c>
      <c r="X89" s="211">
        <f t="shared" si="71"/>
        <v>0</v>
      </c>
      <c r="Y89" s="211">
        <f t="shared" si="71"/>
        <v>0</v>
      </c>
      <c r="Z89" s="211">
        <f t="shared" si="71"/>
        <v>0</v>
      </c>
      <c r="AA89" s="211">
        <f t="shared" si="71"/>
        <v>0</v>
      </c>
      <c r="AB89" s="211">
        <f t="shared" si="71"/>
        <v>0</v>
      </c>
      <c r="AC89" s="211">
        <f t="shared" si="71"/>
        <v>0</v>
      </c>
      <c r="AD89" s="211">
        <f t="shared" si="71"/>
        <v>0</v>
      </c>
      <c r="AE89" s="211">
        <f t="shared" si="71"/>
        <v>0</v>
      </c>
      <c r="AF89" s="211">
        <f t="shared" si="71"/>
        <v>0</v>
      </c>
      <c r="AG89" s="211">
        <f t="shared" si="71"/>
        <v>0</v>
      </c>
      <c r="AH89" s="211">
        <f t="shared" si="71"/>
        <v>0</v>
      </c>
      <c r="AI89" s="211">
        <f t="shared" si="71"/>
        <v>0</v>
      </c>
      <c r="AJ89" s="211">
        <f t="shared" si="71"/>
        <v>0</v>
      </c>
      <c r="AK89" s="211">
        <f t="shared" si="71"/>
        <v>0</v>
      </c>
      <c r="AL89" s="211">
        <f t="shared" si="71"/>
        <v>0</v>
      </c>
      <c r="AM89" s="211">
        <f t="shared" si="71"/>
        <v>0</v>
      </c>
      <c r="AN89" s="211">
        <f t="shared" si="71"/>
        <v>0</v>
      </c>
    </row>
    <row r="90" spans="2:40" s="7" customFormat="1" ht="12" hidden="1" customHeight="1" outlineLevel="2">
      <c r="B90" s="245"/>
      <c r="C90" s="213" t="s">
        <v>771</v>
      </c>
      <c r="D90" s="213"/>
      <c r="E90" s="213"/>
      <c r="F90" s="213"/>
      <c r="G90" s="213"/>
      <c r="H90" s="213"/>
      <c r="I90" s="213"/>
      <c r="J90" s="213"/>
      <c r="K90" s="213"/>
      <c r="L90" s="213"/>
      <c r="M90" s="213"/>
      <c r="N90" s="213"/>
      <c r="O90" s="213"/>
      <c r="P90" s="213"/>
      <c r="Q90" s="213"/>
      <c r="R90" s="213"/>
      <c r="S90" s="213"/>
      <c r="T90" s="213"/>
      <c r="U90" s="213"/>
      <c r="V90" s="213"/>
      <c r="W90" s="211">
        <f>INDEX($C$44:$AN$66,MATCH("New Customers One-Time",$C$44:$C$66,0),MATCH($C90,$C$44:$AN$44,0))</f>
        <v>34.145106382978724</v>
      </c>
      <c r="X90" s="211">
        <f t="shared" ref="X90:AN90" si="72">$W$90*(E70)</f>
        <v>0</v>
      </c>
      <c r="Y90" s="211">
        <f t="shared" si="72"/>
        <v>0</v>
      </c>
      <c r="Z90" s="211">
        <f t="shared" si="72"/>
        <v>0</v>
      </c>
      <c r="AA90" s="211">
        <f t="shared" si="72"/>
        <v>0</v>
      </c>
      <c r="AB90" s="211">
        <f t="shared" si="72"/>
        <v>0</v>
      </c>
      <c r="AC90" s="211">
        <f t="shared" si="72"/>
        <v>0</v>
      </c>
      <c r="AD90" s="211">
        <f t="shared" si="72"/>
        <v>0</v>
      </c>
      <c r="AE90" s="211">
        <f t="shared" si="72"/>
        <v>0</v>
      </c>
      <c r="AF90" s="211">
        <f t="shared" si="72"/>
        <v>0</v>
      </c>
      <c r="AG90" s="211">
        <f t="shared" si="72"/>
        <v>0</v>
      </c>
      <c r="AH90" s="211">
        <f t="shared" si="72"/>
        <v>0</v>
      </c>
      <c r="AI90" s="211">
        <f t="shared" si="72"/>
        <v>0</v>
      </c>
      <c r="AJ90" s="211">
        <f t="shared" si="72"/>
        <v>0</v>
      </c>
      <c r="AK90" s="211">
        <f t="shared" si="72"/>
        <v>0</v>
      </c>
      <c r="AL90" s="211">
        <f t="shared" si="72"/>
        <v>0</v>
      </c>
      <c r="AM90" s="211">
        <f t="shared" si="72"/>
        <v>0</v>
      </c>
      <c r="AN90" s="211">
        <f t="shared" si="72"/>
        <v>0</v>
      </c>
    </row>
    <row r="91" spans="2:40" s="7" customFormat="1" ht="12" hidden="1" customHeight="1" outlineLevel="2">
      <c r="B91" s="245"/>
      <c r="C91" s="213" t="s">
        <v>772</v>
      </c>
      <c r="D91" s="213"/>
      <c r="E91" s="213"/>
      <c r="F91" s="213"/>
      <c r="G91" s="213"/>
      <c r="H91" s="213"/>
      <c r="I91" s="213"/>
      <c r="J91" s="213"/>
      <c r="K91" s="213"/>
      <c r="L91" s="213"/>
      <c r="M91" s="213"/>
      <c r="N91" s="213"/>
      <c r="O91" s="213"/>
      <c r="P91" s="213"/>
      <c r="Q91" s="213"/>
      <c r="R91" s="213"/>
      <c r="S91" s="213"/>
      <c r="T91" s="213"/>
      <c r="U91" s="213"/>
      <c r="V91" s="213"/>
      <c r="W91" s="213"/>
      <c r="X91" s="211">
        <f>INDEX($C$44:$AN$66,MATCH("New Customers One-Time",$C$44:$C$66,0),MATCH($C91,$C$44:$AN$44,0))</f>
        <v>25.799716312056741</v>
      </c>
      <c r="Y91" s="211">
        <f t="shared" ref="Y91:AN91" si="73">$X$91*(E70)</f>
        <v>0</v>
      </c>
      <c r="Z91" s="211">
        <f t="shared" si="73"/>
        <v>0</v>
      </c>
      <c r="AA91" s="211">
        <f t="shared" si="73"/>
        <v>0</v>
      </c>
      <c r="AB91" s="211">
        <f t="shared" si="73"/>
        <v>0</v>
      </c>
      <c r="AC91" s="211">
        <f t="shared" si="73"/>
        <v>0</v>
      </c>
      <c r="AD91" s="211">
        <f t="shared" si="73"/>
        <v>0</v>
      </c>
      <c r="AE91" s="211">
        <f t="shared" si="73"/>
        <v>0</v>
      </c>
      <c r="AF91" s="211">
        <f t="shared" si="73"/>
        <v>0</v>
      </c>
      <c r="AG91" s="211">
        <f t="shared" si="73"/>
        <v>0</v>
      </c>
      <c r="AH91" s="211">
        <f t="shared" si="73"/>
        <v>0</v>
      </c>
      <c r="AI91" s="211">
        <f t="shared" si="73"/>
        <v>0</v>
      </c>
      <c r="AJ91" s="211">
        <f t="shared" si="73"/>
        <v>0</v>
      </c>
      <c r="AK91" s="211">
        <f t="shared" si="73"/>
        <v>0</v>
      </c>
      <c r="AL91" s="211">
        <f t="shared" si="73"/>
        <v>0</v>
      </c>
      <c r="AM91" s="211">
        <f t="shared" si="73"/>
        <v>0</v>
      </c>
      <c r="AN91" s="211">
        <f t="shared" si="73"/>
        <v>0</v>
      </c>
    </row>
    <row r="92" spans="2:40" s="7" customFormat="1" ht="12" hidden="1" customHeight="1" outlineLevel="2">
      <c r="B92" s="245"/>
      <c r="C92" s="213" t="s">
        <v>773</v>
      </c>
      <c r="D92" s="213"/>
      <c r="E92" s="213"/>
      <c r="F92" s="213"/>
      <c r="G92" s="213"/>
      <c r="H92" s="213"/>
      <c r="I92" s="213"/>
      <c r="J92" s="213"/>
      <c r="K92" s="213"/>
      <c r="L92" s="213"/>
      <c r="M92" s="213"/>
      <c r="N92" s="213"/>
      <c r="O92" s="213"/>
      <c r="P92" s="213"/>
      <c r="Q92" s="213"/>
      <c r="R92" s="213"/>
      <c r="S92" s="213"/>
      <c r="T92" s="213"/>
      <c r="U92" s="213"/>
      <c r="V92" s="213"/>
      <c r="W92" s="213"/>
      <c r="X92" s="213"/>
      <c r="Y92" s="211">
        <f>INDEX($C$44:$AN$66,MATCH("New Customers One-Time",$C$44:$C$66,0),MATCH($C92,$C$44:$AN$44,0))</f>
        <v>38.723404255319153</v>
      </c>
      <c r="Z92" s="211">
        <f t="shared" ref="Z92:AN92" si="74">$Y$92*(E70)</f>
        <v>0</v>
      </c>
      <c r="AA92" s="211">
        <f t="shared" si="74"/>
        <v>0</v>
      </c>
      <c r="AB92" s="211">
        <f t="shared" si="74"/>
        <v>0</v>
      </c>
      <c r="AC92" s="211">
        <f t="shared" si="74"/>
        <v>0</v>
      </c>
      <c r="AD92" s="211">
        <f t="shared" si="74"/>
        <v>0</v>
      </c>
      <c r="AE92" s="211">
        <f t="shared" si="74"/>
        <v>0</v>
      </c>
      <c r="AF92" s="211">
        <f t="shared" si="74"/>
        <v>0</v>
      </c>
      <c r="AG92" s="211">
        <f t="shared" si="74"/>
        <v>0</v>
      </c>
      <c r="AH92" s="211">
        <f t="shared" si="74"/>
        <v>0</v>
      </c>
      <c r="AI92" s="211">
        <f t="shared" si="74"/>
        <v>0</v>
      </c>
      <c r="AJ92" s="211">
        <f t="shared" si="74"/>
        <v>0</v>
      </c>
      <c r="AK92" s="211">
        <f t="shared" si="74"/>
        <v>0</v>
      </c>
      <c r="AL92" s="211">
        <f t="shared" si="74"/>
        <v>0</v>
      </c>
      <c r="AM92" s="211">
        <f t="shared" si="74"/>
        <v>0</v>
      </c>
      <c r="AN92" s="211">
        <f t="shared" si="74"/>
        <v>0</v>
      </c>
    </row>
    <row r="93" spans="2:40" s="7" customFormat="1" ht="12" hidden="1" customHeight="1" outlineLevel="2">
      <c r="B93" s="245"/>
      <c r="C93" s="213" t="s">
        <v>774</v>
      </c>
      <c r="D93" s="213"/>
      <c r="E93" s="213"/>
      <c r="F93" s="213"/>
      <c r="G93" s="213"/>
      <c r="H93" s="213"/>
      <c r="I93" s="213"/>
      <c r="J93" s="213"/>
      <c r="K93" s="213"/>
      <c r="L93" s="213"/>
      <c r="M93" s="213"/>
      <c r="N93" s="213"/>
      <c r="O93" s="213"/>
      <c r="P93" s="213"/>
      <c r="Q93" s="213"/>
      <c r="R93" s="213"/>
      <c r="S93" s="213"/>
      <c r="T93" s="213"/>
      <c r="U93" s="213"/>
      <c r="V93" s="213"/>
      <c r="W93" s="213"/>
      <c r="X93" s="213"/>
      <c r="Y93" s="213"/>
      <c r="Z93" s="211">
        <f>INDEX($C$44:$AN$66,MATCH("New Customers One-Time",$C$44:$C$66,0),MATCH($C93,$C$44:$AN$44,0))</f>
        <v>32.269503546099294</v>
      </c>
      <c r="AA93" s="211">
        <f t="shared" ref="AA93:AN93" si="75">$Z$93*(E70)</f>
        <v>0</v>
      </c>
      <c r="AB93" s="211">
        <f t="shared" si="75"/>
        <v>0</v>
      </c>
      <c r="AC93" s="211">
        <f t="shared" si="75"/>
        <v>0</v>
      </c>
      <c r="AD93" s="211">
        <f t="shared" si="75"/>
        <v>0</v>
      </c>
      <c r="AE93" s="211">
        <f t="shared" si="75"/>
        <v>0</v>
      </c>
      <c r="AF93" s="211">
        <f t="shared" si="75"/>
        <v>0</v>
      </c>
      <c r="AG93" s="211">
        <f t="shared" si="75"/>
        <v>0</v>
      </c>
      <c r="AH93" s="211">
        <f t="shared" si="75"/>
        <v>0</v>
      </c>
      <c r="AI93" s="211">
        <f t="shared" si="75"/>
        <v>0</v>
      </c>
      <c r="AJ93" s="211">
        <f t="shared" si="75"/>
        <v>0</v>
      </c>
      <c r="AK93" s="211">
        <f t="shared" si="75"/>
        <v>0</v>
      </c>
      <c r="AL93" s="211">
        <f t="shared" si="75"/>
        <v>0</v>
      </c>
      <c r="AM93" s="211">
        <f t="shared" si="75"/>
        <v>0</v>
      </c>
      <c r="AN93" s="211">
        <f t="shared" si="75"/>
        <v>0</v>
      </c>
    </row>
    <row r="94" spans="2:40" s="7" customFormat="1" ht="12" hidden="1" customHeight="1" outlineLevel="2">
      <c r="B94" s="245"/>
      <c r="C94" s="213" t="s">
        <v>775</v>
      </c>
      <c r="D94" s="213"/>
      <c r="E94" s="213"/>
      <c r="F94" s="213"/>
      <c r="G94" s="213"/>
      <c r="H94" s="213"/>
      <c r="I94" s="213"/>
      <c r="J94" s="213"/>
      <c r="K94" s="213"/>
      <c r="L94" s="213"/>
      <c r="M94" s="213"/>
      <c r="N94" s="213"/>
      <c r="O94" s="213"/>
      <c r="P94" s="213"/>
      <c r="Q94" s="213"/>
      <c r="R94" s="213"/>
      <c r="S94" s="213"/>
      <c r="T94" s="213"/>
      <c r="U94" s="213"/>
      <c r="V94" s="213"/>
      <c r="W94" s="213"/>
      <c r="X94" s="213"/>
      <c r="Y94" s="213"/>
      <c r="Z94" s="213"/>
      <c r="AA94" s="211">
        <f>INDEX($C$44:$AN$66,MATCH("New Customers One-Time",$C$44:$C$66,0),MATCH($C94,$C$44:$AN$44,0))</f>
        <v>12.411347517730498</v>
      </c>
      <c r="AB94" s="211">
        <f t="shared" ref="AB94:AN94" si="76">$AA$94*(E70)</f>
        <v>0</v>
      </c>
      <c r="AC94" s="211">
        <f t="shared" si="76"/>
        <v>0</v>
      </c>
      <c r="AD94" s="211">
        <f t="shared" si="76"/>
        <v>0</v>
      </c>
      <c r="AE94" s="211">
        <f t="shared" si="76"/>
        <v>0</v>
      </c>
      <c r="AF94" s="211">
        <f t="shared" si="76"/>
        <v>0</v>
      </c>
      <c r="AG94" s="211">
        <f t="shared" si="76"/>
        <v>0</v>
      </c>
      <c r="AH94" s="211">
        <f t="shared" si="76"/>
        <v>0</v>
      </c>
      <c r="AI94" s="211">
        <f t="shared" si="76"/>
        <v>0</v>
      </c>
      <c r="AJ94" s="211">
        <f t="shared" si="76"/>
        <v>0</v>
      </c>
      <c r="AK94" s="211">
        <f t="shared" si="76"/>
        <v>0</v>
      </c>
      <c r="AL94" s="211">
        <f t="shared" si="76"/>
        <v>0</v>
      </c>
      <c r="AM94" s="211">
        <f t="shared" si="76"/>
        <v>0</v>
      </c>
      <c r="AN94" s="211">
        <f t="shared" si="76"/>
        <v>0</v>
      </c>
    </row>
    <row r="95" spans="2:40" s="7" customFormat="1" ht="12" hidden="1" customHeight="1" outlineLevel="2">
      <c r="B95" s="245"/>
      <c r="C95" s="213" t="s">
        <v>776</v>
      </c>
      <c r="D95" s="213"/>
      <c r="E95" s="213"/>
      <c r="F95" s="213"/>
      <c r="G95" s="213"/>
      <c r="H95" s="213"/>
      <c r="I95" s="213"/>
      <c r="J95" s="213"/>
      <c r="K95" s="213"/>
      <c r="L95" s="213"/>
      <c r="M95" s="213"/>
      <c r="N95" s="213"/>
      <c r="O95" s="213"/>
      <c r="P95" s="213"/>
      <c r="Q95" s="213"/>
      <c r="R95" s="213"/>
      <c r="S95" s="213"/>
      <c r="T95" s="213"/>
      <c r="U95" s="213"/>
      <c r="V95" s="213"/>
      <c r="W95" s="213"/>
      <c r="X95" s="213"/>
      <c r="Y95" s="213"/>
      <c r="Z95" s="213"/>
      <c r="AA95" s="213"/>
      <c r="AB95" s="211">
        <f>INDEX($C$44:$AN$66,MATCH("New Customers One-Time",$C$44:$C$66,0),MATCH($C95,$C$44:$AN$44,0))</f>
        <v>12.411347517730498</v>
      </c>
      <c r="AC95" s="211">
        <f t="shared" ref="AC95:AN95" si="77">$AB$95*(E70)</f>
        <v>0</v>
      </c>
      <c r="AD95" s="211">
        <f t="shared" si="77"/>
        <v>0</v>
      </c>
      <c r="AE95" s="211">
        <f t="shared" si="77"/>
        <v>0</v>
      </c>
      <c r="AF95" s="211">
        <f t="shared" si="77"/>
        <v>0</v>
      </c>
      <c r="AG95" s="211">
        <f t="shared" si="77"/>
        <v>0</v>
      </c>
      <c r="AH95" s="211">
        <f t="shared" si="77"/>
        <v>0</v>
      </c>
      <c r="AI95" s="211">
        <f t="shared" si="77"/>
        <v>0</v>
      </c>
      <c r="AJ95" s="211">
        <f t="shared" si="77"/>
        <v>0</v>
      </c>
      <c r="AK95" s="211">
        <f t="shared" si="77"/>
        <v>0</v>
      </c>
      <c r="AL95" s="211">
        <f t="shared" si="77"/>
        <v>0</v>
      </c>
      <c r="AM95" s="211">
        <f t="shared" si="77"/>
        <v>0</v>
      </c>
      <c r="AN95" s="211">
        <f t="shared" si="77"/>
        <v>0</v>
      </c>
    </row>
    <row r="96" spans="2:40" s="7" customFormat="1" ht="12" hidden="1" customHeight="1" outlineLevel="2">
      <c r="B96" s="245"/>
      <c r="C96" s="213" t="s">
        <v>777</v>
      </c>
      <c r="D96" s="213"/>
      <c r="E96" s="213"/>
      <c r="F96" s="213"/>
      <c r="G96" s="213"/>
      <c r="H96" s="213"/>
      <c r="I96" s="213"/>
      <c r="J96" s="213"/>
      <c r="K96" s="213"/>
      <c r="L96" s="213"/>
      <c r="M96" s="213"/>
      <c r="N96" s="213"/>
      <c r="O96" s="213"/>
      <c r="P96" s="213"/>
      <c r="Q96" s="213"/>
      <c r="R96" s="213"/>
      <c r="S96" s="213"/>
      <c r="T96" s="213"/>
      <c r="U96" s="213"/>
      <c r="V96" s="213"/>
      <c r="W96" s="213"/>
      <c r="X96" s="213"/>
      <c r="Y96" s="213"/>
      <c r="Z96" s="213"/>
      <c r="AA96" s="213"/>
      <c r="AB96" s="211"/>
      <c r="AC96" s="211">
        <f>INDEX($C$44:$AN$66,MATCH("New Customers One-Time",$C$44:$C$66,0),MATCH($C96,$C$44:$AN$44,0))</f>
        <v>0.95138297872340449</v>
      </c>
      <c r="AD96" s="211">
        <f t="shared" ref="AD96:AN96" si="78">$AC$96*(E70)</f>
        <v>0</v>
      </c>
      <c r="AE96" s="211">
        <f t="shared" si="78"/>
        <v>0</v>
      </c>
      <c r="AF96" s="211">
        <f t="shared" si="78"/>
        <v>0</v>
      </c>
      <c r="AG96" s="211">
        <f t="shared" si="78"/>
        <v>0</v>
      </c>
      <c r="AH96" s="211">
        <f t="shared" si="78"/>
        <v>0</v>
      </c>
      <c r="AI96" s="211">
        <f t="shared" si="78"/>
        <v>0</v>
      </c>
      <c r="AJ96" s="211">
        <f t="shared" si="78"/>
        <v>0</v>
      </c>
      <c r="AK96" s="211">
        <f t="shared" si="78"/>
        <v>0</v>
      </c>
      <c r="AL96" s="211">
        <f t="shared" si="78"/>
        <v>0</v>
      </c>
      <c r="AM96" s="211">
        <f t="shared" si="78"/>
        <v>0</v>
      </c>
      <c r="AN96" s="211">
        <f t="shared" si="78"/>
        <v>0</v>
      </c>
    </row>
    <row r="97" spans="2:40" s="7" customFormat="1" ht="12" hidden="1" customHeight="1" outlineLevel="2">
      <c r="B97" s="245"/>
      <c r="C97" s="213" t="s">
        <v>778</v>
      </c>
      <c r="D97" s="213"/>
      <c r="E97" s="213"/>
      <c r="F97" s="213"/>
      <c r="G97" s="213"/>
      <c r="H97" s="213"/>
      <c r="I97" s="213"/>
      <c r="J97" s="213"/>
      <c r="K97" s="213"/>
      <c r="L97" s="213"/>
      <c r="M97" s="213"/>
      <c r="N97" s="213"/>
      <c r="O97" s="213"/>
      <c r="P97" s="213"/>
      <c r="Q97" s="213"/>
      <c r="R97" s="213"/>
      <c r="S97" s="213"/>
      <c r="T97" s="213"/>
      <c r="U97" s="213"/>
      <c r="V97" s="213"/>
      <c r="W97" s="213"/>
      <c r="X97" s="213"/>
      <c r="Y97" s="213"/>
      <c r="Z97" s="213"/>
      <c r="AA97" s="213"/>
      <c r="AB97" s="211"/>
      <c r="AC97" s="211"/>
      <c r="AD97" s="211">
        <f>INDEX($C$44:$AN$66,MATCH("New Customers One-Time",$C$44:$C$66,0),MATCH($C97,$C$44:$AN$44,0))</f>
        <v>1.6929078014184402</v>
      </c>
      <c r="AE97" s="211">
        <f t="shared" ref="AE97:AN97" si="79">$AD$97*(E70)</f>
        <v>0</v>
      </c>
      <c r="AF97" s="211">
        <f t="shared" si="79"/>
        <v>0</v>
      </c>
      <c r="AG97" s="211">
        <f t="shared" si="79"/>
        <v>0</v>
      </c>
      <c r="AH97" s="211">
        <f t="shared" si="79"/>
        <v>0</v>
      </c>
      <c r="AI97" s="211">
        <f t="shared" si="79"/>
        <v>0</v>
      </c>
      <c r="AJ97" s="211">
        <f t="shared" si="79"/>
        <v>0</v>
      </c>
      <c r="AK97" s="211">
        <f t="shared" si="79"/>
        <v>0</v>
      </c>
      <c r="AL97" s="211">
        <f t="shared" si="79"/>
        <v>0</v>
      </c>
      <c r="AM97" s="211">
        <f t="shared" si="79"/>
        <v>0</v>
      </c>
      <c r="AN97" s="211">
        <f t="shared" si="79"/>
        <v>0</v>
      </c>
    </row>
    <row r="98" spans="2:40" s="7" customFormat="1" ht="12" hidden="1" customHeight="1" outlineLevel="2">
      <c r="B98" s="245"/>
      <c r="C98" s="213" t="s">
        <v>779</v>
      </c>
      <c r="D98" s="213"/>
      <c r="E98" s="213"/>
      <c r="F98" s="213"/>
      <c r="G98" s="213"/>
      <c r="H98" s="213"/>
      <c r="I98" s="213"/>
      <c r="J98" s="213"/>
      <c r="K98" s="213"/>
      <c r="L98" s="213"/>
      <c r="M98" s="213"/>
      <c r="N98" s="213"/>
      <c r="O98" s="213"/>
      <c r="P98" s="213"/>
      <c r="Q98" s="213"/>
      <c r="R98" s="213"/>
      <c r="S98" s="213"/>
      <c r="T98" s="213"/>
      <c r="U98" s="213"/>
      <c r="V98" s="213"/>
      <c r="W98" s="213"/>
      <c r="X98" s="213"/>
      <c r="Y98" s="213"/>
      <c r="Z98" s="213"/>
      <c r="AA98" s="213"/>
      <c r="AB98" s="211"/>
      <c r="AC98" s="211"/>
      <c r="AD98" s="211"/>
      <c r="AE98" s="211">
        <f>INDEX($C$44:$AN$66,MATCH("New Customers One-Time",$C$44:$C$66,0),MATCH($C98,$C$44:$AN$44,0))</f>
        <v>1.5586879432624117</v>
      </c>
      <c r="AF98" s="211">
        <f t="shared" ref="AF98:AN98" si="80">$AE$98*(E70)</f>
        <v>0</v>
      </c>
      <c r="AG98" s="211">
        <f t="shared" si="80"/>
        <v>0</v>
      </c>
      <c r="AH98" s="211">
        <f t="shared" si="80"/>
        <v>0</v>
      </c>
      <c r="AI98" s="211">
        <f t="shared" si="80"/>
        <v>0</v>
      </c>
      <c r="AJ98" s="211">
        <f t="shared" si="80"/>
        <v>0</v>
      </c>
      <c r="AK98" s="211">
        <f t="shared" si="80"/>
        <v>0</v>
      </c>
      <c r="AL98" s="211">
        <f t="shared" si="80"/>
        <v>0</v>
      </c>
      <c r="AM98" s="211">
        <f t="shared" si="80"/>
        <v>0</v>
      </c>
      <c r="AN98" s="211">
        <f t="shared" si="80"/>
        <v>0</v>
      </c>
    </row>
    <row r="99" spans="2:40" s="7" customFormat="1" ht="12" hidden="1" customHeight="1" outlineLevel="2">
      <c r="B99" s="245"/>
      <c r="C99" s="213" t="s">
        <v>780</v>
      </c>
      <c r="D99" s="213"/>
      <c r="E99" s="213"/>
      <c r="F99" s="213"/>
      <c r="G99" s="213"/>
      <c r="H99" s="213"/>
      <c r="I99" s="213"/>
      <c r="J99" s="213"/>
      <c r="K99" s="213"/>
      <c r="L99" s="213"/>
      <c r="M99" s="213"/>
      <c r="N99" s="213"/>
      <c r="O99" s="213"/>
      <c r="P99" s="213"/>
      <c r="Q99" s="213"/>
      <c r="R99" s="213"/>
      <c r="S99" s="213"/>
      <c r="T99" s="213"/>
      <c r="U99" s="213"/>
      <c r="V99" s="213"/>
      <c r="W99" s="213"/>
      <c r="X99" s="213"/>
      <c r="Y99" s="213"/>
      <c r="Z99" s="213"/>
      <c r="AA99" s="213"/>
      <c r="AB99" s="211"/>
      <c r="AC99" s="211"/>
      <c r="AD99" s="211"/>
      <c r="AE99" s="211"/>
      <c r="AF99" s="211">
        <f>INDEX($C$44:$AN$66,MATCH("New Customers One-Time",$C$44:$C$66,0),MATCH($C99,$C$44:$AN$44,0))</f>
        <v>1.1953664302600477</v>
      </c>
      <c r="AG99" s="211">
        <f t="shared" ref="AG99:AN99" si="81">$AF$99*(E70)</f>
        <v>0</v>
      </c>
      <c r="AH99" s="211">
        <f t="shared" si="81"/>
        <v>0</v>
      </c>
      <c r="AI99" s="211">
        <f t="shared" si="81"/>
        <v>0</v>
      </c>
      <c r="AJ99" s="211">
        <f t="shared" si="81"/>
        <v>0</v>
      </c>
      <c r="AK99" s="211">
        <f t="shared" si="81"/>
        <v>0</v>
      </c>
      <c r="AL99" s="211">
        <f t="shared" si="81"/>
        <v>0</v>
      </c>
      <c r="AM99" s="211">
        <f t="shared" si="81"/>
        <v>0</v>
      </c>
      <c r="AN99" s="211">
        <f t="shared" si="81"/>
        <v>0</v>
      </c>
    </row>
    <row r="100" spans="2:40" s="7" customFormat="1" ht="12" hidden="1" customHeight="1" outlineLevel="2">
      <c r="B100" s="245"/>
      <c r="C100" s="213" t="s">
        <v>781</v>
      </c>
      <c r="D100" s="213"/>
      <c r="E100" s="213"/>
      <c r="F100" s="213"/>
      <c r="G100" s="213"/>
      <c r="H100" s="213"/>
      <c r="I100" s="213"/>
      <c r="J100" s="213"/>
      <c r="K100" s="213"/>
      <c r="L100" s="213"/>
      <c r="M100" s="213"/>
      <c r="N100" s="213"/>
      <c r="O100" s="213"/>
      <c r="P100" s="213"/>
      <c r="Q100" s="213"/>
      <c r="R100" s="213"/>
      <c r="S100" s="213"/>
      <c r="T100" s="213"/>
      <c r="U100" s="213"/>
      <c r="V100" s="213"/>
      <c r="W100" s="213"/>
      <c r="X100" s="213"/>
      <c r="Y100" s="213"/>
      <c r="Z100" s="213"/>
      <c r="AA100" s="213"/>
      <c r="AB100" s="211"/>
      <c r="AC100" s="211"/>
      <c r="AD100" s="211"/>
      <c r="AE100" s="211"/>
      <c r="AF100" s="211"/>
      <c r="AG100" s="211">
        <f>INDEX($C$44:$AN$66,MATCH("New Customers One-Time",$C$44:$C$66,0),MATCH($C100,$C$44:$AN$44,0))</f>
        <v>1.0778723404255321</v>
      </c>
      <c r="AH100" s="211">
        <f t="shared" ref="AH100:AN100" si="82">$AG$100*(E70)</f>
        <v>0</v>
      </c>
      <c r="AI100" s="211">
        <f t="shared" si="82"/>
        <v>0</v>
      </c>
      <c r="AJ100" s="211">
        <f t="shared" si="82"/>
        <v>0</v>
      </c>
      <c r="AK100" s="211">
        <f t="shared" si="82"/>
        <v>0</v>
      </c>
      <c r="AL100" s="211">
        <f t="shared" si="82"/>
        <v>0</v>
      </c>
      <c r="AM100" s="211">
        <f t="shared" si="82"/>
        <v>0</v>
      </c>
      <c r="AN100" s="211">
        <f t="shared" si="82"/>
        <v>0</v>
      </c>
    </row>
    <row r="101" spans="2:40" s="7" customFormat="1" ht="12" hidden="1" customHeight="1" outlineLevel="2">
      <c r="B101" s="245"/>
      <c r="C101" s="213" t="s">
        <v>782</v>
      </c>
      <c r="D101" s="213"/>
      <c r="E101" s="213"/>
      <c r="F101" s="213"/>
      <c r="G101" s="213"/>
      <c r="H101" s="213"/>
      <c r="I101" s="213"/>
      <c r="J101" s="213"/>
      <c r="K101" s="213"/>
      <c r="L101" s="213"/>
      <c r="M101" s="213"/>
      <c r="N101" s="213"/>
      <c r="O101" s="213"/>
      <c r="P101" s="213"/>
      <c r="Q101" s="213"/>
      <c r="R101" s="213"/>
      <c r="S101" s="213"/>
      <c r="T101" s="213"/>
      <c r="U101" s="213"/>
      <c r="V101" s="213"/>
      <c r="W101" s="213"/>
      <c r="X101" s="213"/>
      <c r="Y101" s="213"/>
      <c r="Z101" s="213"/>
      <c r="AA101" s="213"/>
      <c r="AB101" s="211"/>
      <c r="AC101" s="211"/>
      <c r="AD101" s="211"/>
      <c r="AE101" s="211"/>
      <c r="AF101" s="211"/>
      <c r="AG101" s="211"/>
      <c r="AH101" s="211">
        <f>INDEX($C$44:$AN$66,MATCH("New Customers One-Time",$C$44:$C$66,0),MATCH($C101,$C$44:$AN$44,0))</f>
        <v>3.6948936170212772</v>
      </c>
      <c r="AI101" s="211">
        <f t="shared" ref="AI101:AN101" si="83">$AH$101*(E70)</f>
        <v>0</v>
      </c>
      <c r="AJ101" s="211">
        <f t="shared" si="83"/>
        <v>0</v>
      </c>
      <c r="AK101" s="211">
        <f t="shared" si="83"/>
        <v>0</v>
      </c>
      <c r="AL101" s="211">
        <f t="shared" si="83"/>
        <v>0</v>
      </c>
      <c r="AM101" s="211">
        <f t="shared" si="83"/>
        <v>0</v>
      </c>
      <c r="AN101" s="211">
        <f t="shared" si="83"/>
        <v>0</v>
      </c>
    </row>
    <row r="102" spans="2:40" s="7" customFormat="1" ht="12" hidden="1" customHeight="1" outlineLevel="2">
      <c r="B102" s="245"/>
      <c r="C102" s="213" t="s">
        <v>783</v>
      </c>
      <c r="D102" s="213"/>
      <c r="E102" s="213"/>
      <c r="F102" s="213"/>
      <c r="G102" s="213"/>
      <c r="H102" s="213"/>
      <c r="I102" s="213"/>
      <c r="J102" s="213"/>
      <c r="K102" s="213"/>
      <c r="L102" s="213"/>
      <c r="M102" s="213"/>
      <c r="N102" s="213"/>
      <c r="O102" s="213"/>
      <c r="P102" s="213"/>
      <c r="Q102" s="213"/>
      <c r="R102" s="213"/>
      <c r="S102" s="213"/>
      <c r="T102" s="213"/>
      <c r="U102" s="213"/>
      <c r="V102" s="213"/>
      <c r="W102" s="213"/>
      <c r="X102" s="213"/>
      <c r="Y102" s="213"/>
      <c r="Z102" s="213"/>
      <c r="AA102" s="213"/>
      <c r="AB102" s="211"/>
      <c r="AC102" s="211"/>
      <c r="AD102" s="211"/>
      <c r="AE102" s="211"/>
      <c r="AF102" s="211"/>
      <c r="AG102" s="211"/>
      <c r="AH102" s="211"/>
      <c r="AI102" s="211">
        <f>INDEX($C$44:$AN$66,MATCH("New Customers One-Time",$C$44:$C$66,0),MATCH($C102,$C$44:$AN$44,0))</f>
        <v>1.219468085106383</v>
      </c>
      <c r="AJ102" s="211">
        <f>$AI$102*(E70)</f>
        <v>0</v>
      </c>
      <c r="AK102" s="211">
        <f>$AI$102*(F70)</f>
        <v>0</v>
      </c>
      <c r="AL102" s="211">
        <f>$AI$102*(G70)</f>
        <v>0</v>
      </c>
      <c r="AM102" s="211">
        <f>$AI$102*(H70)</f>
        <v>0</v>
      </c>
      <c r="AN102" s="211">
        <f>$AI$102*(I70)</f>
        <v>0</v>
      </c>
    </row>
    <row r="103" spans="2:40" s="7" customFormat="1" ht="12" hidden="1" customHeight="1" outlineLevel="2">
      <c r="B103" s="245"/>
      <c r="C103" s="213" t="s">
        <v>784</v>
      </c>
      <c r="D103" s="213"/>
      <c r="E103" s="213"/>
      <c r="F103" s="213"/>
      <c r="G103" s="213"/>
      <c r="H103" s="213"/>
      <c r="I103" s="213"/>
      <c r="J103" s="213"/>
      <c r="K103" s="213"/>
      <c r="L103" s="213"/>
      <c r="M103" s="213"/>
      <c r="N103" s="213"/>
      <c r="O103" s="213"/>
      <c r="P103" s="213"/>
      <c r="Q103" s="213"/>
      <c r="R103" s="213"/>
      <c r="S103" s="213"/>
      <c r="T103" s="213"/>
      <c r="U103" s="213"/>
      <c r="V103" s="213"/>
      <c r="W103" s="213"/>
      <c r="X103" s="213"/>
      <c r="Y103" s="213"/>
      <c r="Z103" s="213"/>
      <c r="AA103" s="213"/>
      <c r="AB103" s="211"/>
      <c r="AC103" s="211"/>
      <c r="AD103" s="211"/>
      <c r="AE103" s="211"/>
      <c r="AF103" s="211"/>
      <c r="AG103" s="211"/>
      <c r="AH103" s="211"/>
      <c r="AI103" s="211"/>
      <c r="AJ103" s="211">
        <f>INDEX($C$44:$AN$66,MATCH("New Customers One-Time",$C$44:$C$66,0),MATCH($C103,$C$44:$AN$44,0))</f>
        <v>1.535697399527187</v>
      </c>
      <c r="AK103" s="211">
        <f>$AJ$103*(E70)</f>
        <v>0</v>
      </c>
      <c r="AL103" s="211">
        <f>$AJ$103*(F70)</f>
        <v>0</v>
      </c>
      <c r="AM103" s="211">
        <f>$AJ$103*(G70)</f>
        <v>0</v>
      </c>
      <c r="AN103" s="211">
        <f>$AJ$103*(H70)</f>
        <v>0</v>
      </c>
    </row>
    <row r="104" spans="2:40" s="7" customFormat="1" ht="12" hidden="1" customHeight="1" outlineLevel="2">
      <c r="B104" s="245"/>
      <c r="C104" s="213" t="s">
        <v>785</v>
      </c>
      <c r="D104" s="213"/>
      <c r="E104" s="213"/>
      <c r="F104" s="213"/>
      <c r="G104" s="213"/>
      <c r="H104" s="213"/>
      <c r="I104" s="213"/>
      <c r="J104" s="213"/>
      <c r="K104" s="213"/>
      <c r="L104" s="213"/>
      <c r="M104" s="213"/>
      <c r="N104" s="213"/>
      <c r="O104" s="213"/>
      <c r="P104" s="213"/>
      <c r="Q104" s="213"/>
      <c r="R104" s="213"/>
      <c r="S104" s="213"/>
      <c r="T104" s="213"/>
      <c r="U104" s="213"/>
      <c r="V104" s="213"/>
      <c r="W104" s="213"/>
      <c r="X104" s="213"/>
      <c r="Y104" s="213"/>
      <c r="Z104" s="213"/>
      <c r="AA104" s="213"/>
      <c r="AB104" s="211"/>
      <c r="AC104" s="211"/>
      <c r="AD104" s="211"/>
      <c r="AE104" s="211"/>
      <c r="AF104" s="211"/>
      <c r="AG104" s="211"/>
      <c r="AH104" s="211"/>
      <c r="AI104" s="211"/>
      <c r="AJ104" s="211"/>
      <c r="AK104" s="211">
        <f>INDEX($C$44:$AN$66,MATCH("New Customers One-Time",$C$44:$C$66,0),MATCH($C104,$C$44:$AN$44,0))</f>
        <v>2.7659574468085109</v>
      </c>
      <c r="AL104" s="211">
        <f>$AK$104*(E70)</f>
        <v>0</v>
      </c>
      <c r="AM104" s="211">
        <f>$AK$104*(F70)</f>
        <v>0</v>
      </c>
      <c r="AN104" s="211">
        <f>$AK$104*(G70)</f>
        <v>0</v>
      </c>
    </row>
    <row r="105" spans="2:40" s="7" customFormat="1" ht="12" hidden="1" customHeight="1" outlineLevel="2">
      <c r="B105" s="245"/>
      <c r="C105" s="213" t="s">
        <v>786</v>
      </c>
      <c r="D105" s="213"/>
      <c r="E105" s="213"/>
      <c r="F105" s="213"/>
      <c r="G105" s="213"/>
      <c r="H105" s="213"/>
      <c r="I105" s="213"/>
      <c r="J105" s="213"/>
      <c r="K105" s="213"/>
      <c r="L105" s="213"/>
      <c r="M105" s="213"/>
      <c r="N105" s="213"/>
      <c r="O105" s="213"/>
      <c r="P105" s="213"/>
      <c r="Q105" s="213"/>
      <c r="R105" s="213"/>
      <c r="S105" s="213"/>
      <c r="T105" s="213"/>
      <c r="U105" s="213"/>
      <c r="V105" s="213"/>
      <c r="W105" s="213"/>
      <c r="X105" s="213"/>
      <c r="Y105" s="213"/>
      <c r="Z105" s="213"/>
      <c r="AA105" s="213"/>
      <c r="AB105" s="211"/>
      <c r="AC105" s="211"/>
      <c r="AD105" s="211"/>
      <c r="AE105" s="211"/>
      <c r="AF105" s="211"/>
      <c r="AG105" s="211"/>
      <c r="AH105" s="211"/>
      <c r="AI105" s="211"/>
      <c r="AJ105" s="211"/>
      <c r="AK105" s="211"/>
      <c r="AL105" s="211">
        <f>INDEX($C$44:$AN$66,MATCH("New Customers One-Time",$C$44:$C$66,0),MATCH($C105,$C$44:$AN$44,0))</f>
        <v>2.3049645390070927</v>
      </c>
      <c r="AM105" s="211">
        <f>$AL$105*(E70)</f>
        <v>0</v>
      </c>
      <c r="AN105" s="211">
        <f>$AL$105*(F70)</f>
        <v>0</v>
      </c>
    </row>
    <row r="106" spans="2:40" s="7" customFormat="1" ht="12" hidden="1" customHeight="1" outlineLevel="2">
      <c r="B106" s="245"/>
      <c r="C106" s="213" t="s">
        <v>787</v>
      </c>
      <c r="D106" s="213"/>
      <c r="E106" s="213"/>
      <c r="F106" s="213"/>
      <c r="G106" s="213"/>
      <c r="H106" s="213"/>
      <c r="I106" s="213"/>
      <c r="J106" s="213"/>
      <c r="K106" s="213"/>
      <c r="L106" s="213"/>
      <c r="M106" s="213"/>
      <c r="N106" s="213"/>
      <c r="O106" s="213"/>
      <c r="P106" s="213"/>
      <c r="Q106" s="213"/>
      <c r="R106" s="213"/>
      <c r="S106" s="213"/>
      <c r="T106" s="213"/>
      <c r="U106" s="213"/>
      <c r="V106" s="213"/>
      <c r="W106" s="213"/>
      <c r="X106" s="213"/>
      <c r="Y106" s="213"/>
      <c r="Z106" s="213"/>
      <c r="AA106" s="213"/>
      <c r="AB106" s="211"/>
      <c r="AC106" s="211"/>
      <c r="AD106" s="211"/>
      <c r="AE106" s="211"/>
      <c r="AF106" s="211"/>
      <c r="AG106" s="211"/>
      <c r="AH106" s="211"/>
      <c r="AI106" s="211"/>
      <c r="AJ106" s="211"/>
      <c r="AK106" s="211"/>
      <c r="AL106" s="211"/>
      <c r="AM106" s="211">
        <f>INDEX($C$44:$AN$66,MATCH("New Customers One-Time",$C$44:$C$66,0),MATCH($C106,$C$44:$AN$44,0))</f>
        <v>0.88652482269503552</v>
      </c>
      <c r="AN106" s="211">
        <f>$AM$106*(E70)</f>
        <v>0</v>
      </c>
    </row>
    <row r="107" spans="2:40" s="7" customFormat="1" ht="12" hidden="1" customHeight="1" outlineLevel="2">
      <c r="B107" s="245"/>
      <c r="C107" s="213" t="s">
        <v>788</v>
      </c>
      <c r="D107" s="213"/>
      <c r="E107" s="213"/>
      <c r="F107" s="213"/>
      <c r="G107" s="213"/>
      <c r="H107" s="213"/>
      <c r="I107" s="213"/>
      <c r="J107" s="213"/>
      <c r="K107" s="213"/>
      <c r="L107" s="213"/>
      <c r="M107" s="213"/>
      <c r="N107" s="213"/>
      <c r="O107" s="213"/>
      <c r="P107" s="213"/>
      <c r="Q107" s="213"/>
      <c r="R107" s="213"/>
      <c r="S107" s="213"/>
      <c r="T107" s="213"/>
      <c r="U107" s="213"/>
      <c r="V107" s="213"/>
      <c r="W107" s="213"/>
      <c r="X107" s="213"/>
      <c r="Y107" s="213"/>
      <c r="Z107" s="213"/>
      <c r="AA107" s="213"/>
      <c r="AB107" s="211"/>
      <c r="AC107" s="211"/>
      <c r="AD107" s="211"/>
      <c r="AE107" s="211"/>
      <c r="AF107" s="211"/>
      <c r="AG107" s="211"/>
      <c r="AH107" s="211"/>
      <c r="AI107" s="211"/>
      <c r="AJ107" s="211"/>
      <c r="AK107" s="211"/>
      <c r="AL107" s="211"/>
      <c r="AM107" s="211"/>
      <c r="AN107" s="211">
        <f>INDEX($C$44:$AN$66,MATCH("New Customers One-Time",$C$44:$C$66,0),MATCH($C107,$C$44:$AN$44,0))</f>
        <v>0.88652482269503552</v>
      </c>
    </row>
    <row r="108" spans="2:40" s="7" customFormat="1" ht="12" hidden="1" customHeight="1" outlineLevel="2">
      <c r="B108" s="245"/>
      <c r="C108" s="213"/>
      <c r="D108" s="213"/>
      <c r="E108" s="213"/>
      <c r="F108" s="213"/>
      <c r="G108" s="213"/>
      <c r="H108" s="213"/>
      <c r="I108" s="213"/>
      <c r="J108" s="213"/>
      <c r="K108" s="213"/>
      <c r="L108" s="213"/>
      <c r="M108" s="213"/>
      <c r="N108" s="213"/>
      <c r="O108" s="213"/>
      <c r="P108" s="213"/>
      <c r="Q108" s="213"/>
      <c r="R108" s="213"/>
      <c r="S108" s="213"/>
      <c r="T108" s="213"/>
      <c r="U108" s="213"/>
      <c r="V108" s="213"/>
      <c r="W108" s="213"/>
      <c r="X108" s="213"/>
      <c r="Y108" s="213"/>
      <c r="Z108" s="213"/>
      <c r="AA108" s="213"/>
      <c r="AB108" s="211"/>
      <c r="AC108" s="211"/>
      <c r="AD108" s="211"/>
      <c r="AE108" s="211"/>
      <c r="AF108" s="211"/>
      <c r="AG108" s="211"/>
      <c r="AH108" s="211"/>
      <c r="AI108" s="211"/>
      <c r="AJ108" s="211"/>
      <c r="AK108" s="211"/>
      <c r="AL108" s="211"/>
      <c r="AM108" s="211"/>
      <c r="AN108" s="211"/>
    </row>
    <row r="109" spans="2:40" s="7" customFormat="1" ht="12" hidden="1" customHeight="1" outlineLevel="2">
      <c r="B109" s="245"/>
      <c r="C109" s="243" t="s">
        <v>853</v>
      </c>
      <c r="D109" s="213"/>
      <c r="E109" s="213"/>
      <c r="F109" s="213"/>
      <c r="G109" s="213"/>
      <c r="H109" s="213"/>
      <c r="I109" s="213"/>
      <c r="J109" s="213"/>
      <c r="K109" s="213"/>
      <c r="L109" s="213"/>
      <c r="M109" s="213"/>
      <c r="N109" s="213"/>
      <c r="O109" s="213"/>
      <c r="P109" s="213"/>
      <c r="Q109" s="213"/>
      <c r="R109" s="213"/>
      <c r="S109" s="213"/>
      <c r="T109" s="213"/>
      <c r="U109" s="213"/>
      <c r="V109" s="213"/>
      <c r="W109" s="213"/>
      <c r="X109" s="213"/>
      <c r="Y109" s="213"/>
      <c r="Z109" s="213"/>
      <c r="AA109" s="213"/>
      <c r="AB109" s="213"/>
      <c r="AC109" s="211"/>
    </row>
    <row r="110" spans="2:40" s="7" customFormat="1" ht="12" hidden="1" customHeight="1" outlineLevel="2">
      <c r="B110" s="239"/>
      <c r="C110" s="214" t="s">
        <v>850</v>
      </c>
      <c r="D110" s="214"/>
      <c r="E110" s="196" t="s">
        <v>753</v>
      </c>
      <c r="F110" s="196" t="s">
        <v>754</v>
      </c>
      <c r="G110" s="196" t="s">
        <v>755</v>
      </c>
      <c r="H110" s="196" t="s">
        <v>756</v>
      </c>
      <c r="I110" s="196" t="s">
        <v>757</v>
      </c>
      <c r="J110" s="196" t="s">
        <v>758</v>
      </c>
      <c r="K110" s="196" t="s">
        <v>759</v>
      </c>
      <c r="L110" s="196" t="s">
        <v>760</v>
      </c>
      <c r="M110" s="196" t="s">
        <v>761</v>
      </c>
      <c r="N110" s="196" t="s">
        <v>762</v>
      </c>
      <c r="O110" s="196" t="s">
        <v>763</v>
      </c>
      <c r="P110" s="196" t="s">
        <v>764</v>
      </c>
      <c r="Q110" s="196" t="s">
        <v>765</v>
      </c>
      <c r="R110" s="196" t="s">
        <v>766</v>
      </c>
      <c r="S110" s="196" t="s">
        <v>767</v>
      </c>
      <c r="T110" s="196" t="s">
        <v>768</v>
      </c>
      <c r="U110" s="196" t="s">
        <v>769</v>
      </c>
      <c r="V110" s="196" t="s">
        <v>770</v>
      </c>
      <c r="W110" s="196" t="s">
        <v>771</v>
      </c>
      <c r="X110" s="196" t="s">
        <v>772</v>
      </c>
      <c r="Y110" s="196" t="s">
        <v>773</v>
      </c>
      <c r="Z110" s="196" t="s">
        <v>774</v>
      </c>
      <c r="AA110" s="196" t="s">
        <v>775</v>
      </c>
      <c r="AB110" s="196" t="s">
        <v>776</v>
      </c>
      <c r="AC110" s="196" t="s">
        <v>777</v>
      </c>
      <c r="AD110" s="196" t="s">
        <v>778</v>
      </c>
      <c r="AE110" s="196" t="s">
        <v>779</v>
      </c>
      <c r="AF110" s="196" t="s">
        <v>780</v>
      </c>
      <c r="AG110" s="196" t="s">
        <v>781</v>
      </c>
      <c r="AH110" s="196" t="s">
        <v>782</v>
      </c>
      <c r="AI110" s="196" t="s">
        <v>783</v>
      </c>
      <c r="AJ110" s="196" t="s">
        <v>784</v>
      </c>
      <c r="AK110" s="196" t="s">
        <v>785</v>
      </c>
      <c r="AL110" s="196" t="s">
        <v>786</v>
      </c>
      <c r="AM110" s="196" t="s">
        <v>787</v>
      </c>
      <c r="AN110" s="196" t="s">
        <v>788</v>
      </c>
    </row>
    <row r="111" spans="2:40" s="7" customFormat="1" ht="12" hidden="1" customHeight="1" outlineLevel="2">
      <c r="B111" s="239"/>
      <c r="C111" s="212" t="s">
        <v>851</v>
      </c>
      <c r="D111" s="212"/>
      <c r="E111" s="344">
        <v>8.536585365853655E-2</v>
      </c>
      <c r="F111" s="344">
        <v>0.36933797909407662</v>
      </c>
      <c r="G111" s="344">
        <v>0.56445993031358888</v>
      </c>
      <c r="H111" s="344">
        <v>0.67770034843205573</v>
      </c>
      <c r="I111" s="344">
        <v>0.74912891986062724</v>
      </c>
      <c r="J111" s="344">
        <v>0.79616724738675959</v>
      </c>
      <c r="K111" s="344">
        <v>0.82752613240418116</v>
      </c>
      <c r="L111" s="344">
        <v>0.85888501742160273</v>
      </c>
      <c r="M111" s="344">
        <v>0.89198606271777003</v>
      </c>
      <c r="N111" s="344">
        <v>0.91289198606271782</v>
      </c>
      <c r="O111" s="344">
        <v>0.9285714285714286</v>
      </c>
      <c r="P111" s="344">
        <v>0.93031358885017423</v>
      </c>
      <c r="Q111" s="344">
        <v>0.93554006968641112</v>
      </c>
      <c r="R111" s="344">
        <v>0.94250871080139376</v>
      </c>
      <c r="S111" s="344">
        <v>0.94425087108013939</v>
      </c>
      <c r="T111" s="344">
        <v>0.95296167247386765</v>
      </c>
      <c r="U111" s="344">
        <v>0.96515679442508706</v>
      </c>
      <c r="V111" s="344">
        <v>0.97735191637630658</v>
      </c>
      <c r="W111" s="344">
        <v>0.98257839721254359</v>
      </c>
      <c r="X111" s="344">
        <v>0.98432055749128922</v>
      </c>
      <c r="Y111" s="344">
        <v>0.99</v>
      </c>
      <c r="Z111" s="344">
        <v>0.99</v>
      </c>
      <c r="AA111" s="345">
        <f t="shared" ref="AA111:AB111" si="84">Z111</f>
        <v>0.99</v>
      </c>
      <c r="AB111" s="345">
        <f t="shared" si="84"/>
        <v>0.99</v>
      </c>
      <c r="AC111" s="345">
        <f>AB111</f>
        <v>0.99</v>
      </c>
      <c r="AD111" s="345">
        <f t="shared" ref="AD111:AN111" si="85">AC111</f>
        <v>0.99</v>
      </c>
      <c r="AE111" s="345">
        <f t="shared" si="85"/>
        <v>0.99</v>
      </c>
      <c r="AF111" s="345">
        <f t="shared" si="85"/>
        <v>0.99</v>
      </c>
      <c r="AG111" s="345">
        <f t="shared" si="85"/>
        <v>0.99</v>
      </c>
      <c r="AH111" s="345">
        <f t="shared" si="85"/>
        <v>0.99</v>
      </c>
      <c r="AI111" s="345">
        <f t="shared" si="85"/>
        <v>0.99</v>
      </c>
      <c r="AJ111" s="345">
        <f t="shared" si="85"/>
        <v>0.99</v>
      </c>
      <c r="AK111" s="345">
        <f t="shared" si="85"/>
        <v>0.99</v>
      </c>
      <c r="AL111" s="345">
        <f t="shared" si="85"/>
        <v>0.99</v>
      </c>
      <c r="AM111" s="345">
        <f t="shared" si="85"/>
        <v>0.99</v>
      </c>
      <c r="AN111" s="345">
        <f t="shared" si="85"/>
        <v>0.99</v>
      </c>
    </row>
    <row r="112" spans="2:40" s="7" customFormat="1" ht="12" hidden="1" customHeight="1" outlineLevel="2">
      <c r="B112" s="239"/>
      <c r="C112" s="214" t="s">
        <v>852</v>
      </c>
      <c r="D112" s="212"/>
      <c r="E112" s="211">
        <f>86*33%</f>
        <v>28.380000000000003</v>
      </c>
      <c r="F112" s="211">
        <f>E112*98%</f>
        <v>27.8124</v>
      </c>
      <c r="G112" s="211">
        <f>F112*98%</f>
        <v>27.256152</v>
      </c>
      <c r="H112" s="211">
        <f t="shared" ref="H112:AN112" si="86">G112*98%</f>
        <v>26.71102896</v>
      </c>
      <c r="I112" s="211">
        <f t="shared" si="86"/>
        <v>26.176808380800001</v>
      </c>
      <c r="J112" s="211">
        <f t="shared" si="86"/>
        <v>25.653272213184</v>
      </c>
      <c r="K112" s="211">
        <f t="shared" si="86"/>
        <v>25.140206768920319</v>
      </c>
      <c r="L112" s="211">
        <f t="shared" si="86"/>
        <v>24.63740263354191</v>
      </c>
      <c r="M112" s="211">
        <f t="shared" si="86"/>
        <v>24.144654580871073</v>
      </c>
      <c r="N112" s="211">
        <f t="shared" si="86"/>
        <v>23.661761489253649</v>
      </c>
      <c r="O112" s="211">
        <f t="shared" si="86"/>
        <v>23.188526259468578</v>
      </c>
      <c r="P112" s="211">
        <f t="shared" si="86"/>
        <v>22.724755734279206</v>
      </c>
      <c r="Q112" s="211">
        <f t="shared" si="86"/>
        <v>22.270260619593621</v>
      </c>
      <c r="R112" s="211">
        <f t="shared" si="86"/>
        <v>21.824855407201749</v>
      </c>
      <c r="S112" s="211">
        <f t="shared" si="86"/>
        <v>21.388358299057714</v>
      </c>
      <c r="T112" s="211">
        <f t="shared" si="86"/>
        <v>20.960591133076559</v>
      </c>
      <c r="U112" s="211">
        <f t="shared" si="86"/>
        <v>20.541379310415028</v>
      </c>
      <c r="V112" s="211">
        <f t="shared" si="86"/>
        <v>20.130551724206725</v>
      </c>
      <c r="W112" s="211">
        <f t="shared" si="86"/>
        <v>19.72794068972259</v>
      </c>
      <c r="X112" s="211">
        <f t="shared" si="86"/>
        <v>19.33338187592814</v>
      </c>
      <c r="Y112" s="211">
        <f t="shared" si="86"/>
        <v>18.946714238409577</v>
      </c>
      <c r="Z112" s="211">
        <f t="shared" si="86"/>
        <v>18.567779953641384</v>
      </c>
      <c r="AA112" s="211">
        <f t="shared" si="86"/>
        <v>18.196424354568556</v>
      </c>
      <c r="AB112" s="211">
        <f t="shared" si="86"/>
        <v>17.832495867477185</v>
      </c>
      <c r="AC112" s="211">
        <f t="shared" si="86"/>
        <v>17.475845950127642</v>
      </c>
      <c r="AD112" s="211">
        <f t="shared" si="86"/>
        <v>17.126329031125088</v>
      </c>
      <c r="AE112" s="211">
        <f t="shared" si="86"/>
        <v>16.783802450502588</v>
      </c>
      <c r="AF112" s="211">
        <f t="shared" si="86"/>
        <v>16.448126401492537</v>
      </c>
      <c r="AG112" s="211">
        <f t="shared" si="86"/>
        <v>16.119163873462686</v>
      </c>
      <c r="AH112" s="211">
        <f t="shared" si="86"/>
        <v>15.796780595993432</v>
      </c>
      <c r="AI112" s="211">
        <f t="shared" si="86"/>
        <v>15.480844984073563</v>
      </c>
      <c r="AJ112" s="211">
        <f t="shared" si="86"/>
        <v>15.171228084392093</v>
      </c>
      <c r="AK112" s="211">
        <f t="shared" si="86"/>
        <v>14.86780352270425</v>
      </c>
      <c r="AL112" s="211">
        <f t="shared" si="86"/>
        <v>14.570447452250164</v>
      </c>
      <c r="AM112" s="211">
        <f t="shared" si="86"/>
        <v>14.279038503205161</v>
      </c>
      <c r="AN112" s="211">
        <f t="shared" si="86"/>
        <v>13.993457733141058</v>
      </c>
    </row>
    <row r="113" spans="2:40" s="7" customFormat="1" ht="12" hidden="1" customHeight="1" outlineLevel="2">
      <c r="B113" s="245"/>
      <c r="C113" s="213" t="s">
        <v>753</v>
      </c>
      <c r="D113" s="213"/>
      <c r="E113" s="211">
        <f>INDEX($C$44:$AN$66,MATCH("New Customers 1MS",$C$44:$C$66,0),MATCH($C113,$C$44:$AN$44,0))</f>
        <v>0</v>
      </c>
      <c r="F113" s="211">
        <f t="shared" ref="F113:AN113" si="87">$E$113*(E111)</f>
        <v>0</v>
      </c>
      <c r="G113" s="211">
        <f t="shared" si="87"/>
        <v>0</v>
      </c>
      <c r="H113" s="211">
        <f t="shared" si="87"/>
        <v>0</v>
      </c>
      <c r="I113" s="211">
        <f t="shared" si="87"/>
        <v>0</v>
      </c>
      <c r="J113" s="211">
        <f t="shared" si="87"/>
        <v>0</v>
      </c>
      <c r="K113" s="211">
        <f t="shared" si="87"/>
        <v>0</v>
      </c>
      <c r="L113" s="211">
        <f t="shared" si="87"/>
        <v>0</v>
      </c>
      <c r="M113" s="211">
        <f t="shared" si="87"/>
        <v>0</v>
      </c>
      <c r="N113" s="211">
        <f t="shared" si="87"/>
        <v>0</v>
      </c>
      <c r="O113" s="211">
        <f t="shared" si="87"/>
        <v>0</v>
      </c>
      <c r="P113" s="211">
        <f t="shared" si="87"/>
        <v>0</v>
      </c>
      <c r="Q113" s="211">
        <f t="shared" si="87"/>
        <v>0</v>
      </c>
      <c r="R113" s="211">
        <f t="shared" si="87"/>
        <v>0</v>
      </c>
      <c r="S113" s="211">
        <f t="shared" si="87"/>
        <v>0</v>
      </c>
      <c r="T113" s="211">
        <f t="shared" si="87"/>
        <v>0</v>
      </c>
      <c r="U113" s="211">
        <f t="shared" si="87"/>
        <v>0</v>
      </c>
      <c r="V113" s="211">
        <f t="shared" si="87"/>
        <v>0</v>
      </c>
      <c r="W113" s="211">
        <f t="shared" si="87"/>
        <v>0</v>
      </c>
      <c r="X113" s="211">
        <f t="shared" si="87"/>
        <v>0</v>
      </c>
      <c r="Y113" s="211">
        <f t="shared" si="87"/>
        <v>0</v>
      </c>
      <c r="Z113" s="211">
        <f t="shared" si="87"/>
        <v>0</v>
      </c>
      <c r="AA113" s="211">
        <f t="shared" si="87"/>
        <v>0</v>
      </c>
      <c r="AB113" s="211">
        <f t="shared" si="87"/>
        <v>0</v>
      </c>
      <c r="AC113" s="211">
        <f t="shared" si="87"/>
        <v>0</v>
      </c>
      <c r="AD113" s="211">
        <f t="shared" si="87"/>
        <v>0</v>
      </c>
      <c r="AE113" s="211">
        <f t="shared" si="87"/>
        <v>0</v>
      </c>
      <c r="AF113" s="211">
        <f t="shared" si="87"/>
        <v>0</v>
      </c>
      <c r="AG113" s="211">
        <f t="shared" si="87"/>
        <v>0</v>
      </c>
      <c r="AH113" s="211">
        <f t="shared" si="87"/>
        <v>0</v>
      </c>
      <c r="AI113" s="211">
        <f t="shared" si="87"/>
        <v>0</v>
      </c>
      <c r="AJ113" s="211">
        <f t="shared" si="87"/>
        <v>0</v>
      </c>
      <c r="AK113" s="211">
        <f t="shared" si="87"/>
        <v>0</v>
      </c>
      <c r="AL113" s="211">
        <f t="shared" si="87"/>
        <v>0</v>
      </c>
      <c r="AM113" s="211">
        <f t="shared" si="87"/>
        <v>0</v>
      </c>
      <c r="AN113" s="211">
        <f t="shared" si="87"/>
        <v>0</v>
      </c>
    </row>
    <row r="114" spans="2:40" s="7" customFormat="1" ht="12" hidden="1" customHeight="1" outlineLevel="2">
      <c r="B114" s="245"/>
      <c r="C114" s="213" t="s">
        <v>754</v>
      </c>
      <c r="D114" s="213"/>
      <c r="E114" s="213"/>
      <c r="F114" s="211">
        <f>INDEX($C$44:$AN$66,MATCH("New Customers 1MS",$C$44:$C$66,0),MATCH($C114,$C$44:$AN$44,0))</f>
        <v>0</v>
      </c>
      <c r="G114" s="211">
        <f t="shared" ref="G114:AN114" si="88">$F$114*(E111)</f>
        <v>0</v>
      </c>
      <c r="H114" s="211">
        <f t="shared" si="88"/>
        <v>0</v>
      </c>
      <c r="I114" s="211">
        <f t="shared" si="88"/>
        <v>0</v>
      </c>
      <c r="J114" s="211">
        <f t="shared" si="88"/>
        <v>0</v>
      </c>
      <c r="K114" s="211">
        <f t="shared" si="88"/>
        <v>0</v>
      </c>
      <c r="L114" s="211">
        <f t="shared" si="88"/>
        <v>0</v>
      </c>
      <c r="M114" s="211">
        <f t="shared" si="88"/>
        <v>0</v>
      </c>
      <c r="N114" s="211">
        <f t="shared" si="88"/>
        <v>0</v>
      </c>
      <c r="O114" s="211">
        <f t="shared" si="88"/>
        <v>0</v>
      </c>
      <c r="P114" s="211">
        <f t="shared" si="88"/>
        <v>0</v>
      </c>
      <c r="Q114" s="211">
        <f t="shared" si="88"/>
        <v>0</v>
      </c>
      <c r="R114" s="211">
        <f t="shared" si="88"/>
        <v>0</v>
      </c>
      <c r="S114" s="211">
        <f t="shared" si="88"/>
        <v>0</v>
      </c>
      <c r="T114" s="211">
        <f t="shared" si="88"/>
        <v>0</v>
      </c>
      <c r="U114" s="211">
        <f t="shared" si="88"/>
        <v>0</v>
      </c>
      <c r="V114" s="211">
        <f t="shared" si="88"/>
        <v>0</v>
      </c>
      <c r="W114" s="211">
        <f t="shared" si="88"/>
        <v>0</v>
      </c>
      <c r="X114" s="211">
        <f t="shared" si="88"/>
        <v>0</v>
      </c>
      <c r="Y114" s="211">
        <f t="shared" si="88"/>
        <v>0</v>
      </c>
      <c r="Z114" s="211">
        <f t="shared" si="88"/>
        <v>0</v>
      </c>
      <c r="AA114" s="211">
        <f t="shared" si="88"/>
        <v>0</v>
      </c>
      <c r="AB114" s="211">
        <f t="shared" si="88"/>
        <v>0</v>
      </c>
      <c r="AC114" s="211">
        <f t="shared" si="88"/>
        <v>0</v>
      </c>
      <c r="AD114" s="211">
        <f t="shared" si="88"/>
        <v>0</v>
      </c>
      <c r="AE114" s="211">
        <f t="shared" si="88"/>
        <v>0</v>
      </c>
      <c r="AF114" s="211">
        <f t="shared" si="88"/>
        <v>0</v>
      </c>
      <c r="AG114" s="211">
        <f t="shared" si="88"/>
        <v>0</v>
      </c>
      <c r="AH114" s="211">
        <f t="shared" si="88"/>
        <v>0</v>
      </c>
      <c r="AI114" s="211">
        <f t="shared" si="88"/>
        <v>0</v>
      </c>
      <c r="AJ114" s="211">
        <f t="shared" si="88"/>
        <v>0</v>
      </c>
      <c r="AK114" s="211">
        <f t="shared" si="88"/>
        <v>0</v>
      </c>
      <c r="AL114" s="211">
        <f t="shared" si="88"/>
        <v>0</v>
      </c>
      <c r="AM114" s="211">
        <f t="shared" si="88"/>
        <v>0</v>
      </c>
      <c r="AN114" s="211">
        <f t="shared" si="88"/>
        <v>0</v>
      </c>
    </row>
    <row r="115" spans="2:40" s="7" customFormat="1" ht="12" hidden="1" customHeight="1" outlineLevel="2">
      <c r="B115" s="245"/>
      <c r="C115" s="213" t="s">
        <v>755</v>
      </c>
      <c r="D115" s="213"/>
      <c r="E115" s="213"/>
      <c r="F115" s="213"/>
      <c r="G115" s="211">
        <f>INDEX($C$44:$AN$66,MATCH("New Customers 1MS",$C$44:$C$66,0),MATCH($C115,$C$44:$AN$44,0))</f>
        <v>0</v>
      </c>
      <c r="H115" s="211">
        <f t="shared" ref="H115:AN115" si="89">$G$115*(E111)</f>
        <v>0</v>
      </c>
      <c r="I115" s="211">
        <f t="shared" si="89"/>
        <v>0</v>
      </c>
      <c r="J115" s="211">
        <f t="shared" si="89"/>
        <v>0</v>
      </c>
      <c r="K115" s="211">
        <f t="shared" si="89"/>
        <v>0</v>
      </c>
      <c r="L115" s="211">
        <f t="shared" si="89"/>
        <v>0</v>
      </c>
      <c r="M115" s="211">
        <f t="shared" si="89"/>
        <v>0</v>
      </c>
      <c r="N115" s="211">
        <f t="shared" si="89"/>
        <v>0</v>
      </c>
      <c r="O115" s="211">
        <f t="shared" si="89"/>
        <v>0</v>
      </c>
      <c r="P115" s="211">
        <f t="shared" si="89"/>
        <v>0</v>
      </c>
      <c r="Q115" s="211">
        <f t="shared" si="89"/>
        <v>0</v>
      </c>
      <c r="R115" s="211">
        <f t="shared" si="89"/>
        <v>0</v>
      </c>
      <c r="S115" s="211">
        <f t="shared" si="89"/>
        <v>0</v>
      </c>
      <c r="T115" s="211">
        <f t="shared" si="89"/>
        <v>0</v>
      </c>
      <c r="U115" s="211">
        <f t="shared" si="89"/>
        <v>0</v>
      </c>
      <c r="V115" s="211">
        <f t="shared" si="89"/>
        <v>0</v>
      </c>
      <c r="W115" s="211">
        <f t="shared" si="89"/>
        <v>0</v>
      </c>
      <c r="X115" s="211">
        <f t="shared" si="89"/>
        <v>0</v>
      </c>
      <c r="Y115" s="211">
        <f t="shared" si="89"/>
        <v>0</v>
      </c>
      <c r="Z115" s="211">
        <f t="shared" si="89"/>
        <v>0</v>
      </c>
      <c r="AA115" s="211">
        <f t="shared" si="89"/>
        <v>0</v>
      </c>
      <c r="AB115" s="211">
        <f t="shared" si="89"/>
        <v>0</v>
      </c>
      <c r="AC115" s="211">
        <f t="shared" si="89"/>
        <v>0</v>
      </c>
      <c r="AD115" s="211">
        <f t="shared" si="89"/>
        <v>0</v>
      </c>
      <c r="AE115" s="211">
        <f t="shared" si="89"/>
        <v>0</v>
      </c>
      <c r="AF115" s="211">
        <f t="shared" si="89"/>
        <v>0</v>
      </c>
      <c r="AG115" s="211">
        <f t="shared" si="89"/>
        <v>0</v>
      </c>
      <c r="AH115" s="211">
        <f t="shared" si="89"/>
        <v>0</v>
      </c>
      <c r="AI115" s="211">
        <f t="shared" si="89"/>
        <v>0</v>
      </c>
      <c r="AJ115" s="211">
        <f t="shared" si="89"/>
        <v>0</v>
      </c>
      <c r="AK115" s="211">
        <f t="shared" si="89"/>
        <v>0</v>
      </c>
      <c r="AL115" s="211">
        <f t="shared" si="89"/>
        <v>0</v>
      </c>
      <c r="AM115" s="211">
        <f t="shared" si="89"/>
        <v>0</v>
      </c>
      <c r="AN115" s="211">
        <f t="shared" si="89"/>
        <v>0</v>
      </c>
    </row>
    <row r="116" spans="2:40" s="7" customFormat="1" ht="12" hidden="1" customHeight="1" outlineLevel="2">
      <c r="B116" s="245"/>
      <c r="C116" s="213" t="s">
        <v>756</v>
      </c>
      <c r="D116" s="213"/>
      <c r="E116" s="213"/>
      <c r="F116" s="213"/>
      <c r="G116" s="213"/>
      <c r="H116" s="211">
        <f>INDEX($C$44:$AN$66,MATCH("New Customers 1MS",$C$44:$C$66,0),MATCH($C116,$C$44:$AN$44,0))</f>
        <v>0</v>
      </c>
      <c r="I116" s="211">
        <f t="shared" ref="I116:AN116" si="90">$H$116*(E111)</f>
        <v>0</v>
      </c>
      <c r="J116" s="211">
        <f t="shared" si="90"/>
        <v>0</v>
      </c>
      <c r="K116" s="211">
        <f t="shared" si="90"/>
        <v>0</v>
      </c>
      <c r="L116" s="211">
        <f t="shared" si="90"/>
        <v>0</v>
      </c>
      <c r="M116" s="211">
        <f t="shared" si="90"/>
        <v>0</v>
      </c>
      <c r="N116" s="211">
        <f t="shared" si="90"/>
        <v>0</v>
      </c>
      <c r="O116" s="211">
        <f t="shared" si="90"/>
        <v>0</v>
      </c>
      <c r="P116" s="211">
        <f t="shared" si="90"/>
        <v>0</v>
      </c>
      <c r="Q116" s="211">
        <f t="shared" si="90"/>
        <v>0</v>
      </c>
      <c r="R116" s="211">
        <f t="shared" si="90"/>
        <v>0</v>
      </c>
      <c r="S116" s="211">
        <f t="shared" si="90"/>
        <v>0</v>
      </c>
      <c r="T116" s="211">
        <f t="shared" si="90"/>
        <v>0</v>
      </c>
      <c r="U116" s="211">
        <f t="shared" si="90"/>
        <v>0</v>
      </c>
      <c r="V116" s="211">
        <f t="shared" si="90"/>
        <v>0</v>
      </c>
      <c r="W116" s="211">
        <f t="shared" si="90"/>
        <v>0</v>
      </c>
      <c r="X116" s="211">
        <f t="shared" si="90"/>
        <v>0</v>
      </c>
      <c r="Y116" s="211">
        <f t="shared" si="90"/>
        <v>0</v>
      </c>
      <c r="Z116" s="211">
        <f t="shared" si="90"/>
        <v>0</v>
      </c>
      <c r="AA116" s="211">
        <f t="shared" si="90"/>
        <v>0</v>
      </c>
      <c r="AB116" s="211">
        <f t="shared" si="90"/>
        <v>0</v>
      </c>
      <c r="AC116" s="211">
        <f t="shared" si="90"/>
        <v>0</v>
      </c>
      <c r="AD116" s="211">
        <f t="shared" si="90"/>
        <v>0</v>
      </c>
      <c r="AE116" s="211">
        <f t="shared" si="90"/>
        <v>0</v>
      </c>
      <c r="AF116" s="211">
        <f t="shared" si="90"/>
        <v>0</v>
      </c>
      <c r="AG116" s="211">
        <f t="shared" si="90"/>
        <v>0</v>
      </c>
      <c r="AH116" s="211">
        <f t="shared" si="90"/>
        <v>0</v>
      </c>
      <c r="AI116" s="211">
        <f t="shared" si="90"/>
        <v>0</v>
      </c>
      <c r="AJ116" s="211">
        <f t="shared" si="90"/>
        <v>0</v>
      </c>
      <c r="AK116" s="211">
        <f t="shared" si="90"/>
        <v>0</v>
      </c>
      <c r="AL116" s="211">
        <f t="shared" si="90"/>
        <v>0</v>
      </c>
      <c r="AM116" s="211">
        <f t="shared" si="90"/>
        <v>0</v>
      </c>
      <c r="AN116" s="211">
        <f t="shared" si="90"/>
        <v>0</v>
      </c>
    </row>
    <row r="117" spans="2:40" s="7" customFormat="1" ht="12" hidden="1" customHeight="1" outlineLevel="2">
      <c r="B117" s="245"/>
      <c r="C117" s="213" t="s">
        <v>757</v>
      </c>
      <c r="D117" s="213"/>
      <c r="E117" s="213"/>
      <c r="F117" s="213"/>
      <c r="G117" s="213"/>
      <c r="H117" s="213"/>
      <c r="I117" s="211">
        <f>INDEX($C$44:$AN$66,MATCH("New Customers 1MS",$C$44:$C$66,0),MATCH($C117,$C$44:$AN$44,0))</f>
        <v>0</v>
      </c>
      <c r="J117" s="211">
        <f t="shared" ref="J117:AN117" si="91">$I$117*(E111)</f>
        <v>0</v>
      </c>
      <c r="K117" s="211">
        <f t="shared" si="91"/>
        <v>0</v>
      </c>
      <c r="L117" s="211">
        <f t="shared" si="91"/>
        <v>0</v>
      </c>
      <c r="M117" s="211">
        <f t="shared" si="91"/>
        <v>0</v>
      </c>
      <c r="N117" s="211">
        <f t="shared" si="91"/>
        <v>0</v>
      </c>
      <c r="O117" s="211">
        <f t="shared" si="91"/>
        <v>0</v>
      </c>
      <c r="P117" s="211">
        <f t="shared" si="91"/>
        <v>0</v>
      </c>
      <c r="Q117" s="211">
        <f t="shared" si="91"/>
        <v>0</v>
      </c>
      <c r="R117" s="211">
        <f t="shared" si="91"/>
        <v>0</v>
      </c>
      <c r="S117" s="211">
        <f t="shared" si="91"/>
        <v>0</v>
      </c>
      <c r="T117" s="211">
        <f t="shared" si="91"/>
        <v>0</v>
      </c>
      <c r="U117" s="211">
        <f t="shared" si="91"/>
        <v>0</v>
      </c>
      <c r="V117" s="211">
        <f t="shared" si="91"/>
        <v>0</v>
      </c>
      <c r="W117" s="211">
        <f t="shared" si="91"/>
        <v>0</v>
      </c>
      <c r="X117" s="211">
        <f t="shared" si="91"/>
        <v>0</v>
      </c>
      <c r="Y117" s="211">
        <f t="shared" si="91"/>
        <v>0</v>
      </c>
      <c r="Z117" s="211">
        <f t="shared" si="91"/>
        <v>0</v>
      </c>
      <c r="AA117" s="211">
        <f t="shared" si="91"/>
        <v>0</v>
      </c>
      <c r="AB117" s="211">
        <f t="shared" si="91"/>
        <v>0</v>
      </c>
      <c r="AC117" s="211">
        <f t="shared" si="91"/>
        <v>0</v>
      </c>
      <c r="AD117" s="211">
        <f t="shared" si="91"/>
        <v>0</v>
      </c>
      <c r="AE117" s="211">
        <f t="shared" si="91"/>
        <v>0</v>
      </c>
      <c r="AF117" s="211">
        <f t="shared" si="91"/>
        <v>0</v>
      </c>
      <c r="AG117" s="211">
        <f t="shared" si="91"/>
        <v>0</v>
      </c>
      <c r="AH117" s="211">
        <f t="shared" si="91"/>
        <v>0</v>
      </c>
      <c r="AI117" s="211">
        <f t="shared" si="91"/>
        <v>0</v>
      </c>
      <c r="AJ117" s="211">
        <f t="shared" si="91"/>
        <v>0</v>
      </c>
      <c r="AK117" s="211">
        <f t="shared" si="91"/>
        <v>0</v>
      </c>
      <c r="AL117" s="211">
        <f t="shared" si="91"/>
        <v>0</v>
      </c>
      <c r="AM117" s="211">
        <f t="shared" si="91"/>
        <v>0</v>
      </c>
      <c r="AN117" s="211">
        <f t="shared" si="91"/>
        <v>0</v>
      </c>
    </row>
    <row r="118" spans="2:40" s="7" customFormat="1" ht="12" hidden="1" customHeight="1" outlineLevel="2">
      <c r="B118" s="245"/>
      <c r="C118" s="213" t="s">
        <v>758</v>
      </c>
      <c r="D118" s="213"/>
      <c r="E118" s="213"/>
      <c r="F118" s="213"/>
      <c r="G118" s="213"/>
      <c r="H118" s="213"/>
      <c r="I118" s="213"/>
      <c r="J118" s="211">
        <f>INDEX($C$44:$AN$66,MATCH("New Customers 1MS",$C$44:$C$66,0),MATCH($C118,$C$44:$AN$44,0))</f>
        <v>7</v>
      </c>
      <c r="K118" s="211">
        <f t="shared" ref="K118:AN118" si="92">$J$118*(E111)</f>
        <v>0.59756097560975585</v>
      </c>
      <c r="L118" s="211">
        <f t="shared" si="92"/>
        <v>2.5853658536585362</v>
      </c>
      <c r="M118" s="211">
        <f t="shared" si="92"/>
        <v>3.9512195121951219</v>
      </c>
      <c r="N118" s="211">
        <f t="shared" si="92"/>
        <v>4.7439024390243905</v>
      </c>
      <c r="O118" s="211">
        <f t="shared" si="92"/>
        <v>5.2439024390243905</v>
      </c>
      <c r="P118" s="211">
        <f t="shared" si="92"/>
        <v>5.5731707317073171</v>
      </c>
      <c r="Q118" s="211">
        <f t="shared" si="92"/>
        <v>5.7926829268292686</v>
      </c>
      <c r="R118" s="211">
        <f t="shared" si="92"/>
        <v>6.0121951219512191</v>
      </c>
      <c r="S118" s="211">
        <f t="shared" si="92"/>
        <v>6.2439024390243905</v>
      </c>
      <c r="T118" s="211">
        <f t="shared" si="92"/>
        <v>6.3902439024390247</v>
      </c>
      <c r="U118" s="211">
        <f t="shared" si="92"/>
        <v>6.5</v>
      </c>
      <c r="V118" s="211">
        <f t="shared" si="92"/>
        <v>6.51219512195122</v>
      </c>
      <c r="W118" s="211">
        <f t="shared" si="92"/>
        <v>6.5487804878048781</v>
      </c>
      <c r="X118" s="211">
        <f t="shared" si="92"/>
        <v>6.5975609756097562</v>
      </c>
      <c r="Y118" s="211">
        <f t="shared" si="92"/>
        <v>6.6097560975609753</v>
      </c>
      <c r="Z118" s="211">
        <f t="shared" si="92"/>
        <v>6.6707317073170733</v>
      </c>
      <c r="AA118" s="211">
        <f t="shared" si="92"/>
        <v>6.7560975609756095</v>
      </c>
      <c r="AB118" s="211">
        <f t="shared" si="92"/>
        <v>6.8414634146341458</v>
      </c>
      <c r="AC118" s="211">
        <f t="shared" si="92"/>
        <v>6.8780487804878048</v>
      </c>
      <c r="AD118" s="211">
        <f t="shared" si="92"/>
        <v>6.8902439024390247</v>
      </c>
      <c r="AE118" s="211">
        <f t="shared" si="92"/>
        <v>6.93</v>
      </c>
      <c r="AF118" s="211">
        <f t="shared" si="92"/>
        <v>6.93</v>
      </c>
      <c r="AG118" s="211">
        <f t="shared" si="92"/>
        <v>6.93</v>
      </c>
      <c r="AH118" s="211">
        <f t="shared" si="92"/>
        <v>6.93</v>
      </c>
      <c r="AI118" s="211">
        <f t="shared" si="92"/>
        <v>6.93</v>
      </c>
      <c r="AJ118" s="211">
        <f t="shared" si="92"/>
        <v>6.93</v>
      </c>
      <c r="AK118" s="211">
        <f t="shared" si="92"/>
        <v>6.93</v>
      </c>
      <c r="AL118" s="211">
        <f t="shared" si="92"/>
        <v>6.93</v>
      </c>
      <c r="AM118" s="211">
        <f t="shared" si="92"/>
        <v>6.93</v>
      </c>
      <c r="AN118" s="211">
        <f t="shared" si="92"/>
        <v>6.93</v>
      </c>
    </row>
    <row r="119" spans="2:40" s="7" customFormat="1" ht="12" hidden="1" customHeight="1" outlineLevel="2">
      <c r="B119" s="245"/>
      <c r="C119" s="213" t="s">
        <v>759</v>
      </c>
      <c r="D119" s="213"/>
      <c r="E119" s="213"/>
      <c r="F119" s="213"/>
      <c r="G119" s="213"/>
      <c r="H119" s="213"/>
      <c r="I119" s="213"/>
      <c r="J119" s="213"/>
      <c r="K119" s="211">
        <f>INDEX($C$44:$AN$66,MATCH("New Customers 1MS",$C$44:$C$66,0),MATCH($C119,$C$44:$AN$44,0))</f>
        <v>0.99999999999999978</v>
      </c>
      <c r="L119" s="211">
        <f t="shared" ref="L119:AN119" si="93">$K$119*(E111)</f>
        <v>8.5365853658536536E-2</v>
      </c>
      <c r="M119" s="211">
        <f t="shared" si="93"/>
        <v>0.36933797909407656</v>
      </c>
      <c r="N119" s="211">
        <f t="shared" si="93"/>
        <v>0.56445993031358876</v>
      </c>
      <c r="O119" s="211">
        <f t="shared" si="93"/>
        <v>0.67770034843205562</v>
      </c>
      <c r="P119" s="211">
        <f t="shared" si="93"/>
        <v>0.74912891986062713</v>
      </c>
      <c r="Q119" s="211">
        <f t="shared" si="93"/>
        <v>0.79616724738675937</v>
      </c>
      <c r="R119" s="211">
        <f t="shared" si="93"/>
        <v>0.82752613240418094</v>
      </c>
      <c r="S119" s="211">
        <f t="shared" si="93"/>
        <v>0.8588850174216025</v>
      </c>
      <c r="T119" s="211">
        <f t="shared" si="93"/>
        <v>0.89198606271776981</v>
      </c>
      <c r="U119" s="211">
        <f t="shared" si="93"/>
        <v>0.9128919860627176</v>
      </c>
      <c r="V119" s="211">
        <f t="shared" si="93"/>
        <v>0.92857142857142838</v>
      </c>
      <c r="W119" s="211">
        <f t="shared" si="93"/>
        <v>0.93031358885017401</v>
      </c>
      <c r="X119" s="211">
        <f t="shared" si="93"/>
        <v>0.9355400696864109</v>
      </c>
      <c r="Y119" s="211">
        <f t="shared" si="93"/>
        <v>0.94250871080139353</v>
      </c>
      <c r="Z119" s="211">
        <f t="shared" si="93"/>
        <v>0.94425087108013916</v>
      </c>
      <c r="AA119" s="211">
        <f t="shared" si="93"/>
        <v>0.95296167247386743</v>
      </c>
      <c r="AB119" s="211">
        <f t="shared" si="93"/>
        <v>0.96515679442508684</v>
      </c>
      <c r="AC119" s="211">
        <f t="shared" si="93"/>
        <v>0.97735191637630636</v>
      </c>
      <c r="AD119" s="211">
        <f t="shared" si="93"/>
        <v>0.98257839721254336</v>
      </c>
      <c r="AE119" s="211">
        <f t="shared" si="93"/>
        <v>0.98432055749128899</v>
      </c>
      <c r="AF119" s="211">
        <f t="shared" si="93"/>
        <v>0.98999999999999977</v>
      </c>
      <c r="AG119" s="211">
        <f t="shared" si="93"/>
        <v>0.98999999999999977</v>
      </c>
      <c r="AH119" s="211">
        <f t="shared" si="93"/>
        <v>0.98999999999999977</v>
      </c>
      <c r="AI119" s="211">
        <f t="shared" si="93"/>
        <v>0.98999999999999977</v>
      </c>
      <c r="AJ119" s="211">
        <f t="shared" si="93"/>
        <v>0.98999999999999977</v>
      </c>
      <c r="AK119" s="211">
        <f t="shared" si="93"/>
        <v>0.98999999999999977</v>
      </c>
      <c r="AL119" s="211">
        <f t="shared" si="93"/>
        <v>0.98999999999999977</v>
      </c>
      <c r="AM119" s="211">
        <f t="shared" si="93"/>
        <v>0.98999999999999977</v>
      </c>
      <c r="AN119" s="211">
        <f t="shared" si="93"/>
        <v>0.98999999999999977</v>
      </c>
    </row>
    <row r="120" spans="2:40" s="7" customFormat="1" ht="12" hidden="1" customHeight="1" outlineLevel="2">
      <c r="B120" s="245"/>
      <c r="C120" s="213" t="s">
        <v>760</v>
      </c>
      <c r="D120" s="213"/>
      <c r="E120" s="213"/>
      <c r="F120" s="213"/>
      <c r="G120" s="213"/>
      <c r="H120" s="213"/>
      <c r="I120" s="213"/>
      <c r="J120" s="213"/>
      <c r="K120" s="213"/>
      <c r="L120" s="211">
        <f>INDEX($C$44:$AN$66,MATCH("New Customers 1MS",$C$44:$C$66,0),MATCH($C120,$C$44:$AN$44,0))</f>
        <v>6.9999999999999991</v>
      </c>
      <c r="M120" s="211">
        <f t="shared" ref="M120:AN120" si="94">$L$120*(E111)</f>
        <v>0.59756097560975574</v>
      </c>
      <c r="N120" s="211">
        <f t="shared" si="94"/>
        <v>2.5853658536585362</v>
      </c>
      <c r="O120" s="211">
        <f t="shared" si="94"/>
        <v>3.9512195121951215</v>
      </c>
      <c r="P120" s="211">
        <f t="shared" si="94"/>
        <v>4.7439024390243896</v>
      </c>
      <c r="Q120" s="211">
        <f t="shared" si="94"/>
        <v>5.2439024390243905</v>
      </c>
      <c r="R120" s="211">
        <f t="shared" si="94"/>
        <v>5.5731707317073162</v>
      </c>
      <c r="S120" s="211">
        <f t="shared" si="94"/>
        <v>5.7926829268292677</v>
      </c>
      <c r="T120" s="211">
        <f t="shared" si="94"/>
        <v>6.0121951219512182</v>
      </c>
      <c r="U120" s="211">
        <f t="shared" si="94"/>
        <v>6.2439024390243896</v>
      </c>
      <c r="V120" s="211">
        <f t="shared" si="94"/>
        <v>6.3902439024390238</v>
      </c>
      <c r="W120" s="211">
        <f t="shared" si="94"/>
        <v>6.4999999999999991</v>
      </c>
      <c r="X120" s="211">
        <f t="shared" si="94"/>
        <v>6.5121951219512191</v>
      </c>
      <c r="Y120" s="211">
        <f t="shared" si="94"/>
        <v>6.5487804878048772</v>
      </c>
      <c r="Z120" s="211">
        <f t="shared" si="94"/>
        <v>6.5975609756097553</v>
      </c>
      <c r="AA120" s="211">
        <f t="shared" si="94"/>
        <v>6.6097560975609753</v>
      </c>
      <c r="AB120" s="211">
        <f t="shared" si="94"/>
        <v>6.6707317073170724</v>
      </c>
      <c r="AC120" s="211">
        <f t="shared" si="94"/>
        <v>6.7560975609756087</v>
      </c>
      <c r="AD120" s="211">
        <f t="shared" si="94"/>
        <v>6.8414634146341449</v>
      </c>
      <c r="AE120" s="211">
        <f t="shared" si="94"/>
        <v>6.8780487804878039</v>
      </c>
      <c r="AF120" s="211">
        <f t="shared" si="94"/>
        <v>6.8902439024390238</v>
      </c>
      <c r="AG120" s="211">
        <f t="shared" si="94"/>
        <v>6.9299999999999988</v>
      </c>
      <c r="AH120" s="211">
        <f t="shared" si="94"/>
        <v>6.9299999999999988</v>
      </c>
      <c r="AI120" s="211">
        <f t="shared" si="94"/>
        <v>6.9299999999999988</v>
      </c>
      <c r="AJ120" s="211">
        <f t="shared" si="94"/>
        <v>6.9299999999999988</v>
      </c>
      <c r="AK120" s="211">
        <f t="shared" si="94"/>
        <v>6.9299999999999988</v>
      </c>
      <c r="AL120" s="211">
        <f t="shared" si="94"/>
        <v>6.9299999999999988</v>
      </c>
      <c r="AM120" s="211">
        <f t="shared" si="94"/>
        <v>6.9299999999999988</v>
      </c>
      <c r="AN120" s="211">
        <f t="shared" si="94"/>
        <v>6.9299999999999988</v>
      </c>
    </row>
    <row r="121" spans="2:40" s="7" customFormat="1" ht="12" hidden="1" customHeight="1" outlineLevel="2">
      <c r="B121" s="245"/>
      <c r="C121" s="213" t="s">
        <v>761</v>
      </c>
      <c r="D121" s="213"/>
      <c r="E121" s="213"/>
      <c r="F121" s="213"/>
      <c r="G121" s="213"/>
      <c r="H121" s="213"/>
      <c r="I121" s="213"/>
      <c r="J121" s="213"/>
      <c r="K121" s="213"/>
      <c r="L121" s="213"/>
      <c r="M121" s="211">
        <f>INDEX($C$44:$AN$66,MATCH("New Customers 1MS",$C$44:$C$66,0),MATCH($C121,$C$44:$AN$44,0))</f>
        <v>0.76832151300236418</v>
      </c>
      <c r="N121" s="211">
        <f t="shared" ref="N121:AN121" si="95">$M$121*(E111)</f>
        <v>6.5588421841665204E-2</v>
      </c>
      <c r="O121" s="211">
        <f t="shared" si="95"/>
        <v>0.28377031490679649</v>
      </c>
      <c r="P121" s="211">
        <f t="shared" si="95"/>
        <v>0.43368670768774564</v>
      </c>
      <c r="Q121" s="211">
        <f t="shared" si="95"/>
        <v>0.5206917570695464</v>
      </c>
      <c r="R121" s="211">
        <f t="shared" si="95"/>
        <v>0.57557186514114389</v>
      </c>
      <c r="S121" s="211">
        <f t="shared" si="95"/>
        <v>0.61171242411512272</v>
      </c>
      <c r="T121" s="211">
        <f t="shared" si="95"/>
        <v>0.6358061300977752</v>
      </c>
      <c r="U121" s="211">
        <f t="shared" si="95"/>
        <v>0.65989983608042768</v>
      </c>
      <c r="V121" s="211">
        <f t="shared" si="95"/>
        <v>0.68533208128433876</v>
      </c>
      <c r="W121" s="211">
        <f t="shared" si="95"/>
        <v>0.70139455193944056</v>
      </c>
      <c r="X121" s="211">
        <f t="shared" si="95"/>
        <v>0.7134414049307668</v>
      </c>
      <c r="Y121" s="211">
        <f t="shared" si="95"/>
        <v>0.71477994415202517</v>
      </c>
      <c r="Z121" s="211">
        <f t="shared" si="95"/>
        <v>0.71879556181580062</v>
      </c>
      <c r="AA121" s="211">
        <f t="shared" si="95"/>
        <v>0.72414971870083455</v>
      </c>
      <c r="AB121" s="211">
        <f t="shared" si="95"/>
        <v>0.72548825792209304</v>
      </c>
      <c r="AC121" s="211">
        <f t="shared" si="95"/>
        <v>0.73218095402838546</v>
      </c>
      <c r="AD121" s="211">
        <f t="shared" si="95"/>
        <v>0.74155072857719462</v>
      </c>
      <c r="AE121" s="211">
        <f t="shared" si="95"/>
        <v>0.750920503126004</v>
      </c>
      <c r="AF121" s="211">
        <f t="shared" si="95"/>
        <v>0.75493612078977945</v>
      </c>
      <c r="AG121" s="211">
        <f t="shared" si="95"/>
        <v>0.75627466001103794</v>
      </c>
      <c r="AH121" s="211">
        <f t="shared" si="95"/>
        <v>0.7606382978723405</v>
      </c>
      <c r="AI121" s="211">
        <f t="shared" si="95"/>
        <v>0.7606382978723405</v>
      </c>
      <c r="AJ121" s="211">
        <f t="shared" si="95"/>
        <v>0.7606382978723405</v>
      </c>
      <c r="AK121" s="211">
        <f t="shared" si="95"/>
        <v>0.7606382978723405</v>
      </c>
      <c r="AL121" s="211">
        <f t="shared" si="95"/>
        <v>0.7606382978723405</v>
      </c>
      <c r="AM121" s="211">
        <f t="shared" si="95"/>
        <v>0.7606382978723405</v>
      </c>
      <c r="AN121" s="211">
        <f t="shared" si="95"/>
        <v>0.7606382978723405</v>
      </c>
    </row>
    <row r="122" spans="2:40" s="7" customFormat="1" ht="12" hidden="1" customHeight="1" outlineLevel="2">
      <c r="B122" s="245"/>
      <c r="C122" s="213" t="s">
        <v>762</v>
      </c>
      <c r="D122" s="213"/>
      <c r="E122" s="213"/>
      <c r="F122" s="213"/>
      <c r="G122" s="213"/>
      <c r="H122" s="213"/>
      <c r="I122" s="213"/>
      <c r="J122" s="213"/>
      <c r="K122" s="213"/>
      <c r="L122" s="213"/>
      <c r="M122" s="213"/>
      <c r="N122" s="211">
        <f>INDEX($C$44:$AN$66,MATCH("New Customers 1MS",$C$44:$C$66,0),MATCH($C122,$C$44:$AN$44,0))</f>
        <v>0.76832151300236418</v>
      </c>
      <c r="O122" s="211">
        <f t="shared" ref="O122:AN122" si="96">$N$122*(E111)</f>
        <v>6.5588421841665204E-2</v>
      </c>
      <c r="P122" s="211">
        <f t="shared" si="96"/>
        <v>0.28377031490679649</v>
      </c>
      <c r="Q122" s="211">
        <f t="shared" si="96"/>
        <v>0.43368670768774564</v>
      </c>
      <c r="R122" s="211">
        <f t="shared" si="96"/>
        <v>0.5206917570695464</v>
      </c>
      <c r="S122" s="211">
        <f t="shared" si="96"/>
        <v>0.57557186514114389</v>
      </c>
      <c r="T122" s="211">
        <f t="shared" si="96"/>
        <v>0.61171242411512272</v>
      </c>
      <c r="U122" s="211">
        <f t="shared" si="96"/>
        <v>0.6358061300977752</v>
      </c>
      <c r="V122" s="211">
        <f t="shared" si="96"/>
        <v>0.65989983608042768</v>
      </c>
      <c r="W122" s="211">
        <f t="shared" si="96"/>
        <v>0.68533208128433876</v>
      </c>
      <c r="X122" s="211">
        <f t="shared" si="96"/>
        <v>0.70139455193944056</v>
      </c>
      <c r="Y122" s="211">
        <f t="shared" si="96"/>
        <v>0.7134414049307668</v>
      </c>
      <c r="Z122" s="211">
        <f t="shared" si="96"/>
        <v>0.71477994415202517</v>
      </c>
      <c r="AA122" s="211">
        <f t="shared" si="96"/>
        <v>0.71879556181580062</v>
      </c>
      <c r="AB122" s="211">
        <f t="shared" si="96"/>
        <v>0.72414971870083455</v>
      </c>
      <c r="AC122" s="211">
        <f t="shared" si="96"/>
        <v>0.72548825792209304</v>
      </c>
      <c r="AD122" s="211">
        <f t="shared" si="96"/>
        <v>0.73218095402838546</v>
      </c>
      <c r="AE122" s="211">
        <f t="shared" si="96"/>
        <v>0.74155072857719462</v>
      </c>
      <c r="AF122" s="211">
        <f t="shared" si="96"/>
        <v>0.750920503126004</v>
      </c>
      <c r="AG122" s="211">
        <f t="shared" si="96"/>
        <v>0.75493612078977945</v>
      </c>
      <c r="AH122" s="211">
        <f t="shared" si="96"/>
        <v>0.75627466001103794</v>
      </c>
      <c r="AI122" s="211">
        <f t="shared" si="96"/>
        <v>0.7606382978723405</v>
      </c>
      <c r="AJ122" s="211">
        <f t="shared" si="96"/>
        <v>0.7606382978723405</v>
      </c>
      <c r="AK122" s="211">
        <f t="shared" si="96"/>
        <v>0.7606382978723405</v>
      </c>
      <c r="AL122" s="211">
        <f t="shared" si="96"/>
        <v>0.7606382978723405</v>
      </c>
      <c r="AM122" s="211">
        <f t="shared" si="96"/>
        <v>0.7606382978723405</v>
      </c>
      <c r="AN122" s="211">
        <f t="shared" si="96"/>
        <v>0.7606382978723405</v>
      </c>
    </row>
    <row r="123" spans="2:40" s="7" customFormat="1" ht="12" hidden="1" customHeight="1" outlineLevel="2">
      <c r="B123" s="245"/>
      <c r="C123" s="213" t="s">
        <v>763</v>
      </c>
      <c r="D123" s="213"/>
      <c r="E123" s="213"/>
      <c r="F123" s="213"/>
      <c r="G123" s="213"/>
      <c r="H123" s="213"/>
      <c r="I123" s="213"/>
      <c r="J123" s="213"/>
      <c r="K123" s="213"/>
      <c r="L123" s="213"/>
      <c r="M123" s="213"/>
      <c r="N123" s="213"/>
      <c r="O123" s="211">
        <f>INDEX($C$44:$AN$66,MATCH("New Customers 1MS",$C$44:$C$66,0),MATCH($C123,$C$44:$AN$44,0))</f>
        <v>0.44326241134751776</v>
      </c>
      <c r="P123" s="211">
        <f t="shared" ref="P123:AN123" si="97">$O$123*(E111)</f>
        <v>3.7839474139422236E-2</v>
      </c>
      <c r="Q123" s="211">
        <f t="shared" si="97"/>
        <v>0.1637136432154595</v>
      </c>
      <c r="R123" s="211">
        <f t="shared" si="97"/>
        <v>0.25020386981985326</v>
      </c>
      <c r="S123" s="211">
        <f t="shared" si="97"/>
        <v>0.30039909061704601</v>
      </c>
      <c r="T123" s="211">
        <f t="shared" si="97"/>
        <v>0.33206069142758304</v>
      </c>
      <c r="U123" s="211">
        <f t="shared" si="97"/>
        <v>0.35291101391257074</v>
      </c>
      <c r="V123" s="211">
        <f t="shared" si="97"/>
        <v>0.36681122890256257</v>
      </c>
      <c r="W123" s="211">
        <f t="shared" si="97"/>
        <v>0.3807114438925544</v>
      </c>
      <c r="X123" s="211">
        <f t="shared" si="97"/>
        <v>0.39538389304865695</v>
      </c>
      <c r="Y123" s="211">
        <f t="shared" si="97"/>
        <v>0.40465070304198486</v>
      </c>
      <c r="Z123" s="211">
        <f t="shared" si="97"/>
        <v>0.41160081053698078</v>
      </c>
      <c r="AA123" s="211">
        <f t="shared" si="97"/>
        <v>0.41237304470309144</v>
      </c>
      <c r="AB123" s="211">
        <f t="shared" si="97"/>
        <v>0.41468974720142338</v>
      </c>
      <c r="AC123" s="211">
        <f t="shared" si="97"/>
        <v>0.41777868386586603</v>
      </c>
      <c r="AD123" s="211">
        <f t="shared" si="97"/>
        <v>0.41855091803197669</v>
      </c>
      <c r="AE123" s="211">
        <f t="shared" si="97"/>
        <v>0.42241208886253001</v>
      </c>
      <c r="AF123" s="211">
        <f t="shared" si="97"/>
        <v>0.4278177280253046</v>
      </c>
      <c r="AG123" s="211">
        <f t="shared" si="97"/>
        <v>0.43322336718807919</v>
      </c>
      <c r="AH123" s="211">
        <f t="shared" si="97"/>
        <v>0.43554006968641118</v>
      </c>
      <c r="AI123" s="211">
        <f t="shared" si="97"/>
        <v>0.43631230385252184</v>
      </c>
      <c r="AJ123" s="211">
        <f t="shared" si="97"/>
        <v>0.43882978723404259</v>
      </c>
      <c r="AK123" s="211">
        <f t="shared" si="97"/>
        <v>0.43882978723404259</v>
      </c>
      <c r="AL123" s="211">
        <f t="shared" si="97"/>
        <v>0.43882978723404259</v>
      </c>
      <c r="AM123" s="211">
        <f t="shared" si="97"/>
        <v>0.43882978723404259</v>
      </c>
      <c r="AN123" s="211">
        <f t="shared" si="97"/>
        <v>0.43882978723404259</v>
      </c>
    </row>
    <row r="124" spans="2:40" s="7" customFormat="1" ht="12" hidden="1" customHeight="1" outlineLevel="2">
      <c r="B124" s="245"/>
      <c r="C124" s="213" t="s">
        <v>764</v>
      </c>
      <c r="D124" s="213"/>
      <c r="E124" s="213"/>
      <c r="F124" s="213"/>
      <c r="G124" s="213"/>
      <c r="H124" s="213"/>
      <c r="I124" s="213"/>
      <c r="J124" s="213"/>
      <c r="K124" s="213"/>
      <c r="L124" s="213"/>
      <c r="M124" s="213"/>
      <c r="N124" s="213"/>
      <c r="O124" s="213"/>
      <c r="P124" s="211">
        <f>INDEX($C$44:$AN$66,MATCH("New Customers 1MS",$C$44:$C$66,0),MATCH($C124,$C$44:$AN$44,0))</f>
        <v>0.29550827423167852</v>
      </c>
      <c r="Q124" s="211">
        <f t="shared" ref="Q124:AN124" si="98">$P$124*(E111)</f>
        <v>2.5226316092948155E-2</v>
      </c>
      <c r="R124" s="211">
        <f t="shared" si="98"/>
        <v>0.10914242881030635</v>
      </c>
      <c r="S124" s="211">
        <f t="shared" si="98"/>
        <v>0.16680257987990219</v>
      </c>
      <c r="T124" s="211">
        <f t="shared" si="98"/>
        <v>0.20026606041136402</v>
      </c>
      <c r="U124" s="211">
        <f t="shared" si="98"/>
        <v>0.22137379428505535</v>
      </c>
      <c r="V124" s="211">
        <f t="shared" si="98"/>
        <v>0.23527400927504719</v>
      </c>
      <c r="W124" s="211">
        <f t="shared" si="98"/>
        <v>0.24454081926837506</v>
      </c>
      <c r="X124" s="211">
        <f t="shared" si="98"/>
        <v>0.25380762926170297</v>
      </c>
      <c r="Y124" s="211">
        <f t="shared" si="98"/>
        <v>0.26358926203243799</v>
      </c>
      <c r="Z124" s="211">
        <f t="shared" si="98"/>
        <v>0.26976713536132324</v>
      </c>
      <c r="AA124" s="211">
        <f t="shared" si="98"/>
        <v>0.27440054035798722</v>
      </c>
      <c r="AB124" s="211">
        <f t="shared" si="98"/>
        <v>0.27491536313539433</v>
      </c>
      <c r="AC124" s="211">
        <f t="shared" si="98"/>
        <v>0.2764598314676156</v>
      </c>
      <c r="AD124" s="211">
        <f t="shared" si="98"/>
        <v>0.27851912257724404</v>
      </c>
      <c r="AE124" s="211">
        <f t="shared" si="98"/>
        <v>0.27903394535465115</v>
      </c>
      <c r="AF124" s="211">
        <f t="shared" si="98"/>
        <v>0.28160805924168669</v>
      </c>
      <c r="AG124" s="211">
        <f t="shared" si="98"/>
        <v>0.2852118186835364</v>
      </c>
      <c r="AH124" s="211">
        <f t="shared" si="98"/>
        <v>0.28881557812538616</v>
      </c>
      <c r="AI124" s="211">
        <f t="shared" si="98"/>
        <v>0.29036004645760749</v>
      </c>
      <c r="AJ124" s="211">
        <f t="shared" si="98"/>
        <v>0.2908748692350146</v>
      </c>
      <c r="AK124" s="211">
        <f t="shared" si="98"/>
        <v>0.29255319148936176</v>
      </c>
      <c r="AL124" s="211">
        <f t="shared" si="98"/>
        <v>0.29255319148936176</v>
      </c>
      <c r="AM124" s="211">
        <f t="shared" si="98"/>
        <v>0.29255319148936176</v>
      </c>
      <c r="AN124" s="211">
        <f t="shared" si="98"/>
        <v>0.29255319148936176</v>
      </c>
    </row>
    <row r="125" spans="2:40" s="7" customFormat="1" ht="12" hidden="1" customHeight="1" outlineLevel="2">
      <c r="B125" s="245"/>
      <c r="C125" s="213" t="s">
        <v>765</v>
      </c>
      <c r="D125" s="213"/>
      <c r="E125" s="213"/>
      <c r="F125" s="213"/>
      <c r="G125" s="213"/>
      <c r="H125" s="213"/>
      <c r="I125" s="213"/>
      <c r="J125" s="213"/>
      <c r="K125" s="213"/>
      <c r="L125" s="213"/>
      <c r="M125" s="213"/>
      <c r="N125" s="213"/>
      <c r="O125" s="213"/>
      <c r="P125" s="213"/>
      <c r="Q125" s="211">
        <f>INDEX($C$44:$AN$66,MATCH("New Customers 1MS",$C$44:$C$66,0),MATCH($C125,$C$44:$AN$44,0))</f>
        <v>3.805531914893618</v>
      </c>
      <c r="R125" s="211">
        <f t="shared" ref="R125:AN125" si="99">$Q$125*(E111)</f>
        <v>0.32486248053969896</v>
      </c>
      <c r="S125" s="211">
        <f t="shared" si="99"/>
        <v>1.4055274668248203</v>
      </c>
      <c r="T125" s="211">
        <f t="shared" si="99"/>
        <v>2.1480702794869901</v>
      </c>
      <c r="U125" s="211">
        <f t="shared" si="99"/>
        <v>2.5790103046927131</v>
      </c>
      <c r="V125" s="211">
        <f t="shared" si="99"/>
        <v>2.8508340128994005</v>
      </c>
      <c r="W125" s="211">
        <f t="shared" si="99"/>
        <v>3.029839869523316</v>
      </c>
      <c r="X125" s="211">
        <f t="shared" si="99"/>
        <v>3.1491771072725934</v>
      </c>
      <c r="Y125" s="211">
        <f t="shared" si="99"/>
        <v>3.2685143450218703</v>
      </c>
      <c r="Z125" s="211">
        <f t="shared" si="99"/>
        <v>3.3944814293127741</v>
      </c>
      <c r="AA125" s="211">
        <f t="shared" si="99"/>
        <v>3.4740395878122925</v>
      </c>
      <c r="AB125" s="211">
        <f t="shared" si="99"/>
        <v>3.533708206686931</v>
      </c>
      <c r="AC125" s="211">
        <f t="shared" si="99"/>
        <v>3.5403380532285578</v>
      </c>
      <c r="AD125" s="211">
        <f t="shared" si="99"/>
        <v>3.5602275928534368</v>
      </c>
      <c r="AE125" s="211">
        <f t="shared" si="99"/>
        <v>3.5867469790199431</v>
      </c>
      <c r="AF125" s="211">
        <f t="shared" si="99"/>
        <v>3.5933768255615695</v>
      </c>
      <c r="AG125" s="211">
        <f t="shared" si="99"/>
        <v>3.6265260582697025</v>
      </c>
      <c r="AH125" s="211">
        <f t="shared" si="99"/>
        <v>3.6729349840610874</v>
      </c>
      <c r="AI125" s="211">
        <f t="shared" si="99"/>
        <v>3.7193439098524732</v>
      </c>
      <c r="AJ125" s="211">
        <f t="shared" si="99"/>
        <v>3.7392334494773531</v>
      </c>
      <c r="AK125" s="211">
        <f t="shared" si="99"/>
        <v>3.7458632960189795</v>
      </c>
      <c r="AL125" s="211">
        <f t="shared" si="99"/>
        <v>3.7674765957446819</v>
      </c>
      <c r="AM125" s="211">
        <f t="shared" si="99"/>
        <v>3.7674765957446819</v>
      </c>
      <c r="AN125" s="211">
        <f t="shared" si="99"/>
        <v>3.7674765957446819</v>
      </c>
    </row>
    <row r="126" spans="2:40" s="7" customFormat="1" ht="12" hidden="1" customHeight="1" outlineLevel="2">
      <c r="B126" s="245"/>
      <c r="C126" s="213" t="s">
        <v>766</v>
      </c>
      <c r="D126" s="213"/>
      <c r="E126" s="213"/>
      <c r="F126" s="213"/>
      <c r="G126" s="213"/>
      <c r="H126" s="213"/>
      <c r="I126" s="213"/>
      <c r="J126" s="213"/>
      <c r="K126" s="213"/>
      <c r="L126" s="213"/>
      <c r="M126" s="213"/>
      <c r="N126" s="213"/>
      <c r="O126" s="213"/>
      <c r="P126" s="213"/>
      <c r="Q126" s="213"/>
      <c r="R126" s="211">
        <f>INDEX($C$44:$AN$66,MATCH("New Customers 1MS",$C$44:$C$66,0),MATCH($C126,$C$44:$AN$44,0))</f>
        <v>6.7716312056737609</v>
      </c>
      <c r="S126" s="211">
        <f t="shared" ref="S126:AN126" si="100">$R$126*(E111)</f>
        <v>0.57806607853312564</v>
      </c>
      <c r="T126" s="211">
        <f t="shared" si="100"/>
        <v>2.5010205846739324</v>
      </c>
      <c r="U126" s="211">
        <f t="shared" si="100"/>
        <v>3.8223144784639347</v>
      </c>
      <c r="V126" s="211">
        <f t="shared" si="100"/>
        <v>4.5891368275384892</v>
      </c>
      <c r="W126" s="211">
        <f t="shared" si="100"/>
        <v>5.0728247708009011</v>
      </c>
      <c r="X126" s="211">
        <f t="shared" si="100"/>
        <v>5.3913509773395623</v>
      </c>
      <c r="Y126" s="211">
        <f t="shared" si="100"/>
        <v>5.6037017816986694</v>
      </c>
      <c r="Z126" s="211">
        <f t="shared" si="100"/>
        <v>5.8160525860577765</v>
      </c>
      <c r="AA126" s="211">
        <f t="shared" si="100"/>
        <v>6.0402006573257241</v>
      </c>
      <c r="AB126" s="211">
        <f t="shared" si="100"/>
        <v>6.1817678602317958</v>
      </c>
      <c r="AC126" s="211">
        <f t="shared" si="100"/>
        <v>6.2879432624113498</v>
      </c>
      <c r="AD126" s="211">
        <f t="shared" si="100"/>
        <v>6.2997405293201885</v>
      </c>
      <c r="AE126" s="211">
        <f t="shared" si="100"/>
        <v>6.3351323300467062</v>
      </c>
      <c r="AF126" s="211">
        <f t="shared" si="100"/>
        <v>6.3823213976820643</v>
      </c>
      <c r="AG126" s="211">
        <f t="shared" si="100"/>
        <v>6.3941186645909029</v>
      </c>
      <c r="AH126" s="211">
        <f t="shared" si="100"/>
        <v>6.4531049991350997</v>
      </c>
      <c r="AI126" s="211">
        <f t="shared" si="100"/>
        <v>6.5356858674969747</v>
      </c>
      <c r="AJ126" s="211">
        <f t="shared" si="100"/>
        <v>6.6182667358588496</v>
      </c>
      <c r="AK126" s="211">
        <f t="shared" si="100"/>
        <v>6.6536585365853682</v>
      </c>
      <c r="AL126" s="211">
        <f t="shared" si="100"/>
        <v>6.6654558034942069</v>
      </c>
      <c r="AM126" s="211">
        <f t="shared" si="100"/>
        <v>6.7039148936170232</v>
      </c>
      <c r="AN126" s="211">
        <f t="shared" si="100"/>
        <v>6.7039148936170232</v>
      </c>
    </row>
    <row r="127" spans="2:40" s="7" customFormat="1" ht="12" hidden="1" customHeight="1" outlineLevel="2">
      <c r="B127" s="245"/>
      <c r="C127" s="213" t="s">
        <v>767</v>
      </c>
      <c r="D127" s="213"/>
      <c r="E127" s="213"/>
      <c r="F127" s="213"/>
      <c r="G127" s="213"/>
      <c r="H127" s="213"/>
      <c r="I127" s="213"/>
      <c r="J127" s="213"/>
      <c r="K127" s="213"/>
      <c r="L127" s="213"/>
      <c r="M127" s="213"/>
      <c r="N127" s="213"/>
      <c r="O127" s="213"/>
      <c r="P127" s="213"/>
      <c r="Q127" s="213"/>
      <c r="R127" s="213"/>
      <c r="S127" s="211">
        <f>INDEX($C$44:$AN$66,MATCH("New Customers 1MS",$C$44:$C$66,0),MATCH($C127,$C$44:$AN$44,0))</f>
        <v>6.2347517730496467</v>
      </c>
      <c r="T127" s="211">
        <f t="shared" ref="T127:AN127" si="101">$S$127*(E111)</f>
        <v>0.53223490745545743</v>
      </c>
      <c r="U127" s="211">
        <f t="shared" si="101"/>
        <v>2.3027306200113675</v>
      </c>
      <c r="V127" s="211">
        <f t="shared" si="101"/>
        <v>3.5192675513381282</v>
      </c>
      <c r="W127" s="211">
        <f t="shared" si="101"/>
        <v>4.2252934489831224</v>
      </c>
      <c r="X127" s="211">
        <f t="shared" si="101"/>
        <v>4.6706328613438126</v>
      </c>
      <c r="Y127" s="211">
        <f t="shared" si="101"/>
        <v>4.9639051572886563</v>
      </c>
      <c r="Z127" s="211">
        <f t="shared" si="101"/>
        <v>5.1594200212518855</v>
      </c>
      <c r="AA127" s="211">
        <f t="shared" si="101"/>
        <v>5.3549348852151146</v>
      </c>
      <c r="AB127" s="211">
        <f t="shared" si="101"/>
        <v>5.5613116860651903</v>
      </c>
      <c r="AC127" s="211">
        <f t="shared" si="101"/>
        <v>5.6916549287073437</v>
      </c>
      <c r="AD127" s="211">
        <f t="shared" si="101"/>
        <v>5.7894123606889583</v>
      </c>
      <c r="AE127" s="211">
        <f t="shared" si="101"/>
        <v>5.8002742975758039</v>
      </c>
      <c r="AF127" s="211">
        <f t="shared" si="101"/>
        <v>5.8328601082363418</v>
      </c>
      <c r="AG127" s="211">
        <f t="shared" si="101"/>
        <v>5.8763078557837263</v>
      </c>
      <c r="AH127" s="211">
        <f t="shared" si="101"/>
        <v>5.8871697926705719</v>
      </c>
      <c r="AI127" s="211">
        <f t="shared" si="101"/>
        <v>5.941479477104803</v>
      </c>
      <c r="AJ127" s="211">
        <f t="shared" si="101"/>
        <v>6.0175130353127253</v>
      </c>
      <c r="AK127" s="211">
        <f t="shared" si="101"/>
        <v>6.0935465935206476</v>
      </c>
      <c r="AL127" s="211">
        <f t="shared" si="101"/>
        <v>6.1261324041811864</v>
      </c>
      <c r="AM127" s="211">
        <f t="shared" si="101"/>
        <v>6.1369943410680321</v>
      </c>
      <c r="AN127" s="211">
        <f t="shared" si="101"/>
        <v>6.17240425531915</v>
      </c>
    </row>
    <row r="128" spans="2:40" s="7" customFormat="1" ht="12" hidden="1" customHeight="1" outlineLevel="2">
      <c r="B128" s="245"/>
      <c r="C128" s="213" t="s">
        <v>768</v>
      </c>
      <c r="D128" s="213"/>
      <c r="E128" s="213"/>
      <c r="F128" s="213"/>
      <c r="G128" s="213"/>
      <c r="H128" s="213"/>
      <c r="I128" s="213"/>
      <c r="J128" s="213"/>
      <c r="K128" s="213"/>
      <c r="L128" s="213"/>
      <c r="M128" s="213"/>
      <c r="N128" s="213"/>
      <c r="O128" s="213"/>
      <c r="P128" s="213"/>
      <c r="Q128" s="213"/>
      <c r="R128" s="213"/>
      <c r="S128" s="213"/>
      <c r="T128" s="211">
        <f>INDEX($C$44:$AN$66,MATCH("New Customers 1MS",$C$44:$C$66,0),MATCH($C128,$C$44:$AN$44,0))</f>
        <v>33.470260047281329</v>
      </c>
      <c r="U128" s="211">
        <f t="shared" ref="U128:AN128" si="102">$T$128*(E111)</f>
        <v>2.8572173211093808</v>
      </c>
      <c r="V128" s="211">
        <f t="shared" si="102"/>
        <v>12.361838205616099</v>
      </c>
      <c r="W128" s="211">
        <f t="shared" si="102"/>
        <v>18.892620653866118</v>
      </c>
      <c r="X128" s="211">
        <f t="shared" si="102"/>
        <v>22.682806896154069</v>
      </c>
      <c r="Y128" s="211">
        <f t="shared" si="102"/>
        <v>25.073539756674169</v>
      </c>
      <c r="Z128" s="211">
        <f t="shared" si="102"/>
        <v>26.647924811163008</v>
      </c>
      <c r="AA128" s="211">
        <f t="shared" si="102"/>
        <v>27.697514847488904</v>
      </c>
      <c r="AB128" s="211">
        <f t="shared" si="102"/>
        <v>28.747104883814799</v>
      </c>
      <c r="AC128" s="211">
        <f t="shared" si="102"/>
        <v>29.855005477714357</v>
      </c>
      <c r="AD128" s="211">
        <f t="shared" si="102"/>
        <v>30.554732168598289</v>
      </c>
      <c r="AE128" s="211">
        <f t="shared" si="102"/>
        <v>31.079527186761236</v>
      </c>
      <c r="AF128" s="211">
        <f t="shared" si="102"/>
        <v>31.137837744334895</v>
      </c>
      <c r="AG128" s="211">
        <f t="shared" si="102"/>
        <v>31.312769417055875</v>
      </c>
      <c r="AH128" s="211">
        <f t="shared" si="102"/>
        <v>31.546011647350522</v>
      </c>
      <c r="AI128" s="211">
        <f t="shared" si="102"/>
        <v>31.604322204924181</v>
      </c>
      <c r="AJ128" s="211">
        <f t="shared" si="102"/>
        <v>31.895874992792489</v>
      </c>
      <c r="AK128" s="211">
        <f t="shared" si="102"/>
        <v>32.304048895808108</v>
      </c>
      <c r="AL128" s="211">
        <f t="shared" si="102"/>
        <v>32.712222798823738</v>
      </c>
      <c r="AM128" s="211">
        <f t="shared" si="102"/>
        <v>32.887154471544719</v>
      </c>
      <c r="AN128" s="211">
        <f t="shared" si="102"/>
        <v>32.945465029118381</v>
      </c>
    </row>
    <row r="129" spans="2:40" s="7" customFormat="1" ht="12" hidden="1" customHeight="1" outlineLevel="2">
      <c r="B129" s="245"/>
      <c r="C129" s="213" t="s">
        <v>769</v>
      </c>
      <c r="D129" s="213"/>
      <c r="E129" s="213"/>
      <c r="F129" s="213"/>
      <c r="G129" s="213"/>
      <c r="H129" s="213"/>
      <c r="I129" s="213"/>
      <c r="J129" s="213"/>
      <c r="K129" s="213"/>
      <c r="L129" s="213"/>
      <c r="M129" s="213"/>
      <c r="N129" s="213"/>
      <c r="O129" s="213"/>
      <c r="P129" s="213"/>
      <c r="Q129" s="213"/>
      <c r="R129" s="213"/>
      <c r="S129" s="213"/>
      <c r="T129" s="213"/>
      <c r="U129" s="211">
        <f>INDEX($C$44:$AN$66,MATCH("New Customers 1MS",$C$44:$C$66,0),MATCH($C129,$C$44:$AN$44,0))</f>
        <v>33.198468085106377</v>
      </c>
      <c r="V129" s="211">
        <f t="shared" ref="V129:AN129" si="103">$U$129*(E111)</f>
        <v>2.8340155682407873</v>
      </c>
      <c r="W129" s="211">
        <f t="shared" si="103"/>
        <v>12.261455111572388</v>
      </c>
      <c r="X129" s="211">
        <f t="shared" si="103"/>
        <v>18.739204981837052</v>
      </c>
      <c r="Y129" s="211">
        <f t="shared" si="103"/>
        <v>22.498613388687073</v>
      </c>
      <c r="Z129" s="211">
        <f t="shared" si="103"/>
        <v>24.869932537623246</v>
      </c>
      <c r="AA129" s="211">
        <f t="shared" si="103"/>
        <v>26.431532952776333</v>
      </c>
      <c r="AB129" s="211">
        <f t="shared" si="103"/>
        <v>27.472599896211722</v>
      </c>
      <c r="AC129" s="211">
        <f t="shared" si="103"/>
        <v>28.513666839647112</v>
      </c>
      <c r="AD129" s="211">
        <f t="shared" si="103"/>
        <v>29.612570835495585</v>
      </c>
      <c r="AE129" s="211">
        <f t="shared" si="103"/>
        <v>30.306615464452513</v>
      </c>
      <c r="AF129" s="211">
        <f t="shared" si="103"/>
        <v>30.827148936170207</v>
      </c>
      <c r="AG129" s="211">
        <f t="shared" si="103"/>
        <v>30.884985988583285</v>
      </c>
      <c r="AH129" s="211">
        <f t="shared" si="103"/>
        <v>31.058497145822514</v>
      </c>
      <c r="AI129" s="211">
        <f t="shared" si="103"/>
        <v>31.289845355474828</v>
      </c>
      <c r="AJ129" s="211">
        <f t="shared" si="103"/>
        <v>31.347682407887902</v>
      </c>
      <c r="AK129" s="211">
        <f t="shared" si="103"/>
        <v>31.63686766995329</v>
      </c>
      <c r="AL129" s="211">
        <f t="shared" si="103"/>
        <v>32.041727036844833</v>
      </c>
      <c r="AM129" s="211">
        <f t="shared" si="103"/>
        <v>32.446586403736369</v>
      </c>
      <c r="AN129" s="211">
        <f t="shared" si="103"/>
        <v>32.620097560975609</v>
      </c>
    </row>
    <row r="130" spans="2:40" s="7" customFormat="1" ht="12" hidden="1" customHeight="1" outlineLevel="2">
      <c r="B130" s="245"/>
      <c r="C130" s="213" t="s">
        <v>770</v>
      </c>
      <c r="D130" s="213"/>
      <c r="E130" s="213"/>
      <c r="F130" s="213"/>
      <c r="G130" s="213"/>
      <c r="H130" s="213"/>
      <c r="I130" s="213"/>
      <c r="J130" s="213"/>
      <c r="K130" s="213"/>
      <c r="L130" s="213"/>
      <c r="M130" s="213"/>
      <c r="N130" s="213"/>
      <c r="O130" s="213"/>
      <c r="P130" s="213"/>
      <c r="Q130" s="213"/>
      <c r="R130" s="213"/>
      <c r="S130" s="213"/>
      <c r="T130" s="213"/>
      <c r="U130" s="213"/>
      <c r="V130" s="211">
        <f>INDEX($C$44:$AN$66,MATCH("New Customers 1MS",$C$44:$C$66,0),MATCH($C130,$C$44:$AN$44,0))</f>
        <v>113.80272340425532</v>
      </c>
      <c r="W130" s="211">
        <f t="shared" ref="W130:AN130" si="104">$V$130*(E111)</f>
        <v>9.7148666320705725</v>
      </c>
      <c r="X130" s="211">
        <f t="shared" si="104"/>
        <v>42.031667877529834</v>
      </c>
      <c r="Y130" s="211">
        <f t="shared" si="104"/>
        <v>64.237077322262593</v>
      </c>
      <c r="Z130" s="211">
        <f t="shared" si="104"/>
        <v>77.12414530358069</v>
      </c>
      <c r="AA130" s="211">
        <f t="shared" si="104"/>
        <v>85.252911261027506</v>
      </c>
      <c r="AB130" s="211">
        <f t="shared" si="104"/>
        <v>90.60600103788272</v>
      </c>
      <c r="AC130" s="211">
        <f t="shared" si="104"/>
        <v>94.174727555786191</v>
      </c>
      <c r="AD130" s="211">
        <f t="shared" si="104"/>
        <v>97.743454073689662</v>
      </c>
      <c r="AE130" s="211">
        <f t="shared" si="104"/>
        <v>101.51044317592113</v>
      </c>
      <c r="AF130" s="211">
        <f t="shared" si="104"/>
        <v>103.88959418785677</v>
      </c>
      <c r="AG130" s="211">
        <f t="shared" si="104"/>
        <v>105.67395744680852</v>
      </c>
      <c r="AH130" s="211">
        <f t="shared" si="104"/>
        <v>105.87222003113648</v>
      </c>
      <c r="AI130" s="211">
        <f t="shared" si="104"/>
        <v>106.46700778412038</v>
      </c>
      <c r="AJ130" s="211">
        <f t="shared" si="104"/>
        <v>107.26005812143228</v>
      </c>
      <c r="AK130" s="211">
        <f t="shared" si="104"/>
        <v>107.45832070576024</v>
      </c>
      <c r="AL130" s="211">
        <f t="shared" si="104"/>
        <v>108.4496336274001</v>
      </c>
      <c r="AM130" s="211">
        <f t="shared" si="104"/>
        <v>109.83747171769589</v>
      </c>
      <c r="AN130" s="211">
        <f t="shared" si="104"/>
        <v>111.22530980799169</v>
      </c>
    </row>
    <row r="131" spans="2:40" s="7" customFormat="1" ht="12" hidden="1" customHeight="1" outlineLevel="2">
      <c r="B131" s="245"/>
      <c r="C131" s="213" t="s">
        <v>771</v>
      </c>
      <c r="D131" s="213"/>
      <c r="E131" s="213"/>
      <c r="F131" s="213"/>
      <c r="G131" s="213"/>
      <c r="H131" s="213"/>
      <c r="I131" s="213"/>
      <c r="J131" s="213"/>
      <c r="K131" s="213"/>
      <c r="L131" s="213"/>
      <c r="M131" s="213"/>
      <c r="N131" s="213"/>
      <c r="O131" s="213"/>
      <c r="P131" s="213"/>
      <c r="Q131" s="213"/>
      <c r="R131" s="213"/>
      <c r="S131" s="213"/>
      <c r="T131" s="213"/>
      <c r="U131" s="213"/>
      <c r="V131" s="213"/>
      <c r="W131" s="211">
        <f>INDEX($C$44:$AN$66,MATCH("New Customers 1MS",$C$44:$C$66,0),MATCH($C131,$C$44:$AN$44,0))</f>
        <v>68.290212765957449</v>
      </c>
      <c r="X131" s="211">
        <f t="shared" ref="X131:AN131" si="105">$W$131*(E111)</f>
        <v>5.829652309289048</v>
      </c>
      <c r="Y131" s="211">
        <f t="shared" si="105"/>
        <v>25.222169174883238</v>
      </c>
      <c r="Z131" s="211">
        <f t="shared" si="105"/>
        <v>38.547088738972498</v>
      </c>
      <c r="AA131" s="211">
        <f t="shared" si="105"/>
        <v>46.280300985988582</v>
      </c>
      <c r="AB131" s="211">
        <f t="shared" si="105"/>
        <v>51.158173326414122</v>
      </c>
      <c r="AC131" s="211">
        <f t="shared" si="105"/>
        <v>54.370430721328489</v>
      </c>
      <c r="AD131" s="211">
        <f t="shared" si="105"/>
        <v>56.511935651271408</v>
      </c>
      <c r="AE131" s="211">
        <f t="shared" si="105"/>
        <v>58.653440581214319</v>
      </c>
      <c r="AF131" s="211">
        <f t="shared" si="105"/>
        <v>60.913918007265181</v>
      </c>
      <c r="AG131" s="211">
        <f t="shared" si="105"/>
        <v>62.34158796056046</v>
      </c>
      <c r="AH131" s="211">
        <f t="shared" si="105"/>
        <v>63.412340425531916</v>
      </c>
      <c r="AI131" s="211">
        <f t="shared" si="105"/>
        <v>63.531312921639859</v>
      </c>
      <c r="AJ131" s="211">
        <f t="shared" si="105"/>
        <v>63.888230409963676</v>
      </c>
      <c r="AK131" s="211">
        <f t="shared" si="105"/>
        <v>64.364120394395442</v>
      </c>
      <c r="AL131" s="211">
        <f t="shared" si="105"/>
        <v>64.483092890503372</v>
      </c>
      <c r="AM131" s="211">
        <f t="shared" si="105"/>
        <v>65.077955371043075</v>
      </c>
      <c r="AN131" s="211">
        <f t="shared" si="105"/>
        <v>65.910762843798651</v>
      </c>
    </row>
    <row r="132" spans="2:40" s="7" customFormat="1" ht="12" hidden="1" customHeight="1" outlineLevel="2">
      <c r="B132" s="245"/>
      <c r="C132" s="213" t="s">
        <v>772</v>
      </c>
      <c r="D132" s="213"/>
      <c r="E132" s="213"/>
      <c r="F132" s="213"/>
      <c r="G132" s="213"/>
      <c r="H132" s="213"/>
      <c r="I132" s="213"/>
      <c r="J132" s="213"/>
      <c r="K132" s="213"/>
      <c r="L132" s="213"/>
      <c r="M132" s="213"/>
      <c r="N132" s="213"/>
      <c r="O132" s="213"/>
      <c r="P132" s="213"/>
      <c r="Q132" s="213"/>
      <c r="R132" s="213"/>
      <c r="S132" s="213"/>
      <c r="T132" s="213"/>
      <c r="U132" s="213"/>
      <c r="V132" s="213"/>
      <c r="W132" s="213"/>
      <c r="X132" s="211">
        <f>INDEX($C$44:$AN$66,MATCH("New Customers 1MS",$C$44:$C$66,0),MATCH($C132,$C$44:$AN$44,0))</f>
        <v>51.599432624113483</v>
      </c>
      <c r="Y132" s="211">
        <f t="shared" ref="Y132:AN132" si="106">$X$132*(E111)</f>
        <v>4.4048296142535879</v>
      </c>
      <c r="Z132" s="211">
        <f t="shared" si="106"/>
        <v>19.057630167791039</v>
      </c>
      <c r="AA132" s="211">
        <f t="shared" si="106"/>
        <v>29.125812143227822</v>
      </c>
      <c r="AB132" s="211">
        <f t="shared" si="106"/>
        <v>34.968953468258093</v>
      </c>
      <c r="AC132" s="211">
        <f t="shared" si="106"/>
        <v>38.654627227123342</v>
      </c>
      <c r="AD132" s="211">
        <f t="shared" si="106"/>
        <v>41.081778239058991</v>
      </c>
      <c r="AE132" s="211">
        <f t="shared" si="106"/>
        <v>42.69987891368276</v>
      </c>
      <c r="AF132" s="211">
        <f t="shared" si="106"/>
        <v>44.317979588306528</v>
      </c>
      <c r="AG132" s="211">
        <f t="shared" si="106"/>
        <v>46.025974744853841</v>
      </c>
      <c r="AH132" s="211">
        <f t="shared" si="106"/>
        <v>47.104708527936353</v>
      </c>
      <c r="AI132" s="211">
        <f t="shared" si="106"/>
        <v>47.913758865248234</v>
      </c>
      <c r="AJ132" s="211">
        <f t="shared" si="106"/>
        <v>48.003653347171777</v>
      </c>
      <c r="AK132" s="211">
        <f t="shared" si="106"/>
        <v>48.273336792942402</v>
      </c>
      <c r="AL132" s="211">
        <f t="shared" si="106"/>
        <v>48.632914720636577</v>
      </c>
      <c r="AM132" s="211">
        <f t="shared" si="106"/>
        <v>48.722809202560121</v>
      </c>
      <c r="AN132" s="211">
        <f t="shared" si="106"/>
        <v>49.172281612177834</v>
      </c>
    </row>
    <row r="133" spans="2:40" s="7" customFormat="1" ht="12" hidden="1" customHeight="1" outlineLevel="2">
      <c r="B133" s="245"/>
      <c r="C133" s="213" t="s">
        <v>773</v>
      </c>
      <c r="D133" s="213"/>
      <c r="E133" s="213"/>
      <c r="F133" s="213"/>
      <c r="G133" s="213"/>
      <c r="H133" s="213"/>
      <c r="I133" s="213"/>
      <c r="J133" s="213"/>
      <c r="K133" s="213"/>
      <c r="L133" s="213"/>
      <c r="M133" s="213"/>
      <c r="N133" s="213"/>
      <c r="O133" s="213"/>
      <c r="P133" s="213"/>
      <c r="Q133" s="213"/>
      <c r="R133" s="213"/>
      <c r="S133" s="213"/>
      <c r="T133" s="213"/>
      <c r="U133" s="213"/>
      <c r="V133" s="213"/>
      <c r="W133" s="213"/>
      <c r="X133" s="213"/>
      <c r="Y133" s="211">
        <f>INDEX($C$44:$AN$66,MATCH("New Customers 1MS",$C$44:$C$66,0),MATCH($C133,$C$44:$AN$44,0))</f>
        <v>77.446808510638306</v>
      </c>
      <c r="Z133" s="211">
        <f t="shared" ref="Z133:AN133" si="107">$Y$133*(E111)</f>
        <v>6.6113129216398523</v>
      </c>
      <c r="AA133" s="211">
        <f t="shared" si="107"/>
        <v>28.604047742605086</v>
      </c>
      <c r="AB133" s="211">
        <f t="shared" si="107"/>
        <v>43.715620134924762</v>
      </c>
      <c r="AC133" s="211">
        <f t="shared" si="107"/>
        <v>52.485729112610279</v>
      </c>
      <c r="AD133" s="211">
        <f t="shared" si="107"/>
        <v>58.017644006227307</v>
      </c>
      <c r="AE133" s="211">
        <f t="shared" si="107"/>
        <v>61.660612350804364</v>
      </c>
      <c r="AF133" s="211">
        <f t="shared" si="107"/>
        <v>64.089257913855732</v>
      </c>
      <c r="AG133" s="211">
        <f t="shared" si="107"/>
        <v>66.517903476907108</v>
      </c>
      <c r="AH133" s="211">
        <f t="shared" si="107"/>
        <v>69.081473793461342</v>
      </c>
      <c r="AI133" s="211">
        <f t="shared" si="107"/>
        <v>70.700570835495597</v>
      </c>
      <c r="AJ133" s="211">
        <f t="shared" si="107"/>
        <v>71.914893617021292</v>
      </c>
      <c r="AK133" s="211">
        <f t="shared" si="107"/>
        <v>72.049818370524136</v>
      </c>
      <c r="AL133" s="211">
        <f t="shared" si="107"/>
        <v>72.454592631032696</v>
      </c>
      <c r="AM133" s="211">
        <f t="shared" si="107"/>
        <v>72.994291645044115</v>
      </c>
      <c r="AN133" s="211">
        <f t="shared" si="107"/>
        <v>73.129216398546973</v>
      </c>
    </row>
    <row r="134" spans="2:40" s="7" customFormat="1" ht="12" hidden="1" customHeight="1" outlineLevel="2">
      <c r="B134" s="245"/>
      <c r="C134" s="213" t="s">
        <v>774</v>
      </c>
      <c r="D134" s="213"/>
      <c r="E134" s="213"/>
      <c r="F134" s="213"/>
      <c r="G134" s="213"/>
      <c r="H134" s="213"/>
      <c r="I134" s="213"/>
      <c r="J134" s="213"/>
      <c r="K134" s="213"/>
      <c r="L134" s="213"/>
      <c r="M134" s="213"/>
      <c r="N134" s="213"/>
      <c r="O134" s="213"/>
      <c r="P134" s="213"/>
      <c r="Q134" s="213"/>
      <c r="R134" s="213"/>
      <c r="S134" s="213"/>
      <c r="T134" s="213"/>
      <c r="U134" s="213"/>
      <c r="V134" s="213"/>
      <c r="W134" s="213"/>
      <c r="X134" s="213"/>
      <c r="Y134" s="213"/>
      <c r="Z134" s="211">
        <f>INDEX($C$44:$AN$66,MATCH("New Customers 1MS",$C$44:$C$66,0),MATCH($C134,$C$44:$AN$44,0))</f>
        <v>64.539007092198588</v>
      </c>
      <c r="AA134" s="211">
        <f t="shared" ref="AA134:AN134" si="108">$Z$134*(E111)</f>
        <v>5.5094274346998775</v>
      </c>
      <c r="AB134" s="211">
        <f t="shared" si="108"/>
        <v>23.836706452170905</v>
      </c>
      <c r="AC134" s="211">
        <f t="shared" si="108"/>
        <v>36.429683445770635</v>
      </c>
      <c r="AD134" s="211">
        <f t="shared" si="108"/>
        <v>43.738107593841896</v>
      </c>
      <c r="AE134" s="211">
        <f t="shared" si="108"/>
        <v>48.348036671856086</v>
      </c>
      <c r="AF134" s="211">
        <f t="shared" si="108"/>
        <v>51.383843625670302</v>
      </c>
      <c r="AG134" s="211">
        <f t="shared" si="108"/>
        <v>53.407714928213117</v>
      </c>
      <c r="AH134" s="211">
        <f t="shared" si="108"/>
        <v>55.431586230755926</v>
      </c>
      <c r="AI134" s="211">
        <f t="shared" si="108"/>
        <v>57.567894827884452</v>
      </c>
      <c r="AJ134" s="211">
        <f t="shared" si="108"/>
        <v>58.917142362912998</v>
      </c>
      <c r="AK134" s="211">
        <f t="shared" si="108"/>
        <v>59.929078014184405</v>
      </c>
      <c r="AL134" s="211">
        <f t="shared" si="108"/>
        <v>60.041515308770116</v>
      </c>
      <c r="AM134" s="211">
        <f t="shared" si="108"/>
        <v>60.378827192527247</v>
      </c>
      <c r="AN134" s="211">
        <f t="shared" si="108"/>
        <v>60.828576370870103</v>
      </c>
    </row>
    <row r="135" spans="2:40" s="7" customFormat="1" ht="12" hidden="1" customHeight="1" outlineLevel="2">
      <c r="B135" s="245"/>
      <c r="C135" s="213" t="s">
        <v>775</v>
      </c>
      <c r="D135" s="213"/>
      <c r="E135" s="213"/>
      <c r="F135" s="213"/>
      <c r="G135" s="213"/>
      <c r="H135" s="213"/>
      <c r="I135" s="213"/>
      <c r="J135" s="213"/>
      <c r="K135" s="213"/>
      <c r="L135" s="213"/>
      <c r="M135" s="213"/>
      <c r="N135" s="213"/>
      <c r="O135" s="213"/>
      <c r="P135" s="213"/>
      <c r="Q135" s="213"/>
      <c r="R135" s="213"/>
      <c r="S135" s="213"/>
      <c r="T135" s="213"/>
      <c r="U135" s="213"/>
      <c r="V135" s="213"/>
      <c r="W135" s="213"/>
      <c r="X135" s="213"/>
      <c r="Y135" s="213"/>
      <c r="Z135" s="213"/>
      <c r="AA135" s="211">
        <f>INDEX($C$44:$AN$66,MATCH("New Customers 1MS",$C$44:$C$66,0),MATCH($C135,$C$44:$AN$44,0))</f>
        <v>24.822695035460995</v>
      </c>
      <c r="AB135" s="211">
        <f t="shared" ref="AB135:AN135" si="109">$AA$135*(E111)</f>
        <v>2.1190105518076452</v>
      </c>
      <c r="AC135" s="211">
        <f t="shared" si="109"/>
        <v>9.1679640200657317</v>
      </c>
      <c r="AD135" s="211">
        <f t="shared" si="109"/>
        <v>14.011416709911781</v>
      </c>
      <c r="AE135" s="211">
        <f t="shared" si="109"/>
        <v>16.822349074554577</v>
      </c>
      <c r="AF135" s="211">
        <f t="shared" si="109"/>
        <v>18.595398719944651</v>
      </c>
      <c r="AG135" s="211">
        <f t="shared" si="109"/>
        <v>19.763016779103964</v>
      </c>
      <c r="AH135" s="211">
        <f t="shared" si="109"/>
        <v>20.541428818543505</v>
      </c>
      <c r="AI135" s="211">
        <f t="shared" si="109"/>
        <v>21.319840857983049</v>
      </c>
      <c r="AJ135" s="211">
        <f t="shared" si="109"/>
        <v>22.141498010724792</v>
      </c>
      <c r="AK135" s="211">
        <f t="shared" si="109"/>
        <v>22.660439370351153</v>
      </c>
      <c r="AL135" s="211">
        <f t="shared" si="109"/>
        <v>23.049645390070925</v>
      </c>
      <c r="AM135" s="211">
        <f t="shared" si="109"/>
        <v>23.092890503373123</v>
      </c>
      <c r="AN135" s="211">
        <f t="shared" si="109"/>
        <v>23.222625843279712</v>
      </c>
    </row>
    <row r="136" spans="2:40" s="7" customFormat="1" ht="12" hidden="1" customHeight="1" outlineLevel="2">
      <c r="B136" s="245"/>
      <c r="C136" s="213" t="s">
        <v>776</v>
      </c>
      <c r="D136" s="213"/>
      <c r="E136" s="213"/>
      <c r="F136" s="213"/>
      <c r="G136" s="213"/>
      <c r="H136" s="213"/>
      <c r="I136" s="213"/>
      <c r="J136" s="213"/>
      <c r="K136" s="213"/>
      <c r="L136" s="213"/>
      <c r="M136" s="213"/>
      <c r="N136" s="213"/>
      <c r="O136" s="213"/>
      <c r="P136" s="213"/>
      <c r="Q136" s="213"/>
      <c r="R136" s="213"/>
      <c r="S136" s="213"/>
      <c r="T136" s="213"/>
      <c r="U136" s="213"/>
      <c r="V136" s="213"/>
      <c r="W136" s="213"/>
      <c r="X136" s="213"/>
      <c r="Y136" s="213"/>
      <c r="Z136" s="213"/>
      <c r="AA136" s="213"/>
      <c r="AB136" s="211">
        <f>INDEX($C$44:$AN$66,MATCH("New Customers 1MS",$C$44:$C$66,0),MATCH($C136,$C$44:$AN$44,0))</f>
        <v>24.822695035460995</v>
      </c>
      <c r="AC136" s="211">
        <f t="shared" ref="AC136:AN136" si="110">$AB$136*(E111)</f>
        <v>2.1190105518076452</v>
      </c>
      <c r="AD136" s="211">
        <f t="shared" si="110"/>
        <v>9.1679640200657317</v>
      </c>
      <c r="AE136" s="211">
        <f t="shared" si="110"/>
        <v>14.011416709911781</v>
      </c>
      <c r="AF136" s="211">
        <f t="shared" si="110"/>
        <v>16.822349074554577</v>
      </c>
      <c r="AG136" s="211">
        <f t="shared" si="110"/>
        <v>18.595398719944651</v>
      </c>
      <c r="AH136" s="211">
        <f t="shared" si="110"/>
        <v>19.763016779103964</v>
      </c>
      <c r="AI136" s="211">
        <f t="shared" si="110"/>
        <v>20.541428818543505</v>
      </c>
      <c r="AJ136" s="211">
        <f t="shared" si="110"/>
        <v>21.319840857983049</v>
      </c>
      <c r="AK136" s="211">
        <f t="shared" si="110"/>
        <v>22.141498010724792</v>
      </c>
      <c r="AL136" s="211">
        <f t="shared" si="110"/>
        <v>22.660439370351153</v>
      </c>
      <c r="AM136" s="211">
        <f t="shared" si="110"/>
        <v>23.049645390070925</v>
      </c>
      <c r="AN136" s="211">
        <f t="shared" si="110"/>
        <v>23.092890503373123</v>
      </c>
    </row>
    <row r="137" spans="2:40" s="7" customFormat="1" ht="12" hidden="1" customHeight="1" outlineLevel="2">
      <c r="B137" s="245"/>
      <c r="C137" s="213" t="s">
        <v>777</v>
      </c>
      <c r="D137" s="213"/>
      <c r="E137" s="213"/>
      <c r="F137" s="213"/>
      <c r="G137" s="213"/>
      <c r="H137" s="213"/>
      <c r="I137" s="213"/>
      <c r="J137" s="213"/>
      <c r="K137" s="213"/>
      <c r="L137" s="213"/>
      <c r="M137" s="213"/>
      <c r="N137" s="213"/>
      <c r="O137" s="213"/>
      <c r="P137" s="213"/>
      <c r="Q137" s="213"/>
      <c r="R137" s="213"/>
      <c r="S137" s="213"/>
      <c r="T137" s="213"/>
      <c r="U137" s="213"/>
      <c r="V137" s="213"/>
      <c r="W137" s="213"/>
      <c r="X137" s="213"/>
      <c r="Y137" s="213"/>
      <c r="Z137" s="213"/>
      <c r="AA137" s="213"/>
      <c r="AB137" s="211"/>
      <c r="AC137" s="211">
        <f>INDEX($C$44:$AN$66,MATCH("New Customers 1MS",$C$44:$C$66,0),MATCH($C137,$C$44:$AN$44,0))</f>
        <v>0.95138297872340449</v>
      </c>
      <c r="AD137" s="211">
        <f t="shared" ref="AD137:AN137" si="111">$AC$137*(E111)</f>
        <v>8.121562013492474E-2</v>
      </c>
      <c r="AE137" s="211">
        <f t="shared" si="111"/>
        <v>0.35138186670620508</v>
      </c>
      <c r="AF137" s="211">
        <f t="shared" si="111"/>
        <v>0.53701756987174754</v>
      </c>
      <c r="AG137" s="211">
        <f t="shared" si="111"/>
        <v>0.64475257617317827</v>
      </c>
      <c r="AH137" s="211">
        <f t="shared" si="111"/>
        <v>0.71270850322485013</v>
      </c>
      <c r="AI137" s="211">
        <f t="shared" si="111"/>
        <v>0.75745996738082899</v>
      </c>
      <c r="AJ137" s="211">
        <f t="shared" si="111"/>
        <v>0.78729427681814834</v>
      </c>
      <c r="AK137" s="211">
        <f t="shared" si="111"/>
        <v>0.81712858625546758</v>
      </c>
      <c r="AL137" s="211">
        <f t="shared" si="111"/>
        <v>0.84862035732819352</v>
      </c>
      <c r="AM137" s="211">
        <f t="shared" si="111"/>
        <v>0.86850989695307312</v>
      </c>
      <c r="AN137" s="211">
        <f t="shared" si="111"/>
        <v>0.88342705167173274</v>
      </c>
    </row>
    <row r="138" spans="2:40" s="7" customFormat="1" ht="12" hidden="1" customHeight="1" outlineLevel="2">
      <c r="B138" s="245"/>
      <c r="C138" s="213" t="s">
        <v>778</v>
      </c>
      <c r="D138" s="213"/>
      <c r="E138" s="213"/>
      <c r="F138" s="213"/>
      <c r="G138" s="213"/>
      <c r="H138" s="213"/>
      <c r="I138" s="213"/>
      <c r="J138" s="213"/>
      <c r="K138" s="213"/>
      <c r="L138" s="213"/>
      <c r="M138" s="213"/>
      <c r="N138" s="213"/>
      <c r="O138" s="213"/>
      <c r="P138" s="213"/>
      <c r="Q138" s="213"/>
      <c r="R138" s="213"/>
      <c r="S138" s="213"/>
      <c r="T138" s="213"/>
      <c r="U138" s="213"/>
      <c r="V138" s="213"/>
      <c r="W138" s="213"/>
      <c r="X138" s="213"/>
      <c r="Y138" s="213"/>
      <c r="Z138" s="213"/>
      <c r="AA138" s="213"/>
      <c r="AB138" s="211"/>
      <c r="AC138" s="211"/>
      <c r="AD138" s="211">
        <f>INDEX($C$44:$AN$66,MATCH("New Customers 1MS",$C$44:$C$66,0),MATCH($C138,$C$44:$AN$44,0))</f>
        <v>1.6929078014184402</v>
      </c>
      <c r="AE138" s="211">
        <f t="shared" ref="AE138:AN138" si="112">$AD$138*(E111)</f>
        <v>0.14451651963328141</v>
      </c>
      <c r="AF138" s="211">
        <f t="shared" si="112"/>
        <v>0.6252551461684831</v>
      </c>
      <c r="AG138" s="211">
        <f t="shared" si="112"/>
        <v>0.95557861961598367</v>
      </c>
      <c r="AH138" s="211">
        <f t="shared" si="112"/>
        <v>1.1472842068846223</v>
      </c>
      <c r="AI138" s="211">
        <f t="shared" si="112"/>
        <v>1.2682061927002253</v>
      </c>
      <c r="AJ138" s="211">
        <f t="shared" si="112"/>
        <v>1.3478377443348906</v>
      </c>
      <c r="AK138" s="211">
        <f t="shared" si="112"/>
        <v>1.4009254454246673</v>
      </c>
      <c r="AL138" s="211">
        <f t="shared" si="112"/>
        <v>1.4540131465144441</v>
      </c>
      <c r="AM138" s="211">
        <f t="shared" si="112"/>
        <v>1.510050164331431</v>
      </c>
      <c r="AN138" s="211">
        <f t="shared" si="112"/>
        <v>1.545441965057949</v>
      </c>
    </row>
    <row r="139" spans="2:40" s="7" customFormat="1" ht="12" hidden="1" customHeight="1" outlineLevel="2">
      <c r="B139" s="245"/>
      <c r="C139" s="213" t="s">
        <v>779</v>
      </c>
      <c r="D139" s="213"/>
      <c r="E139" s="213"/>
      <c r="F139" s="213"/>
      <c r="G139" s="213"/>
      <c r="H139" s="213"/>
      <c r="I139" s="213"/>
      <c r="J139" s="213"/>
      <c r="K139" s="213"/>
      <c r="L139" s="213"/>
      <c r="M139" s="213"/>
      <c r="N139" s="213"/>
      <c r="O139" s="213"/>
      <c r="P139" s="213"/>
      <c r="Q139" s="213"/>
      <c r="R139" s="213"/>
      <c r="S139" s="213"/>
      <c r="T139" s="213"/>
      <c r="U139" s="213"/>
      <c r="V139" s="213"/>
      <c r="W139" s="213"/>
      <c r="X139" s="213"/>
      <c r="Y139" s="213"/>
      <c r="Z139" s="213"/>
      <c r="AA139" s="213"/>
      <c r="AB139" s="211"/>
      <c r="AC139" s="211"/>
      <c r="AD139" s="211"/>
      <c r="AE139" s="211">
        <f>INDEX($C$44:$AN$66,MATCH("New Customers 1MS",$C$44:$C$66,0),MATCH($C139,$C$44:$AN$44,0))</f>
        <v>1.5586879432624117</v>
      </c>
      <c r="AF139" s="211">
        <f t="shared" ref="AF139:AM139" si="113">$AE$139*(E111)</f>
        <v>0.13305872686386436</v>
      </c>
      <c r="AG139" s="211">
        <f t="shared" si="113"/>
        <v>0.57568265500284188</v>
      </c>
      <c r="AH139" s="211">
        <f t="shared" si="113"/>
        <v>0.87981688783453205</v>
      </c>
      <c r="AI139" s="211">
        <f t="shared" si="113"/>
        <v>1.0563233622457806</v>
      </c>
      <c r="AJ139" s="211">
        <f t="shared" si="113"/>
        <v>1.1676582153359532</v>
      </c>
      <c r="AK139" s="211">
        <f t="shared" si="113"/>
        <v>1.2409762893221641</v>
      </c>
      <c r="AL139" s="211">
        <f t="shared" si="113"/>
        <v>1.2898550053129714</v>
      </c>
      <c r="AM139" s="211">
        <f t="shared" si="113"/>
        <v>1.3387337213037787</v>
      </c>
      <c r="AN139" s="211">
        <f>AM139*(M111)</f>
        <v>1.1941318210932659</v>
      </c>
    </row>
    <row r="140" spans="2:40" s="7" customFormat="1" ht="12" hidden="1" customHeight="1" outlineLevel="2">
      <c r="B140" s="245"/>
      <c r="C140" s="213" t="s">
        <v>780</v>
      </c>
      <c r="D140" s="213"/>
      <c r="E140" s="213"/>
      <c r="F140" s="213"/>
      <c r="G140" s="213"/>
      <c r="H140" s="213"/>
      <c r="I140" s="213"/>
      <c r="J140" s="213"/>
      <c r="K140" s="213"/>
      <c r="L140" s="213"/>
      <c r="M140" s="213"/>
      <c r="N140" s="213"/>
      <c r="O140" s="213"/>
      <c r="P140" s="213"/>
      <c r="Q140" s="213"/>
      <c r="R140" s="213"/>
      <c r="S140" s="213"/>
      <c r="T140" s="213"/>
      <c r="U140" s="213"/>
      <c r="V140" s="213"/>
      <c r="W140" s="213"/>
      <c r="X140" s="213"/>
      <c r="Y140" s="213"/>
      <c r="Z140" s="213"/>
      <c r="AA140" s="213"/>
      <c r="AB140" s="211"/>
      <c r="AC140" s="211"/>
      <c r="AD140" s="211"/>
      <c r="AE140" s="211"/>
      <c r="AF140" s="211">
        <f>INDEX($C$44:$AN$66,MATCH("New Customers 1MS",$C$44:$C$66,0),MATCH($C140,$C$44:$AN$44,0))</f>
        <v>1.1953664302600477</v>
      </c>
      <c r="AG140" s="211">
        <f t="shared" ref="AG140:AM140" si="114">$AF$140*(E111)</f>
        <v>0.10204347575390647</v>
      </c>
      <c r="AH140" s="211">
        <f t="shared" si="114"/>
        <v>0.44149422162914653</v>
      </c>
      <c r="AI140" s="211">
        <f t="shared" si="114"/>
        <v>0.67473645192379006</v>
      </c>
      <c r="AJ140" s="211">
        <f t="shared" si="114"/>
        <v>0.81010024629121702</v>
      </c>
      <c r="AK140" s="211">
        <f t="shared" si="114"/>
        <v>0.89548356273836338</v>
      </c>
      <c r="AL140" s="211">
        <f t="shared" si="114"/>
        <v>0.95171160039867908</v>
      </c>
      <c r="AM140" s="211">
        <f t="shared" si="114"/>
        <v>0.9891969588388897</v>
      </c>
      <c r="AN140" s="211">
        <f>AM140*(L111)</f>
        <v>0.84960644722573619</v>
      </c>
    </row>
    <row r="141" spans="2:40" s="7" customFormat="1" ht="12" hidden="1" customHeight="1" outlineLevel="2">
      <c r="B141" s="245"/>
      <c r="C141" s="213" t="s">
        <v>781</v>
      </c>
      <c r="D141" s="213"/>
      <c r="E141" s="213"/>
      <c r="F141" s="213"/>
      <c r="G141" s="213"/>
      <c r="H141" s="213"/>
      <c r="I141" s="213"/>
      <c r="J141" s="213"/>
      <c r="K141" s="213"/>
      <c r="L141" s="213"/>
      <c r="M141" s="213"/>
      <c r="N141" s="213"/>
      <c r="O141" s="213"/>
      <c r="P141" s="213"/>
      <c r="Q141" s="213"/>
      <c r="R141" s="213"/>
      <c r="S141" s="213"/>
      <c r="T141" s="213"/>
      <c r="U141" s="213"/>
      <c r="V141" s="213"/>
      <c r="W141" s="213"/>
      <c r="X141" s="213"/>
      <c r="Y141" s="213"/>
      <c r="Z141" s="213"/>
      <c r="AA141" s="213"/>
      <c r="AB141" s="211"/>
      <c r="AC141" s="211"/>
      <c r="AD141" s="211"/>
      <c r="AE141" s="211"/>
      <c r="AF141" s="211"/>
      <c r="AG141" s="211">
        <f>INDEX($C$44:$AN$66,MATCH("New Customers 1MS",$C$44:$C$66,0),MATCH($C141,$C$44:$AN$44,0))</f>
        <v>1.0778723404255321</v>
      </c>
      <c r="AH141" s="211">
        <f t="shared" ref="AH141:AN141" si="115">$AG$141*(E111)</f>
        <v>9.2013492475350261E-2</v>
      </c>
      <c r="AI141" s="211">
        <f t="shared" si="115"/>
        <v>0.39809919193416865</v>
      </c>
      <c r="AJ141" s="211">
        <f t="shared" si="115"/>
        <v>0.60841574616354077</v>
      </c>
      <c r="AK141" s="211">
        <f t="shared" si="115"/>
        <v>0.73047446067165855</v>
      </c>
      <c r="AL141" s="211">
        <f t="shared" si="115"/>
        <v>0.80746534213062515</v>
      </c>
      <c r="AM141" s="211">
        <f t="shared" si="115"/>
        <v>0.85816665431092021</v>
      </c>
      <c r="AN141" s="211">
        <f t="shared" si="115"/>
        <v>0.89196752909778354</v>
      </c>
    </row>
    <row r="142" spans="2:40" s="7" customFormat="1" ht="12" hidden="1" customHeight="1" outlineLevel="2">
      <c r="B142" s="245"/>
      <c r="C142" s="213" t="s">
        <v>782</v>
      </c>
      <c r="D142" s="213"/>
      <c r="E142" s="213"/>
      <c r="F142" s="213"/>
      <c r="G142" s="213"/>
      <c r="H142" s="213"/>
      <c r="I142" s="213"/>
      <c r="J142" s="213"/>
      <c r="K142" s="213"/>
      <c r="L142" s="213"/>
      <c r="M142" s="213"/>
      <c r="N142" s="213"/>
      <c r="O142" s="213"/>
      <c r="P142" s="213"/>
      <c r="Q142" s="213"/>
      <c r="R142" s="213"/>
      <c r="S142" s="213"/>
      <c r="T142" s="213"/>
      <c r="U142" s="213"/>
      <c r="V142" s="213"/>
      <c r="W142" s="213"/>
      <c r="X142" s="213"/>
      <c r="Y142" s="213"/>
      <c r="Z142" s="213"/>
      <c r="AA142" s="213"/>
      <c r="AB142" s="211"/>
      <c r="AC142" s="211"/>
      <c r="AD142" s="211"/>
      <c r="AE142" s="211"/>
      <c r="AF142" s="211"/>
      <c r="AG142" s="211"/>
      <c r="AH142" s="211">
        <f>INDEX($C$44:$AN$66,MATCH("New Customers 1MS",$C$44:$C$66,0),MATCH($C142,$C$44:$AN$44,0))</f>
        <v>3.6948936170212772</v>
      </c>
      <c r="AI142" s="211">
        <f t="shared" ref="AI142:AN142" si="116">$AH$142*(E111)</f>
        <v>0.31541774779449916</v>
      </c>
      <c r="AJ142" s="211">
        <f t="shared" si="116"/>
        <v>1.3646645414782417</v>
      </c>
      <c r="AK142" s="211">
        <f t="shared" si="116"/>
        <v>2.0856193935799543</v>
      </c>
      <c r="AL142" s="211">
        <f t="shared" si="116"/>
        <v>2.5040306916746982</v>
      </c>
      <c r="AM142" s="211">
        <f t="shared" si="116"/>
        <v>2.7679516643190754</v>
      </c>
      <c r="AN142" s="211">
        <f t="shared" si="116"/>
        <v>2.941753280450738</v>
      </c>
    </row>
    <row r="143" spans="2:40" s="7" customFormat="1" ht="12" hidden="1" customHeight="1" outlineLevel="2">
      <c r="B143" s="245"/>
      <c r="C143" s="213" t="s">
        <v>783</v>
      </c>
      <c r="D143" s="213"/>
      <c r="E143" s="213"/>
      <c r="F143" s="213"/>
      <c r="G143" s="213"/>
      <c r="H143" s="213"/>
      <c r="I143" s="213"/>
      <c r="J143" s="213"/>
      <c r="K143" s="213"/>
      <c r="L143" s="213"/>
      <c r="M143" s="213"/>
      <c r="N143" s="213"/>
      <c r="O143" s="213"/>
      <c r="P143" s="213"/>
      <c r="Q143" s="213"/>
      <c r="R143" s="213"/>
      <c r="S143" s="213"/>
      <c r="T143" s="213"/>
      <c r="U143" s="213"/>
      <c r="V143" s="213"/>
      <c r="W143" s="213"/>
      <c r="X143" s="213"/>
      <c r="Y143" s="213"/>
      <c r="Z143" s="213"/>
      <c r="AA143" s="213"/>
      <c r="AB143" s="211"/>
      <c r="AC143" s="211"/>
      <c r="AD143" s="211"/>
      <c r="AE143" s="211"/>
      <c r="AF143" s="211"/>
      <c r="AG143" s="211"/>
      <c r="AH143" s="211"/>
      <c r="AI143" s="211">
        <f>INDEX($C$44:$AN$66,MATCH("New Customers 1MS",$C$44:$C$66,0),MATCH($C143,$C$44:$AN$44,0))</f>
        <v>1.219468085106383</v>
      </c>
      <c r="AJ143" s="211">
        <f>$AI$143*(E111)</f>
        <v>0.10410093409444729</v>
      </c>
      <c r="AK143" s="211">
        <f>$AI$143*(F111)</f>
        <v>0.45039587812291493</v>
      </c>
      <c r="AL143" s="211">
        <f>$AI$143*(G111)</f>
        <v>0.68834087033879465</v>
      </c>
      <c r="AM143" s="211">
        <f>$AI$143*(H111)</f>
        <v>0.82643394617836763</v>
      </c>
      <c r="AN143" s="211">
        <f>$AI$143*(I111)</f>
        <v>0.91353880940025223</v>
      </c>
    </row>
    <row r="144" spans="2:40" s="7" customFormat="1" ht="12" hidden="1" customHeight="1" outlineLevel="2">
      <c r="B144" s="245"/>
      <c r="C144" s="213" t="s">
        <v>784</v>
      </c>
      <c r="D144" s="213"/>
      <c r="E144" s="213"/>
      <c r="F144" s="213"/>
      <c r="G144" s="213"/>
      <c r="H144" s="213"/>
      <c r="I144" s="213"/>
      <c r="J144" s="213"/>
      <c r="K144" s="213"/>
      <c r="L144" s="213"/>
      <c r="M144" s="213"/>
      <c r="N144" s="213"/>
      <c r="O144" s="213"/>
      <c r="P144" s="213"/>
      <c r="Q144" s="213"/>
      <c r="R144" s="213"/>
      <c r="S144" s="213"/>
      <c r="T144" s="213"/>
      <c r="U144" s="213"/>
      <c r="V144" s="213"/>
      <c r="W144" s="213"/>
      <c r="X144" s="213"/>
      <c r="Y144" s="213"/>
      <c r="Z144" s="213"/>
      <c r="AA144" s="213"/>
      <c r="AB144" s="211"/>
      <c r="AC144" s="211"/>
      <c r="AD144" s="211"/>
      <c r="AE144" s="211"/>
      <c r="AF144" s="211"/>
      <c r="AG144" s="211"/>
      <c r="AH144" s="211"/>
      <c r="AI144" s="211"/>
      <c r="AJ144" s="211">
        <f>INDEX($C$44:$AN$66,MATCH("New Customers 1MS",$C$44:$C$66,0),MATCH($C144,$C$44:$AN$44,0))</f>
        <v>1.535697399527187</v>
      </c>
      <c r="AK144" s="211">
        <f>$AJ$144*(E111)</f>
        <v>0.13109611947183297</v>
      </c>
      <c r="AL144" s="211">
        <f>$AJ$144*(F111)</f>
        <v>0.56719137404139996</v>
      </c>
      <c r="AM144" s="211">
        <f>$AJ$144*(G111)</f>
        <v>0.8668396471198756</v>
      </c>
      <c r="AN144" s="211">
        <f>$AJ$144*(H111)</f>
        <v>1.0407426627457765</v>
      </c>
    </row>
    <row r="145" spans="2:41" s="7" customFormat="1" ht="12" hidden="1" customHeight="1" outlineLevel="2">
      <c r="B145" s="245"/>
      <c r="C145" s="213" t="s">
        <v>785</v>
      </c>
      <c r="D145" s="213"/>
      <c r="E145" s="213"/>
      <c r="F145" s="213"/>
      <c r="G145" s="213"/>
      <c r="H145" s="213"/>
      <c r="I145" s="213"/>
      <c r="J145" s="213"/>
      <c r="K145" s="213"/>
      <c r="L145" s="213"/>
      <c r="M145" s="213"/>
      <c r="N145" s="213"/>
      <c r="O145" s="213"/>
      <c r="P145" s="213"/>
      <c r="Q145" s="213"/>
      <c r="R145" s="213"/>
      <c r="S145" s="213"/>
      <c r="T145" s="213"/>
      <c r="U145" s="213"/>
      <c r="V145" s="213"/>
      <c r="W145" s="213"/>
      <c r="X145" s="213"/>
      <c r="Y145" s="213"/>
      <c r="Z145" s="213"/>
      <c r="AA145" s="213"/>
      <c r="AB145" s="211"/>
      <c r="AC145" s="211"/>
      <c r="AD145" s="211"/>
      <c r="AE145" s="211"/>
      <c r="AF145" s="211"/>
      <c r="AG145" s="211"/>
      <c r="AH145" s="211"/>
      <c r="AI145" s="211"/>
      <c r="AJ145" s="211"/>
      <c r="AK145" s="211">
        <f>INDEX($C$44:$AN$66,MATCH("New Customers 1MS",$C$44:$C$66,0),MATCH($C145,$C$44:$AN$44,0))</f>
        <v>2.7659574468085109</v>
      </c>
      <c r="AL145" s="211">
        <f>$AK$145*(E111)</f>
        <v>0.23611831862999474</v>
      </c>
      <c r="AM145" s="211">
        <f>$AK$145*(F111)</f>
        <v>1.0215731336644673</v>
      </c>
      <c r="AN145" s="211">
        <f>$AK$145*(G111)</f>
        <v>1.5612721476758842</v>
      </c>
    </row>
    <row r="146" spans="2:41" s="7" customFormat="1" ht="12" hidden="1" customHeight="1" outlineLevel="2">
      <c r="B146" s="245"/>
      <c r="C146" s="213" t="s">
        <v>786</v>
      </c>
      <c r="D146" s="213"/>
      <c r="E146" s="213"/>
      <c r="F146" s="213"/>
      <c r="G146" s="213"/>
      <c r="H146" s="213"/>
      <c r="I146" s="213"/>
      <c r="J146" s="213"/>
      <c r="K146" s="213"/>
      <c r="L146" s="213"/>
      <c r="M146" s="213"/>
      <c r="N146" s="213"/>
      <c r="O146" s="213"/>
      <c r="P146" s="213"/>
      <c r="Q146" s="213"/>
      <c r="R146" s="213"/>
      <c r="S146" s="213"/>
      <c r="T146" s="213"/>
      <c r="U146" s="213"/>
      <c r="V146" s="213"/>
      <c r="W146" s="213"/>
      <c r="X146" s="213"/>
      <c r="Y146" s="213"/>
      <c r="Z146" s="213"/>
      <c r="AA146" s="213"/>
      <c r="AB146" s="211"/>
      <c r="AC146" s="211"/>
      <c r="AD146" s="211"/>
      <c r="AE146" s="211"/>
      <c r="AF146" s="211"/>
      <c r="AG146" s="211"/>
      <c r="AH146" s="211"/>
      <c r="AI146" s="211"/>
      <c r="AJ146" s="211"/>
      <c r="AK146" s="211"/>
      <c r="AL146" s="211">
        <f>INDEX($C$44:$AN$66,MATCH("New Customers 1MS",$C$44:$C$66,0),MATCH($C146,$C$44:$AN$44,0))</f>
        <v>2.3049645390070927</v>
      </c>
      <c r="AM146" s="211">
        <f>$AL$146*(E111)</f>
        <v>0.19676526552499565</v>
      </c>
      <c r="AN146" s="211">
        <f>$AL$146*(F111)</f>
        <v>0.8513109447203896</v>
      </c>
    </row>
    <row r="147" spans="2:41" s="7" customFormat="1" ht="12" hidden="1" customHeight="1" outlineLevel="2">
      <c r="B147" s="245"/>
      <c r="C147" s="213" t="s">
        <v>787</v>
      </c>
      <c r="D147" s="213"/>
      <c r="E147" s="213"/>
      <c r="F147" s="213"/>
      <c r="G147" s="213"/>
      <c r="H147" s="213"/>
      <c r="I147" s="213"/>
      <c r="J147" s="213"/>
      <c r="K147" s="213"/>
      <c r="L147" s="213"/>
      <c r="M147" s="213"/>
      <c r="N147" s="213"/>
      <c r="O147" s="213"/>
      <c r="P147" s="213"/>
      <c r="Q147" s="213"/>
      <c r="R147" s="213"/>
      <c r="S147" s="213"/>
      <c r="T147" s="213"/>
      <c r="U147" s="213"/>
      <c r="V147" s="213"/>
      <c r="W147" s="213"/>
      <c r="X147" s="213"/>
      <c r="Y147" s="213"/>
      <c r="Z147" s="213"/>
      <c r="AA147" s="213"/>
      <c r="AB147" s="211"/>
      <c r="AC147" s="211"/>
      <c r="AD147" s="211"/>
      <c r="AE147" s="211"/>
      <c r="AF147" s="211"/>
      <c r="AG147" s="211"/>
      <c r="AH147" s="211"/>
      <c r="AI147" s="211"/>
      <c r="AJ147" s="211"/>
      <c r="AK147" s="211"/>
      <c r="AL147" s="211"/>
      <c r="AM147" s="211">
        <f>INDEX($C$44:$AN$66,MATCH("New Customers 1MS",$C$44:$C$66,0),MATCH($C147,$C$44:$AN$44,0))</f>
        <v>0.88652482269503552</v>
      </c>
      <c r="AN147" s="211">
        <f>$AM$147*(E111)</f>
        <v>7.5678948278844471E-2</v>
      </c>
    </row>
    <row r="148" spans="2:41" s="7" customFormat="1" ht="12" hidden="1" customHeight="1" outlineLevel="2">
      <c r="B148" s="245"/>
      <c r="C148" s="213" t="s">
        <v>788</v>
      </c>
      <c r="D148" s="213"/>
      <c r="E148" s="213"/>
      <c r="F148" s="213"/>
      <c r="G148" s="213"/>
      <c r="H148" s="213"/>
      <c r="I148" s="213"/>
      <c r="J148" s="213"/>
      <c r="K148" s="213"/>
      <c r="L148" s="213"/>
      <c r="M148" s="213"/>
      <c r="N148" s="213"/>
      <c r="O148" s="213"/>
      <c r="P148" s="213"/>
      <c r="Q148" s="213"/>
      <c r="R148" s="213"/>
      <c r="S148" s="213"/>
      <c r="T148" s="213"/>
      <c r="U148" s="213"/>
      <c r="V148" s="213"/>
      <c r="W148" s="213"/>
      <c r="X148" s="213"/>
      <c r="Y148" s="213"/>
      <c r="Z148" s="213"/>
      <c r="AA148" s="213"/>
      <c r="AB148" s="211"/>
      <c r="AC148" s="211"/>
      <c r="AD148" s="211"/>
      <c r="AE148" s="211"/>
      <c r="AF148" s="211"/>
      <c r="AG148" s="211"/>
      <c r="AH148" s="211"/>
      <c r="AI148" s="211"/>
      <c r="AJ148" s="211"/>
      <c r="AK148" s="211"/>
      <c r="AL148" s="211"/>
      <c r="AM148" s="211"/>
      <c r="AN148" s="211">
        <f>INDEX($C$44:$AN$66,MATCH("New Customers 1MS",$C$44:$C$66,0),MATCH($C148,$C$44:$AN$44,0))</f>
        <v>0.88652482269503552</v>
      </c>
    </row>
    <row r="149" spans="2:41" s="7" customFormat="1" ht="12" hidden="1" customHeight="1" outlineLevel="2">
      <c r="B149" s="245"/>
      <c r="C149" s="213"/>
      <c r="D149" s="213"/>
      <c r="E149" s="213"/>
      <c r="F149" s="213"/>
      <c r="G149" s="213"/>
      <c r="H149" s="213"/>
      <c r="I149" s="213"/>
      <c r="J149" s="213"/>
      <c r="K149" s="213"/>
      <c r="L149" s="213"/>
      <c r="M149" s="213"/>
      <c r="N149" s="213"/>
      <c r="O149" s="213"/>
      <c r="P149" s="213"/>
      <c r="Q149" s="213"/>
      <c r="R149" s="213"/>
      <c r="S149" s="213"/>
      <c r="T149" s="213"/>
      <c r="U149" s="213"/>
      <c r="V149" s="213"/>
      <c r="W149" s="213"/>
      <c r="X149" s="213"/>
      <c r="Y149" s="213"/>
      <c r="Z149" s="213"/>
      <c r="AA149" s="213"/>
      <c r="AB149" s="211"/>
      <c r="AC149" s="211"/>
      <c r="AD149" s="211"/>
      <c r="AE149" s="211"/>
      <c r="AF149" s="211"/>
      <c r="AG149" s="211"/>
      <c r="AH149" s="211"/>
      <c r="AI149" s="211"/>
      <c r="AJ149" s="211"/>
      <c r="AK149" s="211"/>
      <c r="AL149" s="211"/>
      <c r="AM149" s="211"/>
      <c r="AN149" s="211"/>
    </row>
    <row r="150" spans="2:41" s="7" customFormat="1" ht="12" hidden="1" customHeight="1" outlineLevel="2">
      <c r="B150" s="245"/>
      <c r="C150" s="213"/>
      <c r="D150" s="213"/>
      <c r="E150" s="213"/>
      <c r="F150" s="213"/>
      <c r="G150" s="213"/>
      <c r="H150" s="213"/>
      <c r="I150" s="213"/>
      <c r="J150" s="213"/>
      <c r="K150" s="213"/>
      <c r="L150" s="213"/>
      <c r="M150" s="213"/>
      <c r="N150" s="213"/>
      <c r="O150" s="213"/>
      <c r="P150" s="213"/>
      <c r="Q150" s="213"/>
      <c r="R150" s="213"/>
      <c r="S150" s="213"/>
      <c r="T150" s="213"/>
      <c r="U150" s="213"/>
      <c r="V150" s="213"/>
      <c r="W150" s="213"/>
      <c r="X150" s="213"/>
      <c r="Y150" s="213"/>
      <c r="Z150" s="213"/>
      <c r="AA150" s="213"/>
      <c r="AB150" s="211"/>
      <c r="AC150" s="211"/>
      <c r="AD150" s="211"/>
      <c r="AE150" s="211"/>
      <c r="AF150" s="211"/>
      <c r="AG150" s="211"/>
      <c r="AH150" s="211"/>
      <c r="AI150" s="211"/>
      <c r="AJ150" s="211"/>
      <c r="AK150" s="211"/>
      <c r="AL150" s="211"/>
      <c r="AM150" s="211"/>
      <c r="AN150" s="211"/>
    </row>
    <row r="151" spans="2:41" s="7" customFormat="1" ht="12" hidden="1" customHeight="1" outlineLevel="2">
      <c r="B151" s="245"/>
      <c r="C151" s="243" t="s">
        <v>854</v>
      </c>
      <c r="D151" s="213"/>
      <c r="E151" s="213"/>
      <c r="F151" s="213"/>
      <c r="G151" s="213"/>
      <c r="H151" s="213"/>
      <c r="I151" s="213"/>
      <c r="J151" s="213"/>
      <c r="K151" s="213"/>
      <c r="L151" s="213"/>
      <c r="M151" s="213"/>
      <c r="N151" s="213"/>
      <c r="O151" s="213"/>
      <c r="P151" s="213"/>
      <c r="Q151" s="213"/>
      <c r="R151" s="213"/>
      <c r="S151" s="213"/>
      <c r="T151" s="213"/>
      <c r="U151" s="213"/>
      <c r="V151" s="213"/>
      <c r="W151" s="213"/>
      <c r="X151" s="213"/>
      <c r="Y151" s="213"/>
      <c r="Z151" s="213"/>
      <c r="AA151" s="213"/>
      <c r="AB151" s="213"/>
      <c r="AC151" s="211"/>
    </row>
    <row r="152" spans="2:41" s="7" customFormat="1" ht="12" hidden="1" customHeight="1" outlineLevel="2">
      <c r="B152" s="239"/>
      <c r="C152" s="214" t="s">
        <v>850</v>
      </c>
      <c r="D152" s="214"/>
      <c r="E152" s="196" t="s">
        <v>753</v>
      </c>
      <c r="F152" s="196" t="s">
        <v>754</v>
      </c>
      <c r="G152" s="196" t="s">
        <v>755</v>
      </c>
      <c r="H152" s="196" t="s">
        <v>756</v>
      </c>
      <c r="I152" s="196" t="s">
        <v>757</v>
      </c>
      <c r="J152" s="196" t="s">
        <v>758</v>
      </c>
      <c r="K152" s="196" t="s">
        <v>759</v>
      </c>
      <c r="L152" s="196" t="s">
        <v>760</v>
      </c>
      <c r="M152" s="196" t="s">
        <v>761</v>
      </c>
      <c r="N152" s="196" t="s">
        <v>762</v>
      </c>
      <c r="O152" s="196" t="s">
        <v>763</v>
      </c>
      <c r="P152" s="196" t="s">
        <v>764</v>
      </c>
      <c r="Q152" s="196" t="s">
        <v>765</v>
      </c>
      <c r="R152" s="196" t="s">
        <v>766</v>
      </c>
      <c r="S152" s="196" t="s">
        <v>767</v>
      </c>
      <c r="T152" s="196" t="s">
        <v>768</v>
      </c>
      <c r="U152" s="196" t="s">
        <v>769</v>
      </c>
      <c r="V152" s="196" t="s">
        <v>770</v>
      </c>
      <c r="W152" s="196" t="s">
        <v>771</v>
      </c>
      <c r="X152" s="196" t="s">
        <v>772</v>
      </c>
      <c r="Y152" s="196" t="s">
        <v>773</v>
      </c>
      <c r="Z152" s="196" t="s">
        <v>774</v>
      </c>
      <c r="AA152" s="196" t="s">
        <v>775</v>
      </c>
      <c r="AB152" s="196" t="s">
        <v>776</v>
      </c>
      <c r="AC152" s="196" t="s">
        <v>777</v>
      </c>
      <c r="AD152" s="196" t="s">
        <v>778</v>
      </c>
      <c r="AE152" s="196" t="s">
        <v>779</v>
      </c>
      <c r="AF152" s="196" t="s">
        <v>780</v>
      </c>
      <c r="AG152" s="196" t="s">
        <v>781</v>
      </c>
      <c r="AH152" s="196" t="s">
        <v>782</v>
      </c>
      <c r="AI152" s="196" t="s">
        <v>783</v>
      </c>
      <c r="AJ152" s="196" t="s">
        <v>784</v>
      </c>
      <c r="AK152" s="196" t="s">
        <v>785</v>
      </c>
      <c r="AL152" s="196" t="s">
        <v>786</v>
      </c>
      <c r="AM152" s="196" t="s">
        <v>787</v>
      </c>
      <c r="AN152" s="196" t="s">
        <v>788</v>
      </c>
    </row>
    <row r="153" spans="2:41" s="7" customFormat="1" ht="12" hidden="1" customHeight="1" outlineLevel="2">
      <c r="B153" s="239"/>
      <c r="C153" s="247" t="s">
        <v>851</v>
      </c>
      <c r="D153" s="212"/>
      <c r="E153" s="345">
        <v>0.9</v>
      </c>
      <c r="F153" s="342"/>
      <c r="G153" s="342"/>
      <c r="H153" s="345">
        <v>0.6</v>
      </c>
      <c r="I153" s="342"/>
      <c r="J153" s="342"/>
      <c r="K153" s="345">
        <v>0.4</v>
      </c>
      <c r="L153" s="342"/>
      <c r="M153" s="342"/>
      <c r="N153" s="345">
        <v>0.2</v>
      </c>
      <c r="O153" s="342"/>
      <c r="P153" s="342"/>
      <c r="Q153" s="345">
        <v>0.15</v>
      </c>
      <c r="R153" s="342"/>
      <c r="S153" s="342"/>
      <c r="T153" s="345">
        <v>0.1</v>
      </c>
      <c r="U153" s="342"/>
      <c r="V153" s="342"/>
      <c r="W153" s="345">
        <v>0.08</v>
      </c>
      <c r="X153" s="342"/>
      <c r="Y153" s="342"/>
      <c r="Z153" s="345">
        <v>7.0000000000000007E-2</v>
      </c>
      <c r="AA153" s="342"/>
      <c r="AB153" s="342"/>
      <c r="AC153" s="345">
        <v>0.05</v>
      </c>
      <c r="AD153" s="342"/>
      <c r="AE153" s="342"/>
      <c r="AF153" s="345">
        <v>0.04</v>
      </c>
      <c r="AG153" s="342"/>
      <c r="AH153" s="342"/>
      <c r="AI153" s="345">
        <v>0.02</v>
      </c>
      <c r="AJ153" s="342"/>
      <c r="AK153" s="342"/>
      <c r="AL153" s="345">
        <v>0.01</v>
      </c>
      <c r="AM153" s="342"/>
      <c r="AN153" s="342"/>
    </row>
    <row r="154" spans="2:41" s="7" customFormat="1" ht="12" hidden="1" customHeight="1" outlineLevel="2">
      <c r="B154" s="239"/>
      <c r="C154" s="214" t="s">
        <v>852</v>
      </c>
      <c r="D154" s="212"/>
      <c r="E154" s="211">
        <f>86*66%</f>
        <v>56.760000000000005</v>
      </c>
      <c r="F154" s="211">
        <f>69-28</f>
        <v>41</v>
      </c>
      <c r="G154" s="211">
        <f>111-28</f>
        <v>83</v>
      </c>
      <c r="H154" s="211">
        <f>E154*0.98-27</f>
        <v>28.6248</v>
      </c>
      <c r="I154" s="211">
        <f>F154*0.98-40</f>
        <v>0.17999999999999972</v>
      </c>
      <c r="J154" s="211">
        <f t="shared" ref="J154:AN154" si="117">G154*0.98</f>
        <v>81.34</v>
      </c>
      <c r="K154" s="211">
        <f t="shared" si="117"/>
        <v>28.052303999999999</v>
      </c>
      <c r="L154" s="211">
        <f t="shared" si="117"/>
        <v>0.17639999999999972</v>
      </c>
      <c r="M154" s="211">
        <f t="shared" si="117"/>
        <v>79.713200000000001</v>
      </c>
      <c r="N154" s="211">
        <f t="shared" si="117"/>
        <v>27.491257919999999</v>
      </c>
      <c r="O154" s="211">
        <f t="shared" si="117"/>
        <v>0.17287199999999972</v>
      </c>
      <c r="P154" s="211">
        <f t="shared" si="117"/>
        <v>78.118936000000005</v>
      </c>
      <c r="Q154" s="211">
        <f t="shared" si="117"/>
        <v>26.941432761599998</v>
      </c>
      <c r="R154" s="211">
        <f t="shared" si="117"/>
        <v>0.16941455999999971</v>
      </c>
      <c r="S154" s="211">
        <f t="shared" si="117"/>
        <v>76.556557280000007</v>
      </c>
      <c r="T154" s="211">
        <f t="shared" si="117"/>
        <v>26.402604106367999</v>
      </c>
      <c r="U154" s="211">
        <f t="shared" si="117"/>
        <v>0.16602626879999971</v>
      </c>
      <c r="V154" s="211">
        <f t="shared" si="117"/>
        <v>75.025426134400007</v>
      </c>
      <c r="W154" s="211">
        <f t="shared" si="117"/>
        <v>25.874552024240639</v>
      </c>
      <c r="X154" s="211">
        <f t="shared" si="117"/>
        <v>0.16270574342399971</v>
      </c>
      <c r="Y154" s="211">
        <f t="shared" si="117"/>
        <v>73.524917611711999</v>
      </c>
      <c r="Z154" s="211">
        <f t="shared" si="117"/>
        <v>25.357060983755826</v>
      </c>
      <c r="AA154" s="211">
        <f t="shared" si="117"/>
        <v>0.15945162855551973</v>
      </c>
      <c r="AB154" s="211">
        <f t="shared" si="117"/>
        <v>72.054419259477754</v>
      </c>
      <c r="AC154" s="211">
        <f t="shared" si="117"/>
        <v>24.84991976408071</v>
      </c>
      <c r="AD154" s="211">
        <f t="shared" si="117"/>
        <v>0.15626259598440934</v>
      </c>
      <c r="AE154" s="211">
        <f t="shared" si="117"/>
        <v>70.613330874288195</v>
      </c>
      <c r="AF154" s="211">
        <f t="shared" si="117"/>
        <v>24.352921368799095</v>
      </c>
      <c r="AG154" s="211">
        <f t="shared" si="117"/>
        <v>0.15313734406472115</v>
      </c>
      <c r="AH154" s="211">
        <f t="shared" si="117"/>
        <v>69.201064256802425</v>
      </c>
      <c r="AI154" s="211">
        <f t="shared" si="117"/>
        <v>23.865862941423114</v>
      </c>
      <c r="AJ154" s="211">
        <f t="shared" si="117"/>
        <v>0.15007459718342672</v>
      </c>
      <c r="AK154" s="211">
        <f t="shared" si="117"/>
        <v>67.817042971666382</v>
      </c>
      <c r="AL154" s="211">
        <f t="shared" si="117"/>
        <v>23.38854568259465</v>
      </c>
      <c r="AM154" s="211">
        <f t="shared" si="117"/>
        <v>0.1470731052397582</v>
      </c>
      <c r="AN154" s="211">
        <f t="shared" si="117"/>
        <v>66.460702112233051</v>
      </c>
      <c r="AO154" s="211"/>
    </row>
    <row r="155" spans="2:41" s="7" customFormat="1" ht="12" hidden="1" customHeight="1" outlineLevel="2">
      <c r="B155" s="245"/>
      <c r="C155" s="213" t="s">
        <v>753</v>
      </c>
      <c r="D155" s="213"/>
      <c r="E155" s="211">
        <f>INDEX($C$44:$AN$66,MATCH("New Customers 3MS",$C$44:$C$66,0),MATCH($C155,$C$44:$AN$44,0))</f>
        <v>0</v>
      </c>
      <c r="F155" s="211"/>
      <c r="G155" s="211"/>
      <c r="H155" s="211">
        <f>E155*(E153)</f>
        <v>0</v>
      </c>
      <c r="I155" s="211"/>
      <c r="J155" s="211"/>
      <c r="K155" s="211">
        <f>$E$155*(H153)</f>
        <v>0</v>
      </c>
      <c r="L155" s="211"/>
      <c r="M155" s="211"/>
      <c r="N155" s="211">
        <f>$E$155*(K153)</f>
        <v>0</v>
      </c>
      <c r="O155" s="211"/>
      <c r="P155" s="211"/>
      <c r="Q155" s="211">
        <f>$E$155*(N153)</f>
        <v>0</v>
      </c>
      <c r="R155" s="211"/>
      <c r="S155" s="211"/>
      <c r="T155" s="211">
        <f>$E$155*(Q153)</f>
        <v>0</v>
      </c>
      <c r="U155" s="211"/>
      <c r="V155" s="211"/>
      <c r="W155" s="211">
        <f>$E$155*(T153)</f>
        <v>0</v>
      </c>
      <c r="X155" s="211"/>
      <c r="Y155" s="211"/>
      <c r="Z155" s="211">
        <f>$E$155*(W153)</f>
        <v>0</v>
      </c>
      <c r="AA155" s="211"/>
      <c r="AB155" s="211"/>
      <c r="AC155" s="211">
        <f>$E$155*(Z153)</f>
        <v>0</v>
      </c>
      <c r="AD155" s="211"/>
      <c r="AE155" s="211"/>
      <c r="AF155" s="211">
        <f>$E$155*(AC153)</f>
        <v>0</v>
      </c>
      <c r="AG155" s="211"/>
      <c r="AH155" s="211"/>
      <c r="AI155" s="211">
        <f>$E$155*(AF153)</f>
        <v>0</v>
      </c>
      <c r="AJ155" s="211"/>
      <c r="AK155" s="211"/>
      <c r="AL155" s="211">
        <f>$E$155*(AI153)</f>
        <v>0</v>
      </c>
      <c r="AM155" s="211"/>
      <c r="AN155" s="211"/>
    </row>
    <row r="156" spans="2:41" s="7" customFormat="1" ht="12" hidden="1" customHeight="1" outlineLevel="2">
      <c r="B156" s="245"/>
      <c r="C156" s="213" t="s">
        <v>754</v>
      </c>
      <c r="D156" s="213"/>
      <c r="E156" s="213"/>
      <c r="F156" s="211">
        <f>INDEX($C$44:$AN$66,MATCH("New Customers 3MS",$C$44:$C$66,0),MATCH($C156,$C$44:$AN$44,0))</f>
        <v>0</v>
      </c>
      <c r="G156" s="211"/>
      <c r="H156" s="211"/>
      <c r="I156" s="211">
        <f>$F$156*(E153)</f>
        <v>0</v>
      </c>
      <c r="J156" s="211"/>
      <c r="K156" s="211"/>
      <c r="L156" s="211">
        <f>$F$156*(H153)</f>
        <v>0</v>
      </c>
      <c r="M156" s="211"/>
      <c r="N156" s="211"/>
      <c r="O156" s="211">
        <f>$F$156*(K153)</f>
        <v>0</v>
      </c>
      <c r="P156" s="211"/>
      <c r="Q156" s="211"/>
      <c r="R156" s="211">
        <f>$F$156*(N153)</f>
        <v>0</v>
      </c>
      <c r="S156" s="211"/>
      <c r="T156" s="211"/>
      <c r="U156" s="211">
        <f>$F$156*(Q153)</f>
        <v>0</v>
      </c>
      <c r="V156" s="211"/>
      <c r="W156" s="211"/>
      <c r="X156" s="211">
        <f>$F$156*(T153)</f>
        <v>0</v>
      </c>
      <c r="Y156" s="211"/>
      <c r="Z156" s="211"/>
      <c r="AA156" s="211">
        <f>$F$156*(W153)</f>
        <v>0</v>
      </c>
      <c r="AB156" s="211"/>
      <c r="AC156" s="211"/>
      <c r="AD156" s="211">
        <f>$F$156*(Z153)</f>
        <v>0</v>
      </c>
      <c r="AE156" s="211"/>
      <c r="AF156" s="211"/>
      <c r="AG156" s="211">
        <f>$F$156*(AC153)</f>
        <v>0</v>
      </c>
      <c r="AH156" s="211"/>
      <c r="AI156" s="211"/>
      <c r="AJ156" s="211">
        <f>$F$156*(AF153)</f>
        <v>0</v>
      </c>
      <c r="AK156" s="211"/>
      <c r="AL156" s="211"/>
      <c r="AM156" s="211">
        <f>$F$156*(AI153)</f>
        <v>0</v>
      </c>
      <c r="AN156" s="211"/>
    </row>
    <row r="157" spans="2:41" s="7" customFormat="1" ht="12" hidden="1" customHeight="1" outlineLevel="2">
      <c r="B157" s="245"/>
      <c r="C157" s="213" t="s">
        <v>755</v>
      </c>
      <c r="D157" s="213"/>
      <c r="E157" s="213"/>
      <c r="F157" s="213"/>
      <c r="G157" s="211">
        <f>INDEX($C$44:$AN$66,MATCH("New Customers 3MS",$C$44:$C$66,0),MATCH($C157,$C$44:$AN$44,0))</f>
        <v>0</v>
      </c>
      <c r="H157" s="211"/>
      <c r="I157" s="211"/>
      <c r="J157" s="211">
        <f>$G$157*(E153)</f>
        <v>0</v>
      </c>
      <c r="K157" s="211"/>
      <c r="L157" s="211"/>
      <c r="M157" s="211">
        <f>$G$157*(H153)</f>
        <v>0</v>
      </c>
      <c r="N157" s="211"/>
      <c r="O157" s="211"/>
      <c r="P157" s="211">
        <f>$G$157*(K153)</f>
        <v>0</v>
      </c>
      <c r="Q157" s="211"/>
      <c r="R157" s="211"/>
      <c r="S157" s="211">
        <f>$G$157*(N153)</f>
        <v>0</v>
      </c>
      <c r="T157" s="211"/>
      <c r="U157" s="211"/>
      <c r="V157" s="211">
        <f>$G$157*(Q153)</f>
        <v>0</v>
      </c>
      <c r="W157" s="211"/>
      <c r="X157" s="211"/>
      <c r="Y157" s="211">
        <f>$G$157*(T153)</f>
        <v>0</v>
      </c>
      <c r="Z157" s="211"/>
      <c r="AA157" s="211"/>
      <c r="AB157" s="211">
        <f>$G$157*(W153)</f>
        <v>0</v>
      </c>
      <c r="AC157" s="211"/>
      <c r="AD157" s="211"/>
      <c r="AE157" s="211">
        <f>$G$157*(Z153)</f>
        <v>0</v>
      </c>
      <c r="AF157" s="211"/>
      <c r="AG157" s="211"/>
      <c r="AH157" s="211">
        <f>$G$157*(AC153)</f>
        <v>0</v>
      </c>
      <c r="AI157" s="211"/>
      <c r="AJ157" s="211"/>
      <c r="AK157" s="211">
        <f>$G$157*(AF153)</f>
        <v>0</v>
      </c>
      <c r="AL157" s="211"/>
      <c r="AM157" s="211"/>
      <c r="AN157" s="211">
        <f>$G$157*(AI153)</f>
        <v>0</v>
      </c>
    </row>
    <row r="158" spans="2:41" s="7" customFormat="1" ht="12" hidden="1" customHeight="1" outlineLevel="2">
      <c r="B158" s="245"/>
      <c r="C158" s="213" t="s">
        <v>756</v>
      </c>
      <c r="D158" s="213"/>
      <c r="E158" s="213"/>
      <c r="F158" s="213"/>
      <c r="G158" s="213"/>
      <c r="H158" s="211">
        <f>INDEX($C$44:$AN$66,MATCH("New Customers 3MS",$C$44:$C$66,0),MATCH($C158,$C$44:$AN$44,0))</f>
        <v>0</v>
      </c>
      <c r="I158" s="211"/>
      <c r="J158" s="211"/>
      <c r="K158" s="211">
        <f>$H$158*(E153)</f>
        <v>0</v>
      </c>
      <c r="L158" s="211"/>
      <c r="M158" s="211"/>
      <c r="N158" s="211">
        <f>$H$158*(H153)</f>
        <v>0</v>
      </c>
      <c r="O158" s="211"/>
      <c r="P158" s="211"/>
      <c r="Q158" s="211">
        <f>$H$158*(K153)</f>
        <v>0</v>
      </c>
      <c r="R158" s="211"/>
      <c r="S158" s="211"/>
      <c r="T158" s="211">
        <f>$H$158*(N153)</f>
        <v>0</v>
      </c>
      <c r="U158" s="211"/>
      <c r="V158" s="211"/>
      <c r="W158" s="211">
        <f>$H$158*(Q153)</f>
        <v>0</v>
      </c>
      <c r="X158" s="211"/>
      <c r="Y158" s="211"/>
      <c r="Z158" s="211">
        <f>$H$158*(T153)</f>
        <v>0</v>
      </c>
      <c r="AA158" s="211"/>
      <c r="AB158" s="211"/>
      <c r="AC158" s="211">
        <f>$H$158*(W153)</f>
        <v>0</v>
      </c>
      <c r="AD158" s="211"/>
      <c r="AE158" s="211"/>
      <c r="AF158" s="211">
        <f>$H$158*(Z153)</f>
        <v>0</v>
      </c>
      <c r="AG158" s="211"/>
      <c r="AH158" s="211"/>
      <c r="AI158" s="211">
        <f>$H$158*(AC153)</f>
        <v>0</v>
      </c>
      <c r="AJ158" s="211"/>
      <c r="AK158" s="211"/>
      <c r="AL158" s="211">
        <f>$H$158*(AF153)</f>
        <v>0</v>
      </c>
      <c r="AM158" s="211"/>
      <c r="AN158" s="211"/>
    </row>
    <row r="159" spans="2:41" s="7" customFormat="1" ht="12" hidden="1" customHeight="1" outlineLevel="2">
      <c r="B159" s="245"/>
      <c r="C159" s="213" t="s">
        <v>757</v>
      </c>
      <c r="D159" s="213"/>
      <c r="E159" s="213"/>
      <c r="F159" s="213"/>
      <c r="G159" s="213"/>
      <c r="H159" s="213"/>
      <c r="I159" s="211">
        <f>INDEX($C$44:$AN$66,MATCH("New Customers 3MS",$C$44:$C$66,0),MATCH($C159,$C$44:$AN$44,0))</f>
        <v>0</v>
      </c>
      <c r="J159" s="211"/>
      <c r="K159" s="211"/>
      <c r="L159" s="211">
        <f>$I$159*(E153)</f>
        <v>0</v>
      </c>
      <c r="M159" s="211"/>
      <c r="N159" s="211"/>
      <c r="O159" s="211">
        <f>$I$159*(H153)</f>
        <v>0</v>
      </c>
      <c r="P159" s="211"/>
      <c r="Q159" s="211"/>
      <c r="R159" s="211">
        <f>$I$159*(K153)</f>
        <v>0</v>
      </c>
      <c r="S159" s="211"/>
      <c r="T159" s="211"/>
      <c r="U159" s="211">
        <f>$I$159*(N153)</f>
        <v>0</v>
      </c>
      <c r="V159" s="211"/>
      <c r="W159" s="211"/>
      <c r="X159" s="211">
        <f>$I$159*(Q153)</f>
        <v>0</v>
      </c>
      <c r="Y159" s="211"/>
      <c r="Z159" s="211"/>
      <c r="AA159" s="211">
        <f>$I$159*(T153)</f>
        <v>0</v>
      </c>
      <c r="AB159" s="211"/>
      <c r="AC159" s="211"/>
      <c r="AD159" s="211">
        <f>$I$159*(W153)</f>
        <v>0</v>
      </c>
      <c r="AE159" s="211"/>
      <c r="AF159" s="211"/>
      <c r="AG159" s="211">
        <f>$I$159*(Z153)</f>
        <v>0</v>
      </c>
      <c r="AH159" s="211"/>
      <c r="AI159" s="211"/>
      <c r="AJ159" s="211">
        <f>$I$159*(AC153)</f>
        <v>0</v>
      </c>
      <c r="AK159" s="211"/>
      <c r="AL159" s="211"/>
      <c r="AM159" s="211">
        <f>$I$159*(AF153)</f>
        <v>0</v>
      </c>
      <c r="AN159" s="211"/>
    </row>
    <row r="160" spans="2:41" s="7" customFormat="1" ht="12" hidden="1" customHeight="1" outlineLevel="2">
      <c r="B160" s="245"/>
      <c r="C160" s="213" t="s">
        <v>758</v>
      </c>
      <c r="D160" s="213"/>
      <c r="E160" s="213"/>
      <c r="F160" s="213"/>
      <c r="G160" s="213"/>
      <c r="H160" s="213"/>
      <c r="I160" s="213"/>
      <c r="J160" s="211">
        <f>INDEX($C$44:$AN$66,MATCH("New Customers 3MS",$C$44:$C$66,0),MATCH($C160,$C$44:$AN$44,0))</f>
        <v>0</v>
      </c>
      <c r="K160" s="211"/>
      <c r="L160" s="211"/>
      <c r="M160" s="211">
        <f>$J$160*(E153)</f>
        <v>0</v>
      </c>
      <c r="N160" s="211"/>
      <c r="O160" s="211"/>
      <c r="P160" s="211">
        <f>$J$160*(H153)</f>
        <v>0</v>
      </c>
      <c r="Q160" s="211"/>
      <c r="R160" s="211"/>
      <c r="S160" s="211">
        <f>$J$160*(K153)</f>
        <v>0</v>
      </c>
      <c r="T160" s="211"/>
      <c r="U160" s="211"/>
      <c r="V160" s="211">
        <f>$J$160*(N153)</f>
        <v>0</v>
      </c>
      <c r="W160" s="211"/>
      <c r="X160" s="211"/>
      <c r="Y160" s="211">
        <f>$J$160*(Q153)</f>
        <v>0</v>
      </c>
      <c r="Z160" s="211"/>
      <c r="AA160" s="211"/>
      <c r="AB160" s="211">
        <f>$J$160*(T153)</f>
        <v>0</v>
      </c>
      <c r="AC160" s="211"/>
      <c r="AD160" s="211"/>
      <c r="AE160" s="211">
        <f>$J$160*(W153)</f>
        <v>0</v>
      </c>
      <c r="AF160" s="211"/>
      <c r="AG160" s="211"/>
      <c r="AH160" s="211">
        <f>$J$160*(Z153)</f>
        <v>0</v>
      </c>
      <c r="AI160" s="211"/>
      <c r="AJ160" s="211"/>
      <c r="AK160" s="211">
        <f>$J$160*(AC153)</f>
        <v>0</v>
      </c>
      <c r="AL160" s="211"/>
      <c r="AM160" s="211"/>
      <c r="AN160" s="211">
        <f>$J$160*(AF153)</f>
        <v>0</v>
      </c>
    </row>
    <row r="161" spans="2:42" s="7" customFormat="1" ht="12" hidden="1" customHeight="1" outlineLevel="2">
      <c r="B161" s="245"/>
      <c r="C161" s="213" t="s">
        <v>759</v>
      </c>
      <c r="D161" s="213"/>
      <c r="E161" s="213"/>
      <c r="F161" s="213"/>
      <c r="G161" s="213"/>
      <c r="H161" s="213"/>
      <c r="I161" s="213"/>
      <c r="J161" s="213"/>
      <c r="K161" s="211">
        <f>INDEX($C$44:$AN$66,MATCH("New Customers 3MS",$C$44:$C$66,0),MATCH($C161,$C$44:$AN$44,0))</f>
        <v>0</v>
      </c>
      <c r="L161" s="211"/>
      <c r="M161" s="211"/>
      <c r="N161" s="211">
        <f>$K$161*(E153)</f>
        <v>0</v>
      </c>
      <c r="O161" s="211"/>
      <c r="P161" s="211"/>
      <c r="Q161" s="211">
        <f>$K$161*(H153)</f>
        <v>0</v>
      </c>
      <c r="R161" s="211"/>
      <c r="S161" s="211"/>
      <c r="T161" s="211">
        <f>$K$161*(K153)</f>
        <v>0</v>
      </c>
      <c r="U161" s="211"/>
      <c r="V161" s="211"/>
      <c r="W161" s="211">
        <f>$K$161*(N153)</f>
        <v>0</v>
      </c>
      <c r="X161" s="211"/>
      <c r="Y161" s="211"/>
      <c r="Z161" s="211">
        <f>$K$161*(Q153)</f>
        <v>0</v>
      </c>
      <c r="AA161" s="211"/>
      <c r="AB161" s="211"/>
      <c r="AC161" s="211">
        <f>$K$161*(T153)</f>
        <v>0</v>
      </c>
      <c r="AD161" s="211"/>
      <c r="AE161" s="211"/>
      <c r="AF161" s="211">
        <f>$K$161*(W153)</f>
        <v>0</v>
      </c>
      <c r="AG161" s="211"/>
      <c r="AH161" s="211"/>
      <c r="AI161" s="211">
        <f>$K$161*(Z153)</f>
        <v>0</v>
      </c>
      <c r="AJ161" s="211"/>
      <c r="AK161" s="211"/>
      <c r="AL161" s="211">
        <f>$K$161*(AC153)</f>
        <v>0</v>
      </c>
      <c r="AM161" s="211"/>
      <c r="AN161" s="211"/>
    </row>
    <row r="162" spans="2:42" s="7" customFormat="1" ht="12" hidden="1" customHeight="1" outlineLevel="2">
      <c r="B162" s="245"/>
      <c r="C162" s="213" t="s">
        <v>760</v>
      </c>
      <c r="D162" s="213"/>
      <c r="E162" s="213"/>
      <c r="F162" s="213"/>
      <c r="G162" s="213"/>
      <c r="H162" s="213"/>
      <c r="I162" s="213"/>
      <c r="J162" s="213"/>
      <c r="K162" s="213"/>
      <c r="L162" s="211">
        <f>INDEX($C$44:$AN$66,MATCH("New Customers 3MS",$C$44:$C$66,0),MATCH($C162,$C$44:$AN$44,0))</f>
        <v>0</v>
      </c>
      <c r="M162" s="211"/>
      <c r="N162" s="211"/>
      <c r="O162" s="211">
        <f>$L$162*(E153)</f>
        <v>0</v>
      </c>
      <c r="P162" s="211"/>
      <c r="Q162" s="211"/>
      <c r="R162" s="211">
        <f>$L$162*(H153)</f>
        <v>0</v>
      </c>
      <c r="S162" s="211"/>
      <c r="T162" s="211"/>
      <c r="U162" s="211">
        <f>$L$162*(K153)</f>
        <v>0</v>
      </c>
      <c r="V162" s="211"/>
      <c r="W162" s="211"/>
      <c r="X162" s="211">
        <f>$L$162*(N153)</f>
        <v>0</v>
      </c>
      <c r="Y162" s="211"/>
      <c r="Z162" s="211"/>
      <c r="AA162" s="211">
        <f>$L$162*(Q153)</f>
        <v>0</v>
      </c>
      <c r="AB162" s="211"/>
      <c r="AC162" s="211"/>
      <c r="AD162" s="211">
        <f>$L$162*(T153)</f>
        <v>0</v>
      </c>
      <c r="AE162" s="211"/>
      <c r="AF162" s="211"/>
      <c r="AG162" s="211">
        <f>$L$162*(W153)</f>
        <v>0</v>
      </c>
      <c r="AH162" s="211"/>
      <c r="AI162" s="211"/>
      <c r="AJ162" s="211">
        <f>$L$162*(Z153)</f>
        <v>0</v>
      </c>
      <c r="AK162" s="211"/>
      <c r="AL162" s="211"/>
      <c r="AM162" s="211">
        <f>$L$162*(AC153)</f>
        <v>0</v>
      </c>
      <c r="AN162" s="211"/>
    </row>
    <row r="163" spans="2:42" s="7" customFormat="1" ht="12" hidden="1" customHeight="1" outlineLevel="2">
      <c r="B163" s="245"/>
      <c r="C163" s="213" t="s">
        <v>761</v>
      </c>
      <c r="D163" s="213"/>
      <c r="E163" s="213"/>
      <c r="F163" s="213"/>
      <c r="G163" s="213"/>
      <c r="H163" s="213"/>
      <c r="I163" s="213"/>
      <c r="J163" s="213"/>
      <c r="K163" s="213"/>
      <c r="L163" s="213"/>
      <c r="M163" s="211">
        <f>INDEX($C$44:$AN$64,MATCH("New Customers 3MS",$C$44:$C$64,0),MATCH($C163,$C$44:$AN$44,0))</f>
        <v>6.1465721040189134</v>
      </c>
      <c r="N163" s="211"/>
      <c r="O163" s="211"/>
      <c r="P163" s="211">
        <f>$M$163*(E153)</f>
        <v>5.5319148936170226</v>
      </c>
      <c r="Q163" s="211"/>
      <c r="R163" s="211"/>
      <c r="S163" s="211">
        <f>$M$163*(H153)</f>
        <v>3.687943262411348</v>
      </c>
      <c r="T163" s="211"/>
      <c r="U163" s="211"/>
      <c r="V163" s="211">
        <f>$M$163*(K153)</f>
        <v>2.4586288416075655</v>
      </c>
      <c r="W163" s="211"/>
      <c r="X163" s="211"/>
      <c r="Y163" s="211">
        <f>$M$163*(N153)</f>
        <v>1.2293144208037827</v>
      </c>
      <c r="Z163" s="211"/>
      <c r="AA163" s="211"/>
      <c r="AB163" s="211">
        <f>$M$163*(Q153)</f>
        <v>0.92198581560283699</v>
      </c>
      <c r="AC163" s="211"/>
      <c r="AD163" s="211"/>
      <c r="AE163" s="211">
        <f>$M$163*(T153)</f>
        <v>0.61465721040189136</v>
      </c>
      <c r="AF163" s="211"/>
      <c r="AG163" s="211"/>
      <c r="AH163" s="211">
        <f>$M$163*(W153)</f>
        <v>0.4917257683215131</v>
      </c>
      <c r="AI163" s="211"/>
      <c r="AJ163" s="211"/>
      <c r="AK163" s="211">
        <f>$M$163*(Z153)</f>
        <v>0.430260047281324</v>
      </c>
      <c r="AL163" s="211"/>
      <c r="AM163" s="211"/>
      <c r="AN163" s="211">
        <f>$M$163*(AC153)</f>
        <v>0.30732860520094568</v>
      </c>
    </row>
    <row r="164" spans="2:42" s="7" customFormat="1" ht="12" hidden="1" customHeight="1" outlineLevel="2">
      <c r="B164" s="245"/>
      <c r="C164" s="213" t="s">
        <v>762</v>
      </c>
      <c r="D164" s="213"/>
      <c r="E164" s="213"/>
      <c r="F164" s="213"/>
      <c r="G164" s="213"/>
      <c r="H164" s="213"/>
      <c r="I164" s="213"/>
      <c r="J164" s="213"/>
      <c r="K164" s="213"/>
      <c r="L164" s="213"/>
      <c r="M164" s="213"/>
      <c r="N164" s="211">
        <f>INDEX($C$44:$AN$66,MATCH("New Customers 3MS",$C$44:$C$66,0),MATCH($C164,$C$44:$AN$44,0))</f>
        <v>6.1465721040189134</v>
      </c>
      <c r="O164" s="211"/>
      <c r="P164" s="211"/>
      <c r="Q164" s="211">
        <f>$N$164*(E153)</f>
        <v>5.5319148936170226</v>
      </c>
      <c r="R164" s="211"/>
      <c r="S164" s="211"/>
      <c r="T164" s="211">
        <f>$N$164*(H153)</f>
        <v>3.687943262411348</v>
      </c>
      <c r="U164" s="211"/>
      <c r="V164" s="211"/>
      <c r="W164" s="211">
        <f>$N$164*(K153)</f>
        <v>2.4586288416075655</v>
      </c>
      <c r="X164" s="211"/>
      <c r="Y164" s="211"/>
      <c r="Z164" s="211">
        <f>$N$164*(N153)</f>
        <v>1.2293144208037827</v>
      </c>
      <c r="AA164" s="211"/>
      <c r="AB164" s="211"/>
      <c r="AC164" s="211">
        <f>$N$164*(Q153)</f>
        <v>0.92198581560283699</v>
      </c>
      <c r="AD164" s="211"/>
      <c r="AE164" s="211"/>
      <c r="AF164" s="211">
        <f>$N$164*(T153)</f>
        <v>0.61465721040189136</v>
      </c>
      <c r="AG164" s="211"/>
      <c r="AH164" s="211"/>
      <c r="AI164" s="211">
        <f>$N$164*(W153)</f>
        <v>0.4917257683215131</v>
      </c>
      <c r="AJ164" s="211"/>
      <c r="AK164" s="211"/>
      <c r="AL164" s="211">
        <f>$N$164*(Z153)</f>
        <v>0.430260047281324</v>
      </c>
      <c r="AM164" s="211"/>
      <c r="AN164" s="211"/>
      <c r="AO164" s="211"/>
    </row>
    <row r="165" spans="2:42" s="7" customFormat="1" ht="12" hidden="1" customHeight="1" outlineLevel="2">
      <c r="B165" s="245"/>
      <c r="C165" s="213" t="s">
        <v>763</v>
      </c>
      <c r="D165" s="213"/>
      <c r="E165" s="213"/>
      <c r="F165" s="213"/>
      <c r="G165" s="213"/>
      <c r="H165" s="213"/>
      <c r="I165" s="213"/>
      <c r="J165" s="213"/>
      <c r="K165" s="213"/>
      <c r="L165" s="213"/>
      <c r="M165" s="213"/>
      <c r="N165" s="213"/>
      <c r="O165" s="211">
        <f>INDEX($C$44:$AN$66,MATCH("New Customers 3MS",$C$44:$C$66,0),MATCH($C165,$C$44:$AN$44,0))</f>
        <v>3.5460992907801421</v>
      </c>
      <c r="P165" s="211"/>
      <c r="Q165" s="211"/>
      <c r="R165" s="211">
        <f>$N$164*(E153)</f>
        <v>5.5319148936170226</v>
      </c>
      <c r="S165" s="211"/>
      <c r="T165" s="211"/>
      <c r="U165" s="211">
        <f>$N$164*(H153)</f>
        <v>3.687943262411348</v>
      </c>
      <c r="V165" s="211"/>
      <c r="W165" s="211"/>
      <c r="X165" s="211">
        <f>$N$164*(K153)</f>
        <v>2.4586288416075655</v>
      </c>
      <c r="Y165" s="211"/>
      <c r="Z165" s="211"/>
      <c r="AA165" s="211">
        <f>$N$164*(N153)</f>
        <v>1.2293144208037827</v>
      </c>
      <c r="AB165" s="211"/>
      <c r="AC165" s="211"/>
      <c r="AD165" s="211">
        <f>$N$164*(Q153)</f>
        <v>0.92198581560283699</v>
      </c>
      <c r="AE165" s="211"/>
      <c r="AF165" s="211"/>
      <c r="AG165" s="211">
        <f>$N$164*(T153)</f>
        <v>0.61465721040189136</v>
      </c>
      <c r="AH165" s="211"/>
      <c r="AI165" s="211"/>
      <c r="AJ165" s="211">
        <f>$N$164*(W153)</f>
        <v>0.4917257683215131</v>
      </c>
      <c r="AK165" s="211"/>
      <c r="AL165" s="211"/>
      <c r="AM165" s="211">
        <f>$N$164*(Z153)</f>
        <v>0.430260047281324</v>
      </c>
      <c r="AN165" s="211"/>
    </row>
    <row r="166" spans="2:42" s="7" customFormat="1" ht="12" hidden="1" customHeight="1" outlineLevel="2">
      <c r="B166" s="245"/>
      <c r="C166" s="213" t="s">
        <v>764</v>
      </c>
      <c r="D166" s="213"/>
      <c r="E166" s="213"/>
      <c r="F166" s="213"/>
      <c r="G166" s="213"/>
      <c r="H166" s="213"/>
      <c r="I166" s="213"/>
      <c r="J166" s="213"/>
      <c r="K166" s="213"/>
      <c r="L166" s="213"/>
      <c r="M166" s="213"/>
      <c r="N166" s="213"/>
      <c r="O166" s="213"/>
      <c r="P166" s="211">
        <f>INDEX($C$44:$AN$66,MATCH("New Customers 3MS",$C$44:$C$66,0),MATCH($C166,$C$44:$AN$44,0))</f>
        <v>2.3640661938534282</v>
      </c>
      <c r="Q166" s="211"/>
      <c r="R166" s="211"/>
      <c r="S166" s="211">
        <f>$P$166*(E153)</f>
        <v>2.1276595744680855</v>
      </c>
      <c r="T166" s="211"/>
      <c r="U166" s="211"/>
      <c r="V166" s="211">
        <f>$P$166*(H153)</f>
        <v>1.4184397163120568</v>
      </c>
      <c r="W166" s="211"/>
      <c r="X166" s="211"/>
      <c r="Y166" s="211">
        <f>$P$166*(K153)</f>
        <v>0.9456264775413713</v>
      </c>
      <c r="Z166" s="211"/>
      <c r="AA166" s="211"/>
      <c r="AB166" s="211">
        <f>$P$166*(N153)</f>
        <v>0.47281323877068565</v>
      </c>
      <c r="AC166" s="211"/>
      <c r="AD166" s="211"/>
      <c r="AE166" s="211">
        <f>$P$166*(Q153)</f>
        <v>0.3546099290780142</v>
      </c>
      <c r="AF166" s="211"/>
      <c r="AG166" s="211"/>
      <c r="AH166" s="211">
        <f>$P$166*(T153)</f>
        <v>0.23640661938534283</v>
      </c>
      <c r="AI166" s="211"/>
      <c r="AJ166" s="211"/>
      <c r="AK166" s="211">
        <f>$P$166*(W153)</f>
        <v>0.18912529550827425</v>
      </c>
      <c r="AL166" s="211"/>
      <c r="AM166" s="211"/>
      <c r="AN166" s="211">
        <f>$P$166*(Z153)</f>
        <v>0.16548463356974</v>
      </c>
    </row>
    <row r="167" spans="2:42" s="7" customFormat="1" ht="12" hidden="1" customHeight="1" outlineLevel="2">
      <c r="B167" s="245"/>
      <c r="C167" s="213" t="s">
        <v>765</v>
      </c>
      <c r="D167" s="213"/>
      <c r="E167" s="213"/>
      <c r="F167" s="213"/>
      <c r="G167" s="213"/>
      <c r="H167" s="213"/>
      <c r="I167" s="213"/>
      <c r="J167" s="213"/>
      <c r="K167" s="213"/>
      <c r="L167" s="213"/>
      <c r="M167" s="213"/>
      <c r="N167" s="213"/>
      <c r="O167" s="213"/>
      <c r="P167" s="213"/>
      <c r="Q167" s="211">
        <f>INDEX($C$44:$AN$66,MATCH("New Customers 3MS",$C$44:$C$66,0),MATCH($C167,$C$44:$AN$44,0))</f>
        <v>5.7082978723404265</v>
      </c>
      <c r="R167" s="211"/>
      <c r="S167" s="211"/>
      <c r="T167" s="211">
        <f>$Q$167*(E153)</f>
        <v>5.1374680851063843</v>
      </c>
      <c r="U167" s="211"/>
      <c r="V167" s="211"/>
      <c r="W167" s="211">
        <f>$Q$167*(H153)</f>
        <v>3.4249787234042559</v>
      </c>
      <c r="X167" s="211"/>
      <c r="Y167" s="211"/>
      <c r="Z167" s="211">
        <f>$Q$167*(K153)</f>
        <v>2.2833191489361706</v>
      </c>
      <c r="AA167" s="211"/>
      <c r="AB167" s="211"/>
      <c r="AC167" s="211">
        <f>$Q$167*(N153)</f>
        <v>1.1416595744680853</v>
      </c>
      <c r="AD167" s="211"/>
      <c r="AE167" s="211"/>
      <c r="AF167" s="211">
        <f>$Q$167*(Q153)</f>
        <v>0.85624468085106398</v>
      </c>
      <c r="AG167" s="211"/>
      <c r="AH167" s="211"/>
      <c r="AI167" s="211">
        <f>$Q$167*(T153)</f>
        <v>0.57082978723404265</v>
      </c>
      <c r="AJ167" s="211"/>
      <c r="AK167" s="211"/>
      <c r="AL167" s="211">
        <f>$Q$167*(W153)</f>
        <v>0.45666382978723413</v>
      </c>
      <c r="AM167" s="211"/>
      <c r="AN167" s="211"/>
      <c r="AO167" s="211"/>
    </row>
    <row r="168" spans="2:42" s="7" customFormat="1" ht="12" hidden="1" customHeight="1" outlineLevel="2">
      <c r="B168" s="245"/>
      <c r="C168" s="213" t="s">
        <v>766</v>
      </c>
      <c r="D168" s="213"/>
      <c r="E168" s="213"/>
      <c r="F168" s="213"/>
      <c r="G168" s="213"/>
      <c r="H168" s="213"/>
      <c r="I168" s="213"/>
      <c r="J168" s="213"/>
      <c r="K168" s="213"/>
      <c r="L168" s="213"/>
      <c r="M168" s="213"/>
      <c r="N168" s="213"/>
      <c r="O168" s="213"/>
      <c r="P168" s="213"/>
      <c r="Q168" s="213"/>
      <c r="R168" s="211">
        <f>INDEX($C$44:$AN$66,MATCH("New Customers 3MS",$C$44:$C$66,0),MATCH($C168,$C$44:$AN$44,0))</f>
        <v>10.15744680851064</v>
      </c>
      <c r="S168" s="211"/>
      <c r="T168" s="211"/>
      <c r="U168" s="211">
        <f>$R$168*(E153)</f>
        <v>9.1417021276595758</v>
      </c>
      <c r="V168" s="211"/>
      <c r="W168" s="211"/>
      <c r="X168" s="211">
        <f>$R$168*(H153)</f>
        <v>6.0944680851063842</v>
      </c>
      <c r="Y168" s="211"/>
      <c r="Z168" s="211"/>
      <c r="AA168" s="211">
        <f>$R$168*(K153)</f>
        <v>4.0629787234042558</v>
      </c>
      <c r="AB168" s="211"/>
      <c r="AC168" s="211"/>
      <c r="AD168" s="211">
        <f>$R$168*(N153)</f>
        <v>2.0314893617021279</v>
      </c>
      <c r="AE168" s="211"/>
      <c r="AF168" s="211"/>
      <c r="AG168" s="211">
        <f>$R$168*(Q153)</f>
        <v>1.523617021276596</v>
      </c>
      <c r="AH168" s="211"/>
      <c r="AI168" s="211"/>
      <c r="AJ168" s="211">
        <f>$R$168*(T153)</f>
        <v>1.015744680851064</v>
      </c>
      <c r="AK168" s="211"/>
      <c r="AL168" s="211"/>
      <c r="AM168" s="211">
        <f>$R$168*(W153)</f>
        <v>0.81259574468085116</v>
      </c>
      <c r="AN168" s="211"/>
    </row>
    <row r="169" spans="2:42" s="7" customFormat="1" ht="12" hidden="1" customHeight="1" outlineLevel="2">
      <c r="B169" s="245"/>
      <c r="C169" s="213" t="s">
        <v>767</v>
      </c>
      <c r="D169" s="213"/>
      <c r="E169" s="213"/>
      <c r="F169" s="213"/>
      <c r="G169" s="213"/>
      <c r="H169" s="213"/>
      <c r="I169" s="213"/>
      <c r="J169" s="213"/>
      <c r="K169" s="213"/>
      <c r="L169" s="213"/>
      <c r="M169" s="213"/>
      <c r="N169" s="213"/>
      <c r="O169" s="213"/>
      <c r="P169" s="213"/>
      <c r="Q169" s="213"/>
      <c r="R169" s="213"/>
      <c r="S169" s="211">
        <f>INDEX($C$44:$AN$66,MATCH("New Customers 3MS",$C$44:$C$66,0),MATCH($C169,$C$44:$AN$44,0))</f>
        <v>9.3521276595744691</v>
      </c>
      <c r="T169" s="211"/>
      <c r="U169" s="211"/>
      <c r="V169" s="211">
        <f>$S$169*(E153)</f>
        <v>8.4169148936170224</v>
      </c>
      <c r="W169" s="211"/>
      <c r="X169" s="211"/>
      <c r="Y169" s="211">
        <f>$S$169*(H153)</f>
        <v>5.6112765957446813</v>
      </c>
      <c r="Z169" s="211"/>
      <c r="AA169" s="211"/>
      <c r="AB169" s="211">
        <f>$S$169*(K153)</f>
        <v>3.7408510638297878</v>
      </c>
      <c r="AC169" s="211"/>
      <c r="AD169" s="211"/>
      <c r="AE169" s="211">
        <f>$S$169*(N153)</f>
        <v>1.8704255319148939</v>
      </c>
      <c r="AF169" s="211"/>
      <c r="AG169" s="211"/>
      <c r="AH169" s="211">
        <f>$S$169*(Q153)</f>
        <v>1.4028191489361703</v>
      </c>
      <c r="AI169" s="211"/>
      <c r="AJ169" s="211"/>
      <c r="AK169" s="211">
        <f>$S$169*(T153)</f>
        <v>0.93521276595744696</v>
      </c>
      <c r="AL169" s="211"/>
      <c r="AM169" s="211"/>
      <c r="AN169" s="211">
        <f>$S$169*(W153)</f>
        <v>0.74817021276595752</v>
      </c>
    </row>
    <row r="170" spans="2:42" s="7" customFormat="1" ht="12" hidden="1" customHeight="1" outlineLevel="2">
      <c r="B170" s="245"/>
      <c r="C170" s="213" t="s">
        <v>768</v>
      </c>
      <c r="D170" s="213"/>
      <c r="E170" s="213"/>
      <c r="F170" s="213"/>
      <c r="G170" s="213"/>
      <c r="H170" s="213"/>
      <c r="I170" s="213"/>
      <c r="J170" s="213"/>
      <c r="K170" s="213"/>
      <c r="L170" s="213"/>
      <c r="M170" s="213"/>
      <c r="N170" s="213"/>
      <c r="O170" s="213"/>
      <c r="P170" s="213"/>
      <c r="Q170" s="213"/>
      <c r="R170" s="213"/>
      <c r="S170" s="213"/>
      <c r="T170" s="211">
        <f>INDEX($C$44:$AN$66,MATCH("New Customers 3MS",$C$44:$C$66,0),MATCH($C170,$C$44:$AN$44,0))</f>
        <v>33.470260047281329</v>
      </c>
      <c r="U170" s="211"/>
      <c r="V170" s="211"/>
      <c r="W170" s="211">
        <f>$T$170*(E153)</f>
        <v>30.123234042553197</v>
      </c>
      <c r="X170" s="211"/>
      <c r="Y170" s="211"/>
      <c r="Z170" s="211">
        <f>$T$170*(H153)</f>
        <v>20.082156028368797</v>
      </c>
      <c r="AA170" s="211"/>
      <c r="AB170" s="211"/>
      <c r="AC170" s="211">
        <f>$T$170*(K153)</f>
        <v>13.388104018912532</v>
      </c>
      <c r="AD170" s="211"/>
      <c r="AE170" s="211"/>
      <c r="AF170" s="211">
        <f>$T$170*(N153)</f>
        <v>6.6940520094562661</v>
      </c>
      <c r="AG170" s="211"/>
      <c r="AH170" s="211"/>
      <c r="AI170" s="211">
        <f>$T$170*(Q153)</f>
        <v>5.0205390070921991</v>
      </c>
      <c r="AJ170" s="211"/>
      <c r="AK170" s="211"/>
      <c r="AL170" s="211">
        <f>$T$170*(T153)</f>
        <v>3.3470260047281331</v>
      </c>
      <c r="AM170" s="211"/>
      <c r="AN170" s="211"/>
      <c r="AO170" s="211"/>
    </row>
    <row r="171" spans="2:42" s="7" customFormat="1" ht="12" hidden="1" customHeight="1" outlineLevel="2">
      <c r="B171" s="245"/>
      <c r="C171" s="213" t="s">
        <v>769</v>
      </c>
      <c r="D171" s="213"/>
      <c r="E171" s="213"/>
      <c r="F171" s="213"/>
      <c r="G171" s="213"/>
      <c r="H171" s="213"/>
      <c r="I171" s="213"/>
      <c r="J171" s="213"/>
      <c r="K171" s="213"/>
      <c r="L171" s="213"/>
      <c r="M171" s="213"/>
      <c r="N171" s="213"/>
      <c r="O171" s="213"/>
      <c r="P171" s="213"/>
      <c r="Q171" s="213"/>
      <c r="R171" s="213"/>
      <c r="S171" s="213"/>
      <c r="T171" s="213"/>
      <c r="U171" s="211">
        <f>INDEX($C$44:$AN$66,MATCH("New Customers 3MS",$C$44:$C$66,0),MATCH($C171,$C$44:$AN$44,0))</f>
        <v>33.198468085106377</v>
      </c>
      <c r="V171" s="211"/>
      <c r="W171" s="211"/>
      <c r="X171" s="211">
        <f>$U$171*(E153)</f>
        <v>29.878621276595741</v>
      </c>
      <c r="Y171" s="211"/>
      <c r="Z171" s="211"/>
      <c r="AA171" s="211">
        <f>$U$171*(H153)</f>
        <v>19.919080851063825</v>
      </c>
      <c r="AB171" s="211"/>
      <c r="AC171" s="211"/>
      <c r="AD171" s="211">
        <f>$U$171*(K153)</f>
        <v>13.279387234042552</v>
      </c>
      <c r="AE171" s="211"/>
      <c r="AF171" s="211"/>
      <c r="AG171" s="211">
        <f>$U$171*(N153)</f>
        <v>6.6396936170212761</v>
      </c>
      <c r="AH171" s="211"/>
      <c r="AI171" s="211"/>
      <c r="AJ171" s="211">
        <f>$U$171*(Q153)</f>
        <v>4.9797702127659562</v>
      </c>
      <c r="AK171" s="211"/>
      <c r="AL171" s="211"/>
      <c r="AM171" s="211">
        <f>$U$171*(T153)</f>
        <v>3.3198468085106381</v>
      </c>
      <c r="AN171" s="211"/>
      <c r="AP171" s="211"/>
    </row>
    <row r="172" spans="2:42" s="7" customFormat="1" ht="12" hidden="1" customHeight="1" outlineLevel="2">
      <c r="B172" s="245"/>
      <c r="C172" s="213" t="s">
        <v>770</v>
      </c>
      <c r="D172" s="213"/>
      <c r="E172" s="213"/>
      <c r="F172" s="213"/>
      <c r="G172" s="213"/>
      <c r="H172" s="213"/>
      <c r="I172" s="213"/>
      <c r="J172" s="213"/>
      <c r="K172" s="213"/>
      <c r="L172" s="213"/>
      <c r="M172" s="213"/>
      <c r="N172" s="213"/>
      <c r="O172" s="213"/>
      <c r="P172" s="213"/>
      <c r="Q172" s="213"/>
      <c r="R172" s="213"/>
      <c r="S172" s="213"/>
      <c r="T172" s="213"/>
      <c r="U172" s="213"/>
      <c r="V172" s="211">
        <f>INDEX($C$44:$AN$66,MATCH("New Customers 3MS",$C$44:$C$66,0),MATCH($C172,$C$44:$AN$44,0))</f>
        <v>113.80272340425532</v>
      </c>
      <c r="W172" s="211"/>
      <c r="X172" s="211"/>
      <c r="Y172" s="211">
        <f>$V$172*(E153)</f>
        <v>102.42245106382978</v>
      </c>
      <c r="Z172" s="211"/>
      <c r="AA172" s="211"/>
      <c r="AB172" s="211">
        <f>$V$172*(H153)</f>
        <v>68.281634042553193</v>
      </c>
      <c r="AC172" s="211"/>
      <c r="AD172" s="211"/>
      <c r="AE172" s="211">
        <f>$V$172*(K153)</f>
        <v>45.521089361702131</v>
      </c>
      <c r="AF172" s="211"/>
      <c r="AG172" s="211"/>
      <c r="AH172" s="211">
        <f>$V$172*(N153)</f>
        <v>22.760544680851066</v>
      </c>
      <c r="AI172" s="211"/>
      <c r="AJ172" s="211"/>
      <c r="AK172" s="211">
        <f>$V$172*(Q153)</f>
        <v>17.070408510638298</v>
      </c>
      <c r="AL172" s="211"/>
      <c r="AM172" s="211"/>
      <c r="AN172" s="211">
        <f>$V$172*(T153)</f>
        <v>11.380272340425533</v>
      </c>
    </row>
    <row r="173" spans="2:42" s="7" customFormat="1" ht="12" hidden="1" customHeight="1" outlineLevel="2">
      <c r="B173" s="245"/>
      <c r="C173" s="213" t="s">
        <v>771</v>
      </c>
      <c r="D173" s="213"/>
      <c r="E173" s="213"/>
      <c r="F173" s="213"/>
      <c r="G173" s="213"/>
      <c r="H173" s="213"/>
      <c r="I173" s="213"/>
      <c r="J173" s="213"/>
      <c r="K173" s="213"/>
      <c r="L173" s="213"/>
      <c r="M173" s="213"/>
      <c r="N173" s="213"/>
      <c r="O173" s="213"/>
      <c r="P173" s="213"/>
      <c r="Q173" s="213"/>
      <c r="R173" s="213"/>
      <c r="S173" s="213"/>
      <c r="T173" s="213"/>
      <c r="U173" s="213"/>
      <c r="V173" s="213"/>
      <c r="W173" s="211">
        <f>INDEX($C$44:$AN$66,MATCH("New Customers 3MS",$C$44:$C$66,0),MATCH($C173,$C$44:$AN$44,0))</f>
        <v>68.290212765957449</v>
      </c>
      <c r="X173" s="211"/>
      <c r="Y173" s="211"/>
      <c r="Z173" s="211">
        <f>$W$173*(E153)</f>
        <v>61.461191489361703</v>
      </c>
      <c r="AA173" s="211"/>
      <c r="AB173" s="211"/>
      <c r="AC173" s="211">
        <f>$W$173*(H153)</f>
        <v>40.974127659574471</v>
      </c>
      <c r="AD173" s="211"/>
      <c r="AE173" s="211"/>
      <c r="AF173" s="211">
        <f>$W$173*(K153)</f>
        <v>27.316085106382982</v>
      </c>
      <c r="AG173" s="211"/>
      <c r="AH173" s="211"/>
      <c r="AI173" s="211">
        <f>$W$173*(N153)</f>
        <v>13.658042553191491</v>
      </c>
      <c r="AJ173" s="211"/>
      <c r="AK173" s="211"/>
      <c r="AL173" s="211">
        <f>$W$173*(Q153)</f>
        <v>10.243531914893618</v>
      </c>
      <c r="AM173" s="211"/>
      <c r="AN173" s="211"/>
    </row>
    <row r="174" spans="2:42" s="7" customFormat="1" ht="12" hidden="1" customHeight="1" outlineLevel="2">
      <c r="B174" s="245"/>
      <c r="C174" s="213" t="s">
        <v>772</v>
      </c>
      <c r="D174" s="213"/>
      <c r="E174" s="213"/>
      <c r="F174" s="213"/>
      <c r="G174" s="213"/>
      <c r="H174" s="213"/>
      <c r="I174" s="213"/>
      <c r="J174" s="213"/>
      <c r="K174" s="213"/>
      <c r="L174" s="213"/>
      <c r="M174" s="213"/>
      <c r="N174" s="213"/>
      <c r="O174" s="213"/>
      <c r="P174" s="213"/>
      <c r="Q174" s="213"/>
      <c r="R174" s="213"/>
      <c r="S174" s="213"/>
      <c r="T174" s="213"/>
      <c r="U174" s="213"/>
      <c r="V174" s="213"/>
      <c r="W174" s="213"/>
      <c r="X174" s="211">
        <f>INDEX($C$44:$AN$66,MATCH("New Customers 3MS",$C$44:$C$66,0),MATCH($C174,$C$44:$AN$44,0))</f>
        <v>51.599432624113483</v>
      </c>
      <c r="Y174" s="211"/>
      <c r="Z174" s="211"/>
      <c r="AA174" s="211">
        <f>$X$174*(E153)</f>
        <v>46.439489361702137</v>
      </c>
      <c r="AB174" s="211"/>
      <c r="AC174" s="211"/>
      <c r="AD174" s="211">
        <f>$X$174*(H153)</f>
        <v>30.959659574468088</v>
      </c>
      <c r="AE174" s="211"/>
      <c r="AF174" s="211"/>
      <c r="AG174" s="211">
        <f>$X$174*(K153)</f>
        <v>20.639773049645395</v>
      </c>
      <c r="AH174" s="211"/>
      <c r="AI174" s="211"/>
      <c r="AJ174" s="211">
        <f>$X$174*(N153)</f>
        <v>10.319886524822698</v>
      </c>
      <c r="AK174" s="211"/>
      <c r="AL174" s="211"/>
      <c r="AM174" s="211">
        <f>$X$174*(Q153)</f>
        <v>7.7399148936170219</v>
      </c>
      <c r="AN174" s="211"/>
    </row>
    <row r="175" spans="2:42" s="7" customFormat="1" ht="12" hidden="1" customHeight="1" outlineLevel="2">
      <c r="B175" s="245"/>
      <c r="C175" s="213" t="s">
        <v>773</v>
      </c>
      <c r="D175" s="213"/>
      <c r="E175" s="213"/>
      <c r="F175" s="213"/>
      <c r="G175" s="213"/>
      <c r="H175" s="213"/>
      <c r="I175" s="213"/>
      <c r="J175" s="213"/>
      <c r="K175" s="213"/>
      <c r="L175" s="213"/>
      <c r="M175" s="213"/>
      <c r="N175" s="213"/>
      <c r="O175" s="213"/>
      <c r="P175" s="213"/>
      <c r="Q175" s="213"/>
      <c r="R175" s="213"/>
      <c r="S175" s="213"/>
      <c r="T175" s="213"/>
      <c r="U175" s="213"/>
      <c r="V175" s="213"/>
      <c r="W175" s="213"/>
      <c r="X175" s="213"/>
      <c r="Y175" s="211">
        <f>INDEX($C$44:$AN$66,MATCH("New Customers 3MS",$C$44:$C$66,0),MATCH($C175,$C$44:$AN$44,0))</f>
        <v>77.446808510638306</v>
      </c>
      <c r="Z175" s="211"/>
      <c r="AA175" s="211"/>
      <c r="AB175" s="211">
        <f>$Y$175*(E153)</f>
        <v>69.702127659574472</v>
      </c>
      <c r="AC175" s="211"/>
      <c r="AD175" s="211"/>
      <c r="AE175" s="211">
        <f>$Y$175*(H153)</f>
        <v>46.468085106382979</v>
      </c>
      <c r="AF175" s="211"/>
      <c r="AG175" s="211"/>
      <c r="AH175" s="211">
        <f>$Y$175*(K153)</f>
        <v>30.978723404255323</v>
      </c>
      <c r="AI175" s="211"/>
      <c r="AJ175" s="211"/>
      <c r="AK175" s="211">
        <f>$Y$175*(N153)</f>
        <v>15.489361702127662</v>
      </c>
      <c r="AL175" s="211"/>
      <c r="AM175" s="211"/>
      <c r="AN175" s="211">
        <f>$Y$175*(Q153)</f>
        <v>11.617021276595745</v>
      </c>
    </row>
    <row r="176" spans="2:42" s="7" customFormat="1" ht="12" hidden="1" customHeight="1" outlineLevel="2">
      <c r="B176" s="245"/>
      <c r="C176" s="213" t="s">
        <v>774</v>
      </c>
      <c r="D176" s="213"/>
      <c r="E176" s="213"/>
      <c r="F176" s="213"/>
      <c r="G176" s="213"/>
      <c r="H176" s="213"/>
      <c r="I176" s="213"/>
      <c r="J176" s="213"/>
      <c r="K176" s="213"/>
      <c r="L176" s="213"/>
      <c r="M176" s="213"/>
      <c r="N176" s="213"/>
      <c r="O176" s="213"/>
      <c r="P176" s="213"/>
      <c r="Q176" s="213"/>
      <c r="R176" s="213"/>
      <c r="S176" s="213"/>
      <c r="T176" s="213"/>
      <c r="U176" s="213"/>
      <c r="V176" s="213"/>
      <c r="W176" s="213"/>
      <c r="X176" s="213"/>
      <c r="Y176" s="213"/>
      <c r="Z176" s="211">
        <f>INDEX($C$44:$AN$66,MATCH("New Customers 3MS",$C$44:$C$66,0),MATCH($C176,$C$44:$AN$44,0))</f>
        <v>64.539007092198588</v>
      </c>
      <c r="AA176" s="211"/>
      <c r="AB176" s="211"/>
      <c r="AC176" s="211">
        <f>$Z$176*(E153)</f>
        <v>58.085106382978729</v>
      </c>
      <c r="AD176" s="211"/>
      <c r="AE176" s="211"/>
      <c r="AF176" s="211">
        <f>$Z$176*(H153)</f>
        <v>38.723404255319153</v>
      </c>
      <c r="AG176" s="211"/>
      <c r="AH176" s="211"/>
      <c r="AI176" s="211">
        <f>$Z$176*(K153)</f>
        <v>25.815602836879435</v>
      </c>
      <c r="AJ176" s="211"/>
      <c r="AK176" s="211"/>
      <c r="AL176" s="211">
        <f>$Z$176*(N153)</f>
        <v>12.907801418439718</v>
      </c>
      <c r="AM176" s="211"/>
      <c r="AN176" s="211"/>
    </row>
    <row r="177" spans="2:41" s="7" customFormat="1" ht="12" hidden="1" customHeight="1" outlineLevel="2">
      <c r="B177" s="245"/>
      <c r="C177" s="213" t="s">
        <v>775</v>
      </c>
      <c r="D177" s="213"/>
      <c r="E177" s="213"/>
      <c r="F177" s="213"/>
      <c r="G177" s="213"/>
      <c r="H177" s="213"/>
      <c r="I177" s="213"/>
      <c r="J177" s="213"/>
      <c r="K177" s="213"/>
      <c r="L177" s="213"/>
      <c r="M177" s="213"/>
      <c r="N177" s="213"/>
      <c r="O177" s="213"/>
      <c r="P177" s="213"/>
      <c r="Q177" s="213"/>
      <c r="R177" s="213"/>
      <c r="S177" s="213"/>
      <c r="T177" s="213"/>
      <c r="U177" s="213"/>
      <c r="V177" s="213"/>
      <c r="W177" s="213"/>
      <c r="X177" s="213"/>
      <c r="Y177" s="213"/>
      <c r="Z177" s="213"/>
      <c r="AA177" s="211">
        <f>INDEX($C$44:$AN$66,MATCH("New Customers 3MS",$C$44:$C$66,0),MATCH($C177,$C$44:$AN$44,0))</f>
        <v>24.822695035460995</v>
      </c>
      <c r="AB177" s="211"/>
      <c r="AC177" s="211"/>
      <c r="AD177" s="211">
        <f>$AA$177*(E153)</f>
        <v>22.340425531914896</v>
      </c>
      <c r="AE177" s="211"/>
      <c r="AF177" s="211"/>
      <c r="AG177" s="211">
        <f>$AA$177*(H153)</f>
        <v>14.893617021276597</v>
      </c>
      <c r="AH177" s="211"/>
      <c r="AI177" s="211"/>
      <c r="AJ177" s="211">
        <f>$AA$177*(K153)</f>
        <v>9.9290780141843982</v>
      </c>
      <c r="AK177" s="211"/>
      <c r="AL177" s="211"/>
      <c r="AM177" s="211">
        <f>$AA$177*(N153)</f>
        <v>4.9645390070921991</v>
      </c>
      <c r="AN177" s="211"/>
    </row>
    <row r="178" spans="2:41" s="7" customFormat="1" ht="12" hidden="1" customHeight="1" outlineLevel="2">
      <c r="B178" s="245"/>
      <c r="C178" s="213" t="s">
        <v>776</v>
      </c>
      <c r="D178" s="213"/>
      <c r="E178" s="213"/>
      <c r="F178" s="213"/>
      <c r="G178" s="213"/>
      <c r="H178" s="213"/>
      <c r="I178" s="213"/>
      <c r="J178" s="213"/>
      <c r="K178" s="213"/>
      <c r="L178" s="213"/>
      <c r="M178" s="213"/>
      <c r="N178" s="213"/>
      <c r="O178" s="213"/>
      <c r="P178" s="213"/>
      <c r="Q178" s="213"/>
      <c r="R178" s="213"/>
      <c r="S178" s="213"/>
      <c r="T178" s="213"/>
      <c r="U178" s="213"/>
      <c r="V178" s="213"/>
      <c r="W178" s="213"/>
      <c r="X178" s="213"/>
      <c r="Y178" s="213"/>
      <c r="Z178" s="213"/>
      <c r="AA178" s="213"/>
      <c r="AB178" s="211">
        <f>INDEX($C$44:$AN$66,MATCH("New Customers 3MS",$C$44:$C$66,0),MATCH($C178,$C$44:$AN$44,0))</f>
        <v>24.822695035460995</v>
      </c>
      <c r="AC178" s="211"/>
      <c r="AD178" s="211"/>
      <c r="AE178" s="211">
        <f>$AB$178*(E153)</f>
        <v>22.340425531914896</v>
      </c>
      <c r="AF178" s="211"/>
      <c r="AG178" s="211"/>
      <c r="AH178" s="211">
        <f>$AB$178*(H153)</f>
        <v>14.893617021276597</v>
      </c>
      <c r="AI178" s="211"/>
      <c r="AJ178" s="211"/>
      <c r="AK178" s="211">
        <f>$AB$178*(K153)</f>
        <v>9.9290780141843982</v>
      </c>
      <c r="AL178" s="211"/>
      <c r="AM178" s="211"/>
      <c r="AN178" s="211">
        <f>$AB$178*(N153)</f>
        <v>4.9645390070921991</v>
      </c>
    </row>
    <row r="179" spans="2:41" s="7" customFormat="1" ht="12" hidden="1" customHeight="1" outlineLevel="2">
      <c r="B179" s="245"/>
      <c r="C179" s="213" t="s">
        <v>777</v>
      </c>
      <c r="D179" s="213"/>
      <c r="E179" s="213"/>
      <c r="F179" s="213"/>
      <c r="G179" s="213"/>
      <c r="H179" s="213"/>
      <c r="I179" s="213"/>
      <c r="J179" s="213"/>
      <c r="K179" s="213"/>
      <c r="L179" s="213"/>
      <c r="M179" s="213"/>
      <c r="N179" s="213"/>
      <c r="O179" s="213"/>
      <c r="P179" s="213"/>
      <c r="Q179" s="213"/>
      <c r="R179" s="213"/>
      <c r="S179" s="213"/>
      <c r="T179" s="213"/>
      <c r="U179" s="213"/>
      <c r="V179" s="213"/>
      <c r="W179" s="213"/>
      <c r="X179" s="213"/>
      <c r="Y179" s="213"/>
      <c r="Z179" s="213"/>
      <c r="AA179" s="213"/>
      <c r="AB179" s="211"/>
      <c r="AC179" s="211">
        <f>INDEX($C$44:$AN$66,MATCH("New Customers 3MS",$C$44:$C$66,0),MATCH($C179,$C$44:$AN$44,0))</f>
        <v>7.6110638297872359</v>
      </c>
      <c r="AD179" s="211"/>
      <c r="AE179" s="211"/>
      <c r="AF179" s="211">
        <f>$AC$179*(E153)</f>
        <v>6.8499574468085127</v>
      </c>
      <c r="AG179" s="211"/>
      <c r="AH179" s="211"/>
      <c r="AI179" s="211">
        <f>$AC$179*(H153)</f>
        <v>4.5666382978723412</v>
      </c>
      <c r="AJ179" s="211"/>
      <c r="AK179" s="211"/>
      <c r="AL179" s="211">
        <f>$AC$179*(K153)</f>
        <v>3.0444255319148947</v>
      </c>
      <c r="AM179" s="211"/>
      <c r="AN179" s="211"/>
      <c r="AO179" s="211"/>
    </row>
    <row r="180" spans="2:41" s="7" customFormat="1" ht="12" hidden="1" customHeight="1" outlineLevel="2">
      <c r="B180" s="245"/>
      <c r="C180" s="213" t="s">
        <v>778</v>
      </c>
      <c r="D180" s="213"/>
      <c r="E180" s="213"/>
      <c r="F180" s="213"/>
      <c r="G180" s="213"/>
      <c r="H180" s="213"/>
      <c r="I180" s="213"/>
      <c r="J180" s="213"/>
      <c r="K180" s="213"/>
      <c r="L180" s="213"/>
      <c r="M180" s="213"/>
      <c r="N180" s="213"/>
      <c r="O180" s="213"/>
      <c r="P180" s="213"/>
      <c r="Q180" s="213"/>
      <c r="R180" s="213"/>
      <c r="S180" s="213"/>
      <c r="T180" s="213"/>
      <c r="U180" s="213"/>
      <c r="V180" s="213"/>
      <c r="W180" s="213"/>
      <c r="X180" s="213"/>
      <c r="Y180" s="213"/>
      <c r="Z180" s="213"/>
      <c r="AA180" s="213"/>
      <c r="AB180" s="211"/>
      <c r="AC180" s="211"/>
      <c r="AD180" s="211">
        <f>INDEX($C$44:$AN$66,MATCH("New Customers 3MS",$C$44:$C$66,0),MATCH($C180,$C$44:$AN$44,0))</f>
        <v>13.543262411347522</v>
      </c>
      <c r="AE180" s="211"/>
      <c r="AF180" s="211"/>
      <c r="AG180" s="211">
        <f>$AD$180*(E153)</f>
        <v>12.18893617021277</v>
      </c>
      <c r="AH180" s="211"/>
      <c r="AI180" s="211"/>
      <c r="AJ180" s="211">
        <f>$AD$180*(H153)</f>
        <v>8.1259574468085134</v>
      </c>
      <c r="AK180" s="211"/>
      <c r="AL180" s="211"/>
      <c r="AM180" s="211">
        <f>$AD$180*(K153)</f>
        <v>5.4173049645390092</v>
      </c>
      <c r="AN180" s="211"/>
    </row>
    <row r="181" spans="2:41" s="7" customFormat="1" ht="12" hidden="1" customHeight="1" outlineLevel="2">
      <c r="B181" s="245"/>
      <c r="C181" s="213" t="s">
        <v>779</v>
      </c>
      <c r="D181" s="213"/>
      <c r="E181" s="213"/>
      <c r="F181" s="213"/>
      <c r="G181" s="213"/>
      <c r="H181" s="213"/>
      <c r="I181" s="213"/>
      <c r="J181" s="213"/>
      <c r="K181" s="213"/>
      <c r="L181" s="213"/>
      <c r="M181" s="213"/>
      <c r="N181" s="213"/>
      <c r="O181" s="213"/>
      <c r="P181" s="213"/>
      <c r="Q181" s="213"/>
      <c r="R181" s="213"/>
      <c r="S181" s="213"/>
      <c r="T181" s="213"/>
      <c r="U181" s="213"/>
      <c r="V181" s="213"/>
      <c r="W181" s="213"/>
      <c r="X181" s="213"/>
      <c r="Y181" s="213"/>
      <c r="Z181" s="213"/>
      <c r="AA181" s="213"/>
      <c r="AB181" s="211"/>
      <c r="AC181" s="211"/>
      <c r="AD181" s="211"/>
      <c r="AE181" s="211">
        <f>INDEX($C$44:$AN$66,MATCH("New Customers 3MS",$C$44:$C$66,0),MATCH($C181,$C$44:$AN$44,0))</f>
        <v>12.469503546099293</v>
      </c>
      <c r="AF181" s="211"/>
      <c r="AG181" s="211"/>
      <c r="AH181" s="211">
        <f>$AE$181*(E153)</f>
        <v>11.222553191489364</v>
      </c>
      <c r="AI181" s="211"/>
      <c r="AJ181" s="211"/>
      <c r="AK181" s="211">
        <f>$AE$181*(H153)</f>
        <v>7.4817021276595757</v>
      </c>
      <c r="AL181" s="211"/>
      <c r="AM181" s="211"/>
      <c r="AN181" s="211">
        <f>$AE$181*(K153)</f>
        <v>4.9878014184397177</v>
      </c>
    </row>
    <row r="182" spans="2:41" s="7" customFormat="1" ht="12" hidden="1" customHeight="1" outlineLevel="2">
      <c r="B182" s="245"/>
      <c r="C182" s="213" t="s">
        <v>780</v>
      </c>
      <c r="D182" s="213"/>
      <c r="E182" s="213"/>
      <c r="F182" s="213"/>
      <c r="G182" s="213"/>
      <c r="H182" s="213"/>
      <c r="I182" s="213"/>
      <c r="J182" s="213"/>
      <c r="K182" s="213"/>
      <c r="L182" s="213"/>
      <c r="M182" s="213"/>
      <c r="N182" s="213"/>
      <c r="O182" s="213"/>
      <c r="P182" s="213"/>
      <c r="Q182" s="213"/>
      <c r="R182" s="213"/>
      <c r="S182" s="213"/>
      <c r="T182" s="213"/>
      <c r="U182" s="213"/>
      <c r="V182" s="213"/>
      <c r="W182" s="213"/>
      <c r="X182" s="213"/>
      <c r="Y182" s="213"/>
      <c r="Z182" s="213"/>
      <c r="AA182" s="213"/>
      <c r="AB182" s="211"/>
      <c r="AC182" s="211"/>
      <c r="AD182" s="211"/>
      <c r="AE182" s="211"/>
      <c r="AF182" s="211">
        <f>INDEX($C$44:$AN$66,MATCH("New Customers 3MS",$C$44:$C$66,0),MATCH($C182,$C$44:$AN$44,0))</f>
        <v>9.5629314420803819</v>
      </c>
      <c r="AG182" s="211"/>
      <c r="AH182" s="211"/>
      <c r="AI182" s="211">
        <f>$AF$182*(E153)</f>
        <v>8.6066382978723439</v>
      </c>
      <c r="AJ182" s="211"/>
      <c r="AK182" s="211"/>
      <c r="AL182" s="211">
        <f>$AF$182*(H153)</f>
        <v>5.737758865248229</v>
      </c>
      <c r="AM182" s="211"/>
      <c r="AN182" s="211"/>
    </row>
    <row r="183" spans="2:41" s="7" customFormat="1" ht="12" hidden="1" customHeight="1" outlineLevel="2">
      <c r="B183" s="245"/>
      <c r="C183" s="213" t="s">
        <v>781</v>
      </c>
      <c r="D183" s="213"/>
      <c r="E183" s="213"/>
      <c r="F183" s="213"/>
      <c r="G183" s="213"/>
      <c r="H183" s="213"/>
      <c r="I183" s="213"/>
      <c r="J183" s="213"/>
      <c r="K183" s="213"/>
      <c r="L183" s="213"/>
      <c r="M183" s="213"/>
      <c r="N183" s="213"/>
      <c r="O183" s="213"/>
      <c r="P183" s="213"/>
      <c r="Q183" s="213"/>
      <c r="R183" s="213"/>
      <c r="S183" s="213"/>
      <c r="T183" s="213"/>
      <c r="U183" s="213"/>
      <c r="V183" s="213"/>
      <c r="W183" s="213"/>
      <c r="X183" s="213"/>
      <c r="Y183" s="213"/>
      <c r="Z183" s="213"/>
      <c r="AA183" s="213"/>
      <c r="AB183" s="211"/>
      <c r="AC183" s="211"/>
      <c r="AD183" s="211"/>
      <c r="AE183" s="211"/>
      <c r="AF183" s="211"/>
      <c r="AG183" s="211">
        <f>INDEX($C$44:$AN$66,MATCH("New Customers 3MS",$C$44:$C$66,0),MATCH($C183,$C$44:$AN$44,0))</f>
        <v>8.6229787234042572</v>
      </c>
      <c r="AH183" s="211"/>
      <c r="AI183" s="211"/>
      <c r="AJ183" s="211">
        <f>$AG$183*(E153)</f>
        <v>7.7606808510638317</v>
      </c>
      <c r="AK183" s="211"/>
      <c r="AL183" s="211"/>
      <c r="AM183" s="211">
        <f>$AG$183*(H153)</f>
        <v>5.1737872340425541</v>
      </c>
      <c r="AN183" s="211"/>
    </row>
    <row r="184" spans="2:41" s="7" customFormat="1" ht="12" hidden="1" customHeight="1" outlineLevel="2">
      <c r="B184" s="245"/>
      <c r="C184" s="213" t="s">
        <v>782</v>
      </c>
      <c r="D184" s="213"/>
      <c r="E184" s="213"/>
      <c r="F184" s="213"/>
      <c r="G184" s="213"/>
      <c r="H184" s="213"/>
      <c r="I184" s="213"/>
      <c r="J184" s="213"/>
      <c r="K184" s="213"/>
      <c r="L184" s="213"/>
      <c r="M184" s="213"/>
      <c r="N184" s="213"/>
      <c r="O184" s="213"/>
      <c r="P184" s="213"/>
      <c r="Q184" s="213"/>
      <c r="R184" s="213"/>
      <c r="S184" s="213"/>
      <c r="T184" s="213"/>
      <c r="U184" s="213"/>
      <c r="V184" s="213"/>
      <c r="W184" s="213"/>
      <c r="X184" s="213"/>
      <c r="Y184" s="213"/>
      <c r="Z184" s="213"/>
      <c r="AA184" s="213"/>
      <c r="AB184" s="211"/>
      <c r="AC184" s="211"/>
      <c r="AD184" s="211"/>
      <c r="AE184" s="211"/>
      <c r="AF184" s="211"/>
      <c r="AG184" s="211"/>
      <c r="AH184" s="211">
        <f>INDEX($C$44:$AN$66,MATCH("New Customers 3MS",$C$44:$C$66,0),MATCH($C184,$C$44:$AN$44,0))</f>
        <v>29.559148936170217</v>
      </c>
      <c r="AI184" s="211"/>
      <c r="AJ184" s="211"/>
      <c r="AK184" s="211">
        <f>$AH$184*(E153)</f>
        <v>26.603234042553197</v>
      </c>
      <c r="AL184" s="211"/>
      <c r="AM184" s="211"/>
      <c r="AN184" s="211">
        <f>$AH$184*(H153)</f>
        <v>17.735489361702129</v>
      </c>
    </row>
    <row r="185" spans="2:41" s="7" customFormat="1" ht="12" hidden="1" customHeight="1" outlineLevel="2">
      <c r="B185" s="245"/>
      <c r="C185" s="213" t="s">
        <v>783</v>
      </c>
      <c r="D185" s="213"/>
      <c r="E185" s="213"/>
      <c r="F185" s="213"/>
      <c r="G185" s="213"/>
      <c r="H185" s="213"/>
      <c r="I185" s="213"/>
      <c r="J185" s="213"/>
      <c r="K185" s="213"/>
      <c r="L185" s="213"/>
      <c r="M185" s="213"/>
      <c r="N185" s="213"/>
      <c r="O185" s="213"/>
      <c r="P185" s="213"/>
      <c r="Q185" s="213"/>
      <c r="R185" s="213"/>
      <c r="S185" s="213"/>
      <c r="T185" s="213"/>
      <c r="U185" s="213"/>
      <c r="V185" s="213"/>
      <c r="W185" s="213"/>
      <c r="X185" s="213"/>
      <c r="Y185" s="213"/>
      <c r="Z185" s="213"/>
      <c r="AA185" s="213"/>
      <c r="AB185" s="211"/>
      <c r="AC185" s="211"/>
      <c r="AD185" s="211"/>
      <c r="AE185" s="211"/>
      <c r="AF185" s="211"/>
      <c r="AG185" s="211"/>
      <c r="AH185" s="211"/>
      <c r="AI185" s="211">
        <f>INDEX($C$44:$AN$66,MATCH("New Customers 3MS",$C$44:$C$66,0),MATCH($C185,$C$44:$AN$44,0))</f>
        <v>9.7557446808510644</v>
      </c>
      <c r="AJ185" s="211"/>
      <c r="AK185" s="211"/>
      <c r="AL185" s="211">
        <f>$AI$185*(E153)</f>
        <v>8.7801702127659578</v>
      </c>
      <c r="AM185" s="211"/>
      <c r="AN185" s="211"/>
    </row>
    <row r="186" spans="2:41" s="7" customFormat="1" ht="12" hidden="1" customHeight="1" outlineLevel="2">
      <c r="B186" s="245"/>
      <c r="C186" s="213" t="s">
        <v>784</v>
      </c>
      <c r="D186" s="213"/>
      <c r="E186" s="213"/>
      <c r="F186" s="213"/>
      <c r="G186" s="213"/>
      <c r="H186" s="213"/>
      <c r="I186" s="213"/>
      <c r="J186" s="213"/>
      <c r="K186" s="213"/>
      <c r="L186" s="213"/>
      <c r="M186" s="213"/>
      <c r="N186" s="213"/>
      <c r="O186" s="213"/>
      <c r="P186" s="213"/>
      <c r="Q186" s="213"/>
      <c r="R186" s="213"/>
      <c r="S186" s="213"/>
      <c r="T186" s="213"/>
      <c r="U186" s="213"/>
      <c r="V186" s="213"/>
      <c r="W186" s="213"/>
      <c r="X186" s="213"/>
      <c r="Y186" s="213"/>
      <c r="Z186" s="213"/>
      <c r="AA186" s="213"/>
      <c r="AB186" s="211"/>
      <c r="AC186" s="211"/>
      <c r="AD186" s="211"/>
      <c r="AE186" s="211"/>
      <c r="AF186" s="211"/>
      <c r="AG186" s="211"/>
      <c r="AH186" s="211"/>
      <c r="AI186" s="211"/>
      <c r="AJ186" s="211">
        <f>INDEX($C$44:$AN$66,MATCH("New Customers 3MS",$C$44:$C$66,0),MATCH($C186,$C$44:$AN$44,0))</f>
        <v>12.285579196217496</v>
      </c>
      <c r="AK186" s="211"/>
      <c r="AL186" s="211"/>
      <c r="AM186" s="211">
        <f>$AJ$186*(E153)</f>
        <v>11.057021276595746</v>
      </c>
      <c r="AN186" s="211"/>
    </row>
    <row r="187" spans="2:41" s="7" customFormat="1" ht="12" hidden="1" customHeight="1" outlineLevel="2">
      <c r="B187" s="245"/>
      <c r="C187" s="213" t="s">
        <v>785</v>
      </c>
      <c r="D187" s="213"/>
      <c r="E187" s="213"/>
      <c r="F187" s="213"/>
      <c r="G187" s="213"/>
      <c r="H187" s="213"/>
      <c r="I187" s="213"/>
      <c r="J187" s="213"/>
      <c r="K187" s="213"/>
      <c r="L187" s="213"/>
      <c r="M187" s="213"/>
      <c r="N187" s="213"/>
      <c r="O187" s="213"/>
      <c r="P187" s="213"/>
      <c r="Q187" s="213"/>
      <c r="R187" s="213"/>
      <c r="S187" s="213"/>
      <c r="T187" s="213"/>
      <c r="U187" s="213"/>
      <c r="V187" s="213"/>
      <c r="W187" s="213"/>
      <c r="X187" s="213"/>
      <c r="Y187" s="213"/>
      <c r="Z187" s="213"/>
      <c r="AA187" s="213"/>
      <c r="AB187" s="211"/>
      <c r="AC187" s="211"/>
      <c r="AD187" s="211"/>
      <c r="AE187" s="211"/>
      <c r="AF187" s="211"/>
      <c r="AG187" s="211"/>
      <c r="AH187" s="211"/>
      <c r="AI187" s="211"/>
      <c r="AJ187" s="211"/>
      <c r="AK187" s="211">
        <f>INDEX($C$44:$AN$66,MATCH("New Customers 3MS",$C$44:$C$66,0),MATCH($C187,$C$44:$AN$44,0))</f>
        <v>22.127659574468087</v>
      </c>
      <c r="AL187" s="211"/>
      <c r="AM187" s="211"/>
      <c r="AN187" s="211">
        <f>$AK$187*(E153)</f>
        <v>19.914893617021278</v>
      </c>
    </row>
    <row r="188" spans="2:41" s="7" customFormat="1" ht="12" hidden="1" customHeight="1" outlineLevel="2">
      <c r="B188" s="245"/>
      <c r="C188" s="213" t="s">
        <v>786</v>
      </c>
      <c r="D188" s="213"/>
      <c r="E188" s="213"/>
      <c r="F188" s="213"/>
      <c r="G188" s="213"/>
      <c r="H188" s="213"/>
      <c r="I188" s="213"/>
      <c r="J188" s="213"/>
      <c r="K188" s="213"/>
      <c r="L188" s="213"/>
      <c r="M188" s="213"/>
      <c r="N188" s="213"/>
      <c r="O188" s="213"/>
      <c r="P188" s="213"/>
      <c r="Q188" s="213"/>
      <c r="R188" s="213"/>
      <c r="S188" s="213"/>
      <c r="T188" s="213"/>
      <c r="U188" s="213"/>
      <c r="V188" s="213"/>
      <c r="W188" s="213"/>
      <c r="X188" s="213"/>
      <c r="Y188" s="213"/>
      <c r="Z188" s="213"/>
      <c r="AA188" s="213"/>
      <c r="AB188" s="211"/>
      <c r="AC188" s="211"/>
      <c r="AD188" s="211"/>
      <c r="AE188" s="211"/>
      <c r="AF188" s="211"/>
      <c r="AG188" s="211"/>
      <c r="AH188" s="211"/>
      <c r="AI188" s="211"/>
      <c r="AJ188" s="211"/>
      <c r="AK188" s="211"/>
      <c r="AL188" s="211">
        <f>INDEX($C$44:$AN$66,MATCH("New Customers 3MS",$C$44:$C$66,0),MATCH($C188,$C$44:$AN$44,0))</f>
        <v>18.439716312056742</v>
      </c>
      <c r="AM188" s="211"/>
      <c r="AN188" s="211"/>
    </row>
    <row r="189" spans="2:41" s="7" customFormat="1" ht="12" hidden="1" customHeight="1" outlineLevel="2">
      <c r="B189" s="245"/>
      <c r="C189" s="213" t="s">
        <v>787</v>
      </c>
      <c r="D189" s="213"/>
      <c r="E189" s="213"/>
      <c r="F189" s="213"/>
      <c r="G189" s="213"/>
      <c r="H189" s="213"/>
      <c r="I189" s="213"/>
      <c r="J189" s="213"/>
      <c r="K189" s="213"/>
      <c r="L189" s="213"/>
      <c r="M189" s="213"/>
      <c r="N189" s="213"/>
      <c r="O189" s="213"/>
      <c r="P189" s="213"/>
      <c r="Q189" s="213"/>
      <c r="R189" s="213"/>
      <c r="S189" s="213"/>
      <c r="T189" s="213"/>
      <c r="U189" s="213"/>
      <c r="V189" s="213"/>
      <c r="W189" s="213"/>
      <c r="X189" s="213"/>
      <c r="Y189" s="213"/>
      <c r="Z189" s="213"/>
      <c r="AA189" s="213"/>
      <c r="AB189" s="211"/>
      <c r="AC189" s="211"/>
      <c r="AD189" s="211"/>
      <c r="AE189" s="211"/>
      <c r="AF189" s="211"/>
      <c r="AG189" s="211"/>
      <c r="AH189" s="211"/>
      <c r="AI189" s="211"/>
      <c r="AJ189" s="211"/>
      <c r="AK189" s="211"/>
      <c r="AL189" s="211"/>
      <c r="AM189" s="211">
        <f>INDEX($C$44:$AN$66,MATCH("New Customers 3MS",$C$44:$C$66,0),MATCH($C189,$C$44:$AN$44,0))</f>
        <v>7.0921985815602842</v>
      </c>
      <c r="AN189" s="211"/>
    </row>
    <row r="190" spans="2:41" s="7" customFormat="1" ht="12" hidden="1" customHeight="1" outlineLevel="2">
      <c r="B190" s="245"/>
      <c r="C190" s="213" t="s">
        <v>788</v>
      </c>
      <c r="D190" s="213"/>
      <c r="E190" s="213"/>
      <c r="F190" s="213"/>
      <c r="G190" s="213"/>
      <c r="H190" s="213"/>
      <c r="I190" s="213"/>
      <c r="J190" s="213"/>
      <c r="K190" s="213"/>
      <c r="L190" s="213"/>
      <c r="M190" s="213"/>
      <c r="N190" s="213"/>
      <c r="O190" s="213"/>
      <c r="P190" s="213"/>
      <c r="Q190" s="213"/>
      <c r="R190" s="213"/>
      <c r="S190" s="213"/>
      <c r="T190" s="213"/>
      <c r="U190" s="213"/>
      <c r="V190" s="213"/>
      <c r="W190" s="213"/>
      <c r="X190" s="213"/>
      <c r="Y190" s="213"/>
      <c r="Z190" s="213"/>
      <c r="AA190" s="213"/>
      <c r="AB190" s="211"/>
      <c r="AC190" s="211"/>
      <c r="AD190" s="211"/>
      <c r="AE190" s="211"/>
      <c r="AF190" s="211"/>
      <c r="AG190" s="211"/>
      <c r="AH190" s="211"/>
      <c r="AI190" s="211"/>
      <c r="AJ190" s="211"/>
      <c r="AK190" s="211"/>
      <c r="AL190" s="211"/>
      <c r="AM190" s="211"/>
      <c r="AN190" s="211">
        <f>INDEX($C$44:$AN$66,MATCH("New Customers 3MS",$C$44:$C$66,0),MATCH($C190,$C$44:$AN$44,0))</f>
        <v>7.0921985815602842</v>
      </c>
    </row>
    <row r="191" spans="2:41" s="7" customFormat="1" ht="12" hidden="1" customHeight="1" outlineLevel="2">
      <c r="B191" s="245"/>
      <c r="C191" s="213"/>
      <c r="D191" s="213"/>
      <c r="E191" s="213"/>
      <c r="F191" s="213"/>
      <c r="G191" s="213"/>
      <c r="H191" s="213"/>
      <c r="I191" s="213"/>
      <c r="J191" s="213"/>
      <c r="K191" s="213"/>
      <c r="L191" s="213"/>
      <c r="M191" s="213"/>
      <c r="N191" s="213"/>
      <c r="O191" s="213"/>
      <c r="P191" s="213"/>
      <c r="Q191" s="213"/>
      <c r="R191" s="213"/>
      <c r="S191" s="213"/>
      <c r="T191" s="213"/>
      <c r="U191" s="213"/>
      <c r="V191" s="213"/>
      <c r="W191" s="213"/>
      <c r="X191" s="213"/>
      <c r="Y191" s="213"/>
      <c r="Z191" s="213"/>
      <c r="AA191" s="213"/>
      <c r="AB191" s="211"/>
      <c r="AC191" s="211"/>
      <c r="AD191" s="211"/>
      <c r="AE191" s="211"/>
      <c r="AF191" s="211"/>
      <c r="AG191" s="211"/>
      <c r="AH191" s="211"/>
      <c r="AI191" s="211"/>
      <c r="AJ191" s="211"/>
      <c r="AK191" s="211"/>
      <c r="AL191" s="211"/>
      <c r="AM191" s="211"/>
      <c r="AN191" s="211"/>
    </row>
    <row r="192" spans="2:41" s="7" customFormat="1" ht="12" hidden="1" customHeight="1" outlineLevel="2">
      <c r="B192" s="245"/>
      <c r="C192" s="213"/>
      <c r="D192" s="213"/>
      <c r="E192" s="213"/>
      <c r="F192" s="213"/>
      <c r="G192" s="213"/>
      <c r="H192" s="213"/>
      <c r="I192" s="213"/>
      <c r="J192" s="213"/>
      <c r="K192" s="213"/>
      <c r="L192" s="213"/>
      <c r="M192" s="213"/>
      <c r="N192" s="213"/>
      <c r="O192" s="213"/>
      <c r="P192" s="213"/>
      <c r="Q192" s="213"/>
      <c r="R192" s="213"/>
      <c r="S192" s="213"/>
      <c r="T192" s="213"/>
      <c r="U192" s="213"/>
      <c r="V192" s="213"/>
      <c r="W192" s="213"/>
      <c r="X192" s="213"/>
      <c r="Y192" s="213"/>
      <c r="Z192" s="213"/>
      <c r="AA192" s="213"/>
      <c r="AB192" s="211"/>
      <c r="AC192" s="211"/>
      <c r="AD192" s="211"/>
      <c r="AE192" s="211"/>
      <c r="AF192" s="211"/>
      <c r="AG192" s="211"/>
      <c r="AH192" s="211"/>
      <c r="AI192" s="211"/>
      <c r="AJ192" s="211"/>
      <c r="AK192" s="211"/>
      <c r="AL192" s="211"/>
      <c r="AM192" s="211"/>
      <c r="AN192" s="211"/>
    </row>
    <row r="193" spans="2:40" s="7" customFormat="1" ht="12" hidden="1" customHeight="1" outlineLevel="2">
      <c r="B193" s="245"/>
      <c r="C193" s="213"/>
      <c r="D193" s="213"/>
      <c r="E193" s="213"/>
      <c r="F193" s="213"/>
      <c r="G193" s="213"/>
      <c r="H193" s="213"/>
      <c r="I193" s="213"/>
      <c r="J193" s="213"/>
      <c r="K193" s="213"/>
      <c r="L193" s="213"/>
      <c r="M193" s="213"/>
      <c r="N193" s="213"/>
      <c r="O193" s="213"/>
      <c r="P193" s="213"/>
      <c r="Q193" s="213"/>
      <c r="R193" s="213"/>
      <c r="S193" s="213"/>
      <c r="T193" s="213"/>
      <c r="U193" s="213"/>
      <c r="V193" s="213"/>
      <c r="W193" s="213"/>
      <c r="X193" s="213"/>
      <c r="Y193" s="213"/>
      <c r="Z193" s="213"/>
      <c r="AA193" s="213"/>
      <c r="AB193" s="211"/>
      <c r="AC193" s="211"/>
      <c r="AD193" s="211"/>
      <c r="AE193" s="211"/>
      <c r="AF193" s="211"/>
      <c r="AG193" s="211"/>
      <c r="AH193" s="211"/>
      <c r="AI193" s="211"/>
      <c r="AJ193" s="211"/>
      <c r="AK193" s="211"/>
      <c r="AL193" s="211"/>
      <c r="AM193" s="211"/>
      <c r="AN193" s="211"/>
    </row>
    <row r="194" spans="2:40" s="7" customFormat="1" ht="12" hidden="1" customHeight="1" outlineLevel="2">
      <c r="B194" s="245"/>
      <c r="C194" s="213"/>
      <c r="D194" s="213"/>
      <c r="E194" s="213"/>
      <c r="F194" s="213"/>
      <c r="G194" s="213"/>
      <c r="H194" s="213"/>
      <c r="I194" s="213"/>
      <c r="J194" s="213"/>
      <c r="K194" s="213"/>
      <c r="L194" s="213"/>
      <c r="M194" s="213"/>
      <c r="N194" s="213"/>
      <c r="O194" s="213"/>
      <c r="P194" s="213"/>
      <c r="Q194" s="213"/>
      <c r="R194" s="213"/>
      <c r="S194" s="213"/>
      <c r="T194" s="213"/>
      <c r="U194" s="213"/>
      <c r="V194" s="213"/>
      <c r="W194" s="213"/>
      <c r="X194" s="213"/>
      <c r="Y194" s="213"/>
      <c r="Z194" s="213"/>
      <c r="AA194" s="213"/>
      <c r="AB194" s="211"/>
      <c r="AC194" s="211"/>
      <c r="AD194" s="211"/>
      <c r="AE194" s="211"/>
      <c r="AF194" s="211"/>
      <c r="AG194" s="211"/>
      <c r="AH194" s="211"/>
      <c r="AI194" s="211"/>
      <c r="AJ194" s="211"/>
      <c r="AK194" s="211"/>
      <c r="AL194" s="211"/>
      <c r="AM194" s="211"/>
      <c r="AN194" s="211"/>
    </row>
    <row r="195" spans="2:40" s="7" customFormat="1" ht="12" customHeight="1" outlineLevel="1" collapsed="1">
      <c r="B195" s="245"/>
      <c r="C195" s="243" t="s">
        <v>855</v>
      </c>
      <c r="D195" s="214"/>
      <c r="E195" s="214"/>
      <c r="F195" s="214"/>
      <c r="G195" s="214"/>
      <c r="H195" s="214"/>
      <c r="I195" s="214"/>
      <c r="J195" s="214"/>
      <c r="K195" s="214"/>
      <c r="L195" s="214"/>
      <c r="M195" s="214"/>
      <c r="N195" s="214"/>
      <c r="O195" s="214"/>
      <c r="P195" s="214"/>
      <c r="Q195" s="214"/>
      <c r="R195" s="214"/>
      <c r="S195" s="214"/>
      <c r="T195" s="214"/>
      <c r="U195" s="214"/>
      <c r="V195" s="214"/>
      <c r="W195" s="214"/>
      <c r="X195" s="214"/>
      <c r="Y195" s="214"/>
      <c r="Z195" s="214"/>
      <c r="AA195" s="214"/>
      <c r="AB195" s="214"/>
      <c r="AC195" s="211"/>
    </row>
    <row r="196" spans="2:40" s="7" customFormat="1" ht="12" customHeight="1" outlineLevel="1">
      <c r="B196" s="239"/>
      <c r="C196" s="214"/>
      <c r="D196" s="214"/>
      <c r="E196" s="214"/>
      <c r="F196" s="214"/>
      <c r="G196" s="214"/>
      <c r="H196" s="214"/>
      <c r="I196" s="214"/>
      <c r="J196" s="214"/>
      <c r="K196" s="214"/>
      <c r="L196" s="214"/>
      <c r="M196" s="214"/>
      <c r="N196" s="214"/>
      <c r="O196" s="214"/>
      <c r="P196" s="214"/>
      <c r="Q196" s="214"/>
      <c r="R196" s="214"/>
      <c r="S196" s="214"/>
      <c r="T196" s="214"/>
      <c r="U196" s="214"/>
      <c r="V196" s="214"/>
      <c r="W196" s="214"/>
      <c r="X196" s="214"/>
      <c r="Y196" s="214"/>
      <c r="Z196" s="214"/>
      <c r="AA196" s="214"/>
      <c r="AB196" s="214"/>
      <c r="AC196" s="215"/>
    </row>
    <row r="197" spans="2:40" s="7" customFormat="1" outlineLevel="1">
      <c r="B197" s="235"/>
    </row>
    <row r="198" spans="2:40" s="207" customFormat="1">
      <c r="C198" s="248" t="s">
        <v>823</v>
      </c>
    </row>
    <row r="199" spans="2:40" s="7" customFormat="1" ht="12" customHeight="1" outlineLevel="1">
      <c r="B199" s="237"/>
      <c r="C199" s="208"/>
      <c r="D199" s="208"/>
      <c r="E199" s="196" t="s">
        <v>753</v>
      </c>
      <c r="F199" s="196" t="s">
        <v>754</v>
      </c>
      <c r="G199" s="196" t="s">
        <v>755</v>
      </c>
      <c r="H199" s="196" t="s">
        <v>756</v>
      </c>
      <c r="I199" s="196" t="s">
        <v>757</v>
      </c>
      <c r="J199" s="196" t="s">
        <v>758</v>
      </c>
      <c r="K199" s="196" t="s">
        <v>759</v>
      </c>
      <c r="L199" s="196" t="s">
        <v>760</v>
      </c>
      <c r="M199" s="196" t="s">
        <v>761</v>
      </c>
      <c r="N199" s="196" t="s">
        <v>762</v>
      </c>
      <c r="O199" s="196" t="s">
        <v>763</v>
      </c>
      <c r="P199" s="196" t="s">
        <v>764</v>
      </c>
      <c r="Q199" s="196" t="s">
        <v>765</v>
      </c>
      <c r="R199" s="196" t="s">
        <v>766</v>
      </c>
      <c r="S199" s="196" t="s">
        <v>767</v>
      </c>
      <c r="T199" s="196" t="s">
        <v>768</v>
      </c>
      <c r="U199" s="196" t="s">
        <v>769</v>
      </c>
      <c r="V199" s="196" t="s">
        <v>770</v>
      </c>
      <c r="W199" s="196" t="s">
        <v>771</v>
      </c>
      <c r="X199" s="196" t="s">
        <v>772</v>
      </c>
      <c r="Y199" s="196" t="s">
        <v>773</v>
      </c>
      <c r="Z199" s="196" t="s">
        <v>774</v>
      </c>
      <c r="AA199" s="196" t="s">
        <v>775</v>
      </c>
      <c r="AB199" s="196" t="s">
        <v>776</v>
      </c>
      <c r="AC199" s="196" t="s">
        <v>777</v>
      </c>
      <c r="AD199" s="196" t="s">
        <v>778</v>
      </c>
      <c r="AE199" s="196" t="s">
        <v>779</v>
      </c>
      <c r="AF199" s="196" t="s">
        <v>780</v>
      </c>
      <c r="AG199" s="196" t="s">
        <v>781</v>
      </c>
      <c r="AH199" s="196" t="s">
        <v>782</v>
      </c>
      <c r="AI199" s="196" t="s">
        <v>783</v>
      </c>
      <c r="AJ199" s="196" t="s">
        <v>784</v>
      </c>
      <c r="AK199" s="196" t="s">
        <v>785</v>
      </c>
      <c r="AL199" s="196" t="s">
        <v>786</v>
      </c>
      <c r="AM199" s="196" t="s">
        <v>787</v>
      </c>
      <c r="AN199" s="196" t="s">
        <v>788</v>
      </c>
    </row>
    <row r="200" spans="2:40" s="7" customFormat="1" ht="12" customHeight="1" outlineLevel="1">
      <c r="B200" s="239"/>
      <c r="C200" s="214" t="s">
        <v>821</v>
      </c>
      <c r="D200" s="212"/>
      <c r="E200" s="337"/>
      <c r="F200" s="337"/>
      <c r="G200" s="337"/>
      <c r="H200" s="337"/>
      <c r="I200" s="337"/>
      <c r="J200" s="337">
        <f t="shared" ref="J200:AN200" si="118">J36*J40</f>
        <v>0</v>
      </c>
      <c r="K200" s="337">
        <f t="shared" si="118"/>
        <v>0</v>
      </c>
      <c r="L200" s="337">
        <f t="shared" si="118"/>
        <v>0</v>
      </c>
      <c r="M200" s="337">
        <f t="shared" si="118"/>
        <v>2600</v>
      </c>
      <c r="N200" s="337">
        <f t="shared" si="118"/>
        <v>2600</v>
      </c>
      <c r="O200" s="337">
        <f t="shared" si="118"/>
        <v>1500</v>
      </c>
      <c r="P200" s="337">
        <f t="shared" si="118"/>
        <v>1000</v>
      </c>
      <c r="Q200" s="337">
        <f t="shared" si="118"/>
        <v>1609.7400000000002</v>
      </c>
      <c r="R200" s="337">
        <f t="shared" si="118"/>
        <v>2864.4000000000005</v>
      </c>
      <c r="S200" s="337">
        <f t="shared" si="118"/>
        <v>2637.3</v>
      </c>
      <c r="T200" s="337">
        <f t="shared" si="118"/>
        <v>1011.2800000000002</v>
      </c>
      <c r="U200" s="337">
        <f t="shared" si="118"/>
        <v>911.88</v>
      </c>
      <c r="V200" s="337">
        <f t="shared" si="118"/>
        <v>3125.88</v>
      </c>
      <c r="W200" s="337">
        <f t="shared" si="118"/>
        <v>1719.45</v>
      </c>
      <c r="X200" s="337">
        <f t="shared" si="118"/>
        <v>1299.2</v>
      </c>
      <c r="Y200" s="337">
        <f t="shared" si="118"/>
        <v>2340</v>
      </c>
      <c r="Z200" s="337">
        <f t="shared" si="118"/>
        <v>1950</v>
      </c>
      <c r="AA200" s="337">
        <f t="shared" si="118"/>
        <v>750</v>
      </c>
      <c r="AB200" s="337">
        <f t="shared" si="118"/>
        <v>750</v>
      </c>
      <c r="AC200" s="337">
        <f t="shared" si="118"/>
        <v>3219.4800000000005</v>
      </c>
      <c r="AD200" s="337">
        <f t="shared" si="118"/>
        <v>5728.8000000000011</v>
      </c>
      <c r="AE200" s="337">
        <f t="shared" si="118"/>
        <v>5274.6</v>
      </c>
      <c r="AF200" s="337">
        <f t="shared" si="118"/>
        <v>4045.1200000000008</v>
      </c>
      <c r="AG200" s="337">
        <f t="shared" si="118"/>
        <v>3647.52</v>
      </c>
      <c r="AH200" s="337">
        <f t="shared" si="118"/>
        <v>12503.52</v>
      </c>
      <c r="AI200" s="337">
        <f t="shared" si="118"/>
        <v>4126.6799999999994</v>
      </c>
      <c r="AJ200" s="337">
        <f t="shared" si="118"/>
        <v>5196.8</v>
      </c>
      <c r="AK200" s="337">
        <f t="shared" si="118"/>
        <v>9360</v>
      </c>
      <c r="AL200" s="337">
        <f t="shared" si="118"/>
        <v>7800</v>
      </c>
      <c r="AM200" s="337">
        <f t="shared" si="118"/>
        <v>3000</v>
      </c>
      <c r="AN200" s="337">
        <f t="shared" si="118"/>
        <v>3000</v>
      </c>
    </row>
    <row r="201" spans="2:40" ht="12" customHeight="1" outlineLevel="1">
      <c r="B201" s="301" t="s">
        <v>856</v>
      </c>
      <c r="C201" s="303" t="s">
        <v>827</v>
      </c>
      <c r="D201" s="302"/>
      <c r="E201" s="312"/>
      <c r="F201" s="312"/>
      <c r="G201" s="312"/>
      <c r="H201" s="312"/>
      <c r="I201" s="312"/>
      <c r="J201" s="312"/>
      <c r="K201" s="312"/>
      <c r="L201" s="312"/>
      <c r="M201" s="313">
        <v>50</v>
      </c>
      <c r="N201" s="313">
        <v>50</v>
      </c>
      <c r="O201" s="313">
        <v>50</v>
      </c>
      <c r="P201" s="313">
        <v>50</v>
      </c>
      <c r="Q201" s="313">
        <v>50</v>
      </c>
      <c r="R201" s="313">
        <v>50</v>
      </c>
      <c r="S201" s="313">
        <v>50</v>
      </c>
      <c r="T201" s="313">
        <v>50</v>
      </c>
      <c r="U201" s="313">
        <v>50</v>
      </c>
      <c r="V201" s="313">
        <v>50</v>
      </c>
      <c r="W201" s="313">
        <v>50</v>
      </c>
      <c r="X201" s="313">
        <v>50</v>
      </c>
      <c r="Y201" s="313">
        <v>50</v>
      </c>
      <c r="Z201" s="313">
        <v>50</v>
      </c>
      <c r="AA201" s="313">
        <v>50</v>
      </c>
      <c r="AB201" s="313">
        <v>50</v>
      </c>
      <c r="AC201" s="313">
        <v>50</v>
      </c>
      <c r="AD201" s="313">
        <v>50</v>
      </c>
      <c r="AE201" s="313">
        <v>50</v>
      </c>
      <c r="AF201" s="313">
        <v>50</v>
      </c>
      <c r="AG201" s="313">
        <v>50</v>
      </c>
      <c r="AH201" s="313">
        <v>50</v>
      </c>
      <c r="AI201" s="313">
        <v>50</v>
      </c>
      <c r="AJ201" s="313">
        <v>50</v>
      </c>
      <c r="AK201" s="313">
        <v>50</v>
      </c>
      <c r="AL201" s="313">
        <v>50</v>
      </c>
      <c r="AM201" s="313">
        <v>50</v>
      </c>
      <c r="AN201" s="313">
        <v>50</v>
      </c>
    </row>
    <row r="202" spans="2:40" s="7" customFormat="1" ht="12" customHeight="1" outlineLevel="1">
      <c r="B202" s="239" t="s">
        <v>828</v>
      </c>
      <c r="C202" s="214" t="s">
        <v>829</v>
      </c>
      <c r="D202" s="212"/>
      <c r="E202" s="232"/>
      <c r="F202" s="232"/>
      <c r="G202" s="232"/>
      <c r="H202" s="232"/>
      <c r="I202" s="232"/>
      <c r="J202" s="232"/>
      <c r="K202" s="232"/>
      <c r="L202" s="232"/>
      <c r="M202" s="205">
        <f t="shared" ref="M202:AN202" si="119">M200/M201</f>
        <v>52</v>
      </c>
      <c r="N202" s="205">
        <f t="shared" si="119"/>
        <v>52</v>
      </c>
      <c r="O202" s="205">
        <f t="shared" si="119"/>
        <v>30</v>
      </c>
      <c r="P202" s="205">
        <f t="shared" si="119"/>
        <v>20</v>
      </c>
      <c r="Q202" s="205">
        <f t="shared" si="119"/>
        <v>32.194800000000008</v>
      </c>
      <c r="R202" s="205">
        <f t="shared" si="119"/>
        <v>57.288000000000011</v>
      </c>
      <c r="S202" s="205">
        <f t="shared" si="119"/>
        <v>52.746000000000002</v>
      </c>
      <c r="T202" s="205">
        <f t="shared" si="119"/>
        <v>20.225600000000004</v>
      </c>
      <c r="U202" s="205">
        <f t="shared" si="119"/>
        <v>18.2376</v>
      </c>
      <c r="V202" s="205">
        <f t="shared" si="119"/>
        <v>62.517600000000002</v>
      </c>
      <c r="W202" s="205">
        <f t="shared" si="119"/>
        <v>34.389000000000003</v>
      </c>
      <c r="X202" s="205">
        <f t="shared" si="119"/>
        <v>25.984000000000002</v>
      </c>
      <c r="Y202" s="205">
        <f t="shared" si="119"/>
        <v>46.8</v>
      </c>
      <c r="Z202" s="205">
        <f t="shared" si="119"/>
        <v>39</v>
      </c>
      <c r="AA202" s="205">
        <f t="shared" si="119"/>
        <v>15</v>
      </c>
      <c r="AB202" s="205">
        <f t="shared" si="119"/>
        <v>15</v>
      </c>
      <c r="AC202" s="205">
        <f t="shared" si="119"/>
        <v>64.389600000000016</v>
      </c>
      <c r="AD202" s="205">
        <f t="shared" si="119"/>
        <v>114.57600000000002</v>
      </c>
      <c r="AE202" s="205">
        <f t="shared" si="119"/>
        <v>105.492</v>
      </c>
      <c r="AF202" s="205">
        <f t="shared" si="119"/>
        <v>80.902400000000014</v>
      </c>
      <c r="AG202" s="205">
        <f t="shared" si="119"/>
        <v>72.950400000000002</v>
      </c>
      <c r="AH202" s="205">
        <f t="shared" si="119"/>
        <v>250.07040000000001</v>
      </c>
      <c r="AI202" s="205">
        <f t="shared" si="119"/>
        <v>82.533599999999993</v>
      </c>
      <c r="AJ202" s="205">
        <f t="shared" si="119"/>
        <v>103.93600000000001</v>
      </c>
      <c r="AK202" s="205">
        <f t="shared" si="119"/>
        <v>187.2</v>
      </c>
      <c r="AL202" s="205">
        <f t="shared" si="119"/>
        <v>156</v>
      </c>
      <c r="AM202" s="205">
        <f t="shared" si="119"/>
        <v>60</v>
      </c>
      <c r="AN202" s="205">
        <f t="shared" si="119"/>
        <v>60</v>
      </c>
    </row>
    <row r="203" spans="2:40" ht="12" customHeight="1" outlineLevel="1">
      <c r="B203" s="301"/>
      <c r="C203" s="303" t="s">
        <v>830</v>
      </c>
      <c r="D203" s="302"/>
      <c r="E203" s="314">
        <v>0</v>
      </c>
      <c r="F203" s="314">
        <v>0</v>
      </c>
      <c r="G203" s="314">
        <v>0</v>
      </c>
      <c r="H203" s="314">
        <v>0</v>
      </c>
      <c r="I203" s="314">
        <v>0</v>
      </c>
      <c r="J203" s="314">
        <v>0</v>
      </c>
      <c r="K203" s="314">
        <v>0</v>
      </c>
      <c r="L203" s="314">
        <v>0</v>
      </c>
      <c r="M203" s="315">
        <v>0</v>
      </c>
      <c r="N203" s="315">
        <v>0</v>
      </c>
      <c r="O203" s="315">
        <v>0</v>
      </c>
      <c r="P203" s="315">
        <v>0</v>
      </c>
      <c r="Q203" s="315">
        <v>0</v>
      </c>
      <c r="R203" s="315">
        <v>0</v>
      </c>
      <c r="S203" s="315">
        <v>0</v>
      </c>
      <c r="T203" s="315">
        <v>0</v>
      </c>
      <c r="U203" s="315">
        <v>0</v>
      </c>
      <c r="V203" s="315">
        <v>0</v>
      </c>
      <c r="W203" s="315">
        <v>0</v>
      </c>
      <c r="X203" s="315">
        <v>0</v>
      </c>
      <c r="Y203" s="315">
        <v>0</v>
      </c>
      <c r="Z203" s="315">
        <v>0</v>
      </c>
      <c r="AA203" s="315">
        <v>0</v>
      </c>
      <c r="AB203" s="315">
        <v>0</v>
      </c>
      <c r="AC203" s="315">
        <v>0</v>
      </c>
      <c r="AD203" s="315">
        <v>0</v>
      </c>
      <c r="AE203" s="315">
        <v>0</v>
      </c>
      <c r="AF203" s="315">
        <v>0</v>
      </c>
      <c r="AG203" s="315">
        <v>0</v>
      </c>
      <c r="AH203" s="315">
        <v>0</v>
      </c>
      <c r="AI203" s="315">
        <v>0</v>
      </c>
      <c r="AJ203" s="315">
        <v>0</v>
      </c>
      <c r="AK203" s="315">
        <v>0</v>
      </c>
      <c r="AL203" s="315">
        <v>0</v>
      </c>
      <c r="AM203" s="315">
        <v>0</v>
      </c>
      <c r="AN203" s="315">
        <v>0</v>
      </c>
    </row>
    <row r="204" spans="2:40" s="7" customFormat="1" ht="12" customHeight="1" outlineLevel="1">
      <c r="B204" s="239"/>
      <c r="C204" s="214" t="s">
        <v>831</v>
      </c>
      <c r="D204" s="212"/>
      <c r="E204" s="232">
        <f t="shared" ref="E204:L204" si="120">E202*E203</f>
        <v>0</v>
      </c>
      <c r="F204" s="232">
        <f t="shared" si="120"/>
        <v>0</v>
      </c>
      <c r="G204" s="232">
        <f t="shared" si="120"/>
        <v>0</v>
      </c>
      <c r="H204" s="232">
        <f t="shared" si="120"/>
        <v>0</v>
      </c>
      <c r="I204" s="232">
        <f t="shared" si="120"/>
        <v>0</v>
      </c>
      <c r="J204" s="232">
        <f t="shared" si="120"/>
        <v>0</v>
      </c>
      <c r="K204" s="232">
        <f t="shared" si="120"/>
        <v>0</v>
      </c>
      <c r="L204" s="232">
        <f t="shared" si="120"/>
        <v>0</v>
      </c>
      <c r="M204" s="205">
        <f t="shared" ref="M204:AN204" si="121">M202*M203</f>
        <v>0</v>
      </c>
      <c r="N204" s="205">
        <f t="shared" si="121"/>
        <v>0</v>
      </c>
      <c r="O204" s="205">
        <f t="shared" si="121"/>
        <v>0</v>
      </c>
      <c r="P204" s="205">
        <f t="shared" si="121"/>
        <v>0</v>
      </c>
      <c r="Q204" s="205">
        <f t="shared" si="121"/>
        <v>0</v>
      </c>
      <c r="R204" s="205">
        <f t="shared" si="121"/>
        <v>0</v>
      </c>
      <c r="S204" s="205">
        <f t="shared" si="121"/>
        <v>0</v>
      </c>
      <c r="T204" s="205">
        <f t="shared" si="121"/>
        <v>0</v>
      </c>
      <c r="U204" s="205">
        <f t="shared" si="121"/>
        <v>0</v>
      </c>
      <c r="V204" s="205">
        <f t="shared" si="121"/>
        <v>0</v>
      </c>
      <c r="W204" s="205">
        <f t="shared" si="121"/>
        <v>0</v>
      </c>
      <c r="X204" s="205">
        <f t="shared" si="121"/>
        <v>0</v>
      </c>
      <c r="Y204" s="205">
        <f t="shared" si="121"/>
        <v>0</v>
      </c>
      <c r="Z204" s="205">
        <f t="shared" si="121"/>
        <v>0</v>
      </c>
      <c r="AA204" s="205">
        <f t="shared" si="121"/>
        <v>0</v>
      </c>
      <c r="AB204" s="205">
        <f t="shared" si="121"/>
        <v>0</v>
      </c>
      <c r="AC204" s="205">
        <f t="shared" si="121"/>
        <v>0</v>
      </c>
      <c r="AD204" s="205">
        <f t="shared" si="121"/>
        <v>0</v>
      </c>
      <c r="AE204" s="205">
        <f t="shared" si="121"/>
        <v>0</v>
      </c>
      <c r="AF204" s="205">
        <f t="shared" si="121"/>
        <v>0</v>
      </c>
      <c r="AG204" s="205">
        <f t="shared" si="121"/>
        <v>0</v>
      </c>
      <c r="AH204" s="205">
        <f t="shared" si="121"/>
        <v>0</v>
      </c>
      <c r="AI204" s="205">
        <f t="shared" si="121"/>
        <v>0</v>
      </c>
      <c r="AJ204" s="205">
        <f t="shared" si="121"/>
        <v>0</v>
      </c>
      <c r="AK204" s="205">
        <f t="shared" si="121"/>
        <v>0</v>
      </c>
      <c r="AL204" s="205">
        <f t="shared" si="121"/>
        <v>0</v>
      </c>
      <c r="AM204" s="205">
        <f t="shared" si="121"/>
        <v>0</v>
      </c>
      <c r="AN204" s="205">
        <f t="shared" si="121"/>
        <v>0</v>
      </c>
    </row>
    <row r="205" spans="2:40" s="7" customFormat="1" ht="12" customHeight="1" outlineLevel="1">
      <c r="B205" s="239" t="s">
        <v>912</v>
      </c>
      <c r="C205" s="214" t="s">
        <v>833</v>
      </c>
      <c r="D205" s="212"/>
      <c r="E205" s="232">
        <v>9</v>
      </c>
      <c r="F205" s="232">
        <v>19</v>
      </c>
      <c r="G205" s="232">
        <v>1</v>
      </c>
      <c r="H205" s="232">
        <v>26</v>
      </c>
      <c r="I205" s="232">
        <v>4</v>
      </c>
      <c r="J205" s="232">
        <v>24</v>
      </c>
      <c r="K205" s="232">
        <v>29</v>
      </c>
      <c r="L205" s="232">
        <v>0</v>
      </c>
      <c r="M205" s="205">
        <f t="shared" ref="M205:AN205" si="122">M202+M204</f>
        <v>52</v>
      </c>
      <c r="N205" s="205">
        <f t="shared" si="122"/>
        <v>52</v>
      </c>
      <c r="O205" s="205">
        <f t="shared" si="122"/>
        <v>30</v>
      </c>
      <c r="P205" s="205">
        <f t="shared" si="122"/>
        <v>20</v>
      </c>
      <c r="Q205" s="205">
        <f t="shared" si="122"/>
        <v>32.194800000000008</v>
      </c>
      <c r="R205" s="205">
        <f t="shared" si="122"/>
        <v>57.288000000000011</v>
      </c>
      <c r="S205" s="205">
        <f t="shared" si="122"/>
        <v>52.746000000000002</v>
      </c>
      <c r="T205" s="205">
        <f t="shared" si="122"/>
        <v>20.225600000000004</v>
      </c>
      <c r="U205" s="205">
        <f t="shared" si="122"/>
        <v>18.2376</v>
      </c>
      <c r="V205" s="205">
        <f t="shared" si="122"/>
        <v>62.517600000000002</v>
      </c>
      <c r="W205" s="205">
        <f t="shared" si="122"/>
        <v>34.389000000000003</v>
      </c>
      <c r="X205" s="205">
        <f t="shared" si="122"/>
        <v>25.984000000000002</v>
      </c>
      <c r="Y205" s="205">
        <f t="shared" si="122"/>
        <v>46.8</v>
      </c>
      <c r="Z205" s="205">
        <f t="shared" si="122"/>
        <v>39</v>
      </c>
      <c r="AA205" s="205">
        <f t="shared" si="122"/>
        <v>15</v>
      </c>
      <c r="AB205" s="205">
        <f t="shared" si="122"/>
        <v>15</v>
      </c>
      <c r="AC205" s="205">
        <f t="shared" si="122"/>
        <v>64.389600000000016</v>
      </c>
      <c r="AD205" s="205">
        <f t="shared" si="122"/>
        <v>114.57600000000002</v>
      </c>
      <c r="AE205" s="205">
        <f t="shared" si="122"/>
        <v>105.492</v>
      </c>
      <c r="AF205" s="205">
        <f t="shared" si="122"/>
        <v>80.902400000000014</v>
      </c>
      <c r="AG205" s="205">
        <f t="shared" si="122"/>
        <v>72.950400000000002</v>
      </c>
      <c r="AH205" s="205">
        <f t="shared" si="122"/>
        <v>250.07040000000001</v>
      </c>
      <c r="AI205" s="205">
        <f t="shared" si="122"/>
        <v>82.533599999999993</v>
      </c>
      <c r="AJ205" s="205">
        <f t="shared" si="122"/>
        <v>103.93600000000001</v>
      </c>
      <c r="AK205" s="205">
        <f t="shared" si="122"/>
        <v>187.2</v>
      </c>
      <c r="AL205" s="205">
        <f t="shared" si="122"/>
        <v>156</v>
      </c>
      <c r="AM205" s="205">
        <f t="shared" si="122"/>
        <v>60</v>
      </c>
      <c r="AN205" s="205">
        <f t="shared" si="122"/>
        <v>60</v>
      </c>
    </row>
    <row r="206" spans="2:40" s="7" customFormat="1" ht="12" customHeight="1" outlineLevel="1">
      <c r="B206" s="239"/>
      <c r="C206" s="214" t="s">
        <v>834</v>
      </c>
      <c r="D206" s="212"/>
      <c r="E206" s="232">
        <v>1</v>
      </c>
      <c r="F206" s="232">
        <v>1</v>
      </c>
      <c r="G206" s="232">
        <v>0</v>
      </c>
      <c r="H206" s="232">
        <v>1</v>
      </c>
      <c r="I206" s="232">
        <v>1</v>
      </c>
      <c r="J206" s="232">
        <v>1</v>
      </c>
      <c r="K206" s="232">
        <v>1</v>
      </c>
      <c r="L206" s="232">
        <v>0</v>
      </c>
      <c r="M206" s="205">
        <f t="shared" ref="M206:AN206" si="123">M214+M215</f>
        <v>9.4837105684106895</v>
      </c>
      <c r="N206" s="205">
        <f t="shared" si="123"/>
        <v>9.4837105684106895</v>
      </c>
      <c r="O206" s="205">
        <f t="shared" si="123"/>
        <v>5.4713714817753978</v>
      </c>
      <c r="P206" s="205">
        <f t="shared" si="123"/>
        <v>3.6475809878502652</v>
      </c>
      <c r="Q206" s="205">
        <f t="shared" si="123"/>
        <v>5.871657019382087</v>
      </c>
      <c r="R206" s="205">
        <f t="shared" si="123"/>
        <v>10.448130981598302</v>
      </c>
      <c r="S206" s="205">
        <f t="shared" si="123"/>
        <v>9.6197653392575049</v>
      </c>
      <c r="T206" s="205">
        <f t="shared" si="123"/>
        <v>3.6887257013932166</v>
      </c>
      <c r="U206" s="205">
        <f t="shared" si="123"/>
        <v>3.3261561512008999</v>
      </c>
      <c r="V206" s="205">
        <f t="shared" si="123"/>
        <v>11.401900458301387</v>
      </c>
      <c r="W206" s="205">
        <f t="shared" si="123"/>
        <v>6.2718331295591394</v>
      </c>
      <c r="X206" s="205">
        <f t="shared" si="123"/>
        <v>4.7389372194150647</v>
      </c>
      <c r="Y206" s="205">
        <f t="shared" si="123"/>
        <v>8.5353395115696209</v>
      </c>
      <c r="Z206" s="205">
        <f t="shared" si="123"/>
        <v>7.1127829263080171</v>
      </c>
      <c r="AA206" s="205">
        <f t="shared" si="123"/>
        <v>2.7356857408876989</v>
      </c>
      <c r="AB206" s="205">
        <f t="shared" si="123"/>
        <v>2.7356857408876989</v>
      </c>
      <c r="AC206" s="205">
        <f t="shared" si="123"/>
        <v>11.743314038764174</v>
      </c>
      <c r="AD206" s="205">
        <f t="shared" si="123"/>
        <v>20.896261963196604</v>
      </c>
      <c r="AE206" s="205">
        <f t="shared" si="123"/>
        <v>19.23953067851501</v>
      </c>
      <c r="AF206" s="205">
        <f t="shared" si="123"/>
        <v>14.754902805572867</v>
      </c>
      <c r="AG206" s="205">
        <f t="shared" si="123"/>
        <v>13.3046246048036</v>
      </c>
      <c r="AH206" s="205">
        <f t="shared" si="123"/>
        <v>45.60760183320555</v>
      </c>
      <c r="AI206" s="205">
        <f t="shared" si="123"/>
        <v>15.052399510941932</v>
      </c>
      <c r="AJ206" s="205">
        <f t="shared" si="123"/>
        <v>18.955748877660259</v>
      </c>
      <c r="AK206" s="205">
        <f t="shared" si="123"/>
        <v>34.141358046278484</v>
      </c>
      <c r="AL206" s="205">
        <f t="shared" si="123"/>
        <v>28.451131705232068</v>
      </c>
      <c r="AM206" s="205">
        <f t="shared" si="123"/>
        <v>10.942742963550796</v>
      </c>
      <c r="AN206" s="205">
        <f t="shared" si="123"/>
        <v>10.942742963550796</v>
      </c>
    </row>
    <row r="207" spans="2:40" s="7" customFormat="1" ht="12" customHeight="1" outlineLevel="1">
      <c r="B207" s="239"/>
      <c r="C207" s="214" t="s">
        <v>835</v>
      </c>
      <c r="D207" s="212"/>
      <c r="E207" s="232">
        <f>E200/E205</f>
        <v>0</v>
      </c>
      <c r="F207" s="232">
        <f t="shared" ref="F207:I207" si="124">F200/F205</f>
        <v>0</v>
      </c>
      <c r="G207" s="232">
        <f t="shared" si="124"/>
        <v>0</v>
      </c>
      <c r="H207" s="232">
        <f t="shared" si="124"/>
        <v>0</v>
      </c>
      <c r="I207" s="232">
        <f t="shared" si="124"/>
        <v>0</v>
      </c>
      <c r="J207" s="232">
        <f t="shared" ref="J207:AN207" si="125">J200/J205</f>
        <v>0</v>
      </c>
      <c r="K207" s="232">
        <f t="shared" si="125"/>
        <v>0</v>
      </c>
      <c r="L207" s="232">
        <v>0</v>
      </c>
      <c r="M207" s="205">
        <f t="shared" si="125"/>
        <v>50</v>
      </c>
      <c r="N207" s="205">
        <f t="shared" si="125"/>
        <v>50</v>
      </c>
      <c r="O207" s="205">
        <f t="shared" si="125"/>
        <v>50</v>
      </c>
      <c r="P207" s="205">
        <f t="shared" si="125"/>
        <v>50</v>
      </c>
      <c r="Q207" s="205">
        <f t="shared" si="125"/>
        <v>49.999999999999993</v>
      </c>
      <c r="R207" s="205">
        <f t="shared" si="125"/>
        <v>50</v>
      </c>
      <c r="S207" s="205">
        <f t="shared" si="125"/>
        <v>50</v>
      </c>
      <c r="T207" s="205">
        <f t="shared" si="125"/>
        <v>50</v>
      </c>
      <c r="U207" s="205">
        <f t="shared" si="125"/>
        <v>50</v>
      </c>
      <c r="V207" s="205">
        <f t="shared" si="125"/>
        <v>50</v>
      </c>
      <c r="W207" s="205">
        <f t="shared" si="125"/>
        <v>50</v>
      </c>
      <c r="X207" s="205">
        <f t="shared" si="125"/>
        <v>50</v>
      </c>
      <c r="Y207" s="205">
        <f t="shared" si="125"/>
        <v>50</v>
      </c>
      <c r="Z207" s="205">
        <f t="shared" si="125"/>
        <v>50</v>
      </c>
      <c r="AA207" s="205">
        <f t="shared" si="125"/>
        <v>50</v>
      </c>
      <c r="AB207" s="205">
        <f t="shared" si="125"/>
        <v>50</v>
      </c>
      <c r="AC207" s="205">
        <f t="shared" si="125"/>
        <v>49.999999999999993</v>
      </c>
      <c r="AD207" s="205">
        <f t="shared" si="125"/>
        <v>50</v>
      </c>
      <c r="AE207" s="205">
        <f t="shared" si="125"/>
        <v>50</v>
      </c>
      <c r="AF207" s="205">
        <f t="shared" si="125"/>
        <v>50</v>
      </c>
      <c r="AG207" s="205">
        <f t="shared" si="125"/>
        <v>50</v>
      </c>
      <c r="AH207" s="205">
        <f t="shared" si="125"/>
        <v>50</v>
      </c>
      <c r="AI207" s="205">
        <f t="shared" si="125"/>
        <v>50</v>
      </c>
      <c r="AJ207" s="205">
        <f t="shared" si="125"/>
        <v>50</v>
      </c>
      <c r="AK207" s="205">
        <f t="shared" si="125"/>
        <v>50</v>
      </c>
      <c r="AL207" s="205">
        <f t="shared" si="125"/>
        <v>50</v>
      </c>
      <c r="AM207" s="205">
        <f t="shared" si="125"/>
        <v>50</v>
      </c>
      <c r="AN207" s="205">
        <f t="shared" si="125"/>
        <v>50</v>
      </c>
    </row>
    <row r="208" spans="2:40" s="7" customFormat="1" ht="12" customHeight="1" outlineLevel="1">
      <c r="B208" s="239"/>
      <c r="C208" s="214" t="s">
        <v>836</v>
      </c>
      <c r="D208" s="212"/>
      <c r="E208" s="232"/>
      <c r="F208" s="232"/>
      <c r="G208" s="232"/>
      <c r="H208" s="232"/>
      <c r="I208" s="232"/>
      <c r="J208" s="232"/>
      <c r="K208" s="232"/>
      <c r="L208" s="232"/>
      <c r="M208" s="205"/>
      <c r="N208" s="205"/>
      <c r="O208" s="205"/>
      <c r="P208" s="205"/>
      <c r="Q208" s="205"/>
      <c r="R208" s="205"/>
      <c r="S208" s="205"/>
      <c r="T208" s="205"/>
      <c r="U208" s="205"/>
      <c r="V208" s="205"/>
      <c r="W208" s="205"/>
      <c r="X208" s="205"/>
      <c r="Y208" s="205"/>
      <c r="Z208" s="205"/>
      <c r="AA208" s="205"/>
      <c r="AB208" s="205"/>
      <c r="AC208" s="205"/>
      <c r="AD208" s="205"/>
      <c r="AE208" s="205"/>
      <c r="AF208" s="205"/>
      <c r="AG208" s="205"/>
      <c r="AH208" s="205"/>
      <c r="AI208" s="205"/>
      <c r="AJ208" s="205"/>
      <c r="AK208" s="205"/>
      <c r="AL208" s="205"/>
      <c r="AM208" s="205"/>
      <c r="AN208" s="205"/>
    </row>
    <row r="209" spans="2:40" ht="12" customHeight="1" outlineLevel="1">
      <c r="B209" s="316"/>
      <c r="C209" s="303" t="s">
        <v>837</v>
      </c>
      <c r="D209" s="302"/>
      <c r="E209" s="317">
        <f t="shared" ref="E209:I209" si="126">1-(E206/E205)</f>
        <v>0.88888888888888884</v>
      </c>
      <c r="F209" s="317">
        <f t="shared" si="126"/>
        <v>0.94736842105263164</v>
      </c>
      <c r="G209" s="317">
        <f t="shared" si="126"/>
        <v>1</v>
      </c>
      <c r="H209" s="317">
        <f t="shared" si="126"/>
        <v>0.96153846153846156</v>
      </c>
      <c r="I209" s="317">
        <f t="shared" si="126"/>
        <v>0.75</v>
      </c>
      <c r="J209" s="317">
        <f t="shared" ref="J209:K209" si="127">(J205-J206)/J205</f>
        <v>0.95833333333333337</v>
      </c>
      <c r="K209" s="317">
        <f t="shared" si="127"/>
        <v>0.96551724137931039</v>
      </c>
      <c r="L209" s="317">
        <v>0</v>
      </c>
      <c r="M209" s="318">
        <v>0.81762095060748674</v>
      </c>
      <c r="N209" s="318">
        <v>0.81762095060748674</v>
      </c>
      <c r="O209" s="318">
        <v>0.81762095060748674</v>
      </c>
      <c r="P209" s="318">
        <v>0.81762095060748674</v>
      </c>
      <c r="Q209" s="318">
        <v>0.81762095060748674</v>
      </c>
      <c r="R209" s="318">
        <v>0.81762095060748674</v>
      </c>
      <c r="S209" s="318">
        <v>0.81762095060748674</v>
      </c>
      <c r="T209" s="318">
        <v>0.81762095060748674</v>
      </c>
      <c r="U209" s="318">
        <v>0.81762095060748674</v>
      </c>
      <c r="V209" s="318">
        <v>0.81762095060748674</v>
      </c>
      <c r="W209" s="318">
        <v>0.81762095060748674</v>
      </c>
      <c r="X209" s="318">
        <v>0.81762095060748674</v>
      </c>
      <c r="Y209" s="318">
        <v>0.81762095060748674</v>
      </c>
      <c r="Z209" s="318">
        <v>0.81762095060748674</v>
      </c>
      <c r="AA209" s="318">
        <v>0.81762095060748674</v>
      </c>
      <c r="AB209" s="318">
        <v>0.81762095060748674</v>
      </c>
      <c r="AC209" s="318">
        <v>0.81762095060748674</v>
      </c>
      <c r="AD209" s="318">
        <v>0.81762095060748674</v>
      </c>
      <c r="AE209" s="318">
        <v>0.81762095060748674</v>
      </c>
      <c r="AF209" s="318">
        <v>0.81762095060748674</v>
      </c>
      <c r="AG209" s="318">
        <v>0.81762095060748674</v>
      </c>
      <c r="AH209" s="318">
        <v>0.81762095060748674</v>
      </c>
      <c r="AI209" s="318">
        <v>0.81762095060748674</v>
      </c>
      <c r="AJ209" s="318">
        <v>0.81762095060748674</v>
      </c>
      <c r="AK209" s="318">
        <v>0.81762095060748674</v>
      </c>
      <c r="AL209" s="318">
        <v>0.81762095060748674</v>
      </c>
      <c r="AM209" s="318">
        <v>0.81762095060748674</v>
      </c>
      <c r="AN209" s="318">
        <v>0.81762095060748674</v>
      </c>
    </row>
    <row r="210" spans="2:40" ht="12" customHeight="1" outlineLevel="1">
      <c r="B210" s="301"/>
      <c r="C210" s="303" t="s">
        <v>839</v>
      </c>
      <c r="D210" s="302"/>
      <c r="E210" s="317">
        <f t="shared" ref="E210:K210" si="128">1-E209</f>
        <v>0.11111111111111116</v>
      </c>
      <c r="F210" s="317">
        <f t="shared" si="128"/>
        <v>5.2631578947368363E-2</v>
      </c>
      <c r="G210" s="317">
        <f t="shared" si="128"/>
        <v>0</v>
      </c>
      <c r="H210" s="317">
        <f t="shared" si="128"/>
        <v>3.8461538461538436E-2</v>
      </c>
      <c r="I210" s="317">
        <f t="shared" si="128"/>
        <v>0.25</v>
      </c>
      <c r="J210" s="317">
        <f t="shared" si="128"/>
        <v>4.166666666666663E-2</v>
      </c>
      <c r="K210" s="317">
        <f t="shared" si="128"/>
        <v>3.4482758620689613E-2</v>
      </c>
      <c r="L210" s="317">
        <v>0</v>
      </c>
      <c r="M210" s="318">
        <v>0.18237904939251326</v>
      </c>
      <c r="N210" s="318">
        <v>0.18237904939251326</v>
      </c>
      <c r="O210" s="318">
        <v>0.18237904939251326</v>
      </c>
      <c r="P210" s="318">
        <v>0.18237904939251326</v>
      </c>
      <c r="Q210" s="318">
        <v>0.18237904939251326</v>
      </c>
      <c r="R210" s="318">
        <v>0.18237904939251326</v>
      </c>
      <c r="S210" s="318">
        <v>0.18237904939251326</v>
      </c>
      <c r="T210" s="318">
        <v>0.18237904939251326</v>
      </c>
      <c r="U210" s="318">
        <v>0.18237904939251326</v>
      </c>
      <c r="V210" s="318">
        <v>0.18237904939251326</v>
      </c>
      <c r="W210" s="318">
        <v>0.18237904939251326</v>
      </c>
      <c r="X210" s="318">
        <v>0.18237904939251326</v>
      </c>
      <c r="Y210" s="318">
        <v>0.18237904939251326</v>
      </c>
      <c r="Z210" s="318">
        <v>0.18237904939251326</v>
      </c>
      <c r="AA210" s="318">
        <v>0.18237904939251326</v>
      </c>
      <c r="AB210" s="318">
        <v>0.18237904939251326</v>
      </c>
      <c r="AC210" s="318">
        <v>0.18237904939251326</v>
      </c>
      <c r="AD210" s="318">
        <v>0.18237904939251326</v>
      </c>
      <c r="AE210" s="318">
        <v>0.18237904939251326</v>
      </c>
      <c r="AF210" s="318">
        <v>0.18237904939251326</v>
      </c>
      <c r="AG210" s="318">
        <v>0.18237904939251326</v>
      </c>
      <c r="AH210" s="318">
        <v>0.18237904939251326</v>
      </c>
      <c r="AI210" s="318">
        <v>0.18237904939251326</v>
      </c>
      <c r="AJ210" s="318">
        <v>0.18237904939251326</v>
      </c>
      <c r="AK210" s="318">
        <v>0.18237904939251326</v>
      </c>
      <c r="AL210" s="318">
        <v>0.18237904939251326</v>
      </c>
      <c r="AM210" s="318">
        <v>0.18237904939251326</v>
      </c>
      <c r="AN210" s="318">
        <v>0.18237904939251326</v>
      </c>
    </row>
    <row r="211" spans="2:40" ht="12" customHeight="1" outlineLevel="1">
      <c r="B211" s="301"/>
      <c r="C211" s="303" t="s">
        <v>840</v>
      </c>
      <c r="D211" s="302"/>
      <c r="E211" s="317">
        <v>0</v>
      </c>
      <c r="F211" s="317">
        <v>0</v>
      </c>
      <c r="G211" s="317">
        <v>0</v>
      </c>
      <c r="H211" s="317">
        <v>0</v>
      </c>
      <c r="I211" s="317">
        <v>0</v>
      </c>
      <c r="J211" s="317">
        <v>0</v>
      </c>
      <c r="K211" s="317">
        <v>0</v>
      </c>
      <c r="L211" s="317">
        <v>0</v>
      </c>
      <c r="M211" s="318">
        <v>0</v>
      </c>
      <c r="N211" s="318">
        <v>0</v>
      </c>
      <c r="O211" s="318">
        <v>0</v>
      </c>
      <c r="P211" s="318">
        <v>0</v>
      </c>
      <c r="Q211" s="318">
        <v>0</v>
      </c>
      <c r="R211" s="318">
        <v>0</v>
      </c>
      <c r="S211" s="318">
        <v>0</v>
      </c>
      <c r="T211" s="318">
        <v>0</v>
      </c>
      <c r="U211" s="318">
        <v>0</v>
      </c>
      <c r="V211" s="318">
        <v>0</v>
      </c>
      <c r="W211" s="318">
        <v>0</v>
      </c>
      <c r="X211" s="318">
        <v>0</v>
      </c>
      <c r="Y211" s="318">
        <v>0</v>
      </c>
      <c r="Z211" s="318">
        <v>0</v>
      </c>
      <c r="AA211" s="318">
        <v>0</v>
      </c>
      <c r="AB211" s="318">
        <v>0</v>
      </c>
      <c r="AC211" s="318">
        <v>0</v>
      </c>
      <c r="AD211" s="318">
        <v>0</v>
      </c>
      <c r="AE211" s="318">
        <v>0</v>
      </c>
      <c r="AF211" s="318">
        <v>0</v>
      </c>
      <c r="AG211" s="318">
        <v>0</v>
      </c>
      <c r="AH211" s="318">
        <v>0</v>
      </c>
      <c r="AI211" s="318">
        <v>0</v>
      </c>
      <c r="AJ211" s="318">
        <v>0</v>
      </c>
      <c r="AK211" s="318">
        <v>0</v>
      </c>
      <c r="AL211" s="318">
        <v>0</v>
      </c>
      <c r="AM211" s="318">
        <v>0</v>
      </c>
      <c r="AN211" s="318">
        <v>0</v>
      </c>
    </row>
    <row r="212" spans="2:40" s="7" customFormat="1" ht="12" customHeight="1" outlineLevel="1">
      <c r="B212" s="237"/>
      <c r="C212" s="208"/>
      <c r="D212" s="208"/>
      <c r="E212" s="216"/>
      <c r="F212" s="208"/>
      <c r="G212" s="208"/>
      <c r="H212" s="208"/>
      <c r="I212" s="208"/>
      <c r="J212" s="208"/>
      <c r="K212" s="208"/>
      <c r="L212" s="208"/>
      <c r="M212" s="208"/>
      <c r="N212" s="208"/>
      <c r="O212" s="208"/>
      <c r="P212" s="208"/>
      <c r="Q212" s="208"/>
      <c r="R212" s="208"/>
      <c r="S212" s="208"/>
      <c r="T212" s="208"/>
      <c r="U212" s="208"/>
      <c r="V212" s="208"/>
      <c r="W212" s="208"/>
      <c r="X212" s="208"/>
      <c r="Y212" s="208"/>
      <c r="Z212" s="208"/>
      <c r="AA212" s="208"/>
      <c r="AB212" s="208"/>
      <c r="AC212" s="208"/>
      <c r="AD212" s="208"/>
      <c r="AE212" s="208"/>
      <c r="AF212" s="208"/>
      <c r="AG212" s="208"/>
      <c r="AH212" s="208"/>
      <c r="AI212" s="208"/>
      <c r="AJ212" s="208"/>
      <c r="AK212" s="208"/>
      <c r="AL212" s="208"/>
      <c r="AM212" s="208"/>
      <c r="AN212" s="208"/>
    </row>
    <row r="213" spans="2:40" s="7" customFormat="1" ht="12" customHeight="1" outlineLevel="1">
      <c r="B213" s="239"/>
      <c r="C213" s="214" t="s">
        <v>841</v>
      </c>
      <c r="D213" s="214"/>
      <c r="E213" s="209">
        <f>E205*E209</f>
        <v>8</v>
      </c>
      <c r="F213" s="209">
        <f>F205*F209</f>
        <v>18</v>
      </c>
      <c r="G213" s="209">
        <f t="shared" ref="G213:I213" si="129">G205*G209</f>
        <v>1</v>
      </c>
      <c r="H213" s="209">
        <f>H205*H209</f>
        <v>25</v>
      </c>
      <c r="I213" s="209">
        <f t="shared" si="129"/>
        <v>3</v>
      </c>
      <c r="J213" s="209">
        <f t="shared" ref="J213:AN213" si="130">J205*J209</f>
        <v>23</v>
      </c>
      <c r="K213" s="209">
        <f t="shared" si="130"/>
        <v>28</v>
      </c>
      <c r="L213" s="209">
        <f t="shared" si="130"/>
        <v>0</v>
      </c>
      <c r="M213" s="209">
        <f t="shared" si="130"/>
        <v>42.516289431589314</v>
      </c>
      <c r="N213" s="209">
        <f t="shared" si="130"/>
        <v>42.516289431589314</v>
      </c>
      <c r="O213" s="209">
        <f t="shared" si="130"/>
        <v>24.5286285182246</v>
      </c>
      <c r="P213" s="209">
        <f t="shared" si="130"/>
        <v>16.352419012149735</v>
      </c>
      <c r="Q213" s="209">
        <f t="shared" si="130"/>
        <v>26.32314298061792</v>
      </c>
      <c r="R213" s="209">
        <f t="shared" si="130"/>
        <v>46.839869018401707</v>
      </c>
      <c r="S213" s="209">
        <f t="shared" si="130"/>
        <v>43.126234660742497</v>
      </c>
      <c r="T213" s="209">
        <f t="shared" si="130"/>
        <v>16.536874298606786</v>
      </c>
      <c r="U213" s="209">
        <f t="shared" si="130"/>
        <v>14.911443848799101</v>
      </c>
      <c r="V213" s="209">
        <f t="shared" si="130"/>
        <v>51.115699541698618</v>
      </c>
      <c r="W213" s="209">
        <f t="shared" si="130"/>
        <v>28.117166870440865</v>
      </c>
      <c r="X213" s="209">
        <f t="shared" si="130"/>
        <v>21.245062780584938</v>
      </c>
      <c r="Y213" s="209">
        <f t="shared" si="130"/>
        <v>38.26466048843038</v>
      </c>
      <c r="Z213" s="209">
        <f t="shared" si="130"/>
        <v>31.887217073691982</v>
      </c>
      <c r="AA213" s="209">
        <f t="shared" si="130"/>
        <v>12.2643142591123</v>
      </c>
      <c r="AB213" s="209">
        <f t="shared" si="130"/>
        <v>12.2643142591123</v>
      </c>
      <c r="AC213" s="209">
        <f t="shared" si="130"/>
        <v>52.64628596123584</v>
      </c>
      <c r="AD213" s="209">
        <f t="shared" si="130"/>
        <v>93.679738036803414</v>
      </c>
      <c r="AE213" s="209">
        <f t="shared" si="130"/>
        <v>86.252469321484995</v>
      </c>
      <c r="AF213" s="209">
        <f t="shared" si="130"/>
        <v>66.147497194427146</v>
      </c>
      <c r="AG213" s="209">
        <f t="shared" si="130"/>
        <v>59.645775395196402</v>
      </c>
      <c r="AH213" s="209">
        <f t="shared" si="130"/>
        <v>204.46279816679447</v>
      </c>
      <c r="AI213" s="209">
        <f>AI205*AI209</f>
        <v>67.481200489058068</v>
      </c>
      <c r="AJ213" s="209">
        <f t="shared" si="130"/>
        <v>84.980251122339752</v>
      </c>
      <c r="AK213" s="209">
        <f t="shared" si="130"/>
        <v>153.05864195372152</v>
      </c>
      <c r="AL213" s="209">
        <f t="shared" si="130"/>
        <v>127.54886829476793</v>
      </c>
      <c r="AM213" s="209">
        <f t="shared" si="130"/>
        <v>49.057257036449201</v>
      </c>
      <c r="AN213" s="209">
        <f t="shared" si="130"/>
        <v>49.057257036449201</v>
      </c>
    </row>
    <row r="214" spans="2:40" s="7" customFormat="1" ht="12" customHeight="1" outlineLevel="1">
      <c r="B214" s="239"/>
      <c r="C214" s="214" t="s">
        <v>842</v>
      </c>
      <c r="D214" s="214"/>
      <c r="E214" s="209">
        <f>E205*E210</f>
        <v>1.0000000000000004</v>
      </c>
      <c r="F214" s="209">
        <f>F205*F210</f>
        <v>0.99999999999999889</v>
      </c>
      <c r="G214" s="209">
        <f>G205*G210</f>
        <v>0</v>
      </c>
      <c r="H214" s="209">
        <f t="shared" ref="H214:I214" si="131">H205*H210</f>
        <v>0.99999999999999933</v>
      </c>
      <c r="I214" s="209">
        <f t="shared" si="131"/>
        <v>1</v>
      </c>
      <c r="J214" s="209">
        <f t="shared" ref="J214:AN214" si="132">J205*J210</f>
        <v>0.99999999999999911</v>
      </c>
      <c r="K214" s="209">
        <f t="shared" si="132"/>
        <v>0.99999999999999878</v>
      </c>
      <c r="L214" s="209">
        <f t="shared" si="132"/>
        <v>0</v>
      </c>
      <c r="M214" s="209">
        <f t="shared" si="132"/>
        <v>9.4837105684106895</v>
      </c>
      <c r="N214" s="209">
        <f t="shared" si="132"/>
        <v>9.4837105684106895</v>
      </c>
      <c r="O214" s="209">
        <f t="shared" si="132"/>
        <v>5.4713714817753978</v>
      </c>
      <c r="P214" s="209">
        <f t="shared" si="132"/>
        <v>3.6475809878502652</v>
      </c>
      <c r="Q214" s="209">
        <f t="shared" si="132"/>
        <v>5.871657019382087</v>
      </c>
      <c r="R214" s="209">
        <f t="shared" si="132"/>
        <v>10.448130981598302</v>
      </c>
      <c r="S214" s="209">
        <f t="shared" si="132"/>
        <v>9.6197653392575049</v>
      </c>
      <c r="T214" s="209">
        <f t="shared" si="132"/>
        <v>3.6887257013932166</v>
      </c>
      <c r="U214" s="209">
        <f t="shared" si="132"/>
        <v>3.3261561512008999</v>
      </c>
      <c r="V214" s="209">
        <f t="shared" si="132"/>
        <v>11.401900458301387</v>
      </c>
      <c r="W214" s="209">
        <f t="shared" si="132"/>
        <v>6.2718331295591394</v>
      </c>
      <c r="X214" s="209">
        <f t="shared" si="132"/>
        <v>4.7389372194150647</v>
      </c>
      <c r="Y214" s="209">
        <f t="shared" si="132"/>
        <v>8.5353395115696209</v>
      </c>
      <c r="Z214" s="209">
        <f t="shared" si="132"/>
        <v>7.1127829263080171</v>
      </c>
      <c r="AA214" s="209">
        <f t="shared" si="132"/>
        <v>2.7356857408876989</v>
      </c>
      <c r="AB214" s="209">
        <f t="shared" si="132"/>
        <v>2.7356857408876989</v>
      </c>
      <c r="AC214" s="209">
        <f t="shared" si="132"/>
        <v>11.743314038764174</v>
      </c>
      <c r="AD214" s="209">
        <f t="shared" si="132"/>
        <v>20.896261963196604</v>
      </c>
      <c r="AE214" s="209">
        <f t="shared" si="132"/>
        <v>19.23953067851501</v>
      </c>
      <c r="AF214" s="209">
        <f t="shared" si="132"/>
        <v>14.754902805572867</v>
      </c>
      <c r="AG214" s="209">
        <f t="shared" si="132"/>
        <v>13.3046246048036</v>
      </c>
      <c r="AH214" s="209">
        <f t="shared" si="132"/>
        <v>45.60760183320555</v>
      </c>
      <c r="AI214" s="209">
        <f t="shared" si="132"/>
        <v>15.052399510941932</v>
      </c>
      <c r="AJ214" s="209">
        <f t="shared" si="132"/>
        <v>18.955748877660259</v>
      </c>
      <c r="AK214" s="209">
        <f t="shared" si="132"/>
        <v>34.141358046278484</v>
      </c>
      <c r="AL214" s="209">
        <f t="shared" si="132"/>
        <v>28.451131705232068</v>
      </c>
      <c r="AM214" s="209">
        <f t="shared" si="132"/>
        <v>10.942742963550796</v>
      </c>
      <c r="AN214" s="209">
        <f t="shared" si="132"/>
        <v>10.942742963550796</v>
      </c>
    </row>
    <row r="215" spans="2:40" s="7" customFormat="1" ht="12" customHeight="1" outlineLevel="1">
      <c r="B215" s="239"/>
      <c r="C215" s="214" t="s">
        <v>843</v>
      </c>
      <c r="D215" s="214"/>
      <c r="E215" s="209">
        <f>E205*E211</f>
        <v>0</v>
      </c>
      <c r="F215" s="209">
        <f t="shared" ref="F215:I215" si="133">F205*F211</f>
        <v>0</v>
      </c>
      <c r="G215" s="209">
        <f t="shared" si="133"/>
        <v>0</v>
      </c>
      <c r="H215" s="209">
        <f t="shared" si="133"/>
        <v>0</v>
      </c>
      <c r="I215" s="209">
        <f t="shared" si="133"/>
        <v>0</v>
      </c>
      <c r="J215" s="209">
        <f t="shared" ref="J215:AN215" si="134">J205*J211</f>
        <v>0</v>
      </c>
      <c r="K215" s="209">
        <f t="shared" si="134"/>
        <v>0</v>
      </c>
      <c r="L215" s="209">
        <f t="shared" si="134"/>
        <v>0</v>
      </c>
      <c r="M215" s="209">
        <f t="shared" si="134"/>
        <v>0</v>
      </c>
      <c r="N215" s="209">
        <f t="shared" si="134"/>
        <v>0</v>
      </c>
      <c r="O215" s="209">
        <f t="shared" si="134"/>
        <v>0</v>
      </c>
      <c r="P215" s="209">
        <f t="shared" si="134"/>
        <v>0</v>
      </c>
      <c r="Q215" s="209">
        <f t="shared" si="134"/>
        <v>0</v>
      </c>
      <c r="R215" s="209">
        <f t="shared" si="134"/>
        <v>0</v>
      </c>
      <c r="S215" s="209">
        <f t="shared" si="134"/>
        <v>0</v>
      </c>
      <c r="T215" s="209">
        <f t="shared" si="134"/>
        <v>0</v>
      </c>
      <c r="U215" s="209">
        <f t="shared" si="134"/>
        <v>0</v>
      </c>
      <c r="V215" s="209">
        <f t="shared" si="134"/>
        <v>0</v>
      </c>
      <c r="W215" s="209">
        <f t="shared" si="134"/>
        <v>0</v>
      </c>
      <c r="X215" s="209">
        <f t="shared" si="134"/>
        <v>0</v>
      </c>
      <c r="Y215" s="209">
        <f t="shared" si="134"/>
        <v>0</v>
      </c>
      <c r="Z215" s="209">
        <f t="shared" si="134"/>
        <v>0</v>
      </c>
      <c r="AA215" s="209">
        <f t="shared" si="134"/>
        <v>0</v>
      </c>
      <c r="AB215" s="209">
        <f t="shared" si="134"/>
        <v>0</v>
      </c>
      <c r="AC215" s="209">
        <f t="shared" si="134"/>
        <v>0</v>
      </c>
      <c r="AD215" s="209">
        <f t="shared" si="134"/>
        <v>0</v>
      </c>
      <c r="AE215" s="209">
        <f t="shared" si="134"/>
        <v>0</v>
      </c>
      <c r="AF215" s="209">
        <f t="shared" si="134"/>
        <v>0</v>
      </c>
      <c r="AG215" s="209">
        <f t="shared" si="134"/>
        <v>0</v>
      </c>
      <c r="AH215" s="209">
        <f t="shared" si="134"/>
        <v>0</v>
      </c>
      <c r="AI215" s="209">
        <f t="shared" si="134"/>
        <v>0</v>
      </c>
      <c r="AJ215" s="209">
        <f t="shared" si="134"/>
        <v>0</v>
      </c>
      <c r="AK215" s="209">
        <f t="shared" si="134"/>
        <v>0</v>
      </c>
      <c r="AL215" s="209">
        <f t="shared" si="134"/>
        <v>0</v>
      </c>
      <c r="AM215" s="209">
        <f t="shared" si="134"/>
        <v>0</v>
      </c>
      <c r="AN215" s="209">
        <f t="shared" si="134"/>
        <v>0</v>
      </c>
    </row>
    <row r="216" spans="2:40" s="7" customFormat="1" ht="12" customHeight="1" outlineLevel="1">
      <c r="B216" s="239"/>
      <c r="C216" s="214" t="s">
        <v>844</v>
      </c>
      <c r="D216" s="214"/>
      <c r="E216" s="209">
        <f>IF((SUM(E226:E262)-E213)&lt;2,ROUNDUP(SUM(E226:E262),0)-E213,ROUNDDOWN(SUM(E226:E262),0)-E213)</f>
        <v>33</v>
      </c>
      <c r="F216" s="209">
        <f t="shared" ref="F216" si="135">IF((SUM(F226:F262)-F213)&lt;2,ROUNDUP(SUM(F226:F262),0)-F213,ROUNDDOWN(SUM(F226:F262),0)-F213)</f>
        <v>90</v>
      </c>
      <c r="G216" s="209">
        <f>IF((SUM(G226:G262)-G213)&lt;2,ROUNDUP(SUM(G226:G262),0)-G213,ROUNDDOWN(SUM(G226:G262),0)-G213)</f>
        <v>6</v>
      </c>
      <c r="H216" s="209">
        <f>IF((SUM(H226:H262)-H213)&lt;2,ROUNDUP(SUM(H226:H262),0)-H213,ROUNDDOWN(SUM(H226:H262),0)-H213)</f>
        <v>178</v>
      </c>
      <c r="I216" s="209">
        <f>IF((SUM(I226:I262)-I213)&lt;2,ROUNDUP(SUM(I226:I262),0)-I213,ROUNDDOWN(SUM(I226:I262),0)-I213)</f>
        <v>8</v>
      </c>
      <c r="J216" s="209">
        <f t="shared" ref="J216:AN216" si="136">IF((SUM(J226:J262)-J213)&lt;2,ROUNDUP(SUM(J226:J262),0)-J213,ROUNDDOWN(SUM(J226:J262),0)-J213)</f>
        <v>7</v>
      </c>
      <c r="K216" s="209">
        <f t="shared" si="136"/>
        <v>7</v>
      </c>
      <c r="L216" s="209">
        <f t="shared" si="136"/>
        <v>7</v>
      </c>
      <c r="M216" s="209">
        <f t="shared" si="136"/>
        <v>6.4837105684106859</v>
      </c>
      <c r="N216" s="209">
        <f t="shared" si="136"/>
        <v>6.4837105684106859</v>
      </c>
      <c r="O216" s="209">
        <f t="shared" si="136"/>
        <v>6.4713714817753996</v>
      </c>
      <c r="P216" s="209">
        <f t="shared" si="136"/>
        <v>6.6475809878502652</v>
      </c>
      <c r="Q216" s="209">
        <f t="shared" si="136"/>
        <v>6.67685701938208</v>
      </c>
      <c r="R216" s="209">
        <f t="shared" si="136"/>
        <v>6.160130981598293</v>
      </c>
      <c r="S216" s="209">
        <f t="shared" si="136"/>
        <v>5.8737653392575027</v>
      </c>
      <c r="T216" s="209">
        <f t="shared" si="136"/>
        <v>5.4631257013932135</v>
      </c>
      <c r="U216" s="209">
        <f t="shared" si="136"/>
        <v>6.0885561512008994</v>
      </c>
      <c r="V216" s="209">
        <f t="shared" si="136"/>
        <v>5.8843004583013823</v>
      </c>
      <c r="W216" s="209">
        <f t="shared" si="136"/>
        <v>5.8828331295591347</v>
      </c>
      <c r="X216" s="209">
        <f t="shared" si="136"/>
        <v>5.7549372194150621</v>
      </c>
      <c r="Y216" s="209">
        <f t="shared" si="136"/>
        <v>5.7353395115696202</v>
      </c>
      <c r="Z216" s="209">
        <f t="shared" si="136"/>
        <v>5.112782926308018</v>
      </c>
      <c r="AA216" s="209">
        <f t="shared" si="136"/>
        <v>4.7356857408876998</v>
      </c>
      <c r="AB216" s="209">
        <f t="shared" si="136"/>
        <v>4.7356857408876998</v>
      </c>
      <c r="AC216" s="209">
        <f t="shared" si="136"/>
        <v>4.35371403876416</v>
      </c>
      <c r="AD216" s="209">
        <f t="shared" si="136"/>
        <v>4.320261963196586</v>
      </c>
      <c r="AE216" s="209">
        <f t="shared" si="136"/>
        <v>4.7475306785150053</v>
      </c>
      <c r="AF216" s="209">
        <f t="shared" si="136"/>
        <v>4.8525028055728541</v>
      </c>
      <c r="AG216" s="209">
        <f t="shared" si="136"/>
        <v>4.3542246048035977</v>
      </c>
      <c r="AH216" s="209">
        <f t="shared" si="136"/>
        <v>4.5372018332055291</v>
      </c>
      <c r="AI216" s="209">
        <f t="shared" si="136"/>
        <v>4.5187995109419319</v>
      </c>
      <c r="AJ216" s="209">
        <f t="shared" si="136"/>
        <v>4.0197488776602484</v>
      </c>
      <c r="AK216" s="209">
        <f t="shared" si="136"/>
        <v>3.9413580462784807</v>
      </c>
      <c r="AL216" s="209">
        <f t="shared" si="136"/>
        <v>4.451131705232072</v>
      </c>
      <c r="AM216" s="209">
        <f t="shared" si="136"/>
        <v>3.9427429635507991</v>
      </c>
      <c r="AN216" s="209">
        <f t="shared" si="136"/>
        <v>3.9427429635507991</v>
      </c>
    </row>
    <row r="217" spans="2:40" s="7" customFormat="1" ht="12" customHeight="1" outlineLevel="1">
      <c r="B217" s="239"/>
      <c r="C217" s="214" t="s">
        <v>845</v>
      </c>
      <c r="D217" s="214"/>
      <c r="E217" s="209">
        <f>IF((SUM(E267:E303)-E214)&lt;2,ROUNDUP(SUM(E267:E303),0)-E214,ROUNDDOWN(SUM(E267:E303),0)-E214)</f>
        <v>-4.4408920985006262E-16</v>
      </c>
      <c r="F217" s="209">
        <f>IF((SUM(F267:F303)-F214)&lt;2,ROUND(SUM(F267:F303),0)-F214,ROUNDDOWN(SUM(F267:F303),0)-F214)</f>
        <v>1.1102230246251565E-15</v>
      </c>
      <c r="G217" s="209">
        <f>IF((SUM(G267:G303)-G214)&lt;2,ROUND(SUM(G267:G303),0)-G214,ROUNDDOWN(SUM(G267:G303),0)-G214)</f>
        <v>0</v>
      </c>
      <c r="H217" s="209">
        <f t="shared" ref="H217:I217" si="137">IF((SUM(H267:H303)-H214)&lt;2,ROUND(SUM(H267:H303),0)-H214,ROUNDDOWN(SUM(H267:H303),0)-H214)</f>
        <v>6.6613381477509392E-16</v>
      </c>
      <c r="I217" s="209">
        <f t="shared" si="137"/>
        <v>-1</v>
      </c>
      <c r="J217" s="209">
        <f t="shared" ref="J217:AN217" si="138">IF((SUM(J267:J303)-J214)&lt;2,ROUNDUP(SUM(J267:J303),0)-J214,ROUNDDOWN(SUM(J267:J303),0)-J214)</f>
        <v>1.0000000000000009</v>
      </c>
      <c r="K217" s="209">
        <f t="shared" si="138"/>
        <v>1.0000000000000013</v>
      </c>
      <c r="L217" s="209">
        <f t="shared" si="138"/>
        <v>1</v>
      </c>
      <c r="M217" s="209">
        <f t="shared" si="138"/>
        <v>0.51628943158931051</v>
      </c>
      <c r="N217" s="209">
        <f t="shared" si="138"/>
        <v>1.5162894315893105</v>
      </c>
      <c r="O217" s="209">
        <f t="shared" si="138"/>
        <v>2.5286285182246022</v>
      </c>
      <c r="P217" s="209">
        <f t="shared" si="138"/>
        <v>1.3524190121497348</v>
      </c>
      <c r="Q217" s="209">
        <f t="shared" si="138"/>
        <v>2.128342980617913</v>
      </c>
      <c r="R217" s="209">
        <f t="shared" si="138"/>
        <v>1.5518690184016979</v>
      </c>
      <c r="S217" s="209">
        <f t="shared" si="138"/>
        <v>2.3802346607424951</v>
      </c>
      <c r="T217" s="209">
        <f t="shared" si="138"/>
        <v>3.3112742986067834</v>
      </c>
      <c r="U217" s="209">
        <f t="shared" si="138"/>
        <v>3.6738438487991001</v>
      </c>
      <c r="V217" s="209">
        <f t="shared" si="138"/>
        <v>3.5980995416986126</v>
      </c>
      <c r="W217" s="209">
        <f t="shared" si="138"/>
        <v>3.7281668704408606</v>
      </c>
      <c r="X217" s="209">
        <f t="shared" si="138"/>
        <v>4.2610627805849353</v>
      </c>
      <c r="Y217" s="209">
        <f t="shared" si="138"/>
        <v>4.4646604884303791</v>
      </c>
      <c r="Z217" s="209">
        <f t="shared" si="138"/>
        <v>4.8872170736919829</v>
      </c>
      <c r="AA217" s="209">
        <f t="shared" si="138"/>
        <v>4.2643142591123011</v>
      </c>
      <c r="AB217" s="209">
        <f t="shared" si="138"/>
        <v>4.2643142591123011</v>
      </c>
      <c r="AC217" s="209">
        <f t="shared" si="138"/>
        <v>4.2566859612358261</v>
      </c>
      <c r="AD217" s="209">
        <f t="shared" si="138"/>
        <v>5.1037380368033958</v>
      </c>
      <c r="AE217" s="209">
        <f t="shared" si="138"/>
        <v>5.7604693214849902</v>
      </c>
      <c r="AF217" s="209">
        <f t="shared" si="138"/>
        <v>7.2450971944271334</v>
      </c>
      <c r="AG217" s="209">
        <f t="shared" si="138"/>
        <v>7.6953753951964003</v>
      </c>
      <c r="AH217" s="209">
        <f t="shared" si="138"/>
        <v>8.3923981667944503</v>
      </c>
      <c r="AI217" s="209">
        <f t="shared" si="138"/>
        <v>10.947600489058068</v>
      </c>
      <c r="AJ217" s="209">
        <f t="shared" si="138"/>
        <v>11.044251122339741</v>
      </c>
      <c r="AK217" s="209">
        <f t="shared" si="138"/>
        <v>11.858641953721516</v>
      </c>
      <c r="AL217" s="209">
        <f t="shared" si="138"/>
        <v>13.548868294767932</v>
      </c>
      <c r="AM217" s="209">
        <f t="shared" si="138"/>
        <v>15.057257036449204</v>
      </c>
      <c r="AN217" s="209">
        <f t="shared" si="138"/>
        <v>15.057257036449204</v>
      </c>
    </row>
    <row r="218" spans="2:40" s="7" customFormat="1" ht="12" customHeight="1" outlineLevel="1">
      <c r="B218" s="239"/>
      <c r="C218" s="214" t="s">
        <v>846</v>
      </c>
      <c r="D218" s="214"/>
      <c r="E218" s="209">
        <f>IF((SUM(E308:E343)-E215)&lt;1,ROUNDUP(SUM(E308:E343),0)-E215,ROUNDDOWN(SUM(E308:E343),0)-E215)</f>
        <v>0</v>
      </c>
      <c r="F218" s="209">
        <f t="shared" ref="F218:I218" si="139">IF((SUM(F308:F343)-F215)&lt;1,ROUNDUP(SUM(F308:F343),0)-F215,ROUNDDOWN(SUM(F308:F343),0)-F215)</f>
        <v>0</v>
      </c>
      <c r="G218" s="209">
        <f t="shared" si="139"/>
        <v>0</v>
      </c>
      <c r="H218" s="209">
        <f t="shared" si="139"/>
        <v>0</v>
      </c>
      <c r="I218" s="209">
        <f t="shared" si="139"/>
        <v>0</v>
      </c>
      <c r="J218" s="209">
        <f t="shared" ref="J218:AN218" si="140">IF((SUM(J308:J343)-J215)&lt;1,ROUNDUP(SUM(J308:J343),0)-J215,ROUNDDOWN(SUM(J308:J343),0)-J215)</f>
        <v>0</v>
      </c>
      <c r="K218" s="209">
        <f t="shared" si="140"/>
        <v>0</v>
      </c>
      <c r="L218" s="209">
        <f t="shared" si="140"/>
        <v>0</v>
      </c>
      <c r="M218" s="209">
        <f t="shared" si="140"/>
        <v>0</v>
      </c>
      <c r="N218" s="209">
        <f t="shared" si="140"/>
        <v>0</v>
      </c>
      <c r="O218" s="209">
        <f t="shared" si="140"/>
        <v>0</v>
      </c>
      <c r="P218" s="209">
        <f t="shared" si="140"/>
        <v>0</v>
      </c>
      <c r="Q218" s="209">
        <f t="shared" si="140"/>
        <v>0</v>
      </c>
      <c r="R218" s="209">
        <f t="shared" si="140"/>
        <v>0</v>
      </c>
      <c r="S218" s="209">
        <f t="shared" si="140"/>
        <v>0</v>
      </c>
      <c r="T218" s="209">
        <f t="shared" si="140"/>
        <v>0</v>
      </c>
      <c r="U218" s="209">
        <f t="shared" si="140"/>
        <v>0</v>
      </c>
      <c r="V218" s="209">
        <f t="shared" si="140"/>
        <v>0</v>
      </c>
      <c r="W218" s="209">
        <f t="shared" si="140"/>
        <v>0</v>
      </c>
      <c r="X218" s="209">
        <f t="shared" si="140"/>
        <v>0</v>
      </c>
      <c r="Y218" s="209">
        <f t="shared" si="140"/>
        <v>0</v>
      </c>
      <c r="Z218" s="209">
        <f t="shared" si="140"/>
        <v>0</v>
      </c>
      <c r="AA218" s="209">
        <f t="shared" si="140"/>
        <v>0</v>
      </c>
      <c r="AB218" s="209">
        <f t="shared" si="140"/>
        <v>0</v>
      </c>
      <c r="AC218" s="209">
        <f t="shared" si="140"/>
        <v>0</v>
      </c>
      <c r="AD218" s="209">
        <f t="shared" si="140"/>
        <v>0</v>
      </c>
      <c r="AE218" s="209">
        <f t="shared" si="140"/>
        <v>0</v>
      </c>
      <c r="AF218" s="209">
        <f t="shared" si="140"/>
        <v>0</v>
      </c>
      <c r="AG218" s="209">
        <f t="shared" si="140"/>
        <v>0</v>
      </c>
      <c r="AH218" s="209">
        <f t="shared" si="140"/>
        <v>0</v>
      </c>
      <c r="AI218" s="209">
        <f t="shared" si="140"/>
        <v>0</v>
      </c>
      <c r="AJ218" s="209">
        <f t="shared" si="140"/>
        <v>0</v>
      </c>
      <c r="AK218" s="209">
        <f t="shared" si="140"/>
        <v>0</v>
      </c>
      <c r="AL218" s="209">
        <f t="shared" si="140"/>
        <v>0</v>
      </c>
      <c r="AM218" s="209">
        <f t="shared" si="140"/>
        <v>0</v>
      </c>
      <c r="AN218" s="209">
        <f t="shared" si="140"/>
        <v>0</v>
      </c>
    </row>
    <row r="219" spans="2:40" s="7" customFormat="1" ht="12" customHeight="1" outlineLevel="1">
      <c r="B219" s="237"/>
      <c r="C219" s="214" t="s">
        <v>833</v>
      </c>
      <c r="D219" s="214"/>
      <c r="E219" s="210">
        <f t="shared" ref="E219:I219" si="141">SUM(E213:E215)</f>
        <v>9</v>
      </c>
      <c r="F219" s="210">
        <f t="shared" si="141"/>
        <v>19</v>
      </c>
      <c r="G219" s="210">
        <f t="shared" si="141"/>
        <v>1</v>
      </c>
      <c r="H219" s="210">
        <f>SUM(H213:H215)</f>
        <v>26</v>
      </c>
      <c r="I219" s="210">
        <f t="shared" si="141"/>
        <v>4</v>
      </c>
      <c r="J219" s="210">
        <f t="shared" ref="J219:P219" si="142">SUM(J213:J215)</f>
        <v>24</v>
      </c>
      <c r="K219" s="210">
        <f t="shared" si="142"/>
        <v>29</v>
      </c>
      <c r="L219" s="210">
        <f t="shared" si="142"/>
        <v>0</v>
      </c>
      <c r="M219" s="210">
        <f t="shared" si="142"/>
        <v>52</v>
      </c>
      <c r="N219" s="210">
        <f t="shared" si="142"/>
        <v>52</v>
      </c>
      <c r="O219" s="210">
        <f t="shared" si="142"/>
        <v>30</v>
      </c>
      <c r="P219" s="210">
        <f t="shared" si="142"/>
        <v>20</v>
      </c>
      <c r="Q219" s="210">
        <f t="shared" ref="Q219:AN219" si="143">SUM(Q213:Q215)</f>
        <v>32.194800000000008</v>
      </c>
      <c r="R219" s="210">
        <f t="shared" si="143"/>
        <v>57.288000000000011</v>
      </c>
      <c r="S219" s="210">
        <f t="shared" si="143"/>
        <v>52.746000000000002</v>
      </c>
      <c r="T219" s="210">
        <f t="shared" si="143"/>
        <v>20.225600000000004</v>
      </c>
      <c r="U219" s="210">
        <f t="shared" si="143"/>
        <v>18.2376</v>
      </c>
      <c r="V219" s="210">
        <f t="shared" si="143"/>
        <v>62.517600000000002</v>
      </c>
      <c r="W219" s="210">
        <f t="shared" si="143"/>
        <v>34.389000000000003</v>
      </c>
      <c r="X219" s="210">
        <f t="shared" si="143"/>
        <v>25.984000000000002</v>
      </c>
      <c r="Y219" s="210">
        <f t="shared" si="143"/>
        <v>46.8</v>
      </c>
      <c r="Z219" s="210">
        <f t="shared" si="143"/>
        <v>39</v>
      </c>
      <c r="AA219" s="210">
        <f t="shared" si="143"/>
        <v>15</v>
      </c>
      <c r="AB219" s="210">
        <f t="shared" si="143"/>
        <v>15</v>
      </c>
      <c r="AC219" s="210">
        <f t="shared" si="143"/>
        <v>64.389600000000016</v>
      </c>
      <c r="AD219" s="210">
        <f t="shared" si="143"/>
        <v>114.57600000000002</v>
      </c>
      <c r="AE219" s="210">
        <f t="shared" si="143"/>
        <v>105.492</v>
      </c>
      <c r="AF219" s="210">
        <f t="shared" si="143"/>
        <v>80.902400000000014</v>
      </c>
      <c r="AG219" s="210">
        <f t="shared" si="143"/>
        <v>72.950400000000002</v>
      </c>
      <c r="AH219" s="210">
        <f t="shared" si="143"/>
        <v>250.07040000000001</v>
      </c>
      <c r="AI219" s="210">
        <f t="shared" si="143"/>
        <v>82.533600000000007</v>
      </c>
      <c r="AJ219" s="210">
        <f t="shared" si="143"/>
        <v>103.93600000000001</v>
      </c>
      <c r="AK219" s="210">
        <f t="shared" si="143"/>
        <v>187.2</v>
      </c>
      <c r="AL219" s="210">
        <f t="shared" si="143"/>
        <v>156</v>
      </c>
      <c r="AM219" s="210">
        <f t="shared" si="143"/>
        <v>60</v>
      </c>
      <c r="AN219" s="210">
        <f t="shared" si="143"/>
        <v>60</v>
      </c>
    </row>
    <row r="220" spans="2:40" s="7" customFormat="1" ht="12" customHeight="1" outlineLevel="1">
      <c r="B220" s="237"/>
      <c r="C220" s="214" t="s">
        <v>847</v>
      </c>
      <c r="D220" s="214"/>
      <c r="E220" s="210">
        <f>SUM(E216:E218)</f>
        <v>33</v>
      </c>
      <c r="F220" s="210">
        <f t="shared" ref="F220:I220" si="144">SUM(F216:F218)</f>
        <v>90</v>
      </c>
      <c r="G220" s="210">
        <f t="shared" si="144"/>
        <v>6</v>
      </c>
      <c r="H220" s="210">
        <f t="shared" si="144"/>
        <v>178</v>
      </c>
      <c r="I220" s="210">
        <f t="shared" si="144"/>
        <v>7</v>
      </c>
      <c r="J220" s="210">
        <f t="shared" ref="J220:AN220" si="145">SUM(J216:J218)</f>
        <v>8</v>
      </c>
      <c r="K220" s="210">
        <f t="shared" si="145"/>
        <v>8.0000000000000018</v>
      </c>
      <c r="L220" s="210">
        <f t="shared" si="145"/>
        <v>8</v>
      </c>
      <c r="M220" s="210">
        <f t="shared" si="145"/>
        <v>6.9999999999999964</v>
      </c>
      <c r="N220" s="210">
        <f t="shared" si="145"/>
        <v>7.9999999999999964</v>
      </c>
      <c r="O220" s="210">
        <f t="shared" si="145"/>
        <v>9.0000000000000018</v>
      </c>
      <c r="P220" s="210">
        <f t="shared" si="145"/>
        <v>8</v>
      </c>
      <c r="Q220" s="210">
        <f t="shared" si="145"/>
        <v>8.8051999999999921</v>
      </c>
      <c r="R220" s="210">
        <f t="shared" si="145"/>
        <v>7.7119999999999909</v>
      </c>
      <c r="S220" s="210">
        <f t="shared" si="145"/>
        <v>8.2539999999999978</v>
      </c>
      <c r="T220" s="210">
        <f t="shared" si="145"/>
        <v>8.7743999999999964</v>
      </c>
      <c r="U220" s="210">
        <f t="shared" si="145"/>
        <v>9.7623999999999995</v>
      </c>
      <c r="V220" s="210">
        <f t="shared" si="145"/>
        <v>9.4823999999999948</v>
      </c>
      <c r="W220" s="210">
        <f t="shared" si="145"/>
        <v>9.6109999999999953</v>
      </c>
      <c r="X220" s="210">
        <f t="shared" si="145"/>
        <v>10.015999999999998</v>
      </c>
      <c r="Y220" s="210">
        <f t="shared" si="145"/>
        <v>10.199999999999999</v>
      </c>
      <c r="Z220" s="210">
        <f t="shared" si="145"/>
        <v>10</v>
      </c>
      <c r="AA220" s="210">
        <f t="shared" si="145"/>
        <v>9</v>
      </c>
      <c r="AB220" s="210">
        <f t="shared" si="145"/>
        <v>9</v>
      </c>
      <c r="AC220" s="210">
        <f t="shared" si="145"/>
        <v>8.6103999999999861</v>
      </c>
      <c r="AD220" s="210">
        <f t="shared" si="145"/>
        <v>9.4239999999999817</v>
      </c>
      <c r="AE220" s="210">
        <f t="shared" si="145"/>
        <v>10.507999999999996</v>
      </c>
      <c r="AF220" s="210">
        <f t="shared" si="145"/>
        <v>12.097599999999987</v>
      </c>
      <c r="AG220" s="210">
        <f t="shared" si="145"/>
        <v>12.049599999999998</v>
      </c>
      <c r="AH220" s="210">
        <f t="shared" si="145"/>
        <v>12.929599999999979</v>
      </c>
      <c r="AI220" s="210">
        <f t="shared" si="145"/>
        <v>15.4664</v>
      </c>
      <c r="AJ220" s="210">
        <f t="shared" si="145"/>
        <v>15.063999999999989</v>
      </c>
      <c r="AK220" s="210">
        <f t="shared" si="145"/>
        <v>15.799999999999997</v>
      </c>
      <c r="AL220" s="210">
        <f t="shared" si="145"/>
        <v>18.000000000000004</v>
      </c>
      <c r="AM220" s="210">
        <f t="shared" si="145"/>
        <v>19.000000000000004</v>
      </c>
      <c r="AN220" s="210">
        <f t="shared" si="145"/>
        <v>19.000000000000004</v>
      </c>
    </row>
    <row r="221" spans="2:40" s="7" customFormat="1" ht="12" customHeight="1" outlineLevel="1">
      <c r="B221" s="237"/>
      <c r="C221" s="214" t="s">
        <v>848</v>
      </c>
      <c r="D221" s="214"/>
      <c r="E221" s="205">
        <f>SUM(E219:E220)</f>
        <v>42</v>
      </c>
      <c r="F221" s="205">
        <f t="shared" ref="F221:I221" si="146">SUM(F219:F220)</f>
        <v>109</v>
      </c>
      <c r="G221" s="205">
        <f t="shared" si="146"/>
        <v>7</v>
      </c>
      <c r="H221" s="205">
        <f t="shared" si="146"/>
        <v>204</v>
      </c>
      <c r="I221" s="205">
        <f t="shared" si="146"/>
        <v>11</v>
      </c>
      <c r="J221" s="205">
        <f t="shared" ref="J221:AN221" si="147">SUM(J219:J220)</f>
        <v>32</v>
      </c>
      <c r="K221" s="205">
        <f t="shared" si="147"/>
        <v>37</v>
      </c>
      <c r="L221" s="205">
        <f t="shared" si="147"/>
        <v>8</v>
      </c>
      <c r="M221" s="205">
        <f t="shared" si="147"/>
        <v>59</v>
      </c>
      <c r="N221" s="205">
        <f t="shared" si="147"/>
        <v>60</v>
      </c>
      <c r="O221" s="205">
        <f t="shared" si="147"/>
        <v>39</v>
      </c>
      <c r="P221" s="205">
        <f t="shared" si="147"/>
        <v>28</v>
      </c>
      <c r="Q221" s="205">
        <f t="shared" si="147"/>
        <v>41</v>
      </c>
      <c r="R221" s="205">
        <f t="shared" si="147"/>
        <v>65</v>
      </c>
      <c r="S221" s="205">
        <f t="shared" si="147"/>
        <v>61</v>
      </c>
      <c r="T221" s="205">
        <f t="shared" si="147"/>
        <v>29</v>
      </c>
      <c r="U221" s="205">
        <f t="shared" si="147"/>
        <v>28</v>
      </c>
      <c r="V221" s="205">
        <f t="shared" si="147"/>
        <v>72</v>
      </c>
      <c r="W221" s="205">
        <f t="shared" si="147"/>
        <v>44</v>
      </c>
      <c r="X221" s="205">
        <f t="shared" si="147"/>
        <v>36</v>
      </c>
      <c r="Y221" s="205">
        <f t="shared" si="147"/>
        <v>57</v>
      </c>
      <c r="Z221" s="205">
        <f t="shared" si="147"/>
        <v>49</v>
      </c>
      <c r="AA221" s="205">
        <f t="shared" si="147"/>
        <v>24</v>
      </c>
      <c r="AB221" s="205">
        <f t="shared" si="147"/>
        <v>24</v>
      </c>
      <c r="AC221" s="205">
        <f t="shared" si="147"/>
        <v>73</v>
      </c>
      <c r="AD221" s="205">
        <f t="shared" si="147"/>
        <v>124</v>
      </c>
      <c r="AE221" s="205">
        <f t="shared" si="147"/>
        <v>116</v>
      </c>
      <c r="AF221" s="205">
        <f t="shared" si="147"/>
        <v>93</v>
      </c>
      <c r="AG221" s="205">
        <f t="shared" si="147"/>
        <v>85</v>
      </c>
      <c r="AH221" s="205">
        <f t="shared" si="147"/>
        <v>263</v>
      </c>
      <c r="AI221" s="205">
        <f t="shared" si="147"/>
        <v>98</v>
      </c>
      <c r="AJ221" s="205">
        <f t="shared" si="147"/>
        <v>119</v>
      </c>
      <c r="AK221" s="205">
        <f t="shared" si="147"/>
        <v>203</v>
      </c>
      <c r="AL221" s="205">
        <f t="shared" si="147"/>
        <v>174</v>
      </c>
      <c r="AM221" s="205">
        <f t="shared" si="147"/>
        <v>79</v>
      </c>
      <c r="AN221" s="205">
        <f t="shared" si="147"/>
        <v>79</v>
      </c>
    </row>
    <row r="222" spans="2:40" s="7" customFormat="1" ht="12" customHeight="1" outlineLevel="1">
      <c r="B222" s="239"/>
      <c r="C222" s="212"/>
      <c r="D222" s="212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</row>
    <row r="223" spans="2:40" s="7" customFormat="1" ht="12" hidden="1" customHeight="1" outlineLevel="2">
      <c r="B223" s="239"/>
      <c r="C223" s="249" t="s">
        <v>849</v>
      </c>
      <c r="D223" s="212"/>
      <c r="O223" s="212"/>
      <c r="P223" s="212"/>
      <c r="Q223" s="212"/>
      <c r="R223" s="212"/>
      <c r="S223" s="212"/>
      <c r="T223" s="212"/>
      <c r="U223" s="212"/>
      <c r="V223" s="212"/>
      <c r="W223" s="212"/>
      <c r="X223" s="212"/>
      <c r="Y223" s="212"/>
      <c r="Z223" s="212"/>
      <c r="AA223" s="212"/>
      <c r="AB223" s="212"/>
      <c r="AC223" s="212"/>
      <c r="AD223" s="212"/>
      <c r="AE223" s="212"/>
      <c r="AF223" s="212"/>
      <c r="AG223" s="212"/>
      <c r="AH223" s="212"/>
      <c r="AI223" s="212"/>
      <c r="AJ223" s="212"/>
      <c r="AK223" s="212"/>
      <c r="AL223" s="212"/>
      <c r="AM223" s="212"/>
      <c r="AN223" s="212"/>
    </row>
    <row r="224" spans="2:40" s="7" customFormat="1" ht="12" hidden="1" customHeight="1" outlineLevel="2">
      <c r="B224" s="239"/>
      <c r="C224" s="212" t="s">
        <v>850</v>
      </c>
      <c r="D224" s="212"/>
      <c r="E224" s="196" t="s">
        <v>753</v>
      </c>
      <c r="F224" s="196" t="s">
        <v>754</v>
      </c>
      <c r="G224" s="196" t="s">
        <v>755</v>
      </c>
      <c r="H224" s="196" t="s">
        <v>756</v>
      </c>
      <c r="I224" s="196" t="s">
        <v>757</v>
      </c>
      <c r="J224" s="196" t="s">
        <v>758</v>
      </c>
      <c r="K224" s="196" t="s">
        <v>759</v>
      </c>
      <c r="L224" s="196" t="s">
        <v>760</v>
      </c>
      <c r="M224" s="196" t="s">
        <v>761</v>
      </c>
      <c r="N224" s="196" t="s">
        <v>762</v>
      </c>
      <c r="O224" s="196" t="s">
        <v>763</v>
      </c>
      <c r="P224" s="196" t="s">
        <v>764</v>
      </c>
      <c r="Q224" s="196" t="s">
        <v>765</v>
      </c>
      <c r="R224" s="196" t="s">
        <v>766</v>
      </c>
      <c r="S224" s="196" t="s">
        <v>767</v>
      </c>
      <c r="T224" s="196" t="s">
        <v>768</v>
      </c>
      <c r="U224" s="196" t="s">
        <v>769</v>
      </c>
      <c r="V224" s="196" t="s">
        <v>770</v>
      </c>
      <c r="W224" s="196" t="s">
        <v>771</v>
      </c>
      <c r="X224" s="196" t="s">
        <v>772</v>
      </c>
      <c r="Y224" s="196" t="s">
        <v>773</v>
      </c>
      <c r="Z224" s="196" t="s">
        <v>774</v>
      </c>
      <c r="AA224" s="196" t="s">
        <v>775</v>
      </c>
      <c r="AB224" s="196" t="s">
        <v>776</v>
      </c>
      <c r="AC224" s="196" t="s">
        <v>777</v>
      </c>
      <c r="AD224" s="196" t="s">
        <v>778</v>
      </c>
      <c r="AE224" s="196" t="s">
        <v>779</v>
      </c>
      <c r="AF224" s="196" t="s">
        <v>780</v>
      </c>
      <c r="AG224" s="196" t="s">
        <v>781</v>
      </c>
      <c r="AH224" s="196" t="s">
        <v>782</v>
      </c>
      <c r="AI224" s="196" t="s">
        <v>783</v>
      </c>
      <c r="AJ224" s="196" t="s">
        <v>784</v>
      </c>
      <c r="AK224" s="196" t="s">
        <v>785</v>
      </c>
      <c r="AL224" s="196" t="s">
        <v>786</v>
      </c>
      <c r="AM224" s="196" t="s">
        <v>787</v>
      </c>
      <c r="AN224" s="196" t="s">
        <v>788</v>
      </c>
    </row>
    <row r="225" spans="2:40" s="7" customFormat="1" ht="12" hidden="1" customHeight="1" outlineLevel="2">
      <c r="B225" s="239"/>
      <c r="C225" s="212" t="s">
        <v>851</v>
      </c>
      <c r="D225" s="212"/>
      <c r="E225" s="344">
        <v>0</v>
      </c>
      <c r="F225" s="344">
        <v>0</v>
      </c>
      <c r="G225" s="344">
        <v>0</v>
      </c>
      <c r="H225" s="344">
        <v>0</v>
      </c>
      <c r="I225" s="344">
        <v>0</v>
      </c>
      <c r="J225" s="344">
        <v>0</v>
      </c>
      <c r="K225" s="344">
        <v>0</v>
      </c>
      <c r="L225" s="344">
        <v>0</v>
      </c>
      <c r="M225" s="344">
        <v>0</v>
      </c>
      <c r="N225" s="344">
        <v>0</v>
      </c>
      <c r="O225" s="344">
        <v>0</v>
      </c>
      <c r="P225" s="344">
        <v>0</v>
      </c>
      <c r="Q225" s="344">
        <v>0</v>
      </c>
      <c r="R225" s="344">
        <v>0</v>
      </c>
      <c r="S225" s="344">
        <v>0</v>
      </c>
      <c r="T225" s="344">
        <v>0</v>
      </c>
      <c r="U225" s="344">
        <v>0</v>
      </c>
      <c r="V225" s="344">
        <v>0</v>
      </c>
      <c r="W225" s="344">
        <v>0</v>
      </c>
      <c r="X225" s="344">
        <v>0</v>
      </c>
      <c r="Y225" s="344">
        <v>0</v>
      </c>
      <c r="Z225" s="344">
        <v>0</v>
      </c>
      <c r="AA225" s="344">
        <v>0</v>
      </c>
      <c r="AB225" s="344">
        <v>0</v>
      </c>
      <c r="AC225" s="344">
        <v>0</v>
      </c>
      <c r="AD225" s="344">
        <v>0</v>
      </c>
      <c r="AE225" s="344">
        <v>0</v>
      </c>
      <c r="AF225" s="344">
        <v>0</v>
      </c>
      <c r="AG225" s="344">
        <v>0</v>
      </c>
      <c r="AH225" s="344">
        <v>0</v>
      </c>
      <c r="AI225" s="344">
        <v>0</v>
      </c>
      <c r="AJ225" s="344">
        <v>0</v>
      </c>
      <c r="AK225" s="344">
        <v>0</v>
      </c>
      <c r="AL225" s="344">
        <v>0</v>
      </c>
      <c r="AM225" s="344">
        <v>0</v>
      </c>
      <c r="AN225" s="344">
        <v>0</v>
      </c>
    </row>
    <row r="226" spans="2:40" s="7" customFormat="1" ht="12" hidden="1" customHeight="1" outlineLevel="2">
      <c r="B226" s="239"/>
      <c r="C226" s="212" t="s">
        <v>861</v>
      </c>
      <c r="D226" s="212"/>
      <c r="E226" s="211">
        <v>33</v>
      </c>
      <c r="F226" s="211">
        <v>90</v>
      </c>
      <c r="G226" s="211">
        <v>6</v>
      </c>
      <c r="H226" s="211">
        <v>178</v>
      </c>
      <c r="I226" s="211">
        <v>8</v>
      </c>
      <c r="J226" s="211">
        <f t="shared" ref="J226:AN226" si="148">I226*98%</f>
        <v>7.84</v>
      </c>
      <c r="K226" s="211">
        <f t="shared" si="148"/>
        <v>7.6831999999999994</v>
      </c>
      <c r="L226" s="211">
        <f t="shared" si="148"/>
        <v>7.5295359999999993</v>
      </c>
      <c r="M226" s="211">
        <f t="shared" si="148"/>
        <v>7.3789452799999991</v>
      </c>
      <c r="N226" s="211">
        <f t="shared" si="148"/>
        <v>7.2313663743999985</v>
      </c>
      <c r="O226" s="211">
        <f t="shared" si="148"/>
        <v>7.0867390469119984</v>
      </c>
      <c r="P226" s="211">
        <f t="shared" si="148"/>
        <v>6.9450042659737585</v>
      </c>
      <c r="Q226" s="211">
        <f t="shared" si="148"/>
        <v>6.806104180654283</v>
      </c>
      <c r="R226" s="211">
        <f t="shared" si="148"/>
        <v>6.6699820970411974</v>
      </c>
      <c r="S226" s="211">
        <f t="shared" si="148"/>
        <v>6.5365824551003735</v>
      </c>
      <c r="T226" s="211">
        <f t="shared" si="148"/>
        <v>6.4058508059983659</v>
      </c>
      <c r="U226" s="211">
        <f t="shared" si="148"/>
        <v>6.2777337898783987</v>
      </c>
      <c r="V226" s="211">
        <f t="shared" si="148"/>
        <v>6.1521791140808304</v>
      </c>
      <c r="W226" s="211">
        <f t="shared" si="148"/>
        <v>6.0291355317992137</v>
      </c>
      <c r="X226" s="211">
        <f t="shared" si="148"/>
        <v>5.9085528211632292</v>
      </c>
      <c r="Y226" s="211">
        <f t="shared" si="148"/>
        <v>5.7903817647399647</v>
      </c>
      <c r="Z226" s="211">
        <f t="shared" si="148"/>
        <v>5.6745741294451655</v>
      </c>
      <c r="AA226" s="211">
        <f t="shared" si="148"/>
        <v>5.5610826468562617</v>
      </c>
      <c r="AB226" s="211">
        <f t="shared" si="148"/>
        <v>5.4498609939191365</v>
      </c>
      <c r="AC226" s="211">
        <f t="shared" si="148"/>
        <v>5.3408637740407539</v>
      </c>
      <c r="AD226" s="211">
        <f t="shared" si="148"/>
        <v>5.2340464985599384</v>
      </c>
      <c r="AE226" s="211">
        <f t="shared" si="148"/>
        <v>5.1293655685887396</v>
      </c>
      <c r="AF226" s="211">
        <f t="shared" si="148"/>
        <v>5.0267782572169644</v>
      </c>
      <c r="AG226" s="211">
        <f t="shared" si="148"/>
        <v>4.9262426920726252</v>
      </c>
      <c r="AH226" s="211">
        <f t="shared" si="148"/>
        <v>4.8277178382311723</v>
      </c>
      <c r="AI226" s="211">
        <f t="shared" si="148"/>
        <v>4.7311634814665489</v>
      </c>
      <c r="AJ226" s="211">
        <f t="shared" si="148"/>
        <v>4.6365402118372181</v>
      </c>
      <c r="AK226" s="211">
        <f t="shared" si="148"/>
        <v>4.5438094076004738</v>
      </c>
      <c r="AL226" s="211">
        <f t="shared" si="148"/>
        <v>4.4529332194484645</v>
      </c>
      <c r="AM226" s="211">
        <f t="shared" si="148"/>
        <v>4.3638745550594953</v>
      </c>
      <c r="AN226" s="211">
        <f t="shared" si="148"/>
        <v>4.2765970639583051</v>
      </c>
    </row>
    <row r="227" spans="2:40" s="7" customFormat="1" ht="12" hidden="1" customHeight="1" outlineLevel="2">
      <c r="B227" s="245"/>
      <c r="C227" s="250" t="s">
        <v>753</v>
      </c>
      <c r="D227" s="250"/>
      <c r="E227" s="211">
        <f>INDEX($C$199:$AN$221,MATCH("New Customers One-Time",$C$199:$C$221,0),MATCH($C227,$C$199:$AN$199,0))</f>
        <v>8</v>
      </c>
      <c r="F227" s="211">
        <f t="shared" ref="F227:AN227" si="149">$E$227*(E225)</f>
        <v>0</v>
      </c>
      <c r="G227" s="211">
        <f t="shared" si="149"/>
        <v>0</v>
      </c>
      <c r="H227" s="211">
        <f t="shared" si="149"/>
        <v>0</v>
      </c>
      <c r="I227" s="211">
        <f t="shared" si="149"/>
        <v>0</v>
      </c>
      <c r="J227" s="211">
        <f t="shared" si="149"/>
        <v>0</v>
      </c>
      <c r="K227" s="211">
        <f t="shared" si="149"/>
        <v>0</v>
      </c>
      <c r="L227" s="211">
        <f t="shared" si="149"/>
        <v>0</v>
      </c>
      <c r="M227" s="211">
        <f t="shared" si="149"/>
        <v>0</v>
      </c>
      <c r="N227" s="211">
        <f t="shared" si="149"/>
        <v>0</v>
      </c>
      <c r="O227" s="211">
        <f t="shared" si="149"/>
        <v>0</v>
      </c>
      <c r="P227" s="211">
        <f t="shared" si="149"/>
        <v>0</v>
      </c>
      <c r="Q227" s="211">
        <f t="shared" si="149"/>
        <v>0</v>
      </c>
      <c r="R227" s="211">
        <f t="shared" si="149"/>
        <v>0</v>
      </c>
      <c r="S227" s="211">
        <f t="shared" si="149"/>
        <v>0</v>
      </c>
      <c r="T227" s="211">
        <f t="shared" si="149"/>
        <v>0</v>
      </c>
      <c r="U227" s="211">
        <f t="shared" si="149"/>
        <v>0</v>
      </c>
      <c r="V227" s="211">
        <f t="shared" si="149"/>
        <v>0</v>
      </c>
      <c r="W227" s="211">
        <f t="shared" si="149"/>
        <v>0</v>
      </c>
      <c r="X227" s="211">
        <f t="shared" si="149"/>
        <v>0</v>
      </c>
      <c r="Y227" s="211">
        <f t="shared" si="149"/>
        <v>0</v>
      </c>
      <c r="Z227" s="211">
        <f t="shared" si="149"/>
        <v>0</v>
      </c>
      <c r="AA227" s="211">
        <f t="shared" si="149"/>
        <v>0</v>
      </c>
      <c r="AB227" s="211">
        <f t="shared" si="149"/>
        <v>0</v>
      </c>
      <c r="AC227" s="211">
        <f t="shared" si="149"/>
        <v>0</v>
      </c>
      <c r="AD227" s="211">
        <f t="shared" si="149"/>
        <v>0</v>
      </c>
      <c r="AE227" s="211">
        <f t="shared" si="149"/>
        <v>0</v>
      </c>
      <c r="AF227" s="211">
        <f t="shared" si="149"/>
        <v>0</v>
      </c>
      <c r="AG227" s="211">
        <f t="shared" si="149"/>
        <v>0</v>
      </c>
      <c r="AH227" s="211">
        <f t="shared" si="149"/>
        <v>0</v>
      </c>
      <c r="AI227" s="211">
        <f t="shared" si="149"/>
        <v>0</v>
      </c>
      <c r="AJ227" s="211">
        <f t="shared" si="149"/>
        <v>0</v>
      </c>
      <c r="AK227" s="211">
        <f t="shared" si="149"/>
        <v>0</v>
      </c>
      <c r="AL227" s="211">
        <f t="shared" si="149"/>
        <v>0</v>
      </c>
      <c r="AM227" s="211">
        <f t="shared" si="149"/>
        <v>0</v>
      </c>
      <c r="AN227" s="211">
        <f t="shared" si="149"/>
        <v>0</v>
      </c>
    </row>
    <row r="228" spans="2:40" s="7" customFormat="1" ht="12" hidden="1" customHeight="1" outlineLevel="2">
      <c r="B228" s="245"/>
      <c r="C228" s="250" t="s">
        <v>754</v>
      </c>
      <c r="D228" s="250"/>
      <c r="E228" s="213"/>
      <c r="F228" s="211">
        <f>INDEX($C$199:$AN$221,MATCH("New Customers One-Time",$C$199:$C$221,0),MATCH($C228,$C$199:$AN$199,0))</f>
        <v>18</v>
      </c>
      <c r="G228" s="211">
        <f t="shared" ref="G228:AN228" si="150">$F$228*(E225)</f>
        <v>0</v>
      </c>
      <c r="H228" s="211">
        <f t="shared" si="150"/>
        <v>0</v>
      </c>
      <c r="I228" s="211">
        <f t="shared" si="150"/>
        <v>0</v>
      </c>
      <c r="J228" s="211">
        <f t="shared" si="150"/>
        <v>0</v>
      </c>
      <c r="K228" s="211">
        <f t="shared" si="150"/>
        <v>0</v>
      </c>
      <c r="L228" s="211">
        <f t="shared" si="150"/>
        <v>0</v>
      </c>
      <c r="M228" s="211">
        <f t="shared" si="150"/>
        <v>0</v>
      </c>
      <c r="N228" s="211">
        <f t="shared" si="150"/>
        <v>0</v>
      </c>
      <c r="O228" s="211">
        <f t="shared" si="150"/>
        <v>0</v>
      </c>
      <c r="P228" s="211">
        <f t="shared" si="150"/>
        <v>0</v>
      </c>
      <c r="Q228" s="211">
        <f t="shared" si="150"/>
        <v>0</v>
      </c>
      <c r="R228" s="211">
        <f t="shared" si="150"/>
        <v>0</v>
      </c>
      <c r="S228" s="211">
        <f t="shared" si="150"/>
        <v>0</v>
      </c>
      <c r="T228" s="211">
        <f t="shared" si="150"/>
        <v>0</v>
      </c>
      <c r="U228" s="211">
        <f t="shared" si="150"/>
        <v>0</v>
      </c>
      <c r="V228" s="211">
        <f t="shared" si="150"/>
        <v>0</v>
      </c>
      <c r="W228" s="211">
        <f t="shared" si="150"/>
        <v>0</v>
      </c>
      <c r="X228" s="211">
        <f t="shared" si="150"/>
        <v>0</v>
      </c>
      <c r="Y228" s="211">
        <f t="shared" si="150"/>
        <v>0</v>
      </c>
      <c r="Z228" s="211">
        <f t="shared" si="150"/>
        <v>0</v>
      </c>
      <c r="AA228" s="211">
        <f t="shared" si="150"/>
        <v>0</v>
      </c>
      <c r="AB228" s="211">
        <f t="shared" si="150"/>
        <v>0</v>
      </c>
      <c r="AC228" s="211">
        <f t="shared" si="150"/>
        <v>0</v>
      </c>
      <c r="AD228" s="211">
        <f t="shared" si="150"/>
        <v>0</v>
      </c>
      <c r="AE228" s="211">
        <f t="shared" si="150"/>
        <v>0</v>
      </c>
      <c r="AF228" s="211">
        <f t="shared" si="150"/>
        <v>0</v>
      </c>
      <c r="AG228" s="211">
        <f t="shared" si="150"/>
        <v>0</v>
      </c>
      <c r="AH228" s="211">
        <f t="shared" si="150"/>
        <v>0</v>
      </c>
      <c r="AI228" s="211">
        <f t="shared" si="150"/>
        <v>0</v>
      </c>
      <c r="AJ228" s="211">
        <f t="shared" si="150"/>
        <v>0</v>
      </c>
      <c r="AK228" s="211">
        <f t="shared" si="150"/>
        <v>0</v>
      </c>
      <c r="AL228" s="211">
        <f t="shared" si="150"/>
        <v>0</v>
      </c>
      <c r="AM228" s="211">
        <f t="shared" si="150"/>
        <v>0</v>
      </c>
      <c r="AN228" s="211">
        <f t="shared" si="150"/>
        <v>0</v>
      </c>
    </row>
    <row r="229" spans="2:40" s="7" customFormat="1" ht="12" hidden="1" customHeight="1" outlineLevel="2">
      <c r="B229" s="245"/>
      <c r="C229" s="250" t="s">
        <v>755</v>
      </c>
      <c r="D229" s="250"/>
      <c r="E229" s="213"/>
      <c r="G229" s="211">
        <f>INDEX($C$199:$AN$221,MATCH("New Customers One-Time",$C$199:$C$221,0),MATCH($C229,$C$199:$AN$199,0))</f>
        <v>1</v>
      </c>
      <c r="H229" s="211">
        <f t="shared" ref="H229:AN229" si="151">$G$229*(E225)</f>
        <v>0</v>
      </c>
      <c r="I229" s="211">
        <f t="shared" si="151"/>
        <v>0</v>
      </c>
      <c r="J229" s="211">
        <f t="shared" si="151"/>
        <v>0</v>
      </c>
      <c r="K229" s="211">
        <f t="shared" si="151"/>
        <v>0</v>
      </c>
      <c r="L229" s="211">
        <f t="shared" si="151"/>
        <v>0</v>
      </c>
      <c r="M229" s="211">
        <f t="shared" si="151"/>
        <v>0</v>
      </c>
      <c r="N229" s="211">
        <f t="shared" si="151"/>
        <v>0</v>
      </c>
      <c r="O229" s="211">
        <f t="shared" si="151"/>
        <v>0</v>
      </c>
      <c r="P229" s="211">
        <f t="shared" si="151"/>
        <v>0</v>
      </c>
      <c r="Q229" s="211">
        <f t="shared" si="151"/>
        <v>0</v>
      </c>
      <c r="R229" s="211">
        <f t="shared" si="151"/>
        <v>0</v>
      </c>
      <c r="S229" s="211">
        <f t="shared" si="151"/>
        <v>0</v>
      </c>
      <c r="T229" s="211">
        <f t="shared" si="151"/>
        <v>0</v>
      </c>
      <c r="U229" s="211">
        <f t="shared" si="151"/>
        <v>0</v>
      </c>
      <c r="V229" s="211">
        <f t="shared" si="151"/>
        <v>0</v>
      </c>
      <c r="W229" s="211">
        <f t="shared" si="151"/>
        <v>0</v>
      </c>
      <c r="X229" s="211">
        <f t="shared" si="151"/>
        <v>0</v>
      </c>
      <c r="Y229" s="211">
        <f t="shared" si="151"/>
        <v>0</v>
      </c>
      <c r="Z229" s="211">
        <f t="shared" si="151"/>
        <v>0</v>
      </c>
      <c r="AA229" s="211">
        <f t="shared" si="151"/>
        <v>0</v>
      </c>
      <c r="AB229" s="211">
        <f t="shared" si="151"/>
        <v>0</v>
      </c>
      <c r="AC229" s="211">
        <f t="shared" si="151"/>
        <v>0</v>
      </c>
      <c r="AD229" s="211">
        <f t="shared" si="151"/>
        <v>0</v>
      </c>
      <c r="AE229" s="211">
        <f t="shared" si="151"/>
        <v>0</v>
      </c>
      <c r="AF229" s="211">
        <f t="shared" si="151"/>
        <v>0</v>
      </c>
      <c r="AG229" s="211">
        <f t="shared" si="151"/>
        <v>0</v>
      </c>
      <c r="AH229" s="211">
        <f t="shared" si="151"/>
        <v>0</v>
      </c>
      <c r="AI229" s="211">
        <f t="shared" si="151"/>
        <v>0</v>
      </c>
      <c r="AJ229" s="211">
        <f t="shared" si="151"/>
        <v>0</v>
      </c>
      <c r="AK229" s="211">
        <f t="shared" si="151"/>
        <v>0</v>
      </c>
      <c r="AL229" s="211">
        <f t="shared" si="151"/>
        <v>0</v>
      </c>
      <c r="AM229" s="211">
        <f t="shared" si="151"/>
        <v>0</v>
      </c>
      <c r="AN229" s="211">
        <f t="shared" si="151"/>
        <v>0</v>
      </c>
    </row>
    <row r="230" spans="2:40" s="7" customFormat="1" ht="12" hidden="1" customHeight="1" outlineLevel="2">
      <c r="B230" s="245"/>
      <c r="C230" s="250" t="s">
        <v>756</v>
      </c>
      <c r="D230" s="250"/>
      <c r="E230" s="213"/>
      <c r="F230" s="213"/>
      <c r="G230" s="213"/>
      <c r="H230" s="211">
        <f>INDEX($C$199:$AN$221,MATCH("New Customers One-Time",$C$199:$C$221,0),MATCH($C230,$C$199:$AN$199,0))</f>
        <v>25</v>
      </c>
      <c r="I230" s="211">
        <f t="shared" ref="I230:AN230" si="152">$H$230*(E225)</f>
        <v>0</v>
      </c>
      <c r="J230" s="211">
        <f t="shared" si="152"/>
        <v>0</v>
      </c>
      <c r="K230" s="211">
        <f t="shared" si="152"/>
        <v>0</v>
      </c>
      <c r="L230" s="211">
        <f t="shared" si="152"/>
        <v>0</v>
      </c>
      <c r="M230" s="211">
        <f t="shared" si="152"/>
        <v>0</v>
      </c>
      <c r="N230" s="211">
        <f t="shared" si="152"/>
        <v>0</v>
      </c>
      <c r="O230" s="211">
        <f t="shared" si="152"/>
        <v>0</v>
      </c>
      <c r="P230" s="211">
        <f t="shared" si="152"/>
        <v>0</v>
      </c>
      <c r="Q230" s="211">
        <f t="shared" si="152"/>
        <v>0</v>
      </c>
      <c r="R230" s="211">
        <f t="shared" si="152"/>
        <v>0</v>
      </c>
      <c r="S230" s="211">
        <f t="shared" si="152"/>
        <v>0</v>
      </c>
      <c r="T230" s="211">
        <f t="shared" si="152"/>
        <v>0</v>
      </c>
      <c r="U230" s="211">
        <f t="shared" si="152"/>
        <v>0</v>
      </c>
      <c r="V230" s="211">
        <f t="shared" si="152"/>
        <v>0</v>
      </c>
      <c r="W230" s="211">
        <f t="shared" si="152"/>
        <v>0</v>
      </c>
      <c r="X230" s="211">
        <f t="shared" si="152"/>
        <v>0</v>
      </c>
      <c r="Y230" s="211">
        <f t="shared" si="152"/>
        <v>0</v>
      </c>
      <c r="Z230" s="211">
        <f t="shared" si="152"/>
        <v>0</v>
      </c>
      <c r="AA230" s="211">
        <f t="shared" si="152"/>
        <v>0</v>
      </c>
      <c r="AB230" s="211">
        <f t="shared" si="152"/>
        <v>0</v>
      </c>
      <c r="AC230" s="211">
        <f t="shared" si="152"/>
        <v>0</v>
      </c>
      <c r="AD230" s="211">
        <f t="shared" si="152"/>
        <v>0</v>
      </c>
      <c r="AE230" s="211">
        <f t="shared" si="152"/>
        <v>0</v>
      </c>
      <c r="AF230" s="211">
        <f t="shared" si="152"/>
        <v>0</v>
      </c>
      <c r="AG230" s="211">
        <f t="shared" si="152"/>
        <v>0</v>
      </c>
      <c r="AH230" s="211">
        <f t="shared" si="152"/>
        <v>0</v>
      </c>
      <c r="AI230" s="211">
        <f t="shared" si="152"/>
        <v>0</v>
      </c>
      <c r="AJ230" s="211">
        <f t="shared" si="152"/>
        <v>0</v>
      </c>
      <c r="AK230" s="211">
        <f t="shared" si="152"/>
        <v>0</v>
      </c>
      <c r="AL230" s="211">
        <f t="shared" si="152"/>
        <v>0</v>
      </c>
      <c r="AM230" s="211">
        <f t="shared" si="152"/>
        <v>0</v>
      </c>
      <c r="AN230" s="211">
        <f t="shared" si="152"/>
        <v>0</v>
      </c>
    </row>
    <row r="231" spans="2:40" s="7" customFormat="1" ht="12" hidden="1" customHeight="1" outlineLevel="2">
      <c r="B231" s="245"/>
      <c r="C231" s="250" t="s">
        <v>757</v>
      </c>
      <c r="D231" s="250"/>
      <c r="E231" s="213"/>
      <c r="F231" s="213"/>
      <c r="G231" s="213"/>
      <c r="H231" s="213"/>
      <c r="I231" s="211">
        <f>INDEX($C$199:$AN$221,MATCH("New Customers One-Time",$C$199:$C$221,0),MATCH($C231,$C$199:$AN$199,0))</f>
        <v>3</v>
      </c>
      <c r="J231" s="211">
        <f t="shared" ref="J231:AN231" si="153">$I$231*(E225)</f>
        <v>0</v>
      </c>
      <c r="K231" s="211">
        <f t="shared" si="153"/>
        <v>0</v>
      </c>
      <c r="L231" s="211">
        <f t="shared" si="153"/>
        <v>0</v>
      </c>
      <c r="M231" s="211">
        <f t="shared" si="153"/>
        <v>0</v>
      </c>
      <c r="N231" s="211">
        <f t="shared" si="153"/>
        <v>0</v>
      </c>
      <c r="O231" s="211">
        <f t="shared" si="153"/>
        <v>0</v>
      </c>
      <c r="P231" s="211">
        <f t="shared" si="153"/>
        <v>0</v>
      </c>
      <c r="Q231" s="211">
        <f t="shared" si="153"/>
        <v>0</v>
      </c>
      <c r="R231" s="211">
        <f t="shared" si="153"/>
        <v>0</v>
      </c>
      <c r="S231" s="211">
        <f t="shared" si="153"/>
        <v>0</v>
      </c>
      <c r="T231" s="211">
        <f t="shared" si="153"/>
        <v>0</v>
      </c>
      <c r="U231" s="211">
        <f t="shared" si="153"/>
        <v>0</v>
      </c>
      <c r="V231" s="211">
        <f t="shared" si="153"/>
        <v>0</v>
      </c>
      <c r="W231" s="211">
        <f t="shared" si="153"/>
        <v>0</v>
      </c>
      <c r="X231" s="211">
        <f t="shared" si="153"/>
        <v>0</v>
      </c>
      <c r="Y231" s="211">
        <f t="shared" si="153"/>
        <v>0</v>
      </c>
      <c r="Z231" s="211">
        <f t="shared" si="153"/>
        <v>0</v>
      </c>
      <c r="AA231" s="211">
        <f t="shared" si="153"/>
        <v>0</v>
      </c>
      <c r="AB231" s="211">
        <f t="shared" si="153"/>
        <v>0</v>
      </c>
      <c r="AC231" s="211">
        <f t="shared" si="153"/>
        <v>0</v>
      </c>
      <c r="AD231" s="211">
        <f t="shared" si="153"/>
        <v>0</v>
      </c>
      <c r="AE231" s="211">
        <f t="shared" si="153"/>
        <v>0</v>
      </c>
      <c r="AF231" s="211">
        <f t="shared" si="153"/>
        <v>0</v>
      </c>
      <c r="AG231" s="211">
        <f t="shared" si="153"/>
        <v>0</v>
      </c>
      <c r="AH231" s="211">
        <f t="shared" si="153"/>
        <v>0</v>
      </c>
      <c r="AI231" s="211">
        <f t="shared" si="153"/>
        <v>0</v>
      </c>
      <c r="AJ231" s="211">
        <f t="shared" si="153"/>
        <v>0</v>
      </c>
      <c r="AK231" s="211">
        <f t="shared" si="153"/>
        <v>0</v>
      </c>
      <c r="AL231" s="211">
        <f t="shared" si="153"/>
        <v>0</v>
      </c>
      <c r="AM231" s="211">
        <f t="shared" si="153"/>
        <v>0</v>
      </c>
      <c r="AN231" s="211">
        <f t="shared" si="153"/>
        <v>0</v>
      </c>
    </row>
    <row r="232" spans="2:40" s="7" customFormat="1" ht="12" hidden="1" customHeight="1" outlineLevel="2">
      <c r="B232" s="245"/>
      <c r="C232" s="250" t="s">
        <v>758</v>
      </c>
      <c r="D232" s="250"/>
      <c r="E232" s="213"/>
      <c r="F232" s="213"/>
      <c r="G232" s="213"/>
      <c r="H232" s="213"/>
      <c r="I232" s="213"/>
      <c r="J232" s="211">
        <f>INDEX($C$199:$AN$221,MATCH("New Customers One-Time",$C$199:$C$221,0),MATCH($C232,$C$199:$AN$199,0))</f>
        <v>23</v>
      </c>
      <c r="K232" s="211">
        <f t="shared" ref="K232:AN232" si="154">$J$232*(E225)</f>
        <v>0</v>
      </c>
      <c r="L232" s="211">
        <f t="shared" si="154"/>
        <v>0</v>
      </c>
      <c r="M232" s="211">
        <f t="shared" si="154"/>
        <v>0</v>
      </c>
      <c r="N232" s="211">
        <f t="shared" si="154"/>
        <v>0</v>
      </c>
      <c r="O232" s="211">
        <f t="shared" si="154"/>
        <v>0</v>
      </c>
      <c r="P232" s="211">
        <f t="shared" si="154"/>
        <v>0</v>
      </c>
      <c r="Q232" s="211">
        <f t="shared" si="154"/>
        <v>0</v>
      </c>
      <c r="R232" s="211">
        <f t="shared" si="154"/>
        <v>0</v>
      </c>
      <c r="S232" s="211">
        <f t="shared" si="154"/>
        <v>0</v>
      </c>
      <c r="T232" s="211">
        <f t="shared" si="154"/>
        <v>0</v>
      </c>
      <c r="U232" s="211">
        <f t="shared" si="154"/>
        <v>0</v>
      </c>
      <c r="V232" s="211">
        <f t="shared" si="154"/>
        <v>0</v>
      </c>
      <c r="W232" s="211">
        <f t="shared" si="154"/>
        <v>0</v>
      </c>
      <c r="X232" s="211">
        <f t="shared" si="154"/>
        <v>0</v>
      </c>
      <c r="Y232" s="211">
        <f t="shared" si="154"/>
        <v>0</v>
      </c>
      <c r="Z232" s="211">
        <f t="shared" si="154"/>
        <v>0</v>
      </c>
      <c r="AA232" s="211">
        <f t="shared" si="154"/>
        <v>0</v>
      </c>
      <c r="AB232" s="211">
        <f t="shared" si="154"/>
        <v>0</v>
      </c>
      <c r="AC232" s="211">
        <f t="shared" si="154"/>
        <v>0</v>
      </c>
      <c r="AD232" s="211">
        <f t="shared" si="154"/>
        <v>0</v>
      </c>
      <c r="AE232" s="211">
        <f t="shared" si="154"/>
        <v>0</v>
      </c>
      <c r="AF232" s="211">
        <f t="shared" si="154"/>
        <v>0</v>
      </c>
      <c r="AG232" s="211">
        <f t="shared" si="154"/>
        <v>0</v>
      </c>
      <c r="AH232" s="211">
        <f t="shared" si="154"/>
        <v>0</v>
      </c>
      <c r="AI232" s="211">
        <f t="shared" si="154"/>
        <v>0</v>
      </c>
      <c r="AJ232" s="211">
        <f t="shared" si="154"/>
        <v>0</v>
      </c>
      <c r="AK232" s="211">
        <f t="shared" si="154"/>
        <v>0</v>
      </c>
      <c r="AL232" s="211">
        <f t="shared" si="154"/>
        <v>0</v>
      </c>
      <c r="AM232" s="211">
        <f t="shared" si="154"/>
        <v>0</v>
      </c>
      <c r="AN232" s="211">
        <f t="shared" si="154"/>
        <v>0</v>
      </c>
    </row>
    <row r="233" spans="2:40" s="7" customFormat="1" ht="12" hidden="1" customHeight="1" outlineLevel="2">
      <c r="B233" s="245"/>
      <c r="C233" s="250" t="s">
        <v>759</v>
      </c>
      <c r="D233" s="250"/>
      <c r="E233" s="213"/>
      <c r="F233" s="213"/>
      <c r="G233" s="213"/>
      <c r="H233" s="213"/>
      <c r="I233" s="213"/>
      <c r="J233" s="213"/>
      <c r="K233" s="211">
        <f>INDEX($C$199:$AN$221,MATCH("New Customers One-Time",$C$199:$C$221,0),MATCH($C233,$C$199:$AN$199,0))</f>
        <v>28</v>
      </c>
      <c r="L233" s="211">
        <f t="shared" ref="L233:AN233" si="155">$K$233*(E225)</f>
        <v>0</v>
      </c>
      <c r="M233" s="211">
        <f t="shared" si="155"/>
        <v>0</v>
      </c>
      <c r="N233" s="211">
        <f t="shared" si="155"/>
        <v>0</v>
      </c>
      <c r="O233" s="211">
        <f t="shared" si="155"/>
        <v>0</v>
      </c>
      <c r="P233" s="211">
        <f t="shared" si="155"/>
        <v>0</v>
      </c>
      <c r="Q233" s="211">
        <f t="shared" si="155"/>
        <v>0</v>
      </c>
      <c r="R233" s="211">
        <f t="shared" si="155"/>
        <v>0</v>
      </c>
      <c r="S233" s="211">
        <f t="shared" si="155"/>
        <v>0</v>
      </c>
      <c r="T233" s="211">
        <f t="shared" si="155"/>
        <v>0</v>
      </c>
      <c r="U233" s="211">
        <f t="shared" si="155"/>
        <v>0</v>
      </c>
      <c r="V233" s="211">
        <f t="shared" si="155"/>
        <v>0</v>
      </c>
      <c r="W233" s="211">
        <f t="shared" si="155"/>
        <v>0</v>
      </c>
      <c r="X233" s="211">
        <f t="shared" si="155"/>
        <v>0</v>
      </c>
      <c r="Y233" s="211">
        <f t="shared" si="155"/>
        <v>0</v>
      </c>
      <c r="Z233" s="211">
        <f t="shared" si="155"/>
        <v>0</v>
      </c>
      <c r="AA233" s="211">
        <f t="shared" si="155"/>
        <v>0</v>
      </c>
      <c r="AB233" s="211">
        <f t="shared" si="155"/>
        <v>0</v>
      </c>
      <c r="AC233" s="211">
        <f t="shared" si="155"/>
        <v>0</v>
      </c>
      <c r="AD233" s="211">
        <f t="shared" si="155"/>
        <v>0</v>
      </c>
      <c r="AE233" s="211">
        <f t="shared" si="155"/>
        <v>0</v>
      </c>
      <c r="AF233" s="211">
        <f t="shared" si="155"/>
        <v>0</v>
      </c>
      <c r="AG233" s="211">
        <f t="shared" si="155"/>
        <v>0</v>
      </c>
      <c r="AH233" s="211">
        <f t="shared" si="155"/>
        <v>0</v>
      </c>
      <c r="AI233" s="211">
        <f t="shared" si="155"/>
        <v>0</v>
      </c>
      <c r="AJ233" s="211">
        <f t="shared" si="155"/>
        <v>0</v>
      </c>
      <c r="AK233" s="211">
        <f t="shared" si="155"/>
        <v>0</v>
      </c>
      <c r="AL233" s="211">
        <f t="shared" si="155"/>
        <v>0</v>
      </c>
      <c r="AM233" s="211">
        <f t="shared" si="155"/>
        <v>0</v>
      </c>
      <c r="AN233" s="211">
        <f t="shared" si="155"/>
        <v>0</v>
      </c>
    </row>
    <row r="234" spans="2:40" s="7" customFormat="1" ht="12" hidden="1" customHeight="1" outlineLevel="2">
      <c r="B234" s="245"/>
      <c r="C234" s="250" t="s">
        <v>760</v>
      </c>
      <c r="D234" s="250"/>
      <c r="E234" s="213"/>
      <c r="F234" s="213"/>
      <c r="G234" s="213"/>
      <c r="H234" s="213"/>
      <c r="I234" s="213"/>
      <c r="J234" s="213"/>
      <c r="K234" s="213"/>
      <c r="L234" s="211">
        <f>INDEX($C$199:$AN$221,MATCH("New Customers One-Time",$C$199:$C$221,0),MATCH($C234,$C$199:$AN$199,0))</f>
        <v>0</v>
      </c>
      <c r="M234" s="211">
        <f t="shared" ref="M234:AN234" si="156">$L$234*(E225)</f>
        <v>0</v>
      </c>
      <c r="N234" s="211">
        <f t="shared" si="156"/>
        <v>0</v>
      </c>
      <c r="O234" s="211">
        <f t="shared" si="156"/>
        <v>0</v>
      </c>
      <c r="P234" s="211">
        <f t="shared" si="156"/>
        <v>0</v>
      </c>
      <c r="Q234" s="211">
        <f t="shared" si="156"/>
        <v>0</v>
      </c>
      <c r="R234" s="211">
        <f t="shared" si="156"/>
        <v>0</v>
      </c>
      <c r="S234" s="211">
        <f t="shared" si="156"/>
        <v>0</v>
      </c>
      <c r="T234" s="211">
        <f t="shared" si="156"/>
        <v>0</v>
      </c>
      <c r="U234" s="211">
        <f t="shared" si="156"/>
        <v>0</v>
      </c>
      <c r="V234" s="211">
        <f t="shared" si="156"/>
        <v>0</v>
      </c>
      <c r="W234" s="211">
        <f t="shared" si="156"/>
        <v>0</v>
      </c>
      <c r="X234" s="211">
        <f t="shared" si="156"/>
        <v>0</v>
      </c>
      <c r="Y234" s="211">
        <f t="shared" si="156"/>
        <v>0</v>
      </c>
      <c r="Z234" s="211">
        <f t="shared" si="156"/>
        <v>0</v>
      </c>
      <c r="AA234" s="211">
        <f t="shared" si="156"/>
        <v>0</v>
      </c>
      <c r="AB234" s="211">
        <f t="shared" si="156"/>
        <v>0</v>
      </c>
      <c r="AC234" s="211">
        <f t="shared" si="156"/>
        <v>0</v>
      </c>
      <c r="AD234" s="211">
        <f t="shared" si="156"/>
        <v>0</v>
      </c>
      <c r="AE234" s="211">
        <f t="shared" si="156"/>
        <v>0</v>
      </c>
      <c r="AF234" s="211">
        <f t="shared" si="156"/>
        <v>0</v>
      </c>
      <c r="AG234" s="211">
        <f t="shared" si="156"/>
        <v>0</v>
      </c>
      <c r="AH234" s="211">
        <f t="shared" si="156"/>
        <v>0</v>
      </c>
      <c r="AI234" s="211">
        <f t="shared" si="156"/>
        <v>0</v>
      </c>
      <c r="AJ234" s="211">
        <f t="shared" si="156"/>
        <v>0</v>
      </c>
      <c r="AK234" s="211">
        <f t="shared" si="156"/>
        <v>0</v>
      </c>
      <c r="AL234" s="211">
        <f t="shared" si="156"/>
        <v>0</v>
      </c>
      <c r="AM234" s="211">
        <f t="shared" si="156"/>
        <v>0</v>
      </c>
      <c r="AN234" s="211">
        <f t="shared" si="156"/>
        <v>0</v>
      </c>
    </row>
    <row r="235" spans="2:40" s="7" customFormat="1" ht="12" hidden="1" customHeight="1" outlineLevel="2">
      <c r="B235" s="245"/>
      <c r="C235" s="250" t="s">
        <v>761</v>
      </c>
      <c r="D235" s="250"/>
      <c r="E235" s="213"/>
      <c r="F235" s="213"/>
      <c r="G235" s="213"/>
      <c r="H235" s="213"/>
      <c r="I235" s="213"/>
      <c r="J235" s="213"/>
      <c r="K235" s="213"/>
      <c r="L235" s="213"/>
      <c r="M235" s="211">
        <f>INDEX($C$199:$AN$221,MATCH("New Customers One-Time",$C$199:$C$221,0),MATCH($C235,$C$199:$AN$199,0))</f>
        <v>42.516289431589314</v>
      </c>
      <c r="N235" s="211">
        <f t="shared" ref="N235:AN235" si="157">$M$235*(E225)</f>
        <v>0</v>
      </c>
      <c r="O235" s="211">
        <f t="shared" si="157"/>
        <v>0</v>
      </c>
      <c r="P235" s="211">
        <f t="shared" si="157"/>
        <v>0</v>
      </c>
      <c r="Q235" s="211">
        <f t="shared" si="157"/>
        <v>0</v>
      </c>
      <c r="R235" s="211">
        <f t="shared" si="157"/>
        <v>0</v>
      </c>
      <c r="S235" s="211">
        <f t="shared" si="157"/>
        <v>0</v>
      </c>
      <c r="T235" s="211">
        <f t="shared" si="157"/>
        <v>0</v>
      </c>
      <c r="U235" s="211">
        <f t="shared" si="157"/>
        <v>0</v>
      </c>
      <c r="V235" s="211">
        <f t="shared" si="157"/>
        <v>0</v>
      </c>
      <c r="W235" s="211">
        <f t="shared" si="157"/>
        <v>0</v>
      </c>
      <c r="X235" s="211">
        <f t="shared" si="157"/>
        <v>0</v>
      </c>
      <c r="Y235" s="211">
        <f t="shared" si="157"/>
        <v>0</v>
      </c>
      <c r="Z235" s="211">
        <f t="shared" si="157"/>
        <v>0</v>
      </c>
      <c r="AA235" s="211">
        <f t="shared" si="157"/>
        <v>0</v>
      </c>
      <c r="AB235" s="211">
        <f t="shared" si="157"/>
        <v>0</v>
      </c>
      <c r="AC235" s="211">
        <f t="shared" si="157"/>
        <v>0</v>
      </c>
      <c r="AD235" s="211">
        <f t="shared" si="157"/>
        <v>0</v>
      </c>
      <c r="AE235" s="211">
        <f t="shared" si="157"/>
        <v>0</v>
      </c>
      <c r="AF235" s="211">
        <f t="shared" si="157"/>
        <v>0</v>
      </c>
      <c r="AG235" s="211">
        <f t="shared" si="157"/>
        <v>0</v>
      </c>
      <c r="AH235" s="211">
        <f t="shared" si="157"/>
        <v>0</v>
      </c>
      <c r="AI235" s="211">
        <f t="shared" si="157"/>
        <v>0</v>
      </c>
      <c r="AJ235" s="211">
        <f t="shared" si="157"/>
        <v>0</v>
      </c>
      <c r="AK235" s="211">
        <f t="shared" si="157"/>
        <v>0</v>
      </c>
      <c r="AL235" s="211">
        <f t="shared" si="157"/>
        <v>0</v>
      </c>
      <c r="AM235" s="211">
        <f t="shared" si="157"/>
        <v>0</v>
      </c>
      <c r="AN235" s="211">
        <f t="shared" si="157"/>
        <v>0</v>
      </c>
    </row>
    <row r="236" spans="2:40" s="7" customFormat="1" ht="12" hidden="1" customHeight="1" outlineLevel="2">
      <c r="B236" s="245"/>
      <c r="C236" s="250" t="s">
        <v>762</v>
      </c>
      <c r="D236" s="250"/>
      <c r="E236" s="213"/>
      <c r="F236" s="213"/>
      <c r="G236" s="213"/>
      <c r="H236" s="213"/>
      <c r="I236" s="213"/>
      <c r="J236" s="213"/>
      <c r="K236" s="213"/>
      <c r="L236" s="213"/>
      <c r="M236" s="213"/>
      <c r="N236" s="211">
        <f>INDEX($C$199:$AN$221,MATCH("New Customers One-Time",$C$199:$C$221,0),MATCH($C236,$C$199:$AN$199,0))</f>
        <v>42.516289431589314</v>
      </c>
      <c r="O236" s="211">
        <f t="shared" ref="O236:AN236" si="158">$N$236*(E225)</f>
        <v>0</v>
      </c>
      <c r="P236" s="211">
        <f t="shared" si="158"/>
        <v>0</v>
      </c>
      <c r="Q236" s="211">
        <f t="shared" si="158"/>
        <v>0</v>
      </c>
      <c r="R236" s="211">
        <f t="shared" si="158"/>
        <v>0</v>
      </c>
      <c r="S236" s="211">
        <f t="shared" si="158"/>
        <v>0</v>
      </c>
      <c r="T236" s="211">
        <f t="shared" si="158"/>
        <v>0</v>
      </c>
      <c r="U236" s="211">
        <f t="shared" si="158"/>
        <v>0</v>
      </c>
      <c r="V236" s="211">
        <f t="shared" si="158"/>
        <v>0</v>
      </c>
      <c r="W236" s="211">
        <f t="shared" si="158"/>
        <v>0</v>
      </c>
      <c r="X236" s="211">
        <f t="shared" si="158"/>
        <v>0</v>
      </c>
      <c r="Y236" s="211">
        <f t="shared" si="158"/>
        <v>0</v>
      </c>
      <c r="Z236" s="211">
        <f t="shared" si="158"/>
        <v>0</v>
      </c>
      <c r="AA236" s="211">
        <f t="shared" si="158"/>
        <v>0</v>
      </c>
      <c r="AB236" s="211">
        <f t="shared" si="158"/>
        <v>0</v>
      </c>
      <c r="AC236" s="211">
        <f t="shared" si="158"/>
        <v>0</v>
      </c>
      <c r="AD236" s="211">
        <f t="shared" si="158"/>
        <v>0</v>
      </c>
      <c r="AE236" s="211">
        <f t="shared" si="158"/>
        <v>0</v>
      </c>
      <c r="AF236" s="211">
        <f t="shared" si="158"/>
        <v>0</v>
      </c>
      <c r="AG236" s="211">
        <f t="shared" si="158"/>
        <v>0</v>
      </c>
      <c r="AH236" s="211">
        <f t="shared" si="158"/>
        <v>0</v>
      </c>
      <c r="AI236" s="211">
        <f t="shared" si="158"/>
        <v>0</v>
      </c>
      <c r="AJ236" s="211">
        <f t="shared" si="158"/>
        <v>0</v>
      </c>
      <c r="AK236" s="211">
        <f t="shared" si="158"/>
        <v>0</v>
      </c>
      <c r="AL236" s="211">
        <f t="shared" si="158"/>
        <v>0</v>
      </c>
      <c r="AM236" s="211">
        <f t="shared" si="158"/>
        <v>0</v>
      </c>
      <c r="AN236" s="211">
        <f t="shared" si="158"/>
        <v>0</v>
      </c>
    </row>
    <row r="237" spans="2:40" s="7" customFormat="1" ht="12" hidden="1" customHeight="1" outlineLevel="2">
      <c r="B237" s="245"/>
      <c r="C237" s="250" t="s">
        <v>763</v>
      </c>
      <c r="D237" s="250"/>
      <c r="E237" s="213"/>
      <c r="F237" s="213"/>
      <c r="G237" s="213"/>
      <c r="H237" s="213"/>
      <c r="I237" s="213"/>
      <c r="J237" s="213"/>
      <c r="K237" s="213"/>
      <c r="L237" s="213"/>
      <c r="M237" s="213"/>
      <c r="N237" s="213"/>
      <c r="O237" s="211">
        <f>INDEX($C$199:$AN$221,MATCH("New Customers One-Time",$C$199:$C$221,0),MATCH($C237,$C$199:$AN$199,0))</f>
        <v>24.5286285182246</v>
      </c>
      <c r="P237" s="211">
        <f t="shared" ref="P237:AN237" si="159">$O$237*(E225)</f>
        <v>0</v>
      </c>
      <c r="Q237" s="211">
        <f t="shared" si="159"/>
        <v>0</v>
      </c>
      <c r="R237" s="211">
        <f t="shared" si="159"/>
        <v>0</v>
      </c>
      <c r="S237" s="211">
        <f t="shared" si="159"/>
        <v>0</v>
      </c>
      <c r="T237" s="211">
        <f t="shared" si="159"/>
        <v>0</v>
      </c>
      <c r="U237" s="211">
        <f t="shared" si="159"/>
        <v>0</v>
      </c>
      <c r="V237" s="211">
        <f t="shared" si="159"/>
        <v>0</v>
      </c>
      <c r="W237" s="211">
        <f t="shared" si="159"/>
        <v>0</v>
      </c>
      <c r="X237" s="211">
        <f t="shared" si="159"/>
        <v>0</v>
      </c>
      <c r="Y237" s="211">
        <f t="shared" si="159"/>
        <v>0</v>
      </c>
      <c r="Z237" s="211">
        <f t="shared" si="159"/>
        <v>0</v>
      </c>
      <c r="AA237" s="211">
        <f t="shared" si="159"/>
        <v>0</v>
      </c>
      <c r="AB237" s="211">
        <f t="shared" si="159"/>
        <v>0</v>
      </c>
      <c r="AC237" s="211">
        <f t="shared" si="159"/>
        <v>0</v>
      </c>
      <c r="AD237" s="211">
        <f t="shared" si="159"/>
        <v>0</v>
      </c>
      <c r="AE237" s="211">
        <f t="shared" si="159"/>
        <v>0</v>
      </c>
      <c r="AF237" s="211">
        <f t="shared" si="159"/>
        <v>0</v>
      </c>
      <c r="AG237" s="211">
        <f t="shared" si="159"/>
        <v>0</v>
      </c>
      <c r="AH237" s="211">
        <f t="shared" si="159"/>
        <v>0</v>
      </c>
      <c r="AI237" s="211">
        <f t="shared" si="159"/>
        <v>0</v>
      </c>
      <c r="AJ237" s="211">
        <f t="shared" si="159"/>
        <v>0</v>
      </c>
      <c r="AK237" s="211">
        <f t="shared" si="159"/>
        <v>0</v>
      </c>
      <c r="AL237" s="211">
        <f t="shared" si="159"/>
        <v>0</v>
      </c>
      <c r="AM237" s="211">
        <f t="shared" si="159"/>
        <v>0</v>
      </c>
      <c r="AN237" s="211">
        <f t="shared" si="159"/>
        <v>0</v>
      </c>
    </row>
    <row r="238" spans="2:40" s="7" customFormat="1" ht="12" hidden="1" customHeight="1" outlineLevel="2">
      <c r="B238" s="245"/>
      <c r="C238" s="250" t="s">
        <v>764</v>
      </c>
      <c r="D238" s="250"/>
      <c r="E238" s="213"/>
      <c r="F238" s="213"/>
      <c r="G238" s="213"/>
      <c r="H238" s="213"/>
      <c r="I238" s="213"/>
      <c r="J238" s="213"/>
      <c r="K238" s="213"/>
      <c r="L238" s="213"/>
      <c r="M238" s="213"/>
      <c r="N238" s="213"/>
      <c r="O238" s="213"/>
      <c r="P238" s="211">
        <f>INDEX($C$199:$AN$221,MATCH("New Customers One-Time",$C$199:$C$221,0),MATCH($C238,$C$199:$AN$199,0))</f>
        <v>16.352419012149735</v>
      </c>
      <c r="Q238" s="211">
        <f t="shared" ref="Q238:AN238" si="160">$P$238*(E225)</f>
        <v>0</v>
      </c>
      <c r="R238" s="211">
        <f t="shared" si="160"/>
        <v>0</v>
      </c>
      <c r="S238" s="211">
        <f t="shared" si="160"/>
        <v>0</v>
      </c>
      <c r="T238" s="211">
        <f t="shared" si="160"/>
        <v>0</v>
      </c>
      <c r="U238" s="211">
        <f t="shared" si="160"/>
        <v>0</v>
      </c>
      <c r="V238" s="211">
        <f t="shared" si="160"/>
        <v>0</v>
      </c>
      <c r="W238" s="211">
        <f t="shared" si="160"/>
        <v>0</v>
      </c>
      <c r="X238" s="211">
        <f t="shared" si="160"/>
        <v>0</v>
      </c>
      <c r="Y238" s="211">
        <f t="shared" si="160"/>
        <v>0</v>
      </c>
      <c r="Z238" s="211">
        <f t="shared" si="160"/>
        <v>0</v>
      </c>
      <c r="AA238" s="211">
        <f t="shared" si="160"/>
        <v>0</v>
      </c>
      <c r="AB238" s="211">
        <f t="shared" si="160"/>
        <v>0</v>
      </c>
      <c r="AC238" s="211">
        <f t="shared" si="160"/>
        <v>0</v>
      </c>
      <c r="AD238" s="211">
        <f t="shared" si="160"/>
        <v>0</v>
      </c>
      <c r="AE238" s="211">
        <f t="shared" si="160"/>
        <v>0</v>
      </c>
      <c r="AF238" s="211">
        <f t="shared" si="160"/>
        <v>0</v>
      </c>
      <c r="AG238" s="211">
        <f t="shared" si="160"/>
        <v>0</v>
      </c>
      <c r="AH238" s="211">
        <f t="shared" si="160"/>
        <v>0</v>
      </c>
      <c r="AI238" s="211">
        <f t="shared" si="160"/>
        <v>0</v>
      </c>
      <c r="AJ238" s="211">
        <f t="shared" si="160"/>
        <v>0</v>
      </c>
      <c r="AK238" s="211">
        <f t="shared" si="160"/>
        <v>0</v>
      </c>
      <c r="AL238" s="211">
        <f t="shared" si="160"/>
        <v>0</v>
      </c>
      <c r="AM238" s="211">
        <f t="shared" si="160"/>
        <v>0</v>
      </c>
      <c r="AN238" s="211">
        <f t="shared" si="160"/>
        <v>0</v>
      </c>
    </row>
    <row r="239" spans="2:40" s="7" customFormat="1" ht="12" hidden="1" customHeight="1" outlineLevel="2">
      <c r="B239" s="245"/>
      <c r="C239" s="250" t="s">
        <v>765</v>
      </c>
      <c r="D239" s="250"/>
      <c r="E239" s="213"/>
      <c r="F239" s="213"/>
      <c r="G239" s="213"/>
      <c r="H239" s="213"/>
      <c r="I239" s="213"/>
      <c r="J239" s="213"/>
      <c r="K239" s="213"/>
      <c r="L239" s="213"/>
      <c r="M239" s="213"/>
      <c r="N239" s="213"/>
      <c r="O239" s="213"/>
      <c r="P239" s="213"/>
      <c r="Q239" s="211">
        <f>INDEX($C$199:$AN$221,MATCH("New Customers One-Time",$C$199:$C$221,0),MATCH($C239,$C$199:$AN$199,0))</f>
        <v>26.32314298061792</v>
      </c>
      <c r="R239" s="211">
        <f t="shared" ref="R239:AN239" si="161">$Q$239*(E225)</f>
        <v>0</v>
      </c>
      <c r="S239" s="211">
        <f t="shared" si="161"/>
        <v>0</v>
      </c>
      <c r="T239" s="211">
        <f t="shared" si="161"/>
        <v>0</v>
      </c>
      <c r="U239" s="211">
        <f t="shared" si="161"/>
        <v>0</v>
      </c>
      <c r="V239" s="211">
        <f t="shared" si="161"/>
        <v>0</v>
      </c>
      <c r="W239" s="211">
        <f t="shared" si="161"/>
        <v>0</v>
      </c>
      <c r="X239" s="211">
        <f t="shared" si="161"/>
        <v>0</v>
      </c>
      <c r="Y239" s="211">
        <f t="shared" si="161"/>
        <v>0</v>
      </c>
      <c r="Z239" s="211">
        <f t="shared" si="161"/>
        <v>0</v>
      </c>
      <c r="AA239" s="211">
        <f t="shared" si="161"/>
        <v>0</v>
      </c>
      <c r="AB239" s="211">
        <f t="shared" si="161"/>
        <v>0</v>
      </c>
      <c r="AC239" s="211">
        <f t="shared" si="161"/>
        <v>0</v>
      </c>
      <c r="AD239" s="211">
        <f t="shared" si="161"/>
        <v>0</v>
      </c>
      <c r="AE239" s="211">
        <f t="shared" si="161"/>
        <v>0</v>
      </c>
      <c r="AF239" s="211">
        <f t="shared" si="161"/>
        <v>0</v>
      </c>
      <c r="AG239" s="211">
        <f t="shared" si="161"/>
        <v>0</v>
      </c>
      <c r="AH239" s="211">
        <f t="shared" si="161"/>
        <v>0</v>
      </c>
      <c r="AI239" s="211">
        <f t="shared" si="161"/>
        <v>0</v>
      </c>
      <c r="AJ239" s="211">
        <f t="shared" si="161"/>
        <v>0</v>
      </c>
      <c r="AK239" s="211">
        <f t="shared" si="161"/>
        <v>0</v>
      </c>
      <c r="AL239" s="211">
        <f t="shared" si="161"/>
        <v>0</v>
      </c>
      <c r="AM239" s="211">
        <f t="shared" si="161"/>
        <v>0</v>
      </c>
      <c r="AN239" s="211">
        <f t="shared" si="161"/>
        <v>0</v>
      </c>
    </row>
    <row r="240" spans="2:40" s="7" customFormat="1" ht="12" hidden="1" customHeight="1" outlineLevel="2">
      <c r="B240" s="245"/>
      <c r="C240" s="250" t="s">
        <v>766</v>
      </c>
      <c r="D240" s="250"/>
      <c r="E240" s="213"/>
      <c r="F240" s="213"/>
      <c r="G240" s="213"/>
      <c r="H240" s="213"/>
      <c r="I240" s="213"/>
      <c r="J240" s="213"/>
      <c r="K240" s="213"/>
      <c r="L240" s="213"/>
      <c r="M240" s="213"/>
      <c r="N240" s="213"/>
      <c r="O240" s="213"/>
      <c r="P240" s="213"/>
      <c r="Q240" s="213"/>
      <c r="R240" s="211">
        <f>INDEX($C$199:$AN$221,MATCH("New Customers One-Time",$C$199:$C$221,0),MATCH($C240,$C$199:$AN$199,0))</f>
        <v>46.839869018401707</v>
      </c>
      <c r="S240" s="211">
        <f t="shared" ref="S240:AN240" si="162">$R$240*(E225)</f>
        <v>0</v>
      </c>
      <c r="T240" s="211">
        <f t="shared" si="162"/>
        <v>0</v>
      </c>
      <c r="U240" s="211">
        <f t="shared" si="162"/>
        <v>0</v>
      </c>
      <c r="V240" s="211">
        <f t="shared" si="162"/>
        <v>0</v>
      </c>
      <c r="W240" s="211">
        <f t="shared" si="162"/>
        <v>0</v>
      </c>
      <c r="X240" s="211">
        <f t="shared" si="162"/>
        <v>0</v>
      </c>
      <c r="Y240" s="211">
        <f t="shared" si="162"/>
        <v>0</v>
      </c>
      <c r="Z240" s="211">
        <f t="shared" si="162"/>
        <v>0</v>
      </c>
      <c r="AA240" s="211">
        <f t="shared" si="162"/>
        <v>0</v>
      </c>
      <c r="AB240" s="211">
        <f t="shared" si="162"/>
        <v>0</v>
      </c>
      <c r="AC240" s="211">
        <f t="shared" si="162"/>
        <v>0</v>
      </c>
      <c r="AD240" s="211">
        <f t="shared" si="162"/>
        <v>0</v>
      </c>
      <c r="AE240" s="211">
        <f t="shared" si="162"/>
        <v>0</v>
      </c>
      <c r="AF240" s="211">
        <f t="shared" si="162"/>
        <v>0</v>
      </c>
      <c r="AG240" s="211">
        <f t="shared" si="162"/>
        <v>0</v>
      </c>
      <c r="AH240" s="211">
        <f t="shared" si="162"/>
        <v>0</v>
      </c>
      <c r="AI240" s="211">
        <f t="shared" si="162"/>
        <v>0</v>
      </c>
      <c r="AJ240" s="211">
        <f t="shared" si="162"/>
        <v>0</v>
      </c>
      <c r="AK240" s="211">
        <f t="shared" si="162"/>
        <v>0</v>
      </c>
      <c r="AL240" s="211">
        <f t="shared" si="162"/>
        <v>0</v>
      </c>
      <c r="AM240" s="211">
        <f t="shared" si="162"/>
        <v>0</v>
      </c>
      <c r="AN240" s="211">
        <f t="shared" si="162"/>
        <v>0</v>
      </c>
    </row>
    <row r="241" spans="2:41" s="7" customFormat="1" ht="12" hidden="1" customHeight="1" outlineLevel="2">
      <c r="B241" s="245"/>
      <c r="C241" s="250" t="s">
        <v>767</v>
      </c>
      <c r="D241" s="250"/>
      <c r="E241" s="213"/>
      <c r="F241" s="213"/>
      <c r="G241" s="213"/>
      <c r="H241" s="213"/>
      <c r="I241" s="213"/>
      <c r="J241" s="213"/>
      <c r="K241" s="213"/>
      <c r="L241" s="213"/>
      <c r="M241" s="213"/>
      <c r="N241" s="213"/>
      <c r="O241" s="213"/>
      <c r="P241" s="213"/>
      <c r="Q241" s="213"/>
      <c r="R241" s="213"/>
      <c r="S241" s="211">
        <f>INDEX($C$199:$AN$221,MATCH("New Customers One-Time",$C$199:$C$221,0),MATCH($C241,$C$199:$AN$199,0))</f>
        <v>43.126234660742497</v>
      </c>
      <c r="T241" s="211">
        <f t="shared" ref="T241:AN241" si="163">$S$241*(E225)</f>
        <v>0</v>
      </c>
      <c r="U241" s="211">
        <f t="shared" si="163"/>
        <v>0</v>
      </c>
      <c r="V241" s="211">
        <f t="shared" si="163"/>
        <v>0</v>
      </c>
      <c r="W241" s="211">
        <f t="shared" si="163"/>
        <v>0</v>
      </c>
      <c r="X241" s="211">
        <f t="shared" si="163"/>
        <v>0</v>
      </c>
      <c r="Y241" s="211">
        <f t="shared" si="163"/>
        <v>0</v>
      </c>
      <c r="Z241" s="211">
        <f t="shared" si="163"/>
        <v>0</v>
      </c>
      <c r="AA241" s="211">
        <f t="shared" si="163"/>
        <v>0</v>
      </c>
      <c r="AB241" s="211">
        <f t="shared" si="163"/>
        <v>0</v>
      </c>
      <c r="AC241" s="211">
        <f t="shared" si="163"/>
        <v>0</v>
      </c>
      <c r="AD241" s="211">
        <f t="shared" si="163"/>
        <v>0</v>
      </c>
      <c r="AE241" s="211">
        <f t="shared" si="163"/>
        <v>0</v>
      </c>
      <c r="AF241" s="211">
        <f t="shared" si="163"/>
        <v>0</v>
      </c>
      <c r="AG241" s="211">
        <f t="shared" si="163"/>
        <v>0</v>
      </c>
      <c r="AH241" s="211">
        <f t="shared" si="163"/>
        <v>0</v>
      </c>
      <c r="AI241" s="211">
        <f t="shared" si="163"/>
        <v>0</v>
      </c>
      <c r="AJ241" s="211">
        <f t="shared" si="163"/>
        <v>0</v>
      </c>
      <c r="AK241" s="211">
        <f t="shared" si="163"/>
        <v>0</v>
      </c>
      <c r="AL241" s="211">
        <f t="shared" si="163"/>
        <v>0</v>
      </c>
      <c r="AM241" s="211">
        <f t="shared" si="163"/>
        <v>0</v>
      </c>
      <c r="AN241" s="211">
        <f t="shared" si="163"/>
        <v>0</v>
      </c>
    </row>
    <row r="242" spans="2:41" s="7" customFormat="1" ht="12" hidden="1" customHeight="1" outlineLevel="2">
      <c r="B242" s="245"/>
      <c r="C242" s="250" t="s">
        <v>768</v>
      </c>
      <c r="D242" s="250"/>
      <c r="E242" s="213"/>
      <c r="F242" s="213"/>
      <c r="G242" s="213"/>
      <c r="H242" s="213"/>
      <c r="I242" s="213"/>
      <c r="J242" s="213"/>
      <c r="K242" s="213"/>
      <c r="L242" s="213"/>
      <c r="M242" s="213"/>
      <c r="N242" s="213"/>
      <c r="O242" s="213"/>
      <c r="P242" s="213"/>
      <c r="Q242" s="213"/>
      <c r="R242" s="213"/>
      <c r="S242" s="213"/>
      <c r="T242" s="211">
        <f>INDEX($C$199:$AN$221,MATCH("New Customers One-Time",$C$199:$C$221,0),MATCH($C242,$C$199:$AN$199,0))</f>
        <v>16.536874298606786</v>
      </c>
      <c r="U242" s="211">
        <f t="shared" ref="U242:AN242" si="164">$T$242*(E225)</f>
        <v>0</v>
      </c>
      <c r="V242" s="211">
        <f t="shared" si="164"/>
        <v>0</v>
      </c>
      <c r="W242" s="211">
        <f t="shared" si="164"/>
        <v>0</v>
      </c>
      <c r="X242" s="211">
        <f t="shared" si="164"/>
        <v>0</v>
      </c>
      <c r="Y242" s="211">
        <f t="shared" si="164"/>
        <v>0</v>
      </c>
      <c r="Z242" s="211">
        <f t="shared" si="164"/>
        <v>0</v>
      </c>
      <c r="AA242" s="211">
        <f t="shared" si="164"/>
        <v>0</v>
      </c>
      <c r="AB242" s="211">
        <f t="shared" si="164"/>
        <v>0</v>
      </c>
      <c r="AC242" s="211">
        <f t="shared" si="164"/>
        <v>0</v>
      </c>
      <c r="AD242" s="211">
        <f t="shared" si="164"/>
        <v>0</v>
      </c>
      <c r="AE242" s="211">
        <f t="shared" si="164"/>
        <v>0</v>
      </c>
      <c r="AF242" s="211">
        <f t="shared" si="164"/>
        <v>0</v>
      </c>
      <c r="AG242" s="211">
        <f t="shared" si="164"/>
        <v>0</v>
      </c>
      <c r="AH242" s="211">
        <f t="shared" si="164"/>
        <v>0</v>
      </c>
      <c r="AI242" s="211">
        <f t="shared" si="164"/>
        <v>0</v>
      </c>
      <c r="AJ242" s="211">
        <f t="shared" si="164"/>
        <v>0</v>
      </c>
      <c r="AK242" s="211">
        <f t="shared" si="164"/>
        <v>0</v>
      </c>
      <c r="AL242" s="211">
        <f t="shared" si="164"/>
        <v>0</v>
      </c>
      <c r="AM242" s="211">
        <f t="shared" si="164"/>
        <v>0</v>
      </c>
      <c r="AN242" s="211">
        <f t="shared" si="164"/>
        <v>0</v>
      </c>
    </row>
    <row r="243" spans="2:41" s="7" customFormat="1" ht="12" hidden="1" customHeight="1" outlineLevel="2">
      <c r="B243" s="245"/>
      <c r="C243" s="250" t="s">
        <v>769</v>
      </c>
      <c r="D243" s="250"/>
      <c r="E243" s="213"/>
      <c r="F243" s="213"/>
      <c r="G243" s="213"/>
      <c r="H243" s="213"/>
      <c r="I243" s="213"/>
      <c r="J243" s="213"/>
      <c r="K243" s="213"/>
      <c r="L243" s="213"/>
      <c r="M243" s="213"/>
      <c r="N243" s="213"/>
      <c r="O243" s="213"/>
      <c r="P243" s="213"/>
      <c r="Q243" s="213"/>
      <c r="R243" s="213"/>
      <c r="S243" s="213"/>
      <c r="T243" s="213"/>
      <c r="U243" s="211">
        <f>INDEX($C$199:$AN$221,MATCH("New Customers One-Time",$C$199:$C$221,0),MATCH($C243,$C$199:$AN$199,0))</f>
        <v>14.911443848799101</v>
      </c>
      <c r="V243" s="211">
        <f t="shared" ref="V243:AN243" si="165">$U$243*(E225)</f>
        <v>0</v>
      </c>
      <c r="W243" s="211">
        <f t="shared" si="165"/>
        <v>0</v>
      </c>
      <c r="X243" s="211">
        <f t="shared" si="165"/>
        <v>0</v>
      </c>
      <c r="Y243" s="211">
        <f t="shared" si="165"/>
        <v>0</v>
      </c>
      <c r="Z243" s="211">
        <f t="shared" si="165"/>
        <v>0</v>
      </c>
      <c r="AA243" s="211">
        <f t="shared" si="165"/>
        <v>0</v>
      </c>
      <c r="AB243" s="211">
        <f t="shared" si="165"/>
        <v>0</v>
      </c>
      <c r="AC243" s="211">
        <f t="shared" si="165"/>
        <v>0</v>
      </c>
      <c r="AD243" s="211">
        <f t="shared" si="165"/>
        <v>0</v>
      </c>
      <c r="AE243" s="211">
        <f t="shared" si="165"/>
        <v>0</v>
      </c>
      <c r="AF243" s="211">
        <f t="shared" si="165"/>
        <v>0</v>
      </c>
      <c r="AG243" s="211">
        <f t="shared" si="165"/>
        <v>0</v>
      </c>
      <c r="AH243" s="211">
        <f t="shared" si="165"/>
        <v>0</v>
      </c>
      <c r="AI243" s="211">
        <f t="shared" si="165"/>
        <v>0</v>
      </c>
      <c r="AJ243" s="211">
        <f t="shared" si="165"/>
        <v>0</v>
      </c>
      <c r="AK243" s="211">
        <f t="shared" si="165"/>
        <v>0</v>
      </c>
      <c r="AL243" s="211">
        <f t="shared" si="165"/>
        <v>0</v>
      </c>
      <c r="AM243" s="211">
        <f t="shared" si="165"/>
        <v>0</v>
      </c>
      <c r="AN243" s="211">
        <f t="shared" si="165"/>
        <v>0</v>
      </c>
    </row>
    <row r="244" spans="2:41" s="7" customFormat="1" ht="12" hidden="1" customHeight="1" outlineLevel="2">
      <c r="B244" s="245"/>
      <c r="C244" s="250" t="s">
        <v>770</v>
      </c>
      <c r="D244" s="250"/>
      <c r="E244" s="213"/>
      <c r="F244" s="213"/>
      <c r="G244" s="213"/>
      <c r="H244" s="213"/>
      <c r="I244" s="213"/>
      <c r="J244" s="213"/>
      <c r="K244" s="213"/>
      <c r="L244" s="213"/>
      <c r="M244" s="213"/>
      <c r="N244" s="213"/>
      <c r="O244" s="213"/>
      <c r="P244" s="213"/>
      <c r="Q244" s="213"/>
      <c r="R244" s="213"/>
      <c r="S244" s="213"/>
      <c r="T244" s="213"/>
      <c r="U244" s="213"/>
      <c r="V244" s="211">
        <f>INDEX($C$199:$AN$221,MATCH("New Customers One-Time",$C$199:$C$221,0),MATCH($C244,$C$199:$AN$199,0))</f>
        <v>51.115699541698618</v>
      </c>
      <c r="W244" s="211">
        <f t="shared" ref="W244:AN244" si="166">$V$244*(E225)</f>
        <v>0</v>
      </c>
      <c r="X244" s="211">
        <f t="shared" si="166"/>
        <v>0</v>
      </c>
      <c r="Y244" s="211">
        <f t="shared" si="166"/>
        <v>0</v>
      </c>
      <c r="Z244" s="211">
        <f t="shared" si="166"/>
        <v>0</v>
      </c>
      <c r="AA244" s="211">
        <f t="shared" si="166"/>
        <v>0</v>
      </c>
      <c r="AB244" s="211">
        <f t="shared" si="166"/>
        <v>0</v>
      </c>
      <c r="AC244" s="211">
        <f t="shared" si="166"/>
        <v>0</v>
      </c>
      <c r="AD244" s="211">
        <f t="shared" si="166"/>
        <v>0</v>
      </c>
      <c r="AE244" s="211">
        <f t="shared" si="166"/>
        <v>0</v>
      </c>
      <c r="AF244" s="211">
        <f t="shared" si="166"/>
        <v>0</v>
      </c>
      <c r="AG244" s="211">
        <f t="shared" si="166"/>
        <v>0</v>
      </c>
      <c r="AH244" s="211">
        <f t="shared" si="166"/>
        <v>0</v>
      </c>
      <c r="AI244" s="211">
        <f t="shared" si="166"/>
        <v>0</v>
      </c>
      <c r="AJ244" s="211">
        <f t="shared" si="166"/>
        <v>0</v>
      </c>
      <c r="AK244" s="211">
        <f t="shared" si="166"/>
        <v>0</v>
      </c>
      <c r="AL244" s="211">
        <f t="shared" si="166"/>
        <v>0</v>
      </c>
      <c r="AM244" s="211">
        <f t="shared" si="166"/>
        <v>0</v>
      </c>
      <c r="AN244" s="211">
        <f t="shared" si="166"/>
        <v>0</v>
      </c>
    </row>
    <row r="245" spans="2:41" s="7" customFormat="1" ht="12" hidden="1" customHeight="1" outlineLevel="2">
      <c r="B245" s="245"/>
      <c r="C245" s="250" t="s">
        <v>771</v>
      </c>
      <c r="D245" s="250"/>
      <c r="E245" s="213"/>
      <c r="F245" s="213"/>
      <c r="G245" s="213"/>
      <c r="H245" s="213"/>
      <c r="I245" s="213"/>
      <c r="J245" s="213"/>
      <c r="K245" s="213"/>
      <c r="L245" s="213"/>
      <c r="M245" s="213"/>
      <c r="N245" s="213"/>
      <c r="O245" s="213"/>
      <c r="P245" s="213"/>
      <c r="Q245" s="213"/>
      <c r="R245" s="213"/>
      <c r="S245" s="213"/>
      <c r="T245" s="213"/>
      <c r="U245" s="213"/>
      <c r="V245" s="213"/>
      <c r="W245" s="211">
        <f>INDEX($C$199:$AN$221,MATCH("New Customers One-Time",$C$199:$C$221,0),MATCH($C245,$C$199:$AN$199,0))</f>
        <v>28.117166870440865</v>
      </c>
      <c r="X245" s="211">
        <f t="shared" ref="X245:AN245" si="167">$W$245*(E225)</f>
        <v>0</v>
      </c>
      <c r="Y245" s="211">
        <f t="shared" si="167"/>
        <v>0</v>
      </c>
      <c r="Z245" s="211">
        <f t="shared" si="167"/>
        <v>0</v>
      </c>
      <c r="AA245" s="211">
        <f t="shared" si="167"/>
        <v>0</v>
      </c>
      <c r="AB245" s="211">
        <f t="shared" si="167"/>
        <v>0</v>
      </c>
      <c r="AC245" s="211">
        <f t="shared" si="167"/>
        <v>0</v>
      </c>
      <c r="AD245" s="211">
        <f t="shared" si="167"/>
        <v>0</v>
      </c>
      <c r="AE245" s="211">
        <f t="shared" si="167"/>
        <v>0</v>
      </c>
      <c r="AF245" s="211">
        <f t="shared" si="167"/>
        <v>0</v>
      </c>
      <c r="AG245" s="211">
        <f t="shared" si="167"/>
        <v>0</v>
      </c>
      <c r="AH245" s="211">
        <f t="shared" si="167"/>
        <v>0</v>
      </c>
      <c r="AI245" s="211">
        <f t="shared" si="167"/>
        <v>0</v>
      </c>
      <c r="AJ245" s="211">
        <f t="shared" si="167"/>
        <v>0</v>
      </c>
      <c r="AK245" s="211">
        <f t="shared" si="167"/>
        <v>0</v>
      </c>
      <c r="AL245" s="211">
        <f t="shared" si="167"/>
        <v>0</v>
      </c>
      <c r="AM245" s="211">
        <f t="shared" si="167"/>
        <v>0</v>
      </c>
      <c r="AN245" s="211">
        <f t="shared" si="167"/>
        <v>0</v>
      </c>
    </row>
    <row r="246" spans="2:41" s="7" customFormat="1" ht="12" hidden="1" customHeight="1" outlineLevel="2">
      <c r="B246" s="245"/>
      <c r="C246" s="250" t="s">
        <v>772</v>
      </c>
      <c r="D246" s="250"/>
      <c r="E246" s="213"/>
      <c r="F246" s="213"/>
      <c r="G246" s="213"/>
      <c r="H246" s="213"/>
      <c r="I246" s="213"/>
      <c r="J246" s="213"/>
      <c r="K246" s="213"/>
      <c r="L246" s="213"/>
      <c r="M246" s="213"/>
      <c r="N246" s="213"/>
      <c r="O246" s="213"/>
      <c r="P246" s="213"/>
      <c r="Q246" s="213"/>
      <c r="R246" s="213"/>
      <c r="S246" s="213"/>
      <c r="T246" s="213"/>
      <c r="U246" s="213"/>
      <c r="V246" s="213"/>
      <c r="W246" s="213"/>
      <c r="X246" s="211">
        <f>INDEX($C$199:$AN$221,MATCH("New Customers One-Time",$C$199:$C$221,0),MATCH($C246,$C$199:$AN$199,0))</f>
        <v>21.245062780584938</v>
      </c>
      <c r="Y246" s="211">
        <f t="shared" ref="Y246:AN246" si="168">$X$246*(E225)</f>
        <v>0</v>
      </c>
      <c r="Z246" s="211">
        <f t="shared" si="168"/>
        <v>0</v>
      </c>
      <c r="AA246" s="211">
        <f t="shared" si="168"/>
        <v>0</v>
      </c>
      <c r="AB246" s="211">
        <f t="shared" si="168"/>
        <v>0</v>
      </c>
      <c r="AC246" s="211">
        <f t="shared" si="168"/>
        <v>0</v>
      </c>
      <c r="AD246" s="211">
        <f t="shared" si="168"/>
        <v>0</v>
      </c>
      <c r="AE246" s="211">
        <f t="shared" si="168"/>
        <v>0</v>
      </c>
      <c r="AF246" s="211">
        <f t="shared" si="168"/>
        <v>0</v>
      </c>
      <c r="AG246" s="211">
        <f t="shared" si="168"/>
        <v>0</v>
      </c>
      <c r="AH246" s="211">
        <f t="shared" si="168"/>
        <v>0</v>
      </c>
      <c r="AI246" s="211">
        <f t="shared" si="168"/>
        <v>0</v>
      </c>
      <c r="AJ246" s="211">
        <f t="shared" si="168"/>
        <v>0</v>
      </c>
      <c r="AK246" s="211">
        <f t="shared" si="168"/>
        <v>0</v>
      </c>
      <c r="AL246" s="211">
        <f t="shared" si="168"/>
        <v>0</v>
      </c>
      <c r="AM246" s="211">
        <f t="shared" si="168"/>
        <v>0</v>
      </c>
      <c r="AN246" s="211">
        <f t="shared" si="168"/>
        <v>0</v>
      </c>
    </row>
    <row r="247" spans="2:41" s="7" customFormat="1" ht="12" hidden="1" customHeight="1" outlineLevel="2">
      <c r="B247" s="245"/>
      <c r="C247" s="250" t="s">
        <v>773</v>
      </c>
      <c r="D247" s="250"/>
      <c r="E247" s="213"/>
      <c r="F247" s="213"/>
      <c r="G247" s="213"/>
      <c r="H247" s="213"/>
      <c r="I247" s="213"/>
      <c r="J247" s="213"/>
      <c r="K247" s="213"/>
      <c r="L247" s="213"/>
      <c r="M247" s="213"/>
      <c r="N247" s="213"/>
      <c r="O247" s="213"/>
      <c r="P247" s="213"/>
      <c r="Q247" s="213"/>
      <c r="R247" s="213"/>
      <c r="S247" s="213"/>
      <c r="T247" s="213"/>
      <c r="U247" s="213"/>
      <c r="V247" s="213"/>
      <c r="W247" s="213"/>
      <c r="X247" s="213"/>
      <c r="Y247" s="211">
        <f>INDEX($C$199:$AN$221,MATCH("New Customers One-Time",$C$199:$C$221,0),MATCH($C247,$C$199:$AN$199,0))</f>
        <v>38.26466048843038</v>
      </c>
      <c r="Z247" s="211">
        <f t="shared" ref="Z247:AN247" si="169">$Y$247*(E225)</f>
        <v>0</v>
      </c>
      <c r="AA247" s="211">
        <f t="shared" si="169"/>
        <v>0</v>
      </c>
      <c r="AB247" s="211">
        <f t="shared" si="169"/>
        <v>0</v>
      </c>
      <c r="AC247" s="211">
        <f t="shared" si="169"/>
        <v>0</v>
      </c>
      <c r="AD247" s="211">
        <f t="shared" si="169"/>
        <v>0</v>
      </c>
      <c r="AE247" s="211">
        <f t="shared" si="169"/>
        <v>0</v>
      </c>
      <c r="AF247" s="211">
        <f t="shared" si="169"/>
        <v>0</v>
      </c>
      <c r="AG247" s="211">
        <f t="shared" si="169"/>
        <v>0</v>
      </c>
      <c r="AH247" s="211">
        <f t="shared" si="169"/>
        <v>0</v>
      </c>
      <c r="AI247" s="211">
        <f t="shared" si="169"/>
        <v>0</v>
      </c>
      <c r="AJ247" s="211">
        <f t="shared" si="169"/>
        <v>0</v>
      </c>
      <c r="AK247" s="211">
        <f t="shared" si="169"/>
        <v>0</v>
      </c>
      <c r="AL247" s="211">
        <f t="shared" si="169"/>
        <v>0</v>
      </c>
      <c r="AM247" s="211">
        <f t="shared" si="169"/>
        <v>0</v>
      </c>
      <c r="AN247" s="211">
        <f t="shared" si="169"/>
        <v>0</v>
      </c>
    </row>
    <row r="248" spans="2:41" s="7" customFormat="1" ht="12" hidden="1" customHeight="1" outlineLevel="2">
      <c r="B248" s="245"/>
      <c r="C248" s="250" t="s">
        <v>774</v>
      </c>
      <c r="D248" s="250"/>
      <c r="E248" s="213"/>
      <c r="F248" s="213"/>
      <c r="G248" s="213"/>
      <c r="H248" s="213"/>
      <c r="I248" s="213"/>
      <c r="J248" s="213"/>
      <c r="K248" s="213"/>
      <c r="L248" s="213"/>
      <c r="M248" s="213"/>
      <c r="N248" s="213"/>
      <c r="O248" s="213"/>
      <c r="P248" s="213"/>
      <c r="Q248" s="213"/>
      <c r="R248" s="213"/>
      <c r="S248" s="213"/>
      <c r="T248" s="213"/>
      <c r="U248" s="213"/>
      <c r="V248" s="213"/>
      <c r="W248" s="213"/>
      <c r="X248" s="213"/>
      <c r="Y248" s="213"/>
      <c r="Z248" s="211">
        <f>INDEX($C$199:$AN$221,MATCH("New Customers One-Time",$C$199:$C$221,0),MATCH($C248,$C$199:$AN$199,0))</f>
        <v>31.887217073691982</v>
      </c>
      <c r="AA248" s="211">
        <f t="shared" ref="AA248:AK248" si="170">$Z$248*(E225)</f>
        <v>0</v>
      </c>
      <c r="AB248" s="211">
        <f t="shared" si="170"/>
        <v>0</v>
      </c>
      <c r="AC248" s="211">
        <f t="shared" si="170"/>
        <v>0</v>
      </c>
      <c r="AD248" s="211">
        <f t="shared" si="170"/>
        <v>0</v>
      </c>
      <c r="AE248" s="211">
        <f t="shared" si="170"/>
        <v>0</v>
      </c>
      <c r="AF248" s="211">
        <f t="shared" si="170"/>
        <v>0</v>
      </c>
      <c r="AG248" s="211">
        <f t="shared" si="170"/>
        <v>0</v>
      </c>
      <c r="AH248" s="211">
        <f t="shared" si="170"/>
        <v>0</v>
      </c>
      <c r="AI248" s="211">
        <f t="shared" si="170"/>
        <v>0</v>
      </c>
      <c r="AJ248" s="211">
        <f t="shared" si="170"/>
        <v>0</v>
      </c>
      <c r="AK248" s="211">
        <f t="shared" si="170"/>
        <v>0</v>
      </c>
      <c r="AL248" s="211">
        <f>AK248*(P225)</f>
        <v>0</v>
      </c>
      <c r="AM248" s="211">
        <f>AL248*(Q225)</f>
        <v>0</v>
      </c>
      <c r="AN248" s="211">
        <f>AM248*(R225)</f>
        <v>0</v>
      </c>
    </row>
    <row r="249" spans="2:41" s="7" customFormat="1" ht="12" hidden="1" customHeight="1" outlineLevel="2">
      <c r="B249" s="245"/>
      <c r="C249" s="250" t="s">
        <v>775</v>
      </c>
      <c r="D249" s="250"/>
      <c r="E249" s="213"/>
      <c r="F249" s="213"/>
      <c r="G249" s="213"/>
      <c r="H249" s="213"/>
      <c r="I249" s="213"/>
      <c r="J249" s="213"/>
      <c r="K249" s="213"/>
      <c r="L249" s="213"/>
      <c r="M249" s="213"/>
      <c r="N249" s="213"/>
      <c r="O249" s="213"/>
      <c r="P249" s="213"/>
      <c r="Q249" s="213"/>
      <c r="R249" s="213"/>
      <c r="S249" s="213"/>
      <c r="T249" s="213"/>
      <c r="U249" s="213"/>
      <c r="V249" s="213"/>
      <c r="W249" s="213"/>
      <c r="X249" s="213"/>
      <c r="Y249" s="213"/>
      <c r="Z249" s="213"/>
      <c r="AA249" s="211">
        <f>INDEX($C$199:$AN$221,MATCH("New Customers One-Time",$C$199:$C$221,0),MATCH($C249,$C$199:$AN$199,0))</f>
        <v>12.2643142591123</v>
      </c>
      <c r="AB249" s="211">
        <f t="shared" ref="AB249:AK249" si="171">$AA$249*(E225)</f>
        <v>0</v>
      </c>
      <c r="AC249" s="211">
        <f t="shared" si="171"/>
        <v>0</v>
      </c>
      <c r="AD249" s="211">
        <f t="shared" si="171"/>
        <v>0</v>
      </c>
      <c r="AE249" s="211">
        <f t="shared" si="171"/>
        <v>0</v>
      </c>
      <c r="AF249" s="211">
        <f t="shared" si="171"/>
        <v>0</v>
      </c>
      <c r="AG249" s="211">
        <f t="shared" si="171"/>
        <v>0</v>
      </c>
      <c r="AH249" s="211">
        <f t="shared" si="171"/>
        <v>0</v>
      </c>
      <c r="AI249" s="211">
        <f t="shared" si="171"/>
        <v>0</v>
      </c>
      <c r="AJ249" s="211">
        <f t="shared" si="171"/>
        <v>0</v>
      </c>
      <c r="AK249" s="211">
        <f t="shared" si="171"/>
        <v>0</v>
      </c>
      <c r="AL249" s="211">
        <f>AK249*(O225)</f>
        <v>0</v>
      </c>
      <c r="AM249" s="211">
        <f>AL249*(P225)</f>
        <v>0</v>
      </c>
      <c r="AN249" s="211">
        <f>AM249*(Q225)</f>
        <v>0</v>
      </c>
    </row>
    <row r="250" spans="2:41" s="7" customFormat="1" ht="12" hidden="1" customHeight="1" outlineLevel="2">
      <c r="B250" s="245"/>
      <c r="C250" s="250" t="s">
        <v>776</v>
      </c>
      <c r="D250" s="250"/>
      <c r="E250" s="213"/>
      <c r="F250" s="213"/>
      <c r="G250" s="213"/>
      <c r="H250" s="213"/>
      <c r="I250" s="213"/>
      <c r="J250" s="213"/>
      <c r="K250" s="213"/>
      <c r="L250" s="213"/>
      <c r="M250" s="213"/>
      <c r="N250" s="213"/>
      <c r="O250" s="213"/>
      <c r="P250" s="213"/>
      <c r="Q250" s="213"/>
      <c r="R250" s="213"/>
      <c r="S250" s="213"/>
      <c r="T250" s="213"/>
      <c r="U250" s="213"/>
      <c r="V250" s="213"/>
      <c r="W250" s="213"/>
      <c r="X250" s="213"/>
      <c r="Y250" s="213"/>
      <c r="Z250" s="213"/>
      <c r="AA250" s="213"/>
      <c r="AB250" s="211">
        <f>INDEX($C$199:$AN$221,MATCH("New Customers One-Time",$C$199:$C$221,0),MATCH($C250,$C$199:$AN$199,0))</f>
        <v>12.2643142591123</v>
      </c>
      <c r="AC250" s="211">
        <f t="shared" ref="AC250:AN250" si="172">$AB$250*(E225)</f>
        <v>0</v>
      </c>
      <c r="AD250" s="211">
        <f t="shared" si="172"/>
        <v>0</v>
      </c>
      <c r="AE250" s="211">
        <f t="shared" si="172"/>
        <v>0</v>
      </c>
      <c r="AF250" s="211">
        <f t="shared" si="172"/>
        <v>0</v>
      </c>
      <c r="AG250" s="211">
        <f t="shared" si="172"/>
        <v>0</v>
      </c>
      <c r="AH250" s="211">
        <f t="shared" si="172"/>
        <v>0</v>
      </c>
      <c r="AI250" s="211">
        <f t="shared" si="172"/>
        <v>0</v>
      </c>
      <c r="AJ250" s="211">
        <f t="shared" si="172"/>
        <v>0</v>
      </c>
      <c r="AK250" s="211">
        <f t="shared" si="172"/>
        <v>0</v>
      </c>
      <c r="AL250" s="211">
        <f t="shared" si="172"/>
        <v>0</v>
      </c>
      <c r="AM250" s="211">
        <f t="shared" si="172"/>
        <v>0</v>
      </c>
      <c r="AN250" s="211">
        <f t="shared" si="172"/>
        <v>0</v>
      </c>
      <c r="AO250" s="211"/>
    </row>
    <row r="251" spans="2:41" s="7" customFormat="1" ht="12" hidden="1" customHeight="1" outlineLevel="2">
      <c r="B251" s="245"/>
      <c r="C251" s="250" t="s">
        <v>777</v>
      </c>
      <c r="D251" s="250"/>
      <c r="E251" s="213"/>
      <c r="F251" s="213"/>
      <c r="G251" s="213"/>
      <c r="H251" s="213"/>
      <c r="I251" s="213"/>
      <c r="J251" s="213"/>
      <c r="K251" s="213"/>
      <c r="L251" s="213"/>
      <c r="M251" s="213"/>
      <c r="N251" s="213"/>
      <c r="O251" s="213"/>
      <c r="P251" s="213"/>
      <c r="Q251" s="213"/>
      <c r="R251" s="213"/>
      <c r="S251" s="213"/>
      <c r="T251" s="213"/>
      <c r="U251" s="213"/>
      <c r="V251" s="213"/>
      <c r="W251" s="213"/>
      <c r="X251" s="213"/>
      <c r="Y251" s="213"/>
      <c r="Z251" s="213"/>
      <c r="AA251" s="213"/>
      <c r="AB251" s="211"/>
      <c r="AC251" s="211">
        <f>INDEX($C$199:$AN$221,MATCH("New Customers One-Time",$C$199:$C$221,0),MATCH($C251,$C$199:$AN$199,0))</f>
        <v>52.64628596123584</v>
      </c>
      <c r="AD251" s="211">
        <f t="shared" ref="AD251:AK251" si="173">$AC$251*(E225)</f>
        <v>0</v>
      </c>
      <c r="AE251" s="211">
        <f t="shared" si="173"/>
        <v>0</v>
      </c>
      <c r="AF251" s="211">
        <f t="shared" si="173"/>
        <v>0</v>
      </c>
      <c r="AG251" s="211">
        <f t="shared" si="173"/>
        <v>0</v>
      </c>
      <c r="AH251" s="211">
        <f t="shared" si="173"/>
        <v>0</v>
      </c>
      <c r="AI251" s="211">
        <f t="shared" si="173"/>
        <v>0</v>
      </c>
      <c r="AJ251" s="211">
        <f t="shared" si="173"/>
        <v>0</v>
      </c>
      <c r="AK251" s="211">
        <f t="shared" si="173"/>
        <v>0</v>
      </c>
      <c r="AL251" s="211">
        <f>AK251*(M225)</f>
        <v>0</v>
      </c>
      <c r="AM251" s="211">
        <f>AL251*(N225)</f>
        <v>0</v>
      </c>
      <c r="AN251" s="211">
        <f>AM251*(O225)</f>
        <v>0</v>
      </c>
    </row>
    <row r="252" spans="2:41" s="7" customFormat="1" ht="12" hidden="1" customHeight="1" outlineLevel="2">
      <c r="B252" s="245"/>
      <c r="C252" s="250" t="s">
        <v>778</v>
      </c>
      <c r="D252" s="250"/>
      <c r="E252" s="213"/>
      <c r="F252" s="213"/>
      <c r="G252" s="213"/>
      <c r="H252" s="213"/>
      <c r="I252" s="213"/>
      <c r="J252" s="213"/>
      <c r="K252" s="213"/>
      <c r="L252" s="213"/>
      <c r="M252" s="213"/>
      <c r="N252" s="213"/>
      <c r="O252" s="213"/>
      <c r="P252" s="213"/>
      <c r="Q252" s="213"/>
      <c r="R252" s="213"/>
      <c r="S252" s="213"/>
      <c r="T252" s="213"/>
      <c r="U252" s="213"/>
      <c r="V252" s="213"/>
      <c r="W252" s="213"/>
      <c r="X252" s="213"/>
      <c r="Y252" s="213"/>
      <c r="Z252" s="213"/>
      <c r="AA252" s="213"/>
      <c r="AB252" s="211"/>
      <c r="AC252" s="211"/>
      <c r="AD252" s="211">
        <f>INDEX($C$199:$AN$221,MATCH("New Customers One-Time",$C$199:$C$221,0),MATCH($C252,$C$199:$AN$199,0))</f>
        <v>93.679738036803414</v>
      </c>
      <c r="AE252" s="211">
        <f t="shared" ref="AE252:AN252" si="174">$AD$252*(E225)</f>
        <v>0</v>
      </c>
      <c r="AF252" s="211">
        <f t="shared" si="174"/>
        <v>0</v>
      </c>
      <c r="AG252" s="211">
        <f t="shared" si="174"/>
        <v>0</v>
      </c>
      <c r="AH252" s="211">
        <f t="shared" si="174"/>
        <v>0</v>
      </c>
      <c r="AI252" s="211">
        <f t="shared" si="174"/>
        <v>0</v>
      </c>
      <c r="AJ252" s="211">
        <f t="shared" si="174"/>
        <v>0</v>
      </c>
      <c r="AK252" s="211">
        <f t="shared" si="174"/>
        <v>0</v>
      </c>
      <c r="AL252" s="211">
        <f t="shared" si="174"/>
        <v>0</v>
      </c>
      <c r="AM252" s="211">
        <f t="shared" si="174"/>
        <v>0</v>
      </c>
      <c r="AN252" s="211">
        <f t="shared" si="174"/>
        <v>0</v>
      </c>
    </row>
    <row r="253" spans="2:41" s="7" customFormat="1" ht="12" hidden="1" customHeight="1" outlineLevel="2">
      <c r="B253" s="245"/>
      <c r="C253" s="250" t="s">
        <v>779</v>
      </c>
      <c r="D253" s="250"/>
      <c r="E253" s="213"/>
      <c r="F253" s="213"/>
      <c r="G253" s="213"/>
      <c r="H253" s="213"/>
      <c r="I253" s="213"/>
      <c r="J253" s="213"/>
      <c r="K253" s="213"/>
      <c r="L253" s="213"/>
      <c r="M253" s="213"/>
      <c r="N253" s="213"/>
      <c r="O253" s="213"/>
      <c r="P253" s="213"/>
      <c r="Q253" s="213"/>
      <c r="R253" s="213"/>
      <c r="S253" s="213"/>
      <c r="T253" s="213"/>
      <c r="U253" s="213"/>
      <c r="V253" s="213"/>
      <c r="W253" s="213"/>
      <c r="X253" s="213"/>
      <c r="Y253" s="213"/>
      <c r="Z253" s="213"/>
      <c r="AA253" s="213"/>
      <c r="AB253" s="211"/>
      <c r="AC253" s="211"/>
      <c r="AD253" s="211"/>
      <c r="AE253" s="211">
        <f>INDEX($C$199:$AN$221,MATCH("New Customers One-Time",$C$199:$C$221,0),MATCH($C253,$C$199:$AN$199,0))</f>
        <v>86.252469321484995</v>
      </c>
      <c r="AF253" s="211">
        <f t="shared" ref="AF253:AN253" si="175">$AE$253*(E225)</f>
        <v>0</v>
      </c>
      <c r="AG253" s="211">
        <f t="shared" si="175"/>
        <v>0</v>
      </c>
      <c r="AH253" s="211">
        <f t="shared" si="175"/>
        <v>0</v>
      </c>
      <c r="AI253" s="211">
        <f t="shared" si="175"/>
        <v>0</v>
      </c>
      <c r="AJ253" s="211">
        <f t="shared" si="175"/>
        <v>0</v>
      </c>
      <c r="AK253" s="211">
        <f t="shared" si="175"/>
        <v>0</v>
      </c>
      <c r="AL253" s="211">
        <f t="shared" si="175"/>
        <v>0</v>
      </c>
      <c r="AM253" s="211">
        <f t="shared" si="175"/>
        <v>0</v>
      </c>
      <c r="AN253" s="211">
        <f t="shared" si="175"/>
        <v>0</v>
      </c>
    </row>
    <row r="254" spans="2:41" s="7" customFormat="1" ht="12" hidden="1" customHeight="1" outlineLevel="2">
      <c r="B254" s="245"/>
      <c r="C254" s="250" t="s">
        <v>780</v>
      </c>
      <c r="D254" s="250"/>
      <c r="E254" s="213"/>
      <c r="F254" s="213"/>
      <c r="G254" s="213"/>
      <c r="H254" s="213"/>
      <c r="I254" s="213"/>
      <c r="J254" s="213"/>
      <c r="K254" s="213"/>
      <c r="L254" s="213"/>
      <c r="M254" s="213"/>
      <c r="N254" s="213"/>
      <c r="O254" s="213"/>
      <c r="P254" s="213"/>
      <c r="Q254" s="213"/>
      <c r="R254" s="213"/>
      <c r="S254" s="213"/>
      <c r="T254" s="213"/>
      <c r="U254" s="213"/>
      <c r="V254" s="213"/>
      <c r="W254" s="213"/>
      <c r="X254" s="213"/>
      <c r="Y254" s="213"/>
      <c r="Z254" s="213"/>
      <c r="AA254" s="213"/>
      <c r="AB254" s="211"/>
      <c r="AC254" s="211"/>
      <c r="AD254" s="211"/>
      <c r="AE254" s="211"/>
      <c r="AF254" s="211">
        <f>INDEX($C$199:$AN$221,MATCH("New Customers One-Time",$C$199:$C$221,0),MATCH($C254,$C$199:$AN$199,0))</f>
        <v>66.147497194427146</v>
      </c>
      <c r="AG254" s="211">
        <f t="shared" ref="AG254:AN254" si="176">$AF$254*(E225)</f>
        <v>0</v>
      </c>
      <c r="AH254" s="211">
        <f t="shared" si="176"/>
        <v>0</v>
      </c>
      <c r="AI254" s="211">
        <f t="shared" si="176"/>
        <v>0</v>
      </c>
      <c r="AJ254" s="211">
        <f t="shared" si="176"/>
        <v>0</v>
      </c>
      <c r="AK254" s="211">
        <f t="shared" si="176"/>
        <v>0</v>
      </c>
      <c r="AL254" s="211">
        <f t="shared" si="176"/>
        <v>0</v>
      </c>
      <c r="AM254" s="211">
        <f t="shared" si="176"/>
        <v>0</v>
      </c>
      <c r="AN254" s="211">
        <f t="shared" si="176"/>
        <v>0</v>
      </c>
    </row>
    <row r="255" spans="2:41" s="7" customFormat="1" ht="12" hidden="1" customHeight="1" outlineLevel="2">
      <c r="B255" s="245"/>
      <c r="C255" s="250" t="s">
        <v>781</v>
      </c>
      <c r="D255" s="250"/>
      <c r="E255" s="213"/>
      <c r="F255" s="213"/>
      <c r="G255" s="213"/>
      <c r="H255" s="213"/>
      <c r="I255" s="213"/>
      <c r="J255" s="213"/>
      <c r="K255" s="213"/>
      <c r="L255" s="213"/>
      <c r="M255" s="213"/>
      <c r="N255" s="213"/>
      <c r="O255" s="213"/>
      <c r="P255" s="213"/>
      <c r="Q255" s="213"/>
      <c r="R255" s="213"/>
      <c r="S255" s="213"/>
      <c r="T255" s="213"/>
      <c r="U255" s="213"/>
      <c r="V255" s="213"/>
      <c r="W255" s="213"/>
      <c r="X255" s="213"/>
      <c r="Y255" s="213"/>
      <c r="Z255" s="213"/>
      <c r="AA255" s="213"/>
      <c r="AB255" s="211"/>
      <c r="AC255" s="211"/>
      <c r="AD255" s="211"/>
      <c r="AE255" s="211"/>
      <c r="AF255" s="211"/>
      <c r="AG255" s="211">
        <f>INDEX($C$199:$AN$221,MATCH("New Customers One-Time",$C$199:$C$221,0),MATCH($C255,$C$199:$AN$199,0))</f>
        <v>59.645775395196402</v>
      </c>
      <c r="AH255" s="211">
        <f t="shared" ref="AH255:AN255" si="177">$AG$255*(E225)</f>
        <v>0</v>
      </c>
      <c r="AI255" s="211">
        <f t="shared" si="177"/>
        <v>0</v>
      </c>
      <c r="AJ255" s="211">
        <f t="shared" si="177"/>
        <v>0</v>
      </c>
      <c r="AK255" s="211">
        <f t="shared" si="177"/>
        <v>0</v>
      </c>
      <c r="AL255" s="211">
        <f t="shared" si="177"/>
        <v>0</v>
      </c>
      <c r="AM255" s="211">
        <f t="shared" si="177"/>
        <v>0</v>
      </c>
      <c r="AN255" s="211">
        <f t="shared" si="177"/>
        <v>0</v>
      </c>
    </row>
    <row r="256" spans="2:41" s="7" customFormat="1" ht="12" hidden="1" customHeight="1" outlineLevel="2">
      <c r="B256" s="245"/>
      <c r="C256" s="250" t="s">
        <v>782</v>
      </c>
      <c r="D256" s="250"/>
      <c r="E256" s="213"/>
      <c r="F256" s="213"/>
      <c r="G256" s="213"/>
      <c r="H256" s="213"/>
      <c r="I256" s="213"/>
      <c r="J256" s="213"/>
      <c r="K256" s="213"/>
      <c r="L256" s="213"/>
      <c r="M256" s="213"/>
      <c r="N256" s="213"/>
      <c r="O256" s="213"/>
      <c r="P256" s="213"/>
      <c r="Q256" s="213"/>
      <c r="R256" s="213"/>
      <c r="S256" s="213"/>
      <c r="T256" s="213"/>
      <c r="U256" s="213"/>
      <c r="V256" s="213"/>
      <c r="W256" s="213"/>
      <c r="X256" s="213"/>
      <c r="Y256" s="213"/>
      <c r="Z256" s="213"/>
      <c r="AA256" s="213"/>
      <c r="AB256" s="211"/>
      <c r="AC256" s="211"/>
      <c r="AD256" s="211"/>
      <c r="AE256" s="211"/>
      <c r="AF256" s="211"/>
      <c r="AG256" s="211"/>
      <c r="AH256" s="211">
        <f>INDEX($C$199:$AN$221,MATCH("New Customers One-Time",$C$199:$C$221,0),MATCH($C256,$C$199:$AN$199,0))</f>
        <v>204.46279816679447</v>
      </c>
      <c r="AI256" s="211">
        <f t="shared" ref="AI256:AN256" si="178">$AH$256*(E225)</f>
        <v>0</v>
      </c>
      <c r="AJ256" s="211">
        <f t="shared" si="178"/>
        <v>0</v>
      </c>
      <c r="AK256" s="211">
        <f t="shared" si="178"/>
        <v>0</v>
      </c>
      <c r="AL256" s="211">
        <f t="shared" si="178"/>
        <v>0</v>
      </c>
      <c r="AM256" s="211">
        <f t="shared" si="178"/>
        <v>0</v>
      </c>
      <c r="AN256" s="211">
        <f t="shared" si="178"/>
        <v>0</v>
      </c>
    </row>
    <row r="257" spans="2:40" s="7" customFormat="1" ht="12" hidden="1" customHeight="1" outlineLevel="2">
      <c r="B257" s="245"/>
      <c r="C257" s="250" t="s">
        <v>783</v>
      </c>
      <c r="D257" s="250"/>
      <c r="E257" s="213"/>
      <c r="F257" s="213"/>
      <c r="G257" s="213"/>
      <c r="H257" s="213"/>
      <c r="I257" s="213"/>
      <c r="J257" s="213"/>
      <c r="K257" s="213"/>
      <c r="L257" s="213"/>
      <c r="M257" s="213"/>
      <c r="N257" s="213"/>
      <c r="O257" s="213"/>
      <c r="P257" s="213"/>
      <c r="Q257" s="213"/>
      <c r="R257" s="213"/>
      <c r="S257" s="213"/>
      <c r="T257" s="213"/>
      <c r="U257" s="213"/>
      <c r="V257" s="213"/>
      <c r="W257" s="213"/>
      <c r="X257" s="213"/>
      <c r="Y257" s="213"/>
      <c r="Z257" s="213"/>
      <c r="AA257" s="213"/>
      <c r="AB257" s="211"/>
      <c r="AC257" s="211"/>
      <c r="AD257" s="211"/>
      <c r="AE257" s="211"/>
      <c r="AF257" s="211"/>
      <c r="AG257" s="211"/>
      <c r="AH257" s="211"/>
      <c r="AI257" s="211">
        <f>INDEX($C$199:$AN$221,MATCH("New Customers One-Time",$C$199:$C$221,0),MATCH($C257,$C$199:$AN$199,0))</f>
        <v>67.481200489058068</v>
      </c>
      <c r="AJ257" s="211">
        <f>$AI$257*(E225)</f>
        <v>0</v>
      </c>
      <c r="AK257" s="211">
        <f>$AI$257*(F225)</f>
        <v>0</v>
      </c>
      <c r="AL257" s="211">
        <f>$AI$257*(G225)</f>
        <v>0</v>
      </c>
      <c r="AM257" s="211">
        <f>$AI$257*(H225)</f>
        <v>0</v>
      </c>
      <c r="AN257" s="211">
        <f>$AI$257*(I225)</f>
        <v>0</v>
      </c>
    </row>
    <row r="258" spans="2:40" s="7" customFormat="1" ht="12" hidden="1" customHeight="1" outlineLevel="2">
      <c r="B258" s="245"/>
      <c r="C258" s="250" t="s">
        <v>784</v>
      </c>
      <c r="D258" s="250"/>
      <c r="E258" s="213"/>
      <c r="F258" s="213"/>
      <c r="G258" s="213"/>
      <c r="H258" s="213"/>
      <c r="I258" s="213"/>
      <c r="J258" s="213"/>
      <c r="K258" s="213"/>
      <c r="L258" s="213"/>
      <c r="M258" s="213"/>
      <c r="N258" s="213"/>
      <c r="O258" s="213"/>
      <c r="P258" s="213"/>
      <c r="Q258" s="213"/>
      <c r="R258" s="213"/>
      <c r="S258" s="213"/>
      <c r="T258" s="213"/>
      <c r="U258" s="213"/>
      <c r="V258" s="213"/>
      <c r="W258" s="213"/>
      <c r="X258" s="213"/>
      <c r="Y258" s="213"/>
      <c r="Z258" s="213"/>
      <c r="AA258" s="213"/>
      <c r="AB258" s="211"/>
      <c r="AC258" s="211"/>
      <c r="AD258" s="211"/>
      <c r="AE258" s="211"/>
      <c r="AF258" s="211"/>
      <c r="AG258" s="211"/>
      <c r="AH258" s="211"/>
      <c r="AI258" s="211"/>
      <c r="AJ258" s="211">
        <f>INDEX($C$199:$AN$221,MATCH("New Customers One-Time",$C$199:$C$221,0),MATCH($C258,$C$199:$AN$199,0))</f>
        <v>84.980251122339752</v>
      </c>
      <c r="AK258" s="211">
        <f>$AJ$258*(E225)</f>
        <v>0</v>
      </c>
      <c r="AL258" s="211">
        <f>$AJ$258*(F225)</f>
        <v>0</v>
      </c>
      <c r="AM258" s="211">
        <f>$AJ$258*(G225)</f>
        <v>0</v>
      </c>
      <c r="AN258" s="211">
        <f>$AJ$258*(H225)</f>
        <v>0</v>
      </c>
    </row>
    <row r="259" spans="2:40" s="7" customFormat="1" ht="12" hidden="1" customHeight="1" outlineLevel="2">
      <c r="B259" s="245"/>
      <c r="C259" s="250" t="s">
        <v>785</v>
      </c>
      <c r="D259" s="250"/>
      <c r="E259" s="213"/>
      <c r="F259" s="213"/>
      <c r="G259" s="213"/>
      <c r="H259" s="213"/>
      <c r="I259" s="213"/>
      <c r="J259" s="213"/>
      <c r="K259" s="213"/>
      <c r="L259" s="213"/>
      <c r="M259" s="213"/>
      <c r="N259" s="213"/>
      <c r="O259" s="213"/>
      <c r="P259" s="213"/>
      <c r="Q259" s="213"/>
      <c r="R259" s="213"/>
      <c r="S259" s="213"/>
      <c r="T259" s="213"/>
      <c r="U259" s="213"/>
      <c r="V259" s="213"/>
      <c r="W259" s="213"/>
      <c r="X259" s="213"/>
      <c r="Y259" s="213"/>
      <c r="Z259" s="213"/>
      <c r="AA259" s="213"/>
      <c r="AB259" s="211"/>
      <c r="AC259" s="211"/>
      <c r="AD259" s="211"/>
      <c r="AE259" s="211"/>
      <c r="AF259" s="211"/>
      <c r="AG259" s="211"/>
      <c r="AH259" s="211"/>
      <c r="AI259" s="211"/>
      <c r="AJ259" s="211"/>
      <c r="AK259" s="211">
        <f>INDEX($C$199:$AN$221,MATCH("New Customers One-Time",$C$199:$C$221,0),MATCH($C259,$C$199:$AN$199,0))</f>
        <v>153.05864195372152</v>
      </c>
      <c r="AL259" s="211">
        <f>$AK$259*(E225)</f>
        <v>0</v>
      </c>
      <c r="AM259" s="211">
        <f>$AK$259*(F225)</f>
        <v>0</v>
      </c>
      <c r="AN259" s="211">
        <f>$AK$259*(G225)</f>
        <v>0</v>
      </c>
    </row>
    <row r="260" spans="2:40" s="7" customFormat="1" ht="12" hidden="1" customHeight="1" outlineLevel="2">
      <c r="B260" s="245"/>
      <c r="C260" s="250" t="s">
        <v>786</v>
      </c>
      <c r="D260" s="250"/>
      <c r="E260" s="213"/>
      <c r="F260" s="213"/>
      <c r="G260" s="213"/>
      <c r="H260" s="213"/>
      <c r="I260" s="213"/>
      <c r="J260" s="213"/>
      <c r="K260" s="213"/>
      <c r="L260" s="213"/>
      <c r="M260" s="213"/>
      <c r="N260" s="213"/>
      <c r="O260" s="213"/>
      <c r="P260" s="213"/>
      <c r="Q260" s="213"/>
      <c r="R260" s="213"/>
      <c r="S260" s="213"/>
      <c r="T260" s="213"/>
      <c r="U260" s="213"/>
      <c r="V260" s="213"/>
      <c r="W260" s="213"/>
      <c r="X260" s="213"/>
      <c r="Y260" s="213"/>
      <c r="Z260" s="213"/>
      <c r="AA260" s="213"/>
      <c r="AB260" s="211"/>
      <c r="AC260" s="211"/>
      <c r="AD260" s="211"/>
      <c r="AE260" s="211"/>
      <c r="AF260" s="211"/>
      <c r="AG260" s="211"/>
      <c r="AH260" s="211"/>
      <c r="AI260" s="211"/>
      <c r="AJ260" s="211"/>
      <c r="AK260" s="211"/>
      <c r="AL260" s="211">
        <f>INDEX($C$199:$AN$221,MATCH("New Customers One-Time",$C$199:$C$221,0),MATCH($C260,$C$199:$AN$199,0))</f>
        <v>127.54886829476793</v>
      </c>
      <c r="AM260" s="211">
        <f>$AL$260*(E225)</f>
        <v>0</v>
      </c>
      <c r="AN260" s="211">
        <f>$AL$260*(F225)</f>
        <v>0</v>
      </c>
    </row>
    <row r="261" spans="2:40" s="7" customFormat="1" ht="12" hidden="1" customHeight="1" outlineLevel="2">
      <c r="B261" s="245"/>
      <c r="C261" s="250" t="s">
        <v>787</v>
      </c>
      <c r="D261" s="250"/>
      <c r="E261" s="213"/>
      <c r="F261" s="213"/>
      <c r="G261" s="213"/>
      <c r="H261" s="213"/>
      <c r="I261" s="213"/>
      <c r="J261" s="213"/>
      <c r="K261" s="213"/>
      <c r="L261" s="213"/>
      <c r="M261" s="213"/>
      <c r="N261" s="213"/>
      <c r="O261" s="213"/>
      <c r="P261" s="213"/>
      <c r="Q261" s="213"/>
      <c r="R261" s="213"/>
      <c r="S261" s="213"/>
      <c r="T261" s="213"/>
      <c r="U261" s="213"/>
      <c r="V261" s="213"/>
      <c r="W261" s="213"/>
      <c r="X261" s="213"/>
      <c r="Y261" s="213"/>
      <c r="Z261" s="213"/>
      <c r="AA261" s="213"/>
      <c r="AB261" s="211"/>
      <c r="AC261" s="211"/>
      <c r="AD261" s="211"/>
      <c r="AE261" s="211"/>
      <c r="AF261" s="211"/>
      <c r="AG261" s="211"/>
      <c r="AH261" s="211"/>
      <c r="AI261" s="211"/>
      <c r="AJ261" s="211"/>
      <c r="AK261" s="211"/>
      <c r="AL261" s="211"/>
      <c r="AM261" s="211">
        <f>INDEX($C$199:$AN$221,MATCH("New Customers One-Time",$C$199:$C$221,0),MATCH($C261,$C$199:$AN$199,0))</f>
        <v>49.057257036449201</v>
      </c>
      <c r="AN261" s="211">
        <f>$AM$261*(E225)</f>
        <v>0</v>
      </c>
    </row>
    <row r="262" spans="2:40" s="7" customFormat="1" ht="12" hidden="1" customHeight="1" outlineLevel="2">
      <c r="B262" s="245"/>
      <c r="C262" s="250" t="s">
        <v>788</v>
      </c>
      <c r="D262" s="250"/>
      <c r="E262" s="213"/>
      <c r="F262" s="213"/>
      <c r="G262" s="213"/>
      <c r="H262" s="213"/>
      <c r="I262" s="213"/>
      <c r="J262" s="213"/>
      <c r="K262" s="213"/>
      <c r="L262" s="213"/>
      <c r="M262" s="213"/>
      <c r="N262" s="213"/>
      <c r="O262" s="213"/>
      <c r="P262" s="213"/>
      <c r="Q262" s="213"/>
      <c r="R262" s="213"/>
      <c r="S262" s="213"/>
      <c r="T262" s="213"/>
      <c r="U262" s="213"/>
      <c r="V262" s="213"/>
      <c r="W262" s="213"/>
      <c r="X262" s="213"/>
      <c r="Y262" s="213"/>
      <c r="Z262" s="213"/>
      <c r="AA262" s="213"/>
      <c r="AB262" s="211"/>
      <c r="AC262" s="211"/>
      <c r="AD262" s="211"/>
      <c r="AE262" s="211"/>
      <c r="AF262" s="211"/>
      <c r="AG262" s="211"/>
      <c r="AH262" s="211"/>
      <c r="AI262" s="211"/>
      <c r="AJ262" s="211"/>
      <c r="AK262" s="211"/>
      <c r="AL262" s="211"/>
      <c r="AM262" s="211"/>
      <c r="AN262" s="211">
        <f>INDEX($C$199:$AN$221,MATCH("New Customers One-Time",$C$199:$C$221,0),MATCH($C262,$C$199:$AN$199,0))</f>
        <v>49.057257036449201</v>
      </c>
    </row>
    <row r="263" spans="2:40" s="7" customFormat="1" ht="12" hidden="1" customHeight="1" outlineLevel="2">
      <c r="B263" s="245"/>
      <c r="C263" s="250"/>
      <c r="D263" s="250"/>
      <c r="E263" s="213"/>
      <c r="F263" s="213"/>
      <c r="G263" s="213"/>
      <c r="H263" s="213"/>
      <c r="I263" s="213"/>
      <c r="J263" s="213"/>
      <c r="K263" s="213"/>
      <c r="L263" s="213"/>
      <c r="M263" s="213"/>
      <c r="N263" s="213"/>
      <c r="O263" s="213"/>
      <c r="P263" s="213"/>
      <c r="Q263" s="213"/>
      <c r="R263" s="213"/>
      <c r="S263" s="213"/>
      <c r="T263" s="213"/>
      <c r="U263" s="213"/>
      <c r="V263" s="213"/>
      <c r="W263" s="213"/>
      <c r="X263" s="213"/>
      <c r="Y263" s="213"/>
      <c r="Z263" s="213"/>
      <c r="AA263" s="213"/>
      <c r="AB263" s="211"/>
      <c r="AC263" s="211"/>
      <c r="AD263" s="211"/>
      <c r="AE263" s="211"/>
      <c r="AF263" s="211"/>
      <c r="AG263" s="211"/>
      <c r="AH263" s="211"/>
      <c r="AI263" s="211"/>
      <c r="AJ263" s="211"/>
      <c r="AK263" s="211"/>
      <c r="AL263" s="211"/>
      <c r="AM263" s="211"/>
      <c r="AN263" s="211"/>
    </row>
    <row r="264" spans="2:40" s="7" customFormat="1" ht="12" hidden="1" customHeight="1" outlineLevel="2">
      <c r="B264" s="245"/>
      <c r="C264" s="249" t="s">
        <v>853</v>
      </c>
      <c r="D264" s="250"/>
      <c r="E264" s="213"/>
      <c r="F264" s="213"/>
      <c r="G264" s="213"/>
      <c r="H264" s="213"/>
      <c r="I264" s="213"/>
      <c r="J264" s="213"/>
      <c r="K264" s="213"/>
      <c r="L264" s="213"/>
      <c r="M264" s="213"/>
      <c r="N264" s="213"/>
      <c r="O264" s="213"/>
      <c r="P264" s="213"/>
      <c r="Q264" s="213"/>
      <c r="R264" s="213"/>
      <c r="S264" s="213"/>
      <c r="T264" s="213"/>
      <c r="U264" s="213"/>
      <c r="V264" s="213"/>
      <c r="W264" s="213"/>
      <c r="X264" s="213"/>
      <c r="Y264" s="213"/>
      <c r="Z264" s="213"/>
      <c r="AA264" s="213"/>
      <c r="AB264" s="213"/>
      <c r="AC264" s="211"/>
    </row>
    <row r="265" spans="2:40" s="7" customFormat="1" ht="12" hidden="1" customHeight="1" outlineLevel="2">
      <c r="B265" s="239"/>
      <c r="C265" s="212" t="s">
        <v>850</v>
      </c>
      <c r="D265" s="212"/>
      <c r="E265" s="196" t="s">
        <v>753</v>
      </c>
      <c r="F265" s="196" t="s">
        <v>754</v>
      </c>
      <c r="G265" s="196" t="s">
        <v>755</v>
      </c>
      <c r="H265" s="196" t="s">
        <v>756</v>
      </c>
      <c r="I265" s="196" t="s">
        <v>757</v>
      </c>
      <c r="J265" s="196" t="s">
        <v>758</v>
      </c>
      <c r="K265" s="196" t="s">
        <v>759</v>
      </c>
      <c r="L265" s="196" t="s">
        <v>760</v>
      </c>
      <c r="M265" s="196" t="s">
        <v>761</v>
      </c>
      <c r="N265" s="196" t="s">
        <v>762</v>
      </c>
      <c r="O265" s="196" t="s">
        <v>763</v>
      </c>
      <c r="P265" s="196" t="s">
        <v>764</v>
      </c>
      <c r="Q265" s="196" t="s">
        <v>765</v>
      </c>
      <c r="R265" s="196" t="s">
        <v>766</v>
      </c>
      <c r="S265" s="196" t="s">
        <v>767</v>
      </c>
      <c r="T265" s="196" t="s">
        <v>768</v>
      </c>
      <c r="U265" s="196" t="s">
        <v>769</v>
      </c>
      <c r="V265" s="196" t="s">
        <v>770</v>
      </c>
      <c r="W265" s="196" t="s">
        <v>771</v>
      </c>
      <c r="X265" s="196" t="s">
        <v>772</v>
      </c>
      <c r="Y265" s="196" t="s">
        <v>773</v>
      </c>
      <c r="Z265" s="196" t="s">
        <v>774</v>
      </c>
      <c r="AA265" s="196" t="s">
        <v>775</v>
      </c>
      <c r="AB265" s="196" t="s">
        <v>776</v>
      </c>
      <c r="AC265" s="196" t="s">
        <v>777</v>
      </c>
      <c r="AD265" s="196" t="s">
        <v>778</v>
      </c>
      <c r="AE265" s="196" t="s">
        <v>779</v>
      </c>
      <c r="AF265" s="196" t="s">
        <v>780</v>
      </c>
      <c r="AG265" s="196" t="s">
        <v>781</v>
      </c>
      <c r="AH265" s="196" t="s">
        <v>782</v>
      </c>
      <c r="AI265" s="196" t="s">
        <v>783</v>
      </c>
      <c r="AJ265" s="196" t="s">
        <v>784</v>
      </c>
      <c r="AK265" s="196" t="s">
        <v>785</v>
      </c>
      <c r="AL265" s="196" t="s">
        <v>786</v>
      </c>
      <c r="AM265" s="196" t="s">
        <v>787</v>
      </c>
      <c r="AN265" s="196" t="s">
        <v>788</v>
      </c>
    </row>
    <row r="266" spans="2:40" s="7" customFormat="1" ht="12" hidden="1" customHeight="1" outlineLevel="2">
      <c r="B266" s="239"/>
      <c r="C266" s="247" t="s">
        <v>851</v>
      </c>
      <c r="D266" s="212"/>
      <c r="E266" s="345">
        <v>7.0000000000000007E-2</v>
      </c>
      <c r="F266" s="345">
        <v>7.0000000000000007E-2</v>
      </c>
      <c r="G266" s="345">
        <v>7.0000000000000007E-2</v>
      </c>
      <c r="H266" s="345">
        <v>0.06</v>
      </c>
      <c r="I266" s="345">
        <v>0.06</v>
      </c>
      <c r="J266" s="345">
        <v>0.06</v>
      </c>
      <c r="K266" s="345">
        <v>0.05</v>
      </c>
      <c r="L266" s="345">
        <v>0.05</v>
      </c>
      <c r="M266" s="345">
        <v>0.05</v>
      </c>
      <c r="N266" s="345">
        <v>0.04</v>
      </c>
      <c r="O266" s="345">
        <v>0.04</v>
      </c>
      <c r="P266" s="345">
        <v>0.04</v>
      </c>
      <c r="Q266" s="345">
        <v>0.03</v>
      </c>
      <c r="R266" s="345">
        <v>0.03</v>
      </c>
      <c r="S266" s="345">
        <v>0.03</v>
      </c>
      <c r="T266" s="345">
        <v>0.02</v>
      </c>
      <c r="U266" s="345">
        <v>0.02</v>
      </c>
      <c r="V266" s="345">
        <v>0.02</v>
      </c>
      <c r="W266" s="345">
        <v>0.01</v>
      </c>
      <c r="X266" s="345">
        <v>0.01</v>
      </c>
      <c r="Y266" s="345">
        <v>0.01</v>
      </c>
      <c r="Z266" s="345">
        <v>0.01</v>
      </c>
      <c r="AA266" s="345">
        <v>0.01</v>
      </c>
      <c r="AB266" s="345">
        <v>0.01</v>
      </c>
      <c r="AC266" s="345">
        <v>0.01</v>
      </c>
      <c r="AD266" s="345">
        <f t="shared" ref="AD266:AN266" si="179">AC266</f>
        <v>0.01</v>
      </c>
      <c r="AE266" s="345">
        <f t="shared" si="179"/>
        <v>0.01</v>
      </c>
      <c r="AF266" s="345">
        <f t="shared" si="179"/>
        <v>0.01</v>
      </c>
      <c r="AG266" s="345">
        <f t="shared" si="179"/>
        <v>0.01</v>
      </c>
      <c r="AH266" s="345">
        <f t="shared" si="179"/>
        <v>0.01</v>
      </c>
      <c r="AI266" s="345">
        <f t="shared" si="179"/>
        <v>0.01</v>
      </c>
      <c r="AJ266" s="345">
        <f t="shared" si="179"/>
        <v>0.01</v>
      </c>
      <c r="AK266" s="345">
        <f t="shared" si="179"/>
        <v>0.01</v>
      </c>
      <c r="AL266" s="345">
        <f t="shared" si="179"/>
        <v>0.01</v>
      </c>
      <c r="AM266" s="345">
        <f t="shared" si="179"/>
        <v>0.01</v>
      </c>
      <c r="AN266" s="345">
        <f t="shared" si="179"/>
        <v>0.01</v>
      </c>
    </row>
    <row r="267" spans="2:40" s="7" customFormat="1" ht="12" hidden="1" customHeight="1" outlineLevel="2">
      <c r="B267" s="239"/>
      <c r="C267" s="212" t="s">
        <v>861</v>
      </c>
      <c r="D267" s="212"/>
      <c r="E267" s="211"/>
      <c r="F267" s="211"/>
      <c r="G267" s="211"/>
      <c r="H267" s="211"/>
      <c r="I267" s="211">
        <v>-1</v>
      </c>
      <c r="J267" s="211"/>
      <c r="K267" s="211"/>
      <c r="L267" s="211"/>
      <c r="M267" s="211"/>
      <c r="N267" s="211"/>
      <c r="O267" s="211"/>
      <c r="P267" s="211"/>
      <c r="Q267" s="211"/>
      <c r="R267" s="211"/>
      <c r="S267" s="211"/>
      <c r="T267" s="211"/>
      <c r="U267" s="211"/>
      <c r="V267" s="211"/>
      <c r="W267" s="211"/>
      <c r="X267" s="211"/>
      <c r="Y267" s="211"/>
      <c r="Z267" s="211"/>
      <c r="AA267" s="211"/>
      <c r="AB267" s="211"/>
      <c r="AC267" s="211"/>
      <c r="AD267" s="211"/>
      <c r="AE267" s="211"/>
      <c r="AF267" s="211"/>
      <c r="AG267" s="211"/>
      <c r="AH267" s="211"/>
      <c r="AI267" s="211"/>
      <c r="AJ267" s="211"/>
      <c r="AK267" s="211"/>
      <c r="AL267" s="211"/>
      <c r="AM267" s="211"/>
      <c r="AN267" s="211"/>
    </row>
    <row r="268" spans="2:40" s="7" customFormat="1" ht="12" hidden="1" customHeight="1" outlineLevel="2">
      <c r="B268" s="245"/>
      <c r="C268" s="250" t="s">
        <v>753</v>
      </c>
      <c r="D268" s="250"/>
      <c r="E268" s="211">
        <f>INDEX($C$199:$AN$221,MATCH("New Customers 1MS",$C$199:$C$221,0),MATCH($C268,$C$199:$AN$199,0))</f>
        <v>1.0000000000000004</v>
      </c>
      <c r="F268" s="211">
        <f t="shared" ref="F268:AN268" si="180">$E$268*(E266)</f>
        <v>7.0000000000000034E-2</v>
      </c>
      <c r="G268" s="211">
        <f t="shared" si="180"/>
        <v>7.0000000000000034E-2</v>
      </c>
      <c r="H268" s="211">
        <f t="shared" si="180"/>
        <v>7.0000000000000034E-2</v>
      </c>
      <c r="I268" s="211">
        <f t="shared" si="180"/>
        <v>6.0000000000000026E-2</v>
      </c>
      <c r="J268" s="211">
        <f t="shared" si="180"/>
        <v>6.0000000000000026E-2</v>
      </c>
      <c r="K268" s="211">
        <f t="shared" si="180"/>
        <v>6.0000000000000026E-2</v>
      </c>
      <c r="L268" s="211">
        <f t="shared" si="180"/>
        <v>5.0000000000000024E-2</v>
      </c>
      <c r="M268" s="211">
        <f t="shared" si="180"/>
        <v>5.0000000000000024E-2</v>
      </c>
      <c r="N268" s="211">
        <f t="shared" si="180"/>
        <v>5.0000000000000024E-2</v>
      </c>
      <c r="O268" s="211">
        <f t="shared" si="180"/>
        <v>4.0000000000000022E-2</v>
      </c>
      <c r="P268" s="211">
        <f t="shared" si="180"/>
        <v>4.0000000000000022E-2</v>
      </c>
      <c r="Q268" s="211">
        <f t="shared" si="180"/>
        <v>4.0000000000000022E-2</v>
      </c>
      <c r="R268" s="211">
        <f t="shared" si="180"/>
        <v>3.0000000000000013E-2</v>
      </c>
      <c r="S268" s="211">
        <f t="shared" si="180"/>
        <v>3.0000000000000013E-2</v>
      </c>
      <c r="T268" s="211">
        <f t="shared" si="180"/>
        <v>3.0000000000000013E-2</v>
      </c>
      <c r="U268" s="211">
        <f t="shared" si="180"/>
        <v>2.0000000000000011E-2</v>
      </c>
      <c r="V268" s="211">
        <f t="shared" si="180"/>
        <v>2.0000000000000011E-2</v>
      </c>
      <c r="W268" s="211">
        <f t="shared" si="180"/>
        <v>2.0000000000000011E-2</v>
      </c>
      <c r="X268" s="211">
        <f t="shared" si="180"/>
        <v>1.0000000000000005E-2</v>
      </c>
      <c r="Y268" s="211">
        <f t="shared" si="180"/>
        <v>1.0000000000000005E-2</v>
      </c>
      <c r="Z268" s="211">
        <f t="shared" si="180"/>
        <v>1.0000000000000005E-2</v>
      </c>
      <c r="AA268" s="211">
        <f t="shared" si="180"/>
        <v>1.0000000000000005E-2</v>
      </c>
      <c r="AB268" s="211">
        <f t="shared" si="180"/>
        <v>1.0000000000000005E-2</v>
      </c>
      <c r="AC268" s="211">
        <f t="shared" si="180"/>
        <v>1.0000000000000005E-2</v>
      </c>
      <c r="AD268" s="211">
        <f t="shared" si="180"/>
        <v>1.0000000000000005E-2</v>
      </c>
      <c r="AE268" s="211">
        <f t="shared" si="180"/>
        <v>1.0000000000000005E-2</v>
      </c>
      <c r="AF268" s="211">
        <f t="shared" si="180"/>
        <v>1.0000000000000005E-2</v>
      </c>
      <c r="AG268" s="211">
        <f t="shared" si="180"/>
        <v>1.0000000000000005E-2</v>
      </c>
      <c r="AH268" s="211">
        <f t="shared" si="180"/>
        <v>1.0000000000000005E-2</v>
      </c>
      <c r="AI268" s="211">
        <f t="shared" si="180"/>
        <v>1.0000000000000005E-2</v>
      </c>
      <c r="AJ268" s="211">
        <f t="shared" si="180"/>
        <v>1.0000000000000005E-2</v>
      </c>
      <c r="AK268" s="211">
        <f t="shared" si="180"/>
        <v>1.0000000000000005E-2</v>
      </c>
      <c r="AL268" s="211">
        <f t="shared" si="180"/>
        <v>1.0000000000000005E-2</v>
      </c>
      <c r="AM268" s="211">
        <f t="shared" si="180"/>
        <v>1.0000000000000005E-2</v>
      </c>
      <c r="AN268" s="211">
        <f t="shared" si="180"/>
        <v>1.0000000000000005E-2</v>
      </c>
    </row>
    <row r="269" spans="2:40" s="7" customFormat="1" ht="12" hidden="1" customHeight="1" outlineLevel="2">
      <c r="B269" s="245"/>
      <c r="C269" s="250" t="s">
        <v>754</v>
      </c>
      <c r="D269" s="250"/>
      <c r="E269" s="213"/>
      <c r="F269" s="211">
        <f>INDEX($C$199:$AN$221,MATCH("New Customers 1MS",$C$199:$C$221,0),MATCH($C269,$C$199:$AN$199,0))</f>
        <v>0.99999999999999889</v>
      </c>
      <c r="G269" s="211">
        <f t="shared" ref="G269:AN269" si="181">$F$269*(E266)</f>
        <v>6.9999999999999923E-2</v>
      </c>
      <c r="H269" s="211">
        <f t="shared" si="181"/>
        <v>6.9999999999999923E-2</v>
      </c>
      <c r="I269" s="211">
        <f t="shared" si="181"/>
        <v>6.9999999999999923E-2</v>
      </c>
      <c r="J269" s="211">
        <f t="shared" si="181"/>
        <v>5.9999999999999928E-2</v>
      </c>
      <c r="K269" s="211">
        <f t="shared" si="181"/>
        <v>5.9999999999999928E-2</v>
      </c>
      <c r="L269" s="211">
        <f t="shared" si="181"/>
        <v>5.9999999999999928E-2</v>
      </c>
      <c r="M269" s="211">
        <f t="shared" si="181"/>
        <v>4.9999999999999947E-2</v>
      </c>
      <c r="N269" s="211">
        <f t="shared" si="181"/>
        <v>4.9999999999999947E-2</v>
      </c>
      <c r="O269" s="211">
        <f t="shared" si="181"/>
        <v>4.9999999999999947E-2</v>
      </c>
      <c r="P269" s="211">
        <f t="shared" si="181"/>
        <v>3.9999999999999959E-2</v>
      </c>
      <c r="Q269" s="211">
        <f t="shared" si="181"/>
        <v>3.9999999999999959E-2</v>
      </c>
      <c r="R269" s="211">
        <f t="shared" si="181"/>
        <v>3.9999999999999959E-2</v>
      </c>
      <c r="S269" s="211">
        <f t="shared" si="181"/>
        <v>2.9999999999999964E-2</v>
      </c>
      <c r="T269" s="211">
        <f t="shared" si="181"/>
        <v>2.9999999999999964E-2</v>
      </c>
      <c r="U269" s="211">
        <f t="shared" si="181"/>
        <v>2.9999999999999964E-2</v>
      </c>
      <c r="V269" s="211">
        <f t="shared" si="181"/>
        <v>1.999999999999998E-2</v>
      </c>
      <c r="W269" s="211">
        <f t="shared" si="181"/>
        <v>1.999999999999998E-2</v>
      </c>
      <c r="X269" s="211">
        <f t="shared" si="181"/>
        <v>1.999999999999998E-2</v>
      </c>
      <c r="Y269" s="211">
        <f t="shared" si="181"/>
        <v>9.9999999999999898E-3</v>
      </c>
      <c r="Z269" s="211">
        <f t="shared" si="181"/>
        <v>9.9999999999999898E-3</v>
      </c>
      <c r="AA269" s="211">
        <f t="shared" si="181"/>
        <v>9.9999999999999898E-3</v>
      </c>
      <c r="AB269" s="211">
        <f t="shared" si="181"/>
        <v>9.9999999999999898E-3</v>
      </c>
      <c r="AC269" s="211">
        <f t="shared" si="181"/>
        <v>9.9999999999999898E-3</v>
      </c>
      <c r="AD269" s="211">
        <f t="shared" si="181"/>
        <v>9.9999999999999898E-3</v>
      </c>
      <c r="AE269" s="211">
        <f t="shared" si="181"/>
        <v>9.9999999999999898E-3</v>
      </c>
      <c r="AF269" s="211">
        <f t="shared" si="181"/>
        <v>9.9999999999999898E-3</v>
      </c>
      <c r="AG269" s="211">
        <f t="shared" si="181"/>
        <v>9.9999999999999898E-3</v>
      </c>
      <c r="AH269" s="211">
        <f t="shared" si="181"/>
        <v>9.9999999999999898E-3</v>
      </c>
      <c r="AI269" s="211">
        <f t="shared" si="181"/>
        <v>9.9999999999999898E-3</v>
      </c>
      <c r="AJ269" s="211">
        <f t="shared" si="181"/>
        <v>9.9999999999999898E-3</v>
      </c>
      <c r="AK269" s="211">
        <f t="shared" si="181"/>
        <v>9.9999999999999898E-3</v>
      </c>
      <c r="AL269" s="211">
        <f t="shared" si="181"/>
        <v>9.9999999999999898E-3</v>
      </c>
      <c r="AM269" s="211">
        <f t="shared" si="181"/>
        <v>9.9999999999999898E-3</v>
      </c>
      <c r="AN269" s="211">
        <f t="shared" si="181"/>
        <v>9.9999999999999898E-3</v>
      </c>
    </row>
    <row r="270" spans="2:40" s="7" customFormat="1" ht="12" hidden="1" customHeight="1" outlineLevel="2">
      <c r="B270" s="245"/>
      <c r="C270" s="250" t="s">
        <v>755</v>
      </c>
      <c r="D270" s="250"/>
      <c r="E270" s="213"/>
      <c r="F270" s="213"/>
      <c r="G270" s="211">
        <f>INDEX($C$199:$AN$221,MATCH("New Customers 1MS",$C$199:$C$221,0),MATCH($C270,$C$199:$AN$199,0))</f>
        <v>0</v>
      </c>
      <c r="H270" s="211">
        <f t="shared" ref="H270:AN270" si="182">$G$270*(E266)</f>
        <v>0</v>
      </c>
      <c r="I270" s="211">
        <f t="shared" si="182"/>
        <v>0</v>
      </c>
      <c r="J270" s="211">
        <f t="shared" si="182"/>
        <v>0</v>
      </c>
      <c r="K270" s="211">
        <f t="shared" si="182"/>
        <v>0</v>
      </c>
      <c r="L270" s="211">
        <f t="shared" si="182"/>
        <v>0</v>
      </c>
      <c r="M270" s="211">
        <f t="shared" si="182"/>
        <v>0</v>
      </c>
      <c r="N270" s="211">
        <f t="shared" si="182"/>
        <v>0</v>
      </c>
      <c r="O270" s="211">
        <f t="shared" si="182"/>
        <v>0</v>
      </c>
      <c r="P270" s="211">
        <f t="shared" si="182"/>
        <v>0</v>
      </c>
      <c r="Q270" s="211">
        <f t="shared" si="182"/>
        <v>0</v>
      </c>
      <c r="R270" s="211">
        <f t="shared" si="182"/>
        <v>0</v>
      </c>
      <c r="S270" s="211">
        <f t="shared" si="182"/>
        <v>0</v>
      </c>
      <c r="T270" s="211">
        <f t="shared" si="182"/>
        <v>0</v>
      </c>
      <c r="U270" s="211">
        <f t="shared" si="182"/>
        <v>0</v>
      </c>
      <c r="V270" s="211">
        <f t="shared" si="182"/>
        <v>0</v>
      </c>
      <c r="W270" s="211">
        <f t="shared" si="182"/>
        <v>0</v>
      </c>
      <c r="X270" s="211">
        <f t="shared" si="182"/>
        <v>0</v>
      </c>
      <c r="Y270" s="211">
        <f t="shared" si="182"/>
        <v>0</v>
      </c>
      <c r="Z270" s="211">
        <f t="shared" si="182"/>
        <v>0</v>
      </c>
      <c r="AA270" s="211">
        <f t="shared" si="182"/>
        <v>0</v>
      </c>
      <c r="AB270" s="211">
        <f t="shared" si="182"/>
        <v>0</v>
      </c>
      <c r="AC270" s="211">
        <f t="shared" si="182"/>
        <v>0</v>
      </c>
      <c r="AD270" s="211">
        <f t="shared" si="182"/>
        <v>0</v>
      </c>
      <c r="AE270" s="211">
        <f t="shared" si="182"/>
        <v>0</v>
      </c>
      <c r="AF270" s="211">
        <f t="shared" si="182"/>
        <v>0</v>
      </c>
      <c r="AG270" s="211">
        <f t="shared" si="182"/>
        <v>0</v>
      </c>
      <c r="AH270" s="211">
        <f t="shared" si="182"/>
        <v>0</v>
      </c>
      <c r="AI270" s="211">
        <f t="shared" si="182"/>
        <v>0</v>
      </c>
      <c r="AJ270" s="211">
        <f t="shared" si="182"/>
        <v>0</v>
      </c>
      <c r="AK270" s="211">
        <f t="shared" si="182"/>
        <v>0</v>
      </c>
      <c r="AL270" s="211">
        <f t="shared" si="182"/>
        <v>0</v>
      </c>
      <c r="AM270" s="211">
        <f t="shared" si="182"/>
        <v>0</v>
      </c>
      <c r="AN270" s="211">
        <f t="shared" si="182"/>
        <v>0</v>
      </c>
    </row>
    <row r="271" spans="2:40" s="7" customFormat="1" ht="12" hidden="1" customHeight="1" outlineLevel="2">
      <c r="B271" s="245"/>
      <c r="C271" s="250" t="s">
        <v>756</v>
      </c>
      <c r="D271" s="250"/>
      <c r="E271" s="213"/>
      <c r="F271" s="213"/>
      <c r="G271" s="213"/>
      <c r="H271" s="211">
        <f>INDEX($C$199:$AN$221,MATCH("New Customers 1MS",$C$199:$C$221,0),MATCH($C271,$C$199:$AN$199,0))</f>
        <v>0.99999999999999933</v>
      </c>
      <c r="I271" s="211">
        <f t="shared" ref="I271:AN271" si="183">$H$271*(E266)</f>
        <v>6.9999999999999965E-2</v>
      </c>
      <c r="J271" s="211">
        <f t="shared" si="183"/>
        <v>6.9999999999999965E-2</v>
      </c>
      <c r="K271" s="211">
        <f t="shared" si="183"/>
        <v>6.9999999999999965E-2</v>
      </c>
      <c r="L271" s="211">
        <f t="shared" si="183"/>
        <v>5.9999999999999956E-2</v>
      </c>
      <c r="M271" s="211">
        <f t="shared" si="183"/>
        <v>5.9999999999999956E-2</v>
      </c>
      <c r="N271" s="211">
        <f t="shared" si="183"/>
        <v>5.9999999999999956E-2</v>
      </c>
      <c r="O271" s="211">
        <f t="shared" si="183"/>
        <v>4.9999999999999968E-2</v>
      </c>
      <c r="P271" s="211">
        <f t="shared" si="183"/>
        <v>4.9999999999999968E-2</v>
      </c>
      <c r="Q271" s="211">
        <f t="shared" si="183"/>
        <v>4.9999999999999968E-2</v>
      </c>
      <c r="R271" s="211">
        <f t="shared" si="183"/>
        <v>3.9999999999999973E-2</v>
      </c>
      <c r="S271" s="211">
        <f t="shared" si="183"/>
        <v>3.9999999999999973E-2</v>
      </c>
      <c r="T271" s="211">
        <f t="shared" si="183"/>
        <v>3.9999999999999973E-2</v>
      </c>
      <c r="U271" s="211">
        <f t="shared" si="183"/>
        <v>2.9999999999999978E-2</v>
      </c>
      <c r="V271" s="211">
        <f t="shared" si="183"/>
        <v>2.9999999999999978E-2</v>
      </c>
      <c r="W271" s="211">
        <f t="shared" si="183"/>
        <v>2.9999999999999978E-2</v>
      </c>
      <c r="X271" s="211">
        <f t="shared" si="183"/>
        <v>1.9999999999999987E-2</v>
      </c>
      <c r="Y271" s="211">
        <f t="shared" si="183"/>
        <v>1.9999999999999987E-2</v>
      </c>
      <c r="Z271" s="211">
        <f t="shared" si="183"/>
        <v>1.9999999999999987E-2</v>
      </c>
      <c r="AA271" s="211">
        <f t="shared" si="183"/>
        <v>9.9999999999999933E-3</v>
      </c>
      <c r="AB271" s="211">
        <f t="shared" si="183"/>
        <v>9.9999999999999933E-3</v>
      </c>
      <c r="AC271" s="211">
        <f t="shared" si="183"/>
        <v>9.9999999999999933E-3</v>
      </c>
      <c r="AD271" s="211">
        <f t="shared" si="183"/>
        <v>9.9999999999999933E-3</v>
      </c>
      <c r="AE271" s="211">
        <f t="shared" si="183"/>
        <v>9.9999999999999933E-3</v>
      </c>
      <c r="AF271" s="211">
        <f t="shared" si="183"/>
        <v>9.9999999999999933E-3</v>
      </c>
      <c r="AG271" s="211">
        <f t="shared" si="183"/>
        <v>9.9999999999999933E-3</v>
      </c>
      <c r="AH271" s="211">
        <f t="shared" si="183"/>
        <v>9.9999999999999933E-3</v>
      </c>
      <c r="AI271" s="211">
        <f t="shared" si="183"/>
        <v>9.9999999999999933E-3</v>
      </c>
      <c r="AJ271" s="211">
        <f t="shared" si="183"/>
        <v>9.9999999999999933E-3</v>
      </c>
      <c r="AK271" s="211">
        <f t="shared" si="183"/>
        <v>9.9999999999999933E-3</v>
      </c>
      <c r="AL271" s="211">
        <f t="shared" si="183"/>
        <v>9.9999999999999933E-3</v>
      </c>
      <c r="AM271" s="211">
        <f t="shared" si="183"/>
        <v>9.9999999999999933E-3</v>
      </c>
      <c r="AN271" s="211">
        <f t="shared" si="183"/>
        <v>9.9999999999999933E-3</v>
      </c>
    </row>
    <row r="272" spans="2:40" s="7" customFormat="1" ht="12" hidden="1" customHeight="1" outlineLevel="2">
      <c r="B272" s="245"/>
      <c r="C272" s="250" t="s">
        <v>757</v>
      </c>
      <c r="D272" s="250"/>
      <c r="E272" s="213"/>
      <c r="F272" s="213"/>
      <c r="G272" s="213"/>
      <c r="H272" s="213"/>
      <c r="I272" s="211">
        <f>INDEX($C$199:$AN$221,MATCH("New Customers 1MS",$C$199:$C$221,0),MATCH($C272,$C$199:$AN$199,0))</f>
        <v>1</v>
      </c>
      <c r="J272" s="211">
        <f t="shared" ref="J272:AN272" si="184">$I$272*(E266)</f>
        <v>7.0000000000000007E-2</v>
      </c>
      <c r="K272" s="211">
        <f t="shared" si="184"/>
        <v>7.0000000000000007E-2</v>
      </c>
      <c r="L272" s="211">
        <f t="shared" si="184"/>
        <v>7.0000000000000007E-2</v>
      </c>
      <c r="M272" s="211">
        <f t="shared" si="184"/>
        <v>0.06</v>
      </c>
      <c r="N272" s="211">
        <f t="shared" si="184"/>
        <v>0.06</v>
      </c>
      <c r="O272" s="211">
        <f t="shared" si="184"/>
        <v>0.06</v>
      </c>
      <c r="P272" s="211">
        <f t="shared" si="184"/>
        <v>0.05</v>
      </c>
      <c r="Q272" s="211">
        <f t="shared" si="184"/>
        <v>0.05</v>
      </c>
      <c r="R272" s="211">
        <f t="shared" si="184"/>
        <v>0.05</v>
      </c>
      <c r="S272" s="211">
        <f t="shared" si="184"/>
        <v>0.04</v>
      </c>
      <c r="T272" s="211">
        <f t="shared" si="184"/>
        <v>0.04</v>
      </c>
      <c r="U272" s="211">
        <f t="shared" si="184"/>
        <v>0.04</v>
      </c>
      <c r="V272" s="211">
        <f t="shared" si="184"/>
        <v>0.03</v>
      </c>
      <c r="W272" s="211">
        <f t="shared" si="184"/>
        <v>0.03</v>
      </c>
      <c r="X272" s="211">
        <f t="shared" si="184"/>
        <v>0.03</v>
      </c>
      <c r="Y272" s="211">
        <f t="shared" si="184"/>
        <v>0.02</v>
      </c>
      <c r="Z272" s="211">
        <f t="shared" si="184"/>
        <v>0.02</v>
      </c>
      <c r="AA272" s="211">
        <f t="shared" si="184"/>
        <v>0.02</v>
      </c>
      <c r="AB272" s="211">
        <f t="shared" si="184"/>
        <v>0.01</v>
      </c>
      <c r="AC272" s="211">
        <f t="shared" si="184"/>
        <v>0.01</v>
      </c>
      <c r="AD272" s="211">
        <f t="shared" si="184"/>
        <v>0.01</v>
      </c>
      <c r="AE272" s="211">
        <f t="shared" si="184"/>
        <v>0.01</v>
      </c>
      <c r="AF272" s="211">
        <f t="shared" si="184"/>
        <v>0.01</v>
      </c>
      <c r="AG272" s="211">
        <f t="shared" si="184"/>
        <v>0.01</v>
      </c>
      <c r="AH272" s="211">
        <f t="shared" si="184"/>
        <v>0.01</v>
      </c>
      <c r="AI272" s="211">
        <f t="shared" si="184"/>
        <v>0.01</v>
      </c>
      <c r="AJ272" s="211">
        <f t="shared" si="184"/>
        <v>0.01</v>
      </c>
      <c r="AK272" s="211">
        <f t="shared" si="184"/>
        <v>0.01</v>
      </c>
      <c r="AL272" s="211">
        <f t="shared" si="184"/>
        <v>0.01</v>
      </c>
      <c r="AM272" s="211">
        <f t="shared" si="184"/>
        <v>0.01</v>
      </c>
      <c r="AN272" s="211">
        <f t="shared" si="184"/>
        <v>0.01</v>
      </c>
    </row>
    <row r="273" spans="2:40" s="7" customFormat="1" ht="12" hidden="1" customHeight="1" outlineLevel="2">
      <c r="B273" s="245"/>
      <c r="C273" s="250" t="s">
        <v>758</v>
      </c>
      <c r="D273" s="250"/>
      <c r="E273" s="213"/>
      <c r="F273" s="213"/>
      <c r="G273" s="213"/>
      <c r="H273" s="213"/>
      <c r="I273" s="213"/>
      <c r="J273" s="211">
        <f>INDEX($C$199:$AN$221,MATCH("New Customers 1MS",$C$199:$C$221,0),MATCH($C273,$C$199:$AN$199,0))</f>
        <v>0.99999999999999911</v>
      </c>
      <c r="K273" s="211">
        <f t="shared" ref="K273:AN273" si="185">$J$273*(E266)</f>
        <v>6.9999999999999951E-2</v>
      </c>
      <c r="L273" s="211">
        <f t="shared" si="185"/>
        <v>6.9999999999999951E-2</v>
      </c>
      <c r="M273" s="211">
        <f t="shared" si="185"/>
        <v>6.9999999999999951E-2</v>
      </c>
      <c r="N273" s="211">
        <f t="shared" si="185"/>
        <v>5.9999999999999942E-2</v>
      </c>
      <c r="O273" s="211">
        <f t="shared" si="185"/>
        <v>5.9999999999999942E-2</v>
      </c>
      <c r="P273" s="211">
        <f t="shared" si="185"/>
        <v>5.9999999999999942E-2</v>
      </c>
      <c r="Q273" s="211">
        <f t="shared" si="185"/>
        <v>4.9999999999999961E-2</v>
      </c>
      <c r="R273" s="211">
        <f t="shared" si="185"/>
        <v>4.9999999999999961E-2</v>
      </c>
      <c r="S273" s="211">
        <f t="shared" si="185"/>
        <v>4.9999999999999961E-2</v>
      </c>
      <c r="T273" s="211">
        <f t="shared" si="185"/>
        <v>3.9999999999999966E-2</v>
      </c>
      <c r="U273" s="211">
        <f t="shared" si="185"/>
        <v>3.9999999999999966E-2</v>
      </c>
      <c r="V273" s="211">
        <f t="shared" si="185"/>
        <v>3.9999999999999966E-2</v>
      </c>
      <c r="W273" s="211">
        <f t="shared" si="185"/>
        <v>2.9999999999999971E-2</v>
      </c>
      <c r="X273" s="211">
        <f t="shared" si="185"/>
        <v>2.9999999999999971E-2</v>
      </c>
      <c r="Y273" s="211">
        <f t="shared" si="185"/>
        <v>2.9999999999999971E-2</v>
      </c>
      <c r="Z273" s="211">
        <f t="shared" si="185"/>
        <v>1.9999999999999983E-2</v>
      </c>
      <c r="AA273" s="211">
        <f t="shared" si="185"/>
        <v>1.9999999999999983E-2</v>
      </c>
      <c r="AB273" s="211">
        <f t="shared" si="185"/>
        <v>1.9999999999999983E-2</v>
      </c>
      <c r="AC273" s="211">
        <f t="shared" si="185"/>
        <v>9.9999999999999915E-3</v>
      </c>
      <c r="AD273" s="211">
        <f t="shared" si="185"/>
        <v>9.9999999999999915E-3</v>
      </c>
      <c r="AE273" s="211">
        <f t="shared" si="185"/>
        <v>9.9999999999999915E-3</v>
      </c>
      <c r="AF273" s="211">
        <f t="shared" si="185"/>
        <v>9.9999999999999915E-3</v>
      </c>
      <c r="AG273" s="211">
        <f t="shared" si="185"/>
        <v>9.9999999999999915E-3</v>
      </c>
      <c r="AH273" s="211">
        <f t="shared" si="185"/>
        <v>9.9999999999999915E-3</v>
      </c>
      <c r="AI273" s="211">
        <f t="shared" si="185"/>
        <v>9.9999999999999915E-3</v>
      </c>
      <c r="AJ273" s="211">
        <f t="shared" si="185"/>
        <v>9.9999999999999915E-3</v>
      </c>
      <c r="AK273" s="211">
        <f t="shared" si="185"/>
        <v>9.9999999999999915E-3</v>
      </c>
      <c r="AL273" s="211">
        <f t="shared" si="185"/>
        <v>9.9999999999999915E-3</v>
      </c>
      <c r="AM273" s="211">
        <f t="shared" si="185"/>
        <v>9.9999999999999915E-3</v>
      </c>
      <c r="AN273" s="211">
        <f t="shared" si="185"/>
        <v>9.9999999999999915E-3</v>
      </c>
    </row>
    <row r="274" spans="2:40" s="7" customFormat="1" ht="12" hidden="1" customHeight="1" outlineLevel="2">
      <c r="B274" s="245"/>
      <c r="C274" s="250" t="s">
        <v>759</v>
      </c>
      <c r="D274" s="250"/>
      <c r="E274" s="213"/>
      <c r="F274" s="213"/>
      <c r="G274" s="213"/>
      <c r="H274" s="213"/>
      <c r="I274" s="213"/>
      <c r="J274" s="213"/>
      <c r="K274" s="211">
        <f>INDEX($C$199:$AN$221,MATCH("New Customers 1MS",$C$199:$C$221,0),MATCH($C274,$C$199:$AN$199,0))</f>
        <v>0.99999999999999878</v>
      </c>
      <c r="L274" s="211">
        <f t="shared" ref="L274:AN274" si="186">$K$274*(E266)</f>
        <v>6.9999999999999923E-2</v>
      </c>
      <c r="M274" s="211">
        <f t="shared" si="186"/>
        <v>6.9999999999999923E-2</v>
      </c>
      <c r="N274" s="211">
        <f t="shared" si="186"/>
        <v>6.9999999999999923E-2</v>
      </c>
      <c r="O274" s="211">
        <f t="shared" si="186"/>
        <v>5.9999999999999921E-2</v>
      </c>
      <c r="P274" s="211">
        <f t="shared" si="186"/>
        <v>5.9999999999999921E-2</v>
      </c>
      <c r="Q274" s="211">
        <f t="shared" si="186"/>
        <v>5.9999999999999921E-2</v>
      </c>
      <c r="R274" s="211">
        <f t="shared" si="186"/>
        <v>4.999999999999994E-2</v>
      </c>
      <c r="S274" s="211">
        <f t="shared" si="186"/>
        <v>4.999999999999994E-2</v>
      </c>
      <c r="T274" s="211">
        <f t="shared" si="186"/>
        <v>4.999999999999994E-2</v>
      </c>
      <c r="U274" s="211">
        <f t="shared" si="186"/>
        <v>3.9999999999999952E-2</v>
      </c>
      <c r="V274" s="211">
        <f t="shared" si="186"/>
        <v>3.9999999999999952E-2</v>
      </c>
      <c r="W274" s="211">
        <f t="shared" si="186"/>
        <v>3.9999999999999952E-2</v>
      </c>
      <c r="X274" s="211">
        <f t="shared" si="186"/>
        <v>2.9999999999999961E-2</v>
      </c>
      <c r="Y274" s="211">
        <f t="shared" si="186"/>
        <v>2.9999999999999961E-2</v>
      </c>
      <c r="Z274" s="211">
        <f t="shared" si="186"/>
        <v>2.9999999999999961E-2</v>
      </c>
      <c r="AA274" s="211">
        <f t="shared" si="186"/>
        <v>1.9999999999999976E-2</v>
      </c>
      <c r="AB274" s="211">
        <f t="shared" si="186"/>
        <v>1.9999999999999976E-2</v>
      </c>
      <c r="AC274" s="211">
        <f t="shared" si="186"/>
        <v>1.9999999999999976E-2</v>
      </c>
      <c r="AD274" s="211">
        <f t="shared" si="186"/>
        <v>9.9999999999999881E-3</v>
      </c>
      <c r="AE274" s="211">
        <f t="shared" si="186"/>
        <v>9.9999999999999881E-3</v>
      </c>
      <c r="AF274" s="211">
        <f t="shared" si="186"/>
        <v>9.9999999999999881E-3</v>
      </c>
      <c r="AG274" s="211">
        <f t="shared" si="186"/>
        <v>9.9999999999999881E-3</v>
      </c>
      <c r="AH274" s="211">
        <f t="shared" si="186"/>
        <v>9.9999999999999881E-3</v>
      </c>
      <c r="AI274" s="211">
        <f t="shared" si="186"/>
        <v>9.9999999999999881E-3</v>
      </c>
      <c r="AJ274" s="211">
        <f t="shared" si="186"/>
        <v>9.9999999999999881E-3</v>
      </c>
      <c r="AK274" s="211">
        <f t="shared" si="186"/>
        <v>9.9999999999999881E-3</v>
      </c>
      <c r="AL274" s="211">
        <f t="shared" si="186"/>
        <v>9.9999999999999881E-3</v>
      </c>
      <c r="AM274" s="211">
        <f t="shared" si="186"/>
        <v>9.9999999999999881E-3</v>
      </c>
      <c r="AN274" s="211">
        <f t="shared" si="186"/>
        <v>9.9999999999999881E-3</v>
      </c>
    </row>
    <row r="275" spans="2:40" s="7" customFormat="1" ht="12" hidden="1" customHeight="1" outlineLevel="2">
      <c r="B275" s="245"/>
      <c r="C275" s="250" t="s">
        <v>760</v>
      </c>
      <c r="D275" s="250"/>
      <c r="E275" s="213"/>
      <c r="F275" s="213"/>
      <c r="G275" s="346"/>
      <c r="H275" s="213"/>
      <c r="I275" s="213"/>
      <c r="J275" s="213"/>
      <c r="K275" s="213"/>
      <c r="L275" s="211">
        <f>INDEX($C$199:$AN$221,MATCH("New Customers 1MS",$C$199:$C$221,0),MATCH($C275,$C$199:$AN$199,0))</f>
        <v>0</v>
      </c>
      <c r="M275" s="211">
        <f t="shared" ref="M275:AN275" si="187">$L$275*(E266)</f>
        <v>0</v>
      </c>
      <c r="N275" s="211">
        <f t="shared" si="187"/>
        <v>0</v>
      </c>
      <c r="O275" s="211">
        <f t="shared" si="187"/>
        <v>0</v>
      </c>
      <c r="P275" s="211">
        <f t="shared" si="187"/>
        <v>0</v>
      </c>
      <c r="Q275" s="211">
        <f t="shared" si="187"/>
        <v>0</v>
      </c>
      <c r="R275" s="211">
        <f t="shared" si="187"/>
        <v>0</v>
      </c>
      <c r="S275" s="211">
        <f t="shared" si="187"/>
        <v>0</v>
      </c>
      <c r="T275" s="211">
        <f t="shared" si="187"/>
        <v>0</v>
      </c>
      <c r="U275" s="211">
        <f t="shared" si="187"/>
        <v>0</v>
      </c>
      <c r="V275" s="211">
        <f t="shared" si="187"/>
        <v>0</v>
      </c>
      <c r="W275" s="211">
        <f t="shared" si="187"/>
        <v>0</v>
      </c>
      <c r="X275" s="211">
        <f t="shared" si="187"/>
        <v>0</v>
      </c>
      <c r="Y275" s="211">
        <f t="shared" si="187"/>
        <v>0</v>
      </c>
      <c r="Z275" s="211">
        <f t="shared" si="187"/>
        <v>0</v>
      </c>
      <c r="AA275" s="211">
        <f t="shared" si="187"/>
        <v>0</v>
      </c>
      <c r="AB275" s="211">
        <f t="shared" si="187"/>
        <v>0</v>
      </c>
      <c r="AC275" s="211">
        <f t="shared" si="187"/>
        <v>0</v>
      </c>
      <c r="AD275" s="211">
        <f t="shared" si="187"/>
        <v>0</v>
      </c>
      <c r="AE275" s="211">
        <f t="shared" si="187"/>
        <v>0</v>
      </c>
      <c r="AF275" s="211">
        <f t="shared" si="187"/>
        <v>0</v>
      </c>
      <c r="AG275" s="211">
        <f t="shared" si="187"/>
        <v>0</v>
      </c>
      <c r="AH275" s="211">
        <f t="shared" si="187"/>
        <v>0</v>
      </c>
      <c r="AI275" s="211">
        <f t="shared" si="187"/>
        <v>0</v>
      </c>
      <c r="AJ275" s="211">
        <f t="shared" si="187"/>
        <v>0</v>
      </c>
      <c r="AK275" s="211">
        <f t="shared" si="187"/>
        <v>0</v>
      </c>
      <c r="AL275" s="211">
        <f t="shared" si="187"/>
        <v>0</v>
      </c>
      <c r="AM275" s="211">
        <f t="shared" si="187"/>
        <v>0</v>
      </c>
      <c r="AN275" s="211">
        <f t="shared" si="187"/>
        <v>0</v>
      </c>
    </row>
    <row r="276" spans="2:40" s="7" customFormat="1" ht="12" hidden="1" customHeight="1" outlineLevel="2">
      <c r="B276" s="245"/>
      <c r="C276" s="250" t="s">
        <v>761</v>
      </c>
      <c r="D276" s="250"/>
      <c r="E276" s="213"/>
      <c r="F276" s="213"/>
      <c r="G276" s="213"/>
      <c r="H276" s="213"/>
      <c r="I276" s="213"/>
      <c r="J276" s="213"/>
      <c r="K276" s="213"/>
      <c r="L276" s="213"/>
      <c r="M276" s="211">
        <f>INDEX($C$199:$AN$221,MATCH("New Customers 1MS",$C$199:$C$221,0),MATCH($C276,$C$199:$AN$199,0))</f>
        <v>9.4837105684106895</v>
      </c>
      <c r="N276" s="211">
        <f t="shared" ref="N276:AN276" si="188">$M$276*(E266)</f>
        <v>0.66385973978874835</v>
      </c>
      <c r="O276" s="211">
        <f t="shared" si="188"/>
        <v>0.66385973978874835</v>
      </c>
      <c r="P276" s="211">
        <f t="shared" si="188"/>
        <v>0.66385973978874835</v>
      </c>
      <c r="Q276" s="211">
        <f t="shared" si="188"/>
        <v>0.56902263410464138</v>
      </c>
      <c r="R276" s="211">
        <f t="shared" si="188"/>
        <v>0.56902263410464138</v>
      </c>
      <c r="S276" s="211">
        <f t="shared" si="188"/>
        <v>0.56902263410464138</v>
      </c>
      <c r="T276" s="211">
        <f t="shared" si="188"/>
        <v>0.47418552842053452</v>
      </c>
      <c r="U276" s="211">
        <f t="shared" si="188"/>
        <v>0.47418552842053452</v>
      </c>
      <c r="V276" s="211">
        <f t="shared" si="188"/>
        <v>0.47418552842053452</v>
      </c>
      <c r="W276" s="211">
        <f t="shared" si="188"/>
        <v>0.3793484227364276</v>
      </c>
      <c r="X276" s="211">
        <f t="shared" si="188"/>
        <v>0.3793484227364276</v>
      </c>
      <c r="Y276" s="211">
        <f t="shared" si="188"/>
        <v>0.3793484227364276</v>
      </c>
      <c r="Z276" s="211">
        <f t="shared" si="188"/>
        <v>0.28451131705232069</v>
      </c>
      <c r="AA276" s="211">
        <f t="shared" si="188"/>
        <v>0.28451131705232069</v>
      </c>
      <c r="AB276" s="211">
        <f t="shared" si="188"/>
        <v>0.28451131705232069</v>
      </c>
      <c r="AC276" s="211">
        <f t="shared" si="188"/>
        <v>0.1896742113682138</v>
      </c>
      <c r="AD276" s="211">
        <f t="shared" si="188"/>
        <v>0.1896742113682138</v>
      </c>
      <c r="AE276" s="211">
        <f t="shared" si="188"/>
        <v>0.1896742113682138</v>
      </c>
      <c r="AF276" s="211">
        <f t="shared" si="188"/>
        <v>9.4837105684106901E-2</v>
      </c>
      <c r="AG276" s="211">
        <f t="shared" si="188"/>
        <v>9.4837105684106901E-2</v>
      </c>
      <c r="AH276" s="211">
        <f t="shared" si="188"/>
        <v>9.4837105684106901E-2</v>
      </c>
      <c r="AI276" s="211">
        <f t="shared" si="188"/>
        <v>9.4837105684106901E-2</v>
      </c>
      <c r="AJ276" s="211">
        <f t="shared" si="188"/>
        <v>9.4837105684106901E-2</v>
      </c>
      <c r="AK276" s="211">
        <f t="shared" si="188"/>
        <v>9.4837105684106901E-2</v>
      </c>
      <c r="AL276" s="211">
        <f t="shared" si="188"/>
        <v>9.4837105684106901E-2</v>
      </c>
      <c r="AM276" s="211">
        <f t="shared" si="188"/>
        <v>9.4837105684106901E-2</v>
      </c>
      <c r="AN276" s="211">
        <f t="shared" si="188"/>
        <v>9.4837105684106901E-2</v>
      </c>
    </row>
    <row r="277" spans="2:40" s="7" customFormat="1" ht="12" hidden="1" customHeight="1" outlineLevel="2">
      <c r="B277" s="245"/>
      <c r="C277" s="250" t="s">
        <v>762</v>
      </c>
      <c r="D277" s="250"/>
      <c r="E277" s="213"/>
      <c r="F277" s="213"/>
      <c r="G277" s="213"/>
      <c r="H277" s="213"/>
      <c r="I277" s="213"/>
      <c r="J277" s="213"/>
      <c r="K277" s="213"/>
      <c r="L277" s="213"/>
      <c r="M277" s="213"/>
      <c r="N277" s="211">
        <f>INDEX($C$199:$AN$221,MATCH("New Customers 1MS",$C$199:$C$221,0),MATCH($C277,$C$199:$AN$199,0))</f>
        <v>9.4837105684106895</v>
      </c>
      <c r="O277" s="211">
        <f t="shared" ref="O277:AN277" si="189">$N$277*(E266)</f>
        <v>0.66385973978874835</v>
      </c>
      <c r="P277" s="211">
        <f t="shared" si="189"/>
        <v>0.66385973978874835</v>
      </c>
      <c r="Q277" s="211">
        <f t="shared" si="189"/>
        <v>0.66385973978874835</v>
      </c>
      <c r="R277" s="211">
        <f t="shared" si="189"/>
        <v>0.56902263410464138</v>
      </c>
      <c r="S277" s="211">
        <f t="shared" si="189"/>
        <v>0.56902263410464138</v>
      </c>
      <c r="T277" s="211">
        <f t="shared" si="189"/>
        <v>0.56902263410464138</v>
      </c>
      <c r="U277" s="211">
        <f t="shared" si="189"/>
        <v>0.47418552842053452</v>
      </c>
      <c r="V277" s="211">
        <f t="shared" si="189"/>
        <v>0.47418552842053452</v>
      </c>
      <c r="W277" s="211">
        <f t="shared" si="189"/>
        <v>0.47418552842053452</v>
      </c>
      <c r="X277" s="211">
        <f t="shared" si="189"/>
        <v>0.3793484227364276</v>
      </c>
      <c r="Y277" s="211">
        <f t="shared" si="189"/>
        <v>0.3793484227364276</v>
      </c>
      <c r="Z277" s="211">
        <f t="shared" si="189"/>
        <v>0.3793484227364276</v>
      </c>
      <c r="AA277" s="211">
        <f t="shared" si="189"/>
        <v>0.28451131705232069</v>
      </c>
      <c r="AB277" s="211">
        <f t="shared" si="189"/>
        <v>0.28451131705232069</v>
      </c>
      <c r="AC277" s="211">
        <f t="shared" si="189"/>
        <v>0.28451131705232069</v>
      </c>
      <c r="AD277" s="211">
        <f t="shared" si="189"/>
        <v>0.1896742113682138</v>
      </c>
      <c r="AE277" s="211">
        <f t="shared" si="189"/>
        <v>0.1896742113682138</v>
      </c>
      <c r="AF277" s="211">
        <f t="shared" si="189"/>
        <v>0.1896742113682138</v>
      </c>
      <c r="AG277" s="211">
        <f t="shared" si="189"/>
        <v>9.4837105684106901E-2</v>
      </c>
      <c r="AH277" s="211">
        <f t="shared" si="189"/>
        <v>9.4837105684106901E-2</v>
      </c>
      <c r="AI277" s="211">
        <f t="shared" si="189"/>
        <v>9.4837105684106901E-2</v>
      </c>
      <c r="AJ277" s="211">
        <f t="shared" si="189"/>
        <v>9.4837105684106901E-2</v>
      </c>
      <c r="AK277" s="211">
        <f t="shared" si="189"/>
        <v>9.4837105684106901E-2</v>
      </c>
      <c r="AL277" s="211">
        <f t="shared" si="189"/>
        <v>9.4837105684106901E-2</v>
      </c>
      <c r="AM277" s="211">
        <f t="shared" si="189"/>
        <v>9.4837105684106901E-2</v>
      </c>
      <c r="AN277" s="211">
        <f t="shared" si="189"/>
        <v>9.4837105684106901E-2</v>
      </c>
    </row>
    <row r="278" spans="2:40" s="7" customFormat="1" ht="12" hidden="1" customHeight="1" outlineLevel="2">
      <c r="B278" s="245"/>
      <c r="C278" s="250" t="s">
        <v>763</v>
      </c>
      <c r="D278" s="250"/>
      <c r="E278" s="213"/>
      <c r="F278" s="213"/>
      <c r="G278" s="213"/>
      <c r="H278" s="213"/>
      <c r="I278" s="213"/>
      <c r="J278" s="213"/>
      <c r="K278" s="213"/>
      <c r="L278" s="213"/>
      <c r="M278" s="213"/>
      <c r="N278" s="213"/>
      <c r="O278" s="211">
        <f>INDEX($C$199:$AN$221,MATCH("New Customers 1MS",$C$199:$C$221,0),MATCH($C278,$C$199:$AN$199,0))</f>
        <v>5.4713714817753978</v>
      </c>
      <c r="P278" s="211">
        <f t="shared" ref="P278:AN278" si="190">$O$278*(E266)</f>
        <v>0.38299600372427789</v>
      </c>
      <c r="Q278" s="211">
        <f t="shared" si="190"/>
        <v>0.38299600372427789</v>
      </c>
      <c r="R278" s="211">
        <f t="shared" si="190"/>
        <v>0.38299600372427789</v>
      </c>
      <c r="S278" s="211">
        <f t="shared" si="190"/>
        <v>0.32828228890652383</v>
      </c>
      <c r="T278" s="211">
        <f t="shared" si="190"/>
        <v>0.32828228890652383</v>
      </c>
      <c r="U278" s="211">
        <f t="shared" si="190"/>
        <v>0.32828228890652383</v>
      </c>
      <c r="V278" s="211">
        <f t="shared" si="190"/>
        <v>0.27356857408876989</v>
      </c>
      <c r="W278" s="211">
        <f t="shared" si="190"/>
        <v>0.27356857408876989</v>
      </c>
      <c r="X278" s="211">
        <f t="shared" si="190"/>
        <v>0.27356857408876989</v>
      </c>
      <c r="Y278" s="211">
        <f t="shared" si="190"/>
        <v>0.21885485927101592</v>
      </c>
      <c r="Z278" s="211">
        <f t="shared" si="190"/>
        <v>0.21885485927101592</v>
      </c>
      <c r="AA278" s="211">
        <f t="shared" si="190"/>
        <v>0.21885485927101592</v>
      </c>
      <c r="AB278" s="211">
        <f t="shared" si="190"/>
        <v>0.16414114445326192</v>
      </c>
      <c r="AC278" s="211">
        <f t="shared" si="190"/>
        <v>0.16414114445326192</v>
      </c>
      <c r="AD278" s="211">
        <f t="shared" si="190"/>
        <v>0.16414114445326192</v>
      </c>
      <c r="AE278" s="211">
        <f t="shared" si="190"/>
        <v>0.10942742963550796</v>
      </c>
      <c r="AF278" s="211">
        <f t="shared" si="190"/>
        <v>0.10942742963550796</v>
      </c>
      <c r="AG278" s="211">
        <f t="shared" si="190"/>
        <v>0.10942742963550796</v>
      </c>
      <c r="AH278" s="211">
        <f t="shared" si="190"/>
        <v>5.4713714817753979E-2</v>
      </c>
      <c r="AI278" s="211">
        <f t="shared" si="190"/>
        <v>5.4713714817753979E-2</v>
      </c>
      <c r="AJ278" s="211">
        <f t="shared" si="190"/>
        <v>5.4713714817753979E-2</v>
      </c>
      <c r="AK278" s="211">
        <f t="shared" si="190"/>
        <v>5.4713714817753979E-2</v>
      </c>
      <c r="AL278" s="211">
        <f t="shared" si="190"/>
        <v>5.4713714817753979E-2</v>
      </c>
      <c r="AM278" s="211">
        <f t="shared" si="190"/>
        <v>5.4713714817753979E-2</v>
      </c>
      <c r="AN278" s="211">
        <f t="shared" si="190"/>
        <v>5.4713714817753979E-2</v>
      </c>
    </row>
    <row r="279" spans="2:40" s="7" customFormat="1" ht="12" hidden="1" customHeight="1" outlineLevel="2">
      <c r="B279" s="245"/>
      <c r="C279" s="250" t="s">
        <v>764</v>
      </c>
      <c r="D279" s="250"/>
      <c r="E279" s="213"/>
      <c r="F279" s="213"/>
      <c r="G279" s="213"/>
      <c r="H279" s="213"/>
      <c r="I279" s="213"/>
      <c r="J279" s="213"/>
      <c r="K279" s="213"/>
      <c r="L279" s="213"/>
      <c r="M279" s="213"/>
      <c r="N279" s="213"/>
      <c r="O279" s="213"/>
      <c r="P279" s="211">
        <f>INDEX($C$199:$AN$221,MATCH("New Customers 1MS",$C$199:$C$221,0),MATCH($C279,$C$199:$AN$199,0))</f>
        <v>3.6475809878502652</v>
      </c>
      <c r="Q279" s="211">
        <f t="shared" ref="Q279:AN279" si="191">$P$279*(E266)</f>
        <v>0.25533066914951857</v>
      </c>
      <c r="R279" s="211">
        <f t="shared" si="191"/>
        <v>0.25533066914951857</v>
      </c>
      <c r="S279" s="211">
        <f t="shared" si="191"/>
        <v>0.25533066914951857</v>
      </c>
      <c r="T279" s="211">
        <f t="shared" si="191"/>
        <v>0.21885485927101592</v>
      </c>
      <c r="U279" s="211">
        <f t="shared" si="191"/>
        <v>0.21885485927101592</v>
      </c>
      <c r="V279" s="211">
        <f t="shared" si="191"/>
        <v>0.21885485927101592</v>
      </c>
      <c r="W279" s="211">
        <f t="shared" si="191"/>
        <v>0.18237904939251326</v>
      </c>
      <c r="X279" s="211">
        <f t="shared" si="191"/>
        <v>0.18237904939251326</v>
      </c>
      <c r="Y279" s="211">
        <f t="shared" si="191"/>
        <v>0.18237904939251326</v>
      </c>
      <c r="Z279" s="211">
        <f t="shared" si="191"/>
        <v>0.1459032395140106</v>
      </c>
      <c r="AA279" s="211">
        <f t="shared" si="191"/>
        <v>0.1459032395140106</v>
      </c>
      <c r="AB279" s="211">
        <f t="shared" si="191"/>
        <v>0.1459032395140106</v>
      </c>
      <c r="AC279" s="211">
        <f t="shared" si="191"/>
        <v>0.10942742963550796</v>
      </c>
      <c r="AD279" s="211">
        <f t="shared" si="191"/>
        <v>0.10942742963550796</v>
      </c>
      <c r="AE279" s="211">
        <f t="shared" si="191"/>
        <v>0.10942742963550796</v>
      </c>
      <c r="AF279" s="211">
        <f t="shared" si="191"/>
        <v>7.2951619757005301E-2</v>
      </c>
      <c r="AG279" s="211">
        <f t="shared" si="191"/>
        <v>7.2951619757005301E-2</v>
      </c>
      <c r="AH279" s="211">
        <f t="shared" si="191"/>
        <v>7.2951619757005301E-2</v>
      </c>
      <c r="AI279" s="211">
        <f t="shared" si="191"/>
        <v>3.647580987850265E-2</v>
      </c>
      <c r="AJ279" s="211">
        <f t="shared" si="191"/>
        <v>3.647580987850265E-2</v>
      </c>
      <c r="AK279" s="211">
        <f t="shared" si="191"/>
        <v>3.647580987850265E-2</v>
      </c>
      <c r="AL279" s="211">
        <f t="shared" si="191"/>
        <v>3.647580987850265E-2</v>
      </c>
      <c r="AM279" s="211">
        <f t="shared" si="191"/>
        <v>3.647580987850265E-2</v>
      </c>
      <c r="AN279" s="211">
        <f t="shared" si="191"/>
        <v>3.647580987850265E-2</v>
      </c>
    </row>
    <row r="280" spans="2:40" s="7" customFormat="1" ht="12" hidden="1" customHeight="1" outlineLevel="2">
      <c r="B280" s="245"/>
      <c r="C280" s="250" t="s">
        <v>765</v>
      </c>
      <c r="D280" s="250"/>
      <c r="E280" s="213"/>
      <c r="F280" s="213"/>
      <c r="G280" s="213"/>
      <c r="H280" s="213"/>
      <c r="I280" s="213"/>
      <c r="J280" s="213"/>
      <c r="K280" s="213"/>
      <c r="L280" s="213"/>
      <c r="M280" s="213"/>
      <c r="N280" s="213"/>
      <c r="O280" s="213"/>
      <c r="P280" s="213"/>
      <c r="Q280" s="211">
        <f>INDEX($C$199:$AN$221,MATCH("New Customers 1MS",$C$199:$C$221,0),MATCH($C280,$C$199:$AN$199,0))</f>
        <v>5.871657019382087</v>
      </c>
      <c r="R280" s="211">
        <f t="shared" ref="R280:AN280" si="192">$Q$280*(E266)</f>
        <v>0.4110159913567461</v>
      </c>
      <c r="S280" s="211">
        <f t="shared" si="192"/>
        <v>0.4110159913567461</v>
      </c>
      <c r="T280" s="211">
        <f t="shared" si="192"/>
        <v>0.4110159913567461</v>
      </c>
      <c r="U280" s="211">
        <f t="shared" si="192"/>
        <v>0.35229942116292523</v>
      </c>
      <c r="V280" s="211">
        <f t="shared" si="192"/>
        <v>0.35229942116292523</v>
      </c>
      <c r="W280" s="211">
        <f t="shared" si="192"/>
        <v>0.35229942116292523</v>
      </c>
      <c r="X280" s="211">
        <f t="shared" si="192"/>
        <v>0.29358285096910436</v>
      </c>
      <c r="Y280" s="211">
        <f t="shared" si="192"/>
        <v>0.29358285096910436</v>
      </c>
      <c r="Z280" s="211">
        <f t="shared" si="192"/>
        <v>0.29358285096910436</v>
      </c>
      <c r="AA280" s="211">
        <f t="shared" si="192"/>
        <v>0.23486628077528349</v>
      </c>
      <c r="AB280" s="211">
        <f t="shared" si="192"/>
        <v>0.23486628077528349</v>
      </c>
      <c r="AC280" s="211">
        <f t="shared" si="192"/>
        <v>0.23486628077528349</v>
      </c>
      <c r="AD280" s="211">
        <f t="shared" si="192"/>
        <v>0.17614971058146262</v>
      </c>
      <c r="AE280" s="211">
        <f t="shared" si="192"/>
        <v>0.17614971058146262</v>
      </c>
      <c r="AF280" s="211">
        <f t="shared" si="192"/>
        <v>0.17614971058146262</v>
      </c>
      <c r="AG280" s="211">
        <f t="shared" si="192"/>
        <v>0.11743314038764174</v>
      </c>
      <c r="AH280" s="211">
        <f t="shared" si="192"/>
        <v>0.11743314038764174</v>
      </c>
      <c r="AI280" s="211">
        <f t="shared" si="192"/>
        <v>0.11743314038764174</v>
      </c>
      <c r="AJ280" s="211">
        <f t="shared" si="192"/>
        <v>5.8716570193820872E-2</v>
      </c>
      <c r="AK280" s="211">
        <f t="shared" si="192"/>
        <v>5.8716570193820872E-2</v>
      </c>
      <c r="AL280" s="211">
        <f t="shared" si="192"/>
        <v>5.8716570193820872E-2</v>
      </c>
      <c r="AM280" s="211">
        <f t="shared" si="192"/>
        <v>5.8716570193820872E-2</v>
      </c>
      <c r="AN280" s="211">
        <f t="shared" si="192"/>
        <v>5.8716570193820872E-2</v>
      </c>
    </row>
    <row r="281" spans="2:40" s="7" customFormat="1" ht="12" hidden="1" customHeight="1" outlineLevel="2">
      <c r="B281" s="245"/>
      <c r="C281" s="250" t="s">
        <v>766</v>
      </c>
      <c r="D281" s="250"/>
      <c r="E281" s="213"/>
      <c r="F281" s="213"/>
      <c r="G281" s="213"/>
      <c r="H281" s="213"/>
      <c r="I281" s="213"/>
      <c r="J281" s="213"/>
      <c r="K281" s="213"/>
      <c r="L281" s="213"/>
      <c r="M281" s="213"/>
      <c r="N281" s="213"/>
      <c r="O281" s="213"/>
      <c r="P281" s="213"/>
      <c r="Q281" s="213"/>
      <c r="R281" s="211">
        <f>INDEX($C$199:$AN$221,MATCH("New Customers 1MS",$C$199:$C$221,0),MATCH($C281,$C$199:$AN$199,0))</f>
        <v>10.448130981598302</v>
      </c>
      <c r="S281" s="211">
        <f t="shared" ref="S281:AN281" si="193">$R$281*(E266)</f>
        <v>0.73136916871188118</v>
      </c>
      <c r="T281" s="211">
        <f t="shared" si="193"/>
        <v>0.73136916871188118</v>
      </c>
      <c r="U281" s="211">
        <f t="shared" si="193"/>
        <v>0.73136916871188118</v>
      </c>
      <c r="V281" s="211">
        <f t="shared" si="193"/>
        <v>0.62688785889589815</v>
      </c>
      <c r="W281" s="211">
        <f t="shared" si="193"/>
        <v>0.62688785889589815</v>
      </c>
      <c r="X281" s="211">
        <f t="shared" si="193"/>
        <v>0.62688785889589815</v>
      </c>
      <c r="Y281" s="211">
        <f t="shared" si="193"/>
        <v>0.52240654907991513</v>
      </c>
      <c r="Z281" s="211">
        <f t="shared" si="193"/>
        <v>0.52240654907991513</v>
      </c>
      <c r="AA281" s="211">
        <f t="shared" si="193"/>
        <v>0.52240654907991513</v>
      </c>
      <c r="AB281" s="211">
        <f t="shared" si="193"/>
        <v>0.4179252392639321</v>
      </c>
      <c r="AC281" s="211">
        <f t="shared" si="193"/>
        <v>0.4179252392639321</v>
      </c>
      <c r="AD281" s="211">
        <f t="shared" si="193"/>
        <v>0.4179252392639321</v>
      </c>
      <c r="AE281" s="211">
        <f t="shared" si="193"/>
        <v>0.31344392944794908</v>
      </c>
      <c r="AF281" s="211">
        <f t="shared" si="193"/>
        <v>0.31344392944794908</v>
      </c>
      <c r="AG281" s="211">
        <f t="shared" si="193"/>
        <v>0.31344392944794908</v>
      </c>
      <c r="AH281" s="211">
        <f t="shared" si="193"/>
        <v>0.20896261963196605</v>
      </c>
      <c r="AI281" s="211">
        <f t="shared" si="193"/>
        <v>0.20896261963196605</v>
      </c>
      <c r="AJ281" s="211">
        <f t="shared" si="193"/>
        <v>0.20896261963196605</v>
      </c>
      <c r="AK281" s="211">
        <f t="shared" si="193"/>
        <v>0.10448130981598303</v>
      </c>
      <c r="AL281" s="211">
        <f t="shared" si="193"/>
        <v>0.10448130981598303</v>
      </c>
      <c r="AM281" s="211">
        <f t="shared" si="193"/>
        <v>0.10448130981598303</v>
      </c>
      <c r="AN281" s="211">
        <f t="shared" si="193"/>
        <v>0.10448130981598303</v>
      </c>
    </row>
    <row r="282" spans="2:40" s="7" customFormat="1" ht="12" hidden="1" customHeight="1" outlineLevel="2">
      <c r="B282" s="245"/>
      <c r="C282" s="250" t="s">
        <v>767</v>
      </c>
      <c r="D282" s="250"/>
      <c r="E282" s="213"/>
      <c r="F282" s="213"/>
      <c r="G282" s="213"/>
      <c r="H282" s="213"/>
      <c r="I282" s="213"/>
      <c r="J282" s="213"/>
      <c r="K282" s="213"/>
      <c r="L282" s="213"/>
      <c r="M282" s="213"/>
      <c r="N282" s="213"/>
      <c r="O282" s="213"/>
      <c r="P282" s="213"/>
      <c r="Q282" s="213"/>
      <c r="R282" s="213"/>
      <c r="S282" s="211">
        <f>INDEX($C$199:$AN$221,MATCH("New Customers 1MS",$C$199:$C$221,0),MATCH($C282,$C$199:$AN$199,0))</f>
        <v>9.6197653392575049</v>
      </c>
      <c r="T282" s="211">
        <f t="shared" ref="T282:AN282" si="194">$S$282*(E266)</f>
        <v>0.67338357374802538</v>
      </c>
      <c r="U282" s="211">
        <f t="shared" si="194"/>
        <v>0.67338357374802538</v>
      </c>
      <c r="V282" s="211">
        <f t="shared" si="194"/>
        <v>0.67338357374802538</v>
      </c>
      <c r="W282" s="211">
        <f t="shared" si="194"/>
        <v>0.57718592035545024</v>
      </c>
      <c r="X282" s="211">
        <f t="shared" si="194"/>
        <v>0.57718592035545024</v>
      </c>
      <c r="Y282" s="211">
        <f t="shared" si="194"/>
        <v>0.57718592035545024</v>
      </c>
      <c r="Z282" s="211">
        <f t="shared" si="194"/>
        <v>0.48098826696287528</v>
      </c>
      <c r="AA282" s="211">
        <f t="shared" si="194"/>
        <v>0.48098826696287528</v>
      </c>
      <c r="AB282" s="211">
        <f t="shared" si="194"/>
        <v>0.48098826696287528</v>
      </c>
      <c r="AC282" s="211">
        <f t="shared" si="194"/>
        <v>0.3847906135703002</v>
      </c>
      <c r="AD282" s="211">
        <f t="shared" si="194"/>
        <v>0.3847906135703002</v>
      </c>
      <c r="AE282" s="211">
        <f t="shared" si="194"/>
        <v>0.3847906135703002</v>
      </c>
      <c r="AF282" s="211">
        <f t="shared" si="194"/>
        <v>0.28859296017772512</v>
      </c>
      <c r="AG282" s="211">
        <f t="shared" si="194"/>
        <v>0.28859296017772512</v>
      </c>
      <c r="AH282" s="211">
        <f t="shared" si="194"/>
        <v>0.28859296017772512</v>
      </c>
      <c r="AI282" s="211">
        <f t="shared" si="194"/>
        <v>0.1923953067851501</v>
      </c>
      <c r="AJ282" s="211">
        <f t="shared" si="194"/>
        <v>0.1923953067851501</v>
      </c>
      <c r="AK282" s="211">
        <f t="shared" si="194"/>
        <v>0.1923953067851501</v>
      </c>
      <c r="AL282" s="211">
        <f t="shared" si="194"/>
        <v>9.619765339257505E-2</v>
      </c>
      <c r="AM282" s="211">
        <f t="shared" si="194"/>
        <v>9.619765339257505E-2</v>
      </c>
      <c r="AN282" s="211">
        <f t="shared" si="194"/>
        <v>9.619765339257505E-2</v>
      </c>
    </row>
    <row r="283" spans="2:40" s="7" customFormat="1" ht="12" hidden="1" customHeight="1" outlineLevel="2">
      <c r="B283" s="245"/>
      <c r="C283" s="250" t="s">
        <v>768</v>
      </c>
      <c r="D283" s="250"/>
      <c r="E283" s="213"/>
      <c r="F283" s="213"/>
      <c r="G283" s="213"/>
      <c r="H283" s="213"/>
      <c r="I283" s="213"/>
      <c r="J283" s="213"/>
      <c r="K283" s="213"/>
      <c r="L283" s="213"/>
      <c r="M283" s="213"/>
      <c r="N283" s="213"/>
      <c r="O283" s="213"/>
      <c r="P283" s="213"/>
      <c r="Q283" s="213"/>
      <c r="R283" s="213"/>
      <c r="S283" s="213"/>
      <c r="T283" s="211">
        <f>INDEX($C$199:$AN$221,MATCH("New Customers 1MS",$C$199:$C$221,0),MATCH($C283,$C$199:$AN$199,0))</f>
        <v>3.6887257013932166</v>
      </c>
      <c r="U283" s="211">
        <f t="shared" ref="U283:AN283" si="195">$T$283*(E266)</f>
        <v>0.2582107990975252</v>
      </c>
      <c r="V283" s="211">
        <f t="shared" si="195"/>
        <v>0.2582107990975252</v>
      </c>
      <c r="W283" s="211">
        <f t="shared" si="195"/>
        <v>0.2582107990975252</v>
      </c>
      <c r="X283" s="211">
        <f t="shared" si="195"/>
        <v>0.22132354208359298</v>
      </c>
      <c r="Y283" s="211">
        <f t="shared" si="195"/>
        <v>0.22132354208359298</v>
      </c>
      <c r="Z283" s="211">
        <f t="shared" si="195"/>
        <v>0.22132354208359298</v>
      </c>
      <c r="AA283" s="211">
        <f t="shared" si="195"/>
        <v>0.18443628506966084</v>
      </c>
      <c r="AB283" s="211">
        <f t="shared" si="195"/>
        <v>0.18443628506966084</v>
      </c>
      <c r="AC283" s="211">
        <f t="shared" si="195"/>
        <v>0.18443628506966084</v>
      </c>
      <c r="AD283" s="211">
        <f t="shared" si="195"/>
        <v>0.14754902805572867</v>
      </c>
      <c r="AE283" s="211">
        <f t="shared" si="195"/>
        <v>0.14754902805572867</v>
      </c>
      <c r="AF283" s="211">
        <f t="shared" si="195"/>
        <v>0.14754902805572867</v>
      </c>
      <c r="AG283" s="211">
        <f t="shared" si="195"/>
        <v>0.11066177104179649</v>
      </c>
      <c r="AH283" s="211">
        <f t="shared" si="195"/>
        <v>0.11066177104179649</v>
      </c>
      <c r="AI283" s="211">
        <f t="shared" si="195"/>
        <v>0.11066177104179649</v>
      </c>
      <c r="AJ283" s="211">
        <f t="shared" si="195"/>
        <v>7.3774514027864335E-2</v>
      </c>
      <c r="AK283" s="211">
        <f t="shared" si="195"/>
        <v>7.3774514027864335E-2</v>
      </c>
      <c r="AL283" s="211">
        <f t="shared" si="195"/>
        <v>7.3774514027864335E-2</v>
      </c>
      <c r="AM283" s="211">
        <f t="shared" si="195"/>
        <v>3.6887257013932168E-2</v>
      </c>
      <c r="AN283" s="211">
        <f t="shared" si="195"/>
        <v>3.6887257013932168E-2</v>
      </c>
    </row>
    <row r="284" spans="2:40" s="7" customFormat="1" ht="12" hidden="1" customHeight="1" outlineLevel="2">
      <c r="B284" s="245"/>
      <c r="C284" s="250" t="s">
        <v>769</v>
      </c>
      <c r="D284" s="250"/>
      <c r="E284" s="213"/>
      <c r="F284" s="213"/>
      <c r="G284" s="213"/>
      <c r="H284" s="213"/>
      <c r="I284" s="213"/>
      <c r="J284" s="213"/>
      <c r="K284" s="213"/>
      <c r="L284" s="213"/>
      <c r="M284" s="213"/>
      <c r="N284" s="213"/>
      <c r="O284" s="213"/>
      <c r="P284" s="213"/>
      <c r="Q284" s="213"/>
      <c r="R284" s="213"/>
      <c r="S284" s="213"/>
      <c r="T284" s="213"/>
      <c r="U284" s="211">
        <f>INDEX($C$199:$AN$221,MATCH("New Customers 1MS",$C$199:$C$221,0),MATCH($C284,$C$199:$AN$199,0))</f>
        <v>3.3261561512008999</v>
      </c>
      <c r="V284" s="211">
        <f t="shared" ref="V284:AN284" si="196">$U$284*(E266)</f>
        <v>0.23283093058406301</v>
      </c>
      <c r="W284" s="211">
        <f t="shared" si="196"/>
        <v>0.23283093058406301</v>
      </c>
      <c r="X284" s="211">
        <f t="shared" si="196"/>
        <v>0.23283093058406301</v>
      </c>
      <c r="Y284" s="211">
        <f t="shared" si="196"/>
        <v>0.199569369072054</v>
      </c>
      <c r="Z284" s="211">
        <f t="shared" si="196"/>
        <v>0.199569369072054</v>
      </c>
      <c r="AA284" s="211">
        <f t="shared" si="196"/>
        <v>0.199569369072054</v>
      </c>
      <c r="AB284" s="211">
        <f t="shared" si="196"/>
        <v>0.16630780756004501</v>
      </c>
      <c r="AC284" s="211">
        <f t="shared" si="196"/>
        <v>0.16630780756004501</v>
      </c>
      <c r="AD284" s="211">
        <f t="shared" si="196"/>
        <v>0.16630780756004501</v>
      </c>
      <c r="AE284" s="211">
        <f t="shared" si="196"/>
        <v>0.133046246048036</v>
      </c>
      <c r="AF284" s="211">
        <f t="shared" si="196"/>
        <v>0.133046246048036</v>
      </c>
      <c r="AG284" s="211">
        <f t="shared" si="196"/>
        <v>0.133046246048036</v>
      </c>
      <c r="AH284" s="211">
        <f t="shared" si="196"/>
        <v>9.9784684536026999E-2</v>
      </c>
      <c r="AI284" s="211">
        <f t="shared" si="196"/>
        <v>9.9784684536026999E-2</v>
      </c>
      <c r="AJ284" s="211">
        <f t="shared" si="196"/>
        <v>9.9784684536026999E-2</v>
      </c>
      <c r="AK284" s="211">
        <f t="shared" si="196"/>
        <v>6.6523123024017999E-2</v>
      </c>
      <c r="AL284" s="211">
        <f t="shared" si="196"/>
        <v>6.6523123024017999E-2</v>
      </c>
      <c r="AM284" s="211">
        <f t="shared" si="196"/>
        <v>6.6523123024017999E-2</v>
      </c>
      <c r="AN284" s="211">
        <f t="shared" si="196"/>
        <v>3.3261561512009E-2</v>
      </c>
    </row>
    <row r="285" spans="2:40" s="7" customFormat="1" ht="12" hidden="1" customHeight="1" outlineLevel="2">
      <c r="B285" s="245"/>
      <c r="C285" s="250" t="s">
        <v>770</v>
      </c>
      <c r="D285" s="250"/>
      <c r="E285" s="213"/>
      <c r="F285" s="213"/>
      <c r="G285" s="213"/>
      <c r="H285" s="213"/>
      <c r="I285" s="213"/>
      <c r="J285" s="213"/>
      <c r="K285" s="213"/>
      <c r="L285" s="213"/>
      <c r="M285" s="213"/>
      <c r="N285" s="213"/>
      <c r="O285" s="213"/>
      <c r="P285" s="213"/>
      <c r="Q285" s="213"/>
      <c r="R285" s="213"/>
      <c r="S285" s="213"/>
      <c r="T285" s="213"/>
      <c r="U285" s="213"/>
      <c r="V285" s="211">
        <f>INDEX($C$199:$AN$221,MATCH("New Customers 1MS",$C$199:$C$221,0),MATCH($C285,$C$199:$AN$199,0))</f>
        <v>11.401900458301387</v>
      </c>
      <c r="W285" s="211">
        <f t="shared" ref="W285:AN285" si="197">$V$285*(E266)</f>
        <v>0.7981330320810972</v>
      </c>
      <c r="X285" s="211">
        <f t="shared" si="197"/>
        <v>0.7981330320810972</v>
      </c>
      <c r="Y285" s="211">
        <f t="shared" si="197"/>
        <v>0.7981330320810972</v>
      </c>
      <c r="Z285" s="211">
        <f t="shared" si="197"/>
        <v>0.68411402749808325</v>
      </c>
      <c r="AA285" s="211">
        <f t="shared" si="197"/>
        <v>0.68411402749808325</v>
      </c>
      <c r="AB285" s="211">
        <f t="shared" si="197"/>
        <v>0.68411402749808325</v>
      </c>
      <c r="AC285" s="211">
        <f t="shared" si="197"/>
        <v>0.57009502291506942</v>
      </c>
      <c r="AD285" s="211">
        <f t="shared" si="197"/>
        <v>0.57009502291506942</v>
      </c>
      <c r="AE285" s="211">
        <f t="shared" si="197"/>
        <v>0.57009502291506942</v>
      </c>
      <c r="AF285" s="211">
        <f t="shared" si="197"/>
        <v>0.45607601833205552</v>
      </c>
      <c r="AG285" s="211">
        <f t="shared" si="197"/>
        <v>0.45607601833205552</v>
      </c>
      <c r="AH285" s="211">
        <f t="shared" si="197"/>
        <v>0.45607601833205552</v>
      </c>
      <c r="AI285" s="211">
        <f t="shared" si="197"/>
        <v>0.34205701374904163</v>
      </c>
      <c r="AJ285" s="211">
        <f t="shared" si="197"/>
        <v>0.34205701374904163</v>
      </c>
      <c r="AK285" s="211">
        <f t="shared" si="197"/>
        <v>0.34205701374904163</v>
      </c>
      <c r="AL285" s="211">
        <f t="shared" si="197"/>
        <v>0.22803800916602776</v>
      </c>
      <c r="AM285" s="211">
        <f t="shared" si="197"/>
        <v>0.22803800916602776</v>
      </c>
      <c r="AN285" s="211">
        <f t="shared" si="197"/>
        <v>0.22803800916602776</v>
      </c>
    </row>
    <row r="286" spans="2:40" s="7" customFormat="1" ht="12" hidden="1" customHeight="1" outlineLevel="2">
      <c r="B286" s="245"/>
      <c r="C286" s="250" t="s">
        <v>771</v>
      </c>
      <c r="D286" s="250"/>
      <c r="E286" s="213"/>
      <c r="F286" s="213"/>
      <c r="G286" s="213"/>
      <c r="H286" s="213"/>
      <c r="I286" s="213"/>
      <c r="J286" s="213"/>
      <c r="K286" s="213"/>
      <c r="L286" s="213"/>
      <c r="M286" s="213"/>
      <c r="N286" s="213"/>
      <c r="O286" s="213"/>
      <c r="P286" s="213"/>
      <c r="Q286" s="213"/>
      <c r="R286" s="213"/>
      <c r="S286" s="213"/>
      <c r="T286" s="213"/>
      <c r="U286" s="213"/>
      <c r="V286" s="213"/>
      <c r="W286" s="211">
        <f>INDEX($C$199:$AN$221,MATCH("New Customers 1MS",$C$199:$C$221,0),MATCH($C286,$C$199:$AN$199,0))</f>
        <v>6.2718331295591394</v>
      </c>
      <c r="X286" s="211">
        <f t="shared" ref="X286:AN286" si="198">$W$286*(E266)</f>
        <v>0.43902831906913981</v>
      </c>
      <c r="Y286" s="211">
        <f t="shared" si="198"/>
        <v>0.43902831906913981</v>
      </c>
      <c r="Z286" s="211">
        <f t="shared" si="198"/>
        <v>0.43902831906913981</v>
      </c>
      <c r="AA286" s="211">
        <f t="shared" si="198"/>
        <v>0.37630998777354835</v>
      </c>
      <c r="AB286" s="211">
        <f t="shared" si="198"/>
        <v>0.37630998777354835</v>
      </c>
      <c r="AC286" s="211">
        <f t="shared" si="198"/>
        <v>0.37630998777354835</v>
      </c>
      <c r="AD286" s="211">
        <f t="shared" si="198"/>
        <v>0.313591656477957</v>
      </c>
      <c r="AE286" s="211">
        <f t="shared" si="198"/>
        <v>0.313591656477957</v>
      </c>
      <c r="AF286" s="211">
        <f t="shared" si="198"/>
        <v>0.313591656477957</v>
      </c>
      <c r="AG286" s="211">
        <f t="shared" si="198"/>
        <v>0.2508733251823656</v>
      </c>
      <c r="AH286" s="211">
        <f t="shared" si="198"/>
        <v>0.2508733251823656</v>
      </c>
      <c r="AI286" s="211">
        <f t="shared" si="198"/>
        <v>0.2508733251823656</v>
      </c>
      <c r="AJ286" s="211">
        <f t="shared" si="198"/>
        <v>0.18815499388677417</v>
      </c>
      <c r="AK286" s="211">
        <f t="shared" si="198"/>
        <v>0.18815499388677417</v>
      </c>
      <c r="AL286" s="211">
        <f t="shared" si="198"/>
        <v>0.18815499388677417</v>
      </c>
      <c r="AM286" s="211">
        <f t="shared" si="198"/>
        <v>0.1254366625911828</v>
      </c>
      <c r="AN286" s="211">
        <f t="shared" si="198"/>
        <v>0.1254366625911828</v>
      </c>
    </row>
    <row r="287" spans="2:40" s="7" customFormat="1" ht="12" hidden="1" customHeight="1" outlineLevel="2">
      <c r="B287" s="245"/>
      <c r="C287" s="250" t="s">
        <v>772</v>
      </c>
      <c r="D287" s="250"/>
      <c r="E287" s="213"/>
      <c r="F287" s="213"/>
      <c r="G287" s="213"/>
      <c r="H287" s="213"/>
      <c r="I287" s="213"/>
      <c r="J287" s="213"/>
      <c r="K287" s="213"/>
      <c r="L287" s="213"/>
      <c r="M287" s="213"/>
      <c r="N287" s="213"/>
      <c r="O287" s="213"/>
      <c r="P287" s="213"/>
      <c r="Q287" s="213"/>
      <c r="R287" s="213"/>
      <c r="S287" s="213"/>
      <c r="T287" s="213"/>
      <c r="U287" s="213"/>
      <c r="V287" s="213"/>
      <c r="W287" s="213"/>
      <c r="X287" s="211">
        <f>INDEX($C$199:$AN$221,MATCH("New Customers 1MS",$C$199:$C$221,0),MATCH($C287,$C$199:$AN$199,0))</f>
        <v>4.7389372194150647</v>
      </c>
      <c r="Y287" s="211">
        <f t="shared" ref="Y287:AN287" si="199">$X$287*(E266)</f>
        <v>0.33172560535905454</v>
      </c>
      <c r="Z287" s="211">
        <f t="shared" si="199"/>
        <v>0.33172560535905454</v>
      </c>
      <c r="AA287" s="211">
        <f t="shared" si="199"/>
        <v>0.33172560535905454</v>
      </c>
      <c r="AB287" s="211">
        <f t="shared" si="199"/>
        <v>0.28433623316490386</v>
      </c>
      <c r="AC287" s="211">
        <f t="shared" si="199"/>
        <v>0.28433623316490386</v>
      </c>
      <c r="AD287" s="211">
        <f t="shared" si="199"/>
        <v>0.28433623316490386</v>
      </c>
      <c r="AE287" s="211">
        <f t="shared" si="199"/>
        <v>0.23694686097075324</v>
      </c>
      <c r="AF287" s="211">
        <f t="shared" si="199"/>
        <v>0.23694686097075324</v>
      </c>
      <c r="AG287" s="211">
        <f t="shared" si="199"/>
        <v>0.23694686097075324</v>
      </c>
      <c r="AH287" s="211">
        <f t="shared" si="199"/>
        <v>0.18955748877660258</v>
      </c>
      <c r="AI287" s="211">
        <f t="shared" si="199"/>
        <v>0.18955748877660258</v>
      </c>
      <c r="AJ287" s="211">
        <f t="shared" si="199"/>
        <v>0.18955748877660258</v>
      </c>
      <c r="AK287" s="211">
        <f t="shared" si="199"/>
        <v>0.14216811658245193</v>
      </c>
      <c r="AL287" s="211">
        <f t="shared" si="199"/>
        <v>0.14216811658245193</v>
      </c>
      <c r="AM287" s="211">
        <f t="shared" si="199"/>
        <v>0.14216811658245193</v>
      </c>
      <c r="AN287" s="211">
        <f t="shared" si="199"/>
        <v>9.4778744388301292E-2</v>
      </c>
    </row>
    <row r="288" spans="2:40" s="7" customFormat="1" ht="12" hidden="1" customHeight="1" outlineLevel="2">
      <c r="B288" s="245"/>
      <c r="C288" s="250" t="s">
        <v>773</v>
      </c>
      <c r="D288" s="250"/>
      <c r="E288" s="213"/>
      <c r="F288" s="213"/>
      <c r="G288" s="213"/>
      <c r="H288" s="213"/>
      <c r="I288" s="213"/>
      <c r="J288" s="213"/>
      <c r="K288" s="213"/>
      <c r="L288" s="213"/>
      <c r="M288" s="213"/>
      <c r="N288" s="213"/>
      <c r="O288" s="213"/>
      <c r="P288" s="213"/>
      <c r="Q288" s="213"/>
      <c r="R288" s="213"/>
      <c r="S288" s="213"/>
      <c r="T288" s="213"/>
      <c r="U288" s="213"/>
      <c r="V288" s="213"/>
      <c r="W288" s="213"/>
      <c r="X288" s="213"/>
      <c r="Y288" s="211">
        <f>INDEX($C$199:$AN$221,MATCH("New Customers 1MS",$C$199:$C$221,0),MATCH($C288,$C$199:$AN$199,0))</f>
        <v>8.5353395115696209</v>
      </c>
      <c r="Z288" s="211">
        <f t="shared" ref="Z288:AN288" si="200">$Y$288*(E266)</f>
        <v>0.59747376580987355</v>
      </c>
      <c r="AA288" s="211">
        <f t="shared" si="200"/>
        <v>0.59747376580987355</v>
      </c>
      <c r="AB288" s="211">
        <f t="shared" si="200"/>
        <v>0.59747376580987355</v>
      </c>
      <c r="AC288" s="211">
        <f t="shared" si="200"/>
        <v>0.51212037069417726</v>
      </c>
      <c r="AD288" s="211">
        <f t="shared" si="200"/>
        <v>0.51212037069417726</v>
      </c>
      <c r="AE288" s="211">
        <f t="shared" si="200"/>
        <v>0.51212037069417726</v>
      </c>
      <c r="AF288" s="211">
        <f t="shared" si="200"/>
        <v>0.42676697557848109</v>
      </c>
      <c r="AG288" s="211">
        <f t="shared" si="200"/>
        <v>0.42676697557848109</v>
      </c>
      <c r="AH288" s="211">
        <f t="shared" si="200"/>
        <v>0.42676697557848109</v>
      </c>
      <c r="AI288" s="211">
        <f t="shared" si="200"/>
        <v>0.34141358046278486</v>
      </c>
      <c r="AJ288" s="211">
        <f t="shared" si="200"/>
        <v>0.34141358046278486</v>
      </c>
      <c r="AK288" s="211">
        <f t="shared" si="200"/>
        <v>0.34141358046278486</v>
      </c>
      <c r="AL288" s="211">
        <f t="shared" si="200"/>
        <v>0.25606018534708863</v>
      </c>
      <c r="AM288" s="211">
        <f t="shared" si="200"/>
        <v>0.25606018534708863</v>
      </c>
      <c r="AN288" s="211">
        <f t="shared" si="200"/>
        <v>0.25606018534708863</v>
      </c>
    </row>
    <row r="289" spans="2:40" s="7" customFormat="1" ht="12" hidden="1" customHeight="1" outlineLevel="2">
      <c r="B289" s="245"/>
      <c r="C289" s="250" t="s">
        <v>774</v>
      </c>
      <c r="D289" s="250"/>
      <c r="E289" s="213"/>
      <c r="F289" s="213"/>
      <c r="G289" s="213"/>
      <c r="H289" s="213"/>
      <c r="I289" s="213"/>
      <c r="J289" s="213"/>
      <c r="K289" s="213"/>
      <c r="L289" s="213"/>
      <c r="M289" s="213"/>
      <c r="N289" s="213"/>
      <c r="O289" s="213"/>
      <c r="P289" s="213"/>
      <c r="Q289" s="213"/>
      <c r="R289" s="213"/>
      <c r="S289" s="213"/>
      <c r="T289" s="213"/>
      <c r="U289" s="213"/>
      <c r="V289" s="213"/>
      <c r="W289" s="213"/>
      <c r="X289" s="213"/>
      <c r="Y289" s="213"/>
      <c r="Z289" s="211">
        <f>INDEX($C$199:$AN$221,MATCH("New Customers 1MS",$C$199:$C$221,0),MATCH($C289,$C$199:$AN$199,0))</f>
        <v>7.1127829263080171</v>
      </c>
      <c r="AA289" s="211">
        <f t="shared" ref="AA289:AN289" si="201">$Z$289*(E266)</f>
        <v>0.49789480484156123</v>
      </c>
      <c r="AB289" s="211">
        <f t="shared" si="201"/>
        <v>0.49789480484156123</v>
      </c>
      <c r="AC289" s="211">
        <f t="shared" si="201"/>
        <v>0.49789480484156123</v>
      </c>
      <c r="AD289" s="211">
        <f t="shared" si="201"/>
        <v>0.42676697557848103</v>
      </c>
      <c r="AE289" s="211">
        <f t="shared" si="201"/>
        <v>0.42676697557848103</v>
      </c>
      <c r="AF289" s="211">
        <f t="shared" si="201"/>
        <v>0.42676697557848103</v>
      </c>
      <c r="AG289" s="211">
        <f t="shared" si="201"/>
        <v>0.35563914631540089</v>
      </c>
      <c r="AH289" s="211">
        <f t="shared" si="201"/>
        <v>0.35563914631540089</v>
      </c>
      <c r="AI289" s="211">
        <f t="shared" si="201"/>
        <v>0.35563914631540089</v>
      </c>
      <c r="AJ289" s="211">
        <f t="shared" si="201"/>
        <v>0.28451131705232069</v>
      </c>
      <c r="AK289" s="211">
        <f t="shared" si="201"/>
        <v>0.28451131705232069</v>
      </c>
      <c r="AL289" s="211">
        <f t="shared" si="201"/>
        <v>0.28451131705232069</v>
      </c>
      <c r="AM289" s="211">
        <f t="shared" si="201"/>
        <v>0.21338348778924052</v>
      </c>
      <c r="AN289" s="211">
        <f t="shared" si="201"/>
        <v>0.21338348778924052</v>
      </c>
    </row>
    <row r="290" spans="2:40" s="7" customFormat="1" ht="12" hidden="1" customHeight="1" outlineLevel="2">
      <c r="B290" s="245"/>
      <c r="C290" s="250" t="s">
        <v>775</v>
      </c>
      <c r="D290" s="250"/>
      <c r="E290" s="213"/>
      <c r="F290" s="213"/>
      <c r="G290" s="213"/>
      <c r="H290" s="213"/>
      <c r="I290" s="213"/>
      <c r="J290" s="213"/>
      <c r="K290" s="213"/>
      <c r="L290" s="213"/>
      <c r="M290" s="213"/>
      <c r="N290" s="213"/>
      <c r="O290" s="213"/>
      <c r="P290" s="213"/>
      <c r="Q290" s="213"/>
      <c r="R290" s="213"/>
      <c r="S290" s="213"/>
      <c r="T290" s="213"/>
      <c r="U290" s="213"/>
      <c r="V290" s="213"/>
      <c r="W290" s="213"/>
      <c r="X290" s="213"/>
      <c r="Y290" s="213"/>
      <c r="Z290" s="213"/>
      <c r="AA290" s="211">
        <f>INDEX($C$199:$AN$221,MATCH("New Customers 1MS",$C$199:$C$221,0),MATCH($C290,$C$199:$AN$199,0))</f>
        <v>2.7356857408876989</v>
      </c>
      <c r="AB290" s="211">
        <f t="shared" ref="AB290:AN290" si="202">$AA$290*(E266)</f>
        <v>0.19149800186213894</v>
      </c>
      <c r="AC290" s="211">
        <f t="shared" si="202"/>
        <v>0.19149800186213894</v>
      </c>
      <c r="AD290" s="211">
        <f t="shared" si="202"/>
        <v>0.19149800186213894</v>
      </c>
      <c r="AE290" s="211">
        <f t="shared" si="202"/>
        <v>0.16414114445326192</v>
      </c>
      <c r="AF290" s="211">
        <f t="shared" si="202"/>
        <v>0.16414114445326192</v>
      </c>
      <c r="AG290" s="211">
        <f t="shared" si="202"/>
        <v>0.16414114445326192</v>
      </c>
      <c r="AH290" s="211">
        <f t="shared" si="202"/>
        <v>0.13678428704438494</v>
      </c>
      <c r="AI290" s="211">
        <f t="shared" si="202"/>
        <v>0.13678428704438494</v>
      </c>
      <c r="AJ290" s="211">
        <f t="shared" si="202"/>
        <v>0.13678428704438494</v>
      </c>
      <c r="AK290" s="211">
        <f t="shared" si="202"/>
        <v>0.10942742963550796</v>
      </c>
      <c r="AL290" s="211">
        <f t="shared" si="202"/>
        <v>0.10942742963550796</v>
      </c>
      <c r="AM290" s="211">
        <f t="shared" si="202"/>
        <v>0.10942742963550796</v>
      </c>
      <c r="AN290" s="211">
        <f t="shared" si="202"/>
        <v>8.2070572226630958E-2</v>
      </c>
    </row>
    <row r="291" spans="2:40" s="7" customFormat="1" ht="12" hidden="1" customHeight="1" outlineLevel="2">
      <c r="B291" s="245"/>
      <c r="C291" s="250" t="s">
        <v>776</v>
      </c>
      <c r="D291" s="250"/>
      <c r="E291" s="213"/>
      <c r="F291" s="213"/>
      <c r="G291" s="213"/>
      <c r="H291" s="213"/>
      <c r="I291" s="213"/>
      <c r="J291" s="213"/>
      <c r="K291" s="213"/>
      <c r="L291" s="213"/>
      <c r="M291" s="213"/>
      <c r="N291" s="213"/>
      <c r="O291" s="213"/>
      <c r="P291" s="213"/>
      <c r="Q291" s="213"/>
      <c r="R291" s="213"/>
      <c r="S291" s="213"/>
      <c r="T291" s="213"/>
      <c r="U291" s="213"/>
      <c r="V291" s="213"/>
      <c r="W291" s="213"/>
      <c r="X291" s="213"/>
      <c r="Y291" s="213"/>
      <c r="Z291" s="213"/>
      <c r="AA291" s="213"/>
      <c r="AB291" s="211">
        <f>INDEX($C$199:$AN$221,MATCH("New Customers 1MS",$C$199:$C$221,0),MATCH($C291,$C$199:$AN$199,0))</f>
        <v>2.7356857408876989</v>
      </c>
      <c r="AC291" s="211">
        <f t="shared" ref="AC291:AN291" si="203">$AB$291*(E266)</f>
        <v>0.19149800186213894</v>
      </c>
      <c r="AD291" s="211">
        <f t="shared" si="203"/>
        <v>0.19149800186213894</v>
      </c>
      <c r="AE291" s="211">
        <f t="shared" si="203"/>
        <v>0.19149800186213894</v>
      </c>
      <c r="AF291" s="211">
        <f t="shared" si="203"/>
        <v>0.16414114445326192</v>
      </c>
      <c r="AG291" s="211">
        <f t="shared" si="203"/>
        <v>0.16414114445326192</v>
      </c>
      <c r="AH291" s="211">
        <f t="shared" si="203"/>
        <v>0.16414114445326192</v>
      </c>
      <c r="AI291" s="211">
        <f t="shared" si="203"/>
        <v>0.13678428704438494</v>
      </c>
      <c r="AJ291" s="211">
        <f t="shared" si="203"/>
        <v>0.13678428704438494</v>
      </c>
      <c r="AK291" s="211">
        <f t="shared" si="203"/>
        <v>0.13678428704438494</v>
      </c>
      <c r="AL291" s="211">
        <f t="shared" si="203"/>
        <v>0.10942742963550796</v>
      </c>
      <c r="AM291" s="211">
        <f t="shared" si="203"/>
        <v>0.10942742963550796</v>
      </c>
      <c r="AN291" s="211">
        <f t="shared" si="203"/>
        <v>0.10942742963550796</v>
      </c>
    </row>
    <row r="292" spans="2:40" s="7" customFormat="1" ht="12" hidden="1" customHeight="1" outlineLevel="2">
      <c r="B292" s="245"/>
      <c r="C292" s="250" t="s">
        <v>777</v>
      </c>
      <c r="D292" s="250"/>
      <c r="E292" s="213"/>
      <c r="F292" s="213"/>
      <c r="G292" s="213"/>
      <c r="H292" s="213"/>
      <c r="I292" s="213"/>
      <c r="J292" s="213"/>
      <c r="K292" s="213"/>
      <c r="L292" s="213"/>
      <c r="M292" s="213"/>
      <c r="N292" s="213"/>
      <c r="O292" s="213"/>
      <c r="P292" s="213"/>
      <c r="Q292" s="213"/>
      <c r="R292" s="213"/>
      <c r="S292" s="213"/>
      <c r="T292" s="213"/>
      <c r="U292" s="213"/>
      <c r="V292" s="213"/>
      <c r="W292" s="213"/>
      <c r="X292" s="213"/>
      <c r="Y292" s="213"/>
      <c r="Z292" s="213"/>
      <c r="AA292" s="213"/>
      <c r="AB292" s="211"/>
      <c r="AC292" s="211">
        <f>INDEX($C$199:$AN$221,MATCH("New Customers 1MS",$C$199:$C$221,0),MATCH($C292,$C$199:$AN$199,0))</f>
        <v>11.743314038764174</v>
      </c>
      <c r="AD292" s="211">
        <f t="shared" ref="AD292:AN292" si="204">$AC$292*(E266)</f>
        <v>0.8220319827134922</v>
      </c>
      <c r="AE292" s="211">
        <f t="shared" si="204"/>
        <v>0.8220319827134922</v>
      </c>
      <c r="AF292" s="211">
        <f t="shared" si="204"/>
        <v>0.8220319827134922</v>
      </c>
      <c r="AG292" s="211">
        <f t="shared" si="204"/>
        <v>0.70459884232585046</v>
      </c>
      <c r="AH292" s="211">
        <f t="shared" si="204"/>
        <v>0.70459884232585046</v>
      </c>
      <c r="AI292" s="211">
        <f t="shared" si="204"/>
        <v>0.70459884232585046</v>
      </c>
      <c r="AJ292" s="211">
        <f t="shared" si="204"/>
        <v>0.58716570193820872</v>
      </c>
      <c r="AK292" s="211">
        <f t="shared" si="204"/>
        <v>0.58716570193820872</v>
      </c>
      <c r="AL292" s="211">
        <f t="shared" si="204"/>
        <v>0.58716570193820872</v>
      </c>
      <c r="AM292" s="211">
        <f t="shared" si="204"/>
        <v>0.46973256155056697</v>
      </c>
      <c r="AN292" s="211">
        <f t="shared" si="204"/>
        <v>0.46973256155056697</v>
      </c>
    </row>
    <row r="293" spans="2:40" s="7" customFormat="1" ht="12" hidden="1" customHeight="1" outlineLevel="2">
      <c r="B293" s="245"/>
      <c r="C293" s="250" t="s">
        <v>778</v>
      </c>
      <c r="D293" s="250"/>
      <c r="E293" s="213"/>
      <c r="F293" s="213"/>
      <c r="G293" s="213"/>
      <c r="H293" s="213"/>
      <c r="I293" s="213"/>
      <c r="J293" s="213"/>
      <c r="K293" s="213"/>
      <c r="L293" s="213"/>
      <c r="M293" s="213"/>
      <c r="N293" s="213"/>
      <c r="O293" s="213"/>
      <c r="P293" s="213"/>
      <c r="Q293" s="213"/>
      <c r="R293" s="213"/>
      <c r="S293" s="213"/>
      <c r="T293" s="213"/>
      <c r="U293" s="213"/>
      <c r="V293" s="213"/>
      <c r="W293" s="213"/>
      <c r="X293" s="213"/>
      <c r="Y293" s="213"/>
      <c r="Z293" s="213"/>
      <c r="AA293" s="213"/>
      <c r="AB293" s="211"/>
      <c r="AC293" s="211"/>
      <c r="AD293" s="211">
        <f>INDEX($C$199:$AN$221,MATCH("New Customers 1MS",$C$199:$C$221,0),MATCH($C293,$C$199:$AN$199,0))</f>
        <v>20.896261963196604</v>
      </c>
      <c r="AE293" s="211">
        <f t="shared" ref="AE293:AN293" si="205">$AD$293*(E266)</f>
        <v>1.4627383374237624</v>
      </c>
      <c r="AF293" s="211">
        <f t="shared" si="205"/>
        <v>1.4627383374237624</v>
      </c>
      <c r="AG293" s="211">
        <f t="shared" si="205"/>
        <v>1.4627383374237624</v>
      </c>
      <c r="AH293" s="211">
        <f t="shared" si="205"/>
        <v>1.2537757177917963</v>
      </c>
      <c r="AI293" s="211">
        <f t="shared" si="205"/>
        <v>1.2537757177917963</v>
      </c>
      <c r="AJ293" s="211">
        <f t="shared" si="205"/>
        <v>1.2537757177917963</v>
      </c>
      <c r="AK293" s="211">
        <f t="shared" si="205"/>
        <v>1.0448130981598303</v>
      </c>
      <c r="AL293" s="211">
        <f t="shared" si="205"/>
        <v>1.0448130981598303</v>
      </c>
      <c r="AM293" s="211">
        <f t="shared" si="205"/>
        <v>1.0448130981598303</v>
      </c>
      <c r="AN293" s="211">
        <f t="shared" si="205"/>
        <v>0.8358504785278642</v>
      </c>
    </row>
    <row r="294" spans="2:40" s="7" customFormat="1" ht="12" hidden="1" customHeight="1" outlineLevel="2">
      <c r="B294" s="245"/>
      <c r="C294" s="250" t="s">
        <v>779</v>
      </c>
      <c r="D294" s="250"/>
      <c r="E294" s="213"/>
      <c r="F294" s="213"/>
      <c r="G294" s="213"/>
      <c r="H294" s="213"/>
      <c r="I294" s="213"/>
      <c r="J294" s="213"/>
      <c r="K294" s="213"/>
      <c r="L294" s="213"/>
      <c r="M294" s="213"/>
      <c r="N294" s="213"/>
      <c r="O294" s="213"/>
      <c r="P294" s="213"/>
      <c r="Q294" s="213"/>
      <c r="R294" s="213"/>
      <c r="S294" s="213"/>
      <c r="T294" s="213"/>
      <c r="U294" s="213"/>
      <c r="V294" s="213"/>
      <c r="W294" s="213"/>
      <c r="X294" s="213"/>
      <c r="Y294" s="213"/>
      <c r="Z294" s="213"/>
      <c r="AA294" s="213"/>
      <c r="AB294" s="211"/>
      <c r="AC294" s="211"/>
      <c r="AD294" s="211"/>
      <c r="AE294" s="211">
        <f>INDEX($C$199:$AN$221,MATCH("New Customers 1MS",$C$199:$C$221,0),MATCH($C294,$C$199:$AN$199,0))</f>
        <v>19.23953067851501</v>
      </c>
      <c r="AF294" s="211">
        <f t="shared" ref="AF294:AN294" si="206">$AE$294*(E266)</f>
        <v>1.3467671474960508</v>
      </c>
      <c r="AG294" s="211">
        <f t="shared" si="206"/>
        <v>1.3467671474960508</v>
      </c>
      <c r="AH294" s="211">
        <f t="shared" si="206"/>
        <v>1.3467671474960508</v>
      </c>
      <c r="AI294" s="211">
        <f t="shared" si="206"/>
        <v>1.1543718407109005</v>
      </c>
      <c r="AJ294" s="211">
        <f t="shared" si="206"/>
        <v>1.1543718407109005</v>
      </c>
      <c r="AK294" s="211">
        <f t="shared" si="206"/>
        <v>1.1543718407109005</v>
      </c>
      <c r="AL294" s="211">
        <f t="shared" si="206"/>
        <v>0.96197653392575055</v>
      </c>
      <c r="AM294" s="211">
        <f t="shared" si="206"/>
        <v>0.96197653392575055</v>
      </c>
      <c r="AN294" s="211">
        <f t="shared" si="206"/>
        <v>0.96197653392575055</v>
      </c>
    </row>
    <row r="295" spans="2:40" s="7" customFormat="1" ht="12" hidden="1" customHeight="1" outlineLevel="2">
      <c r="B295" s="245"/>
      <c r="C295" s="250" t="s">
        <v>780</v>
      </c>
      <c r="D295" s="250"/>
      <c r="E295" s="213"/>
      <c r="F295" s="213"/>
      <c r="G295" s="213"/>
      <c r="H295" s="213"/>
      <c r="I295" s="213"/>
      <c r="J295" s="213"/>
      <c r="K295" s="213"/>
      <c r="L295" s="213"/>
      <c r="M295" s="213"/>
      <c r="N295" s="213"/>
      <c r="O295" s="213"/>
      <c r="P295" s="213"/>
      <c r="Q295" s="213"/>
      <c r="R295" s="213"/>
      <c r="S295" s="213"/>
      <c r="T295" s="213"/>
      <c r="U295" s="213"/>
      <c r="V295" s="213"/>
      <c r="W295" s="213"/>
      <c r="X295" s="213"/>
      <c r="Y295" s="213"/>
      <c r="Z295" s="213"/>
      <c r="AA295" s="213"/>
      <c r="AB295" s="211"/>
      <c r="AC295" s="211"/>
      <c r="AD295" s="211"/>
      <c r="AE295" s="211"/>
      <c r="AF295" s="211">
        <f>INDEX($C$199:$AN$221,MATCH("New Customers 1MS",$C$199:$C$221,0),MATCH($C295,$C$199:$AN$199,0))</f>
        <v>14.754902805572867</v>
      </c>
      <c r="AG295" s="211">
        <f t="shared" ref="AG295:AN295" si="207">$AF$295*(E266)</f>
        <v>1.0328431963901008</v>
      </c>
      <c r="AH295" s="211">
        <f t="shared" si="207"/>
        <v>1.0328431963901008</v>
      </c>
      <c r="AI295" s="211">
        <f t="shared" si="207"/>
        <v>1.0328431963901008</v>
      </c>
      <c r="AJ295" s="211">
        <f t="shared" si="207"/>
        <v>0.88529416833437191</v>
      </c>
      <c r="AK295" s="211">
        <f t="shared" si="207"/>
        <v>0.88529416833437191</v>
      </c>
      <c r="AL295" s="211">
        <f t="shared" si="207"/>
        <v>0.88529416833437191</v>
      </c>
      <c r="AM295" s="211">
        <f t="shared" si="207"/>
        <v>0.73774514027864335</v>
      </c>
      <c r="AN295" s="211">
        <f t="shared" si="207"/>
        <v>0.73774514027864335</v>
      </c>
    </row>
    <row r="296" spans="2:40" s="7" customFormat="1" ht="12" hidden="1" customHeight="1" outlineLevel="2">
      <c r="B296" s="245"/>
      <c r="C296" s="250" t="s">
        <v>781</v>
      </c>
      <c r="D296" s="250"/>
      <c r="E296" s="213"/>
      <c r="F296" s="213"/>
      <c r="G296" s="213"/>
      <c r="H296" s="213"/>
      <c r="I296" s="213"/>
      <c r="J296" s="213"/>
      <c r="K296" s="213"/>
      <c r="L296" s="213"/>
      <c r="M296" s="213"/>
      <c r="N296" s="213"/>
      <c r="O296" s="213"/>
      <c r="P296" s="213"/>
      <c r="Q296" s="213"/>
      <c r="R296" s="213"/>
      <c r="S296" s="213"/>
      <c r="T296" s="213"/>
      <c r="U296" s="213"/>
      <c r="V296" s="213"/>
      <c r="W296" s="213"/>
      <c r="X296" s="213"/>
      <c r="Y296" s="213"/>
      <c r="Z296" s="213"/>
      <c r="AA296" s="213"/>
      <c r="AB296" s="211"/>
      <c r="AC296" s="211"/>
      <c r="AD296" s="211"/>
      <c r="AE296" s="211"/>
      <c r="AF296" s="211"/>
      <c r="AG296" s="211">
        <f>INDEX($C$199:$AN$221,MATCH("New Customers 1MS",$C$199:$C$221,0),MATCH($C296,$C$199:$AN$199,0))</f>
        <v>13.3046246048036</v>
      </c>
      <c r="AH296" s="211">
        <f t="shared" ref="AH296:AN296" si="208">$AG$296*(E266)</f>
        <v>0.93132372233625205</v>
      </c>
      <c r="AI296" s="211">
        <f t="shared" si="208"/>
        <v>0.93132372233625205</v>
      </c>
      <c r="AJ296" s="211">
        <f t="shared" si="208"/>
        <v>0.93132372233625205</v>
      </c>
      <c r="AK296" s="211">
        <f t="shared" si="208"/>
        <v>0.79827747628821599</v>
      </c>
      <c r="AL296" s="211">
        <f t="shared" si="208"/>
        <v>0.79827747628821599</v>
      </c>
      <c r="AM296" s="211">
        <f t="shared" si="208"/>
        <v>0.79827747628821599</v>
      </c>
      <c r="AN296" s="211">
        <f t="shared" si="208"/>
        <v>0.66523123024018005</v>
      </c>
    </row>
    <row r="297" spans="2:40" s="7" customFormat="1" ht="12" hidden="1" customHeight="1" outlineLevel="2">
      <c r="B297" s="245"/>
      <c r="C297" s="250" t="s">
        <v>782</v>
      </c>
      <c r="D297" s="250"/>
      <c r="E297" s="213"/>
      <c r="F297" s="213"/>
      <c r="G297" s="213"/>
      <c r="H297" s="213"/>
      <c r="I297" s="213"/>
      <c r="J297" s="213"/>
      <c r="K297" s="213"/>
      <c r="L297" s="213"/>
      <c r="M297" s="213"/>
      <c r="N297" s="213"/>
      <c r="O297" s="213"/>
      <c r="P297" s="213"/>
      <c r="Q297" s="213"/>
      <c r="R297" s="213"/>
      <c r="S297" s="213"/>
      <c r="T297" s="213"/>
      <c r="U297" s="213"/>
      <c r="V297" s="213"/>
      <c r="W297" s="213"/>
      <c r="X297" s="213"/>
      <c r="Y297" s="213"/>
      <c r="Z297" s="213"/>
      <c r="AA297" s="213"/>
      <c r="AB297" s="211"/>
      <c r="AC297" s="211"/>
      <c r="AD297" s="211"/>
      <c r="AE297" s="211"/>
      <c r="AF297" s="211"/>
      <c r="AG297" s="211"/>
      <c r="AH297" s="211">
        <f>INDEX($C$199:$AN$221,MATCH("New Customers 1MS",$C$199:$C$221,0),MATCH($C297,$C$199:$AN$199,0))</f>
        <v>45.60760183320555</v>
      </c>
      <c r="AI297" s="211">
        <f t="shared" ref="AI297:AN297" si="209">$AH$297*(E266)</f>
        <v>3.1925321283243888</v>
      </c>
      <c r="AJ297" s="211">
        <f t="shared" si="209"/>
        <v>3.1925321283243888</v>
      </c>
      <c r="AK297" s="211">
        <f t="shared" si="209"/>
        <v>3.1925321283243888</v>
      </c>
      <c r="AL297" s="211">
        <f t="shared" si="209"/>
        <v>2.736456109992333</v>
      </c>
      <c r="AM297" s="211">
        <f t="shared" si="209"/>
        <v>2.736456109992333</v>
      </c>
      <c r="AN297" s="211">
        <f t="shared" si="209"/>
        <v>2.736456109992333</v>
      </c>
    </row>
    <row r="298" spans="2:40" s="7" customFormat="1" ht="12" hidden="1" customHeight="1" outlineLevel="2">
      <c r="B298" s="245"/>
      <c r="C298" s="250" t="s">
        <v>783</v>
      </c>
      <c r="D298" s="250"/>
      <c r="E298" s="213"/>
      <c r="F298" s="213"/>
      <c r="G298" s="213"/>
      <c r="H298" s="213"/>
      <c r="I298" s="213"/>
      <c r="J298" s="213"/>
      <c r="K298" s="213"/>
      <c r="L298" s="213"/>
      <c r="M298" s="213"/>
      <c r="N298" s="213"/>
      <c r="O298" s="213"/>
      <c r="P298" s="213"/>
      <c r="Q298" s="213"/>
      <c r="R298" s="213"/>
      <c r="S298" s="213"/>
      <c r="T298" s="213"/>
      <c r="U298" s="213"/>
      <c r="V298" s="213"/>
      <c r="W298" s="213"/>
      <c r="X298" s="213"/>
      <c r="Y298" s="213"/>
      <c r="Z298" s="213"/>
      <c r="AA298" s="213"/>
      <c r="AB298" s="211"/>
      <c r="AC298" s="211"/>
      <c r="AD298" s="211"/>
      <c r="AE298" s="211"/>
      <c r="AF298" s="211"/>
      <c r="AG298" s="211"/>
      <c r="AH298" s="211"/>
      <c r="AI298" s="211">
        <f>INDEX($C$199:$AN$221,MATCH("New Customers 1MS",$C$199:$C$221,0),MATCH($C298,$C$199:$AN$199,0))</f>
        <v>15.052399510941932</v>
      </c>
      <c r="AJ298" s="211">
        <f>$AI$298*(E266)</f>
        <v>1.0536679657659354</v>
      </c>
      <c r="AK298" s="211">
        <f>$AI$298*(F266)</f>
        <v>1.0536679657659354</v>
      </c>
      <c r="AL298" s="211">
        <f>$AI$298*(G266)</f>
        <v>1.0536679657659354</v>
      </c>
      <c r="AM298" s="211">
        <f>$AI$298*(H266)</f>
        <v>0.90314397065651586</v>
      </c>
      <c r="AN298" s="211">
        <f>$AI$298*(I266)</f>
        <v>0.90314397065651586</v>
      </c>
    </row>
    <row r="299" spans="2:40" s="7" customFormat="1" ht="12" hidden="1" customHeight="1" outlineLevel="2">
      <c r="B299" s="245"/>
      <c r="C299" s="250" t="s">
        <v>784</v>
      </c>
      <c r="D299" s="250"/>
      <c r="E299" s="213"/>
      <c r="F299" s="213"/>
      <c r="G299" s="213"/>
      <c r="H299" s="213"/>
      <c r="I299" s="213"/>
      <c r="J299" s="213"/>
      <c r="K299" s="213"/>
      <c r="L299" s="213"/>
      <c r="M299" s="213"/>
      <c r="N299" s="213"/>
      <c r="O299" s="213"/>
      <c r="P299" s="213"/>
      <c r="Q299" s="213"/>
      <c r="R299" s="213"/>
      <c r="S299" s="213"/>
      <c r="T299" s="213"/>
      <c r="U299" s="213"/>
      <c r="V299" s="213"/>
      <c r="W299" s="213"/>
      <c r="X299" s="213"/>
      <c r="Y299" s="213"/>
      <c r="Z299" s="213"/>
      <c r="AA299" s="213"/>
      <c r="AB299" s="211"/>
      <c r="AC299" s="211"/>
      <c r="AD299" s="211"/>
      <c r="AE299" s="211"/>
      <c r="AF299" s="211"/>
      <c r="AG299" s="211"/>
      <c r="AH299" s="211"/>
      <c r="AI299" s="211"/>
      <c r="AJ299" s="211">
        <f>INDEX($C$199:$AN$221,MATCH("New Customers 1MS",$C$199:$C$221,0),MATCH($C299,$C$199:$AN$199,0))</f>
        <v>18.955748877660259</v>
      </c>
      <c r="AK299" s="211">
        <f>$AJ$299*(E266)</f>
        <v>1.3269024214362182</v>
      </c>
      <c r="AL299" s="211">
        <f>$AJ$299*(F266)</f>
        <v>1.3269024214362182</v>
      </c>
      <c r="AM299" s="211">
        <f>$AJ$299*(G266)</f>
        <v>1.3269024214362182</v>
      </c>
      <c r="AN299" s="211">
        <f>$AJ$299*(H266)</f>
        <v>1.1373449326596154</v>
      </c>
    </row>
    <row r="300" spans="2:40" s="7" customFormat="1" ht="12" hidden="1" customHeight="1" outlineLevel="2">
      <c r="B300" s="245"/>
      <c r="C300" s="250" t="s">
        <v>785</v>
      </c>
      <c r="D300" s="250"/>
      <c r="E300" s="213"/>
      <c r="F300" s="213"/>
      <c r="G300" s="213"/>
      <c r="H300" s="213"/>
      <c r="I300" s="213"/>
      <c r="J300" s="213"/>
      <c r="K300" s="213"/>
      <c r="L300" s="213"/>
      <c r="M300" s="213"/>
      <c r="N300" s="213"/>
      <c r="O300" s="213"/>
      <c r="P300" s="213"/>
      <c r="Q300" s="213"/>
      <c r="R300" s="213"/>
      <c r="S300" s="213"/>
      <c r="T300" s="213"/>
      <c r="U300" s="213"/>
      <c r="V300" s="213"/>
      <c r="W300" s="213"/>
      <c r="X300" s="213"/>
      <c r="Y300" s="213"/>
      <c r="Z300" s="213"/>
      <c r="AA300" s="213"/>
      <c r="AB300" s="211"/>
      <c r="AC300" s="211"/>
      <c r="AD300" s="211"/>
      <c r="AE300" s="211"/>
      <c r="AF300" s="211"/>
      <c r="AG300" s="211"/>
      <c r="AH300" s="211"/>
      <c r="AI300" s="211"/>
      <c r="AJ300" s="211"/>
      <c r="AK300" s="211">
        <f>INDEX($C$199:$AN$221,MATCH("New Customers 1MS",$C$199:$C$221,0),MATCH($C300,$C$199:$AN$199,0))</f>
        <v>34.141358046278484</v>
      </c>
      <c r="AL300" s="211">
        <f>$AK$300*(E266)</f>
        <v>2.3898950632394942</v>
      </c>
      <c r="AM300" s="211">
        <f>$AK$300*(F266)</f>
        <v>2.3898950632394942</v>
      </c>
      <c r="AN300" s="211">
        <f>$AK$300*(G266)</f>
        <v>2.3898950632394942</v>
      </c>
    </row>
    <row r="301" spans="2:40" s="7" customFormat="1" ht="12" hidden="1" customHeight="1" outlineLevel="2">
      <c r="B301" s="245"/>
      <c r="C301" s="250" t="s">
        <v>786</v>
      </c>
      <c r="D301" s="250"/>
      <c r="E301" s="213"/>
      <c r="F301" s="213"/>
      <c r="G301" s="213"/>
      <c r="H301" s="213"/>
      <c r="I301" s="213"/>
      <c r="J301" s="213"/>
      <c r="K301" s="213"/>
      <c r="L301" s="213"/>
      <c r="M301" s="213"/>
      <c r="N301" s="213"/>
      <c r="O301" s="213"/>
      <c r="P301" s="213"/>
      <c r="Q301" s="213"/>
      <c r="R301" s="213"/>
      <c r="S301" s="213"/>
      <c r="T301" s="213"/>
      <c r="U301" s="213"/>
      <c r="V301" s="213"/>
      <c r="W301" s="213"/>
      <c r="X301" s="213"/>
      <c r="Y301" s="213"/>
      <c r="Z301" s="213"/>
      <c r="AA301" s="213"/>
      <c r="AB301" s="211"/>
      <c r="AC301" s="211"/>
      <c r="AD301" s="211"/>
      <c r="AE301" s="211"/>
      <c r="AF301" s="211"/>
      <c r="AG301" s="211"/>
      <c r="AH301" s="211"/>
      <c r="AI301" s="211"/>
      <c r="AJ301" s="211"/>
      <c r="AK301" s="211"/>
      <c r="AL301" s="211">
        <f>INDEX($C$199:$AN$221,MATCH("New Customers 1MS",$C$199:$C$221,0),MATCH($C301,$C$199:$AN$199,0))</f>
        <v>28.451131705232068</v>
      </c>
      <c r="AM301" s="211">
        <f>$AL$301*(E266)</f>
        <v>1.9915792193662449</v>
      </c>
      <c r="AN301" s="211">
        <f>$AL$301*(F266)</f>
        <v>1.9915792193662449</v>
      </c>
    </row>
    <row r="302" spans="2:40" s="7" customFormat="1" ht="12" hidden="1" customHeight="1" outlineLevel="2">
      <c r="B302" s="245"/>
      <c r="C302" s="250" t="s">
        <v>787</v>
      </c>
      <c r="D302" s="250"/>
      <c r="E302" s="213"/>
      <c r="F302" s="213"/>
      <c r="G302" s="213"/>
      <c r="H302" s="213"/>
      <c r="I302" s="213"/>
      <c r="J302" s="213"/>
      <c r="K302" s="213"/>
      <c r="L302" s="213"/>
      <c r="M302" s="213"/>
      <c r="N302" s="213"/>
      <c r="O302" s="213"/>
      <c r="P302" s="213"/>
      <c r="Q302" s="213"/>
      <c r="R302" s="213"/>
      <c r="S302" s="213"/>
      <c r="T302" s="213"/>
      <c r="U302" s="213"/>
      <c r="V302" s="213"/>
      <c r="W302" s="213"/>
      <c r="X302" s="213"/>
      <c r="Y302" s="213"/>
      <c r="Z302" s="213"/>
      <c r="AA302" s="213"/>
      <c r="AB302" s="211"/>
      <c r="AC302" s="211"/>
      <c r="AD302" s="211"/>
      <c r="AE302" s="211"/>
      <c r="AF302" s="211"/>
      <c r="AG302" s="211"/>
      <c r="AH302" s="211"/>
      <c r="AI302" s="211"/>
      <c r="AJ302" s="211"/>
      <c r="AK302" s="211"/>
      <c r="AL302" s="211"/>
      <c r="AM302" s="211">
        <f>INDEX($C$199:$AN$221,MATCH("New Customers 1MS",$C$199:$C$221,0),MATCH($C302,$C$199:$AN$199,0))</f>
        <v>10.942742963550796</v>
      </c>
      <c r="AN302" s="211">
        <f>$AM$302*(E266)</f>
        <v>0.76599200744855578</v>
      </c>
    </row>
    <row r="303" spans="2:40" s="7" customFormat="1" ht="12" hidden="1" customHeight="1" outlineLevel="2">
      <c r="B303" s="245"/>
      <c r="C303" s="250" t="s">
        <v>788</v>
      </c>
      <c r="D303" s="250"/>
      <c r="E303" s="213"/>
      <c r="F303" s="213"/>
      <c r="G303" s="213"/>
      <c r="H303" s="213"/>
      <c r="I303" s="213"/>
      <c r="J303" s="213"/>
      <c r="K303" s="213"/>
      <c r="L303" s="213"/>
      <c r="M303" s="213"/>
      <c r="N303" s="213"/>
      <c r="O303" s="213"/>
      <c r="P303" s="213"/>
      <c r="Q303" s="213"/>
      <c r="R303" s="213"/>
      <c r="S303" s="213"/>
      <c r="T303" s="213"/>
      <c r="U303" s="213"/>
      <c r="V303" s="213"/>
      <c r="W303" s="213"/>
      <c r="X303" s="213"/>
      <c r="Y303" s="213"/>
      <c r="Z303" s="213"/>
      <c r="AA303" s="213"/>
      <c r="AB303" s="211"/>
      <c r="AC303" s="211"/>
      <c r="AD303" s="211"/>
      <c r="AE303" s="211"/>
      <c r="AF303" s="211"/>
      <c r="AG303" s="211"/>
      <c r="AH303" s="211"/>
      <c r="AI303" s="211"/>
      <c r="AJ303" s="211"/>
      <c r="AK303" s="211"/>
      <c r="AL303" s="211"/>
      <c r="AM303" s="211"/>
      <c r="AN303" s="211">
        <f>INDEX($C$199:$AN$221,MATCH("New Customers 1MS",$C$199:$C$221,0),MATCH($C303,$C$199:$AN$199,0))</f>
        <v>10.942742963550796</v>
      </c>
    </row>
    <row r="304" spans="2:40" s="7" customFormat="1" ht="12" hidden="1" customHeight="1" outlineLevel="2">
      <c r="B304" s="245"/>
      <c r="C304" s="250"/>
      <c r="D304" s="250"/>
      <c r="E304" s="213"/>
      <c r="F304" s="213"/>
      <c r="G304" s="213"/>
      <c r="H304" s="213"/>
      <c r="I304" s="213"/>
      <c r="J304" s="213"/>
      <c r="K304" s="213"/>
      <c r="L304" s="213"/>
      <c r="M304" s="213"/>
      <c r="N304" s="213"/>
      <c r="O304" s="213"/>
      <c r="P304" s="213"/>
      <c r="Q304" s="213"/>
      <c r="R304" s="213"/>
      <c r="S304" s="213"/>
      <c r="T304" s="213"/>
      <c r="U304" s="213"/>
      <c r="V304" s="213"/>
      <c r="W304" s="213"/>
      <c r="X304" s="213"/>
      <c r="Y304" s="213"/>
      <c r="Z304" s="213"/>
      <c r="AA304" s="213"/>
      <c r="AB304" s="211"/>
      <c r="AC304" s="211"/>
      <c r="AD304" s="211"/>
      <c r="AE304" s="211"/>
      <c r="AF304" s="211"/>
      <c r="AG304" s="211"/>
      <c r="AH304" s="211"/>
      <c r="AI304" s="211"/>
      <c r="AJ304" s="211"/>
      <c r="AK304" s="211"/>
      <c r="AL304" s="211"/>
      <c r="AM304" s="211"/>
      <c r="AN304" s="211"/>
    </row>
    <row r="305" spans="2:40 16380:16380" s="7" customFormat="1" ht="12" hidden="1" customHeight="1" outlineLevel="2">
      <c r="B305" s="245"/>
      <c r="C305" s="249" t="s">
        <v>854</v>
      </c>
      <c r="D305" s="250"/>
      <c r="E305" s="213"/>
      <c r="F305" s="213"/>
      <c r="G305" s="213"/>
      <c r="H305" s="213"/>
      <c r="I305" s="213"/>
      <c r="J305" s="213"/>
      <c r="K305" s="213"/>
      <c r="L305" s="213"/>
      <c r="M305" s="213"/>
      <c r="N305" s="213"/>
      <c r="O305" s="213"/>
      <c r="P305" s="213"/>
      <c r="Q305" s="213"/>
      <c r="R305" s="213"/>
      <c r="S305" s="213"/>
      <c r="T305" s="213"/>
      <c r="U305" s="213"/>
      <c r="V305" s="213"/>
      <c r="W305" s="213"/>
      <c r="X305" s="213"/>
      <c r="Y305" s="213"/>
      <c r="Z305" s="213"/>
      <c r="AA305" s="213"/>
      <c r="AB305" s="213"/>
      <c r="AC305" s="211"/>
    </row>
    <row r="306" spans="2:40 16380:16380" s="7" customFormat="1" ht="12" hidden="1" customHeight="1" outlineLevel="3">
      <c r="B306" s="239"/>
      <c r="C306" s="212" t="s">
        <v>850</v>
      </c>
      <c r="D306" s="212"/>
      <c r="E306" s="196" t="s">
        <v>753</v>
      </c>
      <c r="F306" s="196" t="s">
        <v>754</v>
      </c>
      <c r="G306" s="196" t="s">
        <v>755</v>
      </c>
      <c r="H306" s="196" t="s">
        <v>756</v>
      </c>
      <c r="I306" s="196" t="s">
        <v>757</v>
      </c>
      <c r="J306" s="196" t="s">
        <v>758</v>
      </c>
      <c r="K306" s="196" t="s">
        <v>759</v>
      </c>
      <c r="L306" s="196" t="s">
        <v>760</v>
      </c>
      <c r="M306" s="196" t="s">
        <v>761</v>
      </c>
      <c r="N306" s="196" t="s">
        <v>762</v>
      </c>
      <c r="O306" s="196" t="s">
        <v>763</v>
      </c>
      <c r="P306" s="196" t="s">
        <v>764</v>
      </c>
      <c r="Q306" s="196" t="s">
        <v>765</v>
      </c>
      <c r="R306" s="196" t="s">
        <v>766</v>
      </c>
      <c r="S306" s="196" t="s">
        <v>767</v>
      </c>
      <c r="T306" s="196" t="s">
        <v>768</v>
      </c>
      <c r="U306" s="196" t="s">
        <v>769</v>
      </c>
      <c r="V306" s="196" t="s">
        <v>770</v>
      </c>
      <c r="W306" s="196" t="s">
        <v>771</v>
      </c>
      <c r="X306" s="196" t="s">
        <v>772</v>
      </c>
      <c r="Y306" s="196" t="s">
        <v>773</v>
      </c>
      <c r="Z306" s="196" t="s">
        <v>774</v>
      </c>
      <c r="AA306" s="196" t="s">
        <v>775</v>
      </c>
      <c r="AB306" s="196" t="s">
        <v>776</v>
      </c>
      <c r="AC306" s="196" t="s">
        <v>777</v>
      </c>
      <c r="AD306" s="196" t="s">
        <v>778</v>
      </c>
      <c r="AE306" s="196" t="s">
        <v>779</v>
      </c>
      <c r="AF306" s="196" t="s">
        <v>780</v>
      </c>
      <c r="AG306" s="196" t="s">
        <v>781</v>
      </c>
      <c r="AH306" s="196" t="s">
        <v>782</v>
      </c>
      <c r="AI306" s="196" t="s">
        <v>783</v>
      </c>
      <c r="AJ306" s="196" t="s">
        <v>784</v>
      </c>
      <c r="AK306" s="196" t="s">
        <v>785</v>
      </c>
      <c r="AL306" s="196" t="s">
        <v>786</v>
      </c>
      <c r="AM306" s="196" t="s">
        <v>787</v>
      </c>
      <c r="AN306" s="196" t="s">
        <v>788</v>
      </c>
    </row>
    <row r="307" spans="2:40 16380:16380" s="7" customFormat="1" ht="12" hidden="1" customHeight="1" outlineLevel="3">
      <c r="B307" s="239"/>
      <c r="C307" s="247" t="s">
        <v>851</v>
      </c>
      <c r="D307" s="212"/>
      <c r="E307" s="345">
        <v>0.86</v>
      </c>
      <c r="F307" s="342"/>
      <c r="G307" s="342"/>
      <c r="H307" s="345">
        <v>0.42</v>
      </c>
      <c r="I307" s="342"/>
      <c r="J307" s="342"/>
      <c r="K307" s="345">
        <v>0.26</v>
      </c>
      <c r="L307" s="342"/>
      <c r="M307" s="342"/>
      <c r="N307" s="345">
        <v>0.16</v>
      </c>
      <c r="O307" s="342"/>
      <c r="P307" s="342"/>
      <c r="Q307" s="345">
        <v>0.1</v>
      </c>
      <c r="R307" s="342"/>
      <c r="S307" s="342"/>
      <c r="T307" s="345">
        <v>0.06</v>
      </c>
      <c r="U307" s="342"/>
      <c r="V307" s="342"/>
      <c r="W307" s="345">
        <v>0.03</v>
      </c>
      <c r="X307" s="342"/>
      <c r="Y307" s="342"/>
      <c r="Z307" s="345">
        <v>0.01</v>
      </c>
      <c r="AA307" s="342"/>
      <c r="AB307" s="342"/>
      <c r="AC307" s="345">
        <v>0.01</v>
      </c>
      <c r="AD307" s="342"/>
      <c r="AE307" s="342"/>
      <c r="AF307" s="345">
        <v>0.01</v>
      </c>
      <c r="AG307" s="342"/>
      <c r="AH307" s="342"/>
      <c r="AI307" s="345">
        <v>0.01</v>
      </c>
      <c r="AJ307" s="342"/>
      <c r="AK307" s="342"/>
      <c r="AL307" s="345">
        <v>0.01</v>
      </c>
      <c r="AM307" s="342"/>
      <c r="AN307" s="342"/>
    </row>
    <row r="308" spans="2:40 16380:16380" s="7" customFormat="1" ht="12" hidden="1" customHeight="1" outlineLevel="3">
      <c r="B308" s="245"/>
      <c r="C308" s="250" t="s">
        <v>753</v>
      </c>
      <c r="D308" s="250"/>
      <c r="E308" s="211">
        <f>INDEX($C$199:$AN$221, MATCH("New Customers 3MS", $C$199:$C$221, 0), MATCH($C308, $C$199:$AN$199, 0))</f>
        <v>0</v>
      </c>
      <c r="F308" s="211"/>
      <c r="G308" s="211"/>
      <c r="H308" s="211">
        <f>E308*(1-E307)</f>
        <v>0</v>
      </c>
      <c r="I308" s="211"/>
      <c r="J308" s="211"/>
      <c r="K308" s="211">
        <f>E308*(1-H307)</f>
        <v>0</v>
      </c>
      <c r="L308" s="211"/>
      <c r="M308" s="211"/>
      <c r="N308" s="211">
        <f>E308*(1-K307)</f>
        <v>0</v>
      </c>
      <c r="O308" s="211"/>
      <c r="P308" s="211"/>
      <c r="Q308" s="211">
        <f>E308*(1-N307)</f>
        <v>0</v>
      </c>
      <c r="R308" s="211"/>
      <c r="S308" s="211"/>
      <c r="T308" s="211">
        <f>E308*(1-Q307)</f>
        <v>0</v>
      </c>
      <c r="U308" s="211"/>
      <c r="V308" s="211"/>
      <c r="W308" s="211">
        <f>E308*(1-T307)</f>
        <v>0</v>
      </c>
      <c r="X308" s="211"/>
      <c r="Y308" s="211"/>
      <c r="Z308" s="211">
        <f>E308*(1-W307)</f>
        <v>0</v>
      </c>
      <c r="AA308" s="211"/>
      <c r="AB308" s="211"/>
      <c r="AC308" s="211">
        <f>E308*(1-Z307)</f>
        <v>0</v>
      </c>
      <c r="AD308" s="211"/>
      <c r="AE308" s="211"/>
      <c r="AF308" s="211">
        <f>E308*(1-AC307)</f>
        <v>0</v>
      </c>
      <c r="AG308" s="211"/>
      <c r="AH308" s="211"/>
      <c r="AI308" s="211">
        <f>E308*(1-AF307)</f>
        <v>0</v>
      </c>
      <c r="AJ308" s="211"/>
      <c r="AK308" s="211"/>
      <c r="AL308" s="211">
        <f>E308*(1-AI307)</f>
        <v>0</v>
      </c>
      <c r="AM308" s="211"/>
      <c r="AN308" s="211"/>
    </row>
    <row r="309" spans="2:40 16380:16380" s="7" customFormat="1" ht="12" hidden="1" customHeight="1" outlineLevel="3">
      <c r="B309" s="245"/>
      <c r="C309" s="250" t="s">
        <v>754</v>
      </c>
      <c r="D309" s="250"/>
      <c r="E309" s="213"/>
      <c r="F309" s="211">
        <f>INDEX($C$199:$AN$221, MATCH("New Customers 3MS", $C$199:$C$221, 0), MATCH($C309, $C$199:$AN$199, 0))</f>
        <v>0</v>
      </c>
      <c r="G309" s="211"/>
      <c r="H309" s="211"/>
      <c r="I309" s="211">
        <f>F309*(E307)</f>
        <v>0</v>
      </c>
      <c r="J309" s="211"/>
      <c r="K309" s="211"/>
      <c r="L309" s="211">
        <f>F309*(H307)</f>
        <v>0</v>
      </c>
      <c r="M309" s="211"/>
      <c r="N309" s="211"/>
      <c r="O309" s="211">
        <f>F309*(K307)</f>
        <v>0</v>
      </c>
      <c r="P309" s="211"/>
      <c r="Q309" s="211"/>
      <c r="R309" s="211">
        <f>F309*(N307)</f>
        <v>0</v>
      </c>
      <c r="S309" s="211"/>
      <c r="T309" s="211"/>
      <c r="U309" s="211">
        <f>F309*(Q307)</f>
        <v>0</v>
      </c>
      <c r="V309" s="211"/>
      <c r="W309" s="211"/>
      <c r="X309" s="211">
        <f>F309*(T307)</f>
        <v>0</v>
      </c>
      <c r="Y309" s="211"/>
      <c r="Z309" s="211"/>
      <c r="AA309" s="211">
        <f>F309*(W307)</f>
        <v>0</v>
      </c>
      <c r="AB309" s="211"/>
      <c r="AC309" s="211"/>
      <c r="AD309" s="211">
        <f>F309*(Z307)</f>
        <v>0</v>
      </c>
      <c r="AE309" s="211"/>
      <c r="AF309" s="211"/>
      <c r="AG309" s="211">
        <f>F309*(AC307)</f>
        <v>0</v>
      </c>
      <c r="AH309" s="211"/>
      <c r="AI309" s="211"/>
      <c r="AJ309" s="211">
        <f>F309*(AF307)</f>
        <v>0</v>
      </c>
      <c r="AK309" s="211"/>
      <c r="AL309" s="211"/>
      <c r="AM309" s="211">
        <f>F309*(AI307)</f>
        <v>0</v>
      </c>
      <c r="AN309" s="211"/>
      <c r="XEZ309" s="211"/>
    </row>
    <row r="310" spans="2:40 16380:16380" s="7" customFormat="1" ht="12" hidden="1" customHeight="1" outlineLevel="3">
      <c r="B310" s="245"/>
      <c r="C310" s="250" t="s">
        <v>755</v>
      </c>
      <c r="D310" s="250"/>
      <c r="E310" s="213"/>
      <c r="F310" s="213"/>
      <c r="G310" s="211">
        <f>INDEX($C$199:$AN$221, MATCH("New Customers 3MS", $C$199:$C$221, 0), MATCH($C310, $C$199:$AN$199, 0))</f>
        <v>0</v>
      </c>
      <c r="H310" s="211"/>
      <c r="I310" s="211"/>
      <c r="J310" s="211">
        <f>G310*(E307)</f>
        <v>0</v>
      </c>
      <c r="K310" s="211"/>
      <c r="L310" s="211"/>
      <c r="M310" s="211">
        <f>G310*(H307)</f>
        <v>0</v>
      </c>
      <c r="N310" s="211"/>
      <c r="O310" s="211"/>
      <c r="P310" s="211">
        <f>G310*(K307)</f>
        <v>0</v>
      </c>
      <c r="Q310" s="211"/>
      <c r="R310" s="211"/>
      <c r="S310" s="211">
        <f>G310*(N307)</f>
        <v>0</v>
      </c>
      <c r="T310" s="211"/>
      <c r="U310" s="211"/>
      <c r="V310" s="211">
        <f>G310*(Q307)</f>
        <v>0</v>
      </c>
      <c r="W310" s="211"/>
      <c r="X310" s="211"/>
      <c r="Y310" s="211">
        <f>G310*(T307)</f>
        <v>0</v>
      </c>
      <c r="Z310" s="211"/>
      <c r="AA310" s="211"/>
      <c r="AB310" s="211">
        <f>G310*(W307)</f>
        <v>0</v>
      </c>
      <c r="AC310" s="211"/>
      <c r="AD310" s="211"/>
      <c r="AE310" s="211">
        <f>G310*(Z307)</f>
        <v>0</v>
      </c>
      <c r="AF310" s="211"/>
      <c r="AG310" s="211"/>
      <c r="AH310" s="211">
        <f>G310*(AC307)</f>
        <v>0</v>
      </c>
      <c r="AI310" s="211"/>
      <c r="AJ310" s="211"/>
      <c r="AK310" s="211">
        <f>G310*(AF307)</f>
        <v>0</v>
      </c>
      <c r="AL310" s="211"/>
      <c r="AM310" s="211"/>
      <c r="AN310" s="211">
        <f>G310*(AI307)</f>
        <v>0</v>
      </c>
    </row>
    <row r="311" spans="2:40 16380:16380" s="7" customFormat="1" ht="12" hidden="1" customHeight="1" outlineLevel="3">
      <c r="B311" s="245"/>
      <c r="C311" s="250" t="s">
        <v>756</v>
      </c>
      <c r="D311" s="250"/>
      <c r="E311" s="213"/>
      <c r="F311" s="213"/>
      <c r="G311" s="213"/>
      <c r="H311" s="211">
        <f>INDEX($C$199:$AN$221, MATCH("New Customers 3MS", $C$199:$C$221, 0), MATCH($C311, $C$199:$AN$199, 0))</f>
        <v>0</v>
      </c>
      <c r="I311" s="211"/>
      <c r="J311" s="211"/>
      <c r="K311" s="211">
        <f>H311*(E307)</f>
        <v>0</v>
      </c>
      <c r="L311" s="211"/>
      <c r="M311" s="211"/>
      <c r="N311" s="211">
        <f>H311*(H307)</f>
        <v>0</v>
      </c>
      <c r="O311" s="211"/>
      <c r="P311" s="211"/>
      <c r="Q311" s="211">
        <f>H311*(K307)</f>
        <v>0</v>
      </c>
      <c r="R311" s="211"/>
      <c r="S311" s="211"/>
      <c r="T311" s="211">
        <f>H311*(N307)</f>
        <v>0</v>
      </c>
      <c r="U311" s="211"/>
      <c r="V311" s="211"/>
      <c r="W311" s="211">
        <f>H311*(Q307)</f>
        <v>0</v>
      </c>
      <c r="X311" s="211"/>
      <c r="Y311" s="211"/>
      <c r="Z311" s="211">
        <f>H311*(T307)</f>
        <v>0</v>
      </c>
      <c r="AA311" s="211"/>
      <c r="AB311" s="211"/>
      <c r="AC311" s="211">
        <f>H311*(W307)</f>
        <v>0</v>
      </c>
      <c r="AD311" s="211"/>
      <c r="AE311" s="211"/>
      <c r="AF311" s="211">
        <f>H311*(Z307)</f>
        <v>0</v>
      </c>
      <c r="AG311" s="211"/>
      <c r="AH311" s="211"/>
      <c r="AI311" s="211">
        <f>H311*(AC307)</f>
        <v>0</v>
      </c>
      <c r="AJ311" s="211"/>
      <c r="AK311" s="211"/>
      <c r="AL311" s="211">
        <f>H311*(AF307)</f>
        <v>0</v>
      </c>
      <c r="AM311" s="211"/>
      <c r="AN311" s="211"/>
    </row>
    <row r="312" spans="2:40 16380:16380" s="7" customFormat="1" ht="12" hidden="1" customHeight="1" outlineLevel="3">
      <c r="B312" s="245"/>
      <c r="C312" s="250" t="s">
        <v>757</v>
      </c>
      <c r="D312" s="250"/>
      <c r="E312" s="213"/>
      <c r="F312" s="213"/>
      <c r="G312" s="213"/>
      <c r="H312" s="213"/>
      <c r="I312" s="211">
        <f>INDEX($C$199:$AN$221, MATCH("New Customers 3MS", $C$199:$C$221, 0), MATCH($C312, $C$199:$AN$199, 0))</f>
        <v>0</v>
      </c>
      <c r="J312" s="211"/>
      <c r="K312" s="211"/>
      <c r="L312" s="211">
        <f>I312*(E307)</f>
        <v>0</v>
      </c>
      <c r="M312" s="211"/>
      <c r="N312" s="211"/>
      <c r="O312" s="211">
        <f>I312*(H307)</f>
        <v>0</v>
      </c>
      <c r="P312" s="211"/>
      <c r="Q312" s="211"/>
      <c r="R312" s="211">
        <f>I312*(K307)</f>
        <v>0</v>
      </c>
      <c r="S312" s="211"/>
      <c r="T312" s="211"/>
      <c r="U312" s="211">
        <f>I312*(N307)</f>
        <v>0</v>
      </c>
      <c r="V312" s="211"/>
      <c r="W312" s="211"/>
      <c r="X312" s="211">
        <f>I312*(Q307)</f>
        <v>0</v>
      </c>
      <c r="Y312" s="211"/>
      <c r="Z312" s="211"/>
      <c r="AA312" s="211">
        <f>I312*(T307)</f>
        <v>0</v>
      </c>
      <c r="AB312" s="211"/>
      <c r="AC312" s="211"/>
      <c r="AD312" s="211">
        <f>I312*(W307)</f>
        <v>0</v>
      </c>
      <c r="AE312" s="211"/>
      <c r="AF312" s="211"/>
      <c r="AG312" s="211">
        <f>I312*(Z307)</f>
        <v>0</v>
      </c>
      <c r="AH312" s="211"/>
      <c r="AI312" s="211"/>
      <c r="AJ312" s="211">
        <f>I312*(AC307)</f>
        <v>0</v>
      </c>
      <c r="AK312" s="211"/>
      <c r="AL312" s="211"/>
      <c r="AM312" s="211">
        <f>I312*(AF307)</f>
        <v>0</v>
      </c>
      <c r="AN312" s="211"/>
    </row>
    <row r="313" spans="2:40 16380:16380" s="7" customFormat="1" ht="12" hidden="1" customHeight="1" outlineLevel="3">
      <c r="B313" s="245"/>
      <c r="C313" s="250" t="s">
        <v>758</v>
      </c>
      <c r="D313" s="250"/>
      <c r="E313" s="213"/>
      <c r="F313" s="213"/>
      <c r="G313" s="213"/>
      <c r="H313" s="213"/>
      <c r="I313" s="213"/>
      <c r="J313" s="211">
        <f>INDEX($C$199:$AN$221, MATCH("New Customers 3MS", $C$199:$C$221, 0), MATCH($C313, $C$199:$AN$199, 0))</f>
        <v>0</v>
      </c>
      <c r="K313" s="211"/>
      <c r="L313" s="211"/>
      <c r="M313" s="211">
        <f>J313*(E307)</f>
        <v>0</v>
      </c>
      <c r="N313" s="211"/>
      <c r="O313" s="211"/>
      <c r="P313" s="211">
        <f>J313*(H307)</f>
        <v>0</v>
      </c>
      <c r="Q313" s="211"/>
      <c r="R313" s="211"/>
      <c r="S313" s="211">
        <f>J313*(K307)</f>
        <v>0</v>
      </c>
      <c r="T313" s="211"/>
      <c r="U313" s="211"/>
      <c r="V313" s="211">
        <f>J313*(N307)</f>
        <v>0</v>
      </c>
      <c r="W313" s="211"/>
      <c r="X313" s="211"/>
      <c r="Y313" s="211">
        <f>J313*(Q307)</f>
        <v>0</v>
      </c>
      <c r="Z313" s="211"/>
      <c r="AA313" s="211"/>
      <c r="AB313" s="211">
        <f>J313*(T307)</f>
        <v>0</v>
      </c>
      <c r="AC313" s="211"/>
      <c r="AD313" s="211"/>
      <c r="AE313" s="211">
        <f>J313*(W307)</f>
        <v>0</v>
      </c>
      <c r="AF313" s="211"/>
      <c r="AG313" s="211"/>
      <c r="AH313" s="211">
        <f>J313*(Z307)</f>
        <v>0</v>
      </c>
      <c r="AI313" s="211"/>
      <c r="AJ313" s="211"/>
      <c r="AK313" s="211">
        <f>J313*(AC307)</f>
        <v>0</v>
      </c>
      <c r="AL313" s="211"/>
      <c r="AM313" s="211"/>
      <c r="AN313" s="211">
        <f>J313*(AF307)</f>
        <v>0</v>
      </c>
    </row>
    <row r="314" spans="2:40 16380:16380" s="7" customFormat="1" ht="12" hidden="1" customHeight="1" outlineLevel="3">
      <c r="B314" s="245"/>
      <c r="C314" s="250" t="s">
        <v>759</v>
      </c>
      <c r="D314" s="250"/>
      <c r="E314" s="213"/>
      <c r="F314" s="213"/>
      <c r="G314" s="213"/>
      <c r="H314" s="213"/>
      <c r="I314" s="213"/>
      <c r="J314" s="213"/>
      <c r="K314" s="211">
        <f>INDEX($C$199:$AN$221, MATCH("New Customers 3MS", $C$199:$C$221, 0), MATCH($C314, $C$199:$AN$199, 0))</f>
        <v>0</v>
      </c>
      <c r="L314" s="211"/>
      <c r="M314" s="211"/>
      <c r="N314" s="211">
        <f>K314*(E307)</f>
        <v>0</v>
      </c>
      <c r="O314" s="211"/>
      <c r="P314" s="211"/>
      <c r="Q314" s="211">
        <f>K314*(H307)</f>
        <v>0</v>
      </c>
      <c r="R314" s="211"/>
      <c r="S314" s="211"/>
      <c r="T314" s="211">
        <f>K314*(K307)</f>
        <v>0</v>
      </c>
      <c r="U314" s="211"/>
      <c r="V314" s="211"/>
      <c r="W314" s="211">
        <f>K314*(N307)</f>
        <v>0</v>
      </c>
      <c r="X314" s="211"/>
      <c r="Y314" s="211"/>
      <c r="Z314" s="211">
        <f>K314*(Q307)</f>
        <v>0</v>
      </c>
      <c r="AA314" s="211"/>
      <c r="AB314" s="211"/>
      <c r="AC314" s="211">
        <f>K314*(T307)</f>
        <v>0</v>
      </c>
      <c r="AD314" s="211"/>
      <c r="AE314" s="211"/>
      <c r="AF314" s="211">
        <f>K314*(W307)</f>
        <v>0</v>
      </c>
      <c r="AG314" s="211"/>
      <c r="AH314" s="211"/>
      <c r="AI314" s="211">
        <f>K314*(Z307)</f>
        <v>0</v>
      </c>
      <c r="AJ314" s="211"/>
      <c r="AK314" s="211"/>
      <c r="AL314" s="211">
        <f>K314*(AC307)</f>
        <v>0</v>
      </c>
      <c r="AM314" s="211"/>
      <c r="AN314" s="211"/>
      <c r="XEZ314" s="211"/>
    </row>
    <row r="315" spans="2:40 16380:16380" s="7" customFormat="1" ht="12" hidden="1" customHeight="1" outlineLevel="3">
      <c r="B315" s="245"/>
      <c r="C315" s="250" t="s">
        <v>760</v>
      </c>
      <c r="D315" s="250"/>
      <c r="E315" s="213"/>
      <c r="F315" s="213"/>
      <c r="G315" s="213"/>
      <c r="H315" s="213"/>
      <c r="I315" s="213"/>
      <c r="J315" s="213"/>
      <c r="K315" s="213"/>
      <c r="L315" s="211">
        <f>INDEX($C$199:$AN$221, MATCH("New Customers 3MS", $C$199:$C$221, 0), MATCH($C315, $C$199:$AN$199, 0))</f>
        <v>0</v>
      </c>
      <c r="M315" s="211"/>
      <c r="N315" s="211"/>
      <c r="O315" s="211">
        <f>L315*(E307)</f>
        <v>0</v>
      </c>
      <c r="P315" s="211"/>
      <c r="Q315" s="211"/>
      <c r="R315" s="211">
        <f>L315*(H307)</f>
        <v>0</v>
      </c>
      <c r="S315" s="211"/>
      <c r="T315" s="211"/>
      <c r="U315" s="211">
        <f>L315*(K307)</f>
        <v>0</v>
      </c>
      <c r="V315" s="211"/>
      <c r="W315" s="211"/>
      <c r="X315" s="211">
        <f>L315*(N307)</f>
        <v>0</v>
      </c>
      <c r="Y315" s="211"/>
      <c r="Z315" s="211"/>
      <c r="AA315" s="211">
        <f>L315*(Q307)</f>
        <v>0</v>
      </c>
      <c r="AB315" s="211"/>
      <c r="AC315" s="211"/>
      <c r="AD315" s="211">
        <f>L315*(T307)</f>
        <v>0</v>
      </c>
      <c r="AE315" s="211"/>
      <c r="AF315" s="211"/>
      <c r="AG315" s="211">
        <f>L315*(W307)</f>
        <v>0</v>
      </c>
      <c r="AH315" s="211"/>
      <c r="AI315" s="211"/>
      <c r="AJ315" s="211">
        <f>L315*(Z307)</f>
        <v>0</v>
      </c>
      <c r="AK315" s="211"/>
      <c r="AL315" s="211"/>
      <c r="AM315" s="211">
        <f>L315*(AC307)</f>
        <v>0</v>
      </c>
      <c r="AN315" s="211"/>
      <c r="XEZ315" s="211"/>
    </row>
    <row r="316" spans="2:40 16380:16380" s="7" customFormat="1" ht="12" hidden="1" customHeight="1" outlineLevel="3">
      <c r="B316" s="245"/>
      <c r="C316" s="250" t="s">
        <v>761</v>
      </c>
      <c r="D316" s="250"/>
      <c r="E316" s="213"/>
      <c r="F316" s="213"/>
      <c r="G316" s="213"/>
      <c r="H316" s="213"/>
      <c r="I316" s="213"/>
      <c r="J316" s="213"/>
      <c r="K316" s="213"/>
      <c r="L316" s="213"/>
      <c r="M316" s="211">
        <f>INDEX($C$199:$AN$221, MATCH("New Customers 3MS", $C$199:$C$221, 0), MATCH($C316, $C$199:$AN$199, 0))</f>
        <v>0</v>
      </c>
      <c r="N316" s="211"/>
      <c r="O316" s="211"/>
      <c r="P316" s="211">
        <f>M316*(E307)</f>
        <v>0</v>
      </c>
      <c r="Q316" s="211"/>
      <c r="R316" s="211"/>
      <c r="S316" s="211">
        <f>M316*(H307)</f>
        <v>0</v>
      </c>
      <c r="T316" s="211"/>
      <c r="U316" s="211"/>
      <c r="V316" s="211">
        <f>M316*(K307)</f>
        <v>0</v>
      </c>
      <c r="W316" s="211"/>
      <c r="X316" s="211"/>
      <c r="Y316" s="211">
        <f>M316*(N307)</f>
        <v>0</v>
      </c>
      <c r="Z316" s="211"/>
      <c r="AA316" s="211"/>
      <c r="AB316" s="211">
        <f>M316*(Q307)</f>
        <v>0</v>
      </c>
      <c r="AC316" s="211"/>
      <c r="AD316" s="211"/>
      <c r="AE316" s="211">
        <f>M316*(T307)</f>
        <v>0</v>
      </c>
      <c r="AF316" s="211"/>
      <c r="AG316" s="211"/>
      <c r="AH316" s="211">
        <f>M316*(W307)</f>
        <v>0</v>
      </c>
      <c r="AI316" s="211"/>
      <c r="AJ316" s="211"/>
      <c r="AK316" s="211">
        <f>M316*(Z307)</f>
        <v>0</v>
      </c>
      <c r="AL316" s="211"/>
      <c r="AM316" s="211"/>
      <c r="AN316" s="211">
        <f>M316*(AC307)</f>
        <v>0</v>
      </c>
    </row>
    <row r="317" spans="2:40 16380:16380" s="7" customFormat="1" ht="12" hidden="1" customHeight="1" outlineLevel="3">
      <c r="B317" s="245"/>
      <c r="C317" s="250" t="s">
        <v>762</v>
      </c>
      <c r="D317" s="250"/>
      <c r="E317" s="213"/>
      <c r="F317" s="213"/>
      <c r="G317" s="213"/>
      <c r="H317" s="213"/>
      <c r="I317" s="213"/>
      <c r="J317" s="213"/>
      <c r="K317" s="213"/>
      <c r="L317" s="213"/>
      <c r="M317" s="213"/>
      <c r="N317" s="211">
        <f>INDEX($C$199:$AN$221, MATCH("New Customers 3MS", $C$199:$C$221, 0), MATCH($C317, $C$199:$AN$199, 0))</f>
        <v>0</v>
      </c>
      <c r="O317" s="211"/>
      <c r="P317" s="211"/>
      <c r="Q317" s="211">
        <f>N317*(E307)</f>
        <v>0</v>
      </c>
      <c r="R317" s="211"/>
      <c r="S317" s="211"/>
      <c r="T317" s="211">
        <f>N317*(H307)</f>
        <v>0</v>
      </c>
      <c r="U317" s="211"/>
      <c r="V317" s="211"/>
      <c r="W317" s="211">
        <f>N317*(K307)</f>
        <v>0</v>
      </c>
      <c r="X317" s="211"/>
      <c r="Y317" s="211"/>
      <c r="Z317" s="211">
        <f>N317*(N307)</f>
        <v>0</v>
      </c>
      <c r="AA317" s="211"/>
      <c r="AB317" s="211"/>
      <c r="AC317" s="211">
        <f>N317*(Q307)</f>
        <v>0</v>
      </c>
      <c r="AD317" s="211"/>
      <c r="AE317" s="211"/>
      <c r="AF317" s="211">
        <f>N317*(T307)</f>
        <v>0</v>
      </c>
      <c r="AG317" s="211"/>
      <c r="AH317" s="211"/>
      <c r="AI317" s="211">
        <f>N317*(W307)</f>
        <v>0</v>
      </c>
      <c r="AJ317" s="211"/>
      <c r="AK317" s="211"/>
      <c r="AL317" s="211">
        <f>N317*(Z307)</f>
        <v>0</v>
      </c>
      <c r="AM317" s="211"/>
      <c r="AN317" s="211"/>
      <c r="XEZ317" s="211"/>
    </row>
    <row r="318" spans="2:40 16380:16380" s="7" customFormat="1" ht="12" hidden="1" customHeight="1" outlineLevel="3">
      <c r="B318" s="245"/>
      <c r="C318" s="250" t="s">
        <v>763</v>
      </c>
      <c r="D318" s="250"/>
      <c r="E318" s="213"/>
      <c r="F318" s="213"/>
      <c r="G318" s="213"/>
      <c r="H318" s="213"/>
      <c r="I318" s="213"/>
      <c r="J318" s="213"/>
      <c r="K318" s="213"/>
      <c r="L318" s="213"/>
      <c r="M318" s="213"/>
      <c r="N318" s="213"/>
      <c r="O318" s="211">
        <f>INDEX($C$199:$AN$221, MATCH("New Customers 3MS", $C$199:$C$221, 0), MATCH($C318, $C$199:$AN$199, 0))</f>
        <v>0</v>
      </c>
      <c r="P318" s="211"/>
      <c r="Q318" s="211"/>
      <c r="R318" s="211">
        <f>O318*(E307)</f>
        <v>0</v>
      </c>
      <c r="S318" s="211"/>
      <c r="T318" s="211"/>
      <c r="U318" s="211">
        <f>O318*(H307)</f>
        <v>0</v>
      </c>
      <c r="V318" s="211"/>
      <c r="W318" s="211"/>
      <c r="X318" s="211">
        <f>O318*(K307)</f>
        <v>0</v>
      </c>
      <c r="Y318" s="211"/>
      <c r="Z318" s="211"/>
      <c r="AA318" s="211">
        <f>O318*(N307)</f>
        <v>0</v>
      </c>
      <c r="AB318" s="211"/>
      <c r="AC318" s="211"/>
      <c r="AD318" s="211">
        <f>O318*(Q307)</f>
        <v>0</v>
      </c>
      <c r="AE318" s="211"/>
      <c r="AF318" s="211"/>
      <c r="AG318" s="211">
        <f>O318*(T307)</f>
        <v>0</v>
      </c>
      <c r="AH318" s="211"/>
      <c r="AI318" s="211"/>
      <c r="AJ318" s="211">
        <f>O318*(W307)</f>
        <v>0</v>
      </c>
      <c r="AK318" s="211"/>
      <c r="AL318" s="211"/>
      <c r="AM318" s="211">
        <f>O318*(Z307)</f>
        <v>0</v>
      </c>
      <c r="AN318" s="211"/>
    </row>
    <row r="319" spans="2:40 16380:16380" s="7" customFormat="1" ht="12" hidden="1" customHeight="1" outlineLevel="3">
      <c r="B319" s="245"/>
      <c r="C319" s="250" t="s">
        <v>764</v>
      </c>
      <c r="D319" s="250"/>
      <c r="E319" s="213"/>
      <c r="F319" s="213"/>
      <c r="G319" s="213"/>
      <c r="H319" s="213"/>
      <c r="I319" s="213"/>
      <c r="J319" s="213"/>
      <c r="K319" s="213"/>
      <c r="L319" s="213"/>
      <c r="M319" s="213"/>
      <c r="N319" s="213"/>
      <c r="O319" s="213"/>
      <c r="P319" s="211">
        <f>INDEX($C$199:$AN$221, MATCH("New Customers 3MS", $C$199:$C$221, 0), MATCH($C319, $C$199:$AN$199, 0))</f>
        <v>0</v>
      </c>
      <c r="Q319" s="211"/>
      <c r="R319" s="211"/>
      <c r="S319" s="211">
        <f>P319*(E307)</f>
        <v>0</v>
      </c>
      <c r="T319" s="211"/>
      <c r="U319" s="211"/>
      <c r="V319" s="211">
        <f>P319*(H307)</f>
        <v>0</v>
      </c>
      <c r="W319" s="211"/>
      <c r="X319" s="211"/>
      <c r="Y319" s="211">
        <f>P319*(K307)</f>
        <v>0</v>
      </c>
      <c r="Z319" s="211"/>
      <c r="AA319" s="211"/>
      <c r="AB319" s="211">
        <f>P319*(N307)</f>
        <v>0</v>
      </c>
      <c r="AC319" s="211"/>
      <c r="AD319" s="211"/>
      <c r="AE319" s="211">
        <f>P319*(Q307)</f>
        <v>0</v>
      </c>
      <c r="AF319" s="211"/>
      <c r="AG319" s="211"/>
      <c r="AH319" s="211">
        <f>P319*(T307)</f>
        <v>0</v>
      </c>
      <c r="AI319" s="211"/>
      <c r="AJ319" s="211"/>
      <c r="AK319" s="211">
        <f>P319*(W307)</f>
        <v>0</v>
      </c>
      <c r="AL319" s="211"/>
      <c r="AM319" s="211"/>
      <c r="AN319" s="211">
        <f>P319*(Z307)</f>
        <v>0</v>
      </c>
    </row>
    <row r="320" spans="2:40 16380:16380" s="7" customFormat="1" ht="12" hidden="1" customHeight="1" outlineLevel="3">
      <c r="B320" s="245"/>
      <c r="C320" s="250" t="s">
        <v>765</v>
      </c>
      <c r="D320" s="250"/>
      <c r="E320" s="213"/>
      <c r="F320" s="213"/>
      <c r="G320" s="213"/>
      <c r="H320" s="213"/>
      <c r="I320" s="213"/>
      <c r="J320" s="213"/>
      <c r="K320" s="213"/>
      <c r="L320" s="213"/>
      <c r="M320" s="213"/>
      <c r="N320" s="213"/>
      <c r="O320" s="213"/>
      <c r="P320" s="213"/>
      <c r="Q320" s="211">
        <f>INDEX($C$199:$AN$221, MATCH("New Customers 3MS", $C$199:$C$221, 0), MATCH($C320, $C$199:$AN$199, 0))</f>
        <v>0</v>
      </c>
      <c r="R320" s="211"/>
      <c r="S320" s="211"/>
      <c r="T320" s="211">
        <f>Q320*(E307)</f>
        <v>0</v>
      </c>
      <c r="U320" s="211"/>
      <c r="V320" s="211"/>
      <c r="W320" s="211">
        <f>Q320*(H307)</f>
        <v>0</v>
      </c>
      <c r="X320" s="211"/>
      <c r="Y320" s="211"/>
      <c r="Z320" s="211">
        <f>Q320*(K307)</f>
        <v>0</v>
      </c>
      <c r="AA320" s="211"/>
      <c r="AB320" s="211"/>
      <c r="AC320" s="211">
        <f>Q320*(N307)</f>
        <v>0</v>
      </c>
      <c r="AD320" s="211"/>
      <c r="AE320" s="211"/>
      <c r="AF320" s="211">
        <f>Q320*(Q307)</f>
        <v>0</v>
      </c>
      <c r="AG320" s="211"/>
      <c r="AH320" s="211"/>
      <c r="AI320" s="211">
        <f>Q320*(T307)</f>
        <v>0</v>
      </c>
      <c r="AJ320" s="211"/>
      <c r="AK320" s="211"/>
      <c r="AL320" s="211">
        <f>Q320*(W307)</f>
        <v>0</v>
      </c>
      <c r="AM320" s="211"/>
      <c r="AN320" s="211"/>
    </row>
    <row r="321" spans="2:40 16380:16380" s="7" customFormat="1" ht="12" hidden="1" customHeight="1" outlineLevel="3">
      <c r="B321" s="245"/>
      <c r="C321" s="250" t="s">
        <v>766</v>
      </c>
      <c r="D321" s="250"/>
      <c r="E321" s="213"/>
      <c r="F321" s="213"/>
      <c r="G321" s="213"/>
      <c r="H321" s="213"/>
      <c r="I321" s="213"/>
      <c r="J321" s="213"/>
      <c r="K321" s="213"/>
      <c r="L321" s="213"/>
      <c r="M321" s="213"/>
      <c r="N321" s="213"/>
      <c r="O321" s="213"/>
      <c r="P321" s="213"/>
      <c r="Q321" s="213"/>
      <c r="R321" s="211">
        <f>INDEX($C$199:$AN$221, MATCH("New Customers 3MS", $C$199:$C$221, 0), MATCH($C321, $C$199:$AN$199, 0))</f>
        <v>0</v>
      </c>
      <c r="S321" s="211"/>
      <c r="T321" s="211"/>
      <c r="U321" s="211">
        <f>R321*(E307)</f>
        <v>0</v>
      </c>
      <c r="V321" s="211"/>
      <c r="W321" s="211"/>
      <c r="X321" s="211">
        <f>R321*(H307)</f>
        <v>0</v>
      </c>
      <c r="Y321" s="211"/>
      <c r="Z321" s="211"/>
      <c r="AA321" s="211">
        <f>R321*(K307)</f>
        <v>0</v>
      </c>
      <c r="AB321" s="211"/>
      <c r="AC321" s="211"/>
      <c r="AD321" s="211">
        <f>R321*(N307)</f>
        <v>0</v>
      </c>
      <c r="AE321" s="211"/>
      <c r="AF321" s="211"/>
      <c r="AG321" s="211">
        <f>R321*(Q307)</f>
        <v>0</v>
      </c>
      <c r="AH321" s="211"/>
      <c r="AI321" s="211"/>
      <c r="AJ321" s="211">
        <f>R321*(T307)</f>
        <v>0</v>
      </c>
      <c r="AK321" s="211"/>
      <c r="AL321" s="211"/>
      <c r="AM321" s="211">
        <f>R321*(W307)</f>
        <v>0</v>
      </c>
      <c r="AN321" s="211"/>
      <c r="XEZ321" s="211"/>
    </row>
    <row r="322" spans="2:40 16380:16380" s="7" customFormat="1" ht="12" hidden="1" customHeight="1" outlineLevel="3">
      <c r="B322" s="245"/>
      <c r="C322" s="250" t="s">
        <v>767</v>
      </c>
      <c r="D322" s="250"/>
      <c r="E322" s="213"/>
      <c r="F322" s="213"/>
      <c r="G322" s="213"/>
      <c r="H322" s="213"/>
      <c r="I322" s="213"/>
      <c r="J322" s="213"/>
      <c r="K322" s="213"/>
      <c r="L322" s="213"/>
      <c r="M322" s="213"/>
      <c r="N322" s="213"/>
      <c r="O322" s="213"/>
      <c r="P322" s="213"/>
      <c r="Q322" s="213"/>
      <c r="R322" s="213"/>
      <c r="S322" s="211">
        <f>INDEX($C$199:$AN$221, MATCH("New Customers 3MS", $C$199:$C$221, 0), MATCH($C322, $C$199:$AN$199, 0))</f>
        <v>0</v>
      </c>
      <c r="T322" s="211"/>
      <c r="U322" s="211"/>
      <c r="V322" s="211">
        <f>S322*(E307)</f>
        <v>0</v>
      </c>
      <c r="W322" s="211"/>
      <c r="X322" s="211"/>
      <c r="Y322" s="211">
        <f>S322*(H307)</f>
        <v>0</v>
      </c>
      <c r="Z322" s="211"/>
      <c r="AA322" s="211"/>
      <c r="AB322" s="211">
        <f>S322*(K307)</f>
        <v>0</v>
      </c>
      <c r="AC322" s="211"/>
      <c r="AD322" s="211"/>
      <c r="AE322" s="211">
        <f>S322*(N307)</f>
        <v>0</v>
      </c>
      <c r="AF322" s="211"/>
      <c r="AG322" s="211"/>
      <c r="AH322" s="211">
        <f>S322*(Q307)</f>
        <v>0</v>
      </c>
      <c r="AI322" s="211"/>
      <c r="AJ322" s="211"/>
      <c r="AK322" s="211">
        <f>S322*(T307)</f>
        <v>0</v>
      </c>
      <c r="AL322" s="211"/>
      <c r="AM322" s="211"/>
      <c r="AN322" s="211">
        <f>S322*(W307)</f>
        <v>0</v>
      </c>
    </row>
    <row r="323" spans="2:40 16380:16380" s="7" customFormat="1" ht="12" hidden="1" customHeight="1" outlineLevel="3">
      <c r="B323" s="245"/>
      <c r="C323" s="250" t="s">
        <v>768</v>
      </c>
      <c r="D323" s="250"/>
      <c r="E323" s="213"/>
      <c r="F323" s="213"/>
      <c r="G323" s="213"/>
      <c r="H323" s="213"/>
      <c r="I323" s="213"/>
      <c r="J323" s="213"/>
      <c r="K323" s="213"/>
      <c r="L323" s="213"/>
      <c r="M323" s="213"/>
      <c r="N323" s="213"/>
      <c r="O323" s="213"/>
      <c r="P323" s="213"/>
      <c r="Q323" s="213"/>
      <c r="R323" s="213"/>
      <c r="S323" s="213"/>
      <c r="T323" s="211">
        <f>INDEX($C$199:$AN$221, MATCH("New Customers 3MS", $C$199:$C$221, 0), MATCH($C323, $C$199:$AN$199, 0))</f>
        <v>0</v>
      </c>
      <c r="U323" s="211"/>
      <c r="V323" s="211"/>
      <c r="W323" s="211">
        <f>T323*(E307)</f>
        <v>0</v>
      </c>
      <c r="X323" s="211"/>
      <c r="Y323" s="211"/>
      <c r="Z323" s="211">
        <f>T323*(H307)</f>
        <v>0</v>
      </c>
      <c r="AA323" s="211"/>
      <c r="AB323" s="211"/>
      <c r="AC323" s="211">
        <f>T323*(K307)</f>
        <v>0</v>
      </c>
      <c r="AD323" s="211"/>
      <c r="AE323" s="211"/>
      <c r="AF323" s="211">
        <f>T323*(N307)</f>
        <v>0</v>
      </c>
      <c r="AG323" s="211"/>
      <c r="AH323" s="211"/>
      <c r="AI323" s="211">
        <f>T323*(Q307)</f>
        <v>0</v>
      </c>
      <c r="AJ323" s="211"/>
      <c r="AK323" s="211"/>
      <c r="AL323" s="211">
        <f>T323*(T307)</f>
        <v>0</v>
      </c>
      <c r="AM323" s="211"/>
      <c r="AN323" s="211"/>
    </row>
    <row r="324" spans="2:40 16380:16380" s="7" customFormat="1" ht="12" hidden="1" customHeight="1" outlineLevel="3">
      <c r="B324" s="245"/>
      <c r="C324" s="250" t="s">
        <v>769</v>
      </c>
      <c r="D324" s="250"/>
      <c r="E324" s="213"/>
      <c r="F324" s="213"/>
      <c r="G324" s="213"/>
      <c r="H324" s="213"/>
      <c r="I324" s="213"/>
      <c r="J324" s="213"/>
      <c r="K324" s="213"/>
      <c r="L324" s="213"/>
      <c r="M324" s="213"/>
      <c r="N324" s="213"/>
      <c r="O324" s="213"/>
      <c r="P324" s="213"/>
      <c r="Q324" s="213"/>
      <c r="R324" s="213"/>
      <c r="S324" s="213"/>
      <c r="T324" s="213"/>
      <c r="U324" s="211">
        <f>INDEX($C$199:$AN$221, MATCH("New Customers 3MS", $C$199:$C$221, 0), MATCH($C324, $C$199:$AN$199, 0))</f>
        <v>0</v>
      </c>
      <c r="V324" s="211"/>
      <c r="W324" s="211"/>
      <c r="X324" s="211">
        <f>U324*(E307)</f>
        <v>0</v>
      </c>
      <c r="Y324" s="211"/>
      <c r="Z324" s="211"/>
      <c r="AA324" s="211">
        <f>U324*(H307)</f>
        <v>0</v>
      </c>
      <c r="AB324" s="211"/>
      <c r="AC324" s="211"/>
      <c r="AD324" s="211">
        <f>U324*(K307)</f>
        <v>0</v>
      </c>
      <c r="AE324" s="211"/>
      <c r="AF324" s="211"/>
      <c r="AG324" s="211">
        <f>U324*(N307)</f>
        <v>0</v>
      </c>
      <c r="AH324" s="211"/>
      <c r="AI324" s="211"/>
      <c r="AJ324" s="211">
        <f>U324*(Q307)</f>
        <v>0</v>
      </c>
      <c r="AK324" s="211"/>
      <c r="AL324" s="211"/>
      <c r="AM324" s="211">
        <f>U324*(T307)</f>
        <v>0</v>
      </c>
      <c r="AN324" s="211"/>
    </row>
    <row r="325" spans="2:40 16380:16380" s="7" customFormat="1" ht="12" hidden="1" customHeight="1" outlineLevel="3">
      <c r="B325" s="245"/>
      <c r="C325" s="250" t="s">
        <v>770</v>
      </c>
      <c r="D325" s="250"/>
      <c r="E325" s="213"/>
      <c r="F325" s="213"/>
      <c r="G325" s="213"/>
      <c r="H325" s="213"/>
      <c r="I325" s="213"/>
      <c r="J325" s="213"/>
      <c r="K325" s="213"/>
      <c r="L325" s="213"/>
      <c r="M325" s="213"/>
      <c r="N325" s="213"/>
      <c r="O325" s="213"/>
      <c r="P325" s="213"/>
      <c r="Q325" s="213"/>
      <c r="R325" s="213"/>
      <c r="S325" s="213"/>
      <c r="T325" s="213"/>
      <c r="U325" s="213"/>
      <c r="V325" s="211">
        <f>INDEX($C$199:$AN$221, MATCH("New Customers 3MS", $C$199:$C$221, 0), MATCH($C325, $C$199:$AN$199, 0))</f>
        <v>0</v>
      </c>
      <c r="W325" s="211"/>
      <c r="X325" s="211"/>
      <c r="Y325" s="211">
        <f>V325*(E307)</f>
        <v>0</v>
      </c>
      <c r="Z325" s="211"/>
      <c r="AA325" s="211"/>
      <c r="AB325" s="211">
        <f>V325*(H307)</f>
        <v>0</v>
      </c>
      <c r="AC325" s="211"/>
      <c r="AD325" s="211"/>
      <c r="AE325" s="211">
        <f>V325*(K307)</f>
        <v>0</v>
      </c>
      <c r="AF325" s="211"/>
      <c r="AG325" s="211"/>
      <c r="AH325" s="211">
        <f>V325*(N307)</f>
        <v>0</v>
      </c>
      <c r="AI325" s="211"/>
      <c r="AJ325" s="211"/>
      <c r="AK325" s="211">
        <f>V325*(Q307)</f>
        <v>0</v>
      </c>
      <c r="AL325" s="211"/>
      <c r="AM325" s="211"/>
      <c r="AN325" s="211">
        <f>V325*(T307)</f>
        <v>0</v>
      </c>
    </row>
    <row r="326" spans="2:40 16380:16380" s="7" customFormat="1" ht="12" hidden="1" customHeight="1" outlineLevel="3">
      <c r="B326" s="245"/>
      <c r="C326" s="250" t="s">
        <v>771</v>
      </c>
      <c r="D326" s="250"/>
      <c r="E326" s="213"/>
      <c r="F326" s="213"/>
      <c r="G326" s="213"/>
      <c r="H326" s="213"/>
      <c r="I326" s="213"/>
      <c r="J326" s="213"/>
      <c r="K326" s="213"/>
      <c r="L326" s="213"/>
      <c r="M326" s="213"/>
      <c r="N326" s="213"/>
      <c r="O326" s="213"/>
      <c r="P326" s="213"/>
      <c r="Q326" s="213"/>
      <c r="R326" s="213"/>
      <c r="S326" s="213"/>
      <c r="T326" s="213"/>
      <c r="U326" s="213"/>
      <c r="V326" s="213"/>
      <c r="W326" s="211">
        <f>INDEX($C$199:$AN$221, MATCH("New Customers 3MS", $C$199:$C$221, 0), MATCH($C326, $C$199:$AN$199, 0))</f>
        <v>0</v>
      </c>
      <c r="X326" s="211"/>
      <c r="Y326" s="211"/>
      <c r="Z326" s="211">
        <f>W326*(E307)</f>
        <v>0</v>
      </c>
      <c r="AA326" s="211"/>
      <c r="AB326" s="211"/>
      <c r="AC326" s="211">
        <f>W326*(H307)</f>
        <v>0</v>
      </c>
      <c r="AD326" s="211"/>
      <c r="AE326" s="211"/>
      <c r="AF326" s="211">
        <f>W326*(K307)</f>
        <v>0</v>
      </c>
      <c r="AG326" s="211"/>
      <c r="AH326" s="211"/>
      <c r="AI326" s="211">
        <f>W326*(N307)</f>
        <v>0</v>
      </c>
      <c r="AJ326" s="211"/>
      <c r="AK326" s="211"/>
      <c r="AL326" s="211">
        <f>W326*(Q307)</f>
        <v>0</v>
      </c>
      <c r="AM326" s="211"/>
      <c r="AN326" s="211"/>
    </row>
    <row r="327" spans="2:40 16380:16380" s="7" customFormat="1" ht="12" hidden="1" customHeight="1" outlineLevel="3">
      <c r="B327" s="245"/>
      <c r="C327" s="250" t="s">
        <v>772</v>
      </c>
      <c r="D327" s="250"/>
      <c r="E327" s="213"/>
      <c r="F327" s="213"/>
      <c r="G327" s="213"/>
      <c r="H327" s="213"/>
      <c r="I327" s="213"/>
      <c r="J327" s="213"/>
      <c r="K327" s="213"/>
      <c r="L327" s="213"/>
      <c r="M327" s="213"/>
      <c r="N327" s="213"/>
      <c r="O327" s="213"/>
      <c r="P327" s="213"/>
      <c r="Q327" s="213"/>
      <c r="R327" s="213"/>
      <c r="S327" s="213"/>
      <c r="T327" s="213"/>
      <c r="U327" s="213"/>
      <c r="V327" s="213"/>
      <c r="W327" s="213"/>
      <c r="X327" s="211">
        <f>INDEX($C$199:$AN$221, MATCH("New Customers 3MS", $C$199:$C$221, 0), MATCH($C327, $C$199:$AN$199, 0))</f>
        <v>0</v>
      </c>
      <c r="Y327" s="211"/>
      <c r="Z327" s="211"/>
      <c r="AA327" s="211">
        <f>X327*(E307)</f>
        <v>0</v>
      </c>
      <c r="AB327" s="211"/>
      <c r="AC327" s="211"/>
      <c r="AD327" s="211">
        <f>X327*(H307)</f>
        <v>0</v>
      </c>
      <c r="AE327" s="211"/>
      <c r="AF327" s="211"/>
      <c r="AG327" s="211">
        <f>X327*(K307)</f>
        <v>0</v>
      </c>
      <c r="AH327" s="211"/>
      <c r="AI327" s="211"/>
      <c r="AJ327" s="211">
        <f>X327*(N307)</f>
        <v>0</v>
      </c>
      <c r="AK327" s="211"/>
      <c r="AL327" s="211"/>
      <c r="AM327" s="211">
        <f>X327*(Q307)</f>
        <v>0</v>
      </c>
      <c r="AN327" s="211"/>
    </row>
    <row r="328" spans="2:40 16380:16380" s="7" customFormat="1" ht="12" hidden="1" customHeight="1" outlineLevel="3">
      <c r="B328" s="245"/>
      <c r="C328" s="250" t="s">
        <v>773</v>
      </c>
      <c r="D328" s="250"/>
      <c r="E328" s="213"/>
      <c r="F328" s="213"/>
      <c r="G328" s="213"/>
      <c r="H328" s="213"/>
      <c r="I328" s="213"/>
      <c r="J328" s="213"/>
      <c r="K328" s="213"/>
      <c r="L328" s="213"/>
      <c r="M328" s="213"/>
      <c r="N328" s="213"/>
      <c r="O328" s="213"/>
      <c r="P328" s="213"/>
      <c r="Q328" s="213"/>
      <c r="R328" s="213"/>
      <c r="S328" s="213"/>
      <c r="T328" s="213"/>
      <c r="U328" s="213"/>
      <c r="V328" s="213"/>
      <c r="W328" s="213"/>
      <c r="X328" s="213"/>
      <c r="Y328" s="211">
        <f>INDEX($C$199:$AN$221, MATCH("New Customers 3MS", $C$199:$C$221, 0), MATCH($C328, $C$199:$AN$199, 0))</f>
        <v>0</v>
      </c>
      <c r="Z328" s="211"/>
      <c r="AA328" s="211"/>
      <c r="AB328" s="211">
        <f>Y328*(E307)</f>
        <v>0</v>
      </c>
      <c r="AC328" s="211"/>
      <c r="AD328" s="211"/>
      <c r="AE328" s="211">
        <f>Y328*(H307)</f>
        <v>0</v>
      </c>
      <c r="AF328" s="211"/>
      <c r="AG328" s="211"/>
      <c r="AH328" s="211">
        <f>Y328*(K307)</f>
        <v>0</v>
      </c>
      <c r="AI328" s="211"/>
      <c r="AJ328" s="211"/>
      <c r="AK328" s="211">
        <f>Y328*(N307)</f>
        <v>0</v>
      </c>
      <c r="AL328" s="211"/>
      <c r="AM328" s="211"/>
      <c r="AN328" s="211">
        <f>Y328*(Q307)</f>
        <v>0</v>
      </c>
    </row>
    <row r="329" spans="2:40 16380:16380" s="7" customFormat="1" ht="12" hidden="1" customHeight="1" outlineLevel="3">
      <c r="B329" s="245"/>
      <c r="C329" s="250" t="s">
        <v>774</v>
      </c>
      <c r="D329" s="250"/>
      <c r="E329" s="213"/>
      <c r="F329" s="213"/>
      <c r="G329" s="213"/>
      <c r="H329" s="213"/>
      <c r="I329" s="213"/>
      <c r="J329" s="213"/>
      <c r="K329" s="213"/>
      <c r="L329" s="213"/>
      <c r="M329" s="213"/>
      <c r="N329" s="213"/>
      <c r="O329" s="213"/>
      <c r="P329" s="213"/>
      <c r="Q329" s="213"/>
      <c r="R329" s="213"/>
      <c r="S329" s="213"/>
      <c r="T329" s="213"/>
      <c r="U329" s="213"/>
      <c r="V329" s="213"/>
      <c r="W329" s="213"/>
      <c r="X329" s="213"/>
      <c r="Y329" s="213"/>
      <c r="Z329" s="211">
        <f>INDEX($C$199:$AN$221, MATCH("New Customers 3MS", $C$199:$C$221, 0), MATCH($C329, $C$199:$AN$199, 0))</f>
        <v>0</v>
      </c>
      <c r="AA329" s="211"/>
      <c r="AB329" s="211"/>
      <c r="AC329" s="211">
        <f>Z329*(E307)</f>
        <v>0</v>
      </c>
      <c r="AD329" s="211"/>
      <c r="AE329" s="211"/>
      <c r="AF329" s="211">
        <f>Z329*(H307)</f>
        <v>0</v>
      </c>
      <c r="AG329" s="211"/>
      <c r="AH329" s="211"/>
      <c r="AI329" s="211">
        <f>Z329*(K307)</f>
        <v>0</v>
      </c>
      <c r="AJ329" s="211"/>
      <c r="AK329" s="211"/>
      <c r="AL329" s="211">
        <f>Z329*(N307)</f>
        <v>0</v>
      </c>
      <c r="AM329" s="211"/>
      <c r="AN329" s="211"/>
    </row>
    <row r="330" spans="2:40 16380:16380" s="7" customFormat="1" ht="12" hidden="1" customHeight="1" outlineLevel="3">
      <c r="B330" s="245"/>
      <c r="C330" s="250" t="s">
        <v>775</v>
      </c>
      <c r="D330" s="250"/>
      <c r="E330" s="213"/>
      <c r="F330" s="213"/>
      <c r="G330" s="213"/>
      <c r="H330" s="213"/>
      <c r="I330" s="213"/>
      <c r="J330" s="213"/>
      <c r="K330" s="213"/>
      <c r="L330" s="213"/>
      <c r="M330" s="213"/>
      <c r="N330" s="213"/>
      <c r="O330" s="213"/>
      <c r="P330" s="213"/>
      <c r="Q330" s="213"/>
      <c r="R330" s="213"/>
      <c r="S330" s="213"/>
      <c r="T330" s="213"/>
      <c r="U330" s="213"/>
      <c r="V330" s="213"/>
      <c r="W330" s="213"/>
      <c r="X330" s="213"/>
      <c r="Y330" s="213"/>
      <c r="Z330" s="213"/>
      <c r="AA330" s="211">
        <f>INDEX($C$199:$AN$221, MATCH("New Customers 3MS", $C$199:$C$221, 0), MATCH($C330, $C$199:$AN$199, 0))</f>
        <v>0</v>
      </c>
      <c r="AB330" s="211"/>
      <c r="AC330" s="211"/>
      <c r="AD330" s="211">
        <f>AA330*(E307)</f>
        <v>0</v>
      </c>
      <c r="AE330" s="211"/>
      <c r="AF330" s="211"/>
      <c r="AG330" s="211">
        <f>AA330*(H307)</f>
        <v>0</v>
      </c>
      <c r="AH330" s="211"/>
      <c r="AI330" s="211"/>
      <c r="AJ330" s="211">
        <f>AA330*(K307)</f>
        <v>0</v>
      </c>
      <c r="AK330" s="211"/>
      <c r="AL330" s="211"/>
      <c r="AM330" s="211">
        <f>AA330*(N307)</f>
        <v>0</v>
      </c>
      <c r="AN330" s="211"/>
    </row>
    <row r="331" spans="2:40 16380:16380" s="7" customFormat="1" ht="12" hidden="1" customHeight="1" outlineLevel="3">
      <c r="B331" s="245"/>
      <c r="C331" s="250" t="s">
        <v>776</v>
      </c>
      <c r="D331" s="250"/>
      <c r="E331" s="213"/>
      <c r="F331" s="213"/>
      <c r="G331" s="213"/>
      <c r="H331" s="213"/>
      <c r="I331" s="213"/>
      <c r="J331" s="213"/>
      <c r="K331" s="213"/>
      <c r="L331" s="213"/>
      <c r="M331" s="213"/>
      <c r="N331" s="213"/>
      <c r="O331" s="213"/>
      <c r="P331" s="213"/>
      <c r="Q331" s="213"/>
      <c r="R331" s="213"/>
      <c r="S331" s="213"/>
      <c r="T331" s="213"/>
      <c r="U331" s="213"/>
      <c r="V331" s="213"/>
      <c r="W331" s="213"/>
      <c r="X331" s="213"/>
      <c r="Y331" s="213"/>
      <c r="Z331" s="213"/>
      <c r="AA331" s="213"/>
      <c r="AB331" s="211">
        <f>INDEX($C$199:$AN$221, MATCH("New Customers 3MS", $C$199:$C$221, 0), MATCH($C331, $C$199:$AN$199, 0))</f>
        <v>0</v>
      </c>
      <c r="AC331" s="211"/>
      <c r="AD331" s="211"/>
      <c r="AE331" s="211">
        <f>AB331*(E307)</f>
        <v>0</v>
      </c>
      <c r="AF331" s="211"/>
      <c r="AG331" s="211"/>
      <c r="AH331" s="211">
        <f>AB331*(H307)</f>
        <v>0</v>
      </c>
      <c r="AI331" s="211"/>
      <c r="AJ331" s="211"/>
      <c r="AK331" s="211">
        <f>AB331*($K$153)</f>
        <v>0</v>
      </c>
      <c r="AL331" s="211"/>
      <c r="AM331" s="211"/>
      <c r="AN331" s="211">
        <f>AB331*(N307)</f>
        <v>0</v>
      </c>
    </row>
    <row r="332" spans="2:40 16380:16380" s="7" customFormat="1" ht="12" hidden="1" customHeight="1" outlineLevel="3">
      <c r="B332" s="245"/>
      <c r="C332" s="250" t="s">
        <v>777</v>
      </c>
      <c r="D332" s="250"/>
      <c r="E332" s="213"/>
      <c r="F332" s="213"/>
      <c r="G332" s="213"/>
      <c r="H332" s="213"/>
      <c r="I332" s="213"/>
      <c r="J332" s="213"/>
      <c r="K332" s="213"/>
      <c r="L332" s="213"/>
      <c r="M332" s="213"/>
      <c r="N332" s="213"/>
      <c r="O332" s="213"/>
      <c r="P332" s="213"/>
      <c r="Q332" s="213"/>
      <c r="R332" s="213"/>
      <c r="S332" s="213"/>
      <c r="T332" s="213"/>
      <c r="U332" s="213"/>
      <c r="V332" s="213"/>
      <c r="W332" s="213"/>
      <c r="X332" s="213"/>
      <c r="Y332" s="213"/>
      <c r="Z332" s="213"/>
      <c r="AA332" s="213"/>
      <c r="AB332" s="211"/>
      <c r="AC332" s="211">
        <f>INDEX($C$199:$AN$221, MATCH("New Customers 3MS", $C$199:$C$221, 0), MATCH($C332, $C$199:$AN$199, 0))</f>
        <v>0</v>
      </c>
      <c r="AD332" s="211"/>
      <c r="AE332" s="211"/>
      <c r="AF332" s="211">
        <f>AC332*($E$153)</f>
        <v>0</v>
      </c>
      <c r="AG332" s="211"/>
      <c r="AH332" s="211"/>
      <c r="AI332" s="211">
        <f>AB331*($H$153)</f>
        <v>0</v>
      </c>
      <c r="AJ332" s="211"/>
      <c r="AK332" s="211"/>
      <c r="AL332" s="211">
        <f>AC332*($K$153)</f>
        <v>0</v>
      </c>
      <c r="AM332" s="211"/>
      <c r="AN332" s="211"/>
    </row>
    <row r="333" spans="2:40 16380:16380" s="7" customFormat="1" ht="12" hidden="1" customHeight="1" outlineLevel="3">
      <c r="B333" s="245"/>
      <c r="C333" s="250" t="s">
        <v>778</v>
      </c>
      <c r="D333" s="250"/>
      <c r="E333" s="213"/>
      <c r="F333" s="213"/>
      <c r="G333" s="213"/>
      <c r="H333" s="213"/>
      <c r="I333" s="213"/>
      <c r="J333" s="213"/>
      <c r="K333" s="213"/>
      <c r="L333" s="213"/>
      <c r="M333" s="213"/>
      <c r="N333" s="213"/>
      <c r="O333" s="213"/>
      <c r="P333" s="213"/>
      <c r="Q333" s="213"/>
      <c r="R333" s="213"/>
      <c r="S333" s="213"/>
      <c r="T333" s="213"/>
      <c r="U333" s="213"/>
      <c r="V333" s="213"/>
      <c r="W333" s="213"/>
      <c r="X333" s="213"/>
      <c r="Y333" s="213"/>
      <c r="Z333" s="213"/>
      <c r="AA333" s="213"/>
      <c r="AB333" s="211"/>
      <c r="AC333" s="211"/>
      <c r="AD333" s="211">
        <f>INDEX($C$199:$AN$221, MATCH("New Customers 3MS", $C$199:$C$221, 0), MATCH($C333, $C$199:$AN$199, 0))</f>
        <v>0</v>
      </c>
      <c r="AE333" s="211"/>
      <c r="AF333" s="211"/>
      <c r="AG333" s="211">
        <f>AD333*($E$153)</f>
        <v>0</v>
      </c>
      <c r="AH333" s="211"/>
      <c r="AI333" s="211"/>
      <c r="AJ333" s="211">
        <f>AB331*($H$153)</f>
        <v>0</v>
      </c>
      <c r="AK333" s="211"/>
      <c r="AL333" s="211"/>
      <c r="AM333" s="211">
        <f>AD333*($K$153)</f>
        <v>0</v>
      </c>
      <c r="AN333" s="211"/>
    </row>
    <row r="334" spans="2:40 16380:16380" s="7" customFormat="1" ht="12" hidden="1" customHeight="1" outlineLevel="3">
      <c r="B334" s="245"/>
      <c r="C334" s="250" t="s">
        <v>779</v>
      </c>
      <c r="D334" s="250"/>
      <c r="E334" s="213"/>
      <c r="F334" s="213"/>
      <c r="G334" s="213"/>
      <c r="H334" s="213"/>
      <c r="I334" s="213"/>
      <c r="J334" s="213"/>
      <c r="K334" s="213"/>
      <c r="L334" s="213"/>
      <c r="M334" s="213"/>
      <c r="N334" s="213"/>
      <c r="O334" s="213"/>
      <c r="P334" s="213"/>
      <c r="Q334" s="213"/>
      <c r="R334" s="213"/>
      <c r="S334" s="213"/>
      <c r="T334" s="213"/>
      <c r="U334" s="213"/>
      <c r="V334" s="213"/>
      <c r="W334" s="213"/>
      <c r="X334" s="213"/>
      <c r="Y334" s="213"/>
      <c r="Z334" s="213"/>
      <c r="AA334" s="213"/>
      <c r="AB334" s="211"/>
      <c r="AC334" s="211"/>
      <c r="AD334" s="211"/>
      <c r="AE334" s="211">
        <f>INDEX($C$199:$AN$221, MATCH("New Customers 3MS", $C$199:$C$221, 0), MATCH($C334, $C$199:$AN$199, 0))</f>
        <v>0</v>
      </c>
      <c r="AF334" s="211"/>
      <c r="AG334" s="211"/>
      <c r="AH334" s="211">
        <f>AE334*($E$153)</f>
        <v>0</v>
      </c>
      <c r="AI334" s="211"/>
      <c r="AJ334" s="211"/>
      <c r="AK334" s="211">
        <f>AB331*($H$153)</f>
        <v>0</v>
      </c>
      <c r="AL334" s="211"/>
      <c r="AM334" s="211"/>
      <c r="AN334" s="211">
        <f>AE334*($K$153)</f>
        <v>0</v>
      </c>
    </row>
    <row r="335" spans="2:40 16380:16380" s="7" customFormat="1" ht="12" hidden="1" customHeight="1" outlineLevel="3">
      <c r="B335" s="245"/>
      <c r="C335" s="250" t="s">
        <v>780</v>
      </c>
      <c r="D335" s="250"/>
      <c r="E335" s="213"/>
      <c r="F335" s="213"/>
      <c r="G335" s="213"/>
      <c r="H335" s="213"/>
      <c r="I335" s="213"/>
      <c r="J335" s="213"/>
      <c r="K335" s="213"/>
      <c r="L335" s="213"/>
      <c r="M335" s="213"/>
      <c r="N335" s="213"/>
      <c r="O335" s="213"/>
      <c r="P335" s="213"/>
      <c r="Q335" s="213"/>
      <c r="R335" s="213"/>
      <c r="S335" s="213"/>
      <c r="T335" s="213"/>
      <c r="U335" s="213"/>
      <c r="V335" s="213"/>
      <c r="W335" s="213"/>
      <c r="X335" s="213"/>
      <c r="Y335" s="213"/>
      <c r="Z335" s="213"/>
      <c r="AA335" s="213"/>
      <c r="AB335" s="211"/>
      <c r="AC335" s="211"/>
      <c r="AD335" s="211"/>
      <c r="AE335" s="211"/>
      <c r="AF335" s="211">
        <f>INDEX($C$199:$AN$221, MATCH("New Customers 3MS", $C$199:$C$221, 0), MATCH($C335, $C$199:$AN$199, 0))</f>
        <v>0</v>
      </c>
      <c r="AG335" s="211"/>
      <c r="AH335" s="211"/>
      <c r="AI335" s="211">
        <f>AF335*($E$153)</f>
        <v>0</v>
      </c>
      <c r="AJ335" s="211"/>
      <c r="AK335" s="211"/>
      <c r="AL335" s="211">
        <f>AB331*($H$153)</f>
        <v>0</v>
      </c>
      <c r="AM335" s="211"/>
      <c r="AN335" s="211"/>
    </row>
    <row r="336" spans="2:40 16380:16380" s="7" customFormat="1" ht="12" hidden="1" customHeight="1" outlineLevel="3">
      <c r="B336" s="245"/>
      <c r="C336" s="250" t="s">
        <v>781</v>
      </c>
      <c r="D336" s="250"/>
      <c r="E336" s="213"/>
      <c r="F336" s="213"/>
      <c r="G336" s="213"/>
      <c r="H336" s="213"/>
      <c r="I336" s="213"/>
      <c r="J336" s="213"/>
      <c r="K336" s="213"/>
      <c r="L336" s="213"/>
      <c r="M336" s="213"/>
      <c r="N336" s="213"/>
      <c r="O336" s="213"/>
      <c r="P336" s="213"/>
      <c r="Q336" s="213"/>
      <c r="R336" s="213"/>
      <c r="S336" s="213"/>
      <c r="T336" s="213"/>
      <c r="U336" s="213"/>
      <c r="V336" s="213"/>
      <c r="W336" s="213"/>
      <c r="X336" s="213"/>
      <c r="Y336" s="213"/>
      <c r="Z336" s="213"/>
      <c r="AA336" s="213"/>
      <c r="AB336" s="211"/>
      <c r="AC336" s="211"/>
      <c r="AD336" s="211"/>
      <c r="AE336" s="211"/>
      <c r="AF336" s="211"/>
      <c r="AG336" s="211">
        <f>INDEX($C$199:$AN$221, MATCH("New Customers 3MS", $C$199:$C$221, 0), MATCH($C336, $C$199:$AN$199, 0))</f>
        <v>0</v>
      </c>
      <c r="AH336" s="211"/>
      <c r="AI336" s="211"/>
      <c r="AJ336" s="211">
        <f>AG336*($E$153)</f>
        <v>0</v>
      </c>
      <c r="AK336" s="211"/>
      <c r="AL336" s="211"/>
      <c r="AM336" s="211">
        <f>AB331*($H$153)</f>
        <v>0</v>
      </c>
      <c r="AN336" s="211"/>
    </row>
    <row r="337" spans="2:40" s="7" customFormat="1" ht="12" hidden="1" customHeight="1" outlineLevel="3">
      <c r="B337" s="245"/>
      <c r="C337" s="250" t="s">
        <v>782</v>
      </c>
      <c r="D337" s="250"/>
      <c r="E337" s="213"/>
      <c r="F337" s="213"/>
      <c r="G337" s="213"/>
      <c r="H337" s="213"/>
      <c r="I337" s="213"/>
      <c r="J337" s="213"/>
      <c r="K337" s="213"/>
      <c r="L337" s="213"/>
      <c r="M337" s="213"/>
      <c r="N337" s="213"/>
      <c r="O337" s="213"/>
      <c r="P337" s="213"/>
      <c r="Q337" s="213"/>
      <c r="R337" s="213"/>
      <c r="S337" s="213"/>
      <c r="T337" s="213"/>
      <c r="U337" s="213"/>
      <c r="V337" s="213"/>
      <c r="W337" s="213"/>
      <c r="X337" s="213"/>
      <c r="Y337" s="213"/>
      <c r="Z337" s="213"/>
      <c r="AA337" s="213"/>
      <c r="AB337" s="211"/>
      <c r="AC337" s="211"/>
      <c r="AD337" s="211"/>
      <c r="AE337" s="211"/>
      <c r="AF337" s="211"/>
      <c r="AG337" s="211"/>
      <c r="AH337" s="211">
        <f>INDEX($C$199:$AN$221, MATCH("New Customers 3MS", $C$199:$C$221, 0), MATCH($C337, $C$199:$AN$199, 0))</f>
        <v>0</v>
      </c>
      <c r="AI337" s="211"/>
      <c r="AJ337" s="211"/>
      <c r="AK337" s="211">
        <f>AH337*($E$153)</f>
        <v>0</v>
      </c>
      <c r="AL337" s="211"/>
      <c r="AM337" s="211"/>
      <c r="AN337" s="211">
        <f>AB331*($H$153)</f>
        <v>0</v>
      </c>
    </row>
    <row r="338" spans="2:40" s="7" customFormat="1" ht="12" hidden="1" customHeight="1" outlineLevel="3">
      <c r="B338" s="245"/>
      <c r="C338" s="250" t="s">
        <v>783</v>
      </c>
      <c r="D338" s="250"/>
      <c r="E338" s="213"/>
      <c r="F338" s="213"/>
      <c r="G338" s="213"/>
      <c r="H338" s="213"/>
      <c r="I338" s="213"/>
      <c r="J338" s="213"/>
      <c r="K338" s="213"/>
      <c r="L338" s="213"/>
      <c r="M338" s="213"/>
      <c r="N338" s="213"/>
      <c r="O338" s="213"/>
      <c r="P338" s="213"/>
      <c r="Q338" s="213"/>
      <c r="R338" s="213"/>
      <c r="S338" s="213"/>
      <c r="T338" s="213"/>
      <c r="U338" s="213"/>
      <c r="V338" s="213"/>
      <c r="W338" s="213"/>
      <c r="X338" s="213"/>
      <c r="Y338" s="213"/>
      <c r="Z338" s="213"/>
      <c r="AA338" s="213"/>
      <c r="AB338" s="211"/>
      <c r="AC338" s="211"/>
      <c r="AD338" s="211"/>
      <c r="AE338" s="211"/>
      <c r="AF338" s="211"/>
      <c r="AG338" s="211"/>
      <c r="AH338" s="211"/>
      <c r="AI338" s="211">
        <f>INDEX($C$199:$AN$221, MATCH("New Customers 3MS", $C$199:$C$221, 0), MATCH($C338, $C$199:$AN$199, 0))</f>
        <v>0</v>
      </c>
      <c r="AJ338" s="211"/>
      <c r="AK338" s="211"/>
      <c r="AL338" s="211">
        <f>AI338*($E$153)</f>
        <v>0</v>
      </c>
      <c r="AM338" s="211"/>
      <c r="AN338" s="211"/>
    </row>
    <row r="339" spans="2:40" s="7" customFormat="1" ht="12" hidden="1" customHeight="1" outlineLevel="3">
      <c r="B339" s="245"/>
      <c r="C339" s="250" t="s">
        <v>784</v>
      </c>
      <c r="D339" s="250"/>
      <c r="E339" s="213"/>
      <c r="F339" s="213"/>
      <c r="G339" s="213"/>
      <c r="H339" s="213"/>
      <c r="I339" s="213"/>
      <c r="J339" s="213"/>
      <c r="K339" s="213"/>
      <c r="L339" s="213"/>
      <c r="M339" s="213"/>
      <c r="N339" s="213"/>
      <c r="O339" s="213"/>
      <c r="P339" s="213"/>
      <c r="Q339" s="213"/>
      <c r="R339" s="213"/>
      <c r="S339" s="213"/>
      <c r="T339" s="213"/>
      <c r="U339" s="213"/>
      <c r="V339" s="213"/>
      <c r="W339" s="213"/>
      <c r="X339" s="213"/>
      <c r="Y339" s="213"/>
      <c r="Z339" s="213"/>
      <c r="AA339" s="213"/>
      <c r="AB339" s="211"/>
      <c r="AC339" s="211"/>
      <c r="AD339" s="211"/>
      <c r="AE339" s="211"/>
      <c r="AF339" s="211"/>
      <c r="AG339" s="211"/>
      <c r="AH339" s="211"/>
      <c r="AI339" s="211"/>
      <c r="AJ339" s="211">
        <f>INDEX($C$199:$AN$221, MATCH("New Customers 3MS", $C$199:$C$221, 0), MATCH($C339, $C$199:$AN$199, 0))</f>
        <v>0</v>
      </c>
      <c r="AK339" s="211"/>
      <c r="AL339" s="211"/>
      <c r="AM339" s="211">
        <f>AJ339*($E$153)</f>
        <v>0</v>
      </c>
      <c r="AN339" s="211"/>
    </row>
    <row r="340" spans="2:40" s="7" customFormat="1" ht="12" hidden="1" customHeight="1" outlineLevel="3">
      <c r="B340" s="245"/>
      <c r="C340" s="250" t="s">
        <v>785</v>
      </c>
      <c r="D340" s="250"/>
      <c r="E340" s="213"/>
      <c r="F340" s="213"/>
      <c r="G340" s="213"/>
      <c r="H340" s="213"/>
      <c r="I340" s="213"/>
      <c r="J340" s="213"/>
      <c r="K340" s="213"/>
      <c r="L340" s="213"/>
      <c r="M340" s="213"/>
      <c r="N340" s="213"/>
      <c r="O340" s="213"/>
      <c r="P340" s="213"/>
      <c r="Q340" s="213"/>
      <c r="R340" s="213"/>
      <c r="S340" s="213"/>
      <c r="T340" s="213"/>
      <c r="U340" s="213"/>
      <c r="V340" s="213"/>
      <c r="W340" s="213"/>
      <c r="X340" s="213"/>
      <c r="Y340" s="213"/>
      <c r="Z340" s="213"/>
      <c r="AA340" s="213"/>
      <c r="AB340" s="211"/>
      <c r="AC340" s="211"/>
      <c r="AD340" s="211"/>
      <c r="AE340" s="211"/>
      <c r="AF340" s="211"/>
      <c r="AG340" s="211"/>
      <c r="AH340" s="211"/>
      <c r="AI340" s="211"/>
      <c r="AJ340" s="211"/>
      <c r="AK340" s="211">
        <f>INDEX($C$199:$AN$221, MATCH("New Customers 3MS", $C$199:$C$221, 0), MATCH($C340, $C$199:$AN$199, 0))</f>
        <v>0</v>
      </c>
      <c r="AL340" s="211"/>
      <c r="AM340" s="211"/>
      <c r="AN340" s="211">
        <f>AK340*($E$153)</f>
        <v>0</v>
      </c>
    </row>
    <row r="341" spans="2:40" s="7" customFormat="1" ht="12" hidden="1" customHeight="1" outlineLevel="3">
      <c r="B341" s="245"/>
      <c r="C341" s="250" t="s">
        <v>786</v>
      </c>
      <c r="D341" s="250"/>
      <c r="E341" s="213"/>
      <c r="F341" s="213"/>
      <c r="G341" s="213"/>
      <c r="H341" s="213"/>
      <c r="I341" s="213"/>
      <c r="J341" s="213"/>
      <c r="K341" s="213"/>
      <c r="L341" s="213"/>
      <c r="M341" s="213"/>
      <c r="N341" s="213"/>
      <c r="O341" s="213"/>
      <c r="P341" s="213"/>
      <c r="Q341" s="213"/>
      <c r="R341" s="213"/>
      <c r="S341" s="213"/>
      <c r="T341" s="213"/>
      <c r="U341" s="213"/>
      <c r="V341" s="213"/>
      <c r="W341" s="213"/>
      <c r="X341" s="213"/>
      <c r="Y341" s="213"/>
      <c r="Z341" s="213"/>
      <c r="AA341" s="213"/>
      <c r="AB341" s="211"/>
      <c r="AC341" s="211"/>
      <c r="AD341" s="211"/>
      <c r="AE341" s="211"/>
      <c r="AF341" s="211"/>
      <c r="AG341" s="211"/>
      <c r="AH341" s="211"/>
      <c r="AI341" s="211"/>
      <c r="AJ341" s="211"/>
      <c r="AK341" s="211"/>
      <c r="AL341" s="211">
        <f>INDEX($C$199:$AN$221, MATCH("New Customers 3MS", $C$199:$C$221, 0), MATCH($C341, $C$199:$AN$199, 0))</f>
        <v>0</v>
      </c>
      <c r="AM341" s="211"/>
      <c r="AN341" s="211"/>
    </row>
    <row r="342" spans="2:40" s="7" customFormat="1" ht="12" hidden="1" customHeight="1" outlineLevel="3">
      <c r="B342" s="245"/>
      <c r="C342" s="250" t="s">
        <v>787</v>
      </c>
      <c r="D342" s="250"/>
      <c r="E342" s="213"/>
      <c r="F342" s="213"/>
      <c r="G342" s="213"/>
      <c r="H342" s="213"/>
      <c r="I342" s="213"/>
      <c r="J342" s="213"/>
      <c r="K342" s="213"/>
      <c r="L342" s="213"/>
      <c r="M342" s="213"/>
      <c r="N342" s="213"/>
      <c r="O342" s="213"/>
      <c r="P342" s="213"/>
      <c r="Q342" s="213"/>
      <c r="R342" s="213"/>
      <c r="S342" s="213"/>
      <c r="T342" s="213"/>
      <c r="U342" s="213"/>
      <c r="V342" s="213"/>
      <c r="W342" s="213"/>
      <c r="X342" s="213"/>
      <c r="Y342" s="213"/>
      <c r="Z342" s="213"/>
      <c r="AA342" s="213"/>
      <c r="AB342" s="211"/>
      <c r="AC342" s="211"/>
      <c r="AD342" s="211"/>
      <c r="AE342" s="211"/>
      <c r="AF342" s="211"/>
      <c r="AG342" s="211"/>
      <c r="AH342" s="211"/>
      <c r="AI342" s="211"/>
      <c r="AJ342" s="211"/>
      <c r="AK342" s="211"/>
      <c r="AL342" s="211"/>
      <c r="AM342" s="211">
        <f>INDEX($C$199:$AN$221, MATCH("New Customers 3MS", $C$199:$C$221, 0), MATCH($C342, $C$199:$AN$199, 0))</f>
        <v>0</v>
      </c>
      <c r="AN342" s="211"/>
    </row>
    <row r="343" spans="2:40" s="7" customFormat="1" ht="12" hidden="1" customHeight="1" outlineLevel="3">
      <c r="B343" s="245"/>
      <c r="C343" s="250" t="s">
        <v>788</v>
      </c>
      <c r="D343" s="250"/>
      <c r="E343" s="213"/>
      <c r="F343" s="213"/>
      <c r="G343" s="213"/>
      <c r="H343" s="213"/>
      <c r="I343" s="213"/>
      <c r="J343" s="213"/>
      <c r="K343" s="213"/>
      <c r="L343" s="213"/>
      <c r="M343" s="213"/>
      <c r="N343" s="213"/>
      <c r="O343" s="213"/>
      <c r="P343" s="213"/>
      <c r="Q343" s="213"/>
      <c r="R343" s="213"/>
      <c r="S343" s="213"/>
      <c r="T343" s="213"/>
      <c r="U343" s="213"/>
      <c r="V343" s="213"/>
      <c r="W343" s="213"/>
      <c r="X343" s="213"/>
      <c r="Y343" s="213"/>
      <c r="Z343" s="213"/>
      <c r="AA343" s="213"/>
      <c r="AB343" s="211"/>
      <c r="AC343" s="211"/>
      <c r="AD343" s="211"/>
      <c r="AE343" s="211"/>
      <c r="AF343" s="211"/>
      <c r="AG343" s="211"/>
      <c r="AH343" s="211"/>
      <c r="AI343" s="211"/>
      <c r="AJ343" s="211"/>
      <c r="AK343" s="211"/>
      <c r="AL343" s="211"/>
      <c r="AM343" s="211"/>
      <c r="AN343" s="211">
        <f>INDEX($C$199:$AN$221, MATCH("New Customers 3MS", $C$199:$C$221, 0), MATCH($C343, $C$199:$AN$199, 0))</f>
        <v>0</v>
      </c>
    </row>
    <row r="344" spans="2:40" s="7" customFormat="1" ht="12" hidden="1" customHeight="1" outlineLevel="2">
      <c r="B344" s="245"/>
      <c r="C344" s="250"/>
      <c r="D344" s="250"/>
      <c r="E344" s="213"/>
      <c r="F344" s="213"/>
      <c r="G344" s="213"/>
      <c r="H344" s="213"/>
      <c r="I344" s="213"/>
      <c r="J344" s="213"/>
      <c r="K344" s="213"/>
      <c r="L344" s="213"/>
      <c r="M344" s="213"/>
      <c r="N344" s="213"/>
      <c r="O344" s="213"/>
      <c r="P344" s="213"/>
      <c r="Q344" s="213"/>
      <c r="R344" s="213"/>
      <c r="S344" s="213"/>
      <c r="T344" s="213"/>
      <c r="U344" s="213"/>
      <c r="V344" s="213"/>
      <c r="W344" s="213"/>
      <c r="X344" s="213"/>
      <c r="Y344" s="213"/>
      <c r="Z344" s="213"/>
      <c r="AA344" s="213"/>
      <c r="AB344" s="211"/>
      <c r="AC344" s="211"/>
      <c r="AD344" s="211"/>
      <c r="AE344" s="211"/>
      <c r="AF344" s="211"/>
      <c r="AG344" s="211"/>
      <c r="AH344" s="211"/>
      <c r="AI344" s="211"/>
      <c r="AJ344" s="211"/>
      <c r="AK344" s="211"/>
      <c r="AL344" s="211"/>
      <c r="AM344" s="211"/>
      <c r="AN344" s="211"/>
    </row>
    <row r="345" spans="2:40" s="7" customFormat="1" ht="12" customHeight="1" outlineLevel="1" collapsed="1">
      <c r="B345" s="239"/>
      <c r="C345" s="243" t="s">
        <v>855</v>
      </c>
      <c r="D345" s="212"/>
      <c r="E345" s="214"/>
      <c r="F345" s="214"/>
      <c r="G345" s="214"/>
      <c r="H345" s="214"/>
      <c r="I345" s="214"/>
      <c r="J345" s="214"/>
      <c r="K345" s="214"/>
      <c r="L345" s="214"/>
      <c r="M345" s="214"/>
      <c r="N345" s="214"/>
      <c r="O345" s="214"/>
      <c r="P345" s="214"/>
      <c r="Q345" s="214"/>
      <c r="R345" s="214"/>
      <c r="S345" s="214"/>
      <c r="T345" s="214"/>
      <c r="U345" s="214"/>
      <c r="V345" s="214"/>
      <c r="W345" s="214"/>
      <c r="X345" s="214"/>
      <c r="Y345" s="214"/>
      <c r="Z345" s="214"/>
      <c r="AA345" s="214"/>
      <c r="AB345" s="214"/>
      <c r="AC345" s="215"/>
    </row>
    <row r="346" spans="2:40" s="7" customFormat="1" ht="12" customHeight="1" outlineLevel="1">
      <c r="B346" s="239"/>
      <c r="C346" s="214"/>
      <c r="D346" s="212"/>
      <c r="E346" s="214"/>
      <c r="F346" s="214"/>
      <c r="G346" s="214"/>
      <c r="H346" s="214"/>
      <c r="I346" s="214"/>
      <c r="J346" s="214"/>
      <c r="K346" s="214"/>
      <c r="L346" s="214"/>
      <c r="M346" s="214"/>
      <c r="N346" s="214"/>
      <c r="O346" s="214"/>
      <c r="P346" s="214"/>
      <c r="Q346" s="214"/>
      <c r="R346" s="214"/>
      <c r="S346" s="214"/>
      <c r="T346" s="214"/>
      <c r="U346" s="214"/>
      <c r="V346" s="214"/>
      <c r="W346" s="214"/>
      <c r="X346" s="214"/>
      <c r="Y346" s="214"/>
      <c r="Z346" s="214"/>
      <c r="AA346" s="214"/>
      <c r="AB346" s="214"/>
      <c r="AC346" s="214"/>
    </row>
    <row r="347" spans="2:40" s="7" customFormat="1" outlineLevel="1">
      <c r="B347" s="235"/>
      <c r="C347" s="10"/>
      <c r="D347" s="10"/>
    </row>
    <row r="348" spans="2:40" s="207" customFormat="1">
      <c r="C348" s="248" t="s">
        <v>862</v>
      </c>
    </row>
    <row r="349" spans="2:40" s="7" customFormat="1" ht="12" customHeight="1" outlineLevel="1">
      <c r="B349" s="237"/>
      <c r="C349" s="208"/>
      <c r="D349" s="208"/>
      <c r="E349" s="196" t="s">
        <v>753</v>
      </c>
      <c r="F349" s="196" t="s">
        <v>754</v>
      </c>
      <c r="G349" s="196" t="s">
        <v>755</v>
      </c>
      <c r="H349" s="196" t="s">
        <v>756</v>
      </c>
      <c r="I349" s="196" t="s">
        <v>757</v>
      </c>
      <c r="J349" s="196" t="s">
        <v>758</v>
      </c>
      <c r="K349" s="196" t="s">
        <v>759</v>
      </c>
      <c r="L349" s="196" t="s">
        <v>760</v>
      </c>
      <c r="M349" s="196" t="s">
        <v>761</v>
      </c>
      <c r="N349" s="196" t="s">
        <v>762</v>
      </c>
      <c r="O349" s="196" t="s">
        <v>763</v>
      </c>
      <c r="P349" s="196" t="s">
        <v>764</v>
      </c>
      <c r="Q349" s="196" t="s">
        <v>765</v>
      </c>
      <c r="R349" s="196" t="s">
        <v>766</v>
      </c>
      <c r="S349" s="196" t="s">
        <v>767</v>
      </c>
      <c r="T349" s="196" t="s">
        <v>768</v>
      </c>
      <c r="U349" s="196" t="s">
        <v>769</v>
      </c>
      <c r="V349" s="196" t="s">
        <v>770</v>
      </c>
      <c r="W349" s="196" t="s">
        <v>771</v>
      </c>
      <c r="X349" s="196" t="s">
        <v>772</v>
      </c>
      <c r="Y349" s="196" t="s">
        <v>773</v>
      </c>
      <c r="Z349" s="196" t="s">
        <v>774</v>
      </c>
      <c r="AA349" s="196" t="s">
        <v>775</v>
      </c>
      <c r="AB349" s="196" t="s">
        <v>776</v>
      </c>
      <c r="AC349" s="196" t="s">
        <v>777</v>
      </c>
      <c r="AD349" s="196" t="s">
        <v>778</v>
      </c>
      <c r="AE349" s="196" t="s">
        <v>779</v>
      </c>
      <c r="AF349" s="196" t="s">
        <v>780</v>
      </c>
      <c r="AG349" s="196" t="s">
        <v>781</v>
      </c>
      <c r="AH349" s="196" t="s">
        <v>782</v>
      </c>
      <c r="AI349" s="196" t="s">
        <v>783</v>
      </c>
      <c r="AJ349" s="196" t="s">
        <v>784</v>
      </c>
      <c r="AK349" s="196" t="s">
        <v>785</v>
      </c>
      <c r="AL349" s="196" t="s">
        <v>786</v>
      </c>
      <c r="AM349" s="196" t="s">
        <v>787</v>
      </c>
      <c r="AN349" s="196" t="s">
        <v>788</v>
      </c>
    </row>
    <row r="350" spans="2:40" s="7" customFormat="1" ht="12" customHeight="1" outlineLevel="1">
      <c r="B350" s="239"/>
      <c r="C350" s="214" t="s">
        <v>821</v>
      </c>
      <c r="D350" s="214"/>
      <c r="E350" s="337"/>
      <c r="F350" s="337"/>
      <c r="G350" s="337"/>
      <c r="H350" s="337"/>
      <c r="I350" s="337"/>
      <c r="J350" s="337">
        <f t="shared" ref="J350:AN350" si="210">J36*J41</f>
        <v>0</v>
      </c>
      <c r="K350" s="337">
        <f t="shared" si="210"/>
        <v>0</v>
      </c>
      <c r="L350" s="337">
        <f t="shared" si="210"/>
        <v>0</v>
      </c>
      <c r="M350" s="337">
        <f t="shared" si="210"/>
        <v>9750</v>
      </c>
      <c r="N350" s="337">
        <f t="shared" si="210"/>
        <v>9750</v>
      </c>
      <c r="O350" s="337">
        <f t="shared" si="210"/>
        <v>5625</v>
      </c>
      <c r="P350" s="337">
        <f t="shared" si="210"/>
        <v>3750</v>
      </c>
      <c r="Q350" s="337">
        <f t="shared" si="210"/>
        <v>4829.22</v>
      </c>
      <c r="R350" s="337">
        <f t="shared" si="210"/>
        <v>8593.2000000000007</v>
      </c>
      <c r="S350" s="337">
        <f t="shared" si="210"/>
        <v>7911.9</v>
      </c>
      <c r="T350" s="337">
        <f t="shared" si="210"/>
        <v>2022.5600000000004</v>
      </c>
      <c r="U350" s="337">
        <f t="shared" si="210"/>
        <v>1823.76</v>
      </c>
      <c r="V350" s="337">
        <f t="shared" si="210"/>
        <v>6251.76</v>
      </c>
      <c r="W350" s="337">
        <f t="shared" si="210"/>
        <v>3438.9</v>
      </c>
      <c r="X350" s="337">
        <f t="shared" si="210"/>
        <v>2598.4</v>
      </c>
      <c r="Y350" s="337">
        <f t="shared" si="210"/>
        <v>4680</v>
      </c>
      <c r="Z350" s="337">
        <f t="shared" si="210"/>
        <v>3900</v>
      </c>
      <c r="AA350" s="337">
        <f t="shared" si="210"/>
        <v>1500</v>
      </c>
      <c r="AB350" s="337">
        <f t="shared" si="210"/>
        <v>1500</v>
      </c>
      <c r="AC350" s="337">
        <f t="shared" si="210"/>
        <v>12073.050000000001</v>
      </c>
      <c r="AD350" s="337">
        <f t="shared" si="210"/>
        <v>21483.000000000004</v>
      </c>
      <c r="AE350" s="337">
        <f t="shared" si="210"/>
        <v>19779.75</v>
      </c>
      <c r="AF350" s="337">
        <f t="shared" si="210"/>
        <v>15169.2</v>
      </c>
      <c r="AG350" s="337">
        <f t="shared" si="210"/>
        <v>13678.199999999999</v>
      </c>
      <c r="AH350" s="337">
        <f t="shared" si="210"/>
        <v>46888.2</v>
      </c>
      <c r="AI350" s="337">
        <f t="shared" si="210"/>
        <v>15475.05</v>
      </c>
      <c r="AJ350" s="337">
        <f t="shared" si="210"/>
        <v>19488</v>
      </c>
      <c r="AK350" s="337">
        <f t="shared" si="210"/>
        <v>35100</v>
      </c>
      <c r="AL350" s="337">
        <f t="shared" si="210"/>
        <v>29250</v>
      </c>
      <c r="AM350" s="337">
        <f t="shared" si="210"/>
        <v>11250</v>
      </c>
      <c r="AN350" s="337">
        <f t="shared" si="210"/>
        <v>11250</v>
      </c>
    </row>
    <row r="351" spans="2:40" ht="12" customHeight="1" outlineLevel="1">
      <c r="B351" s="301"/>
      <c r="C351" s="303" t="s">
        <v>827</v>
      </c>
      <c r="D351" s="303"/>
      <c r="E351" s="312"/>
      <c r="F351" s="312"/>
      <c r="G351" s="312"/>
      <c r="H351" s="312"/>
      <c r="I351" s="312"/>
      <c r="J351" s="312"/>
      <c r="K351" s="312"/>
      <c r="L351" s="312"/>
      <c r="M351" s="313">
        <v>30</v>
      </c>
      <c r="N351" s="313">
        <v>30</v>
      </c>
      <c r="O351" s="313">
        <v>30</v>
      </c>
      <c r="P351" s="313">
        <v>30</v>
      </c>
      <c r="Q351" s="313">
        <v>30</v>
      </c>
      <c r="R351" s="313">
        <v>30</v>
      </c>
      <c r="S351" s="313">
        <v>30</v>
      </c>
      <c r="T351" s="313">
        <v>30</v>
      </c>
      <c r="U351" s="313">
        <v>30</v>
      </c>
      <c r="V351" s="313">
        <v>30</v>
      </c>
      <c r="W351" s="313">
        <v>30</v>
      </c>
      <c r="X351" s="313">
        <v>30</v>
      </c>
      <c r="Y351" s="313">
        <v>30</v>
      </c>
      <c r="Z351" s="313">
        <v>30</v>
      </c>
      <c r="AA351" s="313">
        <v>30</v>
      </c>
      <c r="AB351" s="313">
        <v>30</v>
      </c>
      <c r="AC351" s="313">
        <v>30</v>
      </c>
      <c r="AD351" s="313">
        <v>30</v>
      </c>
      <c r="AE351" s="313">
        <v>30</v>
      </c>
      <c r="AF351" s="313">
        <v>30</v>
      </c>
      <c r="AG351" s="313">
        <v>30</v>
      </c>
      <c r="AH351" s="313">
        <v>30</v>
      </c>
      <c r="AI351" s="313">
        <v>30</v>
      </c>
      <c r="AJ351" s="313">
        <v>30</v>
      </c>
      <c r="AK351" s="313">
        <v>30</v>
      </c>
      <c r="AL351" s="313">
        <v>30</v>
      </c>
      <c r="AM351" s="313">
        <v>30</v>
      </c>
      <c r="AN351" s="313">
        <v>30</v>
      </c>
    </row>
    <row r="352" spans="2:40" s="7" customFormat="1" ht="12" customHeight="1" outlineLevel="1">
      <c r="B352" s="239"/>
      <c r="C352" s="214" t="s">
        <v>829</v>
      </c>
      <c r="D352" s="214"/>
      <c r="E352" s="232"/>
      <c r="F352" s="232"/>
      <c r="G352" s="232"/>
      <c r="H352" s="232"/>
      <c r="I352" s="232"/>
      <c r="J352" s="232"/>
      <c r="K352" s="232"/>
      <c r="L352" s="232"/>
      <c r="M352" s="205">
        <f t="shared" ref="M352:AN352" si="211">M350/M351</f>
        <v>325</v>
      </c>
      <c r="N352" s="205">
        <f t="shared" si="211"/>
        <v>325</v>
      </c>
      <c r="O352" s="205">
        <f t="shared" si="211"/>
        <v>187.5</v>
      </c>
      <c r="P352" s="205">
        <f t="shared" si="211"/>
        <v>125</v>
      </c>
      <c r="Q352" s="205">
        <f t="shared" si="211"/>
        <v>160.97400000000002</v>
      </c>
      <c r="R352" s="205">
        <f t="shared" si="211"/>
        <v>286.44</v>
      </c>
      <c r="S352" s="205">
        <f t="shared" si="211"/>
        <v>263.72999999999996</v>
      </c>
      <c r="T352" s="205">
        <f t="shared" si="211"/>
        <v>67.418666666666681</v>
      </c>
      <c r="U352" s="205">
        <f t="shared" si="211"/>
        <v>60.792000000000002</v>
      </c>
      <c r="V352" s="205">
        <f t="shared" si="211"/>
        <v>208.392</v>
      </c>
      <c r="W352" s="205">
        <f t="shared" si="211"/>
        <v>114.63000000000001</v>
      </c>
      <c r="X352" s="205">
        <f t="shared" si="211"/>
        <v>86.61333333333333</v>
      </c>
      <c r="Y352" s="205">
        <f t="shared" si="211"/>
        <v>156</v>
      </c>
      <c r="Z352" s="205">
        <f t="shared" si="211"/>
        <v>130</v>
      </c>
      <c r="AA352" s="205">
        <f t="shared" si="211"/>
        <v>50</v>
      </c>
      <c r="AB352" s="205">
        <f t="shared" si="211"/>
        <v>50</v>
      </c>
      <c r="AC352" s="205">
        <f t="shared" si="211"/>
        <v>402.43500000000006</v>
      </c>
      <c r="AD352" s="205">
        <f t="shared" si="211"/>
        <v>716.10000000000014</v>
      </c>
      <c r="AE352" s="205">
        <f t="shared" si="211"/>
        <v>659.32500000000005</v>
      </c>
      <c r="AF352" s="205">
        <f t="shared" si="211"/>
        <v>505.64000000000004</v>
      </c>
      <c r="AG352" s="205">
        <f t="shared" si="211"/>
        <v>455.93999999999994</v>
      </c>
      <c r="AH352" s="205">
        <f t="shared" si="211"/>
        <v>1562.9399999999998</v>
      </c>
      <c r="AI352" s="205">
        <f t="shared" si="211"/>
        <v>515.83499999999992</v>
      </c>
      <c r="AJ352" s="205">
        <f t="shared" si="211"/>
        <v>649.6</v>
      </c>
      <c r="AK352" s="205">
        <f t="shared" si="211"/>
        <v>1170</v>
      </c>
      <c r="AL352" s="205">
        <f t="shared" si="211"/>
        <v>975</v>
      </c>
      <c r="AM352" s="205">
        <f t="shared" si="211"/>
        <v>375</v>
      </c>
      <c r="AN352" s="205">
        <f t="shared" si="211"/>
        <v>375</v>
      </c>
    </row>
    <row r="353" spans="2:40" ht="12" customHeight="1" outlineLevel="1">
      <c r="B353" s="301"/>
      <c r="C353" s="303" t="s">
        <v>830</v>
      </c>
      <c r="D353" s="303"/>
      <c r="E353" s="314">
        <v>0</v>
      </c>
      <c r="F353" s="314">
        <v>0</v>
      </c>
      <c r="G353" s="314">
        <v>0</v>
      </c>
      <c r="H353" s="314">
        <v>0</v>
      </c>
      <c r="I353" s="314">
        <v>0</v>
      </c>
      <c r="J353" s="314">
        <v>0</v>
      </c>
      <c r="K353" s="314">
        <v>0</v>
      </c>
      <c r="L353" s="314">
        <v>0</v>
      </c>
      <c r="M353" s="315">
        <v>0.02</v>
      </c>
      <c r="N353" s="315">
        <v>0.02</v>
      </c>
      <c r="O353" s="315">
        <v>0.02</v>
      </c>
      <c r="P353" s="315">
        <v>0.02</v>
      </c>
      <c r="Q353" s="315">
        <v>0.02</v>
      </c>
      <c r="R353" s="315">
        <v>0.02</v>
      </c>
      <c r="S353" s="315">
        <v>0.02</v>
      </c>
      <c r="T353" s="315">
        <v>0.02</v>
      </c>
      <c r="U353" s="315">
        <v>0.02</v>
      </c>
      <c r="V353" s="315">
        <v>0.02</v>
      </c>
      <c r="W353" s="315">
        <v>0.02</v>
      </c>
      <c r="X353" s="315">
        <v>0.02</v>
      </c>
      <c r="Y353" s="315">
        <v>0.02</v>
      </c>
      <c r="Z353" s="315">
        <v>0.02</v>
      </c>
      <c r="AA353" s="315">
        <v>0.02</v>
      </c>
      <c r="AB353" s="315">
        <v>0.02</v>
      </c>
      <c r="AC353" s="315">
        <v>0.02</v>
      </c>
      <c r="AD353" s="315">
        <v>0.02</v>
      </c>
      <c r="AE353" s="315">
        <v>0.02</v>
      </c>
      <c r="AF353" s="315">
        <v>0.02</v>
      </c>
      <c r="AG353" s="315">
        <v>0.02</v>
      </c>
      <c r="AH353" s="315">
        <v>0.02</v>
      </c>
      <c r="AI353" s="315">
        <v>0.02</v>
      </c>
      <c r="AJ353" s="315">
        <v>0.02</v>
      </c>
      <c r="AK353" s="315">
        <v>0.02</v>
      </c>
      <c r="AL353" s="315">
        <v>0.02</v>
      </c>
      <c r="AM353" s="315">
        <v>0.02</v>
      </c>
      <c r="AN353" s="315">
        <v>0.02</v>
      </c>
    </row>
    <row r="354" spans="2:40" s="7" customFormat="1" ht="12" customHeight="1" outlineLevel="1">
      <c r="B354" s="239"/>
      <c r="C354" s="214" t="s">
        <v>831</v>
      </c>
      <c r="D354" s="214"/>
      <c r="E354" s="232">
        <f t="shared" ref="E354:L354" si="212">E352*E353</f>
        <v>0</v>
      </c>
      <c r="F354" s="232">
        <f t="shared" si="212"/>
        <v>0</v>
      </c>
      <c r="G354" s="232">
        <f t="shared" si="212"/>
        <v>0</v>
      </c>
      <c r="H354" s="232">
        <f t="shared" si="212"/>
        <v>0</v>
      </c>
      <c r="I354" s="232">
        <f t="shared" si="212"/>
        <v>0</v>
      </c>
      <c r="J354" s="232">
        <f t="shared" si="212"/>
        <v>0</v>
      </c>
      <c r="K354" s="232">
        <f t="shared" si="212"/>
        <v>0</v>
      </c>
      <c r="L354" s="232">
        <f t="shared" si="212"/>
        <v>0</v>
      </c>
      <c r="M354" s="205">
        <f t="shared" ref="M354:AN354" si="213">M352*M353</f>
        <v>6.5</v>
      </c>
      <c r="N354" s="205">
        <f t="shared" si="213"/>
        <v>6.5</v>
      </c>
      <c r="O354" s="205">
        <f t="shared" si="213"/>
        <v>3.75</v>
      </c>
      <c r="P354" s="205">
        <f t="shared" si="213"/>
        <v>2.5</v>
      </c>
      <c r="Q354" s="205">
        <f t="shared" si="213"/>
        <v>3.2194800000000003</v>
      </c>
      <c r="R354" s="205">
        <f t="shared" si="213"/>
        <v>5.7287999999999997</v>
      </c>
      <c r="S354" s="205">
        <f t="shared" si="213"/>
        <v>5.2745999999999995</v>
      </c>
      <c r="T354" s="205">
        <f t="shared" si="213"/>
        <v>1.3483733333333336</v>
      </c>
      <c r="U354" s="205">
        <f t="shared" si="213"/>
        <v>1.21584</v>
      </c>
      <c r="V354" s="205">
        <f t="shared" si="213"/>
        <v>4.16784</v>
      </c>
      <c r="W354" s="205">
        <f t="shared" si="213"/>
        <v>2.2926000000000002</v>
      </c>
      <c r="X354" s="205">
        <f t="shared" si="213"/>
        <v>1.7322666666666666</v>
      </c>
      <c r="Y354" s="205">
        <f t="shared" si="213"/>
        <v>3.12</v>
      </c>
      <c r="Z354" s="205">
        <f t="shared" si="213"/>
        <v>2.6</v>
      </c>
      <c r="AA354" s="205">
        <f t="shared" si="213"/>
        <v>1</v>
      </c>
      <c r="AB354" s="205">
        <f t="shared" si="213"/>
        <v>1</v>
      </c>
      <c r="AC354" s="205">
        <f t="shared" si="213"/>
        <v>8.048700000000002</v>
      </c>
      <c r="AD354" s="205">
        <f t="shared" si="213"/>
        <v>14.322000000000003</v>
      </c>
      <c r="AE354" s="205">
        <f t="shared" si="213"/>
        <v>13.186500000000001</v>
      </c>
      <c r="AF354" s="205">
        <f t="shared" si="213"/>
        <v>10.112800000000002</v>
      </c>
      <c r="AG354" s="205">
        <f t="shared" si="213"/>
        <v>9.1187999999999985</v>
      </c>
      <c r="AH354" s="205">
        <f t="shared" si="213"/>
        <v>31.258799999999997</v>
      </c>
      <c r="AI354" s="205">
        <f t="shared" si="213"/>
        <v>10.316699999999999</v>
      </c>
      <c r="AJ354" s="205">
        <f t="shared" si="213"/>
        <v>12.992000000000001</v>
      </c>
      <c r="AK354" s="205">
        <f t="shared" si="213"/>
        <v>23.400000000000002</v>
      </c>
      <c r="AL354" s="205">
        <f t="shared" si="213"/>
        <v>19.5</v>
      </c>
      <c r="AM354" s="205">
        <f t="shared" si="213"/>
        <v>7.5</v>
      </c>
      <c r="AN354" s="205">
        <f t="shared" si="213"/>
        <v>7.5</v>
      </c>
    </row>
    <row r="355" spans="2:40" s="7" customFormat="1" ht="12" customHeight="1" outlineLevel="1">
      <c r="B355" s="239"/>
      <c r="C355" s="214" t="s">
        <v>833</v>
      </c>
      <c r="D355" s="214"/>
      <c r="E355" s="232">
        <f>146+33</f>
        <v>179</v>
      </c>
      <c r="F355" s="232">
        <f>134+21</f>
        <v>155</v>
      </c>
      <c r="G355" s="232">
        <f>109+18</f>
        <v>127</v>
      </c>
      <c r="H355" s="232">
        <f>369+9</f>
        <v>378</v>
      </c>
      <c r="I355" s="232">
        <f>131+20</f>
        <v>151</v>
      </c>
      <c r="J355" s="232">
        <f>415+20</f>
        <v>435</v>
      </c>
      <c r="K355" s="232">
        <f>363+21</f>
        <v>384</v>
      </c>
      <c r="L355" s="232">
        <f>109+88</f>
        <v>197</v>
      </c>
      <c r="M355" s="205">
        <f t="shared" ref="M355:AN355" si="214">M352+M354</f>
        <v>331.5</v>
      </c>
      <c r="N355" s="205">
        <f t="shared" si="214"/>
        <v>331.5</v>
      </c>
      <c r="O355" s="205">
        <f t="shared" si="214"/>
        <v>191.25</v>
      </c>
      <c r="P355" s="205">
        <f t="shared" si="214"/>
        <v>127.5</v>
      </c>
      <c r="Q355" s="205">
        <f t="shared" si="214"/>
        <v>164.19348000000002</v>
      </c>
      <c r="R355" s="205">
        <f t="shared" si="214"/>
        <v>292.16879999999998</v>
      </c>
      <c r="S355" s="205">
        <f t="shared" si="214"/>
        <v>269.00459999999998</v>
      </c>
      <c r="T355" s="205">
        <f t="shared" si="214"/>
        <v>68.767040000000009</v>
      </c>
      <c r="U355" s="205">
        <f t="shared" si="214"/>
        <v>62.007840000000002</v>
      </c>
      <c r="V355" s="205">
        <f t="shared" si="214"/>
        <v>212.55984000000001</v>
      </c>
      <c r="W355" s="205">
        <f t="shared" si="214"/>
        <v>116.92260000000002</v>
      </c>
      <c r="X355" s="205">
        <f t="shared" si="214"/>
        <v>88.34559999999999</v>
      </c>
      <c r="Y355" s="205">
        <f t="shared" si="214"/>
        <v>159.12</v>
      </c>
      <c r="Z355" s="205">
        <f t="shared" si="214"/>
        <v>132.6</v>
      </c>
      <c r="AA355" s="205">
        <f t="shared" si="214"/>
        <v>51</v>
      </c>
      <c r="AB355" s="205">
        <f t="shared" si="214"/>
        <v>51</v>
      </c>
      <c r="AC355" s="205">
        <f t="shared" si="214"/>
        <v>410.48370000000006</v>
      </c>
      <c r="AD355" s="205">
        <f t="shared" si="214"/>
        <v>730.42200000000014</v>
      </c>
      <c r="AE355" s="205">
        <f t="shared" si="214"/>
        <v>672.51150000000007</v>
      </c>
      <c r="AF355" s="205">
        <f t="shared" si="214"/>
        <v>515.75280000000009</v>
      </c>
      <c r="AG355" s="205">
        <f t="shared" si="214"/>
        <v>465.05879999999996</v>
      </c>
      <c r="AH355" s="205">
        <f t="shared" si="214"/>
        <v>1594.1987999999999</v>
      </c>
      <c r="AI355" s="205">
        <f t="shared" si="214"/>
        <v>526.15169999999989</v>
      </c>
      <c r="AJ355" s="205">
        <f t="shared" si="214"/>
        <v>662.59199999999998</v>
      </c>
      <c r="AK355" s="205">
        <f t="shared" si="214"/>
        <v>1193.4000000000001</v>
      </c>
      <c r="AL355" s="205">
        <f t="shared" si="214"/>
        <v>994.5</v>
      </c>
      <c r="AM355" s="205">
        <f t="shared" si="214"/>
        <v>382.5</v>
      </c>
      <c r="AN355" s="205">
        <f t="shared" si="214"/>
        <v>382.5</v>
      </c>
    </row>
    <row r="356" spans="2:40" s="7" customFormat="1" ht="12" customHeight="1" outlineLevel="1">
      <c r="B356" s="239"/>
      <c r="C356" s="214" t="s">
        <v>834</v>
      </c>
      <c r="D356" s="214"/>
      <c r="E356" s="232">
        <v>33</v>
      </c>
      <c r="F356" s="232">
        <v>21</v>
      </c>
      <c r="G356" s="232">
        <v>18</v>
      </c>
      <c r="H356" s="232">
        <v>9</v>
      </c>
      <c r="I356" s="232">
        <v>20</v>
      </c>
      <c r="J356" s="232">
        <v>20</v>
      </c>
      <c r="K356" s="232">
        <v>21</v>
      </c>
      <c r="L356" s="232">
        <v>88</v>
      </c>
      <c r="M356" s="205">
        <f t="shared" ref="M356:AN356" si="215">M364+M365</f>
        <v>99.450000000000017</v>
      </c>
      <c r="N356" s="205">
        <f t="shared" si="215"/>
        <v>99.450000000000017</v>
      </c>
      <c r="O356" s="205">
        <f t="shared" si="215"/>
        <v>57.375000000000007</v>
      </c>
      <c r="P356" s="205">
        <f t="shared" si="215"/>
        <v>38.250000000000007</v>
      </c>
      <c r="Q356" s="205">
        <f t="shared" si="215"/>
        <v>49.258044000000012</v>
      </c>
      <c r="R356" s="205">
        <f t="shared" si="215"/>
        <v>87.65064000000001</v>
      </c>
      <c r="S356" s="205">
        <f t="shared" si="215"/>
        <v>80.70138</v>
      </c>
      <c r="T356" s="205">
        <f t="shared" si="215"/>
        <v>20.630112000000004</v>
      </c>
      <c r="U356" s="205">
        <f t="shared" si="215"/>
        <v>18.602352000000003</v>
      </c>
      <c r="V356" s="205">
        <f t="shared" si="215"/>
        <v>63.767952000000015</v>
      </c>
      <c r="W356" s="205">
        <f t="shared" si="215"/>
        <v>35.076780000000014</v>
      </c>
      <c r="X356" s="205">
        <f t="shared" si="215"/>
        <v>26.503680000000003</v>
      </c>
      <c r="Y356" s="205">
        <f t="shared" si="215"/>
        <v>47.736000000000011</v>
      </c>
      <c r="Z356" s="205">
        <f t="shared" si="215"/>
        <v>39.78</v>
      </c>
      <c r="AA356" s="205">
        <f t="shared" si="215"/>
        <v>15.300000000000002</v>
      </c>
      <c r="AB356" s="205">
        <f t="shared" si="215"/>
        <v>15.300000000000002</v>
      </c>
      <c r="AC356" s="205">
        <f t="shared" si="215"/>
        <v>123.14511000000003</v>
      </c>
      <c r="AD356" s="205">
        <f t="shared" si="215"/>
        <v>219.12660000000008</v>
      </c>
      <c r="AE356" s="205">
        <f t="shared" si="215"/>
        <v>201.75345000000004</v>
      </c>
      <c r="AF356" s="205">
        <f t="shared" si="215"/>
        <v>154.72584000000006</v>
      </c>
      <c r="AG356" s="205">
        <f t="shared" si="215"/>
        <v>139.51764</v>
      </c>
      <c r="AH356" s="205">
        <f t="shared" si="215"/>
        <v>478.25964000000005</v>
      </c>
      <c r="AI356" s="205">
        <f t="shared" si="215"/>
        <v>157.84550999999999</v>
      </c>
      <c r="AJ356" s="205">
        <f t="shared" si="215"/>
        <v>198.77760000000004</v>
      </c>
      <c r="AK356" s="205">
        <f t="shared" si="215"/>
        <v>358.0200000000001</v>
      </c>
      <c r="AL356" s="205">
        <f t="shared" si="215"/>
        <v>298.35000000000002</v>
      </c>
      <c r="AM356" s="205">
        <f t="shared" si="215"/>
        <v>114.75000000000001</v>
      </c>
      <c r="AN356" s="205">
        <f t="shared" si="215"/>
        <v>114.75000000000001</v>
      </c>
    </row>
    <row r="357" spans="2:40" s="7" customFormat="1" ht="12" customHeight="1" outlineLevel="1">
      <c r="B357" s="239"/>
      <c r="C357" s="214" t="s">
        <v>835</v>
      </c>
      <c r="D357" s="214"/>
      <c r="E357" s="232"/>
      <c r="F357" s="232"/>
      <c r="G357" s="232"/>
      <c r="H357" s="232"/>
      <c r="I357" s="232"/>
      <c r="J357" s="232"/>
      <c r="K357" s="232"/>
      <c r="L357" s="232"/>
      <c r="M357" s="205"/>
      <c r="N357" s="205"/>
      <c r="O357" s="205"/>
      <c r="P357" s="205"/>
      <c r="Q357" s="205"/>
      <c r="R357" s="205"/>
      <c r="S357" s="205"/>
      <c r="T357" s="205"/>
      <c r="U357" s="205"/>
      <c r="V357" s="205"/>
      <c r="W357" s="205"/>
      <c r="X357" s="205"/>
      <c r="Y357" s="205"/>
      <c r="Z357" s="205"/>
      <c r="AA357" s="205"/>
      <c r="AB357" s="205"/>
      <c r="AC357" s="205"/>
      <c r="AD357" s="205"/>
      <c r="AE357" s="205"/>
      <c r="AF357" s="205"/>
      <c r="AG357" s="205"/>
      <c r="AH357" s="205"/>
      <c r="AI357" s="205"/>
      <c r="AJ357" s="205"/>
      <c r="AK357" s="205"/>
      <c r="AL357" s="205"/>
      <c r="AM357" s="205"/>
      <c r="AN357" s="205"/>
    </row>
    <row r="358" spans="2:40" s="7" customFormat="1" ht="12" customHeight="1" outlineLevel="1">
      <c r="B358" s="239"/>
      <c r="C358" s="214" t="s">
        <v>836</v>
      </c>
      <c r="D358" s="214"/>
      <c r="E358" s="232"/>
      <c r="F358" s="232"/>
      <c r="G358" s="232"/>
      <c r="H358" s="232"/>
      <c r="I358" s="232"/>
      <c r="J358" s="232"/>
      <c r="K358" s="232"/>
      <c r="L358" s="232"/>
      <c r="M358" s="205"/>
      <c r="N358" s="205"/>
      <c r="O358" s="205"/>
      <c r="P358" s="205"/>
      <c r="Q358" s="205"/>
      <c r="R358" s="205"/>
      <c r="S358" s="205"/>
      <c r="T358" s="205"/>
      <c r="U358" s="205"/>
      <c r="V358" s="205"/>
      <c r="W358" s="205"/>
      <c r="X358" s="205"/>
      <c r="Y358" s="205"/>
      <c r="Z358" s="205"/>
      <c r="AA358" s="205"/>
      <c r="AB358" s="205"/>
      <c r="AC358" s="205"/>
      <c r="AD358" s="205"/>
      <c r="AE358" s="205"/>
      <c r="AF358" s="205"/>
      <c r="AG358" s="205"/>
      <c r="AH358" s="205"/>
      <c r="AI358" s="205"/>
      <c r="AJ358" s="205"/>
      <c r="AK358" s="205"/>
      <c r="AL358" s="205"/>
      <c r="AM358" s="205"/>
      <c r="AN358" s="205"/>
    </row>
    <row r="359" spans="2:40" ht="12" customHeight="1" outlineLevel="1">
      <c r="B359" s="301" t="s">
        <v>911</v>
      </c>
      <c r="C359" s="303" t="s">
        <v>837</v>
      </c>
      <c r="D359" s="303"/>
      <c r="E359" s="317">
        <f>1-(E356/E355)</f>
        <v>0.81564245810055869</v>
      </c>
      <c r="F359" s="317">
        <f t="shared" ref="F359:I359" si="216">1-(F356/F355)</f>
        <v>0.86451612903225805</v>
      </c>
      <c r="G359" s="317">
        <f t="shared" si="216"/>
        <v>0.8582677165354331</v>
      </c>
      <c r="H359" s="317">
        <f t="shared" si="216"/>
        <v>0.97619047619047616</v>
      </c>
      <c r="I359" s="317">
        <f t="shared" si="216"/>
        <v>0.86754966887417218</v>
      </c>
      <c r="J359" s="317">
        <f t="shared" ref="J359:K359" si="217">(J355-J356)/J355</f>
        <v>0.95402298850574707</v>
      </c>
      <c r="K359" s="317">
        <f t="shared" si="217"/>
        <v>0.9453125</v>
      </c>
      <c r="L359" s="317">
        <f t="shared" ref="L359" si="218">(L355-L356)/L355</f>
        <v>0.5532994923857868</v>
      </c>
      <c r="M359" s="318">
        <v>0.7</v>
      </c>
      <c r="N359" s="318">
        <v>0.7</v>
      </c>
      <c r="O359" s="318">
        <v>0.7</v>
      </c>
      <c r="P359" s="318">
        <v>0.7</v>
      </c>
      <c r="Q359" s="318">
        <v>0.7</v>
      </c>
      <c r="R359" s="318">
        <v>0.7</v>
      </c>
      <c r="S359" s="318">
        <v>0.7</v>
      </c>
      <c r="T359" s="318">
        <v>0.7</v>
      </c>
      <c r="U359" s="318">
        <v>0.7</v>
      </c>
      <c r="V359" s="318">
        <v>0.7</v>
      </c>
      <c r="W359" s="318">
        <v>0.7</v>
      </c>
      <c r="X359" s="318">
        <v>0.7</v>
      </c>
      <c r="Y359" s="318">
        <v>0.7</v>
      </c>
      <c r="Z359" s="318">
        <v>0.7</v>
      </c>
      <c r="AA359" s="318">
        <v>0.7</v>
      </c>
      <c r="AB359" s="318">
        <v>0.7</v>
      </c>
      <c r="AC359" s="318">
        <v>0.7</v>
      </c>
      <c r="AD359" s="318">
        <v>0.7</v>
      </c>
      <c r="AE359" s="318">
        <v>0.7</v>
      </c>
      <c r="AF359" s="318">
        <v>0.7</v>
      </c>
      <c r="AG359" s="318">
        <v>0.7</v>
      </c>
      <c r="AH359" s="318">
        <v>0.7</v>
      </c>
      <c r="AI359" s="318">
        <v>0.7</v>
      </c>
      <c r="AJ359" s="318">
        <v>0.7</v>
      </c>
      <c r="AK359" s="318">
        <v>0.7</v>
      </c>
      <c r="AL359" s="318">
        <v>0.7</v>
      </c>
      <c r="AM359" s="318">
        <v>0.7</v>
      </c>
      <c r="AN359" s="318">
        <v>0.7</v>
      </c>
    </row>
    <row r="360" spans="2:40" ht="12" customHeight="1" outlineLevel="1">
      <c r="B360" s="301"/>
      <c r="C360" s="303" t="s">
        <v>839</v>
      </c>
      <c r="D360" s="303"/>
      <c r="E360" s="317">
        <f>1-E359</f>
        <v>0.18435754189944131</v>
      </c>
      <c r="F360" s="317">
        <f t="shared" ref="F360:K360" si="219">1-F359</f>
        <v>0.13548387096774195</v>
      </c>
      <c r="G360" s="317">
        <f t="shared" si="219"/>
        <v>0.1417322834645669</v>
      </c>
      <c r="H360" s="317">
        <f t="shared" si="219"/>
        <v>2.3809523809523836E-2</v>
      </c>
      <c r="I360" s="317">
        <f t="shared" si="219"/>
        <v>0.13245033112582782</v>
      </c>
      <c r="J360" s="317">
        <f t="shared" si="219"/>
        <v>4.5977011494252928E-2</v>
      </c>
      <c r="K360" s="317">
        <f t="shared" si="219"/>
        <v>5.46875E-2</v>
      </c>
      <c r="L360" s="317">
        <f t="shared" ref="L360" si="220">1-L359</f>
        <v>0.4467005076142132</v>
      </c>
      <c r="M360" s="318">
        <f t="shared" ref="M360:AN360" si="221">1-M359</f>
        <v>0.30000000000000004</v>
      </c>
      <c r="N360" s="318">
        <f t="shared" si="221"/>
        <v>0.30000000000000004</v>
      </c>
      <c r="O360" s="318">
        <f t="shared" si="221"/>
        <v>0.30000000000000004</v>
      </c>
      <c r="P360" s="318">
        <f t="shared" si="221"/>
        <v>0.30000000000000004</v>
      </c>
      <c r="Q360" s="318">
        <f t="shared" si="221"/>
        <v>0.30000000000000004</v>
      </c>
      <c r="R360" s="318">
        <f t="shared" si="221"/>
        <v>0.30000000000000004</v>
      </c>
      <c r="S360" s="318">
        <f t="shared" si="221"/>
        <v>0.30000000000000004</v>
      </c>
      <c r="T360" s="318">
        <f t="shared" si="221"/>
        <v>0.30000000000000004</v>
      </c>
      <c r="U360" s="318">
        <f t="shared" si="221"/>
        <v>0.30000000000000004</v>
      </c>
      <c r="V360" s="318">
        <f t="shared" si="221"/>
        <v>0.30000000000000004</v>
      </c>
      <c r="W360" s="318">
        <f t="shared" si="221"/>
        <v>0.30000000000000004</v>
      </c>
      <c r="X360" s="318">
        <f t="shared" si="221"/>
        <v>0.30000000000000004</v>
      </c>
      <c r="Y360" s="318">
        <f t="shared" si="221"/>
        <v>0.30000000000000004</v>
      </c>
      <c r="Z360" s="318">
        <f t="shared" si="221"/>
        <v>0.30000000000000004</v>
      </c>
      <c r="AA360" s="318">
        <f t="shared" si="221"/>
        <v>0.30000000000000004</v>
      </c>
      <c r="AB360" s="318">
        <f t="shared" si="221"/>
        <v>0.30000000000000004</v>
      </c>
      <c r="AC360" s="318">
        <f t="shared" si="221"/>
        <v>0.30000000000000004</v>
      </c>
      <c r="AD360" s="318">
        <f t="shared" si="221"/>
        <v>0.30000000000000004</v>
      </c>
      <c r="AE360" s="318">
        <f t="shared" si="221"/>
        <v>0.30000000000000004</v>
      </c>
      <c r="AF360" s="318">
        <f t="shared" si="221"/>
        <v>0.30000000000000004</v>
      </c>
      <c r="AG360" s="318">
        <f t="shared" si="221"/>
        <v>0.30000000000000004</v>
      </c>
      <c r="AH360" s="318">
        <f t="shared" si="221"/>
        <v>0.30000000000000004</v>
      </c>
      <c r="AI360" s="318">
        <f t="shared" si="221"/>
        <v>0.30000000000000004</v>
      </c>
      <c r="AJ360" s="318">
        <f t="shared" si="221"/>
        <v>0.30000000000000004</v>
      </c>
      <c r="AK360" s="318">
        <f t="shared" si="221"/>
        <v>0.30000000000000004</v>
      </c>
      <c r="AL360" s="318">
        <f t="shared" si="221"/>
        <v>0.30000000000000004</v>
      </c>
      <c r="AM360" s="318">
        <f t="shared" si="221"/>
        <v>0.30000000000000004</v>
      </c>
      <c r="AN360" s="318">
        <f t="shared" si="221"/>
        <v>0.30000000000000004</v>
      </c>
    </row>
    <row r="361" spans="2:40" ht="12" customHeight="1" outlineLevel="1">
      <c r="B361" s="301"/>
      <c r="C361" s="303" t="s">
        <v>840</v>
      </c>
      <c r="D361" s="303"/>
      <c r="E361" s="317">
        <v>0</v>
      </c>
      <c r="F361" s="317">
        <v>0</v>
      </c>
      <c r="G361" s="317">
        <v>0</v>
      </c>
      <c r="H361" s="317">
        <v>0</v>
      </c>
      <c r="I361" s="317">
        <v>0</v>
      </c>
      <c r="J361" s="317">
        <v>0</v>
      </c>
      <c r="K361" s="317">
        <v>0</v>
      </c>
      <c r="L361" s="317">
        <v>0</v>
      </c>
      <c r="M361" s="318">
        <v>0</v>
      </c>
      <c r="N361" s="318">
        <v>0</v>
      </c>
      <c r="O361" s="318">
        <v>0</v>
      </c>
      <c r="P361" s="318">
        <v>0</v>
      </c>
      <c r="Q361" s="318">
        <v>0</v>
      </c>
      <c r="R361" s="318">
        <v>0</v>
      </c>
      <c r="S361" s="318">
        <v>0</v>
      </c>
      <c r="T361" s="318">
        <v>0</v>
      </c>
      <c r="U361" s="318">
        <v>0</v>
      </c>
      <c r="V361" s="318">
        <v>0</v>
      </c>
      <c r="W361" s="318">
        <v>0</v>
      </c>
      <c r="X361" s="318">
        <v>0</v>
      </c>
      <c r="Y361" s="318">
        <v>0</v>
      </c>
      <c r="Z361" s="318">
        <v>0</v>
      </c>
      <c r="AA361" s="318">
        <v>0</v>
      </c>
      <c r="AB361" s="318">
        <v>0</v>
      </c>
      <c r="AC361" s="318">
        <v>0</v>
      </c>
      <c r="AD361" s="318">
        <v>0</v>
      </c>
      <c r="AE361" s="318">
        <v>0</v>
      </c>
      <c r="AF361" s="318">
        <v>0</v>
      </c>
      <c r="AG361" s="318">
        <v>0</v>
      </c>
      <c r="AH361" s="318">
        <v>0</v>
      </c>
      <c r="AI361" s="318">
        <v>0</v>
      </c>
      <c r="AJ361" s="318">
        <v>0</v>
      </c>
      <c r="AK361" s="318">
        <v>0</v>
      </c>
      <c r="AL361" s="318">
        <v>0</v>
      </c>
      <c r="AM361" s="318">
        <v>0</v>
      </c>
      <c r="AN361" s="318">
        <v>0</v>
      </c>
    </row>
    <row r="362" spans="2:40" s="7" customFormat="1" ht="12" customHeight="1" outlineLevel="1">
      <c r="B362" s="237"/>
      <c r="C362" s="208"/>
      <c r="D362" s="208"/>
      <c r="E362" s="216"/>
      <c r="F362" s="216"/>
      <c r="G362" s="216"/>
      <c r="H362" s="216"/>
      <c r="I362" s="216"/>
      <c r="J362" s="216"/>
      <c r="K362" s="216"/>
      <c r="L362" s="216"/>
      <c r="M362" s="216"/>
      <c r="N362" s="216"/>
      <c r="O362" s="216"/>
      <c r="P362" s="216"/>
      <c r="Q362" s="216"/>
      <c r="R362" s="216"/>
      <c r="S362" s="216"/>
      <c r="T362" s="216"/>
      <c r="U362" s="216"/>
      <c r="V362" s="216"/>
      <c r="W362" s="216"/>
      <c r="X362" s="216"/>
      <c r="Y362" s="216"/>
      <c r="Z362" s="216"/>
      <c r="AA362" s="216"/>
      <c r="AB362" s="216"/>
      <c r="AC362" s="216"/>
      <c r="AD362" s="216"/>
      <c r="AE362" s="216"/>
      <c r="AF362" s="216"/>
      <c r="AG362" s="216"/>
      <c r="AH362" s="216"/>
      <c r="AI362" s="216"/>
      <c r="AJ362" s="216"/>
      <c r="AK362" s="216"/>
      <c r="AL362" s="216"/>
      <c r="AM362" s="216"/>
      <c r="AN362" s="216"/>
    </row>
    <row r="363" spans="2:40" s="7" customFormat="1" ht="12" customHeight="1" outlineLevel="1">
      <c r="B363" s="239"/>
      <c r="C363" s="214" t="s">
        <v>841</v>
      </c>
      <c r="D363" s="214"/>
      <c r="E363" s="209">
        <f>E355*E359</f>
        <v>146</v>
      </c>
      <c r="F363" s="209">
        <f>F355*F359</f>
        <v>134</v>
      </c>
      <c r="G363" s="209">
        <f t="shared" ref="G363:I363" si="222">G355*G359</f>
        <v>109</v>
      </c>
      <c r="H363" s="209">
        <f>H355*H359</f>
        <v>369</v>
      </c>
      <c r="I363" s="209">
        <f t="shared" si="222"/>
        <v>131</v>
      </c>
      <c r="J363" s="209">
        <f t="shared" ref="J363:AN363" si="223">J355*J359</f>
        <v>415</v>
      </c>
      <c r="K363" s="209">
        <f t="shared" si="223"/>
        <v>363</v>
      </c>
      <c r="L363" s="209">
        <f t="shared" si="223"/>
        <v>109</v>
      </c>
      <c r="M363" s="209">
        <f t="shared" si="223"/>
        <v>232.04999999999998</v>
      </c>
      <c r="N363" s="209">
        <f t="shared" si="223"/>
        <v>232.04999999999998</v>
      </c>
      <c r="O363" s="209">
        <f t="shared" si="223"/>
        <v>133.875</v>
      </c>
      <c r="P363" s="209">
        <f t="shared" si="223"/>
        <v>89.25</v>
      </c>
      <c r="Q363" s="209">
        <f t="shared" si="223"/>
        <v>114.93543600000001</v>
      </c>
      <c r="R363" s="209">
        <f t="shared" si="223"/>
        <v>204.51815999999997</v>
      </c>
      <c r="S363" s="209">
        <f t="shared" si="223"/>
        <v>188.30321999999998</v>
      </c>
      <c r="T363" s="209">
        <f t="shared" si="223"/>
        <v>48.136928000000005</v>
      </c>
      <c r="U363" s="209">
        <f t="shared" si="223"/>
        <v>43.405487999999998</v>
      </c>
      <c r="V363" s="209">
        <f t="shared" si="223"/>
        <v>148.791888</v>
      </c>
      <c r="W363" s="209">
        <f t="shared" si="223"/>
        <v>81.845820000000003</v>
      </c>
      <c r="X363" s="209">
        <f t="shared" si="223"/>
        <v>61.841919999999988</v>
      </c>
      <c r="Y363" s="209">
        <f t="shared" si="223"/>
        <v>111.384</v>
      </c>
      <c r="Z363" s="209">
        <f t="shared" si="223"/>
        <v>92.82</v>
      </c>
      <c r="AA363" s="209">
        <f t="shared" si="223"/>
        <v>35.699999999999996</v>
      </c>
      <c r="AB363" s="209">
        <f t="shared" si="223"/>
        <v>35.699999999999996</v>
      </c>
      <c r="AC363" s="209">
        <f t="shared" si="223"/>
        <v>287.33859000000001</v>
      </c>
      <c r="AD363" s="209">
        <f t="shared" si="223"/>
        <v>511.29540000000009</v>
      </c>
      <c r="AE363" s="209">
        <f t="shared" si="223"/>
        <v>470.75805000000003</v>
      </c>
      <c r="AF363" s="209">
        <f t="shared" si="223"/>
        <v>361.02696000000003</v>
      </c>
      <c r="AG363" s="209">
        <f t="shared" si="223"/>
        <v>325.54115999999993</v>
      </c>
      <c r="AH363" s="209">
        <f t="shared" si="223"/>
        <v>1115.9391599999999</v>
      </c>
      <c r="AI363" s="209">
        <f t="shared" si="223"/>
        <v>368.3061899999999</v>
      </c>
      <c r="AJ363" s="209">
        <f t="shared" si="223"/>
        <v>463.81439999999998</v>
      </c>
      <c r="AK363" s="209">
        <f t="shared" si="223"/>
        <v>835.38</v>
      </c>
      <c r="AL363" s="209">
        <f t="shared" si="223"/>
        <v>696.15</v>
      </c>
      <c r="AM363" s="209">
        <f t="shared" si="223"/>
        <v>267.75</v>
      </c>
      <c r="AN363" s="209">
        <f t="shared" si="223"/>
        <v>267.75</v>
      </c>
    </row>
    <row r="364" spans="2:40" s="7" customFormat="1" ht="12" customHeight="1" outlineLevel="1">
      <c r="B364" s="239"/>
      <c r="C364" s="214" t="s">
        <v>842</v>
      </c>
      <c r="D364" s="214"/>
      <c r="E364" s="209">
        <f>E355*E360</f>
        <v>32.999999999999993</v>
      </c>
      <c r="F364" s="209">
        <f t="shared" ref="F364:I364" si="224">F355*F360</f>
        <v>21.000000000000004</v>
      </c>
      <c r="G364" s="209">
        <f t="shared" si="224"/>
        <v>17.999999999999996</v>
      </c>
      <c r="H364" s="209">
        <f t="shared" si="224"/>
        <v>9.0000000000000107</v>
      </c>
      <c r="I364" s="209">
        <f t="shared" si="224"/>
        <v>20</v>
      </c>
      <c r="J364" s="209">
        <f t="shared" ref="J364:AN364" si="225">J355*J360</f>
        <v>20.000000000000025</v>
      </c>
      <c r="K364" s="209">
        <f t="shared" si="225"/>
        <v>21</v>
      </c>
      <c r="L364" s="209">
        <f t="shared" si="225"/>
        <v>88</v>
      </c>
      <c r="M364" s="209">
        <f t="shared" si="225"/>
        <v>99.450000000000017</v>
      </c>
      <c r="N364" s="209">
        <f t="shared" si="225"/>
        <v>99.450000000000017</v>
      </c>
      <c r="O364" s="209">
        <f t="shared" si="225"/>
        <v>57.375000000000007</v>
      </c>
      <c r="P364" s="209">
        <f t="shared" si="225"/>
        <v>38.250000000000007</v>
      </c>
      <c r="Q364" s="209">
        <f t="shared" si="225"/>
        <v>49.258044000000012</v>
      </c>
      <c r="R364" s="209">
        <f t="shared" si="225"/>
        <v>87.65064000000001</v>
      </c>
      <c r="S364" s="209">
        <f t="shared" si="225"/>
        <v>80.70138</v>
      </c>
      <c r="T364" s="209">
        <f t="shared" si="225"/>
        <v>20.630112000000004</v>
      </c>
      <c r="U364" s="209">
        <f t="shared" si="225"/>
        <v>18.602352000000003</v>
      </c>
      <c r="V364" s="209">
        <f t="shared" si="225"/>
        <v>63.767952000000015</v>
      </c>
      <c r="W364" s="209">
        <f t="shared" si="225"/>
        <v>35.076780000000014</v>
      </c>
      <c r="X364" s="209">
        <f t="shared" si="225"/>
        <v>26.503680000000003</v>
      </c>
      <c r="Y364" s="209">
        <f t="shared" si="225"/>
        <v>47.736000000000011</v>
      </c>
      <c r="Z364" s="209">
        <f t="shared" si="225"/>
        <v>39.78</v>
      </c>
      <c r="AA364" s="209">
        <f t="shared" si="225"/>
        <v>15.300000000000002</v>
      </c>
      <c r="AB364" s="209">
        <f t="shared" si="225"/>
        <v>15.300000000000002</v>
      </c>
      <c r="AC364" s="209">
        <f t="shared" si="225"/>
        <v>123.14511000000003</v>
      </c>
      <c r="AD364" s="209">
        <f t="shared" si="225"/>
        <v>219.12660000000008</v>
      </c>
      <c r="AE364" s="209">
        <f t="shared" si="225"/>
        <v>201.75345000000004</v>
      </c>
      <c r="AF364" s="209">
        <f t="shared" si="225"/>
        <v>154.72584000000006</v>
      </c>
      <c r="AG364" s="209">
        <f t="shared" si="225"/>
        <v>139.51764</v>
      </c>
      <c r="AH364" s="209">
        <f t="shared" si="225"/>
        <v>478.25964000000005</v>
      </c>
      <c r="AI364" s="209">
        <f t="shared" si="225"/>
        <v>157.84550999999999</v>
      </c>
      <c r="AJ364" s="209">
        <f t="shared" si="225"/>
        <v>198.77760000000004</v>
      </c>
      <c r="AK364" s="209">
        <f t="shared" si="225"/>
        <v>358.0200000000001</v>
      </c>
      <c r="AL364" s="209">
        <f t="shared" si="225"/>
        <v>298.35000000000002</v>
      </c>
      <c r="AM364" s="209">
        <f t="shared" si="225"/>
        <v>114.75000000000001</v>
      </c>
      <c r="AN364" s="209">
        <f t="shared" si="225"/>
        <v>114.75000000000001</v>
      </c>
    </row>
    <row r="365" spans="2:40" s="7" customFormat="1" ht="12" customHeight="1" outlineLevel="1">
      <c r="B365" s="239"/>
      <c r="C365" s="214" t="s">
        <v>843</v>
      </c>
      <c r="D365" s="214"/>
      <c r="E365" s="209">
        <f>E355*E361</f>
        <v>0</v>
      </c>
      <c r="F365" s="209">
        <f t="shared" ref="F365:I365" si="226">F355*F361</f>
        <v>0</v>
      </c>
      <c r="G365" s="209">
        <f t="shared" si="226"/>
        <v>0</v>
      </c>
      <c r="H365" s="209">
        <f t="shared" si="226"/>
        <v>0</v>
      </c>
      <c r="I365" s="209">
        <f t="shared" si="226"/>
        <v>0</v>
      </c>
      <c r="J365" s="209">
        <f t="shared" ref="J365:AN365" si="227">J355*J361</f>
        <v>0</v>
      </c>
      <c r="K365" s="209">
        <f t="shared" si="227"/>
        <v>0</v>
      </c>
      <c r="L365" s="209">
        <f t="shared" si="227"/>
        <v>0</v>
      </c>
      <c r="M365" s="209">
        <f t="shared" si="227"/>
        <v>0</v>
      </c>
      <c r="N365" s="209">
        <f t="shared" si="227"/>
        <v>0</v>
      </c>
      <c r="O365" s="209">
        <f t="shared" si="227"/>
        <v>0</v>
      </c>
      <c r="P365" s="209">
        <f t="shared" si="227"/>
        <v>0</v>
      </c>
      <c r="Q365" s="209">
        <f t="shared" si="227"/>
        <v>0</v>
      </c>
      <c r="R365" s="209">
        <f t="shared" si="227"/>
        <v>0</v>
      </c>
      <c r="S365" s="209">
        <f t="shared" si="227"/>
        <v>0</v>
      </c>
      <c r="T365" s="209">
        <f t="shared" si="227"/>
        <v>0</v>
      </c>
      <c r="U365" s="209">
        <f t="shared" si="227"/>
        <v>0</v>
      </c>
      <c r="V365" s="209">
        <f t="shared" si="227"/>
        <v>0</v>
      </c>
      <c r="W365" s="209">
        <f t="shared" si="227"/>
        <v>0</v>
      </c>
      <c r="X365" s="209">
        <f t="shared" si="227"/>
        <v>0</v>
      </c>
      <c r="Y365" s="209">
        <f t="shared" si="227"/>
        <v>0</v>
      </c>
      <c r="Z365" s="209">
        <f t="shared" si="227"/>
        <v>0</v>
      </c>
      <c r="AA365" s="209">
        <f t="shared" si="227"/>
        <v>0</v>
      </c>
      <c r="AB365" s="209">
        <f t="shared" si="227"/>
        <v>0</v>
      </c>
      <c r="AC365" s="209">
        <f t="shared" si="227"/>
        <v>0</v>
      </c>
      <c r="AD365" s="209">
        <f t="shared" si="227"/>
        <v>0</v>
      </c>
      <c r="AE365" s="209">
        <f t="shared" si="227"/>
        <v>0</v>
      </c>
      <c r="AF365" s="209">
        <f t="shared" si="227"/>
        <v>0</v>
      </c>
      <c r="AG365" s="209">
        <f t="shared" si="227"/>
        <v>0</v>
      </c>
      <c r="AH365" s="209">
        <f t="shared" si="227"/>
        <v>0</v>
      </c>
      <c r="AI365" s="209">
        <f t="shared" si="227"/>
        <v>0</v>
      </c>
      <c r="AJ365" s="209">
        <f t="shared" si="227"/>
        <v>0</v>
      </c>
      <c r="AK365" s="209">
        <f t="shared" si="227"/>
        <v>0</v>
      </c>
      <c r="AL365" s="209">
        <f t="shared" si="227"/>
        <v>0</v>
      </c>
      <c r="AM365" s="209">
        <f t="shared" si="227"/>
        <v>0</v>
      </c>
      <c r="AN365" s="209">
        <f t="shared" si="227"/>
        <v>0</v>
      </c>
    </row>
    <row r="366" spans="2:40" s="7" customFormat="1" ht="12" customHeight="1" outlineLevel="1">
      <c r="B366" s="239"/>
      <c r="C366" s="214" t="s">
        <v>844</v>
      </c>
      <c r="D366" s="214"/>
      <c r="E366" s="209">
        <f>IF((SUM(E376:E412)-E363)&lt;2,ROUNDUP(SUM(E376:E412),0)-E363,ROUNDDOWN(SUM(E376:E412),0)-E363)</f>
        <v>418</v>
      </c>
      <c r="F366" s="209">
        <f t="shared" ref="F366:I366" si="228">IF((SUM(F376:F412)-F363)&lt;2,ROUNDUP(SUM(F376:F412),0)-F363,ROUNDDOWN(SUM(F376:F412),0)-F363)</f>
        <v>520</v>
      </c>
      <c r="G366" s="209">
        <f t="shared" si="228"/>
        <v>1498</v>
      </c>
      <c r="H366" s="209">
        <f>IF((SUM(H376:H412)-H363)&lt;2,ROUNDUP(SUM(H376:H412),0)-H363,ROUNDDOWN(SUM(H376:H412),0)-H363)</f>
        <v>3097</v>
      </c>
      <c r="I366" s="209">
        <f t="shared" si="228"/>
        <v>303</v>
      </c>
      <c r="J366" s="209">
        <f t="shared" ref="J366:AN366" si="229">IF((SUM(J376:J412)-J363)&lt;2,ROUNDUP(SUM(J376:J412),0)-J363,ROUNDDOWN(SUM(J376:J412),0)-J363)</f>
        <v>272</v>
      </c>
      <c r="K366" s="209">
        <f t="shared" si="229"/>
        <v>245</v>
      </c>
      <c r="L366" s="209">
        <f t="shared" si="229"/>
        <v>220</v>
      </c>
      <c r="M366" s="209">
        <f t="shared" si="229"/>
        <v>197.95000000000002</v>
      </c>
      <c r="N366" s="209">
        <f t="shared" si="229"/>
        <v>177.95000000000002</v>
      </c>
      <c r="O366" s="209">
        <f t="shared" si="229"/>
        <v>160.125</v>
      </c>
      <c r="P366" s="209">
        <f t="shared" si="229"/>
        <v>144.75</v>
      </c>
      <c r="Q366" s="209">
        <f t="shared" si="229"/>
        <v>130.06456399999999</v>
      </c>
      <c r="R366" s="209">
        <f t="shared" si="229"/>
        <v>116.48184000000003</v>
      </c>
      <c r="S366" s="209">
        <f t="shared" si="229"/>
        <v>104.69678000000002</v>
      </c>
      <c r="T366" s="209">
        <f t="shared" si="229"/>
        <v>94.863071999999988</v>
      </c>
      <c r="U366" s="209">
        <f t="shared" si="229"/>
        <v>84.594512000000009</v>
      </c>
      <c r="V366" s="209">
        <f t="shared" si="229"/>
        <v>76.208112</v>
      </c>
      <c r="W366" s="209">
        <f t="shared" si="229"/>
        <v>69.154179999999997</v>
      </c>
      <c r="X366" s="209">
        <f t="shared" si="229"/>
        <v>62.158080000000012</v>
      </c>
      <c r="Y366" s="209">
        <f t="shared" si="229"/>
        <v>55.616</v>
      </c>
      <c r="Z366" s="209">
        <f t="shared" si="229"/>
        <v>50.180000000000007</v>
      </c>
      <c r="AA366" s="209">
        <f t="shared" si="229"/>
        <v>45.300000000000004</v>
      </c>
      <c r="AB366" s="209">
        <f t="shared" si="229"/>
        <v>40.300000000000004</v>
      </c>
      <c r="AC366" s="209">
        <f t="shared" si="229"/>
        <v>36.661409999999989</v>
      </c>
      <c r="AD366" s="209">
        <f t="shared" si="229"/>
        <v>32.704599999999914</v>
      </c>
      <c r="AE366" s="209">
        <f t="shared" si="229"/>
        <v>29.241949999999974</v>
      </c>
      <c r="AF366" s="209">
        <f t="shared" si="229"/>
        <v>25.973039999999969</v>
      </c>
      <c r="AG366" s="209">
        <f t="shared" si="229"/>
        <v>23.458840000000066</v>
      </c>
      <c r="AH366" s="209">
        <f t="shared" si="229"/>
        <v>21.060840000000098</v>
      </c>
      <c r="AI366" s="209">
        <f t="shared" si="229"/>
        <v>18.693810000000099</v>
      </c>
      <c r="AJ366" s="209">
        <f t="shared" si="229"/>
        <v>17.185600000000022</v>
      </c>
      <c r="AK366" s="209">
        <f t="shared" si="229"/>
        <v>15.620000000000005</v>
      </c>
      <c r="AL366" s="209">
        <f t="shared" si="229"/>
        <v>13.850000000000023</v>
      </c>
      <c r="AM366" s="209">
        <f t="shared" si="229"/>
        <v>12.25</v>
      </c>
      <c r="AN366" s="209">
        <f t="shared" si="229"/>
        <v>11.25</v>
      </c>
    </row>
    <row r="367" spans="2:40" s="7" customFormat="1" ht="12" customHeight="1" outlineLevel="1">
      <c r="B367" s="239"/>
      <c r="C367" s="214" t="s">
        <v>845</v>
      </c>
      <c r="D367" s="214"/>
      <c r="E367" s="209">
        <f>IF((SUM(E417:E453)-E364)&lt;2,ROUNDUP(SUM(E417:E453),0)-E364,ROUNDDOWN(SUM(E417:E453),0)-E364)</f>
        <v>322</v>
      </c>
      <c r="F367" s="209">
        <f t="shared" ref="F367:I367" si="230">IF((SUM(F417:F453)-F364)&lt;2,ROUNDUP(SUM(F417:F453),0)-F364,ROUNDDOWN(SUM(F417:F453),0)-F364)</f>
        <v>380</v>
      </c>
      <c r="G367" s="209">
        <f t="shared" si="230"/>
        <v>482</v>
      </c>
      <c r="H367" s="209">
        <f t="shared" si="230"/>
        <v>365</v>
      </c>
      <c r="I367" s="209">
        <f t="shared" si="230"/>
        <v>308</v>
      </c>
      <c r="J367" s="209">
        <f t="shared" ref="J367:AN367" si="231">IF((SUM(J417:J453)-J364)&lt;2,ROUNDUP(SUM(J417:J453),0)-J364,ROUNDDOWN(SUM(J417:J453),0)-J364)</f>
        <v>278</v>
      </c>
      <c r="K367" s="209">
        <f t="shared" si="231"/>
        <v>251</v>
      </c>
      <c r="L367" s="209">
        <f t="shared" si="231"/>
        <v>227</v>
      </c>
      <c r="M367" s="209">
        <f t="shared" si="231"/>
        <v>207.54999999999998</v>
      </c>
      <c r="N367" s="209">
        <f t="shared" si="231"/>
        <v>191.54999999999998</v>
      </c>
      <c r="O367" s="209">
        <f t="shared" si="231"/>
        <v>176.625</v>
      </c>
      <c r="P367" s="209">
        <f t="shared" si="231"/>
        <v>162.75</v>
      </c>
      <c r="Q367" s="209">
        <f t="shared" si="231"/>
        <v>148.74195599999999</v>
      </c>
      <c r="R367" s="209">
        <f t="shared" si="231"/>
        <v>137.34935999999999</v>
      </c>
      <c r="S367" s="209">
        <f t="shared" si="231"/>
        <v>127.29862</v>
      </c>
      <c r="T367" s="209">
        <f t="shared" si="231"/>
        <v>118.369888</v>
      </c>
      <c r="U367" s="209">
        <f t="shared" si="231"/>
        <v>108.397648</v>
      </c>
      <c r="V367" s="209">
        <f t="shared" si="231"/>
        <v>99.232047999999992</v>
      </c>
      <c r="W367" s="209">
        <f t="shared" si="231"/>
        <v>91.923219999999986</v>
      </c>
      <c r="X367" s="209">
        <f t="shared" si="231"/>
        <v>85.496319999999997</v>
      </c>
      <c r="Y367" s="209">
        <f t="shared" si="231"/>
        <v>80.263999999999982</v>
      </c>
      <c r="Z367" s="209">
        <f t="shared" si="231"/>
        <v>74.22</v>
      </c>
      <c r="AA367" s="209">
        <f t="shared" si="231"/>
        <v>68.7</v>
      </c>
      <c r="AB367" s="209">
        <f t="shared" si="231"/>
        <v>61.699999999999996</v>
      </c>
      <c r="AC367" s="209">
        <f t="shared" si="231"/>
        <v>56.854889999999969</v>
      </c>
      <c r="AD367" s="209">
        <f t="shared" si="231"/>
        <v>57.873399999999918</v>
      </c>
      <c r="AE367" s="209">
        <f t="shared" si="231"/>
        <v>57.246549999999957</v>
      </c>
      <c r="AF367" s="209">
        <f t="shared" si="231"/>
        <v>51.274159999999938</v>
      </c>
      <c r="AG367" s="209">
        <f t="shared" si="231"/>
        <v>44.48236</v>
      </c>
      <c r="AH367" s="209">
        <f t="shared" si="231"/>
        <v>41.740359999999953</v>
      </c>
      <c r="AI367" s="209">
        <f t="shared" si="231"/>
        <v>52.15449000000001</v>
      </c>
      <c r="AJ367" s="209">
        <f t="shared" si="231"/>
        <v>36.222399999999965</v>
      </c>
      <c r="AK367" s="209">
        <f t="shared" si="231"/>
        <v>35.979999999999905</v>
      </c>
      <c r="AL367" s="209">
        <f t="shared" si="231"/>
        <v>40.649999999999977</v>
      </c>
      <c r="AM367" s="209">
        <f t="shared" si="231"/>
        <v>36.249999999999986</v>
      </c>
      <c r="AN367" s="209">
        <f t="shared" si="231"/>
        <v>29.249999999999986</v>
      </c>
    </row>
    <row r="368" spans="2:40" s="7" customFormat="1" ht="12" customHeight="1" outlineLevel="1">
      <c r="B368" s="239"/>
      <c r="C368" s="214" t="s">
        <v>846</v>
      </c>
      <c r="D368" s="214"/>
      <c r="E368" s="209">
        <f t="shared" ref="E368:I368" si="232">IF((SUM(E458:E481)-E365)&lt;1,ROUNDUP(SUM(E458:E481),0)-E365,ROUNDDOWN(SUM(E458:E481),0)-E365)</f>
        <v>0</v>
      </c>
      <c r="F368" s="209">
        <f t="shared" si="232"/>
        <v>0</v>
      </c>
      <c r="G368" s="209">
        <f t="shared" si="232"/>
        <v>0</v>
      </c>
      <c r="H368" s="209">
        <f t="shared" si="232"/>
        <v>0</v>
      </c>
      <c r="I368" s="209">
        <f t="shared" si="232"/>
        <v>0</v>
      </c>
      <c r="J368" s="209">
        <f t="shared" ref="J368:AN368" si="233">IF((SUM(J458:J481)-J365)&lt;1,ROUNDUP(SUM(J458:J481),0)-J365,ROUNDDOWN(SUM(J458:J481),0)-J365)</f>
        <v>0</v>
      </c>
      <c r="K368" s="209">
        <f t="shared" si="233"/>
        <v>0</v>
      </c>
      <c r="L368" s="209">
        <f t="shared" si="233"/>
        <v>0</v>
      </c>
      <c r="M368" s="209">
        <f t="shared" si="233"/>
        <v>0</v>
      </c>
      <c r="N368" s="209">
        <f t="shared" si="233"/>
        <v>0</v>
      </c>
      <c r="O368" s="209">
        <f t="shared" si="233"/>
        <v>0</v>
      </c>
      <c r="P368" s="209">
        <f t="shared" si="233"/>
        <v>0</v>
      </c>
      <c r="Q368" s="209">
        <f t="shared" si="233"/>
        <v>0</v>
      </c>
      <c r="R368" s="209">
        <f t="shared" si="233"/>
        <v>0</v>
      </c>
      <c r="S368" s="209">
        <f t="shared" si="233"/>
        <v>0</v>
      </c>
      <c r="T368" s="209">
        <f t="shared" si="233"/>
        <v>0</v>
      </c>
      <c r="U368" s="209">
        <f t="shared" si="233"/>
        <v>0</v>
      </c>
      <c r="V368" s="209">
        <f t="shared" si="233"/>
        <v>0</v>
      </c>
      <c r="W368" s="209">
        <f t="shared" si="233"/>
        <v>0</v>
      </c>
      <c r="X368" s="209">
        <f t="shared" si="233"/>
        <v>0</v>
      </c>
      <c r="Y368" s="209">
        <f t="shared" si="233"/>
        <v>0</v>
      </c>
      <c r="Z368" s="209">
        <f t="shared" si="233"/>
        <v>0</v>
      </c>
      <c r="AA368" s="209">
        <f t="shared" si="233"/>
        <v>0</v>
      </c>
      <c r="AB368" s="209">
        <f t="shared" si="233"/>
        <v>0</v>
      </c>
      <c r="AC368" s="209">
        <f t="shared" si="233"/>
        <v>0</v>
      </c>
      <c r="AD368" s="209">
        <f t="shared" si="233"/>
        <v>0</v>
      </c>
      <c r="AE368" s="209">
        <f t="shared" si="233"/>
        <v>0</v>
      </c>
      <c r="AF368" s="209">
        <f t="shared" si="233"/>
        <v>0</v>
      </c>
      <c r="AG368" s="209">
        <f t="shared" si="233"/>
        <v>0</v>
      </c>
      <c r="AH368" s="209">
        <f t="shared" si="233"/>
        <v>0</v>
      </c>
      <c r="AI368" s="209">
        <f t="shared" si="233"/>
        <v>0</v>
      </c>
      <c r="AJ368" s="209">
        <f t="shared" si="233"/>
        <v>0</v>
      </c>
      <c r="AK368" s="209">
        <f t="shared" si="233"/>
        <v>0</v>
      </c>
      <c r="AL368" s="209">
        <f t="shared" si="233"/>
        <v>0</v>
      </c>
      <c r="AM368" s="209">
        <f t="shared" si="233"/>
        <v>0</v>
      </c>
      <c r="AN368" s="209">
        <f t="shared" si="233"/>
        <v>0</v>
      </c>
    </row>
    <row r="369" spans="2:40" s="7" customFormat="1" ht="12" customHeight="1" outlineLevel="1">
      <c r="B369" s="237"/>
      <c r="C369" s="214" t="s">
        <v>833</v>
      </c>
      <c r="D369" s="214"/>
      <c r="E369" s="210">
        <f>SUM(E363:E365)</f>
        <v>179</v>
      </c>
      <c r="F369" s="210">
        <f>SUM(F363:F365)</f>
        <v>155</v>
      </c>
      <c r="G369" s="210">
        <f t="shared" ref="G369:I369" si="234">SUM(G363:G365)</f>
        <v>127</v>
      </c>
      <c r="H369" s="210">
        <f t="shared" si="234"/>
        <v>378</v>
      </c>
      <c r="I369" s="210">
        <f t="shared" si="234"/>
        <v>151</v>
      </c>
      <c r="J369" s="210">
        <f t="shared" ref="J369:AN369" si="235">SUM(J363:J365)</f>
        <v>435</v>
      </c>
      <c r="K369" s="210">
        <f t="shared" si="235"/>
        <v>384</v>
      </c>
      <c r="L369" s="210">
        <f t="shared" si="235"/>
        <v>197</v>
      </c>
      <c r="M369" s="210">
        <f t="shared" si="235"/>
        <v>331.5</v>
      </c>
      <c r="N369" s="210">
        <f t="shared" si="235"/>
        <v>331.5</v>
      </c>
      <c r="O369" s="210">
        <f t="shared" si="235"/>
        <v>191.25</v>
      </c>
      <c r="P369" s="210">
        <f t="shared" si="235"/>
        <v>127.5</v>
      </c>
      <c r="Q369" s="210">
        <f t="shared" si="235"/>
        <v>164.19348000000002</v>
      </c>
      <c r="R369" s="210">
        <f t="shared" si="235"/>
        <v>292.16879999999998</v>
      </c>
      <c r="S369" s="210">
        <f t="shared" si="235"/>
        <v>269.00459999999998</v>
      </c>
      <c r="T369" s="210">
        <f t="shared" si="235"/>
        <v>68.767040000000009</v>
      </c>
      <c r="U369" s="210">
        <f t="shared" si="235"/>
        <v>62.007840000000002</v>
      </c>
      <c r="V369" s="210">
        <f t="shared" si="235"/>
        <v>212.55984000000001</v>
      </c>
      <c r="W369" s="210">
        <f t="shared" si="235"/>
        <v>116.92260000000002</v>
      </c>
      <c r="X369" s="210">
        <f t="shared" si="235"/>
        <v>88.34559999999999</v>
      </c>
      <c r="Y369" s="210">
        <f t="shared" si="235"/>
        <v>159.12</v>
      </c>
      <c r="Z369" s="210">
        <f t="shared" si="235"/>
        <v>132.6</v>
      </c>
      <c r="AA369" s="210">
        <f t="shared" si="235"/>
        <v>51</v>
      </c>
      <c r="AB369" s="210">
        <f t="shared" si="235"/>
        <v>51</v>
      </c>
      <c r="AC369" s="210">
        <f t="shared" si="235"/>
        <v>410.48370000000006</v>
      </c>
      <c r="AD369" s="210">
        <f t="shared" si="235"/>
        <v>730.42200000000014</v>
      </c>
      <c r="AE369" s="210">
        <f t="shared" si="235"/>
        <v>672.51150000000007</v>
      </c>
      <c r="AF369" s="210">
        <f t="shared" si="235"/>
        <v>515.75280000000009</v>
      </c>
      <c r="AG369" s="210">
        <f t="shared" si="235"/>
        <v>465.05879999999991</v>
      </c>
      <c r="AH369" s="210">
        <f t="shared" si="235"/>
        <v>1594.1987999999999</v>
      </c>
      <c r="AI369" s="210">
        <f t="shared" si="235"/>
        <v>526.15169999999989</v>
      </c>
      <c r="AJ369" s="210">
        <f t="shared" si="235"/>
        <v>662.59199999999998</v>
      </c>
      <c r="AK369" s="210">
        <f t="shared" si="235"/>
        <v>1193.4000000000001</v>
      </c>
      <c r="AL369" s="210">
        <f t="shared" si="235"/>
        <v>994.5</v>
      </c>
      <c r="AM369" s="210">
        <f t="shared" si="235"/>
        <v>382.5</v>
      </c>
      <c r="AN369" s="210">
        <f t="shared" si="235"/>
        <v>382.5</v>
      </c>
    </row>
    <row r="370" spans="2:40" s="7" customFormat="1" ht="12" customHeight="1" outlineLevel="1">
      <c r="B370" s="237"/>
      <c r="C370" s="214" t="s">
        <v>847</v>
      </c>
      <c r="D370" s="214"/>
      <c r="E370" s="210">
        <f t="shared" ref="E370:I370" si="236">SUM(E366:E368)</f>
        <v>740</v>
      </c>
      <c r="F370" s="210">
        <f t="shared" si="236"/>
        <v>900</v>
      </c>
      <c r="G370" s="210">
        <f t="shared" si="236"/>
        <v>1980</v>
      </c>
      <c r="H370" s="210">
        <f t="shared" si="236"/>
        <v>3462</v>
      </c>
      <c r="I370" s="210">
        <f t="shared" si="236"/>
        <v>611</v>
      </c>
      <c r="J370" s="210">
        <f t="shared" ref="J370:AN370" si="237">SUM(J366:J368)</f>
        <v>550</v>
      </c>
      <c r="K370" s="210">
        <f t="shared" si="237"/>
        <v>496</v>
      </c>
      <c r="L370" s="210">
        <f t="shared" si="237"/>
        <v>447</v>
      </c>
      <c r="M370" s="210">
        <f t="shared" si="237"/>
        <v>405.5</v>
      </c>
      <c r="N370" s="210">
        <f t="shared" si="237"/>
        <v>369.5</v>
      </c>
      <c r="O370" s="210">
        <f t="shared" si="237"/>
        <v>336.75</v>
      </c>
      <c r="P370" s="210">
        <f t="shared" si="237"/>
        <v>307.5</v>
      </c>
      <c r="Q370" s="210">
        <f t="shared" si="237"/>
        <v>278.80651999999998</v>
      </c>
      <c r="R370" s="210">
        <f t="shared" si="237"/>
        <v>253.83120000000002</v>
      </c>
      <c r="S370" s="210">
        <f t="shared" si="237"/>
        <v>231.99540000000002</v>
      </c>
      <c r="T370" s="210">
        <f t="shared" si="237"/>
        <v>213.23295999999999</v>
      </c>
      <c r="U370" s="210">
        <f t="shared" si="237"/>
        <v>192.99216000000001</v>
      </c>
      <c r="V370" s="210">
        <f t="shared" si="237"/>
        <v>175.44015999999999</v>
      </c>
      <c r="W370" s="210">
        <f t="shared" si="237"/>
        <v>161.07739999999998</v>
      </c>
      <c r="X370" s="210">
        <f t="shared" si="237"/>
        <v>147.65440000000001</v>
      </c>
      <c r="Y370" s="210">
        <f t="shared" si="237"/>
        <v>135.88</v>
      </c>
      <c r="Z370" s="210">
        <f t="shared" si="237"/>
        <v>124.4</v>
      </c>
      <c r="AA370" s="210">
        <f t="shared" si="237"/>
        <v>114</v>
      </c>
      <c r="AB370" s="210">
        <f t="shared" si="237"/>
        <v>102</v>
      </c>
      <c r="AC370" s="210">
        <f t="shared" si="237"/>
        <v>93.516299999999958</v>
      </c>
      <c r="AD370" s="210">
        <f t="shared" si="237"/>
        <v>90.577999999999832</v>
      </c>
      <c r="AE370" s="210">
        <f t="shared" si="237"/>
        <v>86.488499999999931</v>
      </c>
      <c r="AF370" s="210">
        <f t="shared" si="237"/>
        <v>77.247199999999907</v>
      </c>
      <c r="AG370" s="210">
        <f t="shared" si="237"/>
        <v>67.941200000000066</v>
      </c>
      <c r="AH370" s="210">
        <f t="shared" si="237"/>
        <v>62.801200000000051</v>
      </c>
      <c r="AI370" s="210">
        <f t="shared" si="237"/>
        <v>70.848300000000108</v>
      </c>
      <c r="AJ370" s="210">
        <f t="shared" si="237"/>
        <v>53.407999999999987</v>
      </c>
      <c r="AK370" s="210">
        <f t="shared" si="237"/>
        <v>51.599999999999909</v>
      </c>
      <c r="AL370" s="210">
        <f t="shared" si="237"/>
        <v>54.5</v>
      </c>
      <c r="AM370" s="210">
        <f t="shared" si="237"/>
        <v>48.499999999999986</v>
      </c>
      <c r="AN370" s="210">
        <f t="shared" si="237"/>
        <v>40.499999999999986</v>
      </c>
    </row>
    <row r="371" spans="2:40" s="7" customFormat="1" ht="12" customHeight="1" outlineLevel="1">
      <c r="B371" s="237"/>
      <c r="C371" s="252" t="s">
        <v>848</v>
      </c>
      <c r="D371" s="214"/>
      <c r="E371" s="205">
        <f>SUM(E369:E370)</f>
        <v>919</v>
      </c>
      <c r="F371" s="205">
        <f t="shared" ref="F371:I371" si="238">SUM(F369:F370)</f>
        <v>1055</v>
      </c>
      <c r="G371" s="205">
        <f t="shared" si="238"/>
        <v>2107</v>
      </c>
      <c r="H371" s="205">
        <f t="shared" si="238"/>
        <v>3840</v>
      </c>
      <c r="I371" s="205">
        <f t="shared" si="238"/>
        <v>762</v>
      </c>
      <c r="J371" s="205">
        <f t="shared" ref="J371:AN371" si="239">SUM(J369:J370)</f>
        <v>985</v>
      </c>
      <c r="K371" s="205">
        <f t="shared" si="239"/>
        <v>880</v>
      </c>
      <c r="L371" s="205">
        <f t="shared" si="239"/>
        <v>644</v>
      </c>
      <c r="M371" s="205">
        <f t="shared" si="239"/>
        <v>737</v>
      </c>
      <c r="N371" s="205">
        <f t="shared" si="239"/>
        <v>701</v>
      </c>
      <c r="O371" s="205">
        <f t="shared" si="239"/>
        <v>528</v>
      </c>
      <c r="P371" s="205">
        <f t="shared" si="239"/>
        <v>435</v>
      </c>
      <c r="Q371" s="205">
        <f t="shared" si="239"/>
        <v>443</v>
      </c>
      <c r="R371" s="205">
        <f t="shared" si="239"/>
        <v>546</v>
      </c>
      <c r="S371" s="205">
        <f t="shared" si="239"/>
        <v>501</v>
      </c>
      <c r="T371" s="205">
        <f t="shared" si="239"/>
        <v>282</v>
      </c>
      <c r="U371" s="205">
        <f t="shared" si="239"/>
        <v>255</v>
      </c>
      <c r="V371" s="205">
        <f t="shared" si="239"/>
        <v>388</v>
      </c>
      <c r="W371" s="205">
        <f t="shared" si="239"/>
        <v>278</v>
      </c>
      <c r="X371" s="205">
        <f t="shared" si="239"/>
        <v>236</v>
      </c>
      <c r="Y371" s="205">
        <f t="shared" si="239"/>
        <v>295</v>
      </c>
      <c r="Z371" s="205">
        <f t="shared" si="239"/>
        <v>257</v>
      </c>
      <c r="AA371" s="205">
        <f t="shared" si="239"/>
        <v>165</v>
      </c>
      <c r="AB371" s="205">
        <f t="shared" si="239"/>
        <v>153</v>
      </c>
      <c r="AC371" s="205">
        <f t="shared" si="239"/>
        <v>504</v>
      </c>
      <c r="AD371" s="205">
        <f t="shared" si="239"/>
        <v>821</v>
      </c>
      <c r="AE371" s="205">
        <f t="shared" si="239"/>
        <v>759</v>
      </c>
      <c r="AF371" s="205">
        <f t="shared" si="239"/>
        <v>593</v>
      </c>
      <c r="AG371" s="205">
        <f t="shared" si="239"/>
        <v>533</v>
      </c>
      <c r="AH371" s="205">
        <f t="shared" si="239"/>
        <v>1657</v>
      </c>
      <c r="AI371" s="205">
        <f t="shared" si="239"/>
        <v>597</v>
      </c>
      <c r="AJ371" s="205">
        <f t="shared" si="239"/>
        <v>716</v>
      </c>
      <c r="AK371" s="205">
        <f t="shared" si="239"/>
        <v>1245</v>
      </c>
      <c r="AL371" s="205">
        <f t="shared" si="239"/>
        <v>1049</v>
      </c>
      <c r="AM371" s="205">
        <f t="shared" si="239"/>
        <v>431</v>
      </c>
      <c r="AN371" s="205">
        <f t="shared" si="239"/>
        <v>423</v>
      </c>
    </row>
    <row r="372" spans="2:40" s="7" customFormat="1" ht="12" customHeight="1" outlineLevel="1">
      <c r="B372" s="239"/>
      <c r="C372" s="214"/>
      <c r="D372" s="214"/>
      <c r="E372" s="211"/>
      <c r="F372" s="211"/>
      <c r="G372" s="211"/>
      <c r="H372" s="211"/>
      <c r="I372" s="211"/>
      <c r="J372" s="211"/>
      <c r="K372" s="211"/>
      <c r="L372" s="211"/>
      <c r="M372" s="211"/>
      <c r="N372" s="211"/>
      <c r="O372" s="211"/>
      <c r="P372" s="211"/>
      <c r="Q372" s="211"/>
      <c r="R372" s="211"/>
      <c r="S372" s="211"/>
      <c r="T372" s="211"/>
      <c r="U372" s="211"/>
      <c r="V372" s="211"/>
      <c r="W372" s="211"/>
      <c r="X372" s="211"/>
      <c r="Y372" s="211"/>
      <c r="Z372" s="211"/>
      <c r="AA372" s="211"/>
      <c r="AB372" s="211"/>
      <c r="AC372" s="211"/>
      <c r="AD372" s="211"/>
      <c r="AE372" s="211"/>
      <c r="AF372" s="211"/>
      <c r="AG372" s="211"/>
      <c r="AH372" s="211"/>
      <c r="AI372" s="211"/>
      <c r="AJ372" s="211"/>
      <c r="AK372" s="211"/>
      <c r="AL372" s="211"/>
      <c r="AM372" s="211"/>
      <c r="AN372" s="211"/>
    </row>
    <row r="373" spans="2:40" s="7" customFormat="1" ht="12" hidden="1" customHeight="1" outlineLevel="2">
      <c r="B373" s="239"/>
      <c r="C373" s="243" t="s">
        <v>849</v>
      </c>
      <c r="D373" s="214"/>
      <c r="O373" s="212"/>
      <c r="P373" s="212"/>
      <c r="Q373" s="212"/>
      <c r="R373" s="212"/>
      <c r="S373" s="212"/>
      <c r="T373" s="212"/>
      <c r="U373" s="212"/>
      <c r="V373" s="212"/>
      <c r="W373" s="212"/>
      <c r="X373" s="212"/>
      <c r="Y373" s="212"/>
      <c r="Z373" s="212"/>
      <c r="AA373" s="212"/>
      <c r="AB373" s="212"/>
      <c r="AC373" s="212"/>
      <c r="AD373" s="212"/>
      <c r="AE373" s="212"/>
      <c r="AF373" s="212"/>
      <c r="AG373" s="212"/>
      <c r="AH373" s="212"/>
      <c r="AI373" s="212"/>
      <c r="AJ373" s="212"/>
      <c r="AK373" s="212"/>
      <c r="AL373" s="212"/>
      <c r="AM373" s="212"/>
      <c r="AN373" s="212"/>
    </row>
    <row r="374" spans="2:40" s="7" customFormat="1" ht="12" hidden="1" customHeight="1" outlineLevel="2">
      <c r="B374" s="239"/>
      <c r="C374" s="214" t="s">
        <v>850</v>
      </c>
      <c r="D374" s="214"/>
      <c r="E374" s="196" t="s">
        <v>753</v>
      </c>
      <c r="F374" s="196" t="s">
        <v>754</v>
      </c>
      <c r="G374" s="196" t="s">
        <v>755</v>
      </c>
      <c r="H374" s="196" t="s">
        <v>756</v>
      </c>
      <c r="I374" s="196" t="s">
        <v>757</v>
      </c>
      <c r="J374" s="196" t="s">
        <v>758</v>
      </c>
      <c r="K374" s="196" t="s">
        <v>759</v>
      </c>
      <c r="L374" s="196" t="s">
        <v>760</v>
      </c>
      <c r="M374" s="196" t="s">
        <v>761</v>
      </c>
      <c r="N374" s="196" t="s">
        <v>762</v>
      </c>
      <c r="O374" s="196" t="s">
        <v>763</v>
      </c>
      <c r="P374" s="196" t="s">
        <v>764</v>
      </c>
      <c r="Q374" s="196" t="s">
        <v>765</v>
      </c>
      <c r="R374" s="196" t="s">
        <v>766</v>
      </c>
      <c r="S374" s="196" t="s">
        <v>767</v>
      </c>
      <c r="T374" s="196" t="s">
        <v>768</v>
      </c>
      <c r="U374" s="196" t="s">
        <v>769</v>
      </c>
      <c r="V374" s="196" t="s">
        <v>770</v>
      </c>
      <c r="W374" s="196" t="s">
        <v>771</v>
      </c>
      <c r="X374" s="196" t="s">
        <v>772</v>
      </c>
      <c r="Y374" s="196" t="s">
        <v>773</v>
      </c>
      <c r="Z374" s="196" t="s">
        <v>774</v>
      </c>
      <c r="AA374" s="196" t="s">
        <v>775</v>
      </c>
      <c r="AB374" s="196" t="s">
        <v>776</v>
      </c>
      <c r="AC374" s="196" t="s">
        <v>777</v>
      </c>
      <c r="AD374" s="196" t="s">
        <v>778</v>
      </c>
      <c r="AE374" s="196" t="s">
        <v>779</v>
      </c>
      <c r="AF374" s="196" t="s">
        <v>780</v>
      </c>
      <c r="AG374" s="196" t="s">
        <v>781</v>
      </c>
      <c r="AH374" s="196" t="s">
        <v>782</v>
      </c>
      <c r="AI374" s="196" t="s">
        <v>783</v>
      </c>
      <c r="AJ374" s="196" t="s">
        <v>784</v>
      </c>
      <c r="AK374" s="196" t="s">
        <v>785</v>
      </c>
      <c r="AL374" s="196" t="s">
        <v>786</v>
      </c>
      <c r="AM374" s="196" t="s">
        <v>787</v>
      </c>
      <c r="AN374" s="196" t="s">
        <v>788</v>
      </c>
    </row>
    <row r="375" spans="2:40" s="7" customFormat="1" ht="12" hidden="1" customHeight="1" outlineLevel="2">
      <c r="B375" s="239"/>
      <c r="C375" s="212" t="s">
        <v>851</v>
      </c>
      <c r="D375" s="212"/>
      <c r="E375" s="344">
        <v>0</v>
      </c>
      <c r="F375" s="344">
        <v>0</v>
      </c>
      <c r="G375" s="344">
        <v>0</v>
      </c>
      <c r="H375" s="344">
        <v>0</v>
      </c>
      <c r="I375" s="344">
        <v>0</v>
      </c>
      <c r="J375" s="344">
        <v>0</v>
      </c>
      <c r="K375" s="344">
        <v>0</v>
      </c>
      <c r="L375" s="344">
        <v>0</v>
      </c>
      <c r="M375" s="344">
        <v>0</v>
      </c>
      <c r="N375" s="344">
        <v>0</v>
      </c>
      <c r="O375" s="344">
        <v>0</v>
      </c>
      <c r="P375" s="344">
        <v>0</v>
      </c>
      <c r="Q375" s="344">
        <v>0</v>
      </c>
      <c r="R375" s="344">
        <v>0</v>
      </c>
      <c r="S375" s="344">
        <v>0</v>
      </c>
      <c r="T375" s="344">
        <v>0</v>
      </c>
      <c r="U375" s="344">
        <v>0</v>
      </c>
      <c r="V375" s="344">
        <v>0</v>
      </c>
      <c r="W375" s="344">
        <v>0</v>
      </c>
      <c r="X375" s="344">
        <v>0</v>
      </c>
      <c r="Y375" s="344">
        <v>0</v>
      </c>
      <c r="Z375" s="344">
        <v>0</v>
      </c>
      <c r="AA375" s="344">
        <v>0</v>
      </c>
      <c r="AB375" s="344">
        <v>0</v>
      </c>
      <c r="AC375" s="344">
        <v>0</v>
      </c>
      <c r="AD375" s="344">
        <v>0</v>
      </c>
      <c r="AE375" s="344">
        <v>0</v>
      </c>
      <c r="AF375" s="344">
        <v>0</v>
      </c>
      <c r="AG375" s="344">
        <v>0</v>
      </c>
      <c r="AH375" s="344">
        <v>0</v>
      </c>
      <c r="AI375" s="344">
        <v>0</v>
      </c>
      <c r="AJ375" s="344">
        <v>0</v>
      </c>
      <c r="AK375" s="344">
        <v>0</v>
      </c>
      <c r="AL375" s="344">
        <v>0</v>
      </c>
      <c r="AM375" s="344">
        <v>0</v>
      </c>
      <c r="AN375" s="344">
        <v>0</v>
      </c>
    </row>
    <row r="376" spans="2:40" s="7" customFormat="1" ht="12" hidden="1" customHeight="1" outlineLevel="2">
      <c r="B376" s="239"/>
      <c r="C376" s="213" t="s">
        <v>861</v>
      </c>
      <c r="D376" s="214"/>
      <c r="E376" s="211">
        <v>418</v>
      </c>
      <c r="F376" s="211">
        <v>520</v>
      </c>
      <c r="G376" s="211">
        <v>1498</v>
      </c>
      <c r="H376" s="211">
        <v>3097</v>
      </c>
      <c r="I376" s="211">
        <v>303</v>
      </c>
      <c r="J376" s="211">
        <f t="shared" ref="J376:AN376" si="240">I376*90%</f>
        <v>272.7</v>
      </c>
      <c r="K376" s="211">
        <f t="shared" si="240"/>
        <v>245.43</v>
      </c>
      <c r="L376" s="211">
        <f t="shared" si="240"/>
        <v>220.887</v>
      </c>
      <c r="M376" s="211">
        <f t="shared" si="240"/>
        <v>198.79830000000001</v>
      </c>
      <c r="N376" s="211">
        <f t="shared" si="240"/>
        <v>178.91847000000001</v>
      </c>
      <c r="O376" s="211">
        <f t="shared" si="240"/>
        <v>161.02662300000003</v>
      </c>
      <c r="P376" s="211">
        <f t="shared" si="240"/>
        <v>144.92396070000004</v>
      </c>
      <c r="Q376" s="211">
        <f t="shared" si="240"/>
        <v>130.43156463000003</v>
      </c>
      <c r="R376" s="211">
        <f t="shared" si="240"/>
        <v>117.38840816700002</v>
      </c>
      <c r="S376" s="211">
        <f t="shared" si="240"/>
        <v>105.64956735030002</v>
      </c>
      <c r="T376" s="211">
        <f t="shared" si="240"/>
        <v>95.084610615270023</v>
      </c>
      <c r="U376" s="211">
        <f t="shared" si="240"/>
        <v>85.576149553743022</v>
      </c>
      <c r="V376" s="211">
        <f t="shared" si="240"/>
        <v>77.018534598368717</v>
      </c>
      <c r="W376" s="211">
        <f t="shared" si="240"/>
        <v>69.316681138531848</v>
      </c>
      <c r="X376" s="211">
        <f t="shared" si="240"/>
        <v>62.385013024678663</v>
      </c>
      <c r="Y376" s="211">
        <f t="shared" si="240"/>
        <v>56.146511722210796</v>
      </c>
      <c r="Z376" s="211">
        <f t="shared" si="240"/>
        <v>50.531860549989716</v>
      </c>
      <c r="AA376" s="211">
        <f t="shared" si="240"/>
        <v>45.478674494990749</v>
      </c>
      <c r="AB376" s="211">
        <f t="shared" si="240"/>
        <v>40.930807045491676</v>
      </c>
      <c r="AC376" s="211">
        <f t="shared" si="240"/>
        <v>36.83772634094251</v>
      </c>
      <c r="AD376" s="211">
        <f t="shared" si="240"/>
        <v>33.153953706848263</v>
      </c>
      <c r="AE376" s="211">
        <f t="shared" si="240"/>
        <v>29.838558336163437</v>
      </c>
      <c r="AF376" s="211">
        <f t="shared" si="240"/>
        <v>26.854702502547095</v>
      </c>
      <c r="AG376" s="211">
        <f t="shared" si="240"/>
        <v>24.169232252292385</v>
      </c>
      <c r="AH376" s="211">
        <f t="shared" si="240"/>
        <v>21.752309027063149</v>
      </c>
      <c r="AI376" s="211">
        <f t="shared" si="240"/>
        <v>19.577078124356834</v>
      </c>
      <c r="AJ376" s="211">
        <f t="shared" si="240"/>
        <v>17.619370311921152</v>
      </c>
      <c r="AK376" s="211">
        <f t="shared" si="240"/>
        <v>15.857433280729037</v>
      </c>
      <c r="AL376" s="211">
        <f t="shared" si="240"/>
        <v>14.271689952656134</v>
      </c>
      <c r="AM376" s="211">
        <f t="shared" si="240"/>
        <v>12.84452095739052</v>
      </c>
      <c r="AN376" s="211">
        <f t="shared" si="240"/>
        <v>11.560068861651468</v>
      </c>
    </row>
    <row r="377" spans="2:40" s="7" customFormat="1" ht="12" hidden="1" customHeight="1" outlineLevel="2">
      <c r="B377" s="245"/>
      <c r="C377" s="213" t="s">
        <v>753</v>
      </c>
      <c r="D377" s="213"/>
      <c r="E377" s="211">
        <f>INDEX($C$349:$AN$371,MATCH("New Customers One-Time",$C$349:$C$371,0),MATCH($C377,$C$349:$AN$349,0))</f>
        <v>146</v>
      </c>
      <c r="F377" s="211">
        <f t="shared" ref="F377:AN377" si="241">$E377*(E375)</f>
        <v>0</v>
      </c>
      <c r="G377" s="211">
        <f t="shared" si="241"/>
        <v>0</v>
      </c>
      <c r="H377" s="211">
        <f t="shared" si="241"/>
        <v>0</v>
      </c>
      <c r="I377" s="211">
        <f t="shared" si="241"/>
        <v>0</v>
      </c>
      <c r="J377" s="211">
        <f t="shared" si="241"/>
        <v>0</v>
      </c>
      <c r="K377" s="211">
        <f t="shared" si="241"/>
        <v>0</v>
      </c>
      <c r="L377" s="211">
        <f t="shared" si="241"/>
        <v>0</v>
      </c>
      <c r="M377" s="211">
        <f t="shared" si="241"/>
        <v>0</v>
      </c>
      <c r="N377" s="211">
        <f t="shared" si="241"/>
        <v>0</v>
      </c>
      <c r="O377" s="211">
        <f t="shared" si="241"/>
        <v>0</v>
      </c>
      <c r="P377" s="211">
        <f t="shared" si="241"/>
        <v>0</v>
      </c>
      <c r="Q377" s="211">
        <f t="shared" si="241"/>
        <v>0</v>
      </c>
      <c r="R377" s="211">
        <f t="shared" si="241"/>
        <v>0</v>
      </c>
      <c r="S377" s="211">
        <f t="shared" si="241"/>
        <v>0</v>
      </c>
      <c r="T377" s="211">
        <f t="shared" si="241"/>
        <v>0</v>
      </c>
      <c r="U377" s="211">
        <f t="shared" si="241"/>
        <v>0</v>
      </c>
      <c r="V377" s="211">
        <f t="shared" si="241"/>
        <v>0</v>
      </c>
      <c r="W377" s="211">
        <f t="shared" si="241"/>
        <v>0</v>
      </c>
      <c r="X377" s="211">
        <f t="shared" si="241"/>
        <v>0</v>
      </c>
      <c r="Y377" s="211">
        <f t="shared" si="241"/>
        <v>0</v>
      </c>
      <c r="Z377" s="211">
        <f t="shared" si="241"/>
        <v>0</v>
      </c>
      <c r="AA377" s="211">
        <f t="shared" si="241"/>
        <v>0</v>
      </c>
      <c r="AB377" s="211">
        <f t="shared" si="241"/>
        <v>0</v>
      </c>
      <c r="AC377" s="211">
        <f t="shared" si="241"/>
        <v>0</v>
      </c>
      <c r="AD377" s="211">
        <f t="shared" si="241"/>
        <v>0</v>
      </c>
      <c r="AE377" s="211">
        <f t="shared" si="241"/>
        <v>0</v>
      </c>
      <c r="AF377" s="211">
        <f t="shared" si="241"/>
        <v>0</v>
      </c>
      <c r="AG377" s="211">
        <f t="shared" si="241"/>
        <v>0</v>
      </c>
      <c r="AH377" s="211">
        <f t="shared" si="241"/>
        <v>0</v>
      </c>
      <c r="AI377" s="211">
        <f t="shared" si="241"/>
        <v>0</v>
      </c>
      <c r="AJ377" s="211">
        <f t="shared" si="241"/>
        <v>0</v>
      </c>
      <c r="AK377" s="211">
        <f t="shared" si="241"/>
        <v>0</v>
      </c>
      <c r="AL377" s="211">
        <f t="shared" si="241"/>
        <v>0</v>
      </c>
      <c r="AM377" s="211">
        <f t="shared" si="241"/>
        <v>0</v>
      </c>
      <c r="AN377" s="211">
        <f t="shared" si="241"/>
        <v>0</v>
      </c>
    </row>
    <row r="378" spans="2:40" s="7" customFormat="1" ht="12" hidden="1" customHeight="1" outlineLevel="2">
      <c r="B378" s="245"/>
      <c r="C378" s="213" t="s">
        <v>754</v>
      </c>
      <c r="D378" s="213"/>
      <c r="E378" s="213"/>
      <c r="F378" s="211">
        <f>INDEX($C$349:$AN$371,MATCH("New Customers One-Time",$C$349:$C$371,0),MATCH($C378,$C$349:$AN$349,0))</f>
        <v>134</v>
      </c>
      <c r="G378" s="211">
        <f t="shared" ref="G378:AN378" si="242">$F378*(E375)</f>
        <v>0</v>
      </c>
      <c r="H378" s="211">
        <f t="shared" si="242"/>
        <v>0</v>
      </c>
      <c r="I378" s="211">
        <f t="shared" si="242"/>
        <v>0</v>
      </c>
      <c r="J378" s="211">
        <f t="shared" si="242"/>
        <v>0</v>
      </c>
      <c r="K378" s="211">
        <f t="shared" si="242"/>
        <v>0</v>
      </c>
      <c r="L378" s="211">
        <f t="shared" si="242"/>
        <v>0</v>
      </c>
      <c r="M378" s="211">
        <f t="shared" si="242"/>
        <v>0</v>
      </c>
      <c r="N378" s="211">
        <f t="shared" si="242"/>
        <v>0</v>
      </c>
      <c r="O378" s="211">
        <f t="shared" si="242"/>
        <v>0</v>
      </c>
      <c r="P378" s="211">
        <f t="shared" si="242"/>
        <v>0</v>
      </c>
      <c r="Q378" s="211">
        <f t="shared" si="242"/>
        <v>0</v>
      </c>
      <c r="R378" s="211">
        <f t="shared" si="242"/>
        <v>0</v>
      </c>
      <c r="S378" s="211">
        <f t="shared" si="242"/>
        <v>0</v>
      </c>
      <c r="T378" s="211">
        <f t="shared" si="242"/>
        <v>0</v>
      </c>
      <c r="U378" s="211">
        <f t="shared" si="242"/>
        <v>0</v>
      </c>
      <c r="V378" s="211">
        <f t="shared" si="242"/>
        <v>0</v>
      </c>
      <c r="W378" s="211">
        <f t="shared" si="242"/>
        <v>0</v>
      </c>
      <c r="X378" s="211">
        <f t="shared" si="242"/>
        <v>0</v>
      </c>
      <c r="Y378" s="211">
        <f t="shared" si="242"/>
        <v>0</v>
      </c>
      <c r="Z378" s="211">
        <f t="shared" si="242"/>
        <v>0</v>
      </c>
      <c r="AA378" s="211">
        <f t="shared" si="242"/>
        <v>0</v>
      </c>
      <c r="AB378" s="211">
        <f t="shared" si="242"/>
        <v>0</v>
      </c>
      <c r="AC378" s="211">
        <f t="shared" si="242"/>
        <v>0</v>
      </c>
      <c r="AD378" s="211">
        <f t="shared" si="242"/>
        <v>0</v>
      </c>
      <c r="AE378" s="211">
        <f t="shared" si="242"/>
        <v>0</v>
      </c>
      <c r="AF378" s="211">
        <f t="shared" si="242"/>
        <v>0</v>
      </c>
      <c r="AG378" s="211">
        <f t="shared" si="242"/>
        <v>0</v>
      </c>
      <c r="AH378" s="211">
        <f t="shared" si="242"/>
        <v>0</v>
      </c>
      <c r="AI378" s="211">
        <f t="shared" si="242"/>
        <v>0</v>
      </c>
      <c r="AJ378" s="211">
        <f t="shared" si="242"/>
        <v>0</v>
      </c>
      <c r="AK378" s="211">
        <f t="shared" si="242"/>
        <v>0</v>
      </c>
      <c r="AL378" s="211">
        <f t="shared" si="242"/>
        <v>0</v>
      </c>
      <c r="AM378" s="211">
        <f t="shared" si="242"/>
        <v>0</v>
      </c>
      <c r="AN378" s="211">
        <f t="shared" si="242"/>
        <v>0</v>
      </c>
    </row>
    <row r="379" spans="2:40" s="7" customFormat="1" ht="12" hidden="1" customHeight="1" outlineLevel="2">
      <c r="B379" s="245"/>
      <c r="C379" s="213" t="s">
        <v>755</v>
      </c>
      <c r="D379" s="213"/>
      <c r="E379" s="213"/>
      <c r="G379" s="211">
        <f>INDEX($C$349:$AN$371,MATCH("New Customers One-Time",$C$349:$C$371,0),MATCH($C379,$C$349:$AN$349,0))</f>
        <v>109</v>
      </c>
      <c r="H379" s="211">
        <f t="shared" ref="H379:AN379" si="243">$G379*(E375)</f>
        <v>0</v>
      </c>
      <c r="I379" s="211">
        <f t="shared" si="243"/>
        <v>0</v>
      </c>
      <c r="J379" s="211">
        <f t="shared" si="243"/>
        <v>0</v>
      </c>
      <c r="K379" s="211">
        <f t="shared" si="243"/>
        <v>0</v>
      </c>
      <c r="L379" s="211">
        <f t="shared" si="243"/>
        <v>0</v>
      </c>
      <c r="M379" s="211">
        <f t="shared" si="243"/>
        <v>0</v>
      </c>
      <c r="N379" s="211">
        <f t="shared" si="243"/>
        <v>0</v>
      </c>
      <c r="O379" s="211">
        <f t="shared" si="243"/>
        <v>0</v>
      </c>
      <c r="P379" s="211">
        <f t="shared" si="243"/>
        <v>0</v>
      </c>
      <c r="Q379" s="211">
        <f t="shared" si="243"/>
        <v>0</v>
      </c>
      <c r="R379" s="211">
        <f t="shared" si="243"/>
        <v>0</v>
      </c>
      <c r="S379" s="211">
        <f t="shared" si="243"/>
        <v>0</v>
      </c>
      <c r="T379" s="211">
        <f t="shared" si="243"/>
        <v>0</v>
      </c>
      <c r="U379" s="211">
        <f t="shared" si="243"/>
        <v>0</v>
      </c>
      <c r="V379" s="211">
        <f t="shared" si="243"/>
        <v>0</v>
      </c>
      <c r="W379" s="211">
        <f t="shared" si="243"/>
        <v>0</v>
      </c>
      <c r="X379" s="211">
        <f t="shared" si="243"/>
        <v>0</v>
      </c>
      <c r="Y379" s="211">
        <f t="shared" si="243"/>
        <v>0</v>
      </c>
      <c r="Z379" s="211">
        <f t="shared" si="243"/>
        <v>0</v>
      </c>
      <c r="AA379" s="211">
        <f t="shared" si="243"/>
        <v>0</v>
      </c>
      <c r="AB379" s="211">
        <f t="shared" si="243"/>
        <v>0</v>
      </c>
      <c r="AC379" s="211">
        <f t="shared" si="243"/>
        <v>0</v>
      </c>
      <c r="AD379" s="211">
        <f t="shared" si="243"/>
        <v>0</v>
      </c>
      <c r="AE379" s="211">
        <f t="shared" si="243"/>
        <v>0</v>
      </c>
      <c r="AF379" s="211">
        <f t="shared" si="243"/>
        <v>0</v>
      </c>
      <c r="AG379" s="211">
        <f t="shared" si="243"/>
        <v>0</v>
      </c>
      <c r="AH379" s="211">
        <f t="shared" si="243"/>
        <v>0</v>
      </c>
      <c r="AI379" s="211">
        <f t="shared" si="243"/>
        <v>0</v>
      </c>
      <c r="AJ379" s="211">
        <f t="shared" si="243"/>
        <v>0</v>
      </c>
      <c r="AK379" s="211">
        <f t="shared" si="243"/>
        <v>0</v>
      </c>
      <c r="AL379" s="211">
        <f t="shared" si="243"/>
        <v>0</v>
      </c>
      <c r="AM379" s="211">
        <f t="shared" si="243"/>
        <v>0</v>
      </c>
      <c r="AN379" s="211">
        <f t="shared" si="243"/>
        <v>0</v>
      </c>
    </row>
    <row r="380" spans="2:40" s="7" customFormat="1" ht="12" hidden="1" customHeight="1" outlineLevel="2">
      <c r="B380" s="245"/>
      <c r="C380" s="213" t="s">
        <v>756</v>
      </c>
      <c r="D380" s="213"/>
      <c r="E380" s="213"/>
      <c r="F380" s="213"/>
      <c r="G380" s="213"/>
      <c r="H380" s="211">
        <f>INDEX($C$349:$AN$371,MATCH("New Customers One-Time",$C$349:$C$371,0),MATCH($C380,$C$349:$AN$349,0))</f>
        <v>369</v>
      </c>
      <c r="I380" s="211">
        <f t="shared" ref="I380:AN380" si="244">$H380*(E375)</f>
        <v>0</v>
      </c>
      <c r="J380" s="211">
        <f t="shared" si="244"/>
        <v>0</v>
      </c>
      <c r="K380" s="211">
        <f t="shared" si="244"/>
        <v>0</v>
      </c>
      <c r="L380" s="211">
        <f t="shared" si="244"/>
        <v>0</v>
      </c>
      <c r="M380" s="211">
        <f t="shared" si="244"/>
        <v>0</v>
      </c>
      <c r="N380" s="211">
        <f t="shared" si="244"/>
        <v>0</v>
      </c>
      <c r="O380" s="211">
        <f t="shared" si="244"/>
        <v>0</v>
      </c>
      <c r="P380" s="211">
        <f t="shared" si="244"/>
        <v>0</v>
      </c>
      <c r="Q380" s="211">
        <f t="shared" si="244"/>
        <v>0</v>
      </c>
      <c r="R380" s="211">
        <f t="shared" si="244"/>
        <v>0</v>
      </c>
      <c r="S380" s="211">
        <f t="shared" si="244"/>
        <v>0</v>
      </c>
      <c r="T380" s="211">
        <f t="shared" si="244"/>
        <v>0</v>
      </c>
      <c r="U380" s="211">
        <f t="shared" si="244"/>
        <v>0</v>
      </c>
      <c r="V380" s="211">
        <f t="shared" si="244"/>
        <v>0</v>
      </c>
      <c r="W380" s="211">
        <f t="shared" si="244"/>
        <v>0</v>
      </c>
      <c r="X380" s="211">
        <f t="shared" si="244"/>
        <v>0</v>
      </c>
      <c r="Y380" s="211">
        <f t="shared" si="244"/>
        <v>0</v>
      </c>
      <c r="Z380" s="211">
        <f t="shared" si="244"/>
        <v>0</v>
      </c>
      <c r="AA380" s="211">
        <f t="shared" si="244"/>
        <v>0</v>
      </c>
      <c r="AB380" s="211">
        <f t="shared" si="244"/>
        <v>0</v>
      </c>
      <c r="AC380" s="211">
        <f t="shared" si="244"/>
        <v>0</v>
      </c>
      <c r="AD380" s="211">
        <f t="shared" si="244"/>
        <v>0</v>
      </c>
      <c r="AE380" s="211">
        <f t="shared" si="244"/>
        <v>0</v>
      </c>
      <c r="AF380" s="211">
        <f t="shared" si="244"/>
        <v>0</v>
      </c>
      <c r="AG380" s="211">
        <f t="shared" si="244"/>
        <v>0</v>
      </c>
      <c r="AH380" s="211">
        <f t="shared" si="244"/>
        <v>0</v>
      </c>
      <c r="AI380" s="211">
        <f t="shared" si="244"/>
        <v>0</v>
      </c>
      <c r="AJ380" s="211">
        <f t="shared" si="244"/>
        <v>0</v>
      </c>
      <c r="AK380" s="211">
        <f t="shared" si="244"/>
        <v>0</v>
      </c>
      <c r="AL380" s="211">
        <f t="shared" si="244"/>
        <v>0</v>
      </c>
      <c r="AM380" s="211">
        <f t="shared" si="244"/>
        <v>0</v>
      </c>
      <c r="AN380" s="211">
        <f t="shared" si="244"/>
        <v>0</v>
      </c>
    </row>
    <row r="381" spans="2:40" s="7" customFormat="1" ht="12" hidden="1" customHeight="1" outlineLevel="2">
      <c r="B381" s="245"/>
      <c r="C381" s="213" t="s">
        <v>757</v>
      </c>
      <c r="D381" s="213"/>
      <c r="E381" s="213"/>
      <c r="F381" s="213"/>
      <c r="G381" s="213"/>
      <c r="H381" s="213"/>
      <c r="I381" s="211">
        <f>INDEX($C$349:$AN$371,MATCH("New Customers One-Time",$C$349:$C$371,0),MATCH($C381,$C$349:$AN$349,0))</f>
        <v>131</v>
      </c>
      <c r="J381" s="211">
        <f t="shared" ref="J381:AN381" si="245">$I381*(E375)</f>
        <v>0</v>
      </c>
      <c r="K381" s="211">
        <f t="shared" si="245"/>
        <v>0</v>
      </c>
      <c r="L381" s="211">
        <f t="shared" si="245"/>
        <v>0</v>
      </c>
      <c r="M381" s="211">
        <f t="shared" si="245"/>
        <v>0</v>
      </c>
      <c r="N381" s="211">
        <f t="shared" si="245"/>
        <v>0</v>
      </c>
      <c r="O381" s="211">
        <f t="shared" si="245"/>
        <v>0</v>
      </c>
      <c r="P381" s="211">
        <f t="shared" si="245"/>
        <v>0</v>
      </c>
      <c r="Q381" s="211">
        <f t="shared" si="245"/>
        <v>0</v>
      </c>
      <c r="R381" s="211">
        <f t="shared" si="245"/>
        <v>0</v>
      </c>
      <c r="S381" s="211">
        <f t="shared" si="245"/>
        <v>0</v>
      </c>
      <c r="T381" s="211">
        <f t="shared" si="245"/>
        <v>0</v>
      </c>
      <c r="U381" s="211">
        <f t="shared" si="245"/>
        <v>0</v>
      </c>
      <c r="V381" s="211">
        <f t="shared" si="245"/>
        <v>0</v>
      </c>
      <c r="W381" s="211">
        <f t="shared" si="245"/>
        <v>0</v>
      </c>
      <c r="X381" s="211">
        <f t="shared" si="245"/>
        <v>0</v>
      </c>
      <c r="Y381" s="211">
        <f t="shared" si="245"/>
        <v>0</v>
      </c>
      <c r="Z381" s="211">
        <f t="shared" si="245"/>
        <v>0</v>
      </c>
      <c r="AA381" s="211">
        <f t="shared" si="245"/>
        <v>0</v>
      </c>
      <c r="AB381" s="211">
        <f t="shared" si="245"/>
        <v>0</v>
      </c>
      <c r="AC381" s="211">
        <f t="shared" si="245"/>
        <v>0</v>
      </c>
      <c r="AD381" s="211">
        <f t="shared" si="245"/>
        <v>0</v>
      </c>
      <c r="AE381" s="211">
        <f t="shared" si="245"/>
        <v>0</v>
      </c>
      <c r="AF381" s="211">
        <f t="shared" si="245"/>
        <v>0</v>
      </c>
      <c r="AG381" s="211">
        <f t="shared" si="245"/>
        <v>0</v>
      </c>
      <c r="AH381" s="211">
        <f t="shared" si="245"/>
        <v>0</v>
      </c>
      <c r="AI381" s="211">
        <f t="shared" si="245"/>
        <v>0</v>
      </c>
      <c r="AJ381" s="211">
        <f t="shared" si="245"/>
        <v>0</v>
      </c>
      <c r="AK381" s="211">
        <f t="shared" si="245"/>
        <v>0</v>
      </c>
      <c r="AL381" s="211">
        <f t="shared" si="245"/>
        <v>0</v>
      </c>
      <c r="AM381" s="211">
        <f t="shared" si="245"/>
        <v>0</v>
      </c>
      <c r="AN381" s="211">
        <f t="shared" si="245"/>
        <v>0</v>
      </c>
    </row>
    <row r="382" spans="2:40" s="7" customFormat="1" ht="12" hidden="1" customHeight="1" outlineLevel="2">
      <c r="B382" s="245"/>
      <c r="C382" s="213" t="s">
        <v>758</v>
      </c>
      <c r="D382" s="213"/>
      <c r="E382" s="213"/>
      <c r="F382" s="213"/>
      <c r="G382" s="213"/>
      <c r="H382" s="213"/>
      <c r="I382" s="213"/>
      <c r="J382" s="211">
        <f>INDEX($C$349:$AN$371,MATCH("New Customers One-Time",$C$349:$C$371,0),MATCH($C382,$C$349:$AN$349,0))</f>
        <v>415</v>
      </c>
      <c r="K382" s="211">
        <f t="shared" ref="K382:AN382" si="246">$J382*(E375)</f>
        <v>0</v>
      </c>
      <c r="L382" s="211">
        <f t="shared" si="246"/>
        <v>0</v>
      </c>
      <c r="M382" s="211">
        <f t="shared" si="246"/>
        <v>0</v>
      </c>
      <c r="N382" s="211">
        <f t="shared" si="246"/>
        <v>0</v>
      </c>
      <c r="O382" s="211">
        <f t="shared" si="246"/>
        <v>0</v>
      </c>
      <c r="P382" s="211">
        <f t="shared" si="246"/>
        <v>0</v>
      </c>
      <c r="Q382" s="211">
        <f t="shared" si="246"/>
        <v>0</v>
      </c>
      <c r="R382" s="211">
        <f t="shared" si="246"/>
        <v>0</v>
      </c>
      <c r="S382" s="211">
        <f t="shared" si="246"/>
        <v>0</v>
      </c>
      <c r="T382" s="211">
        <f t="shared" si="246"/>
        <v>0</v>
      </c>
      <c r="U382" s="211">
        <f t="shared" si="246"/>
        <v>0</v>
      </c>
      <c r="V382" s="211">
        <f t="shared" si="246"/>
        <v>0</v>
      </c>
      <c r="W382" s="211">
        <f t="shared" si="246"/>
        <v>0</v>
      </c>
      <c r="X382" s="211">
        <f t="shared" si="246"/>
        <v>0</v>
      </c>
      <c r="Y382" s="211">
        <f t="shared" si="246"/>
        <v>0</v>
      </c>
      <c r="Z382" s="211">
        <f t="shared" si="246"/>
        <v>0</v>
      </c>
      <c r="AA382" s="211">
        <f t="shared" si="246"/>
        <v>0</v>
      </c>
      <c r="AB382" s="211">
        <f t="shared" si="246"/>
        <v>0</v>
      </c>
      <c r="AC382" s="211">
        <f t="shared" si="246"/>
        <v>0</v>
      </c>
      <c r="AD382" s="211">
        <f t="shared" si="246"/>
        <v>0</v>
      </c>
      <c r="AE382" s="211">
        <f t="shared" si="246"/>
        <v>0</v>
      </c>
      <c r="AF382" s="211">
        <f t="shared" si="246"/>
        <v>0</v>
      </c>
      <c r="AG382" s="211">
        <f t="shared" si="246"/>
        <v>0</v>
      </c>
      <c r="AH382" s="211">
        <f t="shared" si="246"/>
        <v>0</v>
      </c>
      <c r="AI382" s="211">
        <f t="shared" si="246"/>
        <v>0</v>
      </c>
      <c r="AJ382" s="211">
        <f t="shared" si="246"/>
        <v>0</v>
      </c>
      <c r="AK382" s="211">
        <f t="shared" si="246"/>
        <v>0</v>
      </c>
      <c r="AL382" s="211">
        <f t="shared" si="246"/>
        <v>0</v>
      </c>
      <c r="AM382" s="211">
        <f t="shared" si="246"/>
        <v>0</v>
      </c>
      <c r="AN382" s="211">
        <f t="shared" si="246"/>
        <v>0</v>
      </c>
    </row>
    <row r="383" spans="2:40" s="7" customFormat="1" ht="12" hidden="1" customHeight="1" outlineLevel="2">
      <c r="B383" s="245"/>
      <c r="C383" s="213" t="s">
        <v>759</v>
      </c>
      <c r="D383" s="213"/>
      <c r="E383" s="213"/>
      <c r="F383" s="213"/>
      <c r="G383" s="213"/>
      <c r="H383" s="213"/>
      <c r="I383" s="213"/>
      <c r="J383" s="213"/>
      <c r="K383" s="211">
        <f>INDEX($C$349:$AN$371,MATCH("New Customers One-Time",$C$349:$C$371,0),MATCH($C383,$C$349:$AN$349,0))</f>
        <v>363</v>
      </c>
      <c r="L383" s="211">
        <f t="shared" ref="L383:AN383" si="247">$K383*(E375)</f>
        <v>0</v>
      </c>
      <c r="M383" s="211">
        <f t="shared" si="247"/>
        <v>0</v>
      </c>
      <c r="N383" s="211">
        <f t="shared" si="247"/>
        <v>0</v>
      </c>
      <c r="O383" s="211">
        <f t="shared" si="247"/>
        <v>0</v>
      </c>
      <c r="P383" s="211">
        <f t="shared" si="247"/>
        <v>0</v>
      </c>
      <c r="Q383" s="211">
        <f t="shared" si="247"/>
        <v>0</v>
      </c>
      <c r="R383" s="211">
        <f t="shared" si="247"/>
        <v>0</v>
      </c>
      <c r="S383" s="211">
        <f t="shared" si="247"/>
        <v>0</v>
      </c>
      <c r="T383" s="211">
        <f t="shared" si="247"/>
        <v>0</v>
      </c>
      <c r="U383" s="211">
        <f t="shared" si="247"/>
        <v>0</v>
      </c>
      <c r="V383" s="211">
        <f t="shared" si="247"/>
        <v>0</v>
      </c>
      <c r="W383" s="211">
        <f t="shared" si="247"/>
        <v>0</v>
      </c>
      <c r="X383" s="211">
        <f t="shared" si="247"/>
        <v>0</v>
      </c>
      <c r="Y383" s="211">
        <f t="shared" si="247"/>
        <v>0</v>
      </c>
      <c r="Z383" s="211">
        <f t="shared" si="247"/>
        <v>0</v>
      </c>
      <c r="AA383" s="211">
        <f t="shared" si="247"/>
        <v>0</v>
      </c>
      <c r="AB383" s="211">
        <f t="shared" si="247"/>
        <v>0</v>
      </c>
      <c r="AC383" s="211">
        <f t="shared" si="247"/>
        <v>0</v>
      </c>
      <c r="AD383" s="211">
        <f t="shared" si="247"/>
        <v>0</v>
      </c>
      <c r="AE383" s="211">
        <f t="shared" si="247"/>
        <v>0</v>
      </c>
      <c r="AF383" s="211">
        <f t="shared" si="247"/>
        <v>0</v>
      </c>
      <c r="AG383" s="211">
        <f t="shared" si="247"/>
        <v>0</v>
      </c>
      <c r="AH383" s="211">
        <f t="shared" si="247"/>
        <v>0</v>
      </c>
      <c r="AI383" s="211">
        <f t="shared" si="247"/>
        <v>0</v>
      </c>
      <c r="AJ383" s="211">
        <f t="shared" si="247"/>
        <v>0</v>
      </c>
      <c r="AK383" s="211">
        <f t="shared" si="247"/>
        <v>0</v>
      </c>
      <c r="AL383" s="211">
        <f t="shared" si="247"/>
        <v>0</v>
      </c>
      <c r="AM383" s="211">
        <f t="shared" si="247"/>
        <v>0</v>
      </c>
      <c r="AN383" s="211">
        <f t="shared" si="247"/>
        <v>0</v>
      </c>
    </row>
    <row r="384" spans="2:40" s="7" customFormat="1" ht="12" hidden="1" customHeight="1" outlineLevel="2">
      <c r="B384" s="245"/>
      <c r="C384" s="213" t="s">
        <v>760</v>
      </c>
      <c r="D384" s="213"/>
      <c r="E384" s="213"/>
      <c r="F384" s="213"/>
      <c r="G384" s="213"/>
      <c r="H384" s="213"/>
      <c r="I384" s="213"/>
      <c r="J384" s="213"/>
      <c r="K384" s="213"/>
      <c r="L384" s="211">
        <f>INDEX($C$349:$AN$371,MATCH("New Customers One-Time",$C$349:$C$371,0),MATCH($C384,$C$349:$AN$349,0))</f>
        <v>109</v>
      </c>
      <c r="M384" s="211">
        <f t="shared" ref="M384:AN384" si="248">$L384*(E375)</f>
        <v>0</v>
      </c>
      <c r="N384" s="211">
        <f t="shared" si="248"/>
        <v>0</v>
      </c>
      <c r="O384" s="211">
        <f t="shared" si="248"/>
        <v>0</v>
      </c>
      <c r="P384" s="211">
        <f t="shared" si="248"/>
        <v>0</v>
      </c>
      <c r="Q384" s="211">
        <f t="shared" si="248"/>
        <v>0</v>
      </c>
      <c r="R384" s="211">
        <f t="shared" si="248"/>
        <v>0</v>
      </c>
      <c r="S384" s="211">
        <f t="shared" si="248"/>
        <v>0</v>
      </c>
      <c r="T384" s="211">
        <f t="shared" si="248"/>
        <v>0</v>
      </c>
      <c r="U384" s="211">
        <f t="shared" si="248"/>
        <v>0</v>
      </c>
      <c r="V384" s="211">
        <f t="shared" si="248"/>
        <v>0</v>
      </c>
      <c r="W384" s="211">
        <f t="shared" si="248"/>
        <v>0</v>
      </c>
      <c r="X384" s="211">
        <f t="shared" si="248"/>
        <v>0</v>
      </c>
      <c r="Y384" s="211">
        <f t="shared" si="248"/>
        <v>0</v>
      </c>
      <c r="Z384" s="211">
        <f t="shared" si="248"/>
        <v>0</v>
      </c>
      <c r="AA384" s="211">
        <f t="shared" si="248"/>
        <v>0</v>
      </c>
      <c r="AB384" s="211">
        <f t="shared" si="248"/>
        <v>0</v>
      </c>
      <c r="AC384" s="211">
        <f t="shared" si="248"/>
        <v>0</v>
      </c>
      <c r="AD384" s="211">
        <f t="shared" si="248"/>
        <v>0</v>
      </c>
      <c r="AE384" s="211">
        <f t="shared" si="248"/>
        <v>0</v>
      </c>
      <c r="AF384" s="211">
        <f t="shared" si="248"/>
        <v>0</v>
      </c>
      <c r="AG384" s="211">
        <f t="shared" si="248"/>
        <v>0</v>
      </c>
      <c r="AH384" s="211">
        <f t="shared" si="248"/>
        <v>0</v>
      </c>
      <c r="AI384" s="211">
        <f t="shared" si="248"/>
        <v>0</v>
      </c>
      <c r="AJ384" s="211">
        <f t="shared" si="248"/>
        <v>0</v>
      </c>
      <c r="AK384" s="211">
        <f t="shared" si="248"/>
        <v>0</v>
      </c>
      <c r="AL384" s="211">
        <f t="shared" si="248"/>
        <v>0</v>
      </c>
      <c r="AM384" s="211">
        <f t="shared" si="248"/>
        <v>0</v>
      </c>
      <c r="AN384" s="211">
        <f t="shared" si="248"/>
        <v>0</v>
      </c>
    </row>
    <row r="385" spans="2:40" s="7" customFormat="1" ht="12" hidden="1" customHeight="1" outlineLevel="2">
      <c r="B385" s="245"/>
      <c r="C385" s="213" t="s">
        <v>761</v>
      </c>
      <c r="D385" s="213"/>
      <c r="E385" s="213"/>
      <c r="F385" s="213"/>
      <c r="G385" s="213"/>
      <c r="H385" s="213"/>
      <c r="I385" s="213"/>
      <c r="J385" s="213"/>
      <c r="K385" s="213"/>
      <c r="L385" s="213"/>
      <c r="M385" s="211">
        <f>INDEX($C$349:$AN$371,MATCH("New Customers One-Time",$C$349:$C$371,0),MATCH($C385,$C$349:$AN$349,0))</f>
        <v>232.04999999999998</v>
      </c>
      <c r="N385" s="211">
        <f t="shared" ref="N385:AN385" si="249">$M385*(E375)</f>
        <v>0</v>
      </c>
      <c r="O385" s="211">
        <f t="shared" si="249"/>
        <v>0</v>
      </c>
      <c r="P385" s="211">
        <f t="shared" si="249"/>
        <v>0</v>
      </c>
      <c r="Q385" s="211">
        <f t="shared" si="249"/>
        <v>0</v>
      </c>
      <c r="R385" s="211">
        <f t="shared" si="249"/>
        <v>0</v>
      </c>
      <c r="S385" s="211">
        <f t="shared" si="249"/>
        <v>0</v>
      </c>
      <c r="T385" s="211">
        <f t="shared" si="249"/>
        <v>0</v>
      </c>
      <c r="U385" s="211">
        <f t="shared" si="249"/>
        <v>0</v>
      </c>
      <c r="V385" s="211">
        <f t="shared" si="249"/>
        <v>0</v>
      </c>
      <c r="W385" s="211">
        <f t="shared" si="249"/>
        <v>0</v>
      </c>
      <c r="X385" s="211">
        <f t="shared" si="249"/>
        <v>0</v>
      </c>
      <c r="Y385" s="211">
        <f t="shared" si="249"/>
        <v>0</v>
      </c>
      <c r="Z385" s="211">
        <f t="shared" si="249"/>
        <v>0</v>
      </c>
      <c r="AA385" s="211">
        <f t="shared" si="249"/>
        <v>0</v>
      </c>
      <c r="AB385" s="211">
        <f t="shared" si="249"/>
        <v>0</v>
      </c>
      <c r="AC385" s="211">
        <f t="shared" si="249"/>
        <v>0</v>
      </c>
      <c r="AD385" s="211">
        <f t="shared" si="249"/>
        <v>0</v>
      </c>
      <c r="AE385" s="211">
        <f t="shared" si="249"/>
        <v>0</v>
      </c>
      <c r="AF385" s="211">
        <f t="shared" si="249"/>
        <v>0</v>
      </c>
      <c r="AG385" s="211">
        <f t="shared" si="249"/>
        <v>0</v>
      </c>
      <c r="AH385" s="211">
        <f t="shared" si="249"/>
        <v>0</v>
      </c>
      <c r="AI385" s="211">
        <f t="shared" si="249"/>
        <v>0</v>
      </c>
      <c r="AJ385" s="211">
        <f t="shared" si="249"/>
        <v>0</v>
      </c>
      <c r="AK385" s="211">
        <f t="shared" si="249"/>
        <v>0</v>
      </c>
      <c r="AL385" s="211">
        <f t="shared" si="249"/>
        <v>0</v>
      </c>
      <c r="AM385" s="211">
        <f t="shared" si="249"/>
        <v>0</v>
      </c>
      <c r="AN385" s="211">
        <f t="shared" si="249"/>
        <v>0</v>
      </c>
    </row>
    <row r="386" spans="2:40" s="7" customFormat="1" ht="12" hidden="1" customHeight="1" outlineLevel="2">
      <c r="B386" s="245"/>
      <c r="C386" s="213" t="s">
        <v>762</v>
      </c>
      <c r="D386" s="213"/>
      <c r="E386" s="213"/>
      <c r="F386" s="213"/>
      <c r="G386" s="213"/>
      <c r="H386" s="213"/>
      <c r="I386" s="213"/>
      <c r="J386" s="213"/>
      <c r="K386" s="213"/>
      <c r="L386" s="213"/>
      <c r="M386" s="213"/>
      <c r="N386" s="211">
        <f>INDEX($C$349:$AN$371,MATCH("New Customers One-Time",$C$349:$C$371,0),MATCH($C386,$C$349:$AN$349,0))</f>
        <v>232.04999999999998</v>
      </c>
      <c r="O386" s="211">
        <f t="shared" ref="O386:AN386" si="250">$N386*(E375)</f>
        <v>0</v>
      </c>
      <c r="P386" s="211">
        <f t="shared" si="250"/>
        <v>0</v>
      </c>
      <c r="Q386" s="211">
        <f t="shared" si="250"/>
        <v>0</v>
      </c>
      <c r="R386" s="211">
        <f t="shared" si="250"/>
        <v>0</v>
      </c>
      <c r="S386" s="211">
        <f t="shared" si="250"/>
        <v>0</v>
      </c>
      <c r="T386" s="211">
        <f t="shared" si="250"/>
        <v>0</v>
      </c>
      <c r="U386" s="211">
        <f t="shared" si="250"/>
        <v>0</v>
      </c>
      <c r="V386" s="211">
        <f t="shared" si="250"/>
        <v>0</v>
      </c>
      <c r="W386" s="211">
        <f t="shared" si="250"/>
        <v>0</v>
      </c>
      <c r="X386" s="211">
        <f t="shared" si="250"/>
        <v>0</v>
      </c>
      <c r="Y386" s="211">
        <f t="shared" si="250"/>
        <v>0</v>
      </c>
      <c r="Z386" s="211">
        <f t="shared" si="250"/>
        <v>0</v>
      </c>
      <c r="AA386" s="211">
        <f t="shared" si="250"/>
        <v>0</v>
      </c>
      <c r="AB386" s="211">
        <f t="shared" si="250"/>
        <v>0</v>
      </c>
      <c r="AC386" s="211">
        <f t="shared" si="250"/>
        <v>0</v>
      </c>
      <c r="AD386" s="211">
        <f t="shared" si="250"/>
        <v>0</v>
      </c>
      <c r="AE386" s="211">
        <f t="shared" si="250"/>
        <v>0</v>
      </c>
      <c r="AF386" s="211">
        <f t="shared" si="250"/>
        <v>0</v>
      </c>
      <c r="AG386" s="211">
        <f t="shared" si="250"/>
        <v>0</v>
      </c>
      <c r="AH386" s="211">
        <f t="shared" si="250"/>
        <v>0</v>
      </c>
      <c r="AI386" s="211">
        <f t="shared" si="250"/>
        <v>0</v>
      </c>
      <c r="AJ386" s="211">
        <f t="shared" si="250"/>
        <v>0</v>
      </c>
      <c r="AK386" s="211">
        <f t="shared" si="250"/>
        <v>0</v>
      </c>
      <c r="AL386" s="211">
        <f t="shared" si="250"/>
        <v>0</v>
      </c>
      <c r="AM386" s="211">
        <f t="shared" si="250"/>
        <v>0</v>
      </c>
      <c r="AN386" s="211">
        <f t="shared" si="250"/>
        <v>0</v>
      </c>
    </row>
    <row r="387" spans="2:40" s="7" customFormat="1" ht="12" hidden="1" customHeight="1" outlineLevel="2">
      <c r="B387" s="245"/>
      <c r="C387" s="213" t="s">
        <v>763</v>
      </c>
      <c r="D387" s="213"/>
      <c r="E387" s="213"/>
      <c r="F387" s="213"/>
      <c r="G387" s="213"/>
      <c r="H387" s="213"/>
      <c r="I387" s="213"/>
      <c r="J387" s="213"/>
      <c r="K387" s="213"/>
      <c r="L387" s="213"/>
      <c r="M387" s="213"/>
      <c r="N387" s="213"/>
      <c r="O387" s="211">
        <f>INDEX($C$349:$AN$371,MATCH("New Customers One-Time",$C$349:$C$371,0),MATCH($C387,$C$349:$AN$349,0))</f>
        <v>133.875</v>
      </c>
      <c r="P387" s="211">
        <f t="shared" ref="P387:AN387" si="251">$O387*(E375)</f>
        <v>0</v>
      </c>
      <c r="Q387" s="211">
        <f t="shared" si="251"/>
        <v>0</v>
      </c>
      <c r="R387" s="211">
        <f t="shared" si="251"/>
        <v>0</v>
      </c>
      <c r="S387" s="211">
        <f t="shared" si="251"/>
        <v>0</v>
      </c>
      <c r="T387" s="211">
        <f t="shared" si="251"/>
        <v>0</v>
      </c>
      <c r="U387" s="211">
        <f t="shared" si="251"/>
        <v>0</v>
      </c>
      <c r="V387" s="211">
        <f t="shared" si="251"/>
        <v>0</v>
      </c>
      <c r="W387" s="211">
        <f t="shared" si="251"/>
        <v>0</v>
      </c>
      <c r="X387" s="211">
        <f t="shared" si="251"/>
        <v>0</v>
      </c>
      <c r="Y387" s="211">
        <f t="shared" si="251"/>
        <v>0</v>
      </c>
      <c r="Z387" s="211">
        <f t="shared" si="251"/>
        <v>0</v>
      </c>
      <c r="AA387" s="211">
        <f t="shared" si="251"/>
        <v>0</v>
      </c>
      <c r="AB387" s="211">
        <f t="shared" si="251"/>
        <v>0</v>
      </c>
      <c r="AC387" s="211">
        <f t="shared" si="251"/>
        <v>0</v>
      </c>
      <c r="AD387" s="211">
        <f t="shared" si="251"/>
        <v>0</v>
      </c>
      <c r="AE387" s="211">
        <f t="shared" si="251"/>
        <v>0</v>
      </c>
      <c r="AF387" s="211">
        <f t="shared" si="251"/>
        <v>0</v>
      </c>
      <c r="AG387" s="211">
        <f t="shared" si="251"/>
        <v>0</v>
      </c>
      <c r="AH387" s="211">
        <f t="shared" si="251"/>
        <v>0</v>
      </c>
      <c r="AI387" s="211">
        <f t="shared" si="251"/>
        <v>0</v>
      </c>
      <c r="AJ387" s="211">
        <f t="shared" si="251"/>
        <v>0</v>
      </c>
      <c r="AK387" s="211">
        <f t="shared" si="251"/>
        <v>0</v>
      </c>
      <c r="AL387" s="211">
        <f t="shared" si="251"/>
        <v>0</v>
      </c>
      <c r="AM387" s="211">
        <f t="shared" si="251"/>
        <v>0</v>
      </c>
      <c r="AN387" s="211">
        <f t="shared" si="251"/>
        <v>0</v>
      </c>
    </row>
    <row r="388" spans="2:40" s="7" customFormat="1" ht="12" hidden="1" customHeight="1" outlineLevel="2">
      <c r="B388" s="245"/>
      <c r="C388" s="213" t="s">
        <v>764</v>
      </c>
      <c r="D388" s="213"/>
      <c r="E388" s="213"/>
      <c r="F388" s="213"/>
      <c r="G388" s="213"/>
      <c r="H388" s="213"/>
      <c r="I388" s="213"/>
      <c r="J388" s="213"/>
      <c r="K388" s="213"/>
      <c r="L388" s="213"/>
      <c r="M388" s="213"/>
      <c r="N388" s="213"/>
      <c r="O388" s="213"/>
      <c r="P388" s="211">
        <f>INDEX($C$349:$AN$371,MATCH("New Customers One-Time",$C$349:$C$371,0),MATCH($C388,$C$349:$AN$349,0))</f>
        <v>89.25</v>
      </c>
      <c r="Q388" s="211">
        <f t="shared" ref="Q388:AN388" si="252">$P388*(E375)</f>
        <v>0</v>
      </c>
      <c r="R388" s="211">
        <f t="shared" si="252"/>
        <v>0</v>
      </c>
      <c r="S388" s="211">
        <f t="shared" si="252"/>
        <v>0</v>
      </c>
      <c r="T388" s="211">
        <f t="shared" si="252"/>
        <v>0</v>
      </c>
      <c r="U388" s="211">
        <f t="shared" si="252"/>
        <v>0</v>
      </c>
      <c r="V388" s="211">
        <f t="shared" si="252"/>
        <v>0</v>
      </c>
      <c r="W388" s="211">
        <f t="shared" si="252"/>
        <v>0</v>
      </c>
      <c r="X388" s="211">
        <f t="shared" si="252"/>
        <v>0</v>
      </c>
      <c r="Y388" s="211">
        <f t="shared" si="252"/>
        <v>0</v>
      </c>
      <c r="Z388" s="211">
        <f t="shared" si="252"/>
        <v>0</v>
      </c>
      <c r="AA388" s="211">
        <f t="shared" si="252"/>
        <v>0</v>
      </c>
      <c r="AB388" s="211">
        <f t="shared" si="252"/>
        <v>0</v>
      </c>
      <c r="AC388" s="211">
        <f t="shared" si="252"/>
        <v>0</v>
      </c>
      <c r="AD388" s="211">
        <f t="shared" si="252"/>
        <v>0</v>
      </c>
      <c r="AE388" s="211">
        <f t="shared" si="252"/>
        <v>0</v>
      </c>
      <c r="AF388" s="211">
        <f t="shared" si="252"/>
        <v>0</v>
      </c>
      <c r="AG388" s="211">
        <f t="shared" si="252"/>
        <v>0</v>
      </c>
      <c r="AH388" s="211">
        <f t="shared" si="252"/>
        <v>0</v>
      </c>
      <c r="AI388" s="211">
        <f t="shared" si="252"/>
        <v>0</v>
      </c>
      <c r="AJ388" s="211">
        <f t="shared" si="252"/>
        <v>0</v>
      </c>
      <c r="AK388" s="211">
        <f t="shared" si="252"/>
        <v>0</v>
      </c>
      <c r="AL388" s="211">
        <f t="shared" si="252"/>
        <v>0</v>
      </c>
      <c r="AM388" s="211">
        <f t="shared" si="252"/>
        <v>0</v>
      </c>
      <c r="AN388" s="211">
        <f t="shared" si="252"/>
        <v>0</v>
      </c>
    </row>
    <row r="389" spans="2:40" s="7" customFormat="1" ht="12" hidden="1" customHeight="1" outlineLevel="2">
      <c r="B389" s="245"/>
      <c r="C389" s="213" t="s">
        <v>765</v>
      </c>
      <c r="D389" s="213"/>
      <c r="E389" s="213"/>
      <c r="F389" s="213"/>
      <c r="G389" s="213"/>
      <c r="H389" s="213"/>
      <c r="I389" s="213"/>
      <c r="J389" s="213"/>
      <c r="K389" s="213"/>
      <c r="L389" s="213"/>
      <c r="M389" s="213"/>
      <c r="N389" s="213"/>
      <c r="O389" s="213"/>
      <c r="P389" s="213"/>
      <c r="Q389" s="211">
        <f>INDEX($C$349:$AN$371,MATCH("New Customers One-Time",$C$349:$C$371,0),MATCH($C389,$C$349:$AN$349,0))</f>
        <v>114.93543600000001</v>
      </c>
      <c r="R389" s="211">
        <f t="shared" ref="R389:AN389" si="253">$Q389*(E375)</f>
        <v>0</v>
      </c>
      <c r="S389" s="211">
        <f t="shared" si="253"/>
        <v>0</v>
      </c>
      <c r="T389" s="211">
        <f t="shared" si="253"/>
        <v>0</v>
      </c>
      <c r="U389" s="211">
        <f t="shared" si="253"/>
        <v>0</v>
      </c>
      <c r="V389" s="211">
        <f t="shared" si="253"/>
        <v>0</v>
      </c>
      <c r="W389" s="211">
        <f t="shared" si="253"/>
        <v>0</v>
      </c>
      <c r="X389" s="211">
        <f t="shared" si="253"/>
        <v>0</v>
      </c>
      <c r="Y389" s="211">
        <f t="shared" si="253"/>
        <v>0</v>
      </c>
      <c r="Z389" s="211">
        <f t="shared" si="253"/>
        <v>0</v>
      </c>
      <c r="AA389" s="211">
        <f t="shared" si="253"/>
        <v>0</v>
      </c>
      <c r="AB389" s="211">
        <f t="shared" si="253"/>
        <v>0</v>
      </c>
      <c r="AC389" s="211">
        <f t="shared" si="253"/>
        <v>0</v>
      </c>
      <c r="AD389" s="211">
        <f t="shared" si="253"/>
        <v>0</v>
      </c>
      <c r="AE389" s="211">
        <f t="shared" si="253"/>
        <v>0</v>
      </c>
      <c r="AF389" s="211">
        <f t="shared" si="253"/>
        <v>0</v>
      </c>
      <c r="AG389" s="211">
        <f t="shared" si="253"/>
        <v>0</v>
      </c>
      <c r="AH389" s="211">
        <f t="shared" si="253"/>
        <v>0</v>
      </c>
      <c r="AI389" s="211">
        <f t="shared" si="253"/>
        <v>0</v>
      </c>
      <c r="AJ389" s="211">
        <f t="shared" si="253"/>
        <v>0</v>
      </c>
      <c r="AK389" s="211">
        <f t="shared" si="253"/>
        <v>0</v>
      </c>
      <c r="AL389" s="211">
        <f t="shared" si="253"/>
        <v>0</v>
      </c>
      <c r="AM389" s="211">
        <f t="shared" si="253"/>
        <v>0</v>
      </c>
      <c r="AN389" s="211">
        <f t="shared" si="253"/>
        <v>0</v>
      </c>
    </row>
    <row r="390" spans="2:40" s="7" customFormat="1" ht="12" hidden="1" customHeight="1" outlineLevel="2">
      <c r="B390" s="245"/>
      <c r="C390" s="213" t="s">
        <v>766</v>
      </c>
      <c r="D390" s="213"/>
      <c r="E390" s="213"/>
      <c r="F390" s="213"/>
      <c r="G390" s="213"/>
      <c r="H390" s="213"/>
      <c r="I390" s="213"/>
      <c r="J390" s="213"/>
      <c r="K390" s="213"/>
      <c r="L390" s="213"/>
      <c r="M390" s="213"/>
      <c r="N390" s="213"/>
      <c r="O390" s="213"/>
      <c r="P390" s="213"/>
      <c r="Q390" s="213"/>
      <c r="R390" s="211">
        <f>INDEX($C$349:$AN$371,MATCH("New Customers One-Time",$C$349:$C$371,0),MATCH($C390,$C$349:$AN$349,0))</f>
        <v>204.51815999999997</v>
      </c>
      <c r="S390" s="211">
        <f t="shared" ref="S390:AN390" si="254">$R390*(E375)</f>
        <v>0</v>
      </c>
      <c r="T390" s="211">
        <f t="shared" si="254"/>
        <v>0</v>
      </c>
      <c r="U390" s="211">
        <f t="shared" si="254"/>
        <v>0</v>
      </c>
      <c r="V390" s="211">
        <f t="shared" si="254"/>
        <v>0</v>
      </c>
      <c r="W390" s="211">
        <f t="shared" si="254"/>
        <v>0</v>
      </c>
      <c r="X390" s="211">
        <f t="shared" si="254"/>
        <v>0</v>
      </c>
      <c r="Y390" s="211">
        <f t="shared" si="254"/>
        <v>0</v>
      </c>
      <c r="Z390" s="211">
        <f t="shared" si="254"/>
        <v>0</v>
      </c>
      <c r="AA390" s="211">
        <f t="shared" si="254"/>
        <v>0</v>
      </c>
      <c r="AB390" s="211">
        <f t="shared" si="254"/>
        <v>0</v>
      </c>
      <c r="AC390" s="211">
        <f t="shared" si="254"/>
        <v>0</v>
      </c>
      <c r="AD390" s="211">
        <f t="shared" si="254"/>
        <v>0</v>
      </c>
      <c r="AE390" s="211">
        <f t="shared" si="254"/>
        <v>0</v>
      </c>
      <c r="AF390" s="211">
        <f t="shared" si="254"/>
        <v>0</v>
      </c>
      <c r="AG390" s="211">
        <f t="shared" si="254"/>
        <v>0</v>
      </c>
      <c r="AH390" s="211">
        <f t="shared" si="254"/>
        <v>0</v>
      </c>
      <c r="AI390" s="211">
        <f t="shared" si="254"/>
        <v>0</v>
      </c>
      <c r="AJ390" s="211">
        <f t="shared" si="254"/>
        <v>0</v>
      </c>
      <c r="AK390" s="211">
        <f t="shared" si="254"/>
        <v>0</v>
      </c>
      <c r="AL390" s="211">
        <f t="shared" si="254"/>
        <v>0</v>
      </c>
      <c r="AM390" s="211">
        <f t="shared" si="254"/>
        <v>0</v>
      </c>
      <c r="AN390" s="211">
        <f t="shared" si="254"/>
        <v>0</v>
      </c>
    </row>
    <row r="391" spans="2:40" s="7" customFormat="1" ht="12" hidden="1" customHeight="1" outlineLevel="2">
      <c r="B391" s="245"/>
      <c r="C391" s="213" t="s">
        <v>767</v>
      </c>
      <c r="D391" s="213"/>
      <c r="E391" s="213"/>
      <c r="F391" s="213"/>
      <c r="G391" s="213"/>
      <c r="H391" s="213"/>
      <c r="I391" s="213"/>
      <c r="J391" s="213"/>
      <c r="K391" s="213"/>
      <c r="L391" s="213"/>
      <c r="M391" s="213"/>
      <c r="N391" s="213"/>
      <c r="O391" s="213"/>
      <c r="P391" s="213"/>
      <c r="Q391" s="213"/>
      <c r="R391" s="213"/>
      <c r="S391" s="211">
        <f>INDEX($C$349:$AN$371,MATCH("New Customers One-Time",$C$349:$C$371,0),MATCH($C391,$C$349:$AN$349,0))</f>
        <v>188.30321999999998</v>
      </c>
      <c r="T391" s="211">
        <f t="shared" ref="T391:AN391" si="255">$S391*(E375)</f>
        <v>0</v>
      </c>
      <c r="U391" s="211">
        <f t="shared" si="255"/>
        <v>0</v>
      </c>
      <c r="V391" s="211">
        <f t="shared" si="255"/>
        <v>0</v>
      </c>
      <c r="W391" s="211">
        <f t="shared" si="255"/>
        <v>0</v>
      </c>
      <c r="X391" s="211">
        <f t="shared" si="255"/>
        <v>0</v>
      </c>
      <c r="Y391" s="211">
        <f t="shared" si="255"/>
        <v>0</v>
      </c>
      <c r="Z391" s="211">
        <f t="shared" si="255"/>
        <v>0</v>
      </c>
      <c r="AA391" s="211">
        <f t="shared" si="255"/>
        <v>0</v>
      </c>
      <c r="AB391" s="211">
        <f t="shared" si="255"/>
        <v>0</v>
      </c>
      <c r="AC391" s="211">
        <f t="shared" si="255"/>
        <v>0</v>
      </c>
      <c r="AD391" s="211">
        <f t="shared" si="255"/>
        <v>0</v>
      </c>
      <c r="AE391" s="211">
        <f t="shared" si="255"/>
        <v>0</v>
      </c>
      <c r="AF391" s="211">
        <f t="shared" si="255"/>
        <v>0</v>
      </c>
      <c r="AG391" s="211">
        <f t="shared" si="255"/>
        <v>0</v>
      </c>
      <c r="AH391" s="211">
        <f t="shared" si="255"/>
        <v>0</v>
      </c>
      <c r="AI391" s="211">
        <f t="shared" si="255"/>
        <v>0</v>
      </c>
      <c r="AJ391" s="211">
        <f t="shared" si="255"/>
        <v>0</v>
      </c>
      <c r="AK391" s="211">
        <f t="shared" si="255"/>
        <v>0</v>
      </c>
      <c r="AL391" s="211">
        <f t="shared" si="255"/>
        <v>0</v>
      </c>
      <c r="AM391" s="211">
        <f t="shared" si="255"/>
        <v>0</v>
      </c>
      <c r="AN391" s="211">
        <f t="shared" si="255"/>
        <v>0</v>
      </c>
    </row>
    <row r="392" spans="2:40" s="7" customFormat="1" ht="12" hidden="1" customHeight="1" outlineLevel="2">
      <c r="B392" s="245"/>
      <c r="C392" s="213" t="s">
        <v>768</v>
      </c>
      <c r="D392" s="213"/>
      <c r="E392" s="213"/>
      <c r="F392" s="213"/>
      <c r="G392" s="213"/>
      <c r="H392" s="213"/>
      <c r="I392" s="213"/>
      <c r="J392" s="213"/>
      <c r="K392" s="213"/>
      <c r="L392" s="213"/>
      <c r="M392" s="213"/>
      <c r="N392" s="213"/>
      <c r="O392" s="213"/>
      <c r="P392" s="213"/>
      <c r="Q392" s="213"/>
      <c r="R392" s="213"/>
      <c r="S392" s="213"/>
      <c r="T392" s="211">
        <f>INDEX($C$349:$AN$371,MATCH("New Customers One-Time",$C$349:$C$371,0),MATCH($C392,$C$349:$AN$349,0))</f>
        <v>48.136928000000005</v>
      </c>
      <c r="U392" s="211">
        <f t="shared" ref="U392:AN392" si="256">$T392*(E375)</f>
        <v>0</v>
      </c>
      <c r="V392" s="211">
        <f t="shared" si="256"/>
        <v>0</v>
      </c>
      <c r="W392" s="211">
        <f t="shared" si="256"/>
        <v>0</v>
      </c>
      <c r="X392" s="211">
        <f t="shared" si="256"/>
        <v>0</v>
      </c>
      <c r="Y392" s="211">
        <f t="shared" si="256"/>
        <v>0</v>
      </c>
      <c r="Z392" s="211">
        <f t="shared" si="256"/>
        <v>0</v>
      </c>
      <c r="AA392" s="211">
        <f t="shared" si="256"/>
        <v>0</v>
      </c>
      <c r="AB392" s="211">
        <f t="shared" si="256"/>
        <v>0</v>
      </c>
      <c r="AC392" s="211">
        <f t="shared" si="256"/>
        <v>0</v>
      </c>
      <c r="AD392" s="211">
        <f t="shared" si="256"/>
        <v>0</v>
      </c>
      <c r="AE392" s="211">
        <f t="shared" si="256"/>
        <v>0</v>
      </c>
      <c r="AF392" s="211">
        <f t="shared" si="256"/>
        <v>0</v>
      </c>
      <c r="AG392" s="211">
        <f t="shared" si="256"/>
        <v>0</v>
      </c>
      <c r="AH392" s="211">
        <f t="shared" si="256"/>
        <v>0</v>
      </c>
      <c r="AI392" s="211">
        <f t="shared" si="256"/>
        <v>0</v>
      </c>
      <c r="AJ392" s="211">
        <f t="shared" si="256"/>
        <v>0</v>
      </c>
      <c r="AK392" s="211">
        <f t="shared" si="256"/>
        <v>0</v>
      </c>
      <c r="AL392" s="211">
        <f t="shared" si="256"/>
        <v>0</v>
      </c>
      <c r="AM392" s="211">
        <f t="shared" si="256"/>
        <v>0</v>
      </c>
      <c r="AN392" s="211">
        <f t="shared" si="256"/>
        <v>0</v>
      </c>
    </row>
    <row r="393" spans="2:40" s="7" customFormat="1" ht="12" hidden="1" customHeight="1" outlineLevel="2">
      <c r="B393" s="245"/>
      <c r="C393" s="213" t="s">
        <v>769</v>
      </c>
      <c r="D393" s="213"/>
      <c r="E393" s="213"/>
      <c r="F393" s="213"/>
      <c r="G393" s="213"/>
      <c r="H393" s="213"/>
      <c r="I393" s="213"/>
      <c r="J393" s="213"/>
      <c r="K393" s="213"/>
      <c r="L393" s="213"/>
      <c r="M393" s="213"/>
      <c r="N393" s="213"/>
      <c r="O393" s="213"/>
      <c r="P393" s="213"/>
      <c r="Q393" s="213"/>
      <c r="R393" s="213"/>
      <c r="S393" s="213"/>
      <c r="T393" s="213"/>
      <c r="U393" s="211">
        <f>INDEX($C$349:$AN$371,MATCH("New Customers One-Time",$C$349:$C$371,0),MATCH($C393,$C$349:$AN$349,0))</f>
        <v>43.405487999999998</v>
      </c>
      <c r="V393" s="211">
        <f t="shared" ref="V393:AN393" si="257">$U393*(E375)</f>
        <v>0</v>
      </c>
      <c r="W393" s="211">
        <f t="shared" si="257"/>
        <v>0</v>
      </c>
      <c r="X393" s="211">
        <f t="shared" si="257"/>
        <v>0</v>
      </c>
      <c r="Y393" s="211">
        <f t="shared" si="257"/>
        <v>0</v>
      </c>
      <c r="Z393" s="211">
        <f t="shared" si="257"/>
        <v>0</v>
      </c>
      <c r="AA393" s="211">
        <f t="shared" si="257"/>
        <v>0</v>
      </c>
      <c r="AB393" s="211">
        <f t="shared" si="257"/>
        <v>0</v>
      </c>
      <c r="AC393" s="211">
        <f t="shared" si="257"/>
        <v>0</v>
      </c>
      <c r="AD393" s="211">
        <f t="shared" si="257"/>
        <v>0</v>
      </c>
      <c r="AE393" s="211">
        <f t="shared" si="257"/>
        <v>0</v>
      </c>
      <c r="AF393" s="211">
        <f t="shared" si="257"/>
        <v>0</v>
      </c>
      <c r="AG393" s="211">
        <f t="shared" si="257"/>
        <v>0</v>
      </c>
      <c r="AH393" s="211">
        <f t="shared" si="257"/>
        <v>0</v>
      </c>
      <c r="AI393" s="211">
        <f t="shared" si="257"/>
        <v>0</v>
      </c>
      <c r="AJ393" s="211">
        <f t="shared" si="257"/>
        <v>0</v>
      </c>
      <c r="AK393" s="211">
        <f t="shared" si="257"/>
        <v>0</v>
      </c>
      <c r="AL393" s="211">
        <f t="shared" si="257"/>
        <v>0</v>
      </c>
      <c r="AM393" s="211">
        <f t="shared" si="257"/>
        <v>0</v>
      </c>
      <c r="AN393" s="211">
        <f t="shared" si="257"/>
        <v>0</v>
      </c>
    </row>
    <row r="394" spans="2:40" s="7" customFormat="1" ht="12" hidden="1" customHeight="1" outlineLevel="2">
      <c r="B394" s="245"/>
      <c r="C394" s="213" t="s">
        <v>770</v>
      </c>
      <c r="D394" s="213"/>
      <c r="E394" s="213"/>
      <c r="F394" s="213"/>
      <c r="G394" s="213"/>
      <c r="H394" s="213"/>
      <c r="I394" s="213"/>
      <c r="J394" s="213"/>
      <c r="K394" s="213"/>
      <c r="L394" s="213"/>
      <c r="M394" s="213"/>
      <c r="N394" s="213"/>
      <c r="O394" s="213"/>
      <c r="P394" s="213"/>
      <c r="Q394" s="213"/>
      <c r="R394" s="213"/>
      <c r="S394" s="213"/>
      <c r="T394" s="213"/>
      <c r="U394" s="213"/>
      <c r="V394" s="211">
        <f>INDEX($C$349:$AN$371,MATCH("New Customers One-Time",$C$349:$C$371,0),MATCH($C394,$C$349:$AN$349,0))</f>
        <v>148.791888</v>
      </c>
      <c r="W394" s="211">
        <f t="shared" ref="W394:AN394" si="258">$V394*(E375)</f>
        <v>0</v>
      </c>
      <c r="X394" s="211">
        <f t="shared" si="258"/>
        <v>0</v>
      </c>
      <c r="Y394" s="211">
        <f t="shared" si="258"/>
        <v>0</v>
      </c>
      <c r="Z394" s="211">
        <f t="shared" si="258"/>
        <v>0</v>
      </c>
      <c r="AA394" s="211">
        <f t="shared" si="258"/>
        <v>0</v>
      </c>
      <c r="AB394" s="211">
        <f t="shared" si="258"/>
        <v>0</v>
      </c>
      <c r="AC394" s="211">
        <f t="shared" si="258"/>
        <v>0</v>
      </c>
      <c r="AD394" s="211">
        <f t="shared" si="258"/>
        <v>0</v>
      </c>
      <c r="AE394" s="211">
        <f t="shared" si="258"/>
        <v>0</v>
      </c>
      <c r="AF394" s="211">
        <f t="shared" si="258"/>
        <v>0</v>
      </c>
      <c r="AG394" s="211">
        <f t="shared" si="258"/>
        <v>0</v>
      </c>
      <c r="AH394" s="211">
        <f t="shared" si="258"/>
        <v>0</v>
      </c>
      <c r="AI394" s="211">
        <f t="shared" si="258"/>
        <v>0</v>
      </c>
      <c r="AJ394" s="211">
        <f t="shared" si="258"/>
        <v>0</v>
      </c>
      <c r="AK394" s="211">
        <f t="shared" si="258"/>
        <v>0</v>
      </c>
      <c r="AL394" s="211">
        <f t="shared" si="258"/>
        <v>0</v>
      </c>
      <c r="AM394" s="211">
        <f t="shared" si="258"/>
        <v>0</v>
      </c>
      <c r="AN394" s="211">
        <f t="shared" si="258"/>
        <v>0</v>
      </c>
    </row>
    <row r="395" spans="2:40" s="7" customFormat="1" ht="12" hidden="1" customHeight="1" outlineLevel="2">
      <c r="B395" s="245"/>
      <c r="C395" s="213" t="s">
        <v>771</v>
      </c>
      <c r="D395" s="213"/>
      <c r="E395" s="213"/>
      <c r="F395" s="213"/>
      <c r="G395" s="213"/>
      <c r="H395" s="213"/>
      <c r="I395" s="213"/>
      <c r="J395" s="213"/>
      <c r="K395" s="213"/>
      <c r="L395" s="213"/>
      <c r="M395" s="213"/>
      <c r="N395" s="213"/>
      <c r="O395" s="213"/>
      <c r="P395" s="213"/>
      <c r="Q395" s="213"/>
      <c r="R395" s="213"/>
      <c r="S395" s="213"/>
      <c r="T395" s="213"/>
      <c r="U395" s="213"/>
      <c r="V395" s="213"/>
      <c r="W395" s="211">
        <f>INDEX($C$349:$AN$371,MATCH("New Customers One-Time",$C$349:$C$371,0),MATCH($C395,$C$349:$AN$349,0))</f>
        <v>81.845820000000003</v>
      </c>
      <c r="X395" s="211">
        <f t="shared" ref="X395:AN395" si="259">$W395*(E375)</f>
        <v>0</v>
      </c>
      <c r="Y395" s="211">
        <f t="shared" si="259"/>
        <v>0</v>
      </c>
      <c r="Z395" s="211">
        <f t="shared" si="259"/>
        <v>0</v>
      </c>
      <c r="AA395" s="211">
        <f t="shared" si="259"/>
        <v>0</v>
      </c>
      <c r="AB395" s="211">
        <f t="shared" si="259"/>
        <v>0</v>
      </c>
      <c r="AC395" s="211">
        <f t="shared" si="259"/>
        <v>0</v>
      </c>
      <c r="AD395" s="211">
        <f t="shared" si="259"/>
        <v>0</v>
      </c>
      <c r="AE395" s="211">
        <f t="shared" si="259"/>
        <v>0</v>
      </c>
      <c r="AF395" s="211">
        <f t="shared" si="259"/>
        <v>0</v>
      </c>
      <c r="AG395" s="211">
        <f t="shared" si="259"/>
        <v>0</v>
      </c>
      <c r="AH395" s="211">
        <f t="shared" si="259"/>
        <v>0</v>
      </c>
      <c r="AI395" s="211">
        <f t="shared" si="259"/>
        <v>0</v>
      </c>
      <c r="AJ395" s="211">
        <f t="shared" si="259"/>
        <v>0</v>
      </c>
      <c r="AK395" s="211">
        <f t="shared" si="259"/>
        <v>0</v>
      </c>
      <c r="AL395" s="211">
        <f t="shared" si="259"/>
        <v>0</v>
      </c>
      <c r="AM395" s="211">
        <f t="shared" si="259"/>
        <v>0</v>
      </c>
      <c r="AN395" s="211">
        <f t="shared" si="259"/>
        <v>0</v>
      </c>
    </row>
    <row r="396" spans="2:40" s="7" customFormat="1" ht="12" hidden="1" customHeight="1" outlineLevel="2">
      <c r="B396" s="245"/>
      <c r="C396" s="213" t="s">
        <v>772</v>
      </c>
      <c r="D396" s="213"/>
      <c r="E396" s="213"/>
      <c r="F396" s="213"/>
      <c r="G396" s="213"/>
      <c r="H396" s="213"/>
      <c r="I396" s="213"/>
      <c r="J396" s="213"/>
      <c r="K396" s="213"/>
      <c r="L396" s="213"/>
      <c r="M396" s="213"/>
      <c r="N396" s="213"/>
      <c r="O396" s="213"/>
      <c r="P396" s="213"/>
      <c r="Q396" s="213"/>
      <c r="R396" s="213"/>
      <c r="S396" s="213"/>
      <c r="T396" s="213"/>
      <c r="U396" s="213"/>
      <c r="V396" s="213"/>
      <c r="W396" s="213"/>
      <c r="X396" s="211">
        <f>INDEX($C$349:$AN$371,MATCH("New Customers One-Time",$C$349:$C$371,0),MATCH($C396,$C$349:$AN$349,0))</f>
        <v>61.841919999999988</v>
      </c>
      <c r="Y396" s="211">
        <f t="shared" ref="Y396:AN396" si="260">$X396*(E375)</f>
        <v>0</v>
      </c>
      <c r="Z396" s="211">
        <f t="shared" si="260"/>
        <v>0</v>
      </c>
      <c r="AA396" s="211">
        <f t="shared" si="260"/>
        <v>0</v>
      </c>
      <c r="AB396" s="211">
        <f t="shared" si="260"/>
        <v>0</v>
      </c>
      <c r="AC396" s="211">
        <f t="shared" si="260"/>
        <v>0</v>
      </c>
      <c r="AD396" s="211">
        <f t="shared" si="260"/>
        <v>0</v>
      </c>
      <c r="AE396" s="211">
        <f t="shared" si="260"/>
        <v>0</v>
      </c>
      <c r="AF396" s="211">
        <f t="shared" si="260"/>
        <v>0</v>
      </c>
      <c r="AG396" s="211">
        <f t="shared" si="260"/>
        <v>0</v>
      </c>
      <c r="AH396" s="211">
        <f t="shared" si="260"/>
        <v>0</v>
      </c>
      <c r="AI396" s="211">
        <f t="shared" si="260"/>
        <v>0</v>
      </c>
      <c r="AJ396" s="211">
        <f t="shared" si="260"/>
        <v>0</v>
      </c>
      <c r="AK396" s="211">
        <f t="shared" si="260"/>
        <v>0</v>
      </c>
      <c r="AL396" s="211">
        <f t="shared" si="260"/>
        <v>0</v>
      </c>
      <c r="AM396" s="211">
        <f t="shared" si="260"/>
        <v>0</v>
      </c>
      <c r="AN396" s="211">
        <f t="shared" si="260"/>
        <v>0</v>
      </c>
    </row>
    <row r="397" spans="2:40" s="7" customFormat="1" ht="12" hidden="1" customHeight="1" outlineLevel="2">
      <c r="B397" s="245"/>
      <c r="C397" s="213" t="s">
        <v>773</v>
      </c>
      <c r="D397" s="213"/>
      <c r="E397" s="213"/>
      <c r="F397" s="213"/>
      <c r="G397" s="213"/>
      <c r="H397" s="213"/>
      <c r="I397" s="213"/>
      <c r="J397" s="213"/>
      <c r="K397" s="213"/>
      <c r="L397" s="213"/>
      <c r="M397" s="213"/>
      <c r="N397" s="213"/>
      <c r="O397" s="213"/>
      <c r="P397" s="213"/>
      <c r="Q397" s="213"/>
      <c r="R397" s="213"/>
      <c r="S397" s="213"/>
      <c r="T397" s="213"/>
      <c r="U397" s="213"/>
      <c r="V397" s="213"/>
      <c r="W397" s="213"/>
      <c r="X397" s="213"/>
      <c r="Y397" s="211">
        <f>INDEX($C$349:$AN$371,MATCH("New Customers One-Time",$C$349:$C$371,0),MATCH($C397,$C$349:$AN$349,0))</f>
        <v>111.384</v>
      </c>
      <c r="Z397" s="211">
        <f t="shared" ref="Z397:AN397" si="261">$Y397*(E375)</f>
        <v>0</v>
      </c>
      <c r="AA397" s="211">
        <f t="shared" si="261"/>
        <v>0</v>
      </c>
      <c r="AB397" s="211">
        <f t="shared" si="261"/>
        <v>0</v>
      </c>
      <c r="AC397" s="211">
        <f t="shared" si="261"/>
        <v>0</v>
      </c>
      <c r="AD397" s="211">
        <f t="shared" si="261"/>
        <v>0</v>
      </c>
      <c r="AE397" s="211">
        <f t="shared" si="261"/>
        <v>0</v>
      </c>
      <c r="AF397" s="211">
        <f t="shared" si="261"/>
        <v>0</v>
      </c>
      <c r="AG397" s="211">
        <f t="shared" si="261"/>
        <v>0</v>
      </c>
      <c r="AH397" s="211">
        <f t="shared" si="261"/>
        <v>0</v>
      </c>
      <c r="AI397" s="211">
        <f t="shared" si="261"/>
        <v>0</v>
      </c>
      <c r="AJ397" s="211">
        <f t="shared" si="261"/>
        <v>0</v>
      </c>
      <c r="AK397" s="211">
        <f t="shared" si="261"/>
        <v>0</v>
      </c>
      <c r="AL397" s="211">
        <f t="shared" si="261"/>
        <v>0</v>
      </c>
      <c r="AM397" s="211">
        <f t="shared" si="261"/>
        <v>0</v>
      </c>
      <c r="AN397" s="211">
        <f t="shared" si="261"/>
        <v>0</v>
      </c>
    </row>
    <row r="398" spans="2:40" s="7" customFormat="1" ht="12" hidden="1" customHeight="1" outlineLevel="2">
      <c r="B398" s="245"/>
      <c r="C398" s="213" t="s">
        <v>774</v>
      </c>
      <c r="D398" s="213"/>
      <c r="E398" s="213"/>
      <c r="F398" s="213"/>
      <c r="G398" s="213"/>
      <c r="H398" s="213"/>
      <c r="I398" s="213"/>
      <c r="J398" s="213"/>
      <c r="K398" s="213"/>
      <c r="L398" s="213"/>
      <c r="M398" s="213"/>
      <c r="N398" s="213"/>
      <c r="O398" s="213"/>
      <c r="P398" s="213"/>
      <c r="Q398" s="213"/>
      <c r="R398" s="213"/>
      <c r="S398" s="213"/>
      <c r="T398" s="213"/>
      <c r="U398" s="213"/>
      <c r="V398" s="213"/>
      <c r="W398" s="213"/>
      <c r="X398" s="213"/>
      <c r="Y398" s="213"/>
      <c r="Z398" s="211">
        <f>INDEX($C$349:$AN$371,MATCH("New Customers One-Time",$C$349:$C$371,0),MATCH($C398,$C$349:$AN$349,0))</f>
        <v>92.82</v>
      </c>
      <c r="AA398" s="211">
        <f t="shared" ref="AA398:AN398" si="262">$Z398*(E375)</f>
        <v>0</v>
      </c>
      <c r="AB398" s="211">
        <f t="shared" si="262"/>
        <v>0</v>
      </c>
      <c r="AC398" s="211">
        <f t="shared" si="262"/>
        <v>0</v>
      </c>
      <c r="AD398" s="211">
        <f t="shared" si="262"/>
        <v>0</v>
      </c>
      <c r="AE398" s="211">
        <f t="shared" si="262"/>
        <v>0</v>
      </c>
      <c r="AF398" s="211">
        <f t="shared" si="262"/>
        <v>0</v>
      </c>
      <c r="AG398" s="211">
        <f t="shared" si="262"/>
        <v>0</v>
      </c>
      <c r="AH398" s="211">
        <f t="shared" si="262"/>
        <v>0</v>
      </c>
      <c r="AI398" s="211">
        <f t="shared" si="262"/>
        <v>0</v>
      </c>
      <c r="AJ398" s="211">
        <f t="shared" si="262"/>
        <v>0</v>
      </c>
      <c r="AK398" s="211">
        <f t="shared" si="262"/>
        <v>0</v>
      </c>
      <c r="AL398" s="211">
        <f t="shared" si="262"/>
        <v>0</v>
      </c>
      <c r="AM398" s="211">
        <f t="shared" si="262"/>
        <v>0</v>
      </c>
      <c r="AN398" s="211">
        <f t="shared" si="262"/>
        <v>0</v>
      </c>
    </row>
    <row r="399" spans="2:40" s="7" customFormat="1" ht="12" hidden="1" customHeight="1" outlineLevel="2">
      <c r="B399" s="245"/>
      <c r="C399" s="213" t="s">
        <v>775</v>
      </c>
      <c r="D399" s="213"/>
      <c r="E399" s="213"/>
      <c r="F399" s="213"/>
      <c r="G399" s="213"/>
      <c r="H399" s="213"/>
      <c r="I399" s="213"/>
      <c r="J399" s="213"/>
      <c r="K399" s="213"/>
      <c r="L399" s="213"/>
      <c r="M399" s="213"/>
      <c r="N399" s="213"/>
      <c r="O399" s="213"/>
      <c r="P399" s="213"/>
      <c r="Q399" s="213"/>
      <c r="R399" s="213"/>
      <c r="S399" s="213"/>
      <c r="T399" s="213"/>
      <c r="U399" s="213"/>
      <c r="V399" s="213"/>
      <c r="W399" s="213"/>
      <c r="X399" s="213"/>
      <c r="Y399" s="213"/>
      <c r="Z399" s="213"/>
      <c r="AA399" s="211">
        <f>INDEX($C$349:$AN$371,MATCH("New Customers One-Time",$C$349:$C$371,0),MATCH($C399,$C$349:$AN$349,0))</f>
        <v>35.699999999999996</v>
      </c>
      <c r="AB399" s="211">
        <f t="shared" ref="AB399:AN399" si="263">$AA399*(E375)</f>
        <v>0</v>
      </c>
      <c r="AC399" s="211">
        <f t="shared" si="263"/>
        <v>0</v>
      </c>
      <c r="AD399" s="211">
        <f t="shared" si="263"/>
        <v>0</v>
      </c>
      <c r="AE399" s="211">
        <f t="shared" si="263"/>
        <v>0</v>
      </c>
      <c r="AF399" s="211">
        <f t="shared" si="263"/>
        <v>0</v>
      </c>
      <c r="AG399" s="211">
        <f t="shared" si="263"/>
        <v>0</v>
      </c>
      <c r="AH399" s="211">
        <f t="shared" si="263"/>
        <v>0</v>
      </c>
      <c r="AI399" s="211">
        <f t="shared" si="263"/>
        <v>0</v>
      </c>
      <c r="AJ399" s="211">
        <f t="shared" si="263"/>
        <v>0</v>
      </c>
      <c r="AK399" s="211">
        <f t="shared" si="263"/>
        <v>0</v>
      </c>
      <c r="AL399" s="211">
        <f t="shared" si="263"/>
        <v>0</v>
      </c>
      <c r="AM399" s="211">
        <f t="shared" si="263"/>
        <v>0</v>
      </c>
      <c r="AN399" s="211">
        <f t="shared" si="263"/>
        <v>0</v>
      </c>
    </row>
    <row r="400" spans="2:40" s="7" customFormat="1" ht="12" hidden="1" customHeight="1" outlineLevel="2">
      <c r="B400" s="245"/>
      <c r="C400" s="213" t="s">
        <v>776</v>
      </c>
      <c r="D400" s="213"/>
      <c r="E400" s="213"/>
      <c r="F400" s="213"/>
      <c r="G400" s="213"/>
      <c r="H400" s="213"/>
      <c r="I400" s="213"/>
      <c r="J400" s="213"/>
      <c r="K400" s="213"/>
      <c r="L400" s="213"/>
      <c r="M400" s="213"/>
      <c r="N400" s="213"/>
      <c r="O400" s="213"/>
      <c r="P400" s="213"/>
      <c r="Q400" s="213"/>
      <c r="R400" s="213"/>
      <c r="S400" s="213"/>
      <c r="T400" s="213"/>
      <c r="U400" s="213"/>
      <c r="V400" s="213"/>
      <c r="W400" s="213"/>
      <c r="X400" s="213"/>
      <c r="Y400" s="213"/>
      <c r="Z400" s="213"/>
      <c r="AA400" s="213"/>
      <c r="AB400" s="211">
        <f>INDEX($C$349:$AN$371,MATCH("New Customers One-Time",$C$349:$C$371,0),MATCH($C400,$C$349:$AN$349,0))</f>
        <v>35.699999999999996</v>
      </c>
      <c r="AC400" s="211">
        <f t="shared" ref="AC400:AN400" si="264">$AB400*(E375)</f>
        <v>0</v>
      </c>
      <c r="AD400" s="211">
        <f t="shared" si="264"/>
        <v>0</v>
      </c>
      <c r="AE400" s="211">
        <f t="shared" si="264"/>
        <v>0</v>
      </c>
      <c r="AF400" s="211">
        <f t="shared" si="264"/>
        <v>0</v>
      </c>
      <c r="AG400" s="211">
        <f t="shared" si="264"/>
        <v>0</v>
      </c>
      <c r="AH400" s="211">
        <f t="shared" si="264"/>
        <v>0</v>
      </c>
      <c r="AI400" s="211">
        <f t="shared" si="264"/>
        <v>0</v>
      </c>
      <c r="AJ400" s="211">
        <f t="shared" si="264"/>
        <v>0</v>
      </c>
      <c r="AK400" s="211">
        <f t="shared" si="264"/>
        <v>0</v>
      </c>
      <c r="AL400" s="211">
        <f t="shared" si="264"/>
        <v>0</v>
      </c>
      <c r="AM400" s="211">
        <f t="shared" si="264"/>
        <v>0</v>
      </c>
      <c r="AN400" s="211">
        <f t="shared" si="264"/>
        <v>0</v>
      </c>
    </row>
    <row r="401" spans="2:40" s="7" customFormat="1" ht="12" hidden="1" customHeight="1" outlineLevel="2">
      <c r="B401" s="245"/>
      <c r="C401" s="213" t="s">
        <v>777</v>
      </c>
      <c r="D401" s="213"/>
      <c r="E401" s="213"/>
      <c r="F401" s="213"/>
      <c r="G401" s="213"/>
      <c r="H401" s="213"/>
      <c r="I401" s="213"/>
      <c r="J401" s="213"/>
      <c r="K401" s="213"/>
      <c r="L401" s="213"/>
      <c r="M401" s="213"/>
      <c r="N401" s="213"/>
      <c r="O401" s="213"/>
      <c r="P401" s="213"/>
      <c r="Q401" s="213"/>
      <c r="R401" s="213"/>
      <c r="S401" s="213"/>
      <c r="T401" s="213"/>
      <c r="U401" s="213"/>
      <c r="V401" s="213"/>
      <c r="W401" s="213"/>
      <c r="X401" s="213"/>
      <c r="Y401" s="213"/>
      <c r="Z401" s="213"/>
      <c r="AA401" s="213"/>
      <c r="AB401" s="211"/>
      <c r="AC401" s="211">
        <f>INDEX($C$349:$AN$371,MATCH("New Customers One-Time",$C$349:$C$371,0),MATCH($C401,$C$349:$AN$349,0))</f>
        <v>287.33859000000001</v>
      </c>
      <c r="AD401" s="211">
        <f t="shared" ref="AD401:AN401" si="265">$AC401*(E375)</f>
        <v>0</v>
      </c>
      <c r="AE401" s="211">
        <f t="shared" si="265"/>
        <v>0</v>
      </c>
      <c r="AF401" s="211">
        <f t="shared" si="265"/>
        <v>0</v>
      </c>
      <c r="AG401" s="211">
        <f t="shared" si="265"/>
        <v>0</v>
      </c>
      <c r="AH401" s="211">
        <f t="shared" si="265"/>
        <v>0</v>
      </c>
      <c r="AI401" s="211">
        <f t="shared" si="265"/>
        <v>0</v>
      </c>
      <c r="AJ401" s="211">
        <f t="shared" si="265"/>
        <v>0</v>
      </c>
      <c r="AK401" s="211">
        <f t="shared" si="265"/>
        <v>0</v>
      </c>
      <c r="AL401" s="211">
        <f t="shared" si="265"/>
        <v>0</v>
      </c>
      <c r="AM401" s="211">
        <f t="shared" si="265"/>
        <v>0</v>
      </c>
      <c r="AN401" s="211">
        <f t="shared" si="265"/>
        <v>0</v>
      </c>
    </row>
    <row r="402" spans="2:40" s="7" customFormat="1" ht="12" hidden="1" customHeight="1" outlineLevel="2">
      <c r="B402" s="245"/>
      <c r="C402" s="213" t="s">
        <v>778</v>
      </c>
      <c r="D402" s="213"/>
      <c r="E402" s="213"/>
      <c r="F402" s="213"/>
      <c r="G402" s="213"/>
      <c r="H402" s="213"/>
      <c r="I402" s="213"/>
      <c r="J402" s="213"/>
      <c r="K402" s="213"/>
      <c r="L402" s="213"/>
      <c r="M402" s="213"/>
      <c r="N402" s="213"/>
      <c r="O402" s="213"/>
      <c r="P402" s="213"/>
      <c r="Q402" s="213"/>
      <c r="R402" s="213"/>
      <c r="S402" s="213"/>
      <c r="T402" s="213"/>
      <c r="U402" s="213"/>
      <c r="V402" s="213"/>
      <c r="W402" s="213"/>
      <c r="X402" s="213"/>
      <c r="Y402" s="213"/>
      <c r="Z402" s="213"/>
      <c r="AA402" s="213"/>
      <c r="AB402" s="211"/>
      <c r="AC402" s="211"/>
      <c r="AD402" s="211">
        <f>INDEX($C$349:$AN$371,MATCH("New Customers One-Time",$C$349:$C$371,0),MATCH($C402,$C$349:$AN$349,0))</f>
        <v>511.29540000000009</v>
      </c>
      <c r="AE402" s="211">
        <f t="shared" ref="AE402:AN402" si="266">$AD402*(E375)</f>
        <v>0</v>
      </c>
      <c r="AF402" s="211">
        <f t="shared" si="266"/>
        <v>0</v>
      </c>
      <c r="AG402" s="211">
        <f t="shared" si="266"/>
        <v>0</v>
      </c>
      <c r="AH402" s="211">
        <f t="shared" si="266"/>
        <v>0</v>
      </c>
      <c r="AI402" s="211">
        <f t="shared" si="266"/>
        <v>0</v>
      </c>
      <c r="AJ402" s="211">
        <f t="shared" si="266"/>
        <v>0</v>
      </c>
      <c r="AK402" s="211">
        <f t="shared" si="266"/>
        <v>0</v>
      </c>
      <c r="AL402" s="211">
        <f t="shared" si="266"/>
        <v>0</v>
      </c>
      <c r="AM402" s="211">
        <f t="shared" si="266"/>
        <v>0</v>
      </c>
      <c r="AN402" s="211">
        <f t="shared" si="266"/>
        <v>0</v>
      </c>
    </row>
    <row r="403" spans="2:40" s="7" customFormat="1" ht="12" hidden="1" customHeight="1" outlineLevel="2">
      <c r="B403" s="245"/>
      <c r="C403" s="213" t="s">
        <v>779</v>
      </c>
      <c r="D403" s="213"/>
      <c r="E403" s="213"/>
      <c r="F403" s="213"/>
      <c r="G403" s="213"/>
      <c r="H403" s="213"/>
      <c r="I403" s="213"/>
      <c r="J403" s="213"/>
      <c r="K403" s="213"/>
      <c r="L403" s="213"/>
      <c r="M403" s="213"/>
      <c r="N403" s="213"/>
      <c r="O403" s="213"/>
      <c r="P403" s="213"/>
      <c r="Q403" s="213"/>
      <c r="R403" s="213"/>
      <c r="S403" s="213"/>
      <c r="T403" s="213"/>
      <c r="U403" s="213"/>
      <c r="V403" s="213"/>
      <c r="W403" s="213"/>
      <c r="X403" s="213"/>
      <c r="Y403" s="213"/>
      <c r="Z403" s="213"/>
      <c r="AA403" s="213"/>
      <c r="AB403" s="211"/>
      <c r="AC403" s="211"/>
      <c r="AD403" s="211"/>
      <c r="AE403" s="211">
        <f>INDEX($C$349:$AN$371,MATCH("New Customers One-Time",$C$349:$C$371,0),MATCH($C403,$C$349:$AN$349,0))</f>
        <v>470.75805000000003</v>
      </c>
      <c r="AF403" s="211">
        <f t="shared" ref="AF403:AN403" si="267">$AE403*(E375)</f>
        <v>0</v>
      </c>
      <c r="AG403" s="211">
        <f t="shared" si="267"/>
        <v>0</v>
      </c>
      <c r="AH403" s="211">
        <f t="shared" si="267"/>
        <v>0</v>
      </c>
      <c r="AI403" s="211">
        <f t="shared" si="267"/>
        <v>0</v>
      </c>
      <c r="AJ403" s="211">
        <f t="shared" si="267"/>
        <v>0</v>
      </c>
      <c r="AK403" s="211">
        <f t="shared" si="267"/>
        <v>0</v>
      </c>
      <c r="AL403" s="211">
        <f t="shared" si="267"/>
        <v>0</v>
      </c>
      <c r="AM403" s="211">
        <f t="shared" si="267"/>
        <v>0</v>
      </c>
      <c r="AN403" s="211">
        <f t="shared" si="267"/>
        <v>0</v>
      </c>
    </row>
    <row r="404" spans="2:40" s="7" customFormat="1" ht="12" hidden="1" customHeight="1" outlineLevel="2">
      <c r="B404" s="245"/>
      <c r="C404" s="213" t="s">
        <v>780</v>
      </c>
      <c r="D404" s="213"/>
      <c r="E404" s="213"/>
      <c r="F404" s="213"/>
      <c r="G404" s="213"/>
      <c r="H404" s="213"/>
      <c r="I404" s="213"/>
      <c r="J404" s="213"/>
      <c r="K404" s="213"/>
      <c r="L404" s="213"/>
      <c r="M404" s="213"/>
      <c r="N404" s="213"/>
      <c r="O404" s="213"/>
      <c r="P404" s="213"/>
      <c r="Q404" s="213"/>
      <c r="R404" s="213"/>
      <c r="S404" s="213"/>
      <c r="T404" s="213"/>
      <c r="U404" s="213"/>
      <c r="V404" s="213"/>
      <c r="W404" s="213"/>
      <c r="X404" s="213"/>
      <c r="Y404" s="213"/>
      <c r="Z404" s="213"/>
      <c r="AA404" s="213"/>
      <c r="AB404" s="211"/>
      <c r="AC404" s="211"/>
      <c r="AD404" s="211"/>
      <c r="AE404" s="211"/>
      <c r="AF404" s="211">
        <f>INDEX($C$349:$AN$371,MATCH("New Customers One-Time",$C$349:$C$371,0),MATCH($C404,$C$349:$AN$349,0))</f>
        <v>361.02696000000003</v>
      </c>
      <c r="AG404" s="211">
        <f t="shared" ref="AG404:AN404" si="268">$AF404*(E375)</f>
        <v>0</v>
      </c>
      <c r="AH404" s="211">
        <f t="shared" si="268"/>
        <v>0</v>
      </c>
      <c r="AI404" s="211">
        <f t="shared" si="268"/>
        <v>0</v>
      </c>
      <c r="AJ404" s="211">
        <f t="shared" si="268"/>
        <v>0</v>
      </c>
      <c r="AK404" s="211">
        <f t="shared" si="268"/>
        <v>0</v>
      </c>
      <c r="AL404" s="211">
        <f t="shared" si="268"/>
        <v>0</v>
      </c>
      <c r="AM404" s="211">
        <f t="shared" si="268"/>
        <v>0</v>
      </c>
      <c r="AN404" s="211">
        <f t="shared" si="268"/>
        <v>0</v>
      </c>
    </row>
    <row r="405" spans="2:40" s="7" customFormat="1" ht="12" hidden="1" customHeight="1" outlineLevel="2">
      <c r="B405" s="245"/>
      <c r="C405" s="213" t="s">
        <v>781</v>
      </c>
      <c r="D405" s="213"/>
      <c r="E405" s="213"/>
      <c r="F405" s="213"/>
      <c r="G405" s="213"/>
      <c r="H405" s="213"/>
      <c r="I405" s="213"/>
      <c r="J405" s="213"/>
      <c r="K405" s="213"/>
      <c r="L405" s="213"/>
      <c r="M405" s="213"/>
      <c r="N405" s="213"/>
      <c r="O405" s="213"/>
      <c r="P405" s="213"/>
      <c r="Q405" s="213"/>
      <c r="R405" s="213"/>
      <c r="S405" s="213"/>
      <c r="T405" s="213"/>
      <c r="U405" s="213"/>
      <c r="V405" s="213"/>
      <c r="W405" s="213"/>
      <c r="X405" s="213"/>
      <c r="Y405" s="213"/>
      <c r="Z405" s="213"/>
      <c r="AA405" s="213"/>
      <c r="AB405" s="211"/>
      <c r="AC405" s="211"/>
      <c r="AD405" s="211"/>
      <c r="AE405" s="211"/>
      <c r="AF405" s="211"/>
      <c r="AG405" s="211">
        <f>INDEX($C$349:$AN$371,MATCH("New Customers One-Time",$C$349:$C$371,0),MATCH($C405,$C$349:$AN$349,0))</f>
        <v>325.54115999999993</v>
      </c>
      <c r="AH405" s="211">
        <f t="shared" ref="AH405:AN405" si="269">$AG405*(E375)</f>
        <v>0</v>
      </c>
      <c r="AI405" s="211">
        <f t="shared" si="269"/>
        <v>0</v>
      </c>
      <c r="AJ405" s="211">
        <f t="shared" si="269"/>
        <v>0</v>
      </c>
      <c r="AK405" s="211">
        <f t="shared" si="269"/>
        <v>0</v>
      </c>
      <c r="AL405" s="211">
        <f t="shared" si="269"/>
        <v>0</v>
      </c>
      <c r="AM405" s="211">
        <f t="shared" si="269"/>
        <v>0</v>
      </c>
      <c r="AN405" s="211">
        <f t="shared" si="269"/>
        <v>0</v>
      </c>
    </row>
    <row r="406" spans="2:40" s="7" customFormat="1" ht="12" hidden="1" customHeight="1" outlineLevel="2">
      <c r="B406" s="245"/>
      <c r="C406" s="213" t="s">
        <v>782</v>
      </c>
      <c r="D406" s="213"/>
      <c r="E406" s="213"/>
      <c r="F406" s="213"/>
      <c r="G406" s="213"/>
      <c r="H406" s="213"/>
      <c r="I406" s="213"/>
      <c r="J406" s="213"/>
      <c r="K406" s="213"/>
      <c r="L406" s="213"/>
      <c r="M406" s="213"/>
      <c r="N406" s="213"/>
      <c r="O406" s="213"/>
      <c r="P406" s="213"/>
      <c r="Q406" s="213"/>
      <c r="R406" s="213"/>
      <c r="S406" s="213"/>
      <c r="T406" s="213"/>
      <c r="U406" s="213"/>
      <c r="V406" s="213"/>
      <c r="W406" s="213"/>
      <c r="X406" s="213"/>
      <c r="Y406" s="213"/>
      <c r="Z406" s="213"/>
      <c r="AA406" s="213"/>
      <c r="AB406" s="211"/>
      <c r="AC406" s="211"/>
      <c r="AD406" s="211"/>
      <c r="AE406" s="211"/>
      <c r="AF406" s="211"/>
      <c r="AG406" s="211"/>
      <c r="AH406" s="211">
        <f>INDEX($C$349:$AN$371,MATCH("New Customers One-Time",$C$349:$C$371,0),MATCH($C406,$C$349:$AN$349,0))</f>
        <v>1115.9391599999999</v>
      </c>
      <c r="AI406" s="211">
        <f t="shared" ref="AI406:AN406" si="270">$AH406*(E375)</f>
        <v>0</v>
      </c>
      <c r="AJ406" s="211">
        <f t="shared" si="270"/>
        <v>0</v>
      </c>
      <c r="AK406" s="211">
        <f t="shared" si="270"/>
        <v>0</v>
      </c>
      <c r="AL406" s="211">
        <f t="shared" si="270"/>
        <v>0</v>
      </c>
      <c r="AM406" s="211">
        <f t="shared" si="270"/>
        <v>0</v>
      </c>
      <c r="AN406" s="211">
        <f t="shared" si="270"/>
        <v>0</v>
      </c>
    </row>
    <row r="407" spans="2:40" s="7" customFormat="1" ht="12" hidden="1" customHeight="1" outlineLevel="2">
      <c r="B407" s="245"/>
      <c r="C407" s="213" t="s">
        <v>783</v>
      </c>
      <c r="D407" s="213"/>
      <c r="E407" s="213"/>
      <c r="F407" s="213"/>
      <c r="G407" s="213"/>
      <c r="H407" s="213"/>
      <c r="I407" s="213"/>
      <c r="J407" s="213"/>
      <c r="K407" s="213"/>
      <c r="L407" s="213"/>
      <c r="M407" s="213"/>
      <c r="N407" s="213"/>
      <c r="O407" s="213"/>
      <c r="P407" s="213"/>
      <c r="Q407" s="213"/>
      <c r="R407" s="213"/>
      <c r="S407" s="213"/>
      <c r="T407" s="213"/>
      <c r="U407" s="213"/>
      <c r="V407" s="213"/>
      <c r="W407" s="213"/>
      <c r="X407" s="213"/>
      <c r="Y407" s="213"/>
      <c r="Z407" s="213"/>
      <c r="AA407" s="213"/>
      <c r="AB407" s="211"/>
      <c r="AC407" s="211"/>
      <c r="AD407" s="211"/>
      <c r="AE407" s="211"/>
      <c r="AF407" s="211"/>
      <c r="AG407" s="211"/>
      <c r="AH407" s="211"/>
      <c r="AI407" s="211">
        <f>INDEX($C$349:$AN$371,MATCH("New Customers One-Time",$C$349:$C$371,0),MATCH($C407,$C$349:$AN$349,0))</f>
        <v>368.3061899999999</v>
      </c>
      <c r="AJ407" s="211">
        <f>$AI407*(E375)</f>
        <v>0</v>
      </c>
      <c r="AK407" s="211">
        <f>$AI407*(F375)</f>
        <v>0</v>
      </c>
      <c r="AL407" s="211">
        <f>$AI407*(G375)</f>
        <v>0</v>
      </c>
      <c r="AM407" s="211">
        <f>$AI407*(H375)</f>
        <v>0</v>
      </c>
      <c r="AN407" s="211">
        <f>$AI407*(I375)</f>
        <v>0</v>
      </c>
    </row>
    <row r="408" spans="2:40" s="7" customFormat="1" ht="12" hidden="1" customHeight="1" outlineLevel="2">
      <c r="B408" s="245"/>
      <c r="C408" s="213" t="s">
        <v>784</v>
      </c>
      <c r="D408" s="213"/>
      <c r="E408" s="213"/>
      <c r="F408" s="213"/>
      <c r="G408" s="213"/>
      <c r="H408" s="213"/>
      <c r="I408" s="213"/>
      <c r="J408" s="213"/>
      <c r="K408" s="213"/>
      <c r="L408" s="213"/>
      <c r="M408" s="213"/>
      <c r="N408" s="213"/>
      <c r="O408" s="213"/>
      <c r="P408" s="213"/>
      <c r="Q408" s="213"/>
      <c r="R408" s="213"/>
      <c r="S408" s="213"/>
      <c r="T408" s="213"/>
      <c r="U408" s="213"/>
      <c r="V408" s="213"/>
      <c r="W408" s="213"/>
      <c r="X408" s="213"/>
      <c r="Y408" s="213"/>
      <c r="Z408" s="213"/>
      <c r="AA408" s="213"/>
      <c r="AB408" s="211"/>
      <c r="AC408" s="211"/>
      <c r="AD408" s="211"/>
      <c r="AE408" s="211"/>
      <c r="AF408" s="211"/>
      <c r="AG408" s="211"/>
      <c r="AH408" s="211"/>
      <c r="AI408" s="211"/>
      <c r="AJ408" s="211">
        <f>INDEX($C$349:$AN$371,MATCH("New Customers One-Time",$C$349:$C$371,0),MATCH($C408,$C$349:$AN$349,0))</f>
        <v>463.81439999999998</v>
      </c>
      <c r="AK408" s="211">
        <f>$AJ408*(E375)</f>
        <v>0</v>
      </c>
      <c r="AL408" s="211">
        <f>$AJ408*(F375)</f>
        <v>0</v>
      </c>
      <c r="AM408" s="211">
        <f>$AJ408*(G375)</f>
        <v>0</v>
      </c>
      <c r="AN408" s="211">
        <f>$AJ408*(H375)</f>
        <v>0</v>
      </c>
    </row>
    <row r="409" spans="2:40" s="7" customFormat="1" ht="12" hidden="1" customHeight="1" outlineLevel="2">
      <c r="B409" s="245"/>
      <c r="C409" s="213" t="s">
        <v>785</v>
      </c>
      <c r="D409" s="213"/>
      <c r="E409" s="213"/>
      <c r="F409" s="213"/>
      <c r="G409" s="213"/>
      <c r="H409" s="213"/>
      <c r="I409" s="213"/>
      <c r="J409" s="213"/>
      <c r="K409" s="213"/>
      <c r="L409" s="213"/>
      <c r="M409" s="213"/>
      <c r="N409" s="213"/>
      <c r="O409" s="213"/>
      <c r="P409" s="213"/>
      <c r="Q409" s="213"/>
      <c r="R409" s="213"/>
      <c r="S409" s="213"/>
      <c r="T409" s="213"/>
      <c r="U409" s="213"/>
      <c r="V409" s="213"/>
      <c r="W409" s="213"/>
      <c r="X409" s="213"/>
      <c r="Y409" s="213"/>
      <c r="Z409" s="213"/>
      <c r="AA409" s="213"/>
      <c r="AB409" s="211"/>
      <c r="AC409" s="211"/>
      <c r="AD409" s="211"/>
      <c r="AE409" s="211"/>
      <c r="AF409" s="211"/>
      <c r="AG409" s="211"/>
      <c r="AH409" s="211"/>
      <c r="AI409" s="211"/>
      <c r="AJ409" s="211"/>
      <c r="AK409" s="211">
        <f>INDEX($C$349:$AN$371,MATCH("New Customers One-Time",$C$349:$C$371,0),MATCH($C409,$C$349:$AN$349,0))</f>
        <v>835.38</v>
      </c>
      <c r="AL409" s="211">
        <f>$AK409*(E375)</f>
        <v>0</v>
      </c>
      <c r="AM409" s="211">
        <f>$AK409*(F375)</f>
        <v>0</v>
      </c>
      <c r="AN409" s="211">
        <f>$AK409*(G375)</f>
        <v>0</v>
      </c>
    </row>
    <row r="410" spans="2:40" s="7" customFormat="1" ht="12" hidden="1" customHeight="1" outlineLevel="2">
      <c r="B410" s="245"/>
      <c r="C410" s="213" t="s">
        <v>786</v>
      </c>
      <c r="D410" s="213"/>
      <c r="E410" s="213"/>
      <c r="F410" s="213"/>
      <c r="G410" s="213"/>
      <c r="H410" s="213"/>
      <c r="I410" s="213"/>
      <c r="J410" s="213"/>
      <c r="K410" s="213"/>
      <c r="L410" s="213"/>
      <c r="M410" s="213"/>
      <c r="N410" s="213"/>
      <c r="O410" s="213"/>
      <c r="P410" s="213"/>
      <c r="Q410" s="213"/>
      <c r="R410" s="213"/>
      <c r="S410" s="213"/>
      <c r="T410" s="213"/>
      <c r="U410" s="213"/>
      <c r="V410" s="213"/>
      <c r="W410" s="213"/>
      <c r="X410" s="213"/>
      <c r="Y410" s="213"/>
      <c r="Z410" s="213"/>
      <c r="AA410" s="213"/>
      <c r="AB410" s="211"/>
      <c r="AC410" s="211"/>
      <c r="AD410" s="211"/>
      <c r="AE410" s="211"/>
      <c r="AF410" s="211"/>
      <c r="AG410" s="211"/>
      <c r="AH410" s="211"/>
      <c r="AI410" s="211"/>
      <c r="AJ410" s="211"/>
      <c r="AK410" s="211"/>
      <c r="AL410" s="211">
        <f>INDEX($C$349:$AN$371,MATCH("New Customers One-Time",$C$349:$C$371,0),MATCH($C410,$C$349:$AN$349,0))</f>
        <v>696.15</v>
      </c>
      <c r="AM410" s="211">
        <f>$AL410*(E375)</f>
        <v>0</v>
      </c>
      <c r="AN410" s="211">
        <f>$AL410*(F375)</f>
        <v>0</v>
      </c>
    </row>
    <row r="411" spans="2:40" s="7" customFormat="1" ht="12" hidden="1" customHeight="1" outlineLevel="2">
      <c r="B411" s="245"/>
      <c r="C411" s="213" t="s">
        <v>787</v>
      </c>
      <c r="D411" s="213"/>
      <c r="E411" s="213"/>
      <c r="F411" s="213"/>
      <c r="G411" s="213"/>
      <c r="H411" s="213"/>
      <c r="I411" s="213"/>
      <c r="J411" s="213"/>
      <c r="K411" s="213"/>
      <c r="L411" s="213"/>
      <c r="M411" s="213"/>
      <c r="N411" s="213"/>
      <c r="O411" s="213"/>
      <c r="P411" s="213"/>
      <c r="Q411" s="213"/>
      <c r="R411" s="213"/>
      <c r="S411" s="213"/>
      <c r="T411" s="213"/>
      <c r="U411" s="213"/>
      <c r="V411" s="213"/>
      <c r="W411" s="213"/>
      <c r="X411" s="213"/>
      <c r="Y411" s="213"/>
      <c r="Z411" s="213"/>
      <c r="AA411" s="213"/>
      <c r="AB411" s="211"/>
      <c r="AC411" s="211"/>
      <c r="AD411" s="211"/>
      <c r="AE411" s="211"/>
      <c r="AF411" s="211"/>
      <c r="AG411" s="211"/>
      <c r="AH411" s="211"/>
      <c r="AI411" s="211"/>
      <c r="AJ411" s="211"/>
      <c r="AK411" s="211"/>
      <c r="AL411" s="211"/>
      <c r="AM411" s="211">
        <f>INDEX($C$349:$AN$371,MATCH("New Customers One-Time",$C$349:$C$371,0),MATCH($C411,$C$349:$AN$349,0))</f>
        <v>267.75</v>
      </c>
      <c r="AN411" s="211">
        <f>$AM411*(E375)</f>
        <v>0</v>
      </c>
    </row>
    <row r="412" spans="2:40" s="7" customFormat="1" ht="12" hidden="1" customHeight="1" outlineLevel="2">
      <c r="B412" s="245"/>
      <c r="C412" s="213" t="s">
        <v>788</v>
      </c>
      <c r="D412" s="213"/>
      <c r="E412" s="213"/>
      <c r="F412" s="213"/>
      <c r="G412" s="213"/>
      <c r="H412" s="213"/>
      <c r="I412" s="213"/>
      <c r="J412" s="213"/>
      <c r="K412" s="213"/>
      <c r="L412" s="213"/>
      <c r="M412" s="213"/>
      <c r="N412" s="213"/>
      <c r="O412" s="213"/>
      <c r="P412" s="213"/>
      <c r="Q412" s="213"/>
      <c r="R412" s="213"/>
      <c r="S412" s="213"/>
      <c r="T412" s="213"/>
      <c r="U412" s="213"/>
      <c r="V412" s="213"/>
      <c r="W412" s="213"/>
      <c r="X412" s="213"/>
      <c r="Y412" s="213"/>
      <c r="Z412" s="213"/>
      <c r="AA412" s="213"/>
      <c r="AB412" s="211"/>
      <c r="AC412" s="211"/>
      <c r="AD412" s="211"/>
      <c r="AE412" s="211"/>
      <c r="AF412" s="211"/>
      <c r="AG412" s="211"/>
      <c r="AH412" s="211"/>
      <c r="AI412" s="211"/>
      <c r="AJ412" s="211"/>
      <c r="AK412" s="211"/>
      <c r="AL412" s="211"/>
      <c r="AM412" s="211"/>
      <c r="AN412" s="211">
        <f>INDEX($C$349:$AN$371,MATCH("New Customers One-Time",$C$349:$C$371,0),MATCH($C412,$C$349:$AN$349,0))</f>
        <v>267.75</v>
      </c>
    </row>
    <row r="413" spans="2:40" s="7" customFormat="1" ht="12" hidden="1" customHeight="1" outlineLevel="2">
      <c r="B413" s="245"/>
      <c r="C413" s="213"/>
      <c r="D413" s="213"/>
      <c r="E413" s="213"/>
      <c r="F413" s="213"/>
      <c r="G413" s="213"/>
      <c r="H413" s="213"/>
      <c r="I413" s="213"/>
      <c r="J413" s="213"/>
      <c r="K413" s="213"/>
      <c r="L413" s="213"/>
      <c r="M413" s="213"/>
      <c r="N413" s="213"/>
      <c r="O413" s="213"/>
      <c r="P413" s="213"/>
      <c r="Q413" s="213"/>
      <c r="R413" s="213"/>
      <c r="S413" s="213"/>
      <c r="T413" s="213"/>
      <c r="U413" s="213"/>
      <c r="V413" s="213"/>
      <c r="W413" s="213"/>
      <c r="X413" s="213"/>
      <c r="Y413" s="213"/>
      <c r="Z413" s="213"/>
      <c r="AA413" s="213"/>
      <c r="AB413" s="211"/>
      <c r="AC413" s="211"/>
      <c r="AD413" s="211"/>
      <c r="AE413" s="211"/>
      <c r="AF413" s="211"/>
      <c r="AG413" s="211"/>
      <c r="AH413" s="211"/>
      <c r="AI413" s="211"/>
      <c r="AJ413" s="211"/>
      <c r="AK413" s="211"/>
      <c r="AL413" s="211"/>
      <c r="AM413" s="211"/>
      <c r="AN413" s="211"/>
    </row>
    <row r="414" spans="2:40" s="7" customFormat="1" ht="12" hidden="1" customHeight="1" outlineLevel="2">
      <c r="B414" s="245"/>
      <c r="C414" s="243" t="s">
        <v>853</v>
      </c>
      <c r="D414" s="213"/>
      <c r="E414" s="213"/>
      <c r="F414" s="213"/>
      <c r="G414" s="213"/>
      <c r="H414" s="213"/>
      <c r="I414" s="213"/>
      <c r="J414" s="213"/>
      <c r="K414" s="213"/>
      <c r="L414" s="213"/>
      <c r="M414" s="213"/>
      <c r="N414" s="213"/>
      <c r="O414" s="213"/>
      <c r="P414" s="213"/>
      <c r="Q414" s="213"/>
      <c r="R414" s="213"/>
      <c r="S414" s="213"/>
      <c r="T414" s="213"/>
      <c r="U414" s="213"/>
      <c r="V414" s="213"/>
      <c r="W414" s="213"/>
      <c r="X414" s="213"/>
      <c r="Y414" s="213"/>
      <c r="Z414" s="213"/>
      <c r="AA414" s="213"/>
      <c r="AB414" s="213"/>
      <c r="AC414" s="211"/>
    </row>
    <row r="415" spans="2:40" s="7" customFormat="1" ht="12" hidden="1" customHeight="1" outlineLevel="2">
      <c r="B415" s="239"/>
      <c r="C415" s="214" t="s">
        <v>850</v>
      </c>
      <c r="D415" s="214"/>
      <c r="E415" s="196" t="s">
        <v>753</v>
      </c>
      <c r="F415" s="196" t="s">
        <v>754</v>
      </c>
      <c r="G415" s="196" t="s">
        <v>755</v>
      </c>
      <c r="H415" s="196" t="s">
        <v>756</v>
      </c>
      <c r="I415" s="196" t="s">
        <v>757</v>
      </c>
      <c r="J415" s="196" t="s">
        <v>758</v>
      </c>
      <c r="K415" s="196" t="s">
        <v>759</v>
      </c>
      <c r="L415" s="196" t="s">
        <v>760</v>
      </c>
      <c r="M415" s="196" t="s">
        <v>761</v>
      </c>
      <c r="N415" s="196" t="s">
        <v>762</v>
      </c>
      <c r="O415" s="196" t="s">
        <v>763</v>
      </c>
      <c r="P415" s="196" t="s">
        <v>764</v>
      </c>
      <c r="Q415" s="196" t="s">
        <v>765</v>
      </c>
      <c r="R415" s="196" t="s">
        <v>766</v>
      </c>
      <c r="S415" s="196" t="s">
        <v>767</v>
      </c>
      <c r="T415" s="196" t="s">
        <v>768</v>
      </c>
      <c r="U415" s="196" t="s">
        <v>769</v>
      </c>
      <c r="V415" s="196" t="s">
        <v>770</v>
      </c>
      <c r="W415" s="196" t="s">
        <v>771</v>
      </c>
      <c r="X415" s="196" t="s">
        <v>772</v>
      </c>
      <c r="Y415" s="196" t="s">
        <v>773</v>
      </c>
      <c r="Z415" s="196" t="s">
        <v>774</v>
      </c>
      <c r="AA415" s="196" t="s">
        <v>775</v>
      </c>
      <c r="AB415" s="196" t="s">
        <v>776</v>
      </c>
      <c r="AC415" s="196" t="s">
        <v>777</v>
      </c>
      <c r="AD415" s="196" t="s">
        <v>778</v>
      </c>
      <c r="AE415" s="196" t="s">
        <v>779</v>
      </c>
      <c r="AF415" s="196" t="s">
        <v>780</v>
      </c>
      <c r="AG415" s="196" t="s">
        <v>781</v>
      </c>
      <c r="AH415" s="196" t="s">
        <v>782</v>
      </c>
      <c r="AI415" s="196" t="s">
        <v>783</v>
      </c>
      <c r="AJ415" s="196" t="s">
        <v>784</v>
      </c>
      <c r="AK415" s="196" t="s">
        <v>785</v>
      </c>
      <c r="AL415" s="196" t="s">
        <v>786</v>
      </c>
      <c r="AM415" s="196" t="s">
        <v>787</v>
      </c>
      <c r="AN415" s="196" t="s">
        <v>788</v>
      </c>
    </row>
    <row r="416" spans="2:40" s="7" customFormat="1" ht="12" hidden="1" customHeight="1" outlineLevel="2">
      <c r="B416" s="239"/>
      <c r="C416" s="247" t="s">
        <v>851</v>
      </c>
      <c r="D416" s="214"/>
      <c r="E416" s="345">
        <v>0.04</v>
      </c>
      <c r="F416" s="345">
        <v>0.04</v>
      </c>
      <c r="G416" s="345">
        <v>0.04</v>
      </c>
      <c r="H416" s="345">
        <v>0.04</v>
      </c>
      <c r="I416" s="345">
        <v>0.03</v>
      </c>
      <c r="J416" s="345">
        <v>0.03</v>
      </c>
      <c r="K416" s="345">
        <v>0.03</v>
      </c>
      <c r="L416" s="345">
        <v>0.03</v>
      </c>
      <c r="M416" s="345">
        <v>0.02</v>
      </c>
      <c r="N416" s="345">
        <v>0.02</v>
      </c>
      <c r="O416" s="345">
        <v>0.02</v>
      </c>
      <c r="P416" s="345">
        <v>0.03</v>
      </c>
      <c r="Q416" s="345">
        <v>0.03</v>
      </c>
      <c r="R416" s="345">
        <v>0.01</v>
      </c>
      <c r="S416" s="345">
        <v>0.01</v>
      </c>
      <c r="T416" s="345">
        <v>0.01</v>
      </c>
      <c r="U416" s="345">
        <v>0.01</v>
      </c>
      <c r="V416" s="345">
        <v>0.01</v>
      </c>
      <c r="W416" s="345">
        <v>0.01</v>
      </c>
      <c r="X416" s="345">
        <v>0.01</v>
      </c>
      <c r="Y416" s="345">
        <v>0.01</v>
      </c>
      <c r="Z416" s="345">
        <v>0.01</v>
      </c>
      <c r="AA416" s="345">
        <v>0.01</v>
      </c>
      <c r="AB416" s="345">
        <v>0.01</v>
      </c>
      <c r="AC416" s="345">
        <v>0.01</v>
      </c>
      <c r="AD416" s="345">
        <v>0.01</v>
      </c>
      <c r="AE416" s="345">
        <v>0.01</v>
      </c>
      <c r="AF416" s="345">
        <v>0.01</v>
      </c>
      <c r="AG416" s="345">
        <v>0.01</v>
      </c>
      <c r="AH416" s="345">
        <v>0.01</v>
      </c>
      <c r="AI416" s="345">
        <v>0.01</v>
      </c>
      <c r="AJ416" s="345">
        <v>0.01</v>
      </c>
      <c r="AK416" s="345">
        <v>0.01</v>
      </c>
      <c r="AL416" s="345">
        <v>0.01</v>
      </c>
      <c r="AM416" s="345">
        <v>0.01</v>
      </c>
      <c r="AN416" s="345">
        <v>0.01</v>
      </c>
    </row>
    <row r="417" spans="2:40" s="214" customFormat="1" ht="12" hidden="1" customHeight="1" outlineLevel="2">
      <c r="C417" s="213" t="s">
        <v>861</v>
      </c>
      <c r="E417" s="211">
        <v>322</v>
      </c>
      <c r="F417" s="211">
        <v>379</v>
      </c>
      <c r="G417" s="211">
        <v>480</v>
      </c>
      <c r="H417" s="211">
        <v>363</v>
      </c>
      <c r="I417" s="211">
        <v>305</v>
      </c>
      <c r="J417" s="211">
        <f t="shared" ref="J417:AN417" si="271">I417*0.9</f>
        <v>274.5</v>
      </c>
      <c r="K417" s="211">
        <f t="shared" si="271"/>
        <v>247.05</v>
      </c>
      <c r="L417" s="211">
        <f t="shared" si="271"/>
        <v>222.34500000000003</v>
      </c>
      <c r="M417" s="211">
        <f t="shared" si="271"/>
        <v>200.11050000000003</v>
      </c>
      <c r="N417" s="211">
        <f t="shared" si="271"/>
        <v>180.09945000000002</v>
      </c>
      <c r="O417" s="211">
        <f t="shared" si="271"/>
        <v>162.08950500000003</v>
      </c>
      <c r="P417" s="211">
        <f t="shared" si="271"/>
        <v>145.88055450000004</v>
      </c>
      <c r="Q417" s="211">
        <f t="shared" si="271"/>
        <v>131.29249905000003</v>
      </c>
      <c r="R417" s="211">
        <f t="shared" si="271"/>
        <v>118.16324914500004</v>
      </c>
      <c r="S417" s="211">
        <f t="shared" si="271"/>
        <v>106.34692423050004</v>
      </c>
      <c r="T417" s="211">
        <f t="shared" si="271"/>
        <v>95.712231807450038</v>
      </c>
      <c r="U417" s="211">
        <f t="shared" si="271"/>
        <v>86.14100862670503</v>
      </c>
      <c r="V417" s="211">
        <f t="shared" si="271"/>
        <v>77.526907764034533</v>
      </c>
      <c r="W417" s="211">
        <f t="shared" si="271"/>
        <v>69.774216987631078</v>
      </c>
      <c r="X417" s="211">
        <f t="shared" si="271"/>
        <v>62.796795288867969</v>
      </c>
      <c r="Y417" s="211">
        <f t="shared" si="271"/>
        <v>56.517115759981174</v>
      </c>
      <c r="Z417" s="211">
        <f t="shared" si="271"/>
        <v>50.86540418398306</v>
      </c>
      <c r="AA417" s="211">
        <f t="shared" si="271"/>
        <v>45.778863765584752</v>
      </c>
      <c r="AB417" s="211">
        <f t="shared" si="271"/>
        <v>41.200977389026278</v>
      </c>
      <c r="AC417" s="211">
        <f t="shared" si="271"/>
        <v>37.080879650123649</v>
      </c>
      <c r="AD417" s="211">
        <f t="shared" si="271"/>
        <v>33.372791685111288</v>
      </c>
      <c r="AE417" s="211">
        <f t="shared" si="271"/>
        <v>30.035512516600161</v>
      </c>
      <c r="AF417" s="211">
        <f t="shared" si="271"/>
        <v>27.031961264940144</v>
      </c>
      <c r="AG417" s="211">
        <f t="shared" si="271"/>
        <v>24.32876513844613</v>
      </c>
      <c r="AH417" s="211">
        <f t="shared" si="271"/>
        <v>21.895888624601518</v>
      </c>
      <c r="AI417" s="211">
        <f t="shared" si="271"/>
        <v>19.706299762141366</v>
      </c>
      <c r="AJ417" s="211">
        <f t="shared" si="271"/>
        <v>17.735669785927229</v>
      </c>
      <c r="AK417" s="211">
        <f t="shared" si="271"/>
        <v>15.962102807334507</v>
      </c>
      <c r="AL417" s="211">
        <f t="shared" si="271"/>
        <v>14.365892526601057</v>
      </c>
      <c r="AM417" s="211">
        <f t="shared" si="271"/>
        <v>12.929303273940951</v>
      </c>
      <c r="AN417" s="211">
        <f t="shared" si="271"/>
        <v>11.636372946546857</v>
      </c>
    </row>
    <row r="418" spans="2:40" s="7" customFormat="1" ht="12" hidden="1" customHeight="1" outlineLevel="2">
      <c r="B418" s="245"/>
      <c r="C418" s="213" t="s">
        <v>753</v>
      </c>
      <c r="D418" s="213"/>
      <c r="E418" s="211">
        <f>INDEX($C$349:$AN$371,MATCH("New Customers 1MS",$C$349:$C$371,0),MATCH($C418,$C$349:$AN$349,0))</f>
        <v>32.999999999999993</v>
      </c>
      <c r="F418" s="211">
        <f t="shared" ref="F418:AN418" si="272">$E418*(E416)</f>
        <v>1.3199999999999998</v>
      </c>
      <c r="G418" s="211">
        <f t="shared" si="272"/>
        <v>1.3199999999999998</v>
      </c>
      <c r="H418" s="211">
        <f t="shared" si="272"/>
        <v>1.3199999999999998</v>
      </c>
      <c r="I418" s="211">
        <f t="shared" si="272"/>
        <v>1.3199999999999998</v>
      </c>
      <c r="J418" s="211">
        <f t="shared" si="272"/>
        <v>0.98999999999999977</v>
      </c>
      <c r="K418" s="211">
        <f t="shared" si="272"/>
        <v>0.98999999999999977</v>
      </c>
      <c r="L418" s="211">
        <f t="shared" si="272"/>
        <v>0.98999999999999977</v>
      </c>
      <c r="M418" s="211">
        <f t="shared" si="272"/>
        <v>0.98999999999999977</v>
      </c>
      <c r="N418" s="211">
        <f t="shared" si="272"/>
        <v>0.65999999999999992</v>
      </c>
      <c r="O418" s="211">
        <f t="shared" si="272"/>
        <v>0.65999999999999992</v>
      </c>
      <c r="P418" s="211">
        <f t="shared" si="272"/>
        <v>0.65999999999999992</v>
      </c>
      <c r="Q418" s="211">
        <f t="shared" si="272"/>
        <v>0.98999999999999977</v>
      </c>
      <c r="R418" s="211">
        <f t="shared" si="272"/>
        <v>0.98999999999999977</v>
      </c>
      <c r="S418" s="211">
        <f t="shared" si="272"/>
        <v>0.32999999999999996</v>
      </c>
      <c r="T418" s="211">
        <f t="shared" si="272"/>
        <v>0.32999999999999996</v>
      </c>
      <c r="U418" s="211">
        <f t="shared" si="272"/>
        <v>0.32999999999999996</v>
      </c>
      <c r="V418" s="211">
        <f t="shared" si="272"/>
        <v>0.32999999999999996</v>
      </c>
      <c r="W418" s="211">
        <f t="shared" si="272"/>
        <v>0.32999999999999996</v>
      </c>
      <c r="X418" s="211">
        <f t="shared" si="272"/>
        <v>0.32999999999999996</v>
      </c>
      <c r="Y418" s="211">
        <f t="shared" si="272"/>
        <v>0.32999999999999996</v>
      </c>
      <c r="Z418" s="211">
        <f t="shared" si="272"/>
        <v>0.32999999999999996</v>
      </c>
      <c r="AA418" s="211">
        <f t="shared" si="272"/>
        <v>0.32999999999999996</v>
      </c>
      <c r="AB418" s="211">
        <f t="shared" si="272"/>
        <v>0.32999999999999996</v>
      </c>
      <c r="AC418" s="211">
        <f t="shared" si="272"/>
        <v>0.32999999999999996</v>
      </c>
      <c r="AD418" s="211">
        <f t="shared" si="272"/>
        <v>0.32999999999999996</v>
      </c>
      <c r="AE418" s="211">
        <f t="shared" si="272"/>
        <v>0.32999999999999996</v>
      </c>
      <c r="AF418" s="211">
        <f t="shared" si="272"/>
        <v>0.32999999999999996</v>
      </c>
      <c r="AG418" s="211">
        <f t="shared" si="272"/>
        <v>0.32999999999999996</v>
      </c>
      <c r="AH418" s="211">
        <f t="shared" si="272"/>
        <v>0.32999999999999996</v>
      </c>
      <c r="AI418" s="211">
        <f t="shared" si="272"/>
        <v>0.32999999999999996</v>
      </c>
      <c r="AJ418" s="211">
        <f t="shared" si="272"/>
        <v>0.32999999999999996</v>
      </c>
      <c r="AK418" s="211">
        <f t="shared" si="272"/>
        <v>0.32999999999999996</v>
      </c>
      <c r="AL418" s="211">
        <f t="shared" si="272"/>
        <v>0.32999999999999996</v>
      </c>
      <c r="AM418" s="211">
        <f t="shared" si="272"/>
        <v>0.32999999999999996</v>
      </c>
      <c r="AN418" s="211">
        <f t="shared" si="272"/>
        <v>0.32999999999999996</v>
      </c>
    </row>
    <row r="419" spans="2:40" s="7" customFormat="1" ht="12" hidden="1" customHeight="1" outlineLevel="2">
      <c r="B419" s="245"/>
      <c r="C419" s="213" t="s">
        <v>754</v>
      </c>
      <c r="D419" s="213"/>
      <c r="E419" s="213"/>
      <c r="F419" s="211">
        <f>INDEX($C$349:$AN$371,MATCH("New Customers 1MS",$C$349:$C$371,0),MATCH($C419,$C$349:$AN$349,0))</f>
        <v>21.000000000000004</v>
      </c>
      <c r="G419" s="211">
        <f t="shared" ref="G419:AN419" si="273">$F419*(E416)</f>
        <v>0.84000000000000019</v>
      </c>
      <c r="H419" s="211">
        <f t="shared" si="273"/>
        <v>0.84000000000000019</v>
      </c>
      <c r="I419" s="211">
        <f t="shared" si="273"/>
        <v>0.84000000000000019</v>
      </c>
      <c r="J419" s="211">
        <f t="shared" si="273"/>
        <v>0.84000000000000019</v>
      </c>
      <c r="K419" s="211">
        <f t="shared" si="273"/>
        <v>0.63000000000000012</v>
      </c>
      <c r="L419" s="211">
        <f t="shared" si="273"/>
        <v>0.63000000000000012</v>
      </c>
      <c r="M419" s="211">
        <f t="shared" si="273"/>
        <v>0.63000000000000012</v>
      </c>
      <c r="N419" s="211">
        <f t="shared" si="273"/>
        <v>0.63000000000000012</v>
      </c>
      <c r="O419" s="211">
        <f t="shared" si="273"/>
        <v>0.4200000000000001</v>
      </c>
      <c r="P419" s="211">
        <f t="shared" si="273"/>
        <v>0.4200000000000001</v>
      </c>
      <c r="Q419" s="211">
        <f t="shared" si="273"/>
        <v>0.4200000000000001</v>
      </c>
      <c r="R419" s="211">
        <f t="shared" si="273"/>
        <v>0.63000000000000012</v>
      </c>
      <c r="S419" s="211">
        <f t="shared" si="273"/>
        <v>0.63000000000000012</v>
      </c>
      <c r="T419" s="211">
        <f t="shared" si="273"/>
        <v>0.21000000000000005</v>
      </c>
      <c r="U419" s="211">
        <f t="shared" si="273"/>
        <v>0.21000000000000005</v>
      </c>
      <c r="V419" s="211">
        <f t="shared" si="273"/>
        <v>0.21000000000000005</v>
      </c>
      <c r="W419" s="211">
        <f t="shared" si="273"/>
        <v>0.21000000000000005</v>
      </c>
      <c r="X419" s="211">
        <f t="shared" si="273"/>
        <v>0.21000000000000005</v>
      </c>
      <c r="Y419" s="211">
        <f t="shared" si="273"/>
        <v>0.21000000000000005</v>
      </c>
      <c r="Z419" s="211">
        <f t="shared" si="273"/>
        <v>0.21000000000000005</v>
      </c>
      <c r="AA419" s="211">
        <f t="shared" si="273"/>
        <v>0.21000000000000005</v>
      </c>
      <c r="AB419" s="211">
        <f t="shared" si="273"/>
        <v>0.21000000000000005</v>
      </c>
      <c r="AC419" s="211">
        <f t="shared" si="273"/>
        <v>0.21000000000000005</v>
      </c>
      <c r="AD419" s="211">
        <f t="shared" si="273"/>
        <v>0.21000000000000005</v>
      </c>
      <c r="AE419" s="211">
        <f t="shared" si="273"/>
        <v>0.21000000000000005</v>
      </c>
      <c r="AF419" s="211">
        <f t="shared" si="273"/>
        <v>0.21000000000000005</v>
      </c>
      <c r="AG419" s="211">
        <f t="shared" si="273"/>
        <v>0.21000000000000005</v>
      </c>
      <c r="AH419" s="211">
        <f t="shared" si="273"/>
        <v>0.21000000000000005</v>
      </c>
      <c r="AI419" s="211">
        <f t="shared" si="273"/>
        <v>0.21000000000000005</v>
      </c>
      <c r="AJ419" s="211">
        <f t="shared" si="273"/>
        <v>0.21000000000000005</v>
      </c>
      <c r="AK419" s="211">
        <f t="shared" si="273"/>
        <v>0.21000000000000005</v>
      </c>
      <c r="AL419" s="211">
        <f t="shared" si="273"/>
        <v>0.21000000000000005</v>
      </c>
      <c r="AM419" s="211">
        <f t="shared" si="273"/>
        <v>0.21000000000000005</v>
      </c>
      <c r="AN419" s="211">
        <f t="shared" si="273"/>
        <v>0.21000000000000005</v>
      </c>
    </row>
    <row r="420" spans="2:40" s="7" customFormat="1" ht="12" hidden="1" customHeight="1" outlineLevel="2">
      <c r="B420" s="245"/>
      <c r="C420" s="213" t="s">
        <v>755</v>
      </c>
      <c r="D420" s="213"/>
      <c r="E420" s="213"/>
      <c r="G420" s="211">
        <f>INDEX($C$349:$AN$371,MATCH("New Customers 1MS",$C$349:$C$371,0),MATCH($C420,$C$349:$AN$349,0))</f>
        <v>17.999999999999996</v>
      </c>
      <c r="H420" s="211">
        <f>G420*(E416)</f>
        <v>0.71999999999999986</v>
      </c>
      <c r="I420" s="211">
        <f>G420*(F416)</f>
        <v>0.71999999999999986</v>
      </c>
      <c r="J420" s="211">
        <f>G420*(G416)</f>
        <v>0.71999999999999986</v>
      </c>
      <c r="K420" s="211">
        <f>G420*(H416)</f>
        <v>0.71999999999999986</v>
      </c>
      <c r="L420" s="211">
        <f>G420*(I416)</f>
        <v>0.53999999999999992</v>
      </c>
      <c r="M420" s="211">
        <f>G420*(J416)</f>
        <v>0.53999999999999992</v>
      </c>
      <c r="N420" s="211">
        <f>G420*(K416)</f>
        <v>0.53999999999999992</v>
      </c>
      <c r="O420" s="211">
        <f>G420*(L416)</f>
        <v>0.53999999999999992</v>
      </c>
      <c r="P420" s="211">
        <f>G420*(M416)</f>
        <v>0.35999999999999993</v>
      </c>
      <c r="Q420" s="211">
        <f>G420*(N416)</f>
        <v>0.35999999999999993</v>
      </c>
      <c r="R420" s="211">
        <f>G420*(O416)</f>
        <v>0.35999999999999993</v>
      </c>
      <c r="S420" s="211">
        <f>G420*(P416)</f>
        <v>0.53999999999999992</v>
      </c>
      <c r="T420" s="211">
        <f>G420*(Q416)</f>
        <v>0.53999999999999992</v>
      </c>
      <c r="U420" s="211">
        <f>G420*(R416)</f>
        <v>0.17999999999999997</v>
      </c>
      <c r="V420" s="211">
        <f>G420*(S416)</f>
        <v>0.17999999999999997</v>
      </c>
      <c r="W420" s="211">
        <f>G420*(T416)</f>
        <v>0.17999999999999997</v>
      </c>
      <c r="X420" s="211">
        <f>G420*(U416)</f>
        <v>0.17999999999999997</v>
      </c>
      <c r="Y420" s="211">
        <f>G420*(V416)</f>
        <v>0.17999999999999997</v>
      </c>
      <c r="Z420" s="211">
        <f>G420*(W416)</f>
        <v>0.17999999999999997</v>
      </c>
      <c r="AA420" s="211">
        <f>G420*(X416)</f>
        <v>0.17999999999999997</v>
      </c>
      <c r="AB420" s="211">
        <f>G420*(Y416)</f>
        <v>0.17999999999999997</v>
      </c>
      <c r="AC420" s="211">
        <f>G420*(Z416)</f>
        <v>0.17999999999999997</v>
      </c>
      <c r="AD420" s="211">
        <f>G420*(AA416)</f>
        <v>0.17999999999999997</v>
      </c>
      <c r="AE420" s="211">
        <f>G420*(AB416)</f>
        <v>0.17999999999999997</v>
      </c>
      <c r="AF420" s="211">
        <f>G420*(AC416)</f>
        <v>0.17999999999999997</v>
      </c>
      <c r="AG420" s="211">
        <f>G420*(AD416)</f>
        <v>0.17999999999999997</v>
      </c>
      <c r="AH420" s="211">
        <f>G420*(AE416)</f>
        <v>0.17999999999999997</v>
      </c>
      <c r="AI420" s="211">
        <f>G420*(AF416)</f>
        <v>0.17999999999999997</v>
      </c>
      <c r="AJ420" s="211">
        <f>G420*(AG416)</f>
        <v>0.17999999999999997</v>
      </c>
      <c r="AK420" s="211">
        <f>G420*(AH416)</f>
        <v>0.17999999999999997</v>
      </c>
      <c r="AL420" s="211">
        <f>G420*(AI416)</f>
        <v>0.17999999999999997</v>
      </c>
      <c r="AM420" s="211">
        <f>G420*(AJ416)</f>
        <v>0.17999999999999997</v>
      </c>
      <c r="AN420" s="211">
        <f>G420*(AK416)</f>
        <v>0.17999999999999997</v>
      </c>
    </row>
    <row r="421" spans="2:40" s="7" customFormat="1" ht="12" hidden="1" customHeight="1" outlineLevel="2">
      <c r="B421" s="245"/>
      <c r="C421" s="213" t="s">
        <v>756</v>
      </c>
      <c r="D421" s="213"/>
      <c r="E421" s="213"/>
      <c r="F421" s="213"/>
      <c r="G421" s="213"/>
      <c r="H421" s="211">
        <f>INDEX($C$349:$AN$371,MATCH("New Customers 1MS",$C$349:$C$371,0),MATCH($C421,$C$349:$AN$349,0))</f>
        <v>9.0000000000000107</v>
      </c>
      <c r="I421" s="211">
        <f>H421*(E416)</f>
        <v>0.36000000000000043</v>
      </c>
      <c r="J421" s="211">
        <f>H421*(F416)</f>
        <v>0.36000000000000043</v>
      </c>
      <c r="K421" s="211">
        <f>H421*(G416)</f>
        <v>0.36000000000000043</v>
      </c>
      <c r="L421" s="211">
        <f>H421*(H416)</f>
        <v>0.36000000000000043</v>
      </c>
      <c r="M421" s="211">
        <f>H421*(I416)</f>
        <v>0.2700000000000003</v>
      </c>
      <c r="N421" s="211">
        <f>H421*(J416)</f>
        <v>0.2700000000000003</v>
      </c>
      <c r="O421" s="211">
        <f>H421*(K416)</f>
        <v>0.2700000000000003</v>
      </c>
      <c r="P421" s="211">
        <f>H421*(L416)</f>
        <v>0.2700000000000003</v>
      </c>
      <c r="Q421" s="211">
        <f>H421*(M416)</f>
        <v>0.18000000000000022</v>
      </c>
      <c r="R421" s="211">
        <f>H421*(N416)</f>
        <v>0.18000000000000022</v>
      </c>
      <c r="S421" s="211">
        <f>H421*(O416)</f>
        <v>0.18000000000000022</v>
      </c>
      <c r="T421" s="211">
        <f>H421*(P416)</f>
        <v>0.2700000000000003</v>
      </c>
      <c r="U421" s="211">
        <f>H421*(Q416)</f>
        <v>0.2700000000000003</v>
      </c>
      <c r="V421" s="211">
        <f>H421*(R416)</f>
        <v>9.0000000000000108E-2</v>
      </c>
      <c r="W421" s="211">
        <f>H421*(S416)</f>
        <v>9.0000000000000108E-2</v>
      </c>
      <c r="X421" s="211">
        <f>H421*(T416)</f>
        <v>9.0000000000000108E-2</v>
      </c>
      <c r="Y421" s="211">
        <f>H421*(U416)</f>
        <v>9.0000000000000108E-2</v>
      </c>
      <c r="Z421" s="211">
        <f>H421*(V416)</f>
        <v>9.0000000000000108E-2</v>
      </c>
      <c r="AA421" s="211">
        <f>H421*(W416)</f>
        <v>9.0000000000000108E-2</v>
      </c>
      <c r="AB421" s="211">
        <f>H421*(X416)</f>
        <v>9.0000000000000108E-2</v>
      </c>
      <c r="AC421" s="211">
        <f>H421*(Y416)</f>
        <v>9.0000000000000108E-2</v>
      </c>
      <c r="AD421" s="211">
        <f>H421*(Z416)</f>
        <v>9.0000000000000108E-2</v>
      </c>
      <c r="AE421" s="211">
        <f>H421*(AA416)</f>
        <v>9.0000000000000108E-2</v>
      </c>
      <c r="AF421" s="211">
        <f>H421*(AB416)</f>
        <v>9.0000000000000108E-2</v>
      </c>
      <c r="AG421" s="211">
        <f>H421*(AC416)</f>
        <v>9.0000000000000108E-2</v>
      </c>
      <c r="AH421" s="211">
        <f>H421*(AD416)</f>
        <v>9.0000000000000108E-2</v>
      </c>
      <c r="AI421" s="211">
        <f>H421*(AE416)</f>
        <v>9.0000000000000108E-2</v>
      </c>
      <c r="AJ421" s="211">
        <f>H421*(AF416)</f>
        <v>9.0000000000000108E-2</v>
      </c>
      <c r="AK421" s="211">
        <f>H421*(AG416)</f>
        <v>9.0000000000000108E-2</v>
      </c>
      <c r="AL421" s="211">
        <f>H421*(AH416)</f>
        <v>9.0000000000000108E-2</v>
      </c>
      <c r="AM421" s="211">
        <f>H421*(AI416)</f>
        <v>9.0000000000000108E-2</v>
      </c>
      <c r="AN421" s="211">
        <f>H421*(AJ416)</f>
        <v>9.0000000000000108E-2</v>
      </c>
    </row>
    <row r="422" spans="2:40" s="7" customFormat="1" ht="12" hidden="1" customHeight="1" outlineLevel="2">
      <c r="B422" s="245"/>
      <c r="C422" s="213" t="s">
        <v>757</v>
      </c>
      <c r="D422" s="213"/>
      <c r="E422" s="213"/>
      <c r="F422" s="213"/>
      <c r="G422" s="213"/>
      <c r="H422" s="213"/>
      <c r="I422" s="211">
        <f>INDEX($C$349:$AN$371,MATCH("New Customers 1MS",$C$349:$C$371,0),MATCH($C422,$C$349:$AN$349,0))</f>
        <v>20</v>
      </c>
      <c r="J422" s="211">
        <f>I422*(E416)</f>
        <v>0.8</v>
      </c>
      <c r="K422" s="211">
        <f>I422*(F416)</f>
        <v>0.8</v>
      </c>
      <c r="L422" s="211">
        <f>I422*(G416)</f>
        <v>0.8</v>
      </c>
      <c r="M422" s="211">
        <f>I422*(H416)</f>
        <v>0.8</v>
      </c>
      <c r="N422" s="211">
        <f>I422*(I416)</f>
        <v>0.6</v>
      </c>
      <c r="O422" s="211">
        <f>I422*(J416)</f>
        <v>0.6</v>
      </c>
      <c r="P422" s="211">
        <f>I422*(K416)</f>
        <v>0.6</v>
      </c>
      <c r="Q422" s="211">
        <f>I422*(L416)</f>
        <v>0.6</v>
      </c>
      <c r="R422" s="211">
        <f>I422*(M416)</f>
        <v>0.4</v>
      </c>
      <c r="S422" s="211">
        <f>I422*(N416)</f>
        <v>0.4</v>
      </c>
      <c r="T422" s="211">
        <f>I422*(O416)</f>
        <v>0.4</v>
      </c>
      <c r="U422" s="211">
        <f>I422*(P416)</f>
        <v>0.6</v>
      </c>
      <c r="V422" s="211">
        <f>I422*(Q416)</f>
        <v>0.6</v>
      </c>
      <c r="W422" s="211">
        <f>I422*(R416)</f>
        <v>0.2</v>
      </c>
      <c r="X422" s="211">
        <f>I422*(S416)</f>
        <v>0.2</v>
      </c>
      <c r="Y422" s="211">
        <f>I422*(T416)</f>
        <v>0.2</v>
      </c>
      <c r="Z422" s="211">
        <f>I422*(U416)</f>
        <v>0.2</v>
      </c>
      <c r="AA422" s="211">
        <f>I422*(V416)</f>
        <v>0.2</v>
      </c>
      <c r="AB422" s="211">
        <f>I422*(W416)</f>
        <v>0.2</v>
      </c>
      <c r="AC422" s="211">
        <f>I422*(X416)</f>
        <v>0.2</v>
      </c>
      <c r="AD422" s="211">
        <f>I422*(Y416)</f>
        <v>0.2</v>
      </c>
      <c r="AE422" s="211">
        <f>I422*(Z416)</f>
        <v>0.2</v>
      </c>
      <c r="AF422" s="211">
        <f>I422*(AA416)</f>
        <v>0.2</v>
      </c>
      <c r="AG422" s="211">
        <f>I422*(AB416)</f>
        <v>0.2</v>
      </c>
      <c r="AH422" s="211">
        <f>I422*(AC416)</f>
        <v>0.2</v>
      </c>
      <c r="AI422" s="211">
        <f>I422*(AD416)</f>
        <v>0.2</v>
      </c>
      <c r="AJ422" s="211">
        <f>I422*(AE416)</f>
        <v>0.2</v>
      </c>
      <c r="AK422" s="211">
        <f>I422*(AF416)</f>
        <v>0.2</v>
      </c>
      <c r="AL422" s="211">
        <f>I422*(AG416)</f>
        <v>0.2</v>
      </c>
      <c r="AM422" s="211">
        <f>I422*(AH416)</f>
        <v>0.2</v>
      </c>
      <c r="AN422" s="211">
        <f>I422*(AI416)</f>
        <v>0.2</v>
      </c>
    </row>
    <row r="423" spans="2:40" s="7" customFormat="1" ht="12" hidden="1" customHeight="1" outlineLevel="2">
      <c r="B423" s="245"/>
      <c r="C423" s="213" t="s">
        <v>758</v>
      </c>
      <c r="D423" s="213"/>
      <c r="E423" s="213"/>
      <c r="F423" s="213"/>
      <c r="G423" s="213"/>
      <c r="H423" s="213"/>
      <c r="I423" s="213"/>
      <c r="J423" s="211">
        <f>INDEX($C$349:$AN$371,MATCH("New Customers 1MS",$C$349:$C$371,0),MATCH($C423,$C$349:$AN$349,0))</f>
        <v>20.000000000000025</v>
      </c>
      <c r="K423" s="211">
        <f>J423*(E416)</f>
        <v>0.80000000000000104</v>
      </c>
      <c r="L423" s="211">
        <f>J423*(F416)</f>
        <v>0.80000000000000104</v>
      </c>
      <c r="M423" s="211">
        <f>J423*(G416)</f>
        <v>0.80000000000000104</v>
      </c>
      <c r="N423" s="211">
        <f>J423*(H416)</f>
        <v>0.80000000000000104</v>
      </c>
      <c r="O423" s="211">
        <f>J423*(I416)</f>
        <v>0.60000000000000075</v>
      </c>
      <c r="P423" s="211">
        <f>J423*(J416)</f>
        <v>0.60000000000000075</v>
      </c>
      <c r="Q423" s="211">
        <f>J423*(K416)</f>
        <v>0.60000000000000075</v>
      </c>
      <c r="R423" s="211">
        <f>J423*(L416)</f>
        <v>0.60000000000000075</v>
      </c>
      <c r="S423" s="211">
        <f>J423*(M416)</f>
        <v>0.40000000000000052</v>
      </c>
      <c r="T423" s="211">
        <f>J423*(N416)</f>
        <v>0.40000000000000052</v>
      </c>
      <c r="U423" s="211">
        <f>J423*(O416)</f>
        <v>0.40000000000000052</v>
      </c>
      <c r="V423" s="211">
        <f>J423*(P416)</f>
        <v>0.60000000000000075</v>
      </c>
      <c r="W423" s="211">
        <f>J423*(Q416)</f>
        <v>0.60000000000000075</v>
      </c>
      <c r="X423" s="211">
        <f>J423*(R416)</f>
        <v>0.20000000000000026</v>
      </c>
      <c r="Y423" s="211">
        <f>J423*(S416)</f>
        <v>0.20000000000000026</v>
      </c>
      <c r="Z423" s="211">
        <f>J423*(T416)</f>
        <v>0.20000000000000026</v>
      </c>
      <c r="AA423" s="211">
        <f>J423*(U416)</f>
        <v>0.20000000000000026</v>
      </c>
      <c r="AB423" s="211">
        <f>J423*(V416)</f>
        <v>0.20000000000000026</v>
      </c>
      <c r="AC423" s="211">
        <f>J423*(W416)</f>
        <v>0.20000000000000026</v>
      </c>
      <c r="AD423" s="211">
        <f>J423*(X416)</f>
        <v>0.20000000000000026</v>
      </c>
      <c r="AE423" s="211">
        <f>J423*(Y416)</f>
        <v>0.20000000000000026</v>
      </c>
      <c r="AF423" s="211">
        <f>J423*(Z416)</f>
        <v>0.20000000000000026</v>
      </c>
      <c r="AG423" s="211">
        <f>J423*(AA416)</f>
        <v>0.20000000000000026</v>
      </c>
      <c r="AH423" s="211">
        <f>J423*(AB416)</f>
        <v>0.20000000000000026</v>
      </c>
      <c r="AI423" s="211">
        <f>J423*(AC416)</f>
        <v>0.20000000000000026</v>
      </c>
      <c r="AJ423" s="211">
        <f>J423*(AD416)</f>
        <v>0.20000000000000026</v>
      </c>
      <c r="AK423" s="211">
        <f>J423*(AE416)</f>
        <v>0.20000000000000026</v>
      </c>
      <c r="AL423" s="211">
        <f>J423*(AF416)</f>
        <v>0.20000000000000026</v>
      </c>
      <c r="AM423" s="211">
        <f>J423*(AG416)</f>
        <v>0.20000000000000026</v>
      </c>
      <c r="AN423" s="211">
        <f>J423*(AH416)</f>
        <v>0.20000000000000026</v>
      </c>
    </row>
    <row r="424" spans="2:40" s="7" customFormat="1" ht="12" hidden="1" customHeight="1" outlineLevel="2">
      <c r="B424" s="245"/>
      <c r="C424" s="213" t="s">
        <v>759</v>
      </c>
      <c r="D424" s="213"/>
      <c r="E424" s="213"/>
      <c r="F424" s="213"/>
      <c r="G424" s="213"/>
      <c r="H424" s="213"/>
      <c r="I424" s="213"/>
      <c r="J424" s="213"/>
      <c r="K424" s="211">
        <f>INDEX($C$349:$AN$371,MATCH("New Customers 1MS",$C$349:$C$371,0),MATCH($C424,$C$349:$AN$349,0))</f>
        <v>21</v>
      </c>
      <c r="L424" s="211">
        <f>K424*(E416)</f>
        <v>0.84</v>
      </c>
      <c r="M424" s="211">
        <f>K424*(F416)</f>
        <v>0.84</v>
      </c>
      <c r="N424" s="211">
        <f>K424*(G416)</f>
        <v>0.84</v>
      </c>
      <c r="O424" s="211">
        <f>K424*(H416)</f>
        <v>0.84</v>
      </c>
      <c r="P424" s="211">
        <f>K424*(I416)</f>
        <v>0.63</v>
      </c>
      <c r="Q424" s="211">
        <f>K424*(J416)</f>
        <v>0.63</v>
      </c>
      <c r="R424" s="211">
        <f>K424*(K416)</f>
        <v>0.63</v>
      </c>
      <c r="S424" s="211">
        <f>K424*(L416)</f>
        <v>0.63</v>
      </c>
      <c r="T424" s="211">
        <f>K424*(M416)</f>
        <v>0.42</v>
      </c>
      <c r="U424" s="211">
        <f>K424*(N416)</f>
        <v>0.42</v>
      </c>
      <c r="V424" s="211">
        <f>K424*(O416)</f>
        <v>0.42</v>
      </c>
      <c r="W424" s="211">
        <f>K424*(P416)</f>
        <v>0.63</v>
      </c>
      <c r="X424" s="211">
        <f>K424*(Q416)</f>
        <v>0.63</v>
      </c>
      <c r="Y424" s="211">
        <f>K424*(R416)</f>
        <v>0.21</v>
      </c>
      <c r="Z424" s="211">
        <f>K424*(S416)</f>
        <v>0.21</v>
      </c>
      <c r="AA424" s="211">
        <f>K424*(T416)</f>
        <v>0.21</v>
      </c>
      <c r="AB424" s="211">
        <f>K424*(U416)</f>
        <v>0.21</v>
      </c>
      <c r="AC424" s="211">
        <f>K424*(V416)</f>
        <v>0.21</v>
      </c>
      <c r="AD424" s="211">
        <f>K424*(W416)</f>
        <v>0.21</v>
      </c>
      <c r="AE424" s="211">
        <f>K424*(X416)</f>
        <v>0.21</v>
      </c>
      <c r="AF424" s="211">
        <f>K424*(Y416)</f>
        <v>0.21</v>
      </c>
      <c r="AG424" s="211">
        <f>K424*(Z416)</f>
        <v>0.21</v>
      </c>
      <c r="AH424" s="211">
        <f>K424*(AA416)</f>
        <v>0.21</v>
      </c>
      <c r="AI424" s="211">
        <f>K424*(AB416)</f>
        <v>0.21</v>
      </c>
      <c r="AJ424" s="211">
        <f>K424*(AC416)</f>
        <v>0.21</v>
      </c>
      <c r="AK424" s="211">
        <f>K424*(AD416)</f>
        <v>0.21</v>
      </c>
      <c r="AL424" s="211">
        <f>K424*(AE416)</f>
        <v>0.21</v>
      </c>
      <c r="AM424" s="211">
        <f>K424*(AF416)</f>
        <v>0.21</v>
      </c>
      <c r="AN424" s="211">
        <f>K424*(AG416)</f>
        <v>0.21</v>
      </c>
    </row>
    <row r="425" spans="2:40" s="7" customFormat="1" ht="12" hidden="1" customHeight="1" outlineLevel="2">
      <c r="B425" s="245"/>
      <c r="C425" s="213" t="s">
        <v>760</v>
      </c>
      <c r="D425" s="213"/>
      <c r="E425" s="213"/>
      <c r="F425" s="213"/>
      <c r="G425" s="213"/>
      <c r="H425" s="213"/>
      <c r="I425" s="213"/>
      <c r="J425" s="213"/>
      <c r="K425" s="213"/>
      <c r="L425" s="211">
        <f>INDEX($C$349:$AN$371,MATCH("New Customers 1MS",$C$349:$C$371,0),MATCH($C425,$C$349:$AN$349,0))</f>
        <v>88</v>
      </c>
      <c r="M425" s="211">
        <f>L425*(E416)</f>
        <v>3.52</v>
      </c>
      <c r="N425" s="211">
        <f>L425*(F416)</f>
        <v>3.52</v>
      </c>
      <c r="O425" s="211">
        <f>L425*(G416)</f>
        <v>3.52</v>
      </c>
      <c r="P425" s="211">
        <f>L425*(H416)</f>
        <v>3.52</v>
      </c>
      <c r="Q425" s="211">
        <f>L425*(I416)</f>
        <v>2.6399999999999997</v>
      </c>
      <c r="R425" s="211">
        <f>L425*(J416)</f>
        <v>2.6399999999999997</v>
      </c>
      <c r="S425" s="211">
        <f>L425*(K416)</f>
        <v>2.6399999999999997</v>
      </c>
      <c r="T425" s="211">
        <f>L425*(L416)</f>
        <v>2.6399999999999997</v>
      </c>
      <c r="U425" s="211">
        <f>L425*(M416)</f>
        <v>1.76</v>
      </c>
      <c r="V425" s="211">
        <f>L425*(N416)</f>
        <v>1.76</v>
      </c>
      <c r="W425" s="211">
        <f>L425*(O416)</f>
        <v>1.76</v>
      </c>
      <c r="X425" s="211">
        <f>L425*(P416)</f>
        <v>2.6399999999999997</v>
      </c>
      <c r="Y425" s="211">
        <f>L425*(Q416)</f>
        <v>2.6399999999999997</v>
      </c>
      <c r="Z425" s="211">
        <f>L425*(R416)</f>
        <v>0.88</v>
      </c>
      <c r="AA425" s="211">
        <f>L425*(S416)</f>
        <v>0.88</v>
      </c>
      <c r="AB425" s="211">
        <f>L425*(T416)</f>
        <v>0.88</v>
      </c>
      <c r="AC425" s="211">
        <f>L425*(U416)</f>
        <v>0.88</v>
      </c>
      <c r="AD425" s="211">
        <f>L425*(V416)</f>
        <v>0.88</v>
      </c>
      <c r="AE425" s="211">
        <f>L425*(W416)</f>
        <v>0.88</v>
      </c>
      <c r="AF425" s="211">
        <f>L425*(X416)</f>
        <v>0.88</v>
      </c>
      <c r="AG425" s="211">
        <f>L425*(Y416)</f>
        <v>0.88</v>
      </c>
      <c r="AH425" s="211">
        <f>L425*(Z416)</f>
        <v>0.88</v>
      </c>
      <c r="AI425" s="211">
        <f>L425*(AA416)</f>
        <v>0.88</v>
      </c>
      <c r="AJ425" s="211">
        <f>L425*(AB416)</f>
        <v>0.88</v>
      </c>
      <c r="AK425" s="211">
        <f>L425*(AC416)</f>
        <v>0.88</v>
      </c>
      <c r="AL425" s="211">
        <f>L425*(AD416)</f>
        <v>0.88</v>
      </c>
      <c r="AM425" s="211">
        <f>L425*(AE416)</f>
        <v>0.88</v>
      </c>
      <c r="AN425" s="211">
        <f>L425*(AF416)</f>
        <v>0.88</v>
      </c>
    </row>
    <row r="426" spans="2:40" s="7" customFormat="1" ht="12" hidden="1" customHeight="1" outlineLevel="2">
      <c r="B426" s="245"/>
      <c r="C426" s="213" t="s">
        <v>761</v>
      </c>
      <c r="D426" s="213"/>
      <c r="E426" s="213"/>
      <c r="F426" s="213"/>
      <c r="G426" s="213"/>
      <c r="H426" s="213"/>
      <c r="I426" s="213"/>
      <c r="J426" s="213"/>
      <c r="K426" s="213"/>
      <c r="L426" s="213"/>
      <c r="M426" s="211">
        <f>INDEX($C$349:$AN$371,MATCH("New Customers 1MS",$C$349:$C$371,0),MATCH($C426,$C$349:$AN$349,0))</f>
        <v>99.450000000000017</v>
      </c>
      <c r="N426" s="211">
        <f>M426*(E416)</f>
        <v>3.9780000000000006</v>
      </c>
      <c r="O426" s="211">
        <f>M426*(F416)</f>
        <v>3.9780000000000006</v>
      </c>
      <c r="P426" s="211">
        <f>M426*(G416)</f>
        <v>3.9780000000000006</v>
      </c>
      <c r="Q426" s="211">
        <f>M426*(H416)</f>
        <v>3.9780000000000006</v>
      </c>
      <c r="R426" s="211">
        <f>M426*(I416)</f>
        <v>2.9835000000000003</v>
      </c>
      <c r="S426" s="211">
        <f>M426*(J416)</f>
        <v>2.9835000000000003</v>
      </c>
      <c r="T426" s="211">
        <f>M426*(K416)</f>
        <v>2.9835000000000003</v>
      </c>
      <c r="U426" s="211">
        <f>M426*(L416)</f>
        <v>2.9835000000000003</v>
      </c>
      <c r="V426" s="211">
        <f>M426*(M416)</f>
        <v>1.9890000000000003</v>
      </c>
      <c r="W426" s="211">
        <f>M426*(N416)</f>
        <v>1.9890000000000003</v>
      </c>
      <c r="X426" s="211">
        <f>M426*(O416)</f>
        <v>1.9890000000000003</v>
      </c>
      <c r="Y426" s="211">
        <f>M426*(P416)</f>
        <v>2.9835000000000003</v>
      </c>
      <c r="Z426" s="211">
        <f>M426*(Q416)</f>
        <v>2.9835000000000003</v>
      </c>
      <c r="AA426" s="211">
        <f>M426*(R416)</f>
        <v>0.99450000000000016</v>
      </c>
      <c r="AB426" s="211">
        <f>M426*(S416)</f>
        <v>0.99450000000000016</v>
      </c>
      <c r="AC426" s="211">
        <f>M426*(T416)</f>
        <v>0.99450000000000016</v>
      </c>
      <c r="AD426" s="211">
        <f>M426*(U416)</f>
        <v>0.99450000000000016</v>
      </c>
      <c r="AE426" s="211">
        <f>M426*(V416)</f>
        <v>0.99450000000000016</v>
      </c>
      <c r="AF426" s="211">
        <f>M426*(W416)</f>
        <v>0.99450000000000016</v>
      </c>
      <c r="AG426" s="211">
        <f>M426*(X416)</f>
        <v>0.99450000000000016</v>
      </c>
      <c r="AH426" s="211">
        <f>M426*(Y416)</f>
        <v>0.99450000000000016</v>
      </c>
      <c r="AI426" s="211">
        <f>M426*(Z416)</f>
        <v>0.99450000000000016</v>
      </c>
      <c r="AJ426" s="211">
        <f>M426*(AA416)</f>
        <v>0.99450000000000016</v>
      </c>
      <c r="AK426" s="211">
        <f>M426*(AB416)</f>
        <v>0.99450000000000016</v>
      </c>
      <c r="AL426" s="211">
        <f>M426*(AC416)</f>
        <v>0.99450000000000016</v>
      </c>
      <c r="AM426" s="211">
        <f>M426*(AD416)</f>
        <v>0.99450000000000016</v>
      </c>
      <c r="AN426" s="211">
        <f>M426*(AE416)</f>
        <v>0.99450000000000016</v>
      </c>
    </row>
    <row r="427" spans="2:40" s="7" customFormat="1" ht="12" hidden="1" customHeight="1" outlineLevel="2">
      <c r="B427" s="245"/>
      <c r="C427" s="213" t="s">
        <v>762</v>
      </c>
      <c r="D427" s="213"/>
      <c r="E427" s="213"/>
      <c r="F427" s="213"/>
      <c r="G427" s="213"/>
      <c r="H427" s="213"/>
      <c r="I427" s="213"/>
      <c r="J427" s="213"/>
      <c r="K427" s="213"/>
      <c r="L427" s="213"/>
      <c r="M427" s="213"/>
      <c r="N427" s="211">
        <f>INDEX($C$349:$AN$371,MATCH("New Customers 1MS",$C$349:$C$371,0),MATCH($C427,$C$349:$AN$349,0))</f>
        <v>99.450000000000017</v>
      </c>
      <c r="O427" s="211">
        <f>N427*(E416)</f>
        <v>3.9780000000000006</v>
      </c>
      <c r="P427" s="211">
        <f>N427*(F416)</f>
        <v>3.9780000000000006</v>
      </c>
      <c r="Q427" s="211">
        <f>N427*(G416)</f>
        <v>3.9780000000000006</v>
      </c>
      <c r="R427" s="211">
        <f>N427*(H416)</f>
        <v>3.9780000000000006</v>
      </c>
      <c r="S427" s="211">
        <f>N427*(I416)</f>
        <v>2.9835000000000003</v>
      </c>
      <c r="T427" s="211">
        <f>N427*(J416)</f>
        <v>2.9835000000000003</v>
      </c>
      <c r="U427" s="211">
        <f>N427*(K416)</f>
        <v>2.9835000000000003</v>
      </c>
      <c r="V427" s="211">
        <f>N427*(L416)</f>
        <v>2.9835000000000003</v>
      </c>
      <c r="W427" s="211">
        <f>N427*(M416)</f>
        <v>1.9890000000000003</v>
      </c>
      <c r="X427" s="211">
        <f>N427*(N416)</f>
        <v>1.9890000000000003</v>
      </c>
      <c r="Y427" s="211">
        <f>N427*(O416)</f>
        <v>1.9890000000000003</v>
      </c>
      <c r="Z427" s="211">
        <f>N427*(P416)</f>
        <v>2.9835000000000003</v>
      </c>
      <c r="AA427" s="211">
        <f>N427*(Q416)</f>
        <v>2.9835000000000003</v>
      </c>
      <c r="AB427" s="211">
        <f>N427*(R416)</f>
        <v>0.99450000000000016</v>
      </c>
      <c r="AC427" s="211">
        <f>N427*(S416)</f>
        <v>0.99450000000000016</v>
      </c>
      <c r="AD427" s="211">
        <f>N427*(T416)</f>
        <v>0.99450000000000016</v>
      </c>
      <c r="AE427" s="211">
        <f>N427*(U416)</f>
        <v>0.99450000000000016</v>
      </c>
      <c r="AF427" s="211">
        <f>N427*(V416)</f>
        <v>0.99450000000000016</v>
      </c>
      <c r="AG427" s="211">
        <f>N427*(W416)</f>
        <v>0.99450000000000016</v>
      </c>
      <c r="AH427" s="211">
        <f>N427*(X416)</f>
        <v>0.99450000000000016</v>
      </c>
      <c r="AI427" s="211">
        <f>N427*(Y416)</f>
        <v>0.99450000000000016</v>
      </c>
      <c r="AJ427" s="211">
        <f>N427*(Z416)</f>
        <v>0.99450000000000016</v>
      </c>
      <c r="AK427" s="211">
        <f>N427*(AA416)</f>
        <v>0.99450000000000016</v>
      </c>
      <c r="AL427" s="211">
        <f>N427*(AB416)</f>
        <v>0.99450000000000016</v>
      </c>
      <c r="AM427" s="211">
        <f>N427*(AC416)</f>
        <v>0.99450000000000016</v>
      </c>
      <c r="AN427" s="211">
        <f>N427*(AD416)</f>
        <v>0.99450000000000016</v>
      </c>
    </row>
    <row r="428" spans="2:40" s="7" customFormat="1" ht="12" hidden="1" customHeight="1" outlineLevel="2">
      <c r="B428" s="245"/>
      <c r="C428" s="213" t="s">
        <v>763</v>
      </c>
      <c r="D428" s="213"/>
      <c r="E428" s="213"/>
      <c r="F428" s="213"/>
      <c r="G428" s="213"/>
      <c r="H428" s="213"/>
      <c r="I428" s="213"/>
      <c r="J428" s="213"/>
      <c r="K428" s="213"/>
      <c r="L428" s="213"/>
      <c r="M428" s="213"/>
      <c r="N428" s="213"/>
      <c r="O428" s="211">
        <f>INDEX($C$349:$AN$371,MATCH("New Customers 1MS",$C$349:$C$371,0),MATCH($C428,$C$349:$AN$349,0))</f>
        <v>57.375000000000007</v>
      </c>
      <c r="P428" s="211">
        <f>O428*(E416)</f>
        <v>2.2950000000000004</v>
      </c>
      <c r="Q428" s="211">
        <f>O428*(F416)</f>
        <v>2.2950000000000004</v>
      </c>
      <c r="R428" s="211">
        <f>O428*(G416)</f>
        <v>2.2950000000000004</v>
      </c>
      <c r="S428" s="211">
        <f>O428*(H416)</f>
        <v>2.2950000000000004</v>
      </c>
      <c r="T428" s="211">
        <f>O428*(I416)</f>
        <v>1.7212500000000002</v>
      </c>
      <c r="U428" s="211">
        <f>O428*(J416)</f>
        <v>1.7212500000000002</v>
      </c>
      <c r="V428" s="211">
        <f>O428*(K416)</f>
        <v>1.7212500000000002</v>
      </c>
      <c r="W428" s="211">
        <f>O428*(L416)</f>
        <v>1.7212500000000002</v>
      </c>
      <c r="X428" s="211">
        <f>O428*(M416)</f>
        <v>1.1475000000000002</v>
      </c>
      <c r="Y428" s="211">
        <f>O428*(N416)</f>
        <v>1.1475000000000002</v>
      </c>
      <c r="Z428" s="211">
        <f>O428*(O416)</f>
        <v>1.1475000000000002</v>
      </c>
      <c r="AA428" s="211">
        <f>O428*(P416)</f>
        <v>1.7212500000000002</v>
      </c>
      <c r="AB428" s="211">
        <f>O428*(Q416)</f>
        <v>1.7212500000000002</v>
      </c>
      <c r="AC428" s="211">
        <f>O428*(R416)</f>
        <v>0.57375000000000009</v>
      </c>
      <c r="AD428" s="211">
        <f>O428*(S416)</f>
        <v>0.57375000000000009</v>
      </c>
      <c r="AE428" s="211">
        <f>O428*(T416)</f>
        <v>0.57375000000000009</v>
      </c>
      <c r="AF428" s="211">
        <f>O428*(U416)</f>
        <v>0.57375000000000009</v>
      </c>
      <c r="AG428" s="211">
        <f>O428*(V416)</f>
        <v>0.57375000000000009</v>
      </c>
      <c r="AH428" s="211">
        <f>O428*(W416)</f>
        <v>0.57375000000000009</v>
      </c>
      <c r="AI428" s="211">
        <f>O428*(X416)</f>
        <v>0.57375000000000009</v>
      </c>
      <c r="AJ428" s="211">
        <f>O428*(Y416)</f>
        <v>0.57375000000000009</v>
      </c>
      <c r="AK428" s="211">
        <f>O428*(Z416)</f>
        <v>0.57375000000000009</v>
      </c>
      <c r="AL428" s="211">
        <f>O428*(AA416)</f>
        <v>0.57375000000000009</v>
      </c>
      <c r="AM428" s="211">
        <f>O428*(AB416)</f>
        <v>0.57375000000000009</v>
      </c>
      <c r="AN428" s="211">
        <f>O428*(AC416)</f>
        <v>0.57375000000000009</v>
      </c>
    </row>
    <row r="429" spans="2:40" s="7" customFormat="1" ht="12" hidden="1" customHeight="1" outlineLevel="2">
      <c r="B429" s="245"/>
      <c r="C429" s="213" t="s">
        <v>764</v>
      </c>
      <c r="D429" s="213"/>
      <c r="E429" s="213"/>
      <c r="F429" s="213"/>
      <c r="G429" s="213"/>
      <c r="H429" s="213"/>
      <c r="I429" s="213"/>
      <c r="J429" s="213"/>
      <c r="K429" s="213"/>
      <c r="L429" s="213"/>
      <c r="M429" s="213"/>
      <c r="N429" s="213"/>
      <c r="O429" s="213"/>
      <c r="P429" s="211">
        <f>INDEX($C$349:$AN$371,MATCH("New Customers 1MS",$C$349:$C$371,0),MATCH($C429,$C$349:$AN$349,0))</f>
        <v>38.250000000000007</v>
      </c>
      <c r="Q429" s="211">
        <f>P429*(E416)</f>
        <v>1.5300000000000002</v>
      </c>
      <c r="R429" s="211">
        <f>P429*(F416)</f>
        <v>1.5300000000000002</v>
      </c>
      <c r="S429" s="211">
        <f>P429*(G416)</f>
        <v>1.5300000000000002</v>
      </c>
      <c r="T429" s="211">
        <f>P429*(H416)</f>
        <v>1.5300000000000002</v>
      </c>
      <c r="U429" s="211">
        <f>P429*(I416)</f>
        <v>1.1475000000000002</v>
      </c>
      <c r="V429" s="211">
        <f>P429*(J416)</f>
        <v>1.1475000000000002</v>
      </c>
      <c r="W429" s="211">
        <f>P429*(K416)</f>
        <v>1.1475000000000002</v>
      </c>
      <c r="X429" s="211">
        <f>P429*(L416)</f>
        <v>1.1475000000000002</v>
      </c>
      <c r="Y429" s="211">
        <f>P429*(M416)</f>
        <v>0.76500000000000012</v>
      </c>
      <c r="Z429" s="211">
        <f>P429*(N416)</f>
        <v>0.76500000000000012</v>
      </c>
      <c r="AA429" s="211">
        <f>P429*(O416)</f>
        <v>0.76500000000000012</v>
      </c>
      <c r="AB429" s="211">
        <f>P429*(P416)</f>
        <v>1.1475000000000002</v>
      </c>
      <c r="AC429" s="211">
        <f>P429*(Q416)</f>
        <v>1.1475000000000002</v>
      </c>
      <c r="AD429" s="211">
        <f>P429*(R416)</f>
        <v>0.38250000000000006</v>
      </c>
      <c r="AE429" s="211">
        <f>P429*(S416)</f>
        <v>0.38250000000000006</v>
      </c>
      <c r="AF429" s="211">
        <f>P429*(T416)</f>
        <v>0.38250000000000006</v>
      </c>
      <c r="AG429" s="211">
        <f>P429*(U416)</f>
        <v>0.38250000000000006</v>
      </c>
      <c r="AH429" s="211">
        <f>P429*(V416)</f>
        <v>0.38250000000000006</v>
      </c>
      <c r="AI429" s="211">
        <f>P429*(W416)</f>
        <v>0.38250000000000006</v>
      </c>
      <c r="AJ429" s="211">
        <f>P429*(X416)</f>
        <v>0.38250000000000006</v>
      </c>
      <c r="AK429" s="211">
        <f>P429*(Y416)</f>
        <v>0.38250000000000006</v>
      </c>
      <c r="AL429" s="211">
        <f>P429*(Z416)</f>
        <v>0.38250000000000006</v>
      </c>
      <c r="AM429" s="211">
        <f>P429*(AA416)</f>
        <v>0.38250000000000006</v>
      </c>
      <c r="AN429" s="211">
        <f>P429*(AB416)</f>
        <v>0.38250000000000006</v>
      </c>
    </row>
    <row r="430" spans="2:40" s="7" customFormat="1" ht="12" hidden="1" customHeight="1" outlineLevel="2">
      <c r="B430" s="245"/>
      <c r="C430" s="213" t="s">
        <v>765</v>
      </c>
      <c r="D430" s="213"/>
      <c r="E430" s="213"/>
      <c r="F430" s="213"/>
      <c r="G430" s="213"/>
      <c r="H430" s="213"/>
      <c r="I430" s="213"/>
      <c r="J430" s="213"/>
      <c r="K430" s="213"/>
      <c r="L430" s="213"/>
      <c r="M430" s="213"/>
      <c r="N430" s="213"/>
      <c r="O430" s="213"/>
      <c r="P430" s="213"/>
      <c r="Q430" s="211">
        <f>INDEX($C$349:$AN$371,MATCH("New Customers 1MS",$C$349:$C$371,0),MATCH($C430,$C$349:$AN$349,0))</f>
        <v>49.258044000000012</v>
      </c>
      <c r="R430" s="211">
        <f>Q430*(E416)</f>
        <v>1.9703217600000005</v>
      </c>
      <c r="S430" s="211">
        <f>Q430*(F416)</f>
        <v>1.9703217600000005</v>
      </c>
      <c r="T430" s="211">
        <f>Q430*(G416)</f>
        <v>1.9703217600000005</v>
      </c>
      <c r="U430" s="211">
        <f>Q430*(H416)</f>
        <v>1.9703217600000005</v>
      </c>
      <c r="V430" s="211">
        <f>Q430*(I416)</f>
        <v>1.4777413200000002</v>
      </c>
      <c r="W430" s="211">
        <f>Q430*(J416)</f>
        <v>1.4777413200000002</v>
      </c>
      <c r="X430" s="211">
        <f>Q430*(K416)</f>
        <v>1.4777413200000002</v>
      </c>
      <c r="Y430" s="211">
        <f>Q430*(L416)</f>
        <v>1.4777413200000002</v>
      </c>
      <c r="Z430" s="211">
        <f>Q430*(M416)</f>
        <v>0.98516088000000024</v>
      </c>
      <c r="AA430" s="211">
        <f>Q430*(N416)</f>
        <v>0.98516088000000024</v>
      </c>
      <c r="AB430" s="211">
        <f>Q430*(O416)</f>
        <v>0.98516088000000024</v>
      </c>
      <c r="AC430" s="211">
        <f>Q430*(P416)</f>
        <v>1.4777413200000002</v>
      </c>
      <c r="AD430" s="211">
        <f>Q430*(Q416)</f>
        <v>1.4777413200000002</v>
      </c>
      <c r="AE430" s="211">
        <f>Q430*(R416)</f>
        <v>0.49258044000000012</v>
      </c>
      <c r="AF430" s="211">
        <f>Q430*(S416)</f>
        <v>0.49258044000000012</v>
      </c>
      <c r="AG430" s="211">
        <f>Q430*(T416)</f>
        <v>0.49258044000000012</v>
      </c>
      <c r="AH430" s="211">
        <f>Q430*(U416)</f>
        <v>0.49258044000000012</v>
      </c>
      <c r="AI430" s="211">
        <f>Q430*(V416)</f>
        <v>0.49258044000000012</v>
      </c>
      <c r="AJ430" s="211">
        <f>Q430*(W416)</f>
        <v>0.49258044000000012</v>
      </c>
      <c r="AK430" s="211">
        <f>Q430*(X416)</f>
        <v>0.49258044000000012</v>
      </c>
      <c r="AL430" s="211">
        <f>Q430*(Y416)</f>
        <v>0.49258044000000012</v>
      </c>
      <c r="AM430" s="211">
        <f>Q430*(Z416)</f>
        <v>0.49258044000000012</v>
      </c>
      <c r="AN430" s="211">
        <f>Q430*(AA416)</f>
        <v>0.49258044000000012</v>
      </c>
    </row>
    <row r="431" spans="2:40" s="7" customFormat="1" ht="12" hidden="1" customHeight="1" outlineLevel="2">
      <c r="B431" s="245"/>
      <c r="C431" s="213" t="s">
        <v>766</v>
      </c>
      <c r="D431" s="213"/>
      <c r="E431" s="213"/>
      <c r="F431" s="213"/>
      <c r="G431" s="213"/>
      <c r="H431" s="213"/>
      <c r="I431" s="213"/>
      <c r="J431" s="213"/>
      <c r="K431" s="213"/>
      <c r="L431" s="213"/>
      <c r="M431" s="213"/>
      <c r="N431" s="213"/>
      <c r="O431" s="213"/>
      <c r="P431" s="213"/>
      <c r="Q431" s="213"/>
      <c r="R431" s="211">
        <f>INDEX($C$349:$AN$371,MATCH("New Customers 1MS",$C$349:$C$371,0),MATCH($C431,$C$349:$AN$349,0))</f>
        <v>87.65064000000001</v>
      </c>
      <c r="S431" s="211">
        <f>R431*(E416)</f>
        <v>3.5060256000000005</v>
      </c>
      <c r="T431" s="211">
        <f>R431*(F416)</f>
        <v>3.5060256000000005</v>
      </c>
      <c r="U431" s="211">
        <f>R431*(G416)</f>
        <v>3.5060256000000005</v>
      </c>
      <c r="V431" s="211">
        <f>R431*(H416)</f>
        <v>3.5060256000000005</v>
      </c>
      <c r="W431" s="211">
        <f>R431*(I416)</f>
        <v>2.6295192000000003</v>
      </c>
      <c r="X431" s="211">
        <f>R431*(J416)</f>
        <v>2.6295192000000003</v>
      </c>
      <c r="Y431" s="211">
        <f>R431*(K416)</f>
        <v>2.6295192000000003</v>
      </c>
      <c r="Z431" s="211">
        <f>R431*(L416)</f>
        <v>2.6295192000000003</v>
      </c>
      <c r="AA431" s="211">
        <f>R431*(M416)</f>
        <v>1.7530128000000003</v>
      </c>
      <c r="AB431" s="211">
        <f>R431*(N416)</f>
        <v>1.7530128000000003</v>
      </c>
      <c r="AC431" s="211">
        <f>R431*(O416)</f>
        <v>1.7530128000000003</v>
      </c>
      <c r="AD431" s="211">
        <f>R431*(P416)</f>
        <v>2.6295192000000003</v>
      </c>
      <c r="AE431" s="211">
        <f>R431*(Q416)</f>
        <v>2.6295192000000003</v>
      </c>
      <c r="AF431" s="211">
        <f>R431*(R416)</f>
        <v>0.87650640000000013</v>
      </c>
      <c r="AG431" s="211">
        <f>R431*(S416)</f>
        <v>0.87650640000000013</v>
      </c>
      <c r="AH431" s="211">
        <f>R431*(T416)</f>
        <v>0.87650640000000013</v>
      </c>
      <c r="AI431" s="211">
        <f>R431*(U416)</f>
        <v>0.87650640000000013</v>
      </c>
      <c r="AJ431" s="211">
        <f>R431*(V416)</f>
        <v>0.87650640000000013</v>
      </c>
      <c r="AK431" s="211">
        <f>R431*(W416)</f>
        <v>0.87650640000000013</v>
      </c>
      <c r="AL431" s="211">
        <f>R431*(X416)</f>
        <v>0.87650640000000013</v>
      </c>
      <c r="AM431" s="211">
        <f>R431*(Y416)</f>
        <v>0.87650640000000013</v>
      </c>
      <c r="AN431" s="211">
        <f>R431*(Z416)</f>
        <v>0.87650640000000013</v>
      </c>
    </row>
    <row r="432" spans="2:40" s="7" customFormat="1" ht="12" hidden="1" customHeight="1" outlineLevel="2">
      <c r="B432" s="245"/>
      <c r="C432" s="213" t="s">
        <v>767</v>
      </c>
      <c r="D432" s="213"/>
      <c r="E432" s="213"/>
      <c r="F432" s="213"/>
      <c r="G432" s="213"/>
      <c r="H432" s="213"/>
      <c r="I432" s="213"/>
      <c r="J432" s="213"/>
      <c r="K432" s="213"/>
      <c r="L432" s="213"/>
      <c r="M432" s="213"/>
      <c r="N432" s="213"/>
      <c r="O432" s="213"/>
      <c r="P432" s="213"/>
      <c r="Q432" s="213"/>
      <c r="R432" s="213"/>
      <c r="S432" s="211">
        <f>INDEX($C$349:$AN$371,MATCH("New Customers 1MS",$C$349:$C$371,0),MATCH($C432,$C$349:$AN$349,0))</f>
        <v>80.70138</v>
      </c>
      <c r="T432" s="211">
        <f>S432*(E416)</f>
        <v>3.2280552</v>
      </c>
      <c r="U432" s="211">
        <f>S432*(F416)</f>
        <v>3.2280552</v>
      </c>
      <c r="V432" s="211">
        <f>S432*(G416)</f>
        <v>3.2280552</v>
      </c>
      <c r="W432" s="211">
        <f>S432*(H416)</f>
        <v>3.2280552</v>
      </c>
      <c r="X432" s="211">
        <f>S432*(I416)</f>
        <v>2.4210414</v>
      </c>
      <c r="Y432" s="211">
        <f>S432*(J416)</f>
        <v>2.4210414</v>
      </c>
      <c r="Z432" s="211">
        <f>S432*(K416)</f>
        <v>2.4210414</v>
      </c>
      <c r="AA432" s="211">
        <f>S432*(L416)</f>
        <v>2.4210414</v>
      </c>
      <c r="AB432" s="211">
        <f>S432*(M416)</f>
        <v>1.6140276</v>
      </c>
      <c r="AC432" s="211">
        <f>S432*(N416)</f>
        <v>1.6140276</v>
      </c>
      <c r="AD432" s="211">
        <f>S432*(O416)</f>
        <v>1.6140276</v>
      </c>
      <c r="AE432" s="211">
        <f>S432*(P416)</f>
        <v>2.4210414</v>
      </c>
      <c r="AF432" s="211">
        <f>S432*(Q416)</f>
        <v>2.4210414</v>
      </c>
      <c r="AG432" s="211">
        <f>S432*(R416)</f>
        <v>0.8070138</v>
      </c>
      <c r="AH432" s="211">
        <f>S432*(S416)</f>
        <v>0.8070138</v>
      </c>
      <c r="AI432" s="211">
        <f>S432*(T416)</f>
        <v>0.8070138</v>
      </c>
      <c r="AJ432" s="211">
        <f>S432*(U416)</f>
        <v>0.8070138</v>
      </c>
      <c r="AK432" s="211">
        <f>S432*(V416)</f>
        <v>0.8070138</v>
      </c>
      <c r="AL432" s="211">
        <f>S432*(W416)</f>
        <v>0.8070138</v>
      </c>
      <c r="AM432" s="211">
        <f>S432*(X416)</f>
        <v>0.8070138</v>
      </c>
      <c r="AN432" s="211">
        <f>S432*(Y416)</f>
        <v>0.8070138</v>
      </c>
    </row>
    <row r="433" spans="2:40" s="7" customFormat="1" ht="12" hidden="1" customHeight="1" outlineLevel="2">
      <c r="B433" s="245"/>
      <c r="C433" s="213" t="s">
        <v>768</v>
      </c>
      <c r="D433" s="213"/>
      <c r="E433" s="213"/>
      <c r="F433" s="213"/>
      <c r="G433" s="213"/>
      <c r="H433" s="213"/>
      <c r="I433" s="213"/>
      <c r="J433" s="213"/>
      <c r="K433" s="213"/>
      <c r="L433" s="213"/>
      <c r="M433" s="213"/>
      <c r="N433" s="213"/>
      <c r="O433" s="213"/>
      <c r="P433" s="213"/>
      <c r="Q433" s="213"/>
      <c r="R433" s="213"/>
      <c r="S433" s="213"/>
      <c r="T433" s="211">
        <f>INDEX($C$349:$AN$371,MATCH("New Customers 1MS",$C$349:$C$371,0),MATCH($C433,$C$349:$AN$349,0))</f>
        <v>20.630112000000004</v>
      </c>
      <c r="U433" s="211">
        <f>T433*(E416)</f>
        <v>0.82520448000000013</v>
      </c>
      <c r="V433" s="211">
        <f>T433*(F416)</f>
        <v>0.82520448000000013</v>
      </c>
      <c r="W433" s="211">
        <f>T433*(G416)</f>
        <v>0.82520448000000013</v>
      </c>
      <c r="X433" s="211">
        <f>T433*(H416)</f>
        <v>0.82520448000000013</v>
      </c>
      <c r="Y433" s="211">
        <f>T433*(I416)</f>
        <v>0.61890336000000012</v>
      </c>
      <c r="Z433" s="211">
        <f>T433*(J416)</f>
        <v>0.61890336000000012</v>
      </c>
      <c r="AA433" s="211">
        <f>T433*(K416)</f>
        <v>0.61890336000000012</v>
      </c>
      <c r="AB433" s="211">
        <f>T433*(L416)</f>
        <v>0.61890336000000012</v>
      </c>
      <c r="AC433" s="211">
        <f>T433*(M416)</f>
        <v>0.41260224000000006</v>
      </c>
      <c r="AD433" s="211">
        <f>T433*(N416)</f>
        <v>0.41260224000000006</v>
      </c>
      <c r="AE433" s="211">
        <f>T433*(O416)</f>
        <v>0.41260224000000006</v>
      </c>
      <c r="AF433" s="211">
        <f>T433*(P416)</f>
        <v>0.61890336000000012</v>
      </c>
      <c r="AG433" s="211">
        <f>T433*(Q416)</f>
        <v>0.61890336000000012</v>
      </c>
      <c r="AH433" s="211">
        <f>T433*(R416)</f>
        <v>0.20630112000000003</v>
      </c>
      <c r="AI433" s="211">
        <f>T433*(S416)</f>
        <v>0.20630112000000003</v>
      </c>
      <c r="AJ433" s="211">
        <f>T433*(T416)</f>
        <v>0.20630112000000003</v>
      </c>
      <c r="AK433" s="211">
        <f>T433*(U416)</f>
        <v>0.20630112000000003</v>
      </c>
      <c r="AL433" s="211">
        <f>T433*(V416)</f>
        <v>0.20630112000000003</v>
      </c>
      <c r="AM433" s="211">
        <f>T433*(W416)</f>
        <v>0.20630112000000003</v>
      </c>
      <c r="AN433" s="211">
        <f>T433*(X416)</f>
        <v>0.20630112000000003</v>
      </c>
    </row>
    <row r="434" spans="2:40" s="7" customFormat="1" ht="12" hidden="1" customHeight="1" outlineLevel="2">
      <c r="B434" s="245"/>
      <c r="C434" s="213" t="s">
        <v>769</v>
      </c>
      <c r="D434" s="213"/>
      <c r="E434" s="213"/>
      <c r="F434" s="213"/>
      <c r="G434" s="213"/>
      <c r="H434" s="213"/>
      <c r="I434" s="213"/>
      <c r="J434" s="213"/>
      <c r="K434" s="213"/>
      <c r="L434" s="213"/>
      <c r="M434" s="213"/>
      <c r="N434" s="213"/>
      <c r="O434" s="213"/>
      <c r="P434" s="213"/>
      <c r="Q434" s="213"/>
      <c r="R434" s="213"/>
      <c r="S434" s="213"/>
      <c r="T434" s="213"/>
      <c r="U434" s="211">
        <f>INDEX($C$349:$AN$371,MATCH("New Customers 1MS",$C$349:$C$371,0),MATCH($C434,$C$349:$AN$349,0))</f>
        <v>18.602352000000003</v>
      </c>
      <c r="V434" s="211">
        <f>U434*(E416)</f>
        <v>0.7440940800000001</v>
      </c>
      <c r="W434" s="211">
        <f>U434*(F416)</f>
        <v>0.7440940800000001</v>
      </c>
      <c r="X434" s="211">
        <f>U434*(G416)</f>
        <v>0.7440940800000001</v>
      </c>
      <c r="Y434" s="211">
        <f>U434*(H416)</f>
        <v>0.7440940800000001</v>
      </c>
      <c r="Z434" s="211">
        <f>U434*(I416)</f>
        <v>0.5580705600000001</v>
      </c>
      <c r="AA434" s="211">
        <f>U434*(J416)</f>
        <v>0.5580705600000001</v>
      </c>
      <c r="AB434" s="211">
        <f>U434*(K416)</f>
        <v>0.5580705600000001</v>
      </c>
      <c r="AC434" s="211">
        <f>U434*(L416)</f>
        <v>0.5580705600000001</v>
      </c>
      <c r="AD434" s="211">
        <f>U434*(M416)</f>
        <v>0.37204704000000005</v>
      </c>
      <c r="AE434" s="211">
        <f>U434*(N416)</f>
        <v>0.37204704000000005</v>
      </c>
      <c r="AF434" s="211">
        <f>U434*(O416)</f>
        <v>0.37204704000000005</v>
      </c>
      <c r="AG434" s="211">
        <f>U434*(P416)</f>
        <v>0.5580705600000001</v>
      </c>
      <c r="AH434" s="211">
        <f>U434*(Q416)</f>
        <v>0.5580705600000001</v>
      </c>
      <c r="AI434" s="211">
        <f>U434*(R416)</f>
        <v>0.18602352000000003</v>
      </c>
      <c r="AJ434" s="211">
        <f>U434*(S416)</f>
        <v>0.18602352000000003</v>
      </c>
      <c r="AK434" s="211">
        <f>U434*(T416)</f>
        <v>0.18602352000000003</v>
      </c>
      <c r="AL434" s="211">
        <f>U434*(U416)</f>
        <v>0.18602352000000003</v>
      </c>
      <c r="AM434" s="211">
        <f>U434*(V416)</f>
        <v>0.18602352000000003</v>
      </c>
      <c r="AN434" s="211">
        <f>U434*(W416)</f>
        <v>0.18602352000000003</v>
      </c>
    </row>
    <row r="435" spans="2:40" s="7" customFormat="1" ht="12" hidden="1" customHeight="1" outlineLevel="2">
      <c r="B435" s="245"/>
      <c r="C435" s="213" t="s">
        <v>770</v>
      </c>
      <c r="D435" s="213"/>
      <c r="E435" s="213"/>
      <c r="F435" s="213"/>
      <c r="G435" s="213"/>
      <c r="H435" s="213"/>
      <c r="I435" s="213"/>
      <c r="J435" s="213"/>
      <c r="K435" s="213"/>
      <c r="L435" s="213"/>
      <c r="M435" s="213"/>
      <c r="N435" s="213"/>
      <c r="O435" s="213"/>
      <c r="P435" s="213"/>
      <c r="Q435" s="213"/>
      <c r="R435" s="213"/>
      <c r="S435" s="213"/>
      <c r="T435" s="213"/>
      <c r="U435" s="213"/>
      <c r="V435" s="211">
        <f>INDEX($C$349:$AN$371,MATCH("New Customers 1MS",$C$349:$C$371,0),MATCH($C435,$C$349:$AN$349,0))</f>
        <v>63.767952000000015</v>
      </c>
      <c r="W435" s="211">
        <f>V435*(E416)</f>
        <v>2.5507180800000007</v>
      </c>
      <c r="X435" s="211">
        <f>V435*(F416)</f>
        <v>2.5507180800000007</v>
      </c>
      <c r="Y435" s="211">
        <f>V435*(G416)</f>
        <v>2.5507180800000007</v>
      </c>
      <c r="Z435" s="211">
        <f>V435*(H416)</f>
        <v>2.5507180800000007</v>
      </c>
      <c r="AA435" s="211">
        <f>V435*(I416)</f>
        <v>1.9130385600000004</v>
      </c>
      <c r="AB435" s="211">
        <f>V435*(J416)</f>
        <v>1.9130385600000004</v>
      </c>
      <c r="AC435" s="211">
        <f>V435*(K416)</f>
        <v>1.9130385600000004</v>
      </c>
      <c r="AD435" s="211">
        <f>V435*(L416)</f>
        <v>1.9130385600000004</v>
      </c>
      <c r="AE435" s="211">
        <f>V435*(M416)</f>
        <v>1.2753590400000003</v>
      </c>
      <c r="AF435" s="211">
        <f>V435*(N416)</f>
        <v>1.2753590400000003</v>
      </c>
      <c r="AG435" s="211">
        <f>V435*(O416)</f>
        <v>1.2753590400000003</v>
      </c>
      <c r="AH435" s="211">
        <f>V435*(P416)</f>
        <v>1.9130385600000004</v>
      </c>
      <c r="AI435" s="211">
        <f>V435*(Q416)</f>
        <v>1.9130385600000004</v>
      </c>
      <c r="AJ435" s="211">
        <f>V435*(R416)</f>
        <v>0.63767952000000017</v>
      </c>
      <c r="AK435" s="211">
        <f>V435*(S416)</f>
        <v>0.63767952000000017</v>
      </c>
      <c r="AL435" s="211">
        <f>V435*(T416)</f>
        <v>0.63767952000000017</v>
      </c>
      <c r="AM435" s="211">
        <f>V435*(U416)</f>
        <v>0.63767952000000017</v>
      </c>
      <c r="AN435" s="211">
        <f>V435*(V416)</f>
        <v>0.63767952000000017</v>
      </c>
    </row>
    <row r="436" spans="2:40" s="7" customFormat="1" ht="12" hidden="1" customHeight="1" outlineLevel="2">
      <c r="B436" s="245"/>
      <c r="C436" s="213" t="s">
        <v>771</v>
      </c>
      <c r="D436" s="213"/>
      <c r="E436" s="213"/>
      <c r="F436" s="213"/>
      <c r="G436" s="213"/>
      <c r="H436" s="213"/>
      <c r="I436" s="213"/>
      <c r="J436" s="213"/>
      <c r="K436" s="213"/>
      <c r="L436" s="213"/>
      <c r="M436" s="213"/>
      <c r="N436" s="213"/>
      <c r="O436" s="213"/>
      <c r="P436" s="213"/>
      <c r="Q436" s="213"/>
      <c r="R436" s="213"/>
      <c r="S436" s="213"/>
      <c r="T436" s="213"/>
      <c r="U436" s="213"/>
      <c r="V436" s="213"/>
      <c r="W436" s="211">
        <f>INDEX($C$349:$AN$371,MATCH("New Customers 1MS",$C$349:$C$371,0),MATCH($C436,$C$349:$AN$349,0))</f>
        <v>35.076780000000014</v>
      </c>
      <c r="X436" s="211">
        <f>W436*(E416)</f>
        <v>1.4030712000000005</v>
      </c>
      <c r="Y436" s="211">
        <f>W436*(F416)</f>
        <v>1.4030712000000005</v>
      </c>
      <c r="Z436" s="211">
        <f>W436*(G416)</f>
        <v>1.4030712000000005</v>
      </c>
      <c r="AA436" s="211">
        <f>W436*(H416)</f>
        <v>1.4030712000000005</v>
      </c>
      <c r="AB436" s="211">
        <f>W436*(I416)</f>
        <v>1.0523034000000004</v>
      </c>
      <c r="AC436" s="211">
        <f>W436*(J416)</f>
        <v>1.0523034000000004</v>
      </c>
      <c r="AD436" s="211">
        <f>W436*(K416)</f>
        <v>1.0523034000000004</v>
      </c>
      <c r="AE436" s="211">
        <f>W436*(L416)</f>
        <v>1.0523034000000004</v>
      </c>
      <c r="AF436" s="211">
        <f>W436*(M416)</f>
        <v>0.70153560000000026</v>
      </c>
      <c r="AG436" s="211">
        <f>W436*(N416)</f>
        <v>0.70153560000000026</v>
      </c>
      <c r="AH436" s="211">
        <f>W436*(O416)</f>
        <v>0.70153560000000026</v>
      </c>
      <c r="AI436" s="211">
        <f>W436*(P416)</f>
        <v>1.0523034000000004</v>
      </c>
      <c r="AJ436" s="211">
        <f>W436*(Q416)</f>
        <v>1.0523034000000004</v>
      </c>
      <c r="AK436" s="211">
        <f>W436*(R416)</f>
        <v>0.35076780000000013</v>
      </c>
      <c r="AL436" s="211">
        <f>W436*(S416)</f>
        <v>0.35076780000000013</v>
      </c>
      <c r="AM436" s="211">
        <f>W436*(T416)</f>
        <v>0.35076780000000013</v>
      </c>
      <c r="AN436" s="211">
        <f>W436*(U416)</f>
        <v>0.35076780000000013</v>
      </c>
    </row>
    <row r="437" spans="2:40" s="7" customFormat="1" ht="12" hidden="1" customHeight="1" outlineLevel="2">
      <c r="B437" s="245"/>
      <c r="C437" s="213" t="s">
        <v>772</v>
      </c>
      <c r="D437" s="213"/>
      <c r="E437" s="213"/>
      <c r="F437" s="213"/>
      <c r="G437" s="213"/>
      <c r="H437" s="213"/>
      <c r="I437" s="213"/>
      <c r="J437" s="213"/>
      <c r="K437" s="213"/>
      <c r="L437" s="213"/>
      <c r="M437" s="213"/>
      <c r="N437" s="213"/>
      <c r="O437" s="213"/>
      <c r="P437" s="213"/>
      <c r="Q437" s="213"/>
      <c r="R437" s="213"/>
      <c r="S437" s="213"/>
      <c r="T437" s="213"/>
      <c r="U437" s="213"/>
      <c r="V437" s="213"/>
      <c r="W437" s="213"/>
      <c r="X437" s="211">
        <f>INDEX($C$349:$AN$371,MATCH("New Customers 1MS",$C$349:$C$371,0),MATCH($C437,$C$349:$AN$349,0))</f>
        <v>26.503680000000003</v>
      </c>
      <c r="Y437" s="211">
        <f>X437*(E416)</f>
        <v>1.0601472000000001</v>
      </c>
      <c r="Z437" s="211">
        <f>X437*(F416)</f>
        <v>1.0601472000000001</v>
      </c>
      <c r="AA437" s="211">
        <f>X437*(G416)</f>
        <v>1.0601472000000001</v>
      </c>
      <c r="AB437" s="211">
        <f>X437*(H416)</f>
        <v>1.0601472000000001</v>
      </c>
      <c r="AC437" s="211">
        <f>X437*(I416)</f>
        <v>0.79511040000000011</v>
      </c>
      <c r="AD437" s="211">
        <f>X437*(J416)</f>
        <v>0.79511040000000011</v>
      </c>
      <c r="AE437" s="211">
        <f>X437*(K416)</f>
        <v>0.79511040000000011</v>
      </c>
      <c r="AF437" s="211">
        <f>X437*(L416)</f>
        <v>0.79511040000000011</v>
      </c>
      <c r="AG437" s="211">
        <f>X437*(M416)</f>
        <v>0.53007360000000003</v>
      </c>
      <c r="AH437" s="211">
        <f>X437*(N416)</f>
        <v>0.53007360000000003</v>
      </c>
      <c r="AI437" s="211">
        <f>X437*(O416)</f>
        <v>0.53007360000000003</v>
      </c>
      <c r="AJ437" s="211">
        <f>X437*(P416)</f>
        <v>0.79511040000000011</v>
      </c>
      <c r="AK437" s="211">
        <f>X437*(Q416)</f>
        <v>0.79511040000000011</v>
      </c>
      <c r="AL437" s="211">
        <f>X437*(R416)</f>
        <v>0.26503680000000002</v>
      </c>
      <c r="AM437" s="211">
        <f>X437*(S416)</f>
        <v>0.26503680000000002</v>
      </c>
      <c r="AN437" s="211">
        <f>X437*(T416)</f>
        <v>0.26503680000000002</v>
      </c>
    </row>
    <row r="438" spans="2:40" s="7" customFormat="1" ht="12" hidden="1" customHeight="1" outlineLevel="2">
      <c r="B438" s="245"/>
      <c r="C438" s="213" t="s">
        <v>773</v>
      </c>
      <c r="D438" s="213"/>
      <c r="E438" s="213"/>
      <c r="F438" s="213"/>
      <c r="G438" s="213"/>
      <c r="H438" s="213"/>
      <c r="I438" s="213"/>
      <c r="J438" s="213"/>
      <c r="K438" s="213"/>
      <c r="L438" s="213"/>
      <c r="M438" s="213"/>
      <c r="N438" s="213"/>
      <c r="O438" s="213"/>
      <c r="P438" s="213"/>
      <c r="Q438" s="213"/>
      <c r="R438" s="213"/>
      <c r="S438" s="213"/>
      <c r="T438" s="213"/>
      <c r="U438" s="213"/>
      <c r="V438" s="213"/>
      <c r="W438" s="213"/>
      <c r="X438" s="213"/>
      <c r="Y438" s="211">
        <f>INDEX($C$349:$AN$371,MATCH("New Customers 1MS",$C$349:$C$371,0),MATCH($C438,$C$349:$AN$349,0))</f>
        <v>47.736000000000011</v>
      </c>
      <c r="Z438" s="211">
        <f>Y438*(E416)</f>
        <v>1.9094400000000005</v>
      </c>
      <c r="AA438" s="211">
        <f>Y438*(F416)</f>
        <v>1.9094400000000005</v>
      </c>
      <c r="AB438" s="211">
        <f>Y438*(G416)</f>
        <v>1.9094400000000005</v>
      </c>
      <c r="AC438" s="211">
        <f>Y438*(H416)</f>
        <v>1.9094400000000005</v>
      </c>
      <c r="AD438" s="211">
        <f>Y438*(I416)</f>
        <v>1.4320800000000002</v>
      </c>
      <c r="AE438" s="211">
        <f>Y438*(J416)</f>
        <v>1.4320800000000002</v>
      </c>
      <c r="AF438" s="211">
        <f>Y438*(K416)</f>
        <v>1.4320800000000002</v>
      </c>
      <c r="AG438" s="211">
        <f>Y438*(L416)</f>
        <v>1.4320800000000002</v>
      </c>
      <c r="AH438" s="211">
        <f>Y438*(M416)</f>
        <v>0.95472000000000024</v>
      </c>
      <c r="AI438" s="211">
        <f>Y438*(N416)</f>
        <v>0.95472000000000024</v>
      </c>
      <c r="AJ438" s="211">
        <f>Y438*(O416)</f>
        <v>0.95472000000000024</v>
      </c>
      <c r="AK438" s="211">
        <f>Y438*(P416)</f>
        <v>1.4320800000000002</v>
      </c>
      <c r="AL438" s="211">
        <f>Y438*(Q416)</f>
        <v>1.4320800000000002</v>
      </c>
      <c r="AM438" s="211">
        <f>Y438*(R416)</f>
        <v>0.47736000000000012</v>
      </c>
      <c r="AN438" s="211">
        <f>Y438*(S416)</f>
        <v>0.47736000000000012</v>
      </c>
    </row>
    <row r="439" spans="2:40" s="7" customFormat="1" ht="12" hidden="1" customHeight="1" outlineLevel="2">
      <c r="B439" s="245"/>
      <c r="C439" s="213" t="s">
        <v>774</v>
      </c>
      <c r="D439" s="213"/>
      <c r="E439" s="213"/>
      <c r="F439" s="213"/>
      <c r="G439" s="213"/>
      <c r="H439" s="213"/>
      <c r="I439" s="213"/>
      <c r="J439" s="213"/>
      <c r="K439" s="213"/>
      <c r="L439" s="213"/>
      <c r="M439" s="213"/>
      <c r="N439" s="213"/>
      <c r="O439" s="213"/>
      <c r="P439" s="213"/>
      <c r="Q439" s="213"/>
      <c r="R439" s="213"/>
      <c r="S439" s="213"/>
      <c r="T439" s="213"/>
      <c r="U439" s="213"/>
      <c r="V439" s="213"/>
      <c r="W439" s="213"/>
      <c r="X439" s="213"/>
      <c r="Y439" s="213"/>
      <c r="Z439" s="211">
        <f>INDEX($C$349:$AN$371,MATCH("New Customers 1MS",$C$349:$C$371,0),MATCH($C439,$C$349:$AN$349,0))</f>
        <v>39.78</v>
      </c>
      <c r="AA439" s="211">
        <f>Z439*(E416)</f>
        <v>1.5912000000000002</v>
      </c>
      <c r="AB439" s="211">
        <f>Z439*(F416)</f>
        <v>1.5912000000000002</v>
      </c>
      <c r="AC439" s="211">
        <f>Z439*(G416)</f>
        <v>1.5912000000000002</v>
      </c>
      <c r="AD439" s="211">
        <f>Z439*(H416)</f>
        <v>1.5912000000000002</v>
      </c>
      <c r="AE439" s="211">
        <f>Z439*(I416)</f>
        <v>1.1934</v>
      </c>
      <c r="AF439" s="211">
        <f>Z439*(J416)</f>
        <v>1.1934</v>
      </c>
      <c r="AG439" s="211">
        <f>Z439*(K416)</f>
        <v>1.1934</v>
      </c>
      <c r="AH439" s="211">
        <f>Z439*(L416)</f>
        <v>1.1934</v>
      </c>
      <c r="AI439" s="211">
        <f>Z439*(M416)</f>
        <v>0.79560000000000008</v>
      </c>
      <c r="AJ439" s="211">
        <f>Z439*(N416)</f>
        <v>0.79560000000000008</v>
      </c>
      <c r="AK439" s="211">
        <f>Z439*(O416)</f>
        <v>0.79560000000000008</v>
      </c>
      <c r="AL439" s="211">
        <f>Z439*(P416)</f>
        <v>1.1934</v>
      </c>
      <c r="AM439" s="211">
        <f>Z439*(Q416)</f>
        <v>1.1934</v>
      </c>
      <c r="AN439" s="211">
        <f>Z439*(R416)</f>
        <v>0.39780000000000004</v>
      </c>
    </row>
    <row r="440" spans="2:40" s="7" customFormat="1" ht="12" hidden="1" customHeight="1" outlineLevel="2">
      <c r="B440" s="245"/>
      <c r="C440" s="213" t="s">
        <v>775</v>
      </c>
      <c r="D440" s="213"/>
      <c r="E440" s="213"/>
      <c r="F440" s="213"/>
      <c r="G440" s="213"/>
      <c r="H440" s="213"/>
      <c r="I440" s="213"/>
      <c r="J440" s="213"/>
      <c r="K440" s="213"/>
      <c r="L440" s="213"/>
      <c r="M440" s="213"/>
      <c r="N440" s="213"/>
      <c r="O440" s="213"/>
      <c r="P440" s="213"/>
      <c r="Q440" s="213"/>
      <c r="R440" s="213"/>
      <c r="S440" s="213"/>
      <c r="T440" s="213"/>
      <c r="U440" s="213"/>
      <c r="V440" s="213"/>
      <c r="W440" s="213"/>
      <c r="X440" s="213"/>
      <c r="Y440" s="213"/>
      <c r="Z440" s="213"/>
      <c r="AA440" s="211">
        <f>INDEX($C$349:$AN$371,MATCH("New Customers 1MS",$C$349:$C$371,0),MATCH($C440,$C$349:$AN$349,0))</f>
        <v>15.300000000000002</v>
      </c>
      <c r="AB440" s="211">
        <f>AA440*(E416)</f>
        <v>0.6120000000000001</v>
      </c>
      <c r="AC440" s="211">
        <f>AA440*(F416)</f>
        <v>0.6120000000000001</v>
      </c>
      <c r="AD440" s="211">
        <f>AA440*(G416)</f>
        <v>0.6120000000000001</v>
      </c>
      <c r="AE440" s="211">
        <f>AA440*(H416)</f>
        <v>0.6120000000000001</v>
      </c>
      <c r="AF440" s="211">
        <f>AA440*(I416)</f>
        <v>0.45900000000000007</v>
      </c>
      <c r="AG440" s="211">
        <f>AA440*(J416)</f>
        <v>0.45900000000000007</v>
      </c>
      <c r="AH440" s="211">
        <f>AA440*(K416)</f>
        <v>0.45900000000000007</v>
      </c>
      <c r="AI440" s="211">
        <f>AA440*(L416)</f>
        <v>0.45900000000000007</v>
      </c>
      <c r="AJ440" s="211">
        <f>AA440*(M416)</f>
        <v>0.30600000000000005</v>
      </c>
      <c r="AK440" s="211">
        <f>AA440*(N416)</f>
        <v>0.30600000000000005</v>
      </c>
      <c r="AL440" s="211">
        <f>AA440*(O416)</f>
        <v>0.30600000000000005</v>
      </c>
      <c r="AM440" s="211">
        <f>AA440*(P416)</f>
        <v>0.45900000000000007</v>
      </c>
      <c r="AN440" s="211">
        <f>AA440*(Q416)</f>
        <v>0.45900000000000007</v>
      </c>
    </row>
    <row r="441" spans="2:40" s="7" customFormat="1" ht="12" hidden="1" customHeight="1" outlineLevel="2">
      <c r="B441" s="245"/>
      <c r="C441" s="213" t="s">
        <v>776</v>
      </c>
      <c r="D441" s="213"/>
      <c r="E441" s="213"/>
      <c r="F441" s="213"/>
      <c r="G441" s="213"/>
      <c r="H441" s="213"/>
      <c r="I441" s="213"/>
      <c r="J441" s="213"/>
      <c r="K441" s="213"/>
      <c r="L441" s="213"/>
      <c r="M441" s="213"/>
      <c r="N441" s="213"/>
      <c r="O441" s="213"/>
      <c r="P441" s="213"/>
      <c r="Q441" s="213"/>
      <c r="R441" s="213"/>
      <c r="S441" s="213"/>
      <c r="T441" s="213"/>
      <c r="U441" s="213"/>
      <c r="V441" s="213"/>
      <c r="W441" s="213"/>
      <c r="X441" s="213"/>
      <c r="Y441" s="213"/>
      <c r="Z441" s="213"/>
      <c r="AA441" s="213"/>
      <c r="AB441" s="211">
        <f>INDEX($C$349:$AN$371,MATCH("New Customers 1MS",$C$349:$C$371,0),MATCH($C441,$C$349:$AN$349,0))</f>
        <v>15.300000000000002</v>
      </c>
      <c r="AC441" s="211">
        <f>AB441*(E416)</f>
        <v>0.6120000000000001</v>
      </c>
      <c r="AD441" s="211">
        <f>AB441*(F416)</f>
        <v>0.6120000000000001</v>
      </c>
      <c r="AE441" s="211">
        <f>AB441*(G416)</f>
        <v>0.6120000000000001</v>
      </c>
      <c r="AF441" s="211">
        <f>AB441*(H416)</f>
        <v>0.6120000000000001</v>
      </c>
      <c r="AG441" s="211">
        <f>AB441*(I416)</f>
        <v>0.45900000000000007</v>
      </c>
      <c r="AH441" s="211">
        <f>AB441*(J416)</f>
        <v>0.45900000000000007</v>
      </c>
      <c r="AI441" s="211">
        <f>AB441*(K416)</f>
        <v>0.45900000000000007</v>
      </c>
      <c r="AJ441" s="211">
        <f>AB441*(L416)</f>
        <v>0.45900000000000007</v>
      </c>
      <c r="AK441" s="211">
        <f>AB441*(M416)</f>
        <v>0.30600000000000005</v>
      </c>
      <c r="AL441" s="211">
        <f>AB441*(N416)</f>
        <v>0.30600000000000005</v>
      </c>
      <c r="AM441" s="211">
        <f>AB441*(O416)</f>
        <v>0.30600000000000005</v>
      </c>
      <c r="AN441" s="211">
        <f>AB441*(P416)</f>
        <v>0.45900000000000007</v>
      </c>
    </row>
    <row r="442" spans="2:40" s="7" customFormat="1" ht="12" hidden="1" customHeight="1" outlineLevel="2">
      <c r="B442" s="245"/>
      <c r="C442" s="213" t="s">
        <v>777</v>
      </c>
      <c r="D442" s="213"/>
      <c r="E442" s="213"/>
      <c r="F442" s="213"/>
      <c r="G442" s="213"/>
      <c r="H442" s="213"/>
      <c r="I442" s="213"/>
      <c r="J442" s="213"/>
      <c r="K442" s="213"/>
      <c r="L442" s="213"/>
      <c r="M442" s="213"/>
      <c r="N442" s="213"/>
      <c r="O442" s="213"/>
      <c r="P442" s="213"/>
      <c r="Q442" s="213"/>
      <c r="R442" s="213"/>
      <c r="S442" s="213"/>
      <c r="T442" s="213"/>
      <c r="U442" s="213"/>
      <c r="V442" s="213"/>
      <c r="W442" s="213"/>
      <c r="X442" s="213"/>
      <c r="Y442" s="213"/>
      <c r="Z442" s="213"/>
      <c r="AA442" s="213"/>
      <c r="AB442" s="211"/>
      <c r="AC442" s="211">
        <f>INDEX($C$349:$AN$371,MATCH("New Customers 1MS",$C$349:$C$371,0),MATCH($C442,$C$349:$AN$349,0))</f>
        <v>123.14511000000003</v>
      </c>
      <c r="AD442" s="211">
        <f>AC442*(E416)</f>
        <v>4.9258044000000014</v>
      </c>
      <c r="AE442" s="211">
        <f>AC442*($F$70)</f>
        <v>0</v>
      </c>
      <c r="AF442" s="211">
        <f>AC442*($G$70)</f>
        <v>0</v>
      </c>
      <c r="AG442" s="211">
        <f>AC442*($H$70)</f>
        <v>0</v>
      </c>
      <c r="AH442" s="211">
        <f>AC442*($I$70)</f>
        <v>0</v>
      </c>
      <c r="AI442" s="211">
        <f>AC442*($J$70)</f>
        <v>0</v>
      </c>
      <c r="AJ442" s="211">
        <f>AC442*($K$70)</f>
        <v>0</v>
      </c>
      <c r="AK442" s="211">
        <f>AC442*($L$70)</f>
        <v>0</v>
      </c>
      <c r="AL442" s="211">
        <f>AC442*($M$70)</f>
        <v>0</v>
      </c>
      <c r="AM442" s="211">
        <f>AC442*($N$70)</f>
        <v>0</v>
      </c>
      <c r="AN442" s="211">
        <f>AC442*(O416)</f>
        <v>2.4629022000000007</v>
      </c>
    </row>
    <row r="443" spans="2:40" s="7" customFormat="1" ht="12" hidden="1" customHeight="1" outlineLevel="2">
      <c r="B443" s="245"/>
      <c r="C443" s="213" t="s">
        <v>778</v>
      </c>
      <c r="D443" s="213"/>
      <c r="E443" s="213"/>
      <c r="F443" s="213"/>
      <c r="G443" s="213"/>
      <c r="H443" s="213"/>
      <c r="I443" s="213"/>
      <c r="J443" s="213"/>
      <c r="K443" s="213"/>
      <c r="L443" s="213"/>
      <c r="M443" s="213"/>
      <c r="N443" s="213"/>
      <c r="O443" s="213"/>
      <c r="P443" s="213"/>
      <c r="Q443" s="213"/>
      <c r="R443" s="213"/>
      <c r="S443" s="213"/>
      <c r="T443" s="213"/>
      <c r="U443" s="213"/>
      <c r="V443" s="213"/>
      <c r="W443" s="213"/>
      <c r="X443" s="213"/>
      <c r="Y443" s="213"/>
      <c r="Z443" s="213"/>
      <c r="AA443" s="213"/>
      <c r="AB443" s="211"/>
      <c r="AC443" s="211"/>
      <c r="AD443" s="211">
        <f>INDEX($C$349:$AN$371,MATCH("New Customers 1MS",$C$349:$C$371,0),MATCH($C443,$C$349:$AN$349,0))</f>
        <v>219.12660000000008</v>
      </c>
      <c r="AE443" s="211">
        <f>AD443*(E416)</f>
        <v>8.7650640000000042</v>
      </c>
      <c r="AF443" s="211">
        <f>AD443*($F$70)</f>
        <v>0</v>
      </c>
      <c r="AG443" s="211">
        <f>AD443*($G$70)</f>
        <v>0</v>
      </c>
      <c r="AH443" s="211">
        <f>AD443*($H$70)</f>
        <v>0</v>
      </c>
      <c r="AI443" s="211">
        <f>AD443*($I$70)</f>
        <v>0</v>
      </c>
      <c r="AJ443" s="211">
        <f>AD443*($J$70)</f>
        <v>0</v>
      </c>
      <c r="AK443" s="211">
        <f>AD443*($K$70)</f>
        <v>0</v>
      </c>
      <c r="AL443" s="211">
        <f>AD443*($L$70)</f>
        <v>0</v>
      </c>
      <c r="AM443" s="211">
        <f>AD443*($M$70)</f>
        <v>0</v>
      </c>
      <c r="AN443" s="211">
        <f>AD443*($N$70)</f>
        <v>0</v>
      </c>
    </row>
    <row r="444" spans="2:40" s="7" customFormat="1" ht="12" hidden="1" customHeight="1" outlineLevel="2">
      <c r="B444" s="245"/>
      <c r="C444" s="213" t="s">
        <v>779</v>
      </c>
      <c r="D444" s="213"/>
      <c r="E444" s="213"/>
      <c r="F444" s="213"/>
      <c r="G444" s="213"/>
      <c r="H444" s="213"/>
      <c r="I444" s="213"/>
      <c r="J444" s="213"/>
      <c r="K444" s="213"/>
      <c r="L444" s="213"/>
      <c r="M444" s="213"/>
      <c r="N444" s="213"/>
      <c r="O444" s="213"/>
      <c r="P444" s="213"/>
      <c r="Q444" s="213"/>
      <c r="R444" s="213"/>
      <c r="S444" s="213"/>
      <c r="T444" s="213"/>
      <c r="U444" s="213"/>
      <c r="V444" s="213"/>
      <c r="W444" s="213"/>
      <c r="X444" s="213"/>
      <c r="Y444" s="213"/>
      <c r="Z444" s="213"/>
      <c r="AA444" s="213"/>
      <c r="AB444" s="211"/>
      <c r="AC444" s="211"/>
      <c r="AD444" s="211"/>
      <c r="AE444" s="211">
        <f>INDEX($C$349:$AN$371,MATCH("New Customers 1MS",$C$349:$C$371,0),MATCH($C444,$C$349:$AN$349,0))</f>
        <v>201.75345000000004</v>
      </c>
      <c r="AF444" s="211">
        <f>AE444*(E416)</f>
        <v>8.0701380000000018</v>
      </c>
      <c r="AG444" s="211">
        <f>AE444*($F$70)</f>
        <v>0</v>
      </c>
      <c r="AH444" s="211">
        <f>AE444*($G$70)</f>
        <v>0</v>
      </c>
      <c r="AI444" s="211">
        <f>AE444*($H$70)</f>
        <v>0</v>
      </c>
      <c r="AJ444" s="211">
        <f>AE444*($I$70)</f>
        <v>0</v>
      </c>
      <c r="AK444" s="211">
        <f>AE444*($J$70)</f>
        <v>0</v>
      </c>
      <c r="AL444" s="211">
        <f>AE444*($K$70)</f>
        <v>0</v>
      </c>
      <c r="AM444" s="211">
        <f>AE444*($L$70)</f>
        <v>0</v>
      </c>
      <c r="AN444" s="211">
        <f>AE444*($M$70)</f>
        <v>0</v>
      </c>
    </row>
    <row r="445" spans="2:40" s="7" customFormat="1" ht="12" hidden="1" customHeight="1" outlineLevel="2">
      <c r="B445" s="245"/>
      <c r="C445" s="213" t="s">
        <v>780</v>
      </c>
      <c r="D445" s="213"/>
      <c r="E445" s="213"/>
      <c r="F445" s="213"/>
      <c r="G445" s="213"/>
      <c r="H445" s="213"/>
      <c r="I445" s="213"/>
      <c r="J445" s="213"/>
      <c r="K445" s="213"/>
      <c r="L445" s="213"/>
      <c r="M445" s="213"/>
      <c r="N445" s="213"/>
      <c r="O445" s="213"/>
      <c r="P445" s="213"/>
      <c r="Q445" s="213"/>
      <c r="R445" s="213"/>
      <c r="S445" s="213"/>
      <c r="T445" s="213"/>
      <c r="U445" s="213"/>
      <c r="V445" s="213"/>
      <c r="W445" s="213"/>
      <c r="X445" s="213"/>
      <c r="Y445" s="213"/>
      <c r="Z445" s="213"/>
      <c r="AA445" s="213"/>
      <c r="AB445" s="211"/>
      <c r="AC445" s="211"/>
      <c r="AD445" s="211"/>
      <c r="AE445" s="211"/>
      <c r="AF445" s="211">
        <f>INDEX($C$349:$AN$371,MATCH("New Customers 1MS",$C$349:$C$371,0),MATCH($C445,$C$349:$AN$349,0))</f>
        <v>154.72584000000006</v>
      </c>
      <c r="AG445" s="211">
        <f>AF445*(E416)</f>
        <v>6.1890336000000028</v>
      </c>
      <c r="AH445" s="211">
        <f>AF445*($F$70)</f>
        <v>0</v>
      </c>
      <c r="AI445" s="211">
        <f>AF445*($G$70)</f>
        <v>0</v>
      </c>
      <c r="AJ445" s="211">
        <f>AF445*($H$70)</f>
        <v>0</v>
      </c>
      <c r="AK445" s="211">
        <f>AF445*($I$70)</f>
        <v>0</v>
      </c>
      <c r="AL445" s="211">
        <f>AF445*($J$70)</f>
        <v>0</v>
      </c>
      <c r="AM445" s="211">
        <f>AF445*($K$70)</f>
        <v>0</v>
      </c>
      <c r="AN445" s="211">
        <f>AF445*($L$70)</f>
        <v>0</v>
      </c>
    </row>
    <row r="446" spans="2:40" s="7" customFormat="1" ht="12" hidden="1" customHeight="1" outlineLevel="2">
      <c r="B446" s="245"/>
      <c r="C446" s="213" t="s">
        <v>781</v>
      </c>
      <c r="D446" s="213"/>
      <c r="E446" s="213"/>
      <c r="F446" s="213"/>
      <c r="G446" s="213"/>
      <c r="H446" s="213"/>
      <c r="I446" s="213"/>
      <c r="J446" s="213"/>
      <c r="K446" s="213"/>
      <c r="L446" s="213"/>
      <c r="M446" s="213"/>
      <c r="N446" s="213"/>
      <c r="O446" s="213"/>
      <c r="P446" s="213"/>
      <c r="Q446" s="213"/>
      <c r="R446" s="213"/>
      <c r="S446" s="213"/>
      <c r="T446" s="213"/>
      <c r="U446" s="213"/>
      <c r="V446" s="213"/>
      <c r="W446" s="213"/>
      <c r="X446" s="213"/>
      <c r="Y446" s="213"/>
      <c r="Z446" s="213"/>
      <c r="AA446" s="213"/>
      <c r="AB446" s="211"/>
      <c r="AC446" s="211"/>
      <c r="AD446" s="211"/>
      <c r="AE446" s="211"/>
      <c r="AF446" s="211"/>
      <c r="AG446" s="211">
        <f>INDEX($C$349:$AN$371,MATCH("New Customers 1MS",$C$349:$C$371,0),MATCH($C446,$C$349:$AN$349,0))</f>
        <v>139.51764</v>
      </c>
      <c r="AH446" s="211">
        <f>AG446*(E416)</f>
        <v>5.5807055999999999</v>
      </c>
      <c r="AI446" s="211">
        <f>AG446*($F$70)</f>
        <v>0</v>
      </c>
      <c r="AJ446" s="211">
        <f>AG446*($G$70)</f>
        <v>0</v>
      </c>
      <c r="AK446" s="211">
        <f>AG446*($H$70)</f>
        <v>0</v>
      </c>
      <c r="AL446" s="211">
        <f>AG446*($I$70)</f>
        <v>0</v>
      </c>
      <c r="AM446" s="211">
        <f>AG446*($J$70)</f>
        <v>0</v>
      </c>
      <c r="AN446" s="211">
        <f>AG446*($K$70)</f>
        <v>0</v>
      </c>
    </row>
    <row r="447" spans="2:40" s="7" customFormat="1" ht="12" hidden="1" customHeight="1" outlineLevel="2">
      <c r="B447" s="245"/>
      <c r="C447" s="213" t="s">
        <v>782</v>
      </c>
      <c r="D447" s="213"/>
      <c r="E447" s="213"/>
      <c r="F447" s="213"/>
      <c r="G447" s="213"/>
      <c r="H447" s="213"/>
      <c r="I447" s="213"/>
      <c r="J447" s="213"/>
      <c r="K447" s="213"/>
      <c r="L447" s="213"/>
      <c r="M447" s="213"/>
      <c r="N447" s="213"/>
      <c r="O447" s="213"/>
      <c r="P447" s="213"/>
      <c r="Q447" s="213"/>
      <c r="R447" s="213"/>
      <c r="S447" s="213"/>
      <c r="T447" s="213"/>
      <c r="U447" s="213"/>
      <c r="V447" s="213"/>
      <c r="W447" s="213"/>
      <c r="X447" s="213"/>
      <c r="Y447" s="213"/>
      <c r="Z447" s="213"/>
      <c r="AA447" s="213"/>
      <c r="AB447" s="211"/>
      <c r="AC447" s="211"/>
      <c r="AD447" s="211"/>
      <c r="AE447" s="211"/>
      <c r="AF447" s="211"/>
      <c r="AG447" s="211"/>
      <c r="AH447" s="211">
        <f>INDEX($C$349:$AN$371,MATCH("New Customers 1MS",$C$349:$C$371,0),MATCH($C447,$C$349:$AN$349,0))</f>
        <v>478.25964000000005</v>
      </c>
      <c r="AI447" s="211">
        <f>AH447*(E416)</f>
        <v>19.130385600000004</v>
      </c>
      <c r="AJ447" s="211">
        <f>AH447*($F$70)</f>
        <v>0</v>
      </c>
      <c r="AK447" s="211">
        <f>AH447*($G$70)</f>
        <v>0</v>
      </c>
      <c r="AL447" s="211">
        <f>AH447*($H$70)</f>
        <v>0</v>
      </c>
      <c r="AM447" s="211">
        <f>AH447*($I$70)</f>
        <v>0</v>
      </c>
      <c r="AN447" s="211">
        <f>AH447*($J$70)</f>
        <v>0</v>
      </c>
    </row>
    <row r="448" spans="2:40" s="7" customFormat="1" ht="12" hidden="1" customHeight="1" outlineLevel="2">
      <c r="B448" s="245"/>
      <c r="C448" s="213" t="s">
        <v>783</v>
      </c>
      <c r="D448" s="213"/>
      <c r="E448" s="213"/>
      <c r="F448" s="213"/>
      <c r="G448" s="213"/>
      <c r="H448" s="213"/>
      <c r="I448" s="213"/>
      <c r="J448" s="213"/>
      <c r="K448" s="213"/>
      <c r="L448" s="213"/>
      <c r="M448" s="213"/>
      <c r="N448" s="213"/>
      <c r="O448" s="213"/>
      <c r="P448" s="213"/>
      <c r="Q448" s="213"/>
      <c r="R448" s="213"/>
      <c r="S448" s="213"/>
      <c r="T448" s="213"/>
      <c r="U448" s="213"/>
      <c r="V448" s="213"/>
      <c r="W448" s="213"/>
      <c r="X448" s="213"/>
      <c r="Y448" s="213"/>
      <c r="Z448" s="213"/>
      <c r="AA448" s="213"/>
      <c r="AB448" s="211"/>
      <c r="AC448" s="211"/>
      <c r="AD448" s="211"/>
      <c r="AE448" s="211"/>
      <c r="AF448" s="211"/>
      <c r="AG448" s="211"/>
      <c r="AH448" s="211"/>
      <c r="AI448" s="211">
        <f>INDEX($C$349:$AN$371,MATCH("New Customers 1MS",$C$349:$C$371,0),MATCH($C448,$C$349:$AN$349,0))</f>
        <v>157.84550999999999</v>
      </c>
      <c r="AJ448" s="211">
        <f>AI448*(E416)</f>
        <v>6.3138204</v>
      </c>
      <c r="AK448" s="211">
        <f>AI448*($F$70)</f>
        <v>0</v>
      </c>
      <c r="AL448" s="211">
        <f>AI448*($G$70)</f>
        <v>0</v>
      </c>
      <c r="AM448" s="211">
        <f>AI448*($H$70)</f>
        <v>0</v>
      </c>
      <c r="AN448" s="211">
        <f>AI448*($I$70)</f>
        <v>0</v>
      </c>
    </row>
    <row r="449" spans="2:40" s="7" customFormat="1" ht="12" hidden="1" customHeight="1" outlineLevel="2">
      <c r="B449" s="245"/>
      <c r="C449" s="213" t="s">
        <v>784</v>
      </c>
      <c r="D449" s="213"/>
      <c r="E449" s="213"/>
      <c r="F449" s="213"/>
      <c r="G449" s="213"/>
      <c r="H449" s="213"/>
      <c r="I449" s="213"/>
      <c r="J449" s="213"/>
      <c r="K449" s="213"/>
      <c r="L449" s="213"/>
      <c r="M449" s="213"/>
      <c r="N449" s="213"/>
      <c r="O449" s="213"/>
      <c r="P449" s="213"/>
      <c r="Q449" s="213"/>
      <c r="R449" s="213"/>
      <c r="S449" s="213"/>
      <c r="T449" s="213"/>
      <c r="U449" s="213"/>
      <c r="V449" s="213"/>
      <c r="W449" s="213"/>
      <c r="X449" s="213"/>
      <c r="Y449" s="213"/>
      <c r="Z449" s="213"/>
      <c r="AA449" s="213"/>
      <c r="AB449" s="211"/>
      <c r="AC449" s="211"/>
      <c r="AD449" s="211"/>
      <c r="AE449" s="211"/>
      <c r="AF449" s="211"/>
      <c r="AG449" s="211"/>
      <c r="AH449" s="211"/>
      <c r="AI449" s="211"/>
      <c r="AJ449" s="211">
        <f>INDEX($C$349:$AN$371,MATCH("New Customers 1MS",$C$349:$C$371,0),MATCH($C449,$C$349:$AN$349,0))</f>
        <v>198.77760000000004</v>
      </c>
      <c r="AK449" s="211">
        <f>AJ449*(E416)</f>
        <v>7.9511040000000017</v>
      </c>
      <c r="AL449" s="211">
        <f>AJ449*($F$70)</f>
        <v>0</v>
      </c>
      <c r="AM449" s="211">
        <f>AJ449*($G$70)</f>
        <v>0</v>
      </c>
      <c r="AN449" s="211">
        <f>AJ449*($H$70)</f>
        <v>0</v>
      </c>
    </row>
    <row r="450" spans="2:40" s="7" customFormat="1" ht="12" hidden="1" customHeight="1" outlineLevel="2">
      <c r="B450" s="245"/>
      <c r="C450" s="213" t="s">
        <v>785</v>
      </c>
      <c r="D450" s="213"/>
      <c r="E450" s="213"/>
      <c r="F450" s="213"/>
      <c r="G450" s="213"/>
      <c r="H450" s="213"/>
      <c r="I450" s="213"/>
      <c r="J450" s="213"/>
      <c r="K450" s="213"/>
      <c r="L450" s="213"/>
      <c r="M450" s="213"/>
      <c r="N450" s="213"/>
      <c r="O450" s="213"/>
      <c r="P450" s="213"/>
      <c r="Q450" s="213"/>
      <c r="R450" s="213"/>
      <c r="S450" s="213"/>
      <c r="T450" s="213"/>
      <c r="U450" s="213"/>
      <c r="V450" s="213"/>
      <c r="W450" s="213"/>
      <c r="X450" s="213"/>
      <c r="Y450" s="213"/>
      <c r="Z450" s="213"/>
      <c r="AA450" s="213"/>
      <c r="AB450" s="211"/>
      <c r="AC450" s="211"/>
      <c r="AD450" s="211"/>
      <c r="AE450" s="211"/>
      <c r="AF450" s="211"/>
      <c r="AG450" s="211"/>
      <c r="AH450" s="211"/>
      <c r="AI450" s="211"/>
      <c r="AJ450" s="211"/>
      <c r="AK450" s="211">
        <f>INDEX($C$349:$AN$371,MATCH("New Customers 1MS",$C$349:$C$371,0),MATCH($C450,$C$349:$AN$349,0))</f>
        <v>358.0200000000001</v>
      </c>
      <c r="AL450" s="211">
        <f>AK450*(E416)</f>
        <v>14.320800000000004</v>
      </c>
      <c r="AM450" s="211">
        <f>AK450*($F$70)</f>
        <v>0</v>
      </c>
      <c r="AN450" s="211">
        <f>AK450*($G$70)</f>
        <v>0</v>
      </c>
    </row>
    <row r="451" spans="2:40" s="7" customFormat="1" ht="12" hidden="1" customHeight="1" outlineLevel="2">
      <c r="B451" s="245"/>
      <c r="C451" s="213" t="s">
        <v>786</v>
      </c>
      <c r="D451" s="213"/>
      <c r="E451" s="213"/>
      <c r="F451" s="213"/>
      <c r="G451" s="213"/>
      <c r="H451" s="213"/>
      <c r="I451" s="213"/>
      <c r="J451" s="213"/>
      <c r="K451" s="213"/>
      <c r="L451" s="213"/>
      <c r="M451" s="213"/>
      <c r="N451" s="213"/>
      <c r="O451" s="213"/>
      <c r="P451" s="213"/>
      <c r="Q451" s="213"/>
      <c r="R451" s="213"/>
      <c r="S451" s="213"/>
      <c r="T451" s="213"/>
      <c r="U451" s="213"/>
      <c r="V451" s="213"/>
      <c r="W451" s="213"/>
      <c r="X451" s="213"/>
      <c r="Y451" s="213"/>
      <c r="Z451" s="213"/>
      <c r="AA451" s="213"/>
      <c r="AB451" s="211"/>
      <c r="AC451" s="211"/>
      <c r="AD451" s="211"/>
      <c r="AE451" s="211"/>
      <c r="AF451" s="211"/>
      <c r="AG451" s="211"/>
      <c r="AH451" s="211"/>
      <c r="AI451" s="211"/>
      <c r="AJ451" s="211"/>
      <c r="AK451" s="211"/>
      <c r="AL451" s="211">
        <f>INDEX($C$349:$AN$371,MATCH("New Customers 1MS",$C$349:$C$371,0),MATCH($C451,$C$349:$AN$349,0))</f>
        <v>298.35000000000002</v>
      </c>
      <c r="AM451" s="211">
        <f>AL451*(E416)</f>
        <v>11.934000000000001</v>
      </c>
      <c r="AN451" s="211">
        <f>AL451*($F$70)</f>
        <v>0</v>
      </c>
    </row>
    <row r="452" spans="2:40" s="7" customFormat="1" ht="12" hidden="1" customHeight="1" outlineLevel="2">
      <c r="B452" s="245"/>
      <c r="C452" s="213" t="s">
        <v>787</v>
      </c>
      <c r="D452" s="213"/>
      <c r="E452" s="213"/>
      <c r="F452" s="213"/>
      <c r="G452" s="213"/>
      <c r="H452" s="213"/>
      <c r="I452" s="213"/>
      <c r="J452" s="213"/>
      <c r="K452" s="213"/>
      <c r="L452" s="213"/>
      <c r="M452" s="213"/>
      <c r="N452" s="213"/>
      <c r="O452" s="213"/>
      <c r="P452" s="213"/>
      <c r="Q452" s="213"/>
      <c r="R452" s="213"/>
      <c r="S452" s="213"/>
      <c r="T452" s="213"/>
      <c r="U452" s="213"/>
      <c r="V452" s="213"/>
      <c r="W452" s="213"/>
      <c r="X452" s="213"/>
      <c r="Y452" s="213"/>
      <c r="Z452" s="213"/>
      <c r="AA452" s="213"/>
      <c r="AB452" s="211"/>
      <c r="AC452" s="211"/>
      <c r="AD452" s="211"/>
      <c r="AE452" s="211"/>
      <c r="AF452" s="211"/>
      <c r="AG452" s="211"/>
      <c r="AH452" s="211"/>
      <c r="AI452" s="211"/>
      <c r="AJ452" s="211"/>
      <c r="AK452" s="211"/>
      <c r="AL452" s="211"/>
      <c r="AM452" s="211">
        <f>INDEX($C$349:$AN$371,MATCH("New Customers 1MS",$C$349:$C$371,0),MATCH($C452,$C$349:$AN$349,0))</f>
        <v>114.75000000000001</v>
      </c>
      <c r="AN452" s="211">
        <f>AM452*(E416)</f>
        <v>4.5900000000000007</v>
      </c>
    </row>
    <row r="453" spans="2:40" s="7" customFormat="1" ht="12" hidden="1" customHeight="1" outlineLevel="2">
      <c r="B453" s="245"/>
      <c r="C453" s="213" t="s">
        <v>788</v>
      </c>
      <c r="D453" s="213"/>
      <c r="E453" s="213"/>
      <c r="F453" s="213"/>
      <c r="G453" s="213"/>
      <c r="H453" s="213"/>
      <c r="I453" s="213"/>
      <c r="J453" s="213"/>
      <c r="K453" s="213"/>
      <c r="L453" s="213"/>
      <c r="M453" s="213"/>
      <c r="N453" s="213"/>
      <c r="O453" s="213"/>
      <c r="P453" s="213"/>
      <c r="Q453" s="213"/>
      <c r="R453" s="213"/>
      <c r="S453" s="213"/>
      <c r="T453" s="213"/>
      <c r="U453" s="213"/>
      <c r="V453" s="213"/>
      <c r="W453" s="213"/>
      <c r="X453" s="213"/>
      <c r="Y453" s="213"/>
      <c r="Z453" s="213"/>
      <c r="AA453" s="213"/>
      <c r="AB453" s="211"/>
      <c r="AC453" s="211"/>
      <c r="AD453" s="211"/>
      <c r="AE453" s="211"/>
      <c r="AF453" s="211"/>
      <c r="AG453" s="211"/>
      <c r="AH453" s="211"/>
      <c r="AI453" s="211"/>
      <c r="AJ453" s="211"/>
      <c r="AK453" s="211"/>
      <c r="AL453" s="211"/>
      <c r="AM453" s="211"/>
      <c r="AN453" s="211">
        <f>INDEX($C$349:$AN$371,MATCH("New Customers 1MS",$C$349:$C$371,0),MATCH($C453,$C$349:$AN$349,0))</f>
        <v>114.75000000000001</v>
      </c>
    </row>
    <row r="454" spans="2:40" s="7" customFormat="1" ht="12" hidden="1" customHeight="1" outlineLevel="2">
      <c r="B454" s="245"/>
      <c r="C454" s="213"/>
      <c r="D454" s="213"/>
      <c r="E454" s="213"/>
      <c r="F454" s="213"/>
      <c r="G454" s="213"/>
      <c r="H454" s="213"/>
      <c r="I454" s="213"/>
      <c r="J454" s="213"/>
      <c r="K454" s="213"/>
      <c r="L454" s="213"/>
      <c r="M454" s="213"/>
      <c r="N454" s="213"/>
      <c r="O454" s="213"/>
      <c r="P454" s="213"/>
      <c r="Q454" s="213"/>
      <c r="R454" s="213"/>
      <c r="S454" s="213"/>
      <c r="T454" s="213"/>
      <c r="U454" s="213"/>
      <c r="V454" s="213"/>
      <c r="W454" s="213"/>
      <c r="X454" s="213"/>
      <c r="Y454" s="213"/>
      <c r="Z454" s="213"/>
      <c r="AA454" s="213"/>
      <c r="AB454" s="211"/>
      <c r="AC454" s="211"/>
      <c r="AD454" s="211"/>
      <c r="AE454" s="211"/>
      <c r="AF454" s="211"/>
      <c r="AG454" s="211"/>
      <c r="AH454" s="211"/>
      <c r="AI454" s="211"/>
      <c r="AJ454" s="211"/>
      <c r="AK454" s="211"/>
      <c r="AL454" s="211"/>
      <c r="AM454" s="211"/>
      <c r="AN454" s="211"/>
    </row>
    <row r="455" spans="2:40" s="7" customFormat="1" ht="12" hidden="1" customHeight="1" outlineLevel="3">
      <c r="B455" s="245"/>
      <c r="C455" s="243" t="s">
        <v>854</v>
      </c>
      <c r="D455" s="213"/>
      <c r="E455" s="213"/>
      <c r="F455" s="213"/>
      <c r="G455" s="213"/>
      <c r="H455" s="213"/>
      <c r="I455" s="213"/>
      <c r="J455" s="213"/>
      <c r="K455" s="213"/>
      <c r="L455" s="213"/>
      <c r="M455" s="213"/>
      <c r="N455" s="213"/>
      <c r="O455" s="213"/>
      <c r="P455" s="213"/>
      <c r="Q455" s="213"/>
      <c r="R455" s="213"/>
      <c r="S455" s="213"/>
      <c r="T455" s="213"/>
      <c r="U455" s="213"/>
      <c r="V455" s="213"/>
      <c r="W455" s="213"/>
      <c r="X455" s="213"/>
      <c r="Y455" s="213"/>
      <c r="Z455" s="213"/>
      <c r="AA455" s="213"/>
      <c r="AB455" s="213"/>
      <c r="AC455" s="211"/>
    </row>
    <row r="456" spans="2:40" s="7" customFormat="1" ht="12" hidden="1" customHeight="1" outlineLevel="3">
      <c r="B456" s="239"/>
      <c r="C456" s="214" t="s">
        <v>850</v>
      </c>
      <c r="D456" s="214"/>
      <c r="E456" s="196" t="s">
        <v>753</v>
      </c>
      <c r="F456" s="196" t="s">
        <v>754</v>
      </c>
      <c r="G456" s="196" t="s">
        <v>755</v>
      </c>
      <c r="H456" s="196" t="s">
        <v>756</v>
      </c>
      <c r="I456" s="196" t="s">
        <v>757</v>
      </c>
      <c r="J456" s="196" t="s">
        <v>758</v>
      </c>
      <c r="K456" s="196" t="s">
        <v>759</v>
      </c>
      <c r="L456" s="196" t="s">
        <v>760</v>
      </c>
      <c r="M456" s="196" t="s">
        <v>761</v>
      </c>
      <c r="N456" s="196" t="s">
        <v>762</v>
      </c>
      <c r="O456" s="196" t="s">
        <v>763</v>
      </c>
      <c r="P456" s="196" t="s">
        <v>764</v>
      </c>
      <c r="Q456" s="196" t="s">
        <v>765</v>
      </c>
      <c r="R456" s="196" t="s">
        <v>766</v>
      </c>
      <c r="S456" s="196" t="s">
        <v>767</v>
      </c>
      <c r="T456" s="196" t="s">
        <v>768</v>
      </c>
      <c r="U456" s="196" t="s">
        <v>769</v>
      </c>
      <c r="V456" s="196" t="s">
        <v>770</v>
      </c>
      <c r="W456" s="196" t="s">
        <v>771</v>
      </c>
      <c r="X456" s="196" t="s">
        <v>772</v>
      </c>
      <c r="Y456" s="196" t="s">
        <v>773</v>
      </c>
      <c r="Z456" s="196" t="s">
        <v>774</v>
      </c>
      <c r="AA456" s="196" t="s">
        <v>775</v>
      </c>
      <c r="AB456" s="196" t="s">
        <v>776</v>
      </c>
      <c r="AC456" s="196" t="s">
        <v>777</v>
      </c>
      <c r="AD456" s="196" t="s">
        <v>778</v>
      </c>
      <c r="AE456" s="196" t="s">
        <v>779</v>
      </c>
      <c r="AF456" s="196" t="s">
        <v>780</v>
      </c>
      <c r="AG456" s="196" t="s">
        <v>781</v>
      </c>
      <c r="AH456" s="196" t="s">
        <v>782</v>
      </c>
      <c r="AI456" s="196" t="s">
        <v>783</v>
      </c>
      <c r="AJ456" s="196" t="s">
        <v>784</v>
      </c>
      <c r="AK456" s="196" t="s">
        <v>785</v>
      </c>
      <c r="AL456" s="196" t="s">
        <v>786</v>
      </c>
      <c r="AM456" s="196" t="s">
        <v>787</v>
      </c>
      <c r="AN456" s="196" t="s">
        <v>788</v>
      </c>
    </row>
    <row r="457" spans="2:40" s="7" customFormat="1" ht="12" hidden="1" customHeight="1" outlineLevel="3">
      <c r="B457" s="239"/>
      <c r="C457" s="247" t="s">
        <v>851</v>
      </c>
      <c r="D457" s="214"/>
      <c r="E457" s="345">
        <v>0.86</v>
      </c>
      <c r="F457" s="342"/>
      <c r="G457" s="342"/>
      <c r="H457" s="345">
        <v>0.42</v>
      </c>
      <c r="I457" s="342"/>
      <c r="J457" s="342"/>
      <c r="K457" s="345">
        <v>0.26</v>
      </c>
      <c r="L457" s="342"/>
      <c r="M457" s="342"/>
      <c r="N457" s="345">
        <v>0.16</v>
      </c>
      <c r="O457" s="342"/>
      <c r="P457" s="342"/>
      <c r="Q457" s="345">
        <v>0.1</v>
      </c>
      <c r="R457" s="342"/>
      <c r="S457" s="342"/>
      <c r="T457" s="345">
        <v>0.06</v>
      </c>
      <c r="U457" s="342"/>
      <c r="V457" s="342"/>
      <c r="W457" s="345">
        <v>0.03</v>
      </c>
      <c r="X457" s="342"/>
      <c r="Y457" s="342"/>
      <c r="Z457" s="345">
        <v>0.01</v>
      </c>
      <c r="AA457" s="342"/>
      <c r="AB457" s="342"/>
      <c r="AC457" s="345">
        <v>0.01</v>
      </c>
      <c r="AD457" s="342"/>
      <c r="AE457" s="342"/>
      <c r="AF457" s="345">
        <v>0.01</v>
      </c>
      <c r="AG457" s="342"/>
      <c r="AH457" s="342"/>
      <c r="AI457" s="345">
        <v>0.01</v>
      </c>
      <c r="AJ457" s="342"/>
      <c r="AK457" s="342"/>
      <c r="AL457" s="345">
        <v>0.01</v>
      </c>
      <c r="AM457" s="342"/>
      <c r="AN457" s="342"/>
    </row>
    <row r="458" spans="2:40" s="7" customFormat="1" ht="12" hidden="1" customHeight="1" outlineLevel="3">
      <c r="B458" s="245"/>
      <c r="C458" s="213" t="s">
        <v>753</v>
      </c>
      <c r="D458" s="213"/>
      <c r="E458" s="211">
        <f>INDEX($C$349:$AN$371, MATCH("New Customers 3MS", $C$349:$C$371, 0), MATCH($C458, $C$349:$AN$349, 0))</f>
        <v>0</v>
      </c>
      <c r="F458" s="211"/>
      <c r="G458" s="211"/>
      <c r="H458" s="211">
        <f>E458*(1-E457)</f>
        <v>0</v>
      </c>
      <c r="I458" s="211"/>
      <c r="J458" s="211"/>
      <c r="K458" s="211">
        <f>E458*(1-H457)</f>
        <v>0</v>
      </c>
      <c r="L458" s="211"/>
      <c r="M458" s="211"/>
      <c r="N458" s="211">
        <f>E458*(1-K457)</f>
        <v>0</v>
      </c>
      <c r="O458" s="211"/>
      <c r="P458" s="211"/>
      <c r="Q458" s="211">
        <f>E458*(1-N457)</f>
        <v>0</v>
      </c>
      <c r="R458" s="211"/>
      <c r="S458" s="211"/>
      <c r="T458" s="211">
        <f>E458*(1-Q457)</f>
        <v>0</v>
      </c>
      <c r="U458" s="211"/>
      <c r="V458" s="211"/>
      <c r="W458" s="211">
        <f>E458*(1-T457)</f>
        <v>0</v>
      </c>
      <c r="X458" s="211"/>
      <c r="Y458" s="211"/>
      <c r="Z458" s="211">
        <f>E458*(1-W457)</f>
        <v>0</v>
      </c>
      <c r="AA458" s="211"/>
      <c r="AB458" s="211"/>
      <c r="AC458" s="211">
        <f>E458*(1-Z457)</f>
        <v>0</v>
      </c>
      <c r="AD458" s="211"/>
      <c r="AE458" s="211"/>
      <c r="AF458" s="211">
        <f>E458*(1-AC457)</f>
        <v>0</v>
      </c>
      <c r="AG458" s="211"/>
      <c r="AH458" s="211"/>
      <c r="AI458" s="211">
        <f>E458*(1-AF457)</f>
        <v>0</v>
      </c>
      <c r="AJ458" s="211"/>
      <c r="AK458" s="211"/>
      <c r="AL458" s="211">
        <f>E458*(1-AI457)</f>
        <v>0</v>
      </c>
      <c r="AM458" s="211"/>
      <c r="AN458" s="211"/>
    </row>
    <row r="459" spans="2:40" s="7" customFormat="1" ht="12" hidden="1" customHeight="1" outlineLevel="3">
      <c r="B459" s="245"/>
      <c r="C459" s="213" t="s">
        <v>754</v>
      </c>
      <c r="D459" s="213"/>
      <c r="E459" s="213"/>
      <c r="F459" s="211">
        <f>INDEX($C$349:$AN$371, MATCH("New Customers 3MS", $C$349:$C$371, 0), MATCH($C459, $C$349:$AN$349, 0))</f>
        <v>0</v>
      </c>
      <c r="G459" s="211"/>
      <c r="H459" s="211"/>
      <c r="I459" s="211">
        <f>F459*(E457)</f>
        <v>0</v>
      </c>
      <c r="J459" s="211"/>
      <c r="K459" s="211"/>
      <c r="L459" s="211">
        <f>F459*(H457)</f>
        <v>0</v>
      </c>
      <c r="M459" s="211"/>
      <c r="N459" s="211"/>
      <c r="O459" s="211">
        <f>F459*(K457)</f>
        <v>0</v>
      </c>
      <c r="P459" s="211"/>
      <c r="Q459" s="211"/>
      <c r="R459" s="211">
        <f>F459*(N457)</f>
        <v>0</v>
      </c>
      <c r="S459" s="211"/>
      <c r="T459" s="211"/>
      <c r="U459" s="211">
        <f>F459*(Q457)</f>
        <v>0</v>
      </c>
      <c r="V459" s="211"/>
      <c r="W459" s="211"/>
      <c r="X459" s="211">
        <f>F459*(T457)</f>
        <v>0</v>
      </c>
      <c r="Y459" s="211"/>
      <c r="Z459" s="211"/>
      <c r="AA459" s="211">
        <f>F459*(W457)</f>
        <v>0</v>
      </c>
      <c r="AB459" s="211"/>
      <c r="AC459" s="211"/>
      <c r="AD459" s="211">
        <f>F459*(Z457)</f>
        <v>0</v>
      </c>
      <c r="AE459" s="211"/>
      <c r="AF459" s="211"/>
      <c r="AG459" s="211">
        <f>F459*(AC457)</f>
        <v>0</v>
      </c>
      <c r="AH459" s="211"/>
      <c r="AI459" s="211"/>
      <c r="AJ459" s="211">
        <f>F459*(AF457)</f>
        <v>0</v>
      </c>
      <c r="AK459" s="211"/>
      <c r="AL459" s="211"/>
      <c r="AM459" s="211">
        <f>F459*(AI457)</f>
        <v>0</v>
      </c>
      <c r="AN459" s="211"/>
    </row>
    <row r="460" spans="2:40" s="7" customFormat="1" ht="12" hidden="1" customHeight="1" outlineLevel="3">
      <c r="B460" s="245"/>
      <c r="C460" s="213" t="s">
        <v>755</v>
      </c>
      <c r="D460" s="213"/>
      <c r="E460" s="213"/>
      <c r="F460" s="213"/>
      <c r="G460" s="211">
        <f>INDEX($C$349:$AN$371, MATCH("New Customers 3MS", $C$349:$C$371, 0), MATCH($C460, $C$349:$AN$349, 0))</f>
        <v>0</v>
      </c>
      <c r="H460" s="211"/>
      <c r="I460" s="211"/>
      <c r="J460" s="211">
        <f>G460*(E457)</f>
        <v>0</v>
      </c>
      <c r="K460" s="211"/>
      <c r="L460" s="211"/>
      <c r="M460" s="211">
        <f>G460*(H457)</f>
        <v>0</v>
      </c>
      <c r="N460" s="211"/>
      <c r="O460" s="211"/>
      <c r="P460" s="211">
        <f>G460*(K457)</f>
        <v>0</v>
      </c>
      <c r="Q460" s="211"/>
      <c r="R460" s="211"/>
      <c r="S460" s="211">
        <f>G460*(N457)</f>
        <v>0</v>
      </c>
      <c r="T460" s="211"/>
      <c r="U460" s="211"/>
      <c r="V460" s="211">
        <f>G460*(Q457)</f>
        <v>0</v>
      </c>
      <c r="W460" s="211"/>
      <c r="X460" s="211"/>
      <c r="Y460" s="211">
        <f>G460*(T457)</f>
        <v>0</v>
      </c>
      <c r="Z460" s="211"/>
      <c r="AA460" s="211"/>
      <c r="AB460" s="211">
        <f>G460*(W457)</f>
        <v>0</v>
      </c>
      <c r="AC460" s="211"/>
      <c r="AD460" s="211"/>
      <c r="AE460" s="211">
        <f>G460*(Z457)</f>
        <v>0</v>
      </c>
      <c r="AF460" s="211"/>
      <c r="AG460" s="211"/>
      <c r="AH460" s="211">
        <f>G460*(AC457)</f>
        <v>0</v>
      </c>
      <c r="AI460" s="211"/>
      <c r="AJ460" s="211"/>
      <c r="AK460" s="211">
        <f>G460*(AF457)</f>
        <v>0</v>
      </c>
      <c r="AL460" s="211"/>
      <c r="AM460" s="211"/>
      <c r="AN460" s="211">
        <f>G460*(AI457)</f>
        <v>0</v>
      </c>
    </row>
    <row r="461" spans="2:40" s="7" customFormat="1" ht="12" hidden="1" customHeight="1" outlineLevel="3">
      <c r="B461" s="245"/>
      <c r="C461" s="213" t="s">
        <v>756</v>
      </c>
      <c r="D461" s="213"/>
      <c r="E461" s="213"/>
      <c r="F461" s="213"/>
      <c r="G461" s="213"/>
      <c r="H461" s="211">
        <f>INDEX($C$349:$AN$371, MATCH("New Customers 3MS", $C$349:$C$371, 0), MATCH($C461, $C$349:$AN$349, 0))</f>
        <v>0</v>
      </c>
      <c r="I461" s="211"/>
      <c r="J461" s="211"/>
      <c r="K461" s="211">
        <f>H461*(E457)</f>
        <v>0</v>
      </c>
      <c r="L461" s="211"/>
      <c r="M461" s="211"/>
      <c r="N461" s="211">
        <f>H461*(H457)</f>
        <v>0</v>
      </c>
      <c r="O461" s="211"/>
      <c r="P461" s="211"/>
      <c r="Q461" s="211">
        <f>H461*(K457)</f>
        <v>0</v>
      </c>
      <c r="R461" s="211"/>
      <c r="S461" s="211"/>
      <c r="T461" s="211">
        <f>H461*(N457)</f>
        <v>0</v>
      </c>
      <c r="U461" s="211"/>
      <c r="V461" s="211"/>
      <c r="W461" s="211">
        <f>H461*(Q457)</f>
        <v>0</v>
      </c>
      <c r="X461" s="211"/>
      <c r="Y461" s="211"/>
      <c r="Z461" s="211">
        <f>H461*(T457)</f>
        <v>0</v>
      </c>
      <c r="AA461" s="211"/>
      <c r="AB461" s="211"/>
      <c r="AC461" s="211">
        <f>H461*(W457)</f>
        <v>0</v>
      </c>
      <c r="AD461" s="211"/>
      <c r="AE461" s="211"/>
      <c r="AF461" s="211">
        <f>H461*(Z457)</f>
        <v>0</v>
      </c>
      <c r="AG461" s="211"/>
      <c r="AH461" s="211"/>
      <c r="AI461" s="211">
        <f>H461*(AC457)</f>
        <v>0</v>
      </c>
      <c r="AJ461" s="211"/>
      <c r="AK461" s="211"/>
      <c r="AL461" s="211">
        <f>H461*(AF457)</f>
        <v>0</v>
      </c>
      <c r="AM461" s="211"/>
      <c r="AN461" s="211"/>
    </row>
    <row r="462" spans="2:40" s="7" customFormat="1" ht="12" hidden="1" customHeight="1" outlineLevel="3">
      <c r="B462" s="245"/>
      <c r="C462" s="213" t="s">
        <v>757</v>
      </c>
      <c r="D462" s="213"/>
      <c r="E462" s="213"/>
      <c r="F462" s="213"/>
      <c r="G462" s="213"/>
      <c r="H462" s="213"/>
      <c r="I462" s="211">
        <f>INDEX($C$349:$AN$371, MATCH("New Customers 3MS", $C$349:$C$371, 0), MATCH($C462, $C$349:$AN$349, 0))</f>
        <v>0</v>
      </c>
      <c r="J462" s="211"/>
      <c r="K462" s="211"/>
      <c r="L462" s="211">
        <f>I462*(E457)</f>
        <v>0</v>
      </c>
      <c r="M462" s="211"/>
      <c r="N462" s="211"/>
      <c r="O462" s="211">
        <f>I462*(H457)</f>
        <v>0</v>
      </c>
      <c r="P462" s="211"/>
      <c r="Q462" s="211"/>
      <c r="R462" s="211">
        <f>I462*(K457)</f>
        <v>0</v>
      </c>
      <c r="S462" s="211"/>
      <c r="T462" s="211"/>
      <c r="U462" s="211">
        <f>I462*(N457)</f>
        <v>0</v>
      </c>
      <c r="V462" s="211"/>
      <c r="W462" s="211"/>
      <c r="X462" s="211">
        <f>I462*(Q457)</f>
        <v>0</v>
      </c>
      <c r="Y462" s="211"/>
      <c r="Z462" s="211"/>
      <c r="AA462" s="211">
        <f>I462*(T457)</f>
        <v>0</v>
      </c>
      <c r="AB462" s="211"/>
      <c r="AC462" s="211"/>
      <c r="AD462" s="211">
        <f>I462*(W457)</f>
        <v>0</v>
      </c>
      <c r="AE462" s="211"/>
      <c r="AF462" s="211"/>
      <c r="AG462" s="211">
        <f>I462*(Z457)</f>
        <v>0</v>
      </c>
      <c r="AH462" s="211"/>
      <c r="AI462" s="211"/>
      <c r="AJ462" s="211">
        <f>I462*(AC457)</f>
        <v>0</v>
      </c>
      <c r="AK462" s="211"/>
      <c r="AL462" s="211"/>
      <c r="AM462" s="211">
        <f>I462*(AF457)</f>
        <v>0</v>
      </c>
      <c r="AN462" s="211"/>
    </row>
    <row r="463" spans="2:40" s="7" customFormat="1" ht="12" hidden="1" customHeight="1" outlineLevel="3">
      <c r="B463" s="245"/>
      <c r="C463" s="213" t="s">
        <v>758</v>
      </c>
      <c r="D463" s="213"/>
      <c r="E463" s="213"/>
      <c r="F463" s="213"/>
      <c r="G463" s="213"/>
      <c r="H463" s="213"/>
      <c r="I463" s="213"/>
      <c r="J463" s="211">
        <f>INDEX($C$349:$AN$371, MATCH("New Customers 3MS", $C$349:$C$371, 0), MATCH($C463, $C$349:$AN$349, 0))</f>
        <v>0</v>
      </c>
      <c r="K463" s="211"/>
      <c r="L463" s="211"/>
      <c r="M463" s="211">
        <f>J463*(E457)</f>
        <v>0</v>
      </c>
      <c r="N463" s="211"/>
      <c r="O463" s="211"/>
      <c r="P463" s="211">
        <f>J463*(H457)</f>
        <v>0</v>
      </c>
      <c r="Q463" s="211"/>
      <c r="R463" s="211"/>
      <c r="S463" s="211">
        <f>J463*(K457)</f>
        <v>0</v>
      </c>
      <c r="T463" s="211"/>
      <c r="U463" s="211"/>
      <c r="V463" s="211">
        <f>J463*(N457)</f>
        <v>0</v>
      </c>
      <c r="W463" s="211"/>
      <c r="X463" s="211"/>
      <c r="Y463" s="211">
        <f>J463*(Q457)</f>
        <v>0</v>
      </c>
      <c r="Z463" s="211"/>
      <c r="AA463" s="211"/>
      <c r="AB463" s="211">
        <f>J463*(T457)</f>
        <v>0</v>
      </c>
      <c r="AC463" s="211"/>
      <c r="AD463" s="211"/>
      <c r="AE463" s="211">
        <f>J463*(W457)</f>
        <v>0</v>
      </c>
      <c r="AF463" s="211"/>
      <c r="AG463" s="211"/>
      <c r="AH463" s="211">
        <f>J463*(Z457)</f>
        <v>0</v>
      </c>
      <c r="AI463" s="211"/>
      <c r="AJ463" s="211"/>
      <c r="AK463" s="211">
        <f>J463*(AC457)</f>
        <v>0</v>
      </c>
      <c r="AL463" s="211"/>
      <c r="AM463" s="211"/>
      <c r="AN463" s="211">
        <f>J463*(AF457)</f>
        <v>0</v>
      </c>
    </row>
    <row r="464" spans="2:40" s="7" customFormat="1" ht="12" hidden="1" customHeight="1" outlineLevel="3">
      <c r="B464" s="245"/>
      <c r="C464" s="213" t="s">
        <v>759</v>
      </c>
      <c r="D464" s="213"/>
      <c r="E464" s="213"/>
      <c r="F464" s="213"/>
      <c r="G464" s="213"/>
      <c r="H464" s="213"/>
      <c r="I464" s="213"/>
      <c r="J464" s="213"/>
      <c r="K464" s="211">
        <f>INDEX($C$349:$AN$371, MATCH("New Customers 3MS", $C$349:$C$371, 0), MATCH($C464, $C$349:$AN$349, 0))</f>
        <v>0</v>
      </c>
      <c r="L464" s="211"/>
      <c r="M464" s="211"/>
      <c r="N464" s="211">
        <f>K464*(E457)</f>
        <v>0</v>
      </c>
      <c r="O464" s="211"/>
      <c r="P464" s="211"/>
      <c r="Q464" s="211">
        <f>K464*(H457)</f>
        <v>0</v>
      </c>
      <c r="R464" s="211"/>
      <c r="S464" s="211"/>
      <c r="T464" s="211">
        <f>K464*(K457)</f>
        <v>0</v>
      </c>
      <c r="U464" s="211"/>
      <c r="V464" s="211"/>
      <c r="W464" s="211">
        <f>K464*(N457)</f>
        <v>0</v>
      </c>
      <c r="X464" s="211"/>
      <c r="Y464" s="211"/>
      <c r="Z464" s="211">
        <f>K464*(Q457)</f>
        <v>0</v>
      </c>
      <c r="AA464" s="211"/>
      <c r="AB464" s="211"/>
      <c r="AC464" s="211">
        <f>K464*(T457)</f>
        <v>0</v>
      </c>
      <c r="AD464" s="211"/>
      <c r="AE464" s="211"/>
      <c r="AF464" s="211">
        <f>K464*(W457)</f>
        <v>0</v>
      </c>
      <c r="AG464" s="211"/>
      <c r="AH464" s="211"/>
      <c r="AI464" s="211">
        <f>K464*(Z457)</f>
        <v>0</v>
      </c>
      <c r="AJ464" s="211"/>
      <c r="AK464" s="211"/>
      <c r="AL464" s="211">
        <f>K464*(AC457)</f>
        <v>0</v>
      </c>
      <c r="AM464" s="211"/>
      <c r="AN464" s="211"/>
    </row>
    <row r="465" spans="2:40" s="7" customFormat="1" ht="12" hidden="1" customHeight="1" outlineLevel="3">
      <c r="B465" s="245"/>
      <c r="C465" s="213" t="s">
        <v>760</v>
      </c>
      <c r="D465" s="213"/>
      <c r="E465" s="213"/>
      <c r="F465" s="213"/>
      <c r="G465" s="213"/>
      <c r="H465" s="213"/>
      <c r="I465" s="213"/>
      <c r="J465" s="213"/>
      <c r="K465" s="213"/>
      <c r="L465" s="211">
        <f>INDEX($C$349:$AN$371, MATCH("New Customers 3MS", $C$349:$C$371, 0), MATCH($C465, $C$349:$AN$349, 0))</f>
        <v>0</v>
      </c>
      <c r="M465" s="211"/>
      <c r="N465" s="211"/>
      <c r="O465" s="211">
        <f>L465*(E457)</f>
        <v>0</v>
      </c>
      <c r="P465" s="211"/>
      <c r="Q465" s="211"/>
      <c r="R465" s="211">
        <f>L465*(H457)</f>
        <v>0</v>
      </c>
      <c r="S465" s="211"/>
      <c r="T465" s="211"/>
      <c r="U465" s="211">
        <f>L465*(K457)</f>
        <v>0</v>
      </c>
      <c r="V465" s="211"/>
      <c r="W465" s="211"/>
      <c r="X465" s="211">
        <f>L465*(N457)</f>
        <v>0</v>
      </c>
      <c r="Y465" s="211"/>
      <c r="Z465" s="211"/>
      <c r="AA465" s="211">
        <f>L465*(Q457)</f>
        <v>0</v>
      </c>
      <c r="AB465" s="211"/>
      <c r="AC465" s="211"/>
      <c r="AD465" s="211">
        <f>L465*(T457)</f>
        <v>0</v>
      </c>
      <c r="AE465" s="211"/>
      <c r="AF465" s="211"/>
      <c r="AG465" s="211">
        <f>L465*(W457)</f>
        <v>0</v>
      </c>
      <c r="AH465" s="211"/>
      <c r="AI465" s="211"/>
      <c r="AJ465" s="211">
        <f>L465*(Z457)</f>
        <v>0</v>
      </c>
      <c r="AK465" s="211"/>
      <c r="AL465" s="211"/>
      <c r="AM465" s="211">
        <f>L465*(AC457)</f>
        <v>0</v>
      </c>
      <c r="AN465" s="211"/>
    </row>
    <row r="466" spans="2:40" s="7" customFormat="1" ht="12" hidden="1" customHeight="1" outlineLevel="3">
      <c r="B466" s="245"/>
      <c r="C466" s="213" t="s">
        <v>761</v>
      </c>
      <c r="D466" s="213"/>
      <c r="E466" s="213"/>
      <c r="F466" s="213"/>
      <c r="G466" s="213"/>
      <c r="H466" s="213"/>
      <c r="I466" s="213"/>
      <c r="J466" s="213"/>
      <c r="K466" s="213"/>
      <c r="L466" s="213"/>
      <c r="M466" s="211">
        <f>INDEX($C$349:$AN$371, MATCH("New Customers 3MS", $C$349:$C$371, 0), MATCH($C466, $C$349:$AN$349, 0))</f>
        <v>0</v>
      </c>
      <c r="N466" s="211"/>
      <c r="O466" s="211"/>
      <c r="P466" s="211">
        <f>M466*(E457)</f>
        <v>0</v>
      </c>
      <c r="Q466" s="211"/>
      <c r="R466" s="211"/>
      <c r="S466" s="211">
        <f>M466*(H457)</f>
        <v>0</v>
      </c>
      <c r="T466" s="211"/>
      <c r="U466" s="211"/>
      <c r="V466" s="211">
        <f>M466*(K457)</f>
        <v>0</v>
      </c>
      <c r="W466" s="211"/>
      <c r="X466" s="211"/>
      <c r="Y466" s="211">
        <f>M466*(N457)</f>
        <v>0</v>
      </c>
      <c r="Z466" s="211"/>
      <c r="AA466" s="211"/>
      <c r="AB466" s="211">
        <f>M466*(Q457)</f>
        <v>0</v>
      </c>
      <c r="AC466" s="211"/>
      <c r="AD466" s="211"/>
      <c r="AE466" s="211">
        <f>M466*(T457)</f>
        <v>0</v>
      </c>
      <c r="AF466" s="211"/>
      <c r="AG466" s="211"/>
      <c r="AH466" s="211">
        <f>M466*(W457)</f>
        <v>0</v>
      </c>
      <c r="AI466" s="211"/>
      <c r="AJ466" s="211"/>
      <c r="AK466" s="211">
        <f>M466*(Z457)</f>
        <v>0</v>
      </c>
      <c r="AL466" s="211"/>
      <c r="AM466" s="211"/>
      <c r="AN466" s="211">
        <f>M466*(AC457)</f>
        <v>0</v>
      </c>
    </row>
    <row r="467" spans="2:40" s="7" customFormat="1" ht="12" hidden="1" customHeight="1" outlineLevel="3">
      <c r="B467" s="245"/>
      <c r="C467" s="213" t="s">
        <v>762</v>
      </c>
      <c r="D467" s="213"/>
      <c r="E467" s="213"/>
      <c r="F467" s="213"/>
      <c r="G467" s="213"/>
      <c r="H467" s="213"/>
      <c r="I467" s="213"/>
      <c r="J467" s="213"/>
      <c r="K467" s="213"/>
      <c r="L467" s="213"/>
      <c r="M467" s="213"/>
      <c r="N467" s="211">
        <f>INDEX($C$349:$AN$371, MATCH("New Customers 3MS", $C$349:$C$371, 0), MATCH($C467, $C$349:$AN$349, 0))</f>
        <v>0</v>
      </c>
      <c r="O467" s="211"/>
      <c r="P467" s="211"/>
      <c r="Q467" s="211">
        <f>N467*(E457)</f>
        <v>0</v>
      </c>
      <c r="R467" s="211"/>
      <c r="S467" s="211"/>
      <c r="T467" s="211">
        <f>N467*(H457)</f>
        <v>0</v>
      </c>
      <c r="U467" s="211"/>
      <c r="V467" s="211"/>
      <c r="W467" s="211">
        <f>N467*(K457)</f>
        <v>0</v>
      </c>
      <c r="X467" s="211"/>
      <c r="Y467" s="211"/>
      <c r="Z467" s="211">
        <f>N467*(N457)</f>
        <v>0</v>
      </c>
      <c r="AA467" s="211"/>
      <c r="AB467" s="211"/>
      <c r="AC467" s="211">
        <f>N467*(Q457)</f>
        <v>0</v>
      </c>
      <c r="AD467" s="211"/>
      <c r="AE467" s="211"/>
      <c r="AF467" s="211">
        <f>N467*(T457)</f>
        <v>0</v>
      </c>
      <c r="AG467" s="211"/>
      <c r="AH467" s="211"/>
      <c r="AI467" s="211">
        <f>N467*(W457)</f>
        <v>0</v>
      </c>
      <c r="AJ467" s="211"/>
      <c r="AK467" s="211"/>
      <c r="AL467" s="211">
        <f>N467*(Z457)</f>
        <v>0</v>
      </c>
      <c r="AM467" s="211"/>
      <c r="AN467" s="211"/>
    </row>
    <row r="468" spans="2:40" s="7" customFormat="1" ht="12" hidden="1" customHeight="1" outlineLevel="3">
      <c r="B468" s="245"/>
      <c r="C468" s="213" t="s">
        <v>763</v>
      </c>
      <c r="D468" s="213"/>
      <c r="E468" s="213"/>
      <c r="F468" s="213"/>
      <c r="G468" s="213"/>
      <c r="H468" s="213"/>
      <c r="I468" s="213"/>
      <c r="J468" s="213"/>
      <c r="K468" s="213"/>
      <c r="L468" s="213"/>
      <c r="M468" s="213"/>
      <c r="N468" s="213"/>
      <c r="O468" s="211">
        <f>INDEX($C$349:$AN$371, MATCH("New Customers 3MS", $C$349:$C$371, 0), MATCH($C468, $C$349:$AN$349, 0))</f>
        <v>0</v>
      </c>
      <c r="P468" s="211"/>
      <c r="Q468" s="211"/>
      <c r="R468" s="211">
        <f>O468*(E457)</f>
        <v>0</v>
      </c>
      <c r="S468" s="211"/>
      <c r="T468" s="211"/>
      <c r="U468" s="211">
        <f>O468*(H457)</f>
        <v>0</v>
      </c>
      <c r="V468" s="211"/>
      <c r="W468" s="211"/>
      <c r="X468" s="211">
        <f>O468*(K457)</f>
        <v>0</v>
      </c>
      <c r="Y468" s="211"/>
      <c r="Z468" s="211"/>
      <c r="AA468" s="211">
        <f>O468*(N457)</f>
        <v>0</v>
      </c>
      <c r="AB468" s="211"/>
      <c r="AC468" s="211"/>
      <c r="AD468" s="211">
        <f>O468*(Q457)</f>
        <v>0</v>
      </c>
      <c r="AE468" s="211"/>
      <c r="AF468" s="211"/>
      <c r="AG468" s="211">
        <f>O468*(T457)</f>
        <v>0</v>
      </c>
      <c r="AH468" s="211"/>
      <c r="AI468" s="211"/>
      <c r="AJ468" s="211">
        <f>O468*(W457)</f>
        <v>0</v>
      </c>
      <c r="AK468" s="211"/>
      <c r="AL468" s="211"/>
      <c r="AM468" s="211">
        <f>O468*(Z457)</f>
        <v>0</v>
      </c>
      <c r="AN468" s="211"/>
    </row>
    <row r="469" spans="2:40" s="7" customFormat="1" ht="12" hidden="1" customHeight="1" outlineLevel="3">
      <c r="B469" s="245"/>
      <c r="C469" s="213" t="s">
        <v>764</v>
      </c>
      <c r="D469" s="213"/>
      <c r="E469" s="213"/>
      <c r="F469" s="213"/>
      <c r="G469" s="213"/>
      <c r="H469" s="213"/>
      <c r="I469" s="213"/>
      <c r="J469" s="213"/>
      <c r="K469" s="213"/>
      <c r="L469" s="213"/>
      <c r="M469" s="213"/>
      <c r="N469" s="213"/>
      <c r="O469" s="213"/>
      <c r="P469" s="211">
        <f>INDEX($C$349:$AN$371, MATCH("New Customers 3MS", $C$349:$C$371, 0), MATCH($C469, $C$349:$AN$349, 0))</f>
        <v>0</v>
      </c>
      <c r="Q469" s="211"/>
      <c r="R469" s="211"/>
      <c r="S469" s="211">
        <f>P469*(E457)</f>
        <v>0</v>
      </c>
      <c r="T469" s="211"/>
      <c r="U469" s="211"/>
      <c r="V469" s="211">
        <f>P469*(H457)</f>
        <v>0</v>
      </c>
      <c r="W469" s="211"/>
      <c r="X469" s="211"/>
      <c r="Y469" s="211">
        <f>P469*(K457)</f>
        <v>0</v>
      </c>
      <c r="Z469" s="211"/>
      <c r="AA469" s="211"/>
      <c r="AB469" s="211">
        <f>P469*(N457)</f>
        <v>0</v>
      </c>
      <c r="AC469" s="211"/>
      <c r="AD469" s="211"/>
      <c r="AE469" s="211">
        <f>P469*(Q457)</f>
        <v>0</v>
      </c>
      <c r="AF469" s="211"/>
      <c r="AG469" s="211"/>
      <c r="AH469" s="211">
        <f>P469*(T457)</f>
        <v>0</v>
      </c>
      <c r="AI469" s="211"/>
      <c r="AJ469" s="211"/>
      <c r="AK469" s="211">
        <f>P469*(W457)</f>
        <v>0</v>
      </c>
      <c r="AL469" s="211"/>
      <c r="AM469" s="211"/>
      <c r="AN469" s="211">
        <f>P469*(Z457)</f>
        <v>0</v>
      </c>
    </row>
    <row r="470" spans="2:40" s="7" customFormat="1" ht="12" hidden="1" customHeight="1" outlineLevel="3">
      <c r="B470" s="245"/>
      <c r="C470" s="213" t="s">
        <v>765</v>
      </c>
      <c r="D470" s="213"/>
      <c r="E470" s="213"/>
      <c r="F470" s="213"/>
      <c r="G470" s="213"/>
      <c r="H470" s="213"/>
      <c r="I470" s="213"/>
      <c r="J470" s="213"/>
      <c r="K470" s="213"/>
      <c r="L470" s="213"/>
      <c r="M470" s="213"/>
      <c r="N470" s="213"/>
      <c r="O470" s="213"/>
      <c r="P470" s="213"/>
      <c r="Q470" s="211">
        <f>INDEX($C$349:$AN$371, MATCH("New Customers 3MS", $C$349:$C$371, 0), MATCH($C470, $C$349:$AN$349, 0))</f>
        <v>0</v>
      </c>
      <c r="R470" s="211"/>
      <c r="S470" s="211"/>
      <c r="T470" s="211">
        <f>Q470*(E457)</f>
        <v>0</v>
      </c>
      <c r="U470" s="211"/>
      <c r="V470" s="211"/>
      <c r="W470" s="211">
        <f>Q470*(H457)</f>
        <v>0</v>
      </c>
      <c r="X470" s="211"/>
      <c r="Y470" s="211"/>
      <c r="Z470" s="211">
        <f>Q470*(K457)</f>
        <v>0</v>
      </c>
      <c r="AA470" s="211"/>
      <c r="AB470" s="211"/>
      <c r="AC470" s="211">
        <f>Q470*(N457)</f>
        <v>0</v>
      </c>
      <c r="AD470" s="211"/>
      <c r="AE470" s="211"/>
      <c r="AF470" s="211">
        <f>Q470*(Q457)</f>
        <v>0</v>
      </c>
      <c r="AG470" s="211"/>
      <c r="AH470" s="211"/>
      <c r="AI470" s="211">
        <f>Q470*(T457)</f>
        <v>0</v>
      </c>
      <c r="AJ470" s="211"/>
      <c r="AK470" s="211"/>
      <c r="AL470" s="211">
        <f>Q470*(W457)</f>
        <v>0</v>
      </c>
      <c r="AM470" s="211"/>
      <c r="AN470" s="211"/>
    </row>
    <row r="471" spans="2:40" s="7" customFormat="1" ht="12" hidden="1" customHeight="1" outlineLevel="3">
      <c r="B471" s="245"/>
      <c r="C471" s="213" t="s">
        <v>766</v>
      </c>
      <c r="D471" s="213"/>
      <c r="E471" s="213"/>
      <c r="F471" s="213"/>
      <c r="G471" s="213"/>
      <c r="H471" s="213"/>
      <c r="I471" s="213"/>
      <c r="J471" s="213"/>
      <c r="K471" s="213"/>
      <c r="L471" s="213"/>
      <c r="M471" s="213"/>
      <c r="N471" s="213"/>
      <c r="O471" s="213"/>
      <c r="P471" s="213"/>
      <c r="Q471" s="213"/>
      <c r="R471" s="211">
        <f>INDEX($C$349:$AN$371, MATCH("New Customers 3MS", $C$349:$C$371, 0), MATCH($C471, $C$349:$AN$349, 0))</f>
        <v>0</v>
      </c>
      <c r="S471" s="211"/>
      <c r="T471" s="211"/>
      <c r="U471" s="211">
        <f>R471*(E457)</f>
        <v>0</v>
      </c>
      <c r="V471" s="211"/>
      <c r="W471" s="211"/>
      <c r="X471" s="211">
        <f>R471*(H457)</f>
        <v>0</v>
      </c>
      <c r="Y471" s="211"/>
      <c r="Z471" s="211"/>
      <c r="AA471" s="211">
        <f>R471*(K457)</f>
        <v>0</v>
      </c>
      <c r="AB471" s="211"/>
      <c r="AC471" s="211"/>
      <c r="AD471" s="211">
        <f>R471*(N457)</f>
        <v>0</v>
      </c>
      <c r="AE471" s="211"/>
      <c r="AF471" s="211"/>
      <c r="AG471" s="211">
        <f>R471*(Q457)</f>
        <v>0</v>
      </c>
      <c r="AH471" s="211"/>
      <c r="AI471" s="211"/>
      <c r="AJ471" s="211">
        <f>R471*(T457)</f>
        <v>0</v>
      </c>
      <c r="AK471" s="211"/>
      <c r="AL471" s="211"/>
      <c r="AM471" s="211">
        <f>R471*(W457)</f>
        <v>0</v>
      </c>
      <c r="AN471" s="211"/>
    </row>
    <row r="472" spans="2:40" s="7" customFormat="1" ht="12" hidden="1" customHeight="1" outlineLevel="3">
      <c r="B472" s="245"/>
      <c r="C472" s="213" t="s">
        <v>767</v>
      </c>
      <c r="D472" s="213"/>
      <c r="E472" s="213"/>
      <c r="F472" s="213"/>
      <c r="G472" s="213"/>
      <c r="H472" s="213"/>
      <c r="I472" s="213"/>
      <c r="J472" s="213"/>
      <c r="K472" s="213"/>
      <c r="L472" s="213"/>
      <c r="M472" s="213"/>
      <c r="N472" s="213"/>
      <c r="O472" s="213"/>
      <c r="P472" s="213"/>
      <c r="Q472" s="213"/>
      <c r="R472" s="213"/>
      <c r="S472" s="211">
        <f>INDEX($C$349:$AN$371, MATCH("New Customers 3MS", $C$349:$C$371, 0), MATCH($C472, $C$349:$AN$349, 0))</f>
        <v>0</v>
      </c>
      <c r="T472" s="211"/>
      <c r="U472" s="211"/>
      <c r="V472" s="211">
        <f>S472*(E457)</f>
        <v>0</v>
      </c>
      <c r="W472" s="211"/>
      <c r="X472" s="211"/>
      <c r="Y472" s="211">
        <f>S472*(H457)</f>
        <v>0</v>
      </c>
      <c r="Z472" s="211"/>
      <c r="AA472" s="211"/>
      <c r="AB472" s="211">
        <f>S472*(K457)</f>
        <v>0</v>
      </c>
      <c r="AC472" s="211"/>
      <c r="AD472" s="211"/>
      <c r="AE472" s="211">
        <f>S472*(N457)</f>
        <v>0</v>
      </c>
      <c r="AF472" s="211"/>
      <c r="AG472" s="211"/>
      <c r="AH472" s="211">
        <f>S472*(Q457)</f>
        <v>0</v>
      </c>
      <c r="AI472" s="211"/>
      <c r="AJ472" s="211"/>
      <c r="AK472" s="211">
        <f>S472*(T457)</f>
        <v>0</v>
      </c>
      <c r="AL472" s="211"/>
      <c r="AM472" s="211"/>
      <c r="AN472" s="211">
        <f>S472*(W457)</f>
        <v>0</v>
      </c>
    </row>
    <row r="473" spans="2:40" s="7" customFormat="1" ht="12" hidden="1" customHeight="1" outlineLevel="3">
      <c r="B473" s="245"/>
      <c r="C473" s="213" t="s">
        <v>768</v>
      </c>
      <c r="D473" s="213"/>
      <c r="E473" s="213"/>
      <c r="F473" s="213"/>
      <c r="G473" s="213"/>
      <c r="H473" s="213"/>
      <c r="I473" s="213"/>
      <c r="J473" s="213"/>
      <c r="K473" s="213"/>
      <c r="L473" s="213"/>
      <c r="M473" s="213"/>
      <c r="N473" s="213"/>
      <c r="O473" s="213"/>
      <c r="P473" s="213"/>
      <c r="Q473" s="213"/>
      <c r="R473" s="213"/>
      <c r="S473" s="213"/>
      <c r="T473" s="211">
        <f>INDEX($C$349:$AN$371, MATCH("New Customers 3MS", $C$349:$C$371, 0), MATCH($C473, $C$349:$AN$349, 0))</f>
        <v>0</v>
      </c>
      <c r="U473" s="211"/>
      <c r="V473" s="211"/>
      <c r="W473" s="211">
        <f>T473*(E457)</f>
        <v>0</v>
      </c>
      <c r="X473" s="211"/>
      <c r="Y473" s="211"/>
      <c r="Z473" s="211">
        <f>T473*(H457)</f>
        <v>0</v>
      </c>
      <c r="AA473" s="211"/>
      <c r="AB473" s="211"/>
      <c r="AC473" s="211">
        <f>T473*(K457)</f>
        <v>0</v>
      </c>
      <c r="AD473" s="211"/>
      <c r="AE473" s="211"/>
      <c r="AF473" s="211">
        <f>T473*(N457)</f>
        <v>0</v>
      </c>
      <c r="AG473" s="211"/>
      <c r="AH473" s="211"/>
      <c r="AI473" s="211">
        <f>T473*(Q457)</f>
        <v>0</v>
      </c>
      <c r="AJ473" s="211"/>
      <c r="AK473" s="211"/>
      <c r="AL473" s="211">
        <f>T473*(T457)</f>
        <v>0</v>
      </c>
      <c r="AM473" s="211"/>
      <c r="AN473" s="211"/>
    </row>
    <row r="474" spans="2:40" s="7" customFormat="1" ht="12" hidden="1" customHeight="1" outlineLevel="3">
      <c r="B474" s="245"/>
      <c r="C474" s="213" t="s">
        <v>769</v>
      </c>
      <c r="D474" s="213"/>
      <c r="E474" s="213"/>
      <c r="F474" s="213"/>
      <c r="G474" s="213"/>
      <c r="H474" s="213"/>
      <c r="I474" s="213"/>
      <c r="J474" s="213"/>
      <c r="K474" s="213"/>
      <c r="L474" s="213"/>
      <c r="M474" s="213"/>
      <c r="N474" s="213"/>
      <c r="O474" s="213"/>
      <c r="P474" s="213"/>
      <c r="Q474" s="213"/>
      <c r="R474" s="213"/>
      <c r="S474" s="213"/>
      <c r="T474" s="213"/>
      <c r="U474" s="211">
        <f>INDEX($C$349:$AN$371, MATCH("New Customers 3MS", $C$349:$C$371, 0), MATCH($C474, $C$349:$AN$349, 0))</f>
        <v>0</v>
      </c>
      <c r="V474" s="211"/>
      <c r="W474" s="211"/>
      <c r="X474" s="211">
        <f>U474*(E457)</f>
        <v>0</v>
      </c>
      <c r="Y474" s="211"/>
      <c r="Z474" s="211"/>
      <c r="AA474" s="211">
        <f>U474*(H457)</f>
        <v>0</v>
      </c>
      <c r="AB474" s="211"/>
      <c r="AC474" s="211"/>
      <c r="AD474" s="211">
        <f>U474*(K457)</f>
        <v>0</v>
      </c>
      <c r="AE474" s="211"/>
      <c r="AF474" s="211"/>
      <c r="AG474" s="211">
        <f>U474*(N457)</f>
        <v>0</v>
      </c>
      <c r="AH474" s="211"/>
      <c r="AI474" s="211"/>
      <c r="AJ474" s="211">
        <f>U474*(Q457)</f>
        <v>0</v>
      </c>
      <c r="AK474" s="211"/>
      <c r="AL474" s="211"/>
      <c r="AM474" s="211">
        <f>U474*(T457)</f>
        <v>0</v>
      </c>
      <c r="AN474" s="211"/>
    </row>
    <row r="475" spans="2:40" s="7" customFormat="1" ht="12" hidden="1" customHeight="1" outlineLevel="3">
      <c r="B475" s="245"/>
      <c r="C475" s="213" t="s">
        <v>770</v>
      </c>
      <c r="D475" s="213"/>
      <c r="E475" s="213"/>
      <c r="F475" s="213"/>
      <c r="G475" s="213"/>
      <c r="H475" s="213"/>
      <c r="I475" s="213"/>
      <c r="J475" s="213"/>
      <c r="K475" s="213"/>
      <c r="L475" s="213"/>
      <c r="M475" s="213"/>
      <c r="N475" s="213"/>
      <c r="O475" s="213"/>
      <c r="P475" s="213"/>
      <c r="Q475" s="213"/>
      <c r="R475" s="213"/>
      <c r="S475" s="213"/>
      <c r="T475" s="213"/>
      <c r="U475" s="213"/>
      <c r="V475" s="211">
        <f>INDEX($C$349:$AN$371, MATCH("New Customers 3MS", $C$349:$C$371, 0), MATCH($C475, $C$349:$AN$349, 0))</f>
        <v>0</v>
      </c>
      <c r="W475" s="211"/>
      <c r="X475" s="211"/>
      <c r="Y475" s="211">
        <f>V475*(E457)</f>
        <v>0</v>
      </c>
      <c r="Z475" s="211"/>
      <c r="AA475" s="211"/>
      <c r="AB475" s="211">
        <f>V475*(H457)</f>
        <v>0</v>
      </c>
      <c r="AC475" s="211"/>
      <c r="AD475" s="211"/>
      <c r="AE475" s="211">
        <f>V475*(K457)</f>
        <v>0</v>
      </c>
      <c r="AF475" s="211"/>
      <c r="AG475" s="211"/>
      <c r="AH475" s="211">
        <f>V475*(N457)</f>
        <v>0</v>
      </c>
      <c r="AI475" s="211"/>
      <c r="AJ475" s="211"/>
      <c r="AK475" s="211">
        <f>V475*(Q457)</f>
        <v>0</v>
      </c>
      <c r="AL475" s="211"/>
      <c r="AM475" s="211"/>
      <c r="AN475" s="211">
        <f>V475*(T457)</f>
        <v>0</v>
      </c>
    </row>
    <row r="476" spans="2:40" s="7" customFormat="1" ht="12" hidden="1" customHeight="1" outlineLevel="3">
      <c r="B476" s="245"/>
      <c r="C476" s="213" t="s">
        <v>771</v>
      </c>
      <c r="D476" s="213"/>
      <c r="E476" s="213"/>
      <c r="F476" s="213"/>
      <c r="G476" s="213"/>
      <c r="H476" s="213"/>
      <c r="I476" s="213"/>
      <c r="J476" s="213"/>
      <c r="K476" s="213"/>
      <c r="L476" s="213"/>
      <c r="M476" s="213"/>
      <c r="N476" s="213"/>
      <c r="O476" s="213"/>
      <c r="P476" s="213"/>
      <c r="Q476" s="213"/>
      <c r="R476" s="213"/>
      <c r="S476" s="213"/>
      <c r="T476" s="213"/>
      <c r="U476" s="213"/>
      <c r="V476" s="213"/>
      <c r="W476" s="211">
        <f>INDEX($C$349:$AN$371, MATCH("New Customers 3MS", $C$349:$C$371, 0), MATCH($C476, $C$349:$AN$349, 0))</f>
        <v>0</v>
      </c>
      <c r="X476" s="211"/>
      <c r="Y476" s="211"/>
      <c r="Z476" s="211">
        <f>W476*(E457)</f>
        <v>0</v>
      </c>
      <c r="AA476" s="211"/>
      <c r="AB476" s="211"/>
      <c r="AC476" s="211">
        <f>W476*(H457)</f>
        <v>0</v>
      </c>
      <c r="AD476" s="211"/>
      <c r="AE476" s="211"/>
      <c r="AF476" s="211">
        <f>W476*(K457)</f>
        <v>0</v>
      </c>
      <c r="AG476" s="211"/>
      <c r="AH476" s="211"/>
      <c r="AI476" s="211">
        <f>W476*(N457)</f>
        <v>0</v>
      </c>
      <c r="AJ476" s="211"/>
      <c r="AK476" s="211"/>
      <c r="AL476" s="211">
        <f>W476*(Q457)</f>
        <v>0</v>
      </c>
      <c r="AM476" s="211"/>
      <c r="AN476" s="211"/>
    </row>
    <row r="477" spans="2:40" s="7" customFormat="1" ht="12" hidden="1" customHeight="1" outlineLevel="3">
      <c r="B477" s="245"/>
      <c r="C477" s="213" t="s">
        <v>772</v>
      </c>
      <c r="D477" s="213"/>
      <c r="E477" s="213"/>
      <c r="F477" s="213"/>
      <c r="G477" s="213"/>
      <c r="H477" s="213"/>
      <c r="I477" s="213"/>
      <c r="J477" s="213"/>
      <c r="K477" s="213"/>
      <c r="L477" s="213"/>
      <c r="M477" s="213"/>
      <c r="N477" s="213"/>
      <c r="O477" s="213"/>
      <c r="P477" s="213"/>
      <c r="Q477" s="213"/>
      <c r="R477" s="213"/>
      <c r="S477" s="213"/>
      <c r="T477" s="213"/>
      <c r="U477" s="213"/>
      <c r="V477" s="213"/>
      <c r="W477" s="213"/>
      <c r="X477" s="211">
        <f>INDEX($C$349:$AN$371, MATCH("New Customers 3MS", $C$349:$C$371, 0), MATCH($C477, $C$349:$AN$349, 0))</f>
        <v>0</v>
      </c>
      <c r="Y477" s="211"/>
      <c r="Z477" s="211"/>
      <c r="AA477" s="211">
        <f>X477*(E457)</f>
        <v>0</v>
      </c>
      <c r="AB477" s="211"/>
      <c r="AC477" s="211"/>
      <c r="AD477" s="211">
        <f>X477*(H457)</f>
        <v>0</v>
      </c>
      <c r="AE477" s="211"/>
      <c r="AF477" s="211"/>
      <c r="AG477" s="211">
        <f>X477*(K457)</f>
        <v>0</v>
      </c>
      <c r="AH477" s="211"/>
      <c r="AI477" s="211"/>
      <c r="AJ477" s="211">
        <f>X477*(N457)</f>
        <v>0</v>
      </c>
      <c r="AK477" s="211"/>
      <c r="AL477" s="211"/>
      <c r="AM477" s="211">
        <f>X477*(Q457)</f>
        <v>0</v>
      </c>
      <c r="AN477" s="211"/>
    </row>
    <row r="478" spans="2:40" s="7" customFormat="1" ht="12" hidden="1" customHeight="1" outlineLevel="3">
      <c r="B478" s="245"/>
      <c r="C478" s="213" t="s">
        <v>773</v>
      </c>
      <c r="D478" s="213"/>
      <c r="E478" s="213"/>
      <c r="F478" s="213"/>
      <c r="G478" s="213"/>
      <c r="H478" s="213"/>
      <c r="I478" s="213"/>
      <c r="J478" s="213"/>
      <c r="K478" s="213"/>
      <c r="L478" s="213"/>
      <c r="M478" s="213"/>
      <c r="N478" s="213"/>
      <c r="O478" s="213"/>
      <c r="P478" s="213"/>
      <c r="Q478" s="213"/>
      <c r="R478" s="213"/>
      <c r="S478" s="213"/>
      <c r="T478" s="213"/>
      <c r="U478" s="213"/>
      <c r="V478" s="213"/>
      <c r="W478" s="213"/>
      <c r="X478" s="213"/>
      <c r="Y478" s="211">
        <f>INDEX($C$349:$AN$371, MATCH("New Customers 3MS", $C$349:$C$371, 0), MATCH($C478, $C$349:$AN$349, 0))</f>
        <v>0</v>
      </c>
      <c r="Z478" s="211"/>
      <c r="AA478" s="211"/>
      <c r="AB478" s="211">
        <f>Y478*(E457)</f>
        <v>0</v>
      </c>
      <c r="AC478" s="211"/>
      <c r="AD478" s="211"/>
      <c r="AE478" s="211">
        <f>Y478*(H457)</f>
        <v>0</v>
      </c>
      <c r="AF478" s="211"/>
      <c r="AG478" s="211"/>
      <c r="AH478" s="211">
        <f>Y478*(K457)</f>
        <v>0</v>
      </c>
      <c r="AI478" s="211"/>
      <c r="AJ478" s="211"/>
      <c r="AK478" s="211">
        <f>Y478*(N457)</f>
        <v>0</v>
      </c>
      <c r="AL478" s="211"/>
      <c r="AM478" s="211"/>
      <c r="AN478" s="211">
        <f>Y478*(Q457)</f>
        <v>0</v>
      </c>
    </row>
    <row r="479" spans="2:40" s="7" customFormat="1" ht="12" hidden="1" customHeight="1" outlineLevel="3">
      <c r="B479" s="245"/>
      <c r="C479" s="213" t="s">
        <v>774</v>
      </c>
      <c r="D479" s="213"/>
      <c r="E479" s="213"/>
      <c r="F479" s="213"/>
      <c r="G479" s="213"/>
      <c r="H479" s="213"/>
      <c r="I479" s="213"/>
      <c r="J479" s="213"/>
      <c r="K479" s="213"/>
      <c r="L479" s="213"/>
      <c r="M479" s="213"/>
      <c r="N479" s="213"/>
      <c r="O479" s="213"/>
      <c r="P479" s="213"/>
      <c r="Q479" s="213"/>
      <c r="R479" s="213"/>
      <c r="S479" s="213"/>
      <c r="T479" s="213"/>
      <c r="U479" s="213"/>
      <c r="V479" s="213"/>
      <c r="W479" s="213"/>
      <c r="X479" s="213"/>
      <c r="Y479" s="213"/>
      <c r="Z479" s="211">
        <f>INDEX($C$349:$AN$371, MATCH("New Customers 3MS", $C$349:$C$371, 0), MATCH($C479, $C$349:$AN$349, 0))</f>
        <v>0</v>
      </c>
      <c r="AA479" s="211"/>
      <c r="AB479" s="211"/>
      <c r="AC479" s="211">
        <f>Z479*(E457)</f>
        <v>0</v>
      </c>
      <c r="AD479" s="211"/>
      <c r="AE479" s="211"/>
      <c r="AF479" s="211">
        <f>Z479*(H457)</f>
        <v>0</v>
      </c>
      <c r="AG479" s="211"/>
      <c r="AH479" s="211"/>
      <c r="AI479" s="211">
        <f>Z479*(K457)</f>
        <v>0</v>
      </c>
      <c r="AJ479" s="211"/>
      <c r="AK479" s="211"/>
      <c r="AL479" s="211">
        <f>Z479*(N457)</f>
        <v>0</v>
      </c>
      <c r="AM479" s="211"/>
      <c r="AN479" s="211"/>
    </row>
    <row r="480" spans="2:40" s="7" customFormat="1" ht="12" hidden="1" customHeight="1" outlineLevel="3">
      <c r="B480" s="245"/>
      <c r="C480" s="213" t="s">
        <v>775</v>
      </c>
      <c r="D480" s="213"/>
      <c r="E480" s="213"/>
      <c r="F480" s="213"/>
      <c r="G480" s="213"/>
      <c r="H480" s="213"/>
      <c r="I480" s="213"/>
      <c r="J480" s="213"/>
      <c r="K480" s="213"/>
      <c r="L480" s="213"/>
      <c r="M480" s="213"/>
      <c r="N480" s="213"/>
      <c r="O480" s="213"/>
      <c r="P480" s="213"/>
      <c r="Q480" s="213"/>
      <c r="R480" s="213"/>
      <c r="S480" s="213"/>
      <c r="T480" s="213"/>
      <c r="U480" s="213"/>
      <c r="V480" s="213"/>
      <c r="W480" s="213"/>
      <c r="X480" s="213"/>
      <c r="Y480" s="213"/>
      <c r="Z480" s="213"/>
      <c r="AA480" s="211">
        <f>INDEX($C$349:$AN$371, MATCH("New Customers 3MS", $C$349:$C$371, 0), MATCH($C480, $C$349:$AN$349, 0))</f>
        <v>0</v>
      </c>
      <c r="AB480" s="211"/>
      <c r="AC480" s="211"/>
      <c r="AD480" s="211">
        <f>AA480*(E457)</f>
        <v>0</v>
      </c>
      <c r="AE480" s="211"/>
      <c r="AF480" s="211"/>
      <c r="AG480" s="211">
        <f>AA480*(H457)</f>
        <v>0</v>
      </c>
      <c r="AH480" s="211"/>
      <c r="AI480" s="211"/>
      <c r="AJ480" s="211">
        <f>AA480*(K457)</f>
        <v>0</v>
      </c>
      <c r="AK480" s="211"/>
      <c r="AL480" s="211"/>
      <c r="AM480" s="211">
        <f>AA480*(N457)</f>
        <v>0</v>
      </c>
      <c r="AN480" s="211"/>
    </row>
    <row r="481" spans="2:40" s="7" customFormat="1" ht="12" hidden="1" customHeight="1" outlineLevel="3">
      <c r="B481" s="245"/>
      <c r="C481" s="213" t="s">
        <v>776</v>
      </c>
      <c r="D481" s="213"/>
      <c r="E481" s="213"/>
      <c r="F481" s="213"/>
      <c r="G481" s="213"/>
      <c r="H481" s="213"/>
      <c r="I481" s="213"/>
      <c r="J481" s="213"/>
      <c r="K481" s="213"/>
      <c r="L481" s="213"/>
      <c r="M481" s="213"/>
      <c r="N481" s="213"/>
      <c r="O481" s="213"/>
      <c r="P481" s="213"/>
      <c r="Q481" s="213"/>
      <c r="R481" s="213"/>
      <c r="S481" s="213"/>
      <c r="T481" s="213"/>
      <c r="U481" s="213"/>
      <c r="V481" s="213"/>
      <c r="W481" s="213"/>
      <c r="X481" s="213"/>
      <c r="Y481" s="213"/>
      <c r="Z481" s="213"/>
      <c r="AA481" s="213"/>
      <c r="AB481" s="211">
        <f>INDEX($C$349:$AN$371, MATCH("New Customers 3MS", $C$349:$C$371, 0), MATCH($C481, $C$349:$AN$349, 0))</f>
        <v>0</v>
      </c>
      <c r="AC481" s="211"/>
      <c r="AD481" s="211"/>
      <c r="AE481" s="211">
        <f>AB481*(E457)</f>
        <v>0</v>
      </c>
      <c r="AF481" s="211"/>
      <c r="AG481" s="211"/>
      <c r="AH481" s="211">
        <f>AB481*(H457)</f>
        <v>0</v>
      </c>
      <c r="AI481" s="211"/>
      <c r="AJ481" s="211"/>
      <c r="AK481" s="211">
        <f>AB481*($K$153)</f>
        <v>0</v>
      </c>
      <c r="AL481" s="211"/>
      <c r="AM481" s="211"/>
      <c r="AN481" s="211">
        <f>AB481*(N457)</f>
        <v>0</v>
      </c>
    </row>
    <row r="482" spans="2:40" s="7" customFormat="1" ht="12" hidden="1" customHeight="1" outlineLevel="3">
      <c r="B482" s="245"/>
      <c r="C482" s="213" t="s">
        <v>777</v>
      </c>
      <c r="D482" s="213"/>
      <c r="E482" s="213"/>
      <c r="F482" s="213"/>
      <c r="G482" s="213"/>
      <c r="H482" s="213"/>
      <c r="I482" s="213"/>
      <c r="J482" s="213"/>
      <c r="K482" s="213"/>
      <c r="L482" s="213"/>
      <c r="M482" s="213"/>
      <c r="N482" s="213"/>
      <c r="O482" s="213"/>
      <c r="P482" s="213"/>
      <c r="Q482" s="213"/>
      <c r="R482" s="213"/>
      <c r="S482" s="213"/>
      <c r="T482" s="213"/>
      <c r="U482" s="213"/>
      <c r="V482" s="213"/>
      <c r="W482" s="213"/>
      <c r="X482" s="213"/>
      <c r="Y482" s="213"/>
      <c r="Z482" s="213"/>
      <c r="AA482" s="213"/>
      <c r="AB482" s="211"/>
      <c r="AC482" s="211">
        <f>INDEX($C$349:$AN$371, MATCH("New Customers 3MS", $C$349:$C$371, 0), MATCH($C482, $C$349:$AN$349, 0))</f>
        <v>0</v>
      </c>
      <c r="AD482" s="211"/>
      <c r="AE482" s="211"/>
      <c r="AF482" s="211">
        <f>AC482*($E$153)</f>
        <v>0</v>
      </c>
      <c r="AG482" s="211"/>
      <c r="AH482" s="211"/>
      <c r="AI482" s="211">
        <f>AB481*($H$153)</f>
        <v>0</v>
      </c>
      <c r="AJ482" s="211"/>
      <c r="AK482" s="211"/>
      <c r="AL482" s="211">
        <f>AC482*($K$153)</f>
        <v>0</v>
      </c>
      <c r="AM482" s="211"/>
      <c r="AN482" s="211"/>
    </row>
    <row r="483" spans="2:40" s="7" customFormat="1" ht="12" hidden="1" customHeight="1" outlineLevel="3">
      <c r="B483" s="245"/>
      <c r="C483" s="213" t="s">
        <v>778</v>
      </c>
      <c r="D483" s="213"/>
      <c r="E483" s="213"/>
      <c r="F483" s="213"/>
      <c r="G483" s="213"/>
      <c r="H483" s="213"/>
      <c r="I483" s="213"/>
      <c r="J483" s="213"/>
      <c r="K483" s="213"/>
      <c r="L483" s="213"/>
      <c r="M483" s="213"/>
      <c r="N483" s="213"/>
      <c r="O483" s="213"/>
      <c r="P483" s="213"/>
      <c r="Q483" s="213"/>
      <c r="R483" s="213"/>
      <c r="S483" s="213"/>
      <c r="T483" s="213"/>
      <c r="U483" s="213"/>
      <c r="V483" s="213"/>
      <c r="W483" s="213"/>
      <c r="X483" s="213"/>
      <c r="Y483" s="213"/>
      <c r="Z483" s="213"/>
      <c r="AA483" s="213"/>
      <c r="AB483" s="211"/>
      <c r="AC483" s="211"/>
      <c r="AD483" s="211">
        <f>INDEX($C$349:$AN$371, MATCH("New Customers 3MS", $C$349:$C$371, 0), MATCH($C483, $C$349:$AN$349, 0))</f>
        <v>0</v>
      </c>
      <c r="AE483" s="211"/>
      <c r="AF483" s="211"/>
      <c r="AG483" s="211">
        <f>AD483*($E$153)</f>
        <v>0</v>
      </c>
      <c r="AH483" s="211"/>
      <c r="AI483" s="211"/>
      <c r="AJ483" s="211">
        <f>AB481*($H$153)</f>
        <v>0</v>
      </c>
      <c r="AK483" s="211"/>
      <c r="AL483" s="211"/>
      <c r="AM483" s="211">
        <f>AD483*($K$153)</f>
        <v>0</v>
      </c>
      <c r="AN483" s="211"/>
    </row>
    <row r="484" spans="2:40" s="7" customFormat="1" ht="12" hidden="1" customHeight="1" outlineLevel="3">
      <c r="B484" s="245"/>
      <c r="C484" s="213" t="s">
        <v>779</v>
      </c>
      <c r="D484" s="213"/>
      <c r="E484" s="213"/>
      <c r="F484" s="213"/>
      <c r="G484" s="213"/>
      <c r="H484" s="213"/>
      <c r="I484" s="213"/>
      <c r="J484" s="213"/>
      <c r="K484" s="213"/>
      <c r="L484" s="213"/>
      <c r="M484" s="213"/>
      <c r="N484" s="213"/>
      <c r="O484" s="213"/>
      <c r="P484" s="213"/>
      <c r="Q484" s="213"/>
      <c r="R484" s="213"/>
      <c r="S484" s="213"/>
      <c r="T484" s="213"/>
      <c r="U484" s="213"/>
      <c r="V484" s="213"/>
      <c r="W484" s="213"/>
      <c r="X484" s="213"/>
      <c r="Y484" s="213"/>
      <c r="Z484" s="213"/>
      <c r="AA484" s="213"/>
      <c r="AB484" s="211"/>
      <c r="AC484" s="211"/>
      <c r="AD484" s="211"/>
      <c r="AE484" s="211">
        <f>INDEX($C$349:$AN$371, MATCH("New Customers 3MS", $C$349:$C$371, 0), MATCH($C484, $C$349:$AN$349, 0))</f>
        <v>0</v>
      </c>
      <c r="AF484" s="211"/>
      <c r="AG484" s="211"/>
      <c r="AH484" s="211">
        <f>AE484*($E$153)</f>
        <v>0</v>
      </c>
      <c r="AI484" s="211"/>
      <c r="AJ484" s="211"/>
      <c r="AK484" s="211">
        <f>AB481*($H$153)</f>
        <v>0</v>
      </c>
      <c r="AL484" s="211"/>
      <c r="AM484" s="211"/>
      <c r="AN484" s="211">
        <f>AE484*($K$153)</f>
        <v>0</v>
      </c>
    </row>
    <row r="485" spans="2:40" s="7" customFormat="1" ht="12" hidden="1" customHeight="1" outlineLevel="3">
      <c r="B485" s="245"/>
      <c r="C485" s="213" t="s">
        <v>780</v>
      </c>
      <c r="D485" s="213"/>
      <c r="E485" s="213"/>
      <c r="F485" s="213"/>
      <c r="G485" s="213"/>
      <c r="H485" s="213"/>
      <c r="I485" s="213"/>
      <c r="J485" s="213"/>
      <c r="K485" s="213"/>
      <c r="L485" s="213"/>
      <c r="M485" s="213"/>
      <c r="N485" s="213"/>
      <c r="O485" s="213"/>
      <c r="P485" s="213"/>
      <c r="Q485" s="213"/>
      <c r="R485" s="213"/>
      <c r="S485" s="213"/>
      <c r="T485" s="213"/>
      <c r="U485" s="213"/>
      <c r="V485" s="213"/>
      <c r="W485" s="213"/>
      <c r="X485" s="213"/>
      <c r="Y485" s="213"/>
      <c r="Z485" s="213"/>
      <c r="AA485" s="213"/>
      <c r="AB485" s="211"/>
      <c r="AC485" s="211"/>
      <c r="AD485" s="211"/>
      <c r="AE485" s="211"/>
      <c r="AF485" s="211">
        <f>INDEX($C$349:$AN$371, MATCH("New Customers 3MS", $C$349:$C$371, 0), MATCH($C485, $C$349:$AN$349, 0))</f>
        <v>0</v>
      </c>
      <c r="AG485" s="211"/>
      <c r="AH485" s="211"/>
      <c r="AI485" s="211">
        <f>AF485*($E$153)</f>
        <v>0</v>
      </c>
      <c r="AJ485" s="211"/>
      <c r="AK485" s="211"/>
      <c r="AL485" s="211">
        <f>AB481*($H$153)</f>
        <v>0</v>
      </c>
      <c r="AM485" s="211"/>
      <c r="AN485" s="211"/>
    </row>
    <row r="486" spans="2:40" s="7" customFormat="1" ht="12" hidden="1" customHeight="1" outlineLevel="3">
      <c r="B486" s="245"/>
      <c r="C486" s="213" t="s">
        <v>781</v>
      </c>
      <c r="D486" s="213"/>
      <c r="E486" s="213"/>
      <c r="F486" s="213"/>
      <c r="G486" s="213"/>
      <c r="H486" s="213"/>
      <c r="I486" s="213"/>
      <c r="J486" s="213"/>
      <c r="K486" s="213"/>
      <c r="L486" s="213"/>
      <c r="M486" s="213"/>
      <c r="N486" s="213"/>
      <c r="O486" s="213"/>
      <c r="P486" s="213"/>
      <c r="Q486" s="213"/>
      <c r="R486" s="213"/>
      <c r="S486" s="213"/>
      <c r="T486" s="213"/>
      <c r="U486" s="213"/>
      <c r="V486" s="213"/>
      <c r="W486" s="213"/>
      <c r="X486" s="213"/>
      <c r="Y486" s="213"/>
      <c r="Z486" s="213"/>
      <c r="AA486" s="213"/>
      <c r="AB486" s="211"/>
      <c r="AC486" s="211"/>
      <c r="AD486" s="211"/>
      <c r="AE486" s="211"/>
      <c r="AF486" s="211"/>
      <c r="AG486" s="211">
        <f>INDEX($C$349:$AN$371, MATCH("New Customers 3MS", $C$349:$C$371, 0), MATCH($C486, $C$349:$AN$349, 0))</f>
        <v>0</v>
      </c>
      <c r="AH486" s="211"/>
      <c r="AI486" s="211"/>
      <c r="AJ486" s="211">
        <f>AG486*($E$153)</f>
        <v>0</v>
      </c>
      <c r="AK486" s="211"/>
      <c r="AL486" s="211"/>
      <c r="AM486" s="211">
        <f>AB481*($H$153)</f>
        <v>0</v>
      </c>
      <c r="AN486" s="211"/>
    </row>
    <row r="487" spans="2:40" s="7" customFormat="1" ht="12" hidden="1" customHeight="1" outlineLevel="3">
      <c r="B487" s="245"/>
      <c r="C487" s="213" t="s">
        <v>782</v>
      </c>
      <c r="D487" s="213"/>
      <c r="E487" s="213"/>
      <c r="F487" s="213"/>
      <c r="G487" s="213"/>
      <c r="H487" s="213"/>
      <c r="I487" s="213"/>
      <c r="J487" s="213"/>
      <c r="K487" s="213"/>
      <c r="L487" s="213"/>
      <c r="M487" s="213"/>
      <c r="N487" s="213"/>
      <c r="O487" s="213"/>
      <c r="P487" s="213"/>
      <c r="Q487" s="213"/>
      <c r="R487" s="213"/>
      <c r="S487" s="213"/>
      <c r="T487" s="213"/>
      <c r="U487" s="213"/>
      <c r="V487" s="213"/>
      <c r="W487" s="213"/>
      <c r="X487" s="213"/>
      <c r="Y487" s="213"/>
      <c r="Z487" s="213"/>
      <c r="AA487" s="213"/>
      <c r="AB487" s="211"/>
      <c r="AC487" s="211"/>
      <c r="AD487" s="211"/>
      <c r="AE487" s="211"/>
      <c r="AF487" s="211"/>
      <c r="AG487" s="211"/>
      <c r="AH487" s="211">
        <f>INDEX($C$349:$AN$371, MATCH("New Customers 3MS", $C$349:$C$371, 0), MATCH($C487, $C$349:$AN$349, 0))</f>
        <v>0</v>
      </c>
      <c r="AI487" s="211"/>
      <c r="AJ487" s="211"/>
      <c r="AK487" s="211">
        <f>AH487*($E$153)</f>
        <v>0</v>
      </c>
      <c r="AL487" s="211"/>
      <c r="AM487" s="211"/>
      <c r="AN487" s="211">
        <f>AB481*($H$153)</f>
        <v>0</v>
      </c>
    </row>
    <row r="488" spans="2:40" s="7" customFormat="1" ht="12" hidden="1" customHeight="1" outlineLevel="3">
      <c r="B488" s="245"/>
      <c r="C488" s="213" t="s">
        <v>783</v>
      </c>
      <c r="D488" s="213"/>
      <c r="E488" s="213"/>
      <c r="F488" s="213"/>
      <c r="G488" s="213"/>
      <c r="H488" s="213"/>
      <c r="I488" s="213"/>
      <c r="J488" s="213"/>
      <c r="K488" s="213"/>
      <c r="L488" s="213"/>
      <c r="M488" s="213"/>
      <c r="N488" s="213"/>
      <c r="O488" s="213"/>
      <c r="P488" s="213"/>
      <c r="Q488" s="213"/>
      <c r="R488" s="213"/>
      <c r="S488" s="213"/>
      <c r="T488" s="213"/>
      <c r="U488" s="213"/>
      <c r="V488" s="213"/>
      <c r="W488" s="213"/>
      <c r="X488" s="213"/>
      <c r="Y488" s="213"/>
      <c r="Z488" s="213"/>
      <c r="AA488" s="213"/>
      <c r="AB488" s="211"/>
      <c r="AC488" s="211"/>
      <c r="AD488" s="211"/>
      <c r="AE488" s="211"/>
      <c r="AF488" s="211"/>
      <c r="AG488" s="211"/>
      <c r="AH488" s="211"/>
      <c r="AI488" s="211">
        <f>INDEX($C$349:$AN$371, MATCH("New Customers 3MS", $C$349:$C$371, 0), MATCH($C488, $C$349:$AN$349, 0))</f>
        <v>0</v>
      </c>
      <c r="AJ488" s="211"/>
      <c r="AK488" s="211"/>
      <c r="AL488" s="211">
        <f>AI488*($E$153)</f>
        <v>0</v>
      </c>
      <c r="AM488" s="211"/>
      <c r="AN488" s="211"/>
    </row>
    <row r="489" spans="2:40" s="7" customFormat="1" ht="12" hidden="1" customHeight="1" outlineLevel="3">
      <c r="B489" s="245"/>
      <c r="C489" s="213" t="s">
        <v>784</v>
      </c>
      <c r="D489" s="213"/>
      <c r="E489" s="213"/>
      <c r="F489" s="213"/>
      <c r="G489" s="213"/>
      <c r="H489" s="213"/>
      <c r="I489" s="213"/>
      <c r="J489" s="213"/>
      <c r="K489" s="213"/>
      <c r="L489" s="213"/>
      <c r="M489" s="213"/>
      <c r="N489" s="213"/>
      <c r="O489" s="213"/>
      <c r="P489" s="213"/>
      <c r="Q489" s="213"/>
      <c r="R489" s="213"/>
      <c r="S489" s="213"/>
      <c r="T489" s="213"/>
      <c r="U489" s="213"/>
      <c r="V489" s="213"/>
      <c r="W489" s="213"/>
      <c r="X489" s="213"/>
      <c r="Y489" s="213"/>
      <c r="Z489" s="213"/>
      <c r="AA489" s="213"/>
      <c r="AB489" s="211"/>
      <c r="AC489" s="211"/>
      <c r="AD489" s="211"/>
      <c r="AE489" s="211"/>
      <c r="AF489" s="211"/>
      <c r="AG489" s="211"/>
      <c r="AH489" s="211"/>
      <c r="AI489" s="211"/>
      <c r="AJ489" s="211">
        <f>INDEX($C$349:$AN$371, MATCH("New Customers 3MS", $C$349:$C$371, 0), MATCH($C489, $C$349:$AN$349, 0))</f>
        <v>0</v>
      </c>
      <c r="AK489" s="211"/>
      <c r="AL489" s="211"/>
      <c r="AM489" s="211">
        <f>AJ489*($E$153)</f>
        <v>0</v>
      </c>
      <c r="AN489" s="211"/>
    </row>
    <row r="490" spans="2:40" s="7" customFormat="1" ht="12" hidden="1" customHeight="1" outlineLevel="3">
      <c r="B490" s="245"/>
      <c r="C490" s="213" t="s">
        <v>785</v>
      </c>
      <c r="D490" s="213"/>
      <c r="E490" s="213"/>
      <c r="F490" s="213"/>
      <c r="G490" s="213"/>
      <c r="H490" s="213"/>
      <c r="I490" s="213"/>
      <c r="J490" s="213"/>
      <c r="K490" s="213"/>
      <c r="L490" s="213"/>
      <c r="M490" s="213"/>
      <c r="N490" s="213"/>
      <c r="O490" s="213"/>
      <c r="P490" s="213"/>
      <c r="Q490" s="213"/>
      <c r="R490" s="213"/>
      <c r="S490" s="213"/>
      <c r="T490" s="213"/>
      <c r="U490" s="213"/>
      <c r="V490" s="213"/>
      <c r="W490" s="213"/>
      <c r="X490" s="213"/>
      <c r="Y490" s="213"/>
      <c r="Z490" s="213"/>
      <c r="AA490" s="213"/>
      <c r="AB490" s="211"/>
      <c r="AC490" s="211"/>
      <c r="AD490" s="211"/>
      <c r="AE490" s="211"/>
      <c r="AF490" s="211"/>
      <c r="AG490" s="211"/>
      <c r="AH490" s="211"/>
      <c r="AI490" s="211"/>
      <c r="AJ490" s="211"/>
      <c r="AK490" s="211">
        <f>INDEX($C$349:$AN$371, MATCH("New Customers 3MS", $C$349:$C$371, 0), MATCH($C490, $C$349:$AN$349, 0))</f>
        <v>0</v>
      </c>
      <c r="AL490" s="211"/>
      <c r="AM490" s="211"/>
      <c r="AN490" s="211">
        <f>AK490*($E$153)</f>
        <v>0</v>
      </c>
    </row>
    <row r="491" spans="2:40" s="7" customFormat="1" ht="12" hidden="1" customHeight="1" outlineLevel="3">
      <c r="B491" s="245"/>
      <c r="C491" s="213" t="s">
        <v>786</v>
      </c>
      <c r="D491" s="213"/>
      <c r="E491" s="213"/>
      <c r="F491" s="213"/>
      <c r="G491" s="213"/>
      <c r="H491" s="213"/>
      <c r="I491" s="213"/>
      <c r="J491" s="213"/>
      <c r="K491" s="213"/>
      <c r="L491" s="213"/>
      <c r="M491" s="213"/>
      <c r="N491" s="213"/>
      <c r="O491" s="213"/>
      <c r="P491" s="213"/>
      <c r="Q491" s="213"/>
      <c r="R491" s="213"/>
      <c r="S491" s="213"/>
      <c r="T491" s="213"/>
      <c r="U491" s="213"/>
      <c r="V491" s="213"/>
      <c r="W491" s="213"/>
      <c r="X491" s="213"/>
      <c r="Y491" s="213"/>
      <c r="Z491" s="213"/>
      <c r="AA491" s="213"/>
      <c r="AB491" s="211"/>
      <c r="AC491" s="211"/>
      <c r="AD491" s="211"/>
      <c r="AE491" s="211"/>
      <c r="AF491" s="211"/>
      <c r="AG491" s="211"/>
      <c r="AH491" s="211"/>
      <c r="AI491" s="211"/>
      <c r="AJ491" s="211"/>
      <c r="AK491" s="211"/>
      <c r="AL491" s="211">
        <f>INDEX($C$349:$AN$371, MATCH("New Customers 3MS", $C$349:$C$371, 0), MATCH($C491, $C$349:$AN$349, 0))</f>
        <v>0</v>
      </c>
      <c r="AM491" s="211"/>
      <c r="AN491" s="211"/>
    </row>
    <row r="492" spans="2:40" s="7" customFormat="1" ht="12" hidden="1" customHeight="1" outlineLevel="3">
      <c r="B492" s="245"/>
      <c r="C492" s="213" t="s">
        <v>787</v>
      </c>
      <c r="D492" s="213"/>
      <c r="E492" s="213"/>
      <c r="F492" s="213"/>
      <c r="G492" s="213"/>
      <c r="H492" s="213"/>
      <c r="I492" s="213"/>
      <c r="J492" s="213"/>
      <c r="K492" s="213"/>
      <c r="L492" s="213"/>
      <c r="M492" s="213"/>
      <c r="N492" s="213"/>
      <c r="O492" s="213"/>
      <c r="P492" s="213"/>
      <c r="Q492" s="213"/>
      <c r="R492" s="213"/>
      <c r="S492" s="213"/>
      <c r="T492" s="213"/>
      <c r="U492" s="213"/>
      <c r="V492" s="213"/>
      <c r="W492" s="213"/>
      <c r="X492" s="213"/>
      <c r="Y492" s="213"/>
      <c r="Z492" s="213"/>
      <c r="AA492" s="213"/>
      <c r="AB492" s="211"/>
      <c r="AC492" s="211"/>
      <c r="AD492" s="211"/>
      <c r="AE492" s="211"/>
      <c r="AF492" s="211"/>
      <c r="AG492" s="211"/>
      <c r="AH492" s="211"/>
      <c r="AI492" s="211"/>
      <c r="AJ492" s="211"/>
      <c r="AK492" s="211"/>
      <c r="AL492" s="211"/>
      <c r="AM492" s="211">
        <f>INDEX($C$349:$AN$371, MATCH("New Customers 3MS", $C$349:$C$371, 0), MATCH($C492, $C$349:$AN$349, 0))</f>
        <v>0</v>
      </c>
      <c r="AN492" s="211"/>
    </row>
    <row r="493" spans="2:40" s="7" customFormat="1" ht="12" hidden="1" customHeight="1" outlineLevel="3">
      <c r="B493" s="245"/>
      <c r="C493" s="213" t="s">
        <v>788</v>
      </c>
      <c r="D493" s="213"/>
      <c r="E493" s="213"/>
      <c r="F493" s="213"/>
      <c r="G493" s="213"/>
      <c r="H493" s="213"/>
      <c r="I493" s="213"/>
      <c r="J493" s="213"/>
      <c r="K493" s="213"/>
      <c r="L493" s="213"/>
      <c r="M493" s="213"/>
      <c r="N493" s="213"/>
      <c r="O493" s="213"/>
      <c r="P493" s="213"/>
      <c r="Q493" s="213"/>
      <c r="R493" s="213"/>
      <c r="S493" s="213"/>
      <c r="T493" s="213"/>
      <c r="U493" s="213"/>
      <c r="V493" s="213"/>
      <c r="W493" s="213"/>
      <c r="X493" s="213"/>
      <c r="Y493" s="213"/>
      <c r="Z493" s="213"/>
      <c r="AA493" s="213"/>
      <c r="AB493" s="211"/>
      <c r="AC493" s="211"/>
      <c r="AD493" s="211"/>
      <c r="AE493" s="211"/>
      <c r="AF493" s="211"/>
      <c r="AG493" s="211"/>
      <c r="AH493" s="211"/>
      <c r="AI493" s="211"/>
      <c r="AJ493" s="211"/>
      <c r="AK493" s="211"/>
      <c r="AL493" s="211"/>
      <c r="AM493" s="211"/>
      <c r="AN493" s="211">
        <f>INDEX($C$349:$AN$371, MATCH("New Customers 3MS", $C$349:$C$371, 0), MATCH($C493, $C$349:$AN$349, 0))</f>
        <v>0</v>
      </c>
    </row>
    <row r="494" spans="2:40" s="7" customFormat="1" ht="12" hidden="1" customHeight="1" outlineLevel="2">
      <c r="B494" s="239"/>
      <c r="C494" s="214"/>
      <c r="D494" s="214"/>
      <c r="E494" s="214"/>
      <c r="F494" s="214"/>
      <c r="G494" s="214"/>
      <c r="H494" s="214"/>
      <c r="I494" s="214"/>
      <c r="J494" s="214"/>
      <c r="K494" s="214"/>
      <c r="L494" s="214"/>
      <c r="M494" s="214"/>
      <c r="N494" s="214"/>
      <c r="O494" s="214"/>
      <c r="P494" s="214"/>
      <c r="Q494" s="214"/>
      <c r="R494" s="214"/>
      <c r="S494" s="214"/>
      <c r="T494" s="214"/>
      <c r="U494" s="214"/>
      <c r="V494" s="214"/>
      <c r="W494" s="214"/>
      <c r="X494" s="214"/>
      <c r="Y494" s="214"/>
      <c r="Z494" s="214"/>
      <c r="AA494" s="214"/>
      <c r="AB494" s="214"/>
      <c r="AC494" s="212"/>
    </row>
    <row r="495" spans="2:40" s="7" customFormat="1" ht="12" customHeight="1" outlineLevel="1" collapsed="1">
      <c r="B495" s="239"/>
      <c r="C495" s="243" t="s">
        <v>855</v>
      </c>
      <c r="D495" s="214"/>
      <c r="E495" s="214"/>
      <c r="F495" s="214"/>
      <c r="G495" s="214"/>
      <c r="H495" s="214"/>
      <c r="I495" s="214"/>
      <c r="J495" s="214"/>
      <c r="K495" s="214"/>
      <c r="L495" s="214"/>
      <c r="M495" s="214"/>
      <c r="N495" s="214"/>
      <c r="O495" s="214"/>
      <c r="P495" s="214"/>
      <c r="Q495" s="214"/>
      <c r="R495" s="214"/>
      <c r="S495" s="214"/>
      <c r="T495" s="214"/>
      <c r="U495" s="214"/>
      <c r="V495" s="214"/>
      <c r="W495" s="214"/>
      <c r="X495" s="214"/>
      <c r="Y495" s="214"/>
      <c r="Z495" s="214"/>
      <c r="AA495" s="214"/>
      <c r="AB495" s="214"/>
      <c r="AC495" s="214"/>
    </row>
    <row r="496" spans="2:40" s="7" customFormat="1" ht="12" customHeight="1" outlineLevel="1">
      <c r="B496" s="239"/>
      <c r="C496" s="243"/>
      <c r="D496" s="214"/>
      <c r="E496" s="214"/>
      <c r="F496" s="214"/>
      <c r="G496" s="214"/>
      <c r="H496" s="214"/>
      <c r="I496" s="214"/>
      <c r="J496" s="214"/>
      <c r="K496" s="214"/>
      <c r="L496" s="214"/>
      <c r="M496" s="214"/>
      <c r="N496" s="214"/>
      <c r="O496" s="214"/>
      <c r="P496" s="214"/>
      <c r="Q496" s="214"/>
      <c r="R496" s="214"/>
      <c r="S496" s="214"/>
      <c r="T496" s="214"/>
      <c r="U496" s="214"/>
      <c r="V496" s="214"/>
      <c r="W496" s="214"/>
      <c r="X496" s="214"/>
      <c r="Y496" s="214"/>
      <c r="Z496" s="214"/>
      <c r="AA496" s="214"/>
      <c r="AB496" s="214"/>
      <c r="AC496" s="214"/>
    </row>
    <row r="497" spans="2:2" s="7" customFormat="1" outlineLevel="1">
      <c r="B497" s="235"/>
    </row>
    <row r="498" spans="2:2" s="7" customFormat="1">
      <c r="B498" s="235"/>
    </row>
    <row r="499" spans="2:2" s="7" customFormat="1">
      <c r="B499" s="235"/>
    </row>
  </sheetData>
  <sheetProtection algorithmName="SHA-512" hashValue="SCXsR1uBk8BgYMjT3ptqdFqr3N5Hp6shD1xnI8lHMmwihml+3zl+FqR8jkCLaFIT8kgkPLqSLyQR7IAY0Cf/ZQ==" saltValue="JkGCCSqpyJs2lw24mlU/jw==" spinCount="100000" sheet="1" objects="1" scenarios="1"/>
  <hyperlinks>
    <hyperlink ref="B54" r:id="rId1" xr:uid="{BE2E7CDE-414D-40E6-8134-50631862AD82}"/>
  </hyperlinks>
  <pageMargins left="0.7" right="0.7" top="0.75" bottom="0.75" header="0.3" footer="0.3"/>
  <legacy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6077F-40F8-4E0A-B9D3-AA03A7E012AC}">
  <sheetPr codeName="Sheet33"/>
  <dimension ref="B1:XEZ497"/>
  <sheetViews>
    <sheetView showGridLines="0" topLeftCell="E1" zoomScaleNormal="100" workbookViewId="0">
      <selection activeCell="Z36" sqref="Z36"/>
    </sheetView>
  </sheetViews>
  <sheetFormatPr baseColWidth="10" defaultColWidth="8.5" defaultRowHeight="11" outlineLevelRow="3" outlineLevelCol="1"/>
  <cols>
    <col min="1" max="1" width="6" style="7" customWidth="1"/>
    <col min="2" max="2" width="4.1640625" style="235" customWidth="1"/>
    <col min="3" max="3" width="29.5" style="7" bestFit="1" customWidth="1"/>
    <col min="4" max="4" width="10.5" style="7" customWidth="1"/>
    <col min="5" max="6" width="7.5" style="7" bestFit="1" customWidth="1"/>
    <col min="7" max="8" width="8.5" style="7" bestFit="1" customWidth="1"/>
    <col min="9" max="10" width="7.5" style="7" bestFit="1" customWidth="1"/>
    <col min="11" max="28" width="6.83203125" style="7" bestFit="1" customWidth="1"/>
    <col min="29" max="32" width="6.83203125" style="7" bestFit="1" customWidth="1" outlineLevel="1"/>
    <col min="33" max="40" width="7.5" style="7" bestFit="1" customWidth="1" outlineLevel="1"/>
    <col min="41" max="16384" width="8.5" style="7"/>
  </cols>
  <sheetData>
    <row r="1" spans="2:40">
      <c r="C1" s="262" t="s">
        <v>914</v>
      </c>
      <c r="E1" s="217" t="s">
        <v>180</v>
      </c>
      <c r="F1" s="217" t="s">
        <v>180</v>
      </c>
      <c r="G1" s="217" t="s">
        <v>180</v>
      </c>
      <c r="H1" s="217" t="s">
        <v>180</v>
      </c>
      <c r="I1" s="217" t="s">
        <v>180</v>
      </c>
      <c r="J1" s="217" t="s">
        <v>180</v>
      </c>
      <c r="K1" s="217" t="s">
        <v>180</v>
      </c>
      <c r="L1" s="217" t="s">
        <v>180</v>
      </c>
      <c r="M1" s="7" t="s">
        <v>42</v>
      </c>
      <c r="N1" s="7" t="s">
        <v>42</v>
      </c>
      <c r="O1" s="7" t="s">
        <v>42</v>
      </c>
      <c r="P1" s="7" t="s">
        <v>42</v>
      </c>
      <c r="Q1" s="7" t="s">
        <v>42</v>
      </c>
      <c r="R1" s="7" t="s">
        <v>42</v>
      </c>
      <c r="S1" s="7" t="s">
        <v>42</v>
      </c>
      <c r="T1" s="7" t="s">
        <v>42</v>
      </c>
      <c r="U1" s="7" t="s">
        <v>42</v>
      </c>
      <c r="V1" s="7" t="s">
        <v>42</v>
      </c>
      <c r="W1" s="7" t="s">
        <v>42</v>
      </c>
      <c r="X1" s="7" t="s">
        <v>42</v>
      </c>
      <c r="Y1" s="7" t="s">
        <v>42</v>
      </c>
      <c r="Z1" s="7" t="s">
        <v>42</v>
      </c>
      <c r="AA1" s="7" t="s">
        <v>42</v>
      </c>
      <c r="AB1" s="7" t="s">
        <v>42</v>
      </c>
      <c r="AC1" s="7" t="s">
        <v>42</v>
      </c>
      <c r="AD1" s="7" t="s">
        <v>42</v>
      </c>
      <c r="AE1" s="7" t="s">
        <v>42</v>
      </c>
      <c r="AF1" s="7" t="s">
        <v>42</v>
      </c>
      <c r="AG1" s="7" t="s">
        <v>42</v>
      </c>
      <c r="AH1" s="7" t="s">
        <v>42</v>
      </c>
      <c r="AI1" s="7" t="s">
        <v>42</v>
      </c>
      <c r="AJ1" s="7" t="s">
        <v>42</v>
      </c>
      <c r="AK1" s="7" t="s">
        <v>42</v>
      </c>
      <c r="AL1" s="7" t="s">
        <v>42</v>
      </c>
      <c r="AM1" s="7" t="s">
        <v>42</v>
      </c>
      <c r="AN1" s="7" t="s">
        <v>42</v>
      </c>
    </row>
    <row r="2" spans="2:40">
      <c r="E2" s="374">
        <v>45689</v>
      </c>
      <c r="F2" s="374">
        <v>45717</v>
      </c>
      <c r="G2" s="374">
        <v>45748</v>
      </c>
      <c r="H2" s="374">
        <v>45778</v>
      </c>
      <c r="I2" s="374">
        <v>45809</v>
      </c>
      <c r="J2" s="374">
        <v>45839</v>
      </c>
      <c r="K2" s="374">
        <v>45870</v>
      </c>
      <c r="L2" s="374">
        <v>45901</v>
      </c>
      <c r="M2" s="195">
        <v>45931</v>
      </c>
      <c r="N2" s="195">
        <v>45962</v>
      </c>
      <c r="O2" s="195">
        <v>45992</v>
      </c>
      <c r="P2" s="195">
        <v>46023</v>
      </c>
      <c r="Q2" s="258">
        <v>46054</v>
      </c>
      <c r="R2" s="258">
        <v>46082</v>
      </c>
      <c r="S2" s="258">
        <v>46113</v>
      </c>
      <c r="T2" s="258">
        <v>46143</v>
      </c>
      <c r="U2" s="258">
        <v>46174</v>
      </c>
      <c r="V2" s="258">
        <v>46204</v>
      </c>
      <c r="W2" s="258">
        <v>46235</v>
      </c>
      <c r="X2" s="258">
        <v>46266</v>
      </c>
      <c r="Y2" s="258">
        <v>46296</v>
      </c>
      <c r="Z2" s="258">
        <v>46327</v>
      </c>
      <c r="AA2" s="258">
        <v>46357</v>
      </c>
      <c r="AB2" s="258">
        <v>46388</v>
      </c>
      <c r="AC2" s="195">
        <v>46419</v>
      </c>
      <c r="AD2" s="195">
        <v>46447</v>
      </c>
      <c r="AE2" s="195">
        <v>46478</v>
      </c>
      <c r="AF2" s="195">
        <v>46508</v>
      </c>
      <c r="AG2" s="195">
        <v>46539</v>
      </c>
      <c r="AH2" s="195">
        <v>46569</v>
      </c>
      <c r="AI2" s="195">
        <v>46600</v>
      </c>
      <c r="AJ2" s="195">
        <v>46631</v>
      </c>
      <c r="AK2" s="195">
        <v>46661</v>
      </c>
      <c r="AL2" s="195">
        <v>46692</v>
      </c>
      <c r="AM2" s="195">
        <v>46722</v>
      </c>
      <c r="AN2" s="195">
        <v>46753</v>
      </c>
    </row>
    <row r="3" spans="2:40">
      <c r="B3" s="235" t="s">
        <v>686</v>
      </c>
      <c r="E3" s="375" t="s">
        <v>753</v>
      </c>
      <c r="F3" s="375" t="s">
        <v>754</v>
      </c>
      <c r="G3" s="375" t="s">
        <v>755</v>
      </c>
      <c r="H3" s="375" t="s">
        <v>756</v>
      </c>
      <c r="I3" s="375" t="s">
        <v>757</v>
      </c>
      <c r="J3" s="375" t="s">
        <v>758</v>
      </c>
      <c r="K3" s="375" t="s">
        <v>759</v>
      </c>
      <c r="L3" s="375" t="s">
        <v>760</v>
      </c>
      <c r="M3" s="196" t="s">
        <v>761</v>
      </c>
      <c r="N3" s="196" t="s">
        <v>762</v>
      </c>
      <c r="O3" s="196" t="s">
        <v>763</v>
      </c>
      <c r="P3" s="196" t="s">
        <v>764</v>
      </c>
      <c r="Q3" s="259" t="s">
        <v>765</v>
      </c>
      <c r="R3" s="259" t="s">
        <v>766</v>
      </c>
      <c r="S3" s="259" t="s">
        <v>767</v>
      </c>
      <c r="T3" s="259" t="s">
        <v>768</v>
      </c>
      <c r="U3" s="259" t="s">
        <v>769</v>
      </c>
      <c r="V3" s="259" t="s">
        <v>770</v>
      </c>
      <c r="W3" s="259" t="s">
        <v>771</v>
      </c>
      <c r="X3" s="259" t="s">
        <v>772</v>
      </c>
      <c r="Y3" s="259" t="s">
        <v>773</v>
      </c>
      <c r="Z3" s="259" t="s">
        <v>774</v>
      </c>
      <c r="AA3" s="259" t="s">
        <v>775</v>
      </c>
      <c r="AB3" s="259" t="s">
        <v>776</v>
      </c>
      <c r="AC3" s="196" t="s">
        <v>777</v>
      </c>
      <c r="AD3" s="196" t="s">
        <v>778</v>
      </c>
      <c r="AE3" s="196" t="s">
        <v>779</v>
      </c>
      <c r="AF3" s="196" t="s">
        <v>780</v>
      </c>
      <c r="AG3" s="196" t="s">
        <v>781</v>
      </c>
      <c r="AH3" s="196" t="s">
        <v>782</v>
      </c>
      <c r="AI3" s="196" t="s">
        <v>783</v>
      </c>
      <c r="AJ3" s="196" t="s">
        <v>784</v>
      </c>
      <c r="AK3" s="196" t="s">
        <v>785</v>
      </c>
      <c r="AL3" s="196" t="s">
        <v>786</v>
      </c>
      <c r="AM3" s="196" t="s">
        <v>787</v>
      </c>
      <c r="AN3" s="196" t="s">
        <v>788</v>
      </c>
    </row>
    <row r="4" spans="2:40">
      <c r="B4" s="235" t="s">
        <v>915</v>
      </c>
      <c r="C4" s="7" t="s">
        <v>790</v>
      </c>
      <c r="E4" s="220">
        <v>10448</v>
      </c>
      <c r="F4" s="220">
        <v>11037</v>
      </c>
      <c r="G4" s="220">
        <v>9435</v>
      </c>
      <c r="H4" s="220">
        <v>21267</v>
      </c>
      <c r="I4" s="220">
        <v>10261</v>
      </c>
      <c r="J4" s="220">
        <v>10443</v>
      </c>
      <c r="K4" s="220">
        <v>8703</v>
      </c>
      <c r="L4" s="220">
        <v>5851</v>
      </c>
      <c r="M4" s="197">
        <f t="shared" ref="M4:P4" si="0">AVERAGE(H4:L4)*M5</f>
        <v>11305</v>
      </c>
      <c r="N4" s="197">
        <f t="shared" si="0"/>
        <v>9312.6</v>
      </c>
      <c r="O4" s="197">
        <f t="shared" si="0"/>
        <v>9122.92</v>
      </c>
      <c r="P4" s="197">
        <f t="shared" si="0"/>
        <v>8858.9039999999986</v>
      </c>
      <c r="Q4" s="197">
        <f>E4*Q5</f>
        <v>10448</v>
      </c>
      <c r="R4" s="197">
        <f t="shared" ref="R4:AM4" si="1">F4*R5</f>
        <v>11037</v>
      </c>
      <c r="S4" s="197">
        <f t="shared" si="1"/>
        <v>9435</v>
      </c>
      <c r="T4" s="197">
        <f t="shared" si="1"/>
        <v>21267</v>
      </c>
      <c r="U4" s="197">
        <f t="shared" si="1"/>
        <v>10261</v>
      </c>
      <c r="V4" s="197">
        <f t="shared" si="1"/>
        <v>10443</v>
      </c>
      <c r="W4" s="197">
        <f t="shared" si="1"/>
        <v>8703</v>
      </c>
      <c r="X4" s="197">
        <f t="shared" si="1"/>
        <v>5851</v>
      </c>
      <c r="Y4" s="197">
        <f t="shared" si="1"/>
        <v>11305</v>
      </c>
      <c r="Z4" s="197">
        <f t="shared" si="1"/>
        <v>9312.6</v>
      </c>
      <c r="AA4" s="197">
        <f t="shared" si="1"/>
        <v>9122.92</v>
      </c>
      <c r="AB4" s="197">
        <f t="shared" si="1"/>
        <v>8858.9039999999986</v>
      </c>
      <c r="AC4" s="197">
        <f t="shared" si="1"/>
        <v>10448</v>
      </c>
      <c r="AD4" s="197">
        <f t="shared" si="1"/>
        <v>11037</v>
      </c>
      <c r="AE4" s="197">
        <f t="shared" si="1"/>
        <v>9435</v>
      </c>
      <c r="AF4" s="197">
        <f t="shared" si="1"/>
        <v>21267</v>
      </c>
      <c r="AG4" s="197">
        <f t="shared" si="1"/>
        <v>10261</v>
      </c>
      <c r="AH4" s="197">
        <f t="shared" si="1"/>
        <v>10443</v>
      </c>
      <c r="AI4" s="197">
        <f t="shared" si="1"/>
        <v>8703</v>
      </c>
      <c r="AJ4" s="197">
        <f t="shared" si="1"/>
        <v>5851</v>
      </c>
      <c r="AK4" s="197">
        <f t="shared" si="1"/>
        <v>11305</v>
      </c>
      <c r="AL4" s="197">
        <f t="shared" si="1"/>
        <v>9312.6</v>
      </c>
      <c r="AM4" s="197">
        <f t="shared" si="1"/>
        <v>9122.92</v>
      </c>
      <c r="AN4" s="197">
        <f>AB4*AN5</f>
        <v>8858.9039999999986</v>
      </c>
    </row>
    <row r="5" spans="2:40">
      <c r="C5" s="7" t="s">
        <v>791</v>
      </c>
      <c r="E5" s="220"/>
      <c r="F5" s="220"/>
      <c r="G5" s="220"/>
      <c r="H5" s="220"/>
      <c r="I5" s="220"/>
      <c r="J5" s="221"/>
      <c r="K5" s="221"/>
      <c r="L5" s="221"/>
      <c r="M5" s="198">
        <v>1</v>
      </c>
      <c r="N5" s="198">
        <v>1</v>
      </c>
      <c r="O5" s="198">
        <v>1</v>
      </c>
      <c r="P5" s="198">
        <v>1</v>
      </c>
      <c r="Q5" s="198">
        <v>1</v>
      </c>
      <c r="R5" s="198">
        <v>1</v>
      </c>
      <c r="S5" s="198">
        <v>1</v>
      </c>
      <c r="T5" s="198">
        <v>1</v>
      </c>
      <c r="U5" s="198">
        <v>1</v>
      </c>
      <c r="V5" s="198">
        <v>1</v>
      </c>
      <c r="W5" s="198">
        <v>1</v>
      </c>
      <c r="X5" s="198">
        <v>1</v>
      </c>
      <c r="Y5" s="198">
        <v>1</v>
      </c>
      <c r="Z5" s="198">
        <v>1</v>
      </c>
      <c r="AA5" s="198">
        <v>1</v>
      </c>
      <c r="AB5" s="198">
        <v>1</v>
      </c>
      <c r="AC5" s="198">
        <v>1</v>
      </c>
      <c r="AD5" s="198">
        <v>1</v>
      </c>
      <c r="AE5" s="198">
        <v>1</v>
      </c>
      <c r="AF5" s="198">
        <v>1</v>
      </c>
      <c r="AG5" s="198">
        <v>1</v>
      </c>
      <c r="AH5" s="198">
        <v>1</v>
      </c>
      <c r="AI5" s="198">
        <v>1</v>
      </c>
      <c r="AJ5" s="198">
        <v>1</v>
      </c>
      <c r="AK5" s="198">
        <v>1</v>
      </c>
      <c r="AL5" s="198">
        <v>1</v>
      </c>
      <c r="AM5" s="198">
        <v>1</v>
      </c>
      <c r="AN5" s="198">
        <v>1</v>
      </c>
    </row>
    <row r="6" spans="2:40">
      <c r="B6" s="235" t="s">
        <v>916</v>
      </c>
      <c r="C6" s="7" t="s">
        <v>793</v>
      </c>
      <c r="E6" s="222">
        <v>2.8199999999999999E-2</v>
      </c>
      <c r="F6" s="222">
        <v>2.9899999999999999E-2</v>
      </c>
      <c r="G6" s="222">
        <v>3.1699999999999999E-2</v>
      </c>
      <c r="H6" s="222">
        <v>6.6400000000000001E-2</v>
      </c>
      <c r="I6" s="222">
        <v>4.4200000000000003E-2</v>
      </c>
      <c r="J6" s="222">
        <v>4.2599999999999999E-2</v>
      </c>
      <c r="K6" s="222">
        <v>5.6000000000000001E-2</v>
      </c>
      <c r="L6" s="222">
        <v>2.0899999999999998E-2</v>
      </c>
      <c r="M6" s="199">
        <v>0.04</v>
      </c>
      <c r="N6" s="199">
        <v>0.04</v>
      </c>
      <c r="O6" s="199">
        <v>0.04</v>
      </c>
      <c r="P6" s="199">
        <v>0.04</v>
      </c>
      <c r="Q6" s="199">
        <v>2.8000000000000001E-2</v>
      </c>
      <c r="R6" s="199">
        <v>0.03</v>
      </c>
      <c r="S6" s="199">
        <v>3.2000000000000001E-2</v>
      </c>
      <c r="T6" s="199">
        <v>3.2000000000000001E-2</v>
      </c>
      <c r="U6" s="199">
        <v>0.04</v>
      </c>
      <c r="V6" s="199">
        <v>0.05</v>
      </c>
      <c r="W6" s="199">
        <v>3.2000000000000001E-2</v>
      </c>
      <c r="X6" s="199">
        <v>3.7999999999999999E-2</v>
      </c>
      <c r="Y6" s="199">
        <v>0.05</v>
      </c>
      <c r="Z6" s="199">
        <v>0.05</v>
      </c>
      <c r="AA6" s="199">
        <v>3.2000000000000001E-2</v>
      </c>
      <c r="AB6" s="199">
        <v>3.2000000000000001E-2</v>
      </c>
      <c r="AC6" s="199">
        <v>0.04</v>
      </c>
      <c r="AD6" s="199">
        <v>0.04</v>
      </c>
      <c r="AE6" s="199">
        <v>0.04</v>
      </c>
      <c r="AF6" s="199">
        <v>0.04</v>
      </c>
      <c r="AG6" s="199">
        <v>0.04</v>
      </c>
      <c r="AH6" s="199">
        <v>0.04</v>
      </c>
      <c r="AI6" s="199">
        <v>0.04</v>
      </c>
      <c r="AJ6" s="199">
        <v>0.04</v>
      </c>
      <c r="AK6" s="199">
        <v>0.04</v>
      </c>
      <c r="AL6" s="199">
        <v>0.04</v>
      </c>
      <c r="AM6" s="199">
        <v>0.04</v>
      </c>
      <c r="AN6" s="199">
        <v>0.04</v>
      </c>
    </row>
    <row r="7" spans="2:40">
      <c r="C7" s="7" t="s">
        <v>794</v>
      </c>
      <c r="E7" s="223">
        <f t="shared" ref="E7:I7" si="2">E4*E6</f>
        <v>294.6336</v>
      </c>
      <c r="F7" s="223">
        <f t="shared" si="2"/>
        <v>330.00630000000001</v>
      </c>
      <c r="G7" s="223">
        <f t="shared" si="2"/>
        <v>299.08949999999999</v>
      </c>
      <c r="H7" s="223">
        <f t="shared" si="2"/>
        <v>1412.1288</v>
      </c>
      <c r="I7" s="223">
        <f t="shared" si="2"/>
        <v>453.53620000000001</v>
      </c>
      <c r="J7" s="223">
        <f>J4*J6</f>
        <v>444.87180000000001</v>
      </c>
      <c r="K7" s="223">
        <f t="shared" ref="K7:AN7" si="3">K4*K6</f>
        <v>487.36799999999999</v>
      </c>
      <c r="L7" s="223">
        <f t="shared" si="3"/>
        <v>122.28589999999998</v>
      </c>
      <c r="M7" s="184">
        <f t="shared" si="3"/>
        <v>452.2</v>
      </c>
      <c r="N7" s="184">
        <f t="shared" si="3"/>
        <v>372.50400000000002</v>
      </c>
      <c r="O7" s="184">
        <f t="shared" si="3"/>
        <v>364.91680000000002</v>
      </c>
      <c r="P7" s="184">
        <f t="shared" si="3"/>
        <v>354.35615999999993</v>
      </c>
      <c r="Q7" s="184">
        <f t="shared" si="3"/>
        <v>292.54399999999998</v>
      </c>
      <c r="R7" s="184">
        <f t="shared" si="3"/>
        <v>331.11</v>
      </c>
      <c r="S7" s="184">
        <f t="shared" si="3"/>
        <v>301.92</v>
      </c>
      <c r="T7" s="184">
        <f t="shared" si="3"/>
        <v>680.54399999999998</v>
      </c>
      <c r="U7" s="184">
        <f t="shared" si="3"/>
        <v>410.44</v>
      </c>
      <c r="V7" s="184">
        <f t="shared" si="3"/>
        <v>522.15</v>
      </c>
      <c r="W7" s="184">
        <f t="shared" si="3"/>
        <v>278.49599999999998</v>
      </c>
      <c r="X7" s="184">
        <f t="shared" si="3"/>
        <v>222.33799999999999</v>
      </c>
      <c r="Y7" s="184">
        <f t="shared" si="3"/>
        <v>565.25</v>
      </c>
      <c r="Z7" s="184">
        <f t="shared" si="3"/>
        <v>465.63000000000005</v>
      </c>
      <c r="AA7" s="184">
        <f t="shared" si="3"/>
        <v>291.93344000000002</v>
      </c>
      <c r="AB7" s="184">
        <f t="shared" si="3"/>
        <v>283.48492799999997</v>
      </c>
      <c r="AC7" s="184">
        <f t="shared" si="3"/>
        <v>417.92</v>
      </c>
      <c r="AD7" s="184">
        <f t="shared" si="3"/>
        <v>441.48</v>
      </c>
      <c r="AE7" s="184">
        <f t="shared" si="3"/>
        <v>377.40000000000003</v>
      </c>
      <c r="AF7" s="184">
        <f t="shared" si="3"/>
        <v>850.68000000000006</v>
      </c>
      <c r="AG7" s="184">
        <f t="shared" si="3"/>
        <v>410.44</v>
      </c>
      <c r="AH7" s="184">
        <f t="shared" si="3"/>
        <v>417.72</v>
      </c>
      <c r="AI7" s="184">
        <f t="shared" si="3"/>
        <v>348.12</v>
      </c>
      <c r="AJ7" s="184">
        <f t="shared" si="3"/>
        <v>234.04</v>
      </c>
      <c r="AK7" s="184">
        <f t="shared" si="3"/>
        <v>452.2</v>
      </c>
      <c r="AL7" s="184">
        <f t="shared" si="3"/>
        <v>372.50400000000002</v>
      </c>
      <c r="AM7" s="184">
        <f t="shared" si="3"/>
        <v>364.91680000000002</v>
      </c>
      <c r="AN7" s="184">
        <f t="shared" si="3"/>
        <v>354.35615999999993</v>
      </c>
    </row>
    <row r="8" spans="2:40">
      <c r="C8" s="7" t="s">
        <v>795</v>
      </c>
      <c r="E8" s="222">
        <f>E12/E13</f>
        <v>0.35424354243542433</v>
      </c>
      <c r="F8" s="222">
        <f t="shared" ref="F8:L8" si="4">F12/F13</f>
        <v>0.4459016393442623</v>
      </c>
      <c r="G8" s="222">
        <f t="shared" si="4"/>
        <v>0.46739130434782611</v>
      </c>
      <c r="H8" s="222">
        <f t="shared" si="4"/>
        <v>0.62036363636363634</v>
      </c>
      <c r="I8" s="222">
        <f t="shared" si="4"/>
        <v>0.58064516129032262</v>
      </c>
      <c r="J8" s="222">
        <f t="shared" si="4"/>
        <v>0.52668213457076563</v>
      </c>
      <c r="K8" s="222">
        <f t="shared" si="4"/>
        <v>0.49681528662420382</v>
      </c>
      <c r="L8" s="222">
        <f t="shared" si="4"/>
        <v>0.3728813559322034</v>
      </c>
      <c r="M8" s="199">
        <v>0.3</v>
      </c>
      <c r="N8" s="199">
        <v>0.3</v>
      </c>
      <c r="O8" s="199">
        <v>0.3</v>
      </c>
      <c r="P8" s="199">
        <v>0.3</v>
      </c>
      <c r="Q8" s="199">
        <v>0.36</v>
      </c>
      <c r="R8" s="199">
        <v>0.5</v>
      </c>
      <c r="S8" s="199">
        <v>0.5</v>
      </c>
      <c r="T8" s="199">
        <v>0.46</v>
      </c>
      <c r="U8" s="199">
        <v>0.4</v>
      </c>
      <c r="V8" s="199">
        <v>0.49</v>
      </c>
      <c r="W8" s="199">
        <v>0.38</v>
      </c>
      <c r="X8" s="199">
        <v>0.37</v>
      </c>
      <c r="Y8" s="199">
        <v>0.52</v>
      </c>
      <c r="Z8" s="199">
        <v>0.52</v>
      </c>
      <c r="AA8" s="199">
        <v>0.38</v>
      </c>
      <c r="AB8" s="199">
        <v>0.4</v>
      </c>
      <c r="AC8" s="199">
        <v>0.3</v>
      </c>
      <c r="AD8" s="199">
        <v>0.3</v>
      </c>
      <c r="AE8" s="199">
        <v>0.3</v>
      </c>
      <c r="AF8" s="199">
        <v>0.3</v>
      </c>
      <c r="AG8" s="199">
        <v>0.3</v>
      </c>
      <c r="AH8" s="199">
        <v>0.3</v>
      </c>
      <c r="AI8" s="199">
        <v>0.3</v>
      </c>
      <c r="AJ8" s="199">
        <v>0.3</v>
      </c>
      <c r="AK8" s="199">
        <v>0.3</v>
      </c>
      <c r="AL8" s="199">
        <v>0.3</v>
      </c>
      <c r="AM8" s="199">
        <v>0.3</v>
      </c>
      <c r="AN8" s="199">
        <v>0.3</v>
      </c>
    </row>
    <row r="9" spans="2:40" ht="14.5" customHeight="1">
      <c r="C9" s="7" t="s">
        <v>865</v>
      </c>
      <c r="E9" s="223">
        <v>97</v>
      </c>
      <c r="F9" s="223">
        <v>103</v>
      </c>
      <c r="G9" s="223">
        <v>99</v>
      </c>
      <c r="H9" s="223">
        <v>440</v>
      </c>
      <c r="I9" s="223">
        <v>136</v>
      </c>
      <c r="J9" s="223">
        <v>153</v>
      </c>
      <c r="K9" s="223">
        <v>166</v>
      </c>
      <c r="L9" s="223">
        <v>29</v>
      </c>
      <c r="M9" s="184">
        <f t="shared" ref="M9:AN9" si="5">M58+M213+M363</f>
        <v>30.350345960276915</v>
      </c>
      <c r="N9" s="184">
        <f t="shared" si="5"/>
        <v>423.59170914552567</v>
      </c>
      <c r="O9" s="184">
        <f t="shared" si="5"/>
        <v>423.59170914552567</v>
      </c>
      <c r="P9" s="184">
        <f t="shared" si="5"/>
        <v>211.79585457276283</v>
      </c>
      <c r="Q9" s="184">
        <f t="shared" si="5"/>
        <v>24.081188664923133</v>
      </c>
      <c r="R9" s="184">
        <f t="shared" si="5"/>
        <v>45.880982161426225</v>
      </c>
      <c r="S9" s="184">
        <f t="shared" si="5"/>
        <v>46.979197159971001</v>
      </c>
      <c r="T9" s="184">
        <f t="shared" si="5"/>
        <v>27.753113252113774</v>
      </c>
      <c r="U9" s="184">
        <f t="shared" si="5"/>
        <v>25.746088947834043</v>
      </c>
      <c r="V9" s="184">
        <f t="shared" si="5"/>
        <v>30.425713728092674</v>
      </c>
      <c r="W9" s="184">
        <f t="shared" si="5"/>
        <v>39.41394644445392</v>
      </c>
      <c r="X9" s="184">
        <f t="shared" si="5"/>
        <v>23.416328878483611</v>
      </c>
      <c r="Y9" s="184">
        <f t="shared" si="5"/>
        <v>93.258790691239398</v>
      </c>
      <c r="Z9" s="184">
        <f t="shared" si="5"/>
        <v>162.69851830292987</v>
      </c>
      <c r="AA9" s="184">
        <f t="shared" si="5"/>
        <v>97.619110981757913</v>
      </c>
      <c r="AB9" s="184">
        <f t="shared" si="5"/>
        <v>65.079407321171942</v>
      </c>
      <c r="AC9" s="184">
        <f t="shared" si="5"/>
        <v>86.412708665687234</v>
      </c>
      <c r="AD9" s="184">
        <f t="shared" si="5"/>
        <v>88.140962839000977</v>
      </c>
      <c r="AE9" s="184">
        <f t="shared" si="5"/>
        <v>89.903782095780997</v>
      </c>
      <c r="AF9" s="184">
        <f t="shared" si="5"/>
        <v>91.701857737696628</v>
      </c>
      <c r="AG9" s="184">
        <f t="shared" si="5"/>
        <v>93.535894892450543</v>
      </c>
      <c r="AH9" s="184">
        <f t="shared" si="5"/>
        <v>95.406612790299533</v>
      </c>
      <c r="AI9" s="184">
        <f t="shared" si="5"/>
        <v>97.314745046105571</v>
      </c>
      <c r="AJ9" s="184">
        <f t="shared" si="5"/>
        <v>99.261039947027669</v>
      </c>
      <c r="AK9" s="184">
        <f t="shared" si="5"/>
        <v>101.24626074596823</v>
      </c>
      <c r="AL9" s="184">
        <f t="shared" si="5"/>
        <v>103.27118596088759</v>
      </c>
      <c r="AM9" s="184">
        <f t="shared" si="5"/>
        <v>105.33660968010535</v>
      </c>
      <c r="AN9" s="184">
        <f t="shared" si="5"/>
        <v>107.44334187370745</v>
      </c>
    </row>
    <row r="10" spans="2:40">
      <c r="C10" s="7" t="s">
        <v>866</v>
      </c>
      <c r="E10" s="223">
        <v>18</v>
      </c>
      <c r="F10" s="223">
        <v>27</v>
      </c>
      <c r="G10" s="223">
        <v>12</v>
      </c>
      <c r="H10" s="223">
        <v>16</v>
      </c>
      <c r="I10" s="223">
        <v>10</v>
      </c>
      <c r="J10" s="223">
        <v>18</v>
      </c>
      <c r="K10" s="223">
        <v>28</v>
      </c>
      <c r="L10" s="223">
        <v>23</v>
      </c>
      <c r="M10" s="184">
        <f t="shared" ref="M10:AN10" si="6">M59+M60+M214+M215+M365+M364</f>
        <v>12.770080753671081</v>
      </c>
      <c r="N10" s="184">
        <f t="shared" si="6"/>
        <v>178.22862182374152</v>
      </c>
      <c r="O10" s="184">
        <f t="shared" si="6"/>
        <v>178.22862182374152</v>
      </c>
      <c r="P10" s="184">
        <f t="shared" si="6"/>
        <v>89.11431091187076</v>
      </c>
      <c r="Q10" s="184">
        <f t="shared" si="6"/>
        <v>10.132297150679706</v>
      </c>
      <c r="R10" s="184">
        <f t="shared" si="6"/>
        <v>27.287017838573774</v>
      </c>
      <c r="S10" s="184">
        <f t="shared" si="6"/>
        <v>27.940164542156658</v>
      </c>
      <c r="T10" s="184">
        <f t="shared" si="6"/>
        <v>16.505742918098989</v>
      </c>
      <c r="U10" s="184">
        <f t="shared" si="6"/>
        <v>15.782730910321984</v>
      </c>
      <c r="V10" s="184">
        <f t="shared" si="6"/>
        <v>18.65140967616265</v>
      </c>
      <c r="W10" s="184">
        <f t="shared" si="6"/>
        <v>24.878683342780128</v>
      </c>
      <c r="X10" s="184">
        <f t="shared" si="6"/>
        <v>14.780743461941924</v>
      </c>
      <c r="Y10" s="184">
        <f t="shared" si="6"/>
        <v>55.46425044351237</v>
      </c>
      <c r="Z10" s="184">
        <f t="shared" si="6"/>
        <v>96.762474604871556</v>
      </c>
      <c r="AA10" s="184">
        <f t="shared" si="6"/>
        <v>58.05748476292294</v>
      </c>
      <c r="AB10" s="184">
        <f t="shared" si="6"/>
        <v>38.704989841948617</v>
      </c>
      <c r="AC10" s="184">
        <f t="shared" si="6"/>
        <v>36.358638852043271</v>
      </c>
      <c r="AD10" s="184">
        <f t="shared" si="6"/>
        <v>37.085811629084134</v>
      </c>
      <c r="AE10" s="184">
        <f t="shared" si="6"/>
        <v>37.827527861665821</v>
      </c>
      <c r="AF10" s="184">
        <f t="shared" si="6"/>
        <v>38.584078418899139</v>
      </c>
      <c r="AG10" s="184">
        <f t="shared" si="6"/>
        <v>39.355759987277118</v>
      </c>
      <c r="AH10" s="184">
        <f t="shared" si="6"/>
        <v>40.142875187022646</v>
      </c>
      <c r="AI10" s="184">
        <f t="shared" si="6"/>
        <v>40.945732690763123</v>
      </c>
      <c r="AJ10" s="184">
        <f t="shared" si="6"/>
        <v>41.764647344578371</v>
      </c>
      <c r="AK10" s="184">
        <f t="shared" si="6"/>
        <v>42.599940291469949</v>
      </c>
      <c r="AL10" s="184">
        <f t="shared" si="6"/>
        <v>43.451939097299345</v>
      </c>
      <c r="AM10" s="184">
        <f t="shared" si="6"/>
        <v>44.320977879245333</v>
      </c>
      <c r="AN10" s="184">
        <f t="shared" si="6"/>
        <v>45.207397436830242</v>
      </c>
    </row>
    <row r="11" spans="2:40">
      <c r="C11" s="7" t="s">
        <v>798</v>
      </c>
      <c r="E11" s="223">
        <v>60</v>
      </c>
      <c r="F11" s="223">
        <v>39</v>
      </c>
      <c r="G11" s="223">
        <v>36</v>
      </c>
      <c r="H11" s="223">
        <v>66</v>
      </c>
      <c r="I11" s="223">
        <v>36</v>
      </c>
      <c r="J11" s="223">
        <v>33</v>
      </c>
      <c r="K11" s="223">
        <v>43</v>
      </c>
      <c r="L11" s="223">
        <v>22</v>
      </c>
      <c r="M11" s="184">
        <f t="shared" ref="M11:AN11" si="7">M63+M62+M217+M218+M366+M367</f>
        <v>515.65086924632897</v>
      </c>
      <c r="N11" s="184">
        <f t="shared" si="7"/>
        <v>429.77137817625851</v>
      </c>
      <c r="O11" s="184">
        <f t="shared" si="7"/>
        <v>376.77137817625851</v>
      </c>
      <c r="P11" s="184">
        <f t="shared" si="7"/>
        <v>430.38568908812925</v>
      </c>
      <c r="Q11" s="184">
        <f t="shared" si="7"/>
        <v>362.57225284932031</v>
      </c>
      <c r="R11" s="184">
        <f t="shared" si="7"/>
        <v>311.44338216142626</v>
      </c>
      <c r="S11" s="184">
        <f t="shared" si="7"/>
        <v>359.82633545784336</v>
      </c>
      <c r="T11" s="184">
        <f t="shared" si="7"/>
        <v>291.135433081901</v>
      </c>
      <c r="U11" s="184">
        <f t="shared" si="7"/>
        <v>251.669149089678</v>
      </c>
      <c r="V11" s="184">
        <f t="shared" si="7"/>
        <v>307.70211032383736</v>
      </c>
      <c r="W11" s="184">
        <f t="shared" si="7"/>
        <v>240.67795665721985</v>
      </c>
      <c r="X11" s="184">
        <f t="shared" si="7"/>
        <v>204.75601653805808</v>
      </c>
      <c r="Y11" s="184">
        <f t="shared" si="7"/>
        <v>263.68278955648765</v>
      </c>
      <c r="Z11" s="184">
        <f t="shared" si="7"/>
        <v>208.43752539512846</v>
      </c>
      <c r="AA11" s="184">
        <f t="shared" si="7"/>
        <v>178.26251523707708</v>
      </c>
      <c r="AB11" s="184">
        <f t="shared" si="7"/>
        <v>251.17501015805135</v>
      </c>
      <c r="AC11" s="184">
        <f t="shared" si="7"/>
        <v>206.81336114795675</v>
      </c>
      <c r="AD11" s="184">
        <f t="shared" si="7"/>
        <v>165.62962837091584</v>
      </c>
      <c r="AE11" s="184">
        <f t="shared" si="7"/>
        <v>230.40222093833421</v>
      </c>
      <c r="AF11" s="184">
        <f t="shared" si="7"/>
        <v>177.13026535710085</v>
      </c>
      <c r="AG11" s="184">
        <f t="shared" si="7"/>
        <v>140.81287066424289</v>
      </c>
      <c r="AH11" s="184">
        <f t="shared" si="7"/>
        <v>205.4491280775278</v>
      </c>
      <c r="AI11" s="184">
        <f t="shared" si="7"/>
        <v>154.03811063907827</v>
      </c>
      <c r="AJ11" s="184">
        <f t="shared" si="7"/>
        <v>121.57887285185986</v>
      </c>
      <c r="AK11" s="184">
        <f t="shared" si="7"/>
        <v>187.07045030889705</v>
      </c>
      <c r="AL11" s="184">
        <f t="shared" si="7"/>
        <v>139.51185931507499</v>
      </c>
      <c r="AM11" s="184">
        <f t="shared" si="7"/>
        <v>110.90209650137649</v>
      </c>
      <c r="AN11" s="184">
        <f t="shared" si="7"/>
        <v>175.24013843140401</v>
      </c>
    </row>
    <row r="12" spans="2:40">
      <c r="C12" s="7" t="s">
        <v>799</v>
      </c>
      <c r="E12" s="223">
        <v>96</v>
      </c>
      <c r="F12" s="223">
        <v>136</v>
      </c>
      <c r="G12" s="223">
        <v>129</v>
      </c>
      <c r="H12" s="223">
        <v>853</v>
      </c>
      <c r="I12" s="223">
        <v>252</v>
      </c>
      <c r="J12" s="223">
        <v>227</v>
      </c>
      <c r="K12" s="223">
        <v>234</v>
      </c>
      <c r="L12" s="223">
        <v>44</v>
      </c>
      <c r="M12" s="184">
        <f t="shared" ref="M12:AN12" si="8">(M61+M216+M366)+(M7*M8)</f>
        <v>353.30965403972311</v>
      </c>
      <c r="N12" s="184">
        <f t="shared" si="8"/>
        <v>308.15949085447431</v>
      </c>
      <c r="O12" s="184">
        <f t="shared" si="8"/>
        <v>288.88333085447437</v>
      </c>
      <c r="P12" s="184">
        <f t="shared" si="8"/>
        <v>268.51099342723717</v>
      </c>
      <c r="Q12" s="184">
        <f t="shared" si="8"/>
        <v>252.23465133507688</v>
      </c>
      <c r="R12" s="184">
        <f t="shared" si="8"/>
        <v>299.67401783857377</v>
      </c>
      <c r="S12" s="184">
        <f t="shared" si="8"/>
        <v>272.98080284002901</v>
      </c>
      <c r="T12" s="184">
        <f t="shared" si="8"/>
        <v>424.29712674788624</v>
      </c>
      <c r="U12" s="184">
        <f t="shared" si="8"/>
        <v>265.42991105216595</v>
      </c>
      <c r="V12" s="184">
        <f t="shared" si="8"/>
        <v>348.42778627190734</v>
      </c>
      <c r="W12" s="184">
        <f t="shared" si="8"/>
        <v>189.41453355554609</v>
      </c>
      <c r="X12" s="184">
        <f t="shared" si="8"/>
        <v>158.84873112151638</v>
      </c>
      <c r="Y12" s="184">
        <f t="shared" si="8"/>
        <v>364.67120930876058</v>
      </c>
      <c r="Z12" s="184">
        <f t="shared" si="8"/>
        <v>307.42908169707016</v>
      </c>
      <c r="AA12" s="184">
        <f t="shared" si="8"/>
        <v>170.31559621824209</v>
      </c>
      <c r="AB12" s="184">
        <f t="shared" si="8"/>
        <v>167.31456387882804</v>
      </c>
      <c r="AC12" s="184">
        <f t="shared" si="8"/>
        <v>174.96329133431277</v>
      </c>
      <c r="AD12" s="184">
        <f t="shared" si="8"/>
        <v>178.303037160999</v>
      </c>
      <c r="AE12" s="184">
        <f t="shared" si="8"/>
        <v>156.316217904219</v>
      </c>
      <c r="AF12" s="184">
        <f t="shared" si="8"/>
        <v>295.50214226230338</v>
      </c>
      <c r="AG12" s="184">
        <f t="shared" si="8"/>
        <v>159.59610510754945</v>
      </c>
      <c r="AH12" s="184">
        <f t="shared" si="8"/>
        <v>158.90938720970047</v>
      </c>
      <c r="AI12" s="184">
        <f t="shared" si="8"/>
        <v>135.12125495389444</v>
      </c>
      <c r="AJ12" s="184">
        <f t="shared" si="8"/>
        <v>98.95096005297232</v>
      </c>
      <c r="AK12" s="184">
        <f t="shared" si="8"/>
        <v>163.41373925403175</v>
      </c>
      <c r="AL12" s="184">
        <f t="shared" si="8"/>
        <v>137.4800140391124</v>
      </c>
      <c r="AM12" s="184">
        <f t="shared" si="8"/>
        <v>132.13843031989467</v>
      </c>
      <c r="AN12" s="184">
        <f t="shared" si="8"/>
        <v>127.86350612629252</v>
      </c>
    </row>
    <row r="13" spans="2:40">
      <c r="B13" s="235" t="s">
        <v>917</v>
      </c>
      <c r="C13" s="7" t="s">
        <v>801</v>
      </c>
      <c r="E13" s="224">
        <f>SUM(E9:E12)</f>
        <v>271</v>
      </c>
      <c r="F13" s="224">
        <f t="shared" ref="F13:AN13" si="9">SUM(F9:F12)</f>
        <v>305</v>
      </c>
      <c r="G13" s="224">
        <f t="shared" si="9"/>
        <v>276</v>
      </c>
      <c r="H13" s="224">
        <f t="shared" si="9"/>
        <v>1375</v>
      </c>
      <c r="I13" s="224">
        <f t="shared" si="9"/>
        <v>434</v>
      </c>
      <c r="J13" s="224">
        <f>SUM(J9:J12)</f>
        <v>431</v>
      </c>
      <c r="K13" s="224">
        <f t="shared" si="9"/>
        <v>471</v>
      </c>
      <c r="L13" s="224">
        <f t="shared" si="9"/>
        <v>118</v>
      </c>
      <c r="M13" s="185">
        <f t="shared" si="9"/>
        <v>912.08095000000003</v>
      </c>
      <c r="N13" s="185">
        <f t="shared" si="9"/>
        <v>1339.7512000000002</v>
      </c>
      <c r="O13" s="185">
        <f t="shared" si="9"/>
        <v>1267.47504</v>
      </c>
      <c r="P13" s="185">
        <f t="shared" si="9"/>
        <v>999.80684800000006</v>
      </c>
      <c r="Q13" s="185">
        <f t="shared" si="9"/>
        <v>649.02039000000002</v>
      </c>
      <c r="R13" s="185">
        <f t="shared" si="9"/>
        <v>684.28539999999998</v>
      </c>
      <c r="S13" s="185">
        <f t="shared" si="9"/>
        <v>707.72649999999999</v>
      </c>
      <c r="T13" s="185">
        <f t="shared" si="9"/>
        <v>759.691416</v>
      </c>
      <c r="U13" s="185">
        <f t="shared" si="9"/>
        <v>558.62788</v>
      </c>
      <c r="V13" s="185">
        <f t="shared" si="9"/>
        <v>705.20702000000006</v>
      </c>
      <c r="W13" s="185">
        <f t="shared" si="9"/>
        <v>494.38511999999997</v>
      </c>
      <c r="X13" s="185">
        <f t="shared" si="9"/>
        <v>401.80182000000002</v>
      </c>
      <c r="Y13" s="185">
        <f t="shared" si="9"/>
        <v>777.07704000000001</v>
      </c>
      <c r="Z13" s="185">
        <f t="shared" si="9"/>
        <v>775.32760000000007</v>
      </c>
      <c r="AA13" s="185">
        <f t="shared" si="9"/>
        <v>504.25470720000004</v>
      </c>
      <c r="AB13" s="185">
        <f t="shared" si="9"/>
        <v>522.27397120000001</v>
      </c>
      <c r="AC13" s="185">
        <f t="shared" si="9"/>
        <v>504.548</v>
      </c>
      <c r="AD13" s="185">
        <f t="shared" si="9"/>
        <v>469.15943999999996</v>
      </c>
      <c r="AE13" s="185">
        <f t="shared" si="9"/>
        <v>514.44974880000007</v>
      </c>
      <c r="AF13" s="185">
        <f t="shared" si="9"/>
        <v>602.91834377600003</v>
      </c>
      <c r="AG13" s="185">
        <f t="shared" si="9"/>
        <v>433.30063065152001</v>
      </c>
      <c r="AH13" s="185">
        <f t="shared" si="9"/>
        <v>499.90800326455047</v>
      </c>
      <c r="AI13" s="185">
        <f t="shared" si="9"/>
        <v>427.4198433298414</v>
      </c>
      <c r="AJ13" s="185">
        <f t="shared" si="9"/>
        <v>361.55552019643824</v>
      </c>
      <c r="AK13" s="185">
        <f t="shared" si="9"/>
        <v>494.33039060036697</v>
      </c>
      <c r="AL13" s="185">
        <f t="shared" si="9"/>
        <v>423.71499841237431</v>
      </c>
      <c r="AM13" s="185">
        <f t="shared" si="9"/>
        <v>392.69811438062186</v>
      </c>
      <c r="AN13" s="185">
        <f t="shared" si="9"/>
        <v>455.75438386823424</v>
      </c>
    </row>
    <row r="14" spans="2:40">
      <c r="E14" s="217"/>
      <c r="F14" s="217"/>
      <c r="G14" s="217"/>
      <c r="H14" s="217"/>
      <c r="I14" s="217"/>
      <c r="J14" s="225"/>
      <c r="K14" s="217"/>
      <c r="L14" s="217"/>
    </row>
    <row r="15" spans="2:40">
      <c r="B15" s="235" t="s">
        <v>918</v>
      </c>
      <c r="C15" s="7" t="s">
        <v>803</v>
      </c>
      <c r="E15" s="226">
        <v>50.45</v>
      </c>
      <c r="F15" s="226">
        <v>56.12</v>
      </c>
      <c r="G15" s="226">
        <v>53.75</v>
      </c>
      <c r="H15" s="226">
        <v>57</v>
      </c>
      <c r="I15" s="226">
        <v>54.64</v>
      </c>
      <c r="J15" s="226">
        <v>50.1</v>
      </c>
      <c r="K15" s="226">
        <v>55.52</v>
      </c>
      <c r="L15" s="226">
        <v>41.73</v>
      </c>
      <c r="M15" s="186">
        <f t="shared" ref="M15:AN15" si="10">L15</f>
        <v>41.73</v>
      </c>
      <c r="N15" s="186">
        <f t="shared" si="10"/>
        <v>41.73</v>
      </c>
      <c r="O15" s="186">
        <f t="shared" si="10"/>
        <v>41.73</v>
      </c>
      <c r="P15" s="186">
        <f t="shared" si="10"/>
        <v>41.73</v>
      </c>
      <c r="Q15" s="186">
        <v>52.41</v>
      </c>
      <c r="R15" s="186">
        <f t="shared" si="10"/>
        <v>52.41</v>
      </c>
      <c r="S15" s="186">
        <f t="shared" si="10"/>
        <v>52.41</v>
      </c>
      <c r="T15" s="186">
        <f t="shared" si="10"/>
        <v>52.41</v>
      </c>
      <c r="U15" s="186">
        <f t="shared" si="10"/>
        <v>52.41</v>
      </c>
      <c r="V15" s="186">
        <f t="shared" si="10"/>
        <v>52.41</v>
      </c>
      <c r="W15" s="186">
        <f t="shared" si="10"/>
        <v>52.41</v>
      </c>
      <c r="X15" s="186">
        <f t="shared" si="10"/>
        <v>52.41</v>
      </c>
      <c r="Y15" s="186">
        <f t="shared" si="10"/>
        <v>52.41</v>
      </c>
      <c r="Z15" s="186">
        <f t="shared" si="10"/>
        <v>52.41</v>
      </c>
      <c r="AA15" s="186">
        <f t="shared" si="10"/>
        <v>52.41</v>
      </c>
      <c r="AB15" s="186">
        <f t="shared" si="10"/>
        <v>52.41</v>
      </c>
      <c r="AC15" s="186">
        <f t="shared" si="10"/>
        <v>52.41</v>
      </c>
      <c r="AD15" s="186">
        <f t="shared" si="10"/>
        <v>52.41</v>
      </c>
      <c r="AE15" s="186">
        <f t="shared" si="10"/>
        <v>52.41</v>
      </c>
      <c r="AF15" s="186">
        <f t="shared" si="10"/>
        <v>52.41</v>
      </c>
      <c r="AG15" s="186">
        <f t="shared" si="10"/>
        <v>52.41</v>
      </c>
      <c r="AH15" s="186">
        <f t="shared" si="10"/>
        <v>52.41</v>
      </c>
      <c r="AI15" s="186">
        <f t="shared" si="10"/>
        <v>52.41</v>
      </c>
      <c r="AJ15" s="186">
        <f t="shared" si="10"/>
        <v>52.41</v>
      </c>
      <c r="AK15" s="186">
        <f t="shared" si="10"/>
        <v>52.41</v>
      </c>
      <c r="AL15" s="186">
        <f t="shared" si="10"/>
        <v>52.41</v>
      </c>
      <c r="AM15" s="186">
        <f t="shared" si="10"/>
        <v>52.41</v>
      </c>
      <c r="AN15" s="186">
        <f t="shared" si="10"/>
        <v>52.41</v>
      </c>
    </row>
    <row r="16" spans="2:40">
      <c r="B16" s="236"/>
      <c r="C16" s="7" t="s">
        <v>804</v>
      </c>
      <c r="E16" s="223">
        <f t="shared" ref="E16:AN16" si="11">E15*E12</f>
        <v>4843.2000000000007</v>
      </c>
      <c r="F16" s="223">
        <f t="shared" si="11"/>
        <v>7632.32</v>
      </c>
      <c r="G16" s="223">
        <f t="shared" si="11"/>
        <v>6933.75</v>
      </c>
      <c r="H16" s="223">
        <f t="shared" si="11"/>
        <v>48621</v>
      </c>
      <c r="I16" s="223">
        <f t="shared" si="11"/>
        <v>13769.28</v>
      </c>
      <c r="J16" s="223">
        <f t="shared" si="11"/>
        <v>11372.7</v>
      </c>
      <c r="K16" s="223">
        <f t="shared" si="11"/>
        <v>12991.68</v>
      </c>
      <c r="L16" s="223">
        <f t="shared" si="11"/>
        <v>1836.12</v>
      </c>
      <c r="M16" s="184">
        <f t="shared" si="11"/>
        <v>14743.611863077644</v>
      </c>
      <c r="N16" s="184">
        <f t="shared" si="11"/>
        <v>12859.495553357212</v>
      </c>
      <c r="O16" s="184">
        <f t="shared" si="11"/>
        <v>12055.101396557215</v>
      </c>
      <c r="P16" s="184">
        <f t="shared" si="11"/>
        <v>11204.963755718607</v>
      </c>
      <c r="Q16" s="184">
        <f t="shared" si="11"/>
        <v>13219.618076471379</v>
      </c>
      <c r="R16" s="184">
        <f t="shared" si="11"/>
        <v>15705.915274919651</v>
      </c>
      <c r="S16" s="184">
        <f t="shared" si="11"/>
        <v>14306.92387684592</v>
      </c>
      <c r="T16" s="184">
        <f t="shared" si="11"/>
        <v>22237.412412856716</v>
      </c>
      <c r="U16" s="184">
        <f t="shared" si="11"/>
        <v>13911.181638244016</v>
      </c>
      <c r="V16" s="184">
        <f t="shared" si="11"/>
        <v>18261.100278510661</v>
      </c>
      <c r="W16" s="184">
        <f t="shared" si="11"/>
        <v>9927.2157036461704</v>
      </c>
      <c r="X16" s="184">
        <f t="shared" si="11"/>
        <v>8325.2619980786731</v>
      </c>
      <c r="Y16" s="184">
        <f t="shared" si="11"/>
        <v>19112.418079872139</v>
      </c>
      <c r="Z16" s="184">
        <f t="shared" si="11"/>
        <v>16112.358171743446</v>
      </c>
      <c r="AA16" s="184">
        <f t="shared" si="11"/>
        <v>8926.2403977980666</v>
      </c>
      <c r="AB16" s="184">
        <f t="shared" si="11"/>
        <v>8768.9562928893774</v>
      </c>
      <c r="AC16" s="184">
        <f t="shared" si="11"/>
        <v>9169.8260988313323</v>
      </c>
      <c r="AD16" s="184">
        <f t="shared" si="11"/>
        <v>9344.8621776079563</v>
      </c>
      <c r="AE16" s="184">
        <f t="shared" si="11"/>
        <v>8192.532980360118</v>
      </c>
      <c r="AF16" s="184">
        <f t="shared" si="11"/>
        <v>15487.267275967319</v>
      </c>
      <c r="AG16" s="184">
        <f t="shared" si="11"/>
        <v>8364.4318686866663</v>
      </c>
      <c r="AH16" s="184">
        <f t="shared" si="11"/>
        <v>8328.4409836604009</v>
      </c>
      <c r="AI16" s="184">
        <f t="shared" si="11"/>
        <v>7081.704972133607</v>
      </c>
      <c r="AJ16" s="184">
        <f t="shared" si="11"/>
        <v>5186.0198163762789</v>
      </c>
      <c r="AK16" s="184">
        <f t="shared" si="11"/>
        <v>8564.5140743038028</v>
      </c>
      <c r="AL16" s="184">
        <f t="shared" si="11"/>
        <v>7205.327535789881</v>
      </c>
      <c r="AM16" s="184">
        <f t="shared" si="11"/>
        <v>6925.3751330656787</v>
      </c>
      <c r="AN16" s="184">
        <f t="shared" si="11"/>
        <v>6701.326356078991</v>
      </c>
    </row>
    <row r="17" spans="2:40">
      <c r="C17" s="7" t="s">
        <v>805</v>
      </c>
      <c r="E17" s="226">
        <v>55.58</v>
      </c>
      <c r="F17" s="226">
        <v>49.1</v>
      </c>
      <c r="G17" s="226">
        <v>54.93</v>
      </c>
      <c r="H17" s="226">
        <v>61.46</v>
      </c>
      <c r="I17" s="226">
        <v>53.18</v>
      </c>
      <c r="J17" s="226">
        <v>54.78</v>
      </c>
      <c r="K17" s="226">
        <v>61.76</v>
      </c>
      <c r="L17" s="226">
        <v>49.96</v>
      </c>
      <c r="M17" s="186">
        <f t="shared" ref="M17:AN17" si="12">L17</f>
        <v>49.96</v>
      </c>
      <c r="N17" s="186">
        <f t="shared" si="12"/>
        <v>49.96</v>
      </c>
      <c r="O17" s="186">
        <f t="shared" si="12"/>
        <v>49.96</v>
      </c>
      <c r="P17" s="186">
        <f t="shared" si="12"/>
        <v>49.96</v>
      </c>
      <c r="Q17" s="186">
        <v>55</v>
      </c>
      <c r="R17" s="186">
        <f t="shared" si="12"/>
        <v>55</v>
      </c>
      <c r="S17" s="186">
        <f t="shared" si="12"/>
        <v>55</v>
      </c>
      <c r="T17" s="186">
        <f t="shared" si="12"/>
        <v>55</v>
      </c>
      <c r="U17" s="186">
        <f t="shared" si="12"/>
        <v>55</v>
      </c>
      <c r="V17" s="186">
        <f t="shared" si="12"/>
        <v>55</v>
      </c>
      <c r="W17" s="186">
        <f t="shared" si="12"/>
        <v>55</v>
      </c>
      <c r="X17" s="186">
        <f t="shared" si="12"/>
        <v>55</v>
      </c>
      <c r="Y17" s="186">
        <f t="shared" si="12"/>
        <v>55</v>
      </c>
      <c r="Z17" s="186">
        <f t="shared" si="12"/>
        <v>55</v>
      </c>
      <c r="AA17" s="186">
        <f t="shared" si="12"/>
        <v>55</v>
      </c>
      <c r="AB17" s="186">
        <f t="shared" si="12"/>
        <v>55</v>
      </c>
      <c r="AC17" s="186">
        <f t="shared" si="12"/>
        <v>55</v>
      </c>
      <c r="AD17" s="186">
        <f t="shared" si="12"/>
        <v>55</v>
      </c>
      <c r="AE17" s="186">
        <f t="shared" si="12"/>
        <v>55</v>
      </c>
      <c r="AF17" s="186">
        <f t="shared" si="12"/>
        <v>55</v>
      </c>
      <c r="AG17" s="186">
        <f t="shared" si="12"/>
        <v>55</v>
      </c>
      <c r="AH17" s="186">
        <f t="shared" si="12"/>
        <v>55</v>
      </c>
      <c r="AI17" s="186">
        <f t="shared" si="12"/>
        <v>55</v>
      </c>
      <c r="AJ17" s="186">
        <f t="shared" si="12"/>
        <v>55</v>
      </c>
      <c r="AK17" s="186">
        <f t="shared" si="12"/>
        <v>55</v>
      </c>
      <c r="AL17" s="186">
        <f t="shared" si="12"/>
        <v>55</v>
      </c>
      <c r="AM17" s="186">
        <f t="shared" si="12"/>
        <v>55</v>
      </c>
      <c r="AN17" s="186">
        <f t="shared" si="12"/>
        <v>55</v>
      </c>
    </row>
    <row r="18" spans="2:40">
      <c r="C18" s="7" t="s">
        <v>806</v>
      </c>
      <c r="E18" s="223">
        <f>E11*E17</f>
        <v>3334.7999999999997</v>
      </c>
      <c r="F18" s="223">
        <f>F11*F17</f>
        <v>1914.9</v>
      </c>
      <c r="G18" s="223">
        <f>G11*G17</f>
        <v>1977.48</v>
      </c>
      <c r="H18" s="223">
        <f>H11*H17</f>
        <v>4056.36</v>
      </c>
      <c r="I18" s="223">
        <f>I11*I17</f>
        <v>1914.48</v>
      </c>
      <c r="J18" s="223">
        <f t="shared" ref="J18:AN18" si="13">J11*J15</f>
        <v>1653.3</v>
      </c>
      <c r="K18" s="223">
        <f t="shared" si="13"/>
        <v>2387.36</v>
      </c>
      <c r="L18" s="223">
        <f t="shared" si="13"/>
        <v>918.06</v>
      </c>
      <c r="M18" s="184">
        <f t="shared" si="13"/>
        <v>21518.110773649307</v>
      </c>
      <c r="N18" s="184">
        <f t="shared" si="13"/>
        <v>17934.359611295265</v>
      </c>
      <c r="O18" s="184">
        <f t="shared" si="13"/>
        <v>15722.669611295267</v>
      </c>
      <c r="P18" s="184">
        <f t="shared" si="13"/>
        <v>17959.994805647631</v>
      </c>
      <c r="Q18" s="184">
        <f t="shared" si="13"/>
        <v>19002.411771832874</v>
      </c>
      <c r="R18" s="184">
        <f t="shared" si="13"/>
        <v>16322.747659080349</v>
      </c>
      <c r="S18" s="184">
        <f t="shared" si="13"/>
        <v>18858.498241345569</v>
      </c>
      <c r="T18" s="184">
        <f t="shared" si="13"/>
        <v>15258.40804782243</v>
      </c>
      <c r="U18" s="184">
        <f t="shared" si="13"/>
        <v>13189.980103790023</v>
      </c>
      <c r="V18" s="184">
        <f t="shared" si="13"/>
        <v>16126.667602072315</v>
      </c>
      <c r="W18" s="184">
        <f t="shared" si="13"/>
        <v>12613.931708404891</v>
      </c>
      <c r="X18" s="184">
        <f t="shared" si="13"/>
        <v>10731.262826759623</v>
      </c>
      <c r="Y18" s="184">
        <f t="shared" si="13"/>
        <v>13819.615000655516</v>
      </c>
      <c r="Z18" s="184">
        <f t="shared" si="13"/>
        <v>10924.210705958682</v>
      </c>
      <c r="AA18" s="184">
        <f t="shared" si="13"/>
        <v>9342.7384235752088</v>
      </c>
      <c r="AB18" s="184">
        <f t="shared" si="13"/>
        <v>13164.08228238347</v>
      </c>
      <c r="AC18" s="184">
        <f t="shared" si="13"/>
        <v>10839.088257764413</v>
      </c>
      <c r="AD18" s="184">
        <f t="shared" si="13"/>
        <v>8680.6488229196984</v>
      </c>
      <c r="AE18" s="184">
        <f t="shared" si="13"/>
        <v>12075.380399378095</v>
      </c>
      <c r="AF18" s="184">
        <f t="shared" si="13"/>
        <v>9283.397207365655</v>
      </c>
      <c r="AG18" s="184">
        <f t="shared" si="13"/>
        <v>7380.0025515129691</v>
      </c>
      <c r="AH18" s="184">
        <f t="shared" si="13"/>
        <v>10767.588802543232</v>
      </c>
      <c r="AI18" s="184">
        <f t="shared" si="13"/>
        <v>8073.1373785940914</v>
      </c>
      <c r="AJ18" s="184">
        <f t="shared" si="13"/>
        <v>6371.9487261659742</v>
      </c>
      <c r="AK18" s="184">
        <f t="shared" si="13"/>
        <v>9804.362300689294</v>
      </c>
      <c r="AL18" s="184">
        <f t="shared" si="13"/>
        <v>7311.8165467030794</v>
      </c>
      <c r="AM18" s="184">
        <f t="shared" si="13"/>
        <v>5812.3788776371412</v>
      </c>
      <c r="AN18" s="184">
        <f t="shared" si="13"/>
        <v>9184.3356551898833</v>
      </c>
    </row>
    <row r="19" spans="2:40">
      <c r="E19" s="217"/>
      <c r="F19" s="217"/>
      <c r="G19" s="217"/>
      <c r="H19" s="217"/>
      <c r="I19" s="217"/>
      <c r="J19" s="217"/>
      <c r="K19" s="217"/>
      <c r="L19" s="217"/>
    </row>
    <row r="20" spans="2:40">
      <c r="C20" s="7" t="s">
        <v>869</v>
      </c>
      <c r="E20" s="226">
        <v>55.19</v>
      </c>
      <c r="F20" s="226">
        <v>54.96</v>
      </c>
      <c r="G20" s="226">
        <v>57.94</v>
      </c>
      <c r="H20" s="226">
        <v>57.21</v>
      </c>
      <c r="I20" s="226">
        <v>55.37</v>
      </c>
      <c r="J20" s="226">
        <v>51.41</v>
      </c>
      <c r="K20" s="226">
        <v>55.04</v>
      </c>
      <c r="L20" s="226">
        <v>42.06</v>
      </c>
      <c r="M20" s="186">
        <f t="shared" ref="M20:AN20" si="14">L20</f>
        <v>42.06</v>
      </c>
      <c r="N20" s="186">
        <f t="shared" si="14"/>
        <v>42.06</v>
      </c>
      <c r="O20" s="186">
        <f t="shared" si="14"/>
        <v>42.06</v>
      </c>
      <c r="P20" s="186">
        <f t="shared" si="14"/>
        <v>42.06</v>
      </c>
      <c r="Q20" s="186">
        <v>53</v>
      </c>
      <c r="R20" s="186">
        <f t="shared" si="14"/>
        <v>53</v>
      </c>
      <c r="S20" s="186">
        <f t="shared" si="14"/>
        <v>53</v>
      </c>
      <c r="T20" s="186">
        <f t="shared" si="14"/>
        <v>53</v>
      </c>
      <c r="U20" s="186">
        <f t="shared" si="14"/>
        <v>53</v>
      </c>
      <c r="V20" s="186">
        <f t="shared" si="14"/>
        <v>53</v>
      </c>
      <c r="W20" s="186">
        <f t="shared" si="14"/>
        <v>53</v>
      </c>
      <c r="X20" s="186">
        <f t="shared" si="14"/>
        <v>53</v>
      </c>
      <c r="Y20" s="186">
        <f t="shared" si="14"/>
        <v>53</v>
      </c>
      <c r="Z20" s="186">
        <f t="shared" si="14"/>
        <v>53</v>
      </c>
      <c r="AA20" s="186">
        <f t="shared" si="14"/>
        <v>53</v>
      </c>
      <c r="AB20" s="186">
        <f t="shared" si="14"/>
        <v>53</v>
      </c>
      <c r="AC20" s="186">
        <f t="shared" si="14"/>
        <v>53</v>
      </c>
      <c r="AD20" s="186">
        <f t="shared" si="14"/>
        <v>53</v>
      </c>
      <c r="AE20" s="186">
        <f t="shared" si="14"/>
        <v>53</v>
      </c>
      <c r="AF20" s="186">
        <f t="shared" si="14"/>
        <v>53</v>
      </c>
      <c r="AG20" s="186">
        <f t="shared" si="14"/>
        <v>53</v>
      </c>
      <c r="AH20" s="186">
        <f t="shared" si="14"/>
        <v>53</v>
      </c>
      <c r="AI20" s="186">
        <f t="shared" si="14"/>
        <v>53</v>
      </c>
      <c r="AJ20" s="186">
        <f t="shared" si="14"/>
        <v>53</v>
      </c>
      <c r="AK20" s="186">
        <f t="shared" si="14"/>
        <v>53</v>
      </c>
      <c r="AL20" s="186">
        <f t="shared" si="14"/>
        <v>53</v>
      </c>
      <c r="AM20" s="186">
        <f t="shared" si="14"/>
        <v>53</v>
      </c>
      <c r="AN20" s="186">
        <f t="shared" si="14"/>
        <v>53</v>
      </c>
    </row>
    <row r="21" spans="2:40">
      <c r="C21" s="7" t="s">
        <v>808</v>
      </c>
      <c r="E21" s="223">
        <f t="shared" ref="E21:AN21" si="15">E9*E20</f>
        <v>5353.4299999999994</v>
      </c>
      <c r="F21" s="223">
        <f t="shared" si="15"/>
        <v>5660.88</v>
      </c>
      <c r="G21" s="223">
        <f t="shared" si="15"/>
        <v>5736.0599999999995</v>
      </c>
      <c r="H21" s="223">
        <f t="shared" si="15"/>
        <v>25172.400000000001</v>
      </c>
      <c r="I21" s="223">
        <f t="shared" si="15"/>
        <v>7530.32</v>
      </c>
      <c r="J21" s="223">
        <f t="shared" si="15"/>
        <v>7865.73</v>
      </c>
      <c r="K21" s="223">
        <f t="shared" si="15"/>
        <v>9136.64</v>
      </c>
      <c r="L21" s="223">
        <f t="shared" si="15"/>
        <v>1219.74</v>
      </c>
      <c r="M21" s="184">
        <f t="shared" si="15"/>
        <v>1276.5355510892471</v>
      </c>
      <c r="N21" s="184">
        <f t="shared" si="15"/>
        <v>17816.267286660812</v>
      </c>
      <c r="O21" s="184">
        <f t="shared" si="15"/>
        <v>17816.267286660812</v>
      </c>
      <c r="P21" s="184">
        <f t="shared" si="15"/>
        <v>8908.1336433304059</v>
      </c>
      <c r="Q21" s="184">
        <f t="shared" si="15"/>
        <v>1276.3029992409261</v>
      </c>
      <c r="R21" s="184">
        <f t="shared" si="15"/>
        <v>2431.6920545555899</v>
      </c>
      <c r="S21" s="184">
        <f t="shared" si="15"/>
        <v>2489.8974494784629</v>
      </c>
      <c r="T21" s="184">
        <f t="shared" si="15"/>
        <v>1470.91500236203</v>
      </c>
      <c r="U21" s="184">
        <f t="shared" si="15"/>
        <v>1364.5427142352044</v>
      </c>
      <c r="V21" s="184">
        <f t="shared" si="15"/>
        <v>1612.5628275889117</v>
      </c>
      <c r="W21" s="184">
        <f t="shared" si="15"/>
        <v>2088.9391615560576</v>
      </c>
      <c r="X21" s="184">
        <f t="shared" si="15"/>
        <v>1241.0654305596313</v>
      </c>
      <c r="Y21" s="184">
        <f t="shared" si="15"/>
        <v>4942.715906635688</v>
      </c>
      <c r="Z21" s="184">
        <f t="shared" si="15"/>
        <v>8623.0214700552824</v>
      </c>
      <c r="AA21" s="184">
        <f t="shared" si="15"/>
        <v>5173.8128820331694</v>
      </c>
      <c r="AB21" s="184">
        <f t="shared" si="15"/>
        <v>3449.208588022113</v>
      </c>
      <c r="AC21" s="184">
        <f t="shared" si="15"/>
        <v>4579.8735592814237</v>
      </c>
      <c r="AD21" s="184">
        <f t="shared" si="15"/>
        <v>4671.4710304670516</v>
      </c>
      <c r="AE21" s="184">
        <f t="shared" si="15"/>
        <v>4764.9004510763925</v>
      </c>
      <c r="AF21" s="184">
        <f t="shared" si="15"/>
        <v>4860.1984600979213</v>
      </c>
      <c r="AG21" s="184">
        <f t="shared" si="15"/>
        <v>4957.4024292998783</v>
      </c>
      <c r="AH21" s="184">
        <f t="shared" si="15"/>
        <v>5056.5504778858749</v>
      </c>
      <c r="AI21" s="184">
        <f t="shared" si="15"/>
        <v>5157.681487443595</v>
      </c>
      <c r="AJ21" s="184">
        <f t="shared" si="15"/>
        <v>5260.8351171924669</v>
      </c>
      <c r="AK21" s="184">
        <f t="shared" si="15"/>
        <v>5366.0518195363165</v>
      </c>
      <c r="AL21" s="184">
        <f t="shared" si="15"/>
        <v>5473.3728559270421</v>
      </c>
      <c r="AM21" s="184">
        <f t="shared" si="15"/>
        <v>5582.8403130455836</v>
      </c>
      <c r="AN21" s="184">
        <f t="shared" si="15"/>
        <v>5694.4971193064948</v>
      </c>
    </row>
    <row r="22" spans="2:40">
      <c r="C22" s="7" t="s">
        <v>809</v>
      </c>
      <c r="E22" s="226">
        <v>74.02</v>
      </c>
      <c r="F22" s="226">
        <v>66.37</v>
      </c>
      <c r="G22" s="226">
        <v>58.84</v>
      </c>
      <c r="H22" s="226">
        <v>88.89</v>
      </c>
      <c r="I22" s="226">
        <v>72.36</v>
      </c>
      <c r="J22" s="226">
        <v>96.44</v>
      </c>
      <c r="K22" s="226">
        <v>78.31</v>
      </c>
      <c r="L22" s="226">
        <v>78.7</v>
      </c>
      <c r="M22" s="186">
        <f t="shared" ref="M22:AN22" si="16">L22</f>
        <v>78.7</v>
      </c>
      <c r="N22" s="186">
        <f t="shared" si="16"/>
        <v>78.7</v>
      </c>
      <c r="O22" s="186">
        <f t="shared" si="16"/>
        <v>78.7</v>
      </c>
      <c r="P22" s="186">
        <f t="shared" si="16"/>
        <v>78.7</v>
      </c>
      <c r="Q22" s="186">
        <v>76</v>
      </c>
      <c r="R22" s="186">
        <f t="shared" si="16"/>
        <v>76</v>
      </c>
      <c r="S22" s="186">
        <f t="shared" si="16"/>
        <v>76</v>
      </c>
      <c r="T22" s="186">
        <f t="shared" si="16"/>
        <v>76</v>
      </c>
      <c r="U22" s="186">
        <f t="shared" si="16"/>
        <v>76</v>
      </c>
      <c r="V22" s="186">
        <f t="shared" si="16"/>
        <v>76</v>
      </c>
      <c r="W22" s="186">
        <f t="shared" si="16"/>
        <v>76</v>
      </c>
      <c r="X22" s="186">
        <f t="shared" si="16"/>
        <v>76</v>
      </c>
      <c r="Y22" s="186">
        <f t="shared" si="16"/>
        <v>76</v>
      </c>
      <c r="Z22" s="186">
        <f t="shared" si="16"/>
        <v>76</v>
      </c>
      <c r="AA22" s="186">
        <f t="shared" si="16"/>
        <v>76</v>
      </c>
      <c r="AB22" s="186">
        <f t="shared" si="16"/>
        <v>76</v>
      </c>
      <c r="AC22" s="186">
        <f t="shared" si="16"/>
        <v>76</v>
      </c>
      <c r="AD22" s="186">
        <f t="shared" si="16"/>
        <v>76</v>
      </c>
      <c r="AE22" s="186">
        <f t="shared" si="16"/>
        <v>76</v>
      </c>
      <c r="AF22" s="186">
        <f t="shared" si="16"/>
        <v>76</v>
      </c>
      <c r="AG22" s="186">
        <f t="shared" si="16"/>
        <v>76</v>
      </c>
      <c r="AH22" s="186">
        <f t="shared" si="16"/>
        <v>76</v>
      </c>
      <c r="AI22" s="186">
        <f t="shared" si="16"/>
        <v>76</v>
      </c>
      <c r="AJ22" s="186">
        <f t="shared" si="16"/>
        <v>76</v>
      </c>
      <c r="AK22" s="186">
        <f t="shared" si="16"/>
        <v>76</v>
      </c>
      <c r="AL22" s="186">
        <f t="shared" si="16"/>
        <v>76</v>
      </c>
      <c r="AM22" s="186">
        <f t="shared" si="16"/>
        <v>76</v>
      </c>
      <c r="AN22" s="186">
        <f t="shared" si="16"/>
        <v>76</v>
      </c>
    </row>
    <row r="23" spans="2:40">
      <c r="C23" s="7" t="s">
        <v>810</v>
      </c>
      <c r="E23" s="223">
        <f>E22*E10</f>
        <v>1332.36</v>
      </c>
      <c r="F23" s="223">
        <f>F22*F10</f>
        <v>1791.9900000000002</v>
      </c>
      <c r="G23" s="223">
        <f>G22*G10</f>
        <v>706.08</v>
      </c>
      <c r="H23" s="223">
        <f>H22*H10</f>
        <v>1422.24</v>
      </c>
      <c r="I23" s="223">
        <f>I22*I10</f>
        <v>723.6</v>
      </c>
      <c r="J23" s="223">
        <f t="shared" ref="J23:AN23" si="17">J20*J10</f>
        <v>925.37999999999988</v>
      </c>
      <c r="K23" s="223">
        <f t="shared" si="17"/>
        <v>1541.12</v>
      </c>
      <c r="L23" s="223">
        <f t="shared" si="17"/>
        <v>967.38000000000011</v>
      </c>
      <c r="M23" s="184">
        <f t="shared" si="17"/>
        <v>537.10959649940571</v>
      </c>
      <c r="N23" s="184">
        <f t="shared" si="17"/>
        <v>7496.295833906569</v>
      </c>
      <c r="O23" s="184">
        <f t="shared" si="17"/>
        <v>7496.295833906569</v>
      </c>
      <c r="P23" s="184">
        <f t="shared" si="17"/>
        <v>3748.1479169532845</v>
      </c>
      <c r="Q23" s="184">
        <f t="shared" si="17"/>
        <v>537.01174898602449</v>
      </c>
      <c r="R23" s="184">
        <f t="shared" si="17"/>
        <v>1446.21194544441</v>
      </c>
      <c r="S23" s="184">
        <f t="shared" si="17"/>
        <v>1480.8287207343028</v>
      </c>
      <c r="T23" s="184">
        <f t="shared" si="17"/>
        <v>874.80437465924638</v>
      </c>
      <c r="U23" s="184">
        <f t="shared" si="17"/>
        <v>836.48473824706514</v>
      </c>
      <c r="V23" s="184">
        <f t="shared" si="17"/>
        <v>988.52471283662044</v>
      </c>
      <c r="W23" s="184">
        <f t="shared" si="17"/>
        <v>1318.5702171673468</v>
      </c>
      <c r="X23" s="184">
        <f t="shared" si="17"/>
        <v>783.37940348292193</v>
      </c>
      <c r="Y23" s="184">
        <f t="shared" si="17"/>
        <v>2939.6052735061558</v>
      </c>
      <c r="Z23" s="184">
        <f t="shared" si="17"/>
        <v>5128.4111540581926</v>
      </c>
      <c r="AA23" s="184">
        <f t="shared" si="17"/>
        <v>3077.0466924349157</v>
      </c>
      <c r="AB23" s="184">
        <f t="shared" si="17"/>
        <v>2051.3644616232768</v>
      </c>
      <c r="AC23" s="184">
        <f t="shared" si="17"/>
        <v>1927.0078591582933</v>
      </c>
      <c r="AD23" s="184">
        <f t="shared" si="17"/>
        <v>1965.5480163414591</v>
      </c>
      <c r="AE23" s="184">
        <f t="shared" si="17"/>
        <v>2004.8589766682885</v>
      </c>
      <c r="AF23" s="184">
        <f t="shared" si="17"/>
        <v>2044.9561562016543</v>
      </c>
      <c r="AG23" s="184">
        <f t="shared" si="17"/>
        <v>2085.8552793256872</v>
      </c>
      <c r="AH23" s="184">
        <f t="shared" si="17"/>
        <v>2127.5723849122001</v>
      </c>
      <c r="AI23" s="184">
        <f t="shared" si="17"/>
        <v>2170.1238326104453</v>
      </c>
      <c r="AJ23" s="184">
        <f t="shared" si="17"/>
        <v>2213.5263092626537</v>
      </c>
      <c r="AK23" s="184">
        <f t="shared" si="17"/>
        <v>2257.7968354479071</v>
      </c>
      <c r="AL23" s="184">
        <f t="shared" si="17"/>
        <v>2302.9527721568652</v>
      </c>
      <c r="AM23" s="184">
        <f t="shared" si="17"/>
        <v>2349.0118276000026</v>
      </c>
      <c r="AN23" s="184">
        <f t="shared" si="17"/>
        <v>2395.992064152003</v>
      </c>
    </row>
    <row r="25" spans="2:40">
      <c r="B25" s="237"/>
      <c r="C25" s="7" t="s">
        <v>870</v>
      </c>
      <c r="E25" s="227">
        <f>(E21+E16+E18+E23)</f>
        <v>14863.79</v>
      </c>
      <c r="F25" s="227">
        <f t="shared" ref="F25:AN25" si="18">(F21+F16+F18+F23)</f>
        <v>17000.09</v>
      </c>
      <c r="G25" s="227">
        <f t="shared" si="18"/>
        <v>15353.369999999999</v>
      </c>
      <c r="H25" s="227">
        <f t="shared" si="18"/>
        <v>79272</v>
      </c>
      <c r="I25" s="227">
        <f t="shared" si="18"/>
        <v>23937.679999999997</v>
      </c>
      <c r="J25" s="227">
        <f t="shared" si="18"/>
        <v>21817.11</v>
      </c>
      <c r="K25" s="227">
        <f t="shared" si="18"/>
        <v>26056.799999999999</v>
      </c>
      <c r="L25" s="227">
        <f t="shared" si="18"/>
        <v>4941.2999999999993</v>
      </c>
      <c r="M25" s="201">
        <f t="shared" si="18"/>
        <v>38075.367784315611</v>
      </c>
      <c r="N25" s="201">
        <f t="shared" si="18"/>
        <v>56106.418285219857</v>
      </c>
      <c r="O25" s="201">
        <f t="shared" si="18"/>
        <v>53090.334128419854</v>
      </c>
      <c r="P25" s="201">
        <f t="shared" si="18"/>
        <v>41821.240121649927</v>
      </c>
      <c r="Q25" s="201">
        <f t="shared" si="18"/>
        <v>34035.344596531206</v>
      </c>
      <c r="R25" s="201">
        <f t="shared" si="18"/>
        <v>35906.566934000002</v>
      </c>
      <c r="S25" s="201">
        <f t="shared" si="18"/>
        <v>37136.148288404256</v>
      </c>
      <c r="T25" s="201">
        <f t="shared" si="18"/>
        <v>39841.539837700424</v>
      </c>
      <c r="U25" s="201">
        <f t="shared" si="18"/>
        <v>29302.189194516308</v>
      </c>
      <c r="V25" s="201">
        <f t="shared" si="18"/>
        <v>36988.855421008506</v>
      </c>
      <c r="W25" s="201">
        <f t="shared" si="18"/>
        <v>25948.656790774468</v>
      </c>
      <c r="X25" s="201">
        <f t="shared" si="18"/>
        <v>21080.969658880847</v>
      </c>
      <c r="Y25" s="201">
        <f t="shared" si="18"/>
        <v>40814.354260669497</v>
      </c>
      <c r="Z25" s="201">
        <f t="shared" si="18"/>
        <v>40788.001501815605</v>
      </c>
      <c r="AA25" s="201">
        <f t="shared" si="18"/>
        <v>26519.838395841361</v>
      </c>
      <c r="AB25" s="201">
        <f t="shared" si="18"/>
        <v>27433.611624918238</v>
      </c>
      <c r="AC25" s="201">
        <f t="shared" si="18"/>
        <v>26515.795775035462</v>
      </c>
      <c r="AD25" s="201">
        <f t="shared" si="18"/>
        <v>24662.530047336164</v>
      </c>
      <c r="AE25" s="201">
        <f t="shared" si="18"/>
        <v>27037.672807482897</v>
      </c>
      <c r="AF25" s="201">
        <f t="shared" si="18"/>
        <v>31675.81909963255</v>
      </c>
      <c r="AG25" s="201">
        <f t="shared" si="18"/>
        <v>22787.692128825202</v>
      </c>
      <c r="AH25" s="201">
        <f t="shared" si="18"/>
        <v>26280.15264900171</v>
      </c>
      <c r="AI25" s="201">
        <f t="shared" si="18"/>
        <v>22482.647670781742</v>
      </c>
      <c r="AJ25" s="201">
        <f t="shared" si="18"/>
        <v>19032.329968997372</v>
      </c>
      <c r="AK25" s="201">
        <f t="shared" si="18"/>
        <v>25992.725029977322</v>
      </c>
      <c r="AL25" s="201">
        <f t="shared" si="18"/>
        <v>22293.469710576872</v>
      </c>
      <c r="AM25" s="201">
        <f t="shared" si="18"/>
        <v>20669.606151348406</v>
      </c>
      <c r="AN25" s="201">
        <f t="shared" si="18"/>
        <v>23976.151194727372</v>
      </c>
    </row>
    <row r="26" spans="2:40">
      <c r="B26" s="235" t="s">
        <v>919</v>
      </c>
      <c r="C26" s="238" t="s">
        <v>812</v>
      </c>
      <c r="E26" s="228">
        <v>13503</v>
      </c>
      <c r="F26" s="228">
        <v>15270</v>
      </c>
      <c r="G26" s="228">
        <v>13838</v>
      </c>
      <c r="H26" s="228">
        <v>69927</v>
      </c>
      <c r="I26" s="228">
        <v>21222</v>
      </c>
      <c r="J26" s="228">
        <v>20290</v>
      </c>
      <c r="K26" s="228">
        <v>24138</v>
      </c>
      <c r="L26" s="228">
        <v>5476</v>
      </c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2"/>
      <c r="AC26" s="202"/>
      <c r="AD26" s="202"/>
      <c r="AE26" s="202"/>
      <c r="AF26" s="202"/>
      <c r="AG26" s="202"/>
      <c r="AH26" s="202"/>
      <c r="AI26" s="202"/>
      <c r="AJ26" s="202"/>
      <c r="AK26" s="202"/>
      <c r="AL26" s="202"/>
      <c r="AM26" s="202"/>
      <c r="AN26" s="202"/>
    </row>
    <row r="27" spans="2:40">
      <c r="B27" s="237"/>
      <c r="C27" s="7" t="s">
        <v>872</v>
      </c>
      <c r="E27" s="229">
        <f t="shared" ref="E27:H27" si="19">E26-E25</f>
        <v>-1360.7900000000009</v>
      </c>
      <c r="F27" s="229">
        <f t="shared" si="19"/>
        <v>-1730.0900000000001</v>
      </c>
      <c r="G27" s="229">
        <f t="shared" si="19"/>
        <v>-1515.369999999999</v>
      </c>
      <c r="H27" s="229">
        <f t="shared" si="19"/>
        <v>-9345</v>
      </c>
      <c r="I27" s="229">
        <f>I26-I25</f>
        <v>-2715.6799999999967</v>
      </c>
      <c r="J27" s="229">
        <f t="shared" ref="J27:L27" si="20">J26-J25</f>
        <v>-1527.1100000000006</v>
      </c>
      <c r="K27" s="229">
        <f t="shared" si="20"/>
        <v>-1918.7999999999993</v>
      </c>
      <c r="L27" s="229">
        <f t="shared" si="20"/>
        <v>534.70000000000073</v>
      </c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</row>
    <row r="28" spans="2:40">
      <c r="E28" s="230">
        <f>E27/E26</f>
        <v>-0.10077686440050365</v>
      </c>
      <c r="F28" s="230">
        <f t="shared" ref="F28:H28" si="21">F27/F26</f>
        <v>-0.11329993451211527</v>
      </c>
      <c r="G28" s="230">
        <f t="shared" si="21"/>
        <v>-0.10950787686081796</v>
      </c>
      <c r="H28" s="230">
        <f t="shared" si="21"/>
        <v>-0.13363936676820112</v>
      </c>
      <c r="I28" s="230">
        <f>I27/I26</f>
        <v>-0.12796531900857586</v>
      </c>
      <c r="J28" s="230">
        <f t="shared" ref="J28:L28" si="22">J27/J26</f>
        <v>-7.5264169541646164E-2</v>
      </c>
      <c r="K28" s="230">
        <f t="shared" si="22"/>
        <v>-7.9492915734526437E-2</v>
      </c>
      <c r="L28" s="230">
        <f t="shared" si="22"/>
        <v>9.7644265887509268E-2</v>
      </c>
    </row>
    <row r="29" spans="2:40">
      <c r="C29" s="7" t="s">
        <v>814</v>
      </c>
      <c r="E29" s="223">
        <v>0</v>
      </c>
      <c r="F29" s="223">
        <v>0</v>
      </c>
      <c r="G29" s="223">
        <v>0</v>
      </c>
      <c r="H29" s="223">
        <v>0</v>
      </c>
      <c r="I29" s="223">
        <v>0</v>
      </c>
      <c r="J29" s="223">
        <v>0</v>
      </c>
      <c r="K29" s="223">
        <v>0</v>
      </c>
      <c r="L29" s="223">
        <v>0</v>
      </c>
      <c r="M29" s="260">
        <v>0</v>
      </c>
      <c r="N29" s="260">
        <v>0</v>
      </c>
      <c r="O29" s="260">
        <v>0</v>
      </c>
      <c r="P29" s="260">
        <v>0</v>
      </c>
      <c r="Q29" s="260">
        <v>0</v>
      </c>
      <c r="R29" s="260">
        <v>0</v>
      </c>
      <c r="S29" s="260">
        <v>0</v>
      </c>
      <c r="T29" s="260">
        <v>0</v>
      </c>
      <c r="U29" s="260">
        <v>0</v>
      </c>
      <c r="V29" s="260">
        <v>0</v>
      </c>
      <c r="W29" s="260">
        <v>0</v>
      </c>
      <c r="X29" s="260">
        <v>0</v>
      </c>
      <c r="Y29" s="260">
        <v>0</v>
      </c>
      <c r="Z29" s="260">
        <v>0</v>
      </c>
      <c r="AA29" s="260">
        <v>0</v>
      </c>
      <c r="AB29" s="260">
        <v>0</v>
      </c>
      <c r="AC29" s="260">
        <v>0</v>
      </c>
      <c r="AD29" s="260">
        <v>0</v>
      </c>
      <c r="AE29" s="260">
        <v>0</v>
      </c>
      <c r="AF29" s="260">
        <v>0</v>
      </c>
      <c r="AG29" s="260">
        <v>0</v>
      </c>
      <c r="AH29" s="260">
        <v>0</v>
      </c>
      <c r="AI29" s="260">
        <v>0</v>
      </c>
      <c r="AJ29" s="260">
        <v>0</v>
      </c>
      <c r="AK29" s="260">
        <v>0</v>
      </c>
      <c r="AL29" s="260">
        <v>0</v>
      </c>
      <c r="AM29" s="260">
        <v>0</v>
      </c>
      <c r="AN29" s="260">
        <v>0</v>
      </c>
    </row>
    <row r="30" spans="2:40">
      <c r="E30" s="261"/>
      <c r="F30" s="261"/>
      <c r="G30" s="261"/>
      <c r="H30" s="261"/>
      <c r="I30" s="261"/>
      <c r="J30" s="184"/>
    </row>
    <row r="31" spans="2:40">
      <c r="E31" s="261"/>
      <c r="F31" s="261"/>
      <c r="G31" s="261"/>
      <c r="H31" s="261"/>
      <c r="I31" s="261"/>
      <c r="J31" s="184"/>
    </row>
    <row r="32" spans="2:40">
      <c r="C32" s="10" t="s">
        <v>815</v>
      </c>
      <c r="E32" s="261"/>
      <c r="F32" s="261"/>
      <c r="G32" s="261"/>
      <c r="H32" s="261"/>
      <c r="I32" s="261"/>
      <c r="J32" s="200"/>
      <c r="K32" s="10"/>
      <c r="L32" s="10"/>
      <c r="M32" s="10" t="s">
        <v>816</v>
      </c>
      <c r="N32" s="200" t="s">
        <v>817</v>
      </c>
      <c r="O32" s="10" t="s">
        <v>816</v>
      </c>
      <c r="P32" s="10" t="s">
        <v>816</v>
      </c>
      <c r="Q32" s="10" t="s">
        <v>816</v>
      </c>
      <c r="R32" s="10" t="s">
        <v>816</v>
      </c>
      <c r="S32" s="10" t="s">
        <v>816</v>
      </c>
      <c r="T32" s="10" t="s">
        <v>816</v>
      </c>
      <c r="U32" s="10" t="s">
        <v>816</v>
      </c>
      <c r="V32" s="10" t="s">
        <v>816</v>
      </c>
      <c r="W32" s="10" t="s">
        <v>816</v>
      </c>
      <c r="X32" s="10" t="s">
        <v>816</v>
      </c>
      <c r="Y32" s="10" t="s">
        <v>816</v>
      </c>
      <c r="Z32" s="10" t="s">
        <v>816</v>
      </c>
      <c r="AA32" s="10" t="s">
        <v>816</v>
      </c>
      <c r="AB32" s="10" t="s">
        <v>816</v>
      </c>
      <c r="AC32" s="10" t="s">
        <v>816</v>
      </c>
      <c r="AD32" s="10" t="s">
        <v>816</v>
      </c>
      <c r="AE32" s="10" t="s">
        <v>816</v>
      </c>
      <c r="AF32" s="10" t="s">
        <v>816</v>
      </c>
      <c r="AG32" s="10" t="s">
        <v>816</v>
      </c>
      <c r="AH32" s="10" t="s">
        <v>816</v>
      </c>
      <c r="AI32" s="10" t="s">
        <v>816</v>
      </c>
      <c r="AJ32" s="10" t="s">
        <v>816</v>
      </c>
      <c r="AK32" s="10" t="s">
        <v>816</v>
      </c>
      <c r="AL32" s="10" t="s">
        <v>816</v>
      </c>
      <c r="AM32" s="10" t="s">
        <v>816</v>
      </c>
      <c r="AN32" s="10" t="s">
        <v>816</v>
      </c>
    </row>
    <row r="33" spans="2:40">
      <c r="E33" s="261"/>
      <c r="F33" s="261"/>
      <c r="G33" s="261"/>
      <c r="H33" s="261"/>
      <c r="I33" s="261"/>
    </row>
    <row r="34" spans="2:40" ht="12" customHeight="1">
      <c r="B34" s="237" t="s">
        <v>819</v>
      </c>
      <c r="C34" s="208" t="s">
        <v>208</v>
      </c>
      <c r="D34" s="208"/>
      <c r="E34" s="218">
        <v>45689</v>
      </c>
      <c r="F34" s="218">
        <v>45717</v>
      </c>
      <c r="G34" s="218">
        <v>45748</v>
      </c>
      <c r="H34" s="218">
        <v>45778</v>
      </c>
      <c r="I34" s="218">
        <v>45809</v>
      </c>
      <c r="J34" s="218">
        <v>45839</v>
      </c>
      <c r="K34" s="218">
        <v>45870</v>
      </c>
      <c r="L34" s="218">
        <v>45901</v>
      </c>
      <c r="M34" s="195">
        <v>45931</v>
      </c>
      <c r="N34" s="195">
        <v>45962</v>
      </c>
      <c r="O34" s="195">
        <v>45992</v>
      </c>
      <c r="P34" s="195">
        <v>46023</v>
      </c>
      <c r="Q34" s="195">
        <v>46054</v>
      </c>
      <c r="R34" s="195">
        <v>46082</v>
      </c>
      <c r="S34" s="195">
        <v>46113</v>
      </c>
      <c r="T34" s="195">
        <v>46143</v>
      </c>
      <c r="U34" s="195">
        <v>46174</v>
      </c>
      <c r="V34" s="195">
        <v>46204</v>
      </c>
      <c r="W34" s="195">
        <v>46235</v>
      </c>
      <c r="X34" s="195">
        <v>46266</v>
      </c>
      <c r="Y34" s="195">
        <v>46296</v>
      </c>
      <c r="Z34" s="195">
        <v>46327</v>
      </c>
      <c r="AA34" s="195">
        <v>46357</v>
      </c>
      <c r="AB34" s="195">
        <v>46388</v>
      </c>
      <c r="AC34" s="195">
        <v>46419</v>
      </c>
      <c r="AD34" s="195">
        <v>46447</v>
      </c>
      <c r="AE34" s="195">
        <v>46478</v>
      </c>
      <c r="AF34" s="195">
        <v>46508</v>
      </c>
      <c r="AG34" s="195">
        <v>46539</v>
      </c>
      <c r="AH34" s="195">
        <v>46569</v>
      </c>
      <c r="AI34" s="195">
        <v>46600</v>
      </c>
      <c r="AJ34" s="195">
        <v>46631</v>
      </c>
      <c r="AK34" s="195">
        <v>46661</v>
      </c>
      <c r="AL34" s="195">
        <v>46692</v>
      </c>
      <c r="AM34" s="195">
        <v>46722</v>
      </c>
      <c r="AN34" s="195">
        <v>46753</v>
      </c>
    </row>
    <row r="35" spans="2:40" ht="12" customHeight="1">
      <c r="B35" s="237"/>
      <c r="C35" s="208"/>
      <c r="D35" s="208"/>
      <c r="E35" s="219" t="s">
        <v>753</v>
      </c>
      <c r="F35" s="219" t="s">
        <v>754</v>
      </c>
      <c r="G35" s="219" t="s">
        <v>755</v>
      </c>
      <c r="H35" s="219" t="s">
        <v>756</v>
      </c>
      <c r="I35" s="219" t="s">
        <v>757</v>
      </c>
      <c r="J35" s="219" t="s">
        <v>758</v>
      </c>
      <c r="K35" s="219" t="s">
        <v>759</v>
      </c>
      <c r="L35" s="219" t="s">
        <v>760</v>
      </c>
      <c r="M35" s="196" t="s">
        <v>761</v>
      </c>
      <c r="N35" s="196" t="s">
        <v>762</v>
      </c>
      <c r="O35" s="196" t="s">
        <v>763</v>
      </c>
      <c r="P35" s="196" t="s">
        <v>764</v>
      </c>
      <c r="Q35" s="196" t="s">
        <v>765</v>
      </c>
      <c r="R35" s="196" t="s">
        <v>766</v>
      </c>
      <c r="S35" s="196" t="s">
        <v>767</v>
      </c>
      <c r="T35" s="196" t="s">
        <v>768</v>
      </c>
      <c r="U35" s="196" t="s">
        <v>769</v>
      </c>
      <c r="V35" s="196" t="s">
        <v>770</v>
      </c>
      <c r="W35" s="196" t="s">
        <v>771</v>
      </c>
      <c r="X35" s="196" t="s">
        <v>772</v>
      </c>
      <c r="Y35" s="196" t="s">
        <v>773</v>
      </c>
      <c r="Z35" s="196" t="s">
        <v>774</v>
      </c>
      <c r="AA35" s="196" t="s">
        <v>775</v>
      </c>
      <c r="AB35" s="196" t="s">
        <v>776</v>
      </c>
      <c r="AC35" s="196" t="s">
        <v>777</v>
      </c>
      <c r="AD35" s="196" t="s">
        <v>778</v>
      </c>
      <c r="AE35" s="196" t="s">
        <v>779</v>
      </c>
      <c r="AF35" s="196" t="s">
        <v>780</v>
      </c>
      <c r="AG35" s="196" t="s">
        <v>781</v>
      </c>
      <c r="AH35" s="196" t="s">
        <v>782</v>
      </c>
      <c r="AI35" s="196" t="s">
        <v>783</v>
      </c>
      <c r="AJ35" s="196" t="s">
        <v>784</v>
      </c>
      <c r="AK35" s="196" t="s">
        <v>785</v>
      </c>
      <c r="AL35" s="196" t="s">
        <v>786</v>
      </c>
      <c r="AM35" s="196" t="s">
        <v>787</v>
      </c>
      <c r="AN35" s="196" t="s">
        <v>788</v>
      </c>
    </row>
    <row r="36" spans="2:40" ht="12" customHeight="1">
      <c r="B36" s="239" t="s">
        <v>910</v>
      </c>
      <c r="C36" s="212" t="s">
        <v>821</v>
      </c>
      <c r="D36" s="214"/>
      <c r="E36" s="232">
        <v>1137</v>
      </c>
      <c r="F36" s="232">
        <v>1128</v>
      </c>
      <c r="G36" s="232">
        <v>1155</v>
      </c>
      <c r="H36" s="232">
        <v>17058</v>
      </c>
      <c r="I36" s="232">
        <v>1579</v>
      </c>
      <c r="J36" s="232">
        <v>1866</v>
      </c>
      <c r="K36" s="232">
        <v>2412</v>
      </c>
      <c r="L36" s="232">
        <v>1433</v>
      </c>
      <c r="M36" s="204">
        <f t="shared" ref="M36:O36" si="23">L36</f>
        <v>1433</v>
      </c>
      <c r="N36" s="204">
        <v>20000</v>
      </c>
      <c r="O36" s="204">
        <f t="shared" si="23"/>
        <v>20000</v>
      </c>
      <c r="P36" s="204">
        <v>10000</v>
      </c>
      <c r="Q36" s="204">
        <f t="shared" ref="Q36:AB36" si="24">Q37*E36</f>
        <v>1137</v>
      </c>
      <c r="R36" s="204">
        <f t="shared" si="24"/>
        <v>2820</v>
      </c>
      <c r="S36" s="204">
        <f t="shared" si="24"/>
        <v>2887.5</v>
      </c>
      <c r="T36" s="204">
        <f t="shared" si="24"/>
        <v>1705.8000000000002</v>
      </c>
      <c r="U36" s="204">
        <f t="shared" si="24"/>
        <v>1579</v>
      </c>
      <c r="V36" s="204">
        <f t="shared" si="24"/>
        <v>1866</v>
      </c>
      <c r="W36" s="204">
        <f t="shared" si="24"/>
        <v>2412</v>
      </c>
      <c r="X36" s="204">
        <f t="shared" si="24"/>
        <v>1433</v>
      </c>
      <c r="Y36" s="204">
        <f t="shared" si="24"/>
        <v>5732</v>
      </c>
      <c r="Z36" s="204">
        <f t="shared" si="24"/>
        <v>10000</v>
      </c>
      <c r="AA36" s="204">
        <f t="shared" si="24"/>
        <v>6000</v>
      </c>
      <c r="AB36" s="204">
        <f t="shared" si="24"/>
        <v>4000</v>
      </c>
      <c r="AC36" s="204">
        <f t="shared" ref="AC36:AN36" si="25">AB36*102%</f>
        <v>4080</v>
      </c>
      <c r="AD36" s="204">
        <f t="shared" si="25"/>
        <v>4161.6000000000004</v>
      </c>
      <c r="AE36" s="204">
        <f t="shared" si="25"/>
        <v>4244.8320000000003</v>
      </c>
      <c r="AF36" s="204">
        <f t="shared" si="25"/>
        <v>4329.7286400000003</v>
      </c>
      <c r="AG36" s="204">
        <f t="shared" si="25"/>
        <v>4416.3232128</v>
      </c>
      <c r="AH36" s="204">
        <f t="shared" si="25"/>
        <v>4504.6496770559997</v>
      </c>
      <c r="AI36" s="204">
        <f t="shared" si="25"/>
        <v>4594.7426705971202</v>
      </c>
      <c r="AJ36" s="204">
        <f t="shared" si="25"/>
        <v>4686.6375240090629</v>
      </c>
      <c r="AK36" s="204">
        <f t="shared" si="25"/>
        <v>4780.3702744892444</v>
      </c>
      <c r="AL36" s="204">
        <f t="shared" si="25"/>
        <v>4875.9776799790297</v>
      </c>
      <c r="AM36" s="204">
        <f t="shared" si="25"/>
        <v>4973.4972335786106</v>
      </c>
      <c r="AN36" s="204">
        <f t="shared" si="25"/>
        <v>5072.9671782501828</v>
      </c>
    </row>
    <row r="37" spans="2:40" ht="12" customHeight="1">
      <c r="B37" s="239"/>
      <c r="D37" s="214"/>
      <c r="E37" s="205"/>
      <c r="F37" s="205"/>
      <c r="G37" s="205"/>
      <c r="H37" s="205"/>
      <c r="I37" s="205"/>
      <c r="J37" s="205"/>
      <c r="K37" s="205"/>
      <c r="L37" s="205"/>
      <c r="M37" s="205"/>
      <c r="N37" s="205"/>
      <c r="O37" s="205"/>
      <c r="P37" s="205"/>
      <c r="Q37" s="352">
        <v>1</v>
      </c>
      <c r="R37" s="352">
        <v>2.5</v>
      </c>
      <c r="S37" s="352">
        <v>2.5</v>
      </c>
      <c r="T37" s="352">
        <v>0.1</v>
      </c>
      <c r="U37" s="352">
        <v>1</v>
      </c>
      <c r="V37" s="352">
        <v>1</v>
      </c>
      <c r="W37" s="352">
        <v>1</v>
      </c>
      <c r="X37" s="352">
        <v>1</v>
      </c>
      <c r="Y37" s="352">
        <v>4</v>
      </c>
      <c r="Z37" s="352">
        <v>0.5</v>
      </c>
      <c r="AA37" s="352">
        <v>0.3</v>
      </c>
      <c r="AB37" s="352">
        <v>0.4</v>
      </c>
      <c r="AC37" s="352">
        <v>1</v>
      </c>
      <c r="AD37" s="352">
        <v>1</v>
      </c>
      <c r="AE37" s="352">
        <v>1</v>
      </c>
      <c r="AF37" s="352">
        <v>1</v>
      </c>
      <c r="AG37" s="352">
        <v>1</v>
      </c>
      <c r="AH37" s="352">
        <v>1</v>
      </c>
      <c r="AI37" s="352">
        <v>1</v>
      </c>
      <c r="AJ37" s="352">
        <v>1</v>
      </c>
      <c r="AK37" s="352">
        <v>1</v>
      </c>
      <c r="AL37" s="352">
        <v>1</v>
      </c>
      <c r="AM37" s="352">
        <v>1</v>
      </c>
      <c r="AN37" s="352">
        <v>1</v>
      </c>
    </row>
    <row r="38" spans="2:40">
      <c r="C38" s="240" t="s">
        <v>822</v>
      </c>
      <c r="D38" s="214"/>
    </row>
    <row r="39" spans="2:40">
      <c r="C39" s="241" t="s">
        <v>751</v>
      </c>
      <c r="E39" s="233"/>
      <c r="F39" s="233"/>
      <c r="G39" s="233"/>
      <c r="H39" s="233"/>
      <c r="I39" s="233"/>
      <c r="M39" s="187">
        <v>0.05</v>
      </c>
      <c r="N39" s="187">
        <v>0.05</v>
      </c>
      <c r="O39" s="187">
        <v>0.05</v>
      </c>
      <c r="P39" s="187">
        <v>0.05</v>
      </c>
      <c r="Q39" s="187">
        <v>0.05</v>
      </c>
      <c r="R39" s="187">
        <v>0.3</v>
      </c>
      <c r="S39" s="187">
        <v>0.3</v>
      </c>
      <c r="T39" s="187">
        <v>0.3</v>
      </c>
      <c r="U39" s="187">
        <v>0.3</v>
      </c>
      <c r="V39" s="187">
        <v>0.3</v>
      </c>
      <c r="W39" s="187">
        <v>0.3</v>
      </c>
      <c r="X39" s="187">
        <v>0.3</v>
      </c>
      <c r="Y39" s="187">
        <v>0.3</v>
      </c>
      <c r="Z39" s="187">
        <v>0.3</v>
      </c>
      <c r="AA39" s="187">
        <v>0.3</v>
      </c>
      <c r="AB39" s="187">
        <v>0.3</v>
      </c>
      <c r="AC39" s="187">
        <v>0.05</v>
      </c>
      <c r="AD39" s="187">
        <v>0.05</v>
      </c>
      <c r="AE39" s="187">
        <v>0.05</v>
      </c>
      <c r="AF39" s="187">
        <v>0.05</v>
      </c>
      <c r="AG39" s="187">
        <v>0.05</v>
      </c>
      <c r="AH39" s="187">
        <v>0.05</v>
      </c>
      <c r="AI39" s="187">
        <v>0.05</v>
      </c>
      <c r="AJ39" s="187">
        <v>0.05</v>
      </c>
      <c r="AK39" s="187">
        <v>0.05</v>
      </c>
      <c r="AL39" s="187">
        <v>0.05</v>
      </c>
      <c r="AM39" s="187">
        <v>0.05</v>
      </c>
      <c r="AN39" s="187">
        <v>0.05</v>
      </c>
    </row>
    <row r="40" spans="2:40">
      <c r="C40" s="241" t="s">
        <v>823</v>
      </c>
      <c r="E40" s="233"/>
      <c r="F40" s="233"/>
      <c r="G40" s="233"/>
      <c r="H40" s="233"/>
      <c r="I40" s="233"/>
      <c r="M40" s="187">
        <v>0.2</v>
      </c>
      <c r="N40" s="187">
        <v>0.2</v>
      </c>
      <c r="O40" s="187">
        <v>0.2</v>
      </c>
      <c r="P40" s="187">
        <v>0.2</v>
      </c>
      <c r="Q40" s="187">
        <v>0.2</v>
      </c>
      <c r="R40" s="187">
        <v>0.1</v>
      </c>
      <c r="S40" s="187">
        <v>0.1</v>
      </c>
      <c r="T40" s="187">
        <v>0.1</v>
      </c>
      <c r="U40" s="187">
        <v>0.1</v>
      </c>
      <c r="V40" s="187">
        <v>0.1</v>
      </c>
      <c r="W40" s="187">
        <v>0.1</v>
      </c>
      <c r="X40" s="187">
        <v>0.1</v>
      </c>
      <c r="Y40" s="187">
        <v>0.1</v>
      </c>
      <c r="Z40" s="187">
        <v>0.1</v>
      </c>
      <c r="AA40" s="187">
        <v>0.1</v>
      </c>
      <c r="AB40" s="187">
        <v>0.1</v>
      </c>
      <c r="AC40" s="187">
        <v>0.2</v>
      </c>
      <c r="AD40" s="187">
        <v>0.2</v>
      </c>
      <c r="AE40" s="187">
        <v>0.2</v>
      </c>
      <c r="AF40" s="187">
        <v>0.2</v>
      </c>
      <c r="AG40" s="187">
        <v>0.2</v>
      </c>
      <c r="AH40" s="187">
        <v>0.2</v>
      </c>
      <c r="AI40" s="187">
        <v>0.2</v>
      </c>
      <c r="AJ40" s="187">
        <v>0.2</v>
      </c>
      <c r="AK40" s="187">
        <v>0.2</v>
      </c>
      <c r="AL40" s="187">
        <v>0.2</v>
      </c>
      <c r="AM40" s="187">
        <v>0.2</v>
      </c>
      <c r="AN40" s="187">
        <v>0.2</v>
      </c>
    </row>
    <row r="41" spans="2:40">
      <c r="C41" s="241" t="s">
        <v>824</v>
      </c>
      <c r="E41" s="233"/>
      <c r="F41" s="233"/>
      <c r="G41" s="233"/>
      <c r="H41" s="233"/>
      <c r="I41" s="233"/>
      <c r="M41" s="187">
        <v>0.75</v>
      </c>
      <c r="N41" s="187">
        <v>0.75</v>
      </c>
      <c r="O41" s="187">
        <v>0.75</v>
      </c>
      <c r="P41" s="187">
        <v>0.75</v>
      </c>
      <c r="Q41" s="187">
        <v>0.75</v>
      </c>
      <c r="R41" s="187">
        <v>0.6</v>
      </c>
      <c r="S41" s="187">
        <v>0.6</v>
      </c>
      <c r="T41" s="187">
        <v>0.6</v>
      </c>
      <c r="U41" s="187">
        <v>0.6</v>
      </c>
      <c r="V41" s="187">
        <v>0.6</v>
      </c>
      <c r="W41" s="187">
        <v>0.6</v>
      </c>
      <c r="X41" s="187">
        <v>0.6</v>
      </c>
      <c r="Y41" s="187">
        <v>0.6</v>
      </c>
      <c r="Z41" s="187">
        <v>0.6</v>
      </c>
      <c r="AA41" s="187">
        <v>0.6</v>
      </c>
      <c r="AB41" s="187">
        <v>0.6</v>
      </c>
      <c r="AC41" s="187">
        <v>0.75</v>
      </c>
      <c r="AD41" s="187">
        <v>0.75</v>
      </c>
      <c r="AE41" s="187">
        <v>0.75</v>
      </c>
      <c r="AF41" s="187">
        <v>0.75</v>
      </c>
      <c r="AG41" s="187">
        <v>0.75</v>
      </c>
      <c r="AH41" s="187">
        <v>0.75</v>
      </c>
      <c r="AI41" s="187">
        <v>0.75</v>
      </c>
      <c r="AJ41" s="187">
        <v>0.75</v>
      </c>
      <c r="AK41" s="187">
        <v>0.75</v>
      </c>
      <c r="AL41" s="187">
        <v>0.75</v>
      </c>
      <c r="AM41" s="187">
        <v>0.75</v>
      </c>
      <c r="AN41" s="187">
        <v>0.75</v>
      </c>
    </row>
    <row r="42" spans="2:40">
      <c r="M42" s="206">
        <f t="shared" ref="M42:AN42" si="26">1-M39-M40-M41</f>
        <v>0</v>
      </c>
      <c r="N42" s="206">
        <f t="shared" si="26"/>
        <v>0</v>
      </c>
      <c r="O42" s="206">
        <f t="shared" si="26"/>
        <v>0</v>
      </c>
      <c r="P42" s="206">
        <f t="shared" si="26"/>
        <v>0</v>
      </c>
      <c r="Q42" s="206">
        <f t="shared" si="26"/>
        <v>0</v>
      </c>
      <c r="R42" s="206">
        <f t="shared" si="26"/>
        <v>0</v>
      </c>
      <c r="S42" s="206">
        <f t="shared" si="26"/>
        <v>0</v>
      </c>
      <c r="T42" s="206">
        <f t="shared" si="26"/>
        <v>0</v>
      </c>
      <c r="U42" s="206">
        <f t="shared" si="26"/>
        <v>0</v>
      </c>
      <c r="V42" s="206">
        <f t="shared" si="26"/>
        <v>0</v>
      </c>
      <c r="W42" s="206">
        <f t="shared" si="26"/>
        <v>0</v>
      </c>
      <c r="X42" s="206">
        <f t="shared" si="26"/>
        <v>0</v>
      </c>
      <c r="Y42" s="206">
        <f t="shared" si="26"/>
        <v>0</v>
      </c>
      <c r="Z42" s="206">
        <f t="shared" si="26"/>
        <v>0</v>
      </c>
      <c r="AA42" s="206">
        <f t="shared" si="26"/>
        <v>0</v>
      </c>
      <c r="AB42" s="206">
        <f t="shared" si="26"/>
        <v>0</v>
      </c>
      <c r="AC42" s="206">
        <f t="shared" si="26"/>
        <v>0</v>
      </c>
      <c r="AD42" s="206">
        <f t="shared" si="26"/>
        <v>0</v>
      </c>
      <c r="AE42" s="206">
        <f t="shared" si="26"/>
        <v>0</v>
      </c>
      <c r="AF42" s="206">
        <f t="shared" si="26"/>
        <v>0</v>
      </c>
      <c r="AG42" s="206">
        <f t="shared" si="26"/>
        <v>0</v>
      </c>
      <c r="AH42" s="206">
        <f t="shared" si="26"/>
        <v>0</v>
      </c>
      <c r="AI42" s="206">
        <f t="shared" si="26"/>
        <v>0</v>
      </c>
      <c r="AJ42" s="206">
        <f t="shared" si="26"/>
        <v>0</v>
      </c>
      <c r="AK42" s="206">
        <f t="shared" si="26"/>
        <v>0</v>
      </c>
      <c r="AL42" s="206">
        <f t="shared" si="26"/>
        <v>0</v>
      </c>
      <c r="AM42" s="206">
        <f t="shared" si="26"/>
        <v>0</v>
      </c>
      <c r="AN42" s="206">
        <f t="shared" si="26"/>
        <v>0</v>
      </c>
    </row>
    <row r="43" spans="2:40" s="207" customFormat="1">
      <c r="C43" s="242" t="s">
        <v>825</v>
      </c>
    </row>
    <row r="44" spans="2:40" ht="12" customHeight="1" outlineLevel="1">
      <c r="C44" s="208"/>
      <c r="D44" s="208"/>
      <c r="E44" s="196" t="s">
        <v>753</v>
      </c>
      <c r="F44" s="196" t="s">
        <v>754</v>
      </c>
      <c r="G44" s="196" t="s">
        <v>755</v>
      </c>
      <c r="H44" s="196" t="s">
        <v>756</v>
      </c>
      <c r="I44" s="196" t="s">
        <v>757</v>
      </c>
      <c r="J44" s="196" t="s">
        <v>758</v>
      </c>
      <c r="K44" s="196" t="s">
        <v>759</v>
      </c>
      <c r="L44" s="196" t="s">
        <v>760</v>
      </c>
      <c r="M44" s="196" t="s">
        <v>761</v>
      </c>
      <c r="N44" s="196" t="s">
        <v>762</v>
      </c>
      <c r="O44" s="196" t="s">
        <v>763</v>
      </c>
      <c r="P44" s="196" t="s">
        <v>764</v>
      </c>
      <c r="Q44" s="196" t="s">
        <v>765</v>
      </c>
      <c r="R44" s="196" t="s">
        <v>766</v>
      </c>
      <c r="S44" s="196" t="s">
        <v>767</v>
      </c>
      <c r="T44" s="196" t="s">
        <v>768</v>
      </c>
      <c r="U44" s="196" t="s">
        <v>769</v>
      </c>
      <c r="V44" s="196" t="s">
        <v>770</v>
      </c>
      <c r="W44" s="196" t="s">
        <v>771</v>
      </c>
      <c r="X44" s="196" t="s">
        <v>772</v>
      </c>
      <c r="Y44" s="196" t="s">
        <v>773</v>
      </c>
      <c r="Z44" s="196" t="s">
        <v>774</v>
      </c>
      <c r="AA44" s="196" t="s">
        <v>775</v>
      </c>
      <c r="AB44" s="196" t="s">
        <v>776</v>
      </c>
      <c r="AC44" s="196" t="s">
        <v>777</v>
      </c>
      <c r="AD44" s="196" t="s">
        <v>778</v>
      </c>
      <c r="AE44" s="196" t="s">
        <v>779</v>
      </c>
      <c r="AF44" s="196" t="s">
        <v>780</v>
      </c>
      <c r="AG44" s="196" t="s">
        <v>781</v>
      </c>
      <c r="AH44" s="196" t="s">
        <v>782</v>
      </c>
      <c r="AI44" s="196" t="s">
        <v>783</v>
      </c>
      <c r="AJ44" s="196" t="s">
        <v>784</v>
      </c>
      <c r="AK44" s="196" t="s">
        <v>785</v>
      </c>
      <c r="AL44" s="196" t="s">
        <v>786</v>
      </c>
      <c r="AM44" s="196" t="s">
        <v>787</v>
      </c>
      <c r="AN44" s="196" t="s">
        <v>788</v>
      </c>
    </row>
    <row r="45" spans="2:40" ht="12" customHeight="1" outlineLevel="1">
      <c r="B45" s="239"/>
      <c r="C45" s="214" t="s">
        <v>821</v>
      </c>
      <c r="D45" s="212"/>
      <c r="E45" s="188"/>
      <c r="F45" s="188"/>
      <c r="G45" s="188"/>
      <c r="H45" s="188"/>
      <c r="I45" s="188"/>
      <c r="J45" s="188">
        <f>J36*J39</f>
        <v>0</v>
      </c>
      <c r="K45" s="188">
        <f t="shared" ref="K45:AN45" si="27">K36*K39</f>
        <v>0</v>
      </c>
      <c r="L45" s="188">
        <f t="shared" si="27"/>
        <v>0</v>
      </c>
      <c r="M45" s="188">
        <f t="shared" si="27"/>
        <v>71.650000000000006</v>
      </c>
      <c r="N45" s="188">
        <f t="shared" si="27"/>
        <v>1000</v>
      </c>
      <c r="O45" s="188">
        <f t="shared" si="27"/>
        <v>1000</v>
      </c>
      <c r="P45" s="188">
        <f t="shared" si="27"/>
        <v>500</v>
      </c>
      <c r="Q45" s="188">
        <f t="shared" si="27"/>
        <v>56.85</v>
      </c>
      <c r="R45" s="188">
        <f t="shared" si="27"/>
        <v>846</v>
      </c>
      <c r="S45" s="188">
        <f t="shared" si="27"/>
        <v>866.25</v>
      </c>
      <c r="T45" s="188">
        <f t="shared" si="27"/>
        <v>511.74</v>
      </c>
      <c r="U45" s="188">
        <f t="shared" si="27"/>
        <v>473.7</v>
      </c>
      <c r="V45" s="188">
        <f t="shared" si="27"/>
        <v>559.79999999999995</v>
      </c>
      <c r="W45" s="188">
        <f t="shared" si="27"/>
        <v>723.6</v>
      </c>
      <c r="X45" s="188">
        <f t="shared" si="27"/>
        <v>429.9</v>
      </c>
      <c r="Y45" s="188">
        <f t="shared" si="27"/>
        <v>1719.6</v>
      </c>
      <c r="Z45" s="188">
        <f t="shared" si="27"/>
        <v>3000</v>
      </c>
      <c r="AA45" s="188">
        <f t="shared" si="27"/>
        <v>1800</v>
      </c>
      <c r="AB45" s="188">
        <f t="shared" si="27"/>
        <v>1200</v>
      </c>
      <c r="AC45" s="188">
        <f t="shared" si="27"/>
        <v>204</v>
      </c>
      <c r="AD45" s="188">
        <f t="shared" si="27"/>
        <v>208.08000000000004</v>
      </c>
      <c r="AE45" s="188">
        <f t="shared" si="27"/>
        <v>212.24160000000003</v>
      </c>
      <c r="AF45" s="188">
        <f t="shared" si="27"/>
        <v>216.48643200000004</v>
      </c>
      <c r="AG45" s="188">
        <f t="shared" si="27"/>
        <v>220.81616064000002</v>
      </c>
      <c r="AH45" s="188">
        <f t="shared" si="27"/>
        <v>225.23248385279999</v>
      </c>
      <c r="AI45" s="188">
        <f t="shared" si="27"/>
        <v>229.73713352985601</v>
      </c>
      <c r="AJ45" s="188">
        <f t="shared" si="27"/>
        <v>234.33187620045317</v>
      </c>
      <c r="AK45" s="188">
        <f t="shared" si="27"/>
        <v>239.01851372446222</v>
      </c>
      <c r="AL45" s="188">
        <f t="shared" si="27"/>
        <v>243.79888399895151</v>
      </c>
      <c r="AM45" s="188">
        <f t="shared" si="27"/>
        <v>248.67486167893054</v>
      </c>
      <c r="AN45" s="188">
        <f t="shared" si="27"/>
        <v>253.64835891250914</v>
      </c>
    </row>
    <row r="46" spans="2:40" ht="12" customHeight="1" outlineLevel="1">
      <c r="B46" s="239"/>
      <c r="C46" s="214" t="s">
        <v>827</v>
      </c>
      <c r="D46" s="212"/>
      <c r="E46" s="234"/>
      <c r="F46" s="234"/>
      <c r="G46" s="234"/>
      <c r="H46" s="234"/>
      <c r="I46" s="234"/>
      <c r="J46" s="234"/>
      <c r="K46" s="234"/>
      <c r="L46" s="234"/>
      <c r="M46" s="189">
        <v>84.6</v>
      </c>
      <c r="N46" s="189">
        <v>84.6</v>
      </c>
      <c r="O46" s="189">
        <v>84.6</v>
      </c>
      <c r="P46" s="189">
        <v>84.6</v>
      </c>
      <c r="Q46" s="189">
        <v>84.6</v>
      </c>
      <c r="R46" s="189">
        <v>84.6</v>
      </c>
      <c r="S46" s="189">
        <v>84.6</v>
      </c>
      <c r="T46" s="189">
        <v>84.6</v>
      </c>
      <c r="U46" s="189">
        <v>84.6</v>
      </c>
      <c r="V46" s="189">
        <v>84.6</v>
      </c>
      <c r="W46" s="189">
        <v>84.6</v>
      </c>
      <c r="X46" s="189">
        <v>84.6</v>
      </c>
      <c r="Y46" s="189">
        <v>84.6</v>
      </c>
      <c r="Z46" s="189">
        <v>84.6</v>
      </c>
      <c r="AA46" s="189">
        <v>84.6</v>
      </c>
      <c r="AB46" s="189">
        <v>84.6</v>
      </c>
      <c r="AC46" s="189">
        <v>84.6</v>
      </c>
      <c r="AD46" s="189">
        <v>84.6</v>
      </c>
      <c r="AE46" s="189">
        <v>84.6</v>
      </c>
      <c r="AF46" s="189">
        <v>84.6</v>
      </c>
      <c r="AG46" s="189">
        <v>84.6</v>
      </c>
      <c r="AH46" s="189">
        <v>84.6</v>
      </c>
      <c r="AI46" s="189">
        <v>84.6</v>
      </c>
      <c r="AJ46" s="189">
        <v>84.6</v>
      </c>
      <c r="AK46" s="189">
        <v>84.6</v>
      </c>
      <c r="AL46" s="189">
        <v>84.6</v>
      </c>
      <c r="AM46" s="189">
        <v>84.6</v>
      </c>
      <c r="AN46" s="189">
        <v>84.6</v>
      </c>
    </row>
    <row r="47" spans="2:40" ht="12" customHeight="1" outlineLevel="1">
      <c r="B47" s="239"/>
      <c r="C47" s="214" t="s">
        <v>829</v>
      </c>
      <c r="D47" s="212"/>
      <c r="E47" s="232"/>
      <c r="F47" s="232"/>
      <c r="G47" s="232"/>
      <c r="H47" s="232"/>
      <c r="I47" s="232"/>
      <c r="J47" s="232"/>
      <c r="K47" s="232"/>
      <c r="L47" s="232"/>
      <c r="M47" s="205">
        <f t="shared" ref="M47:AN47" si="28">M45/M46</f>
        <v>0.84692671394799068</v>
      </c>
      <c r="N47" s="205">
        <f t="shared" si="28"/>
        <v>11.82033096926714</v>
      </c>
      <c r="O47" s="205">
        <f t="shared" si="28"/>
        <v>11.82033096926714</v>
      </c>
      <c r="P47" s="205">
        <f t="shared" si="28"/>
        <v>5.9101654846335698</v>
      </c>
      <c r="Q47" s="205">
        <f t="shared" si="28"/>
        <v>0.67198581560283699</v>
      </c>
      <c r="R47" s="205">
        <f t="shared" si="28"/>
        <v>10</v>
      </c>
      <c r="S47" s="205">
        <f t="shared" si="28"/>
        <v>10.23936170212766</v>
      </c>
      <c r="T47" s="205">
        <f t="shared" si="28"/>
        <v>6.0489361702127669</v>
      </c>
      <c r="U47" s="205">
        <f t="shared" si="28"/>
        <v>5.5992907801418443</v>
      </c>
      <c r="V47" s="205">
        <f t="shared" si="28"/>
        <v>6.6170212765957448</v>
      </c>
      <c r="W47" s="205">
        <f t="shared" si="28"/>
        <v>8.5531914893617031</v>
      </c>
      <c r="X47" s="205">
        <f t="shared" si="28"/>
        <v>5.081560283687943</v>
      </c>
      <c r="Y47" s="205">
        <f t="shared" si="28"/>
        <v>20.326241134751772</v>
      </c>
      <c r="Z47" s="205">
        <f t="shared" si="28"/>
        <v>35.460992907801419</v>
      </c>
      <c r="AA47" s="205">
        <f t="shared" si="28"/>
        <v>21.276595744680854</v>
      </c>
      <c r="AB47" s="205">
        <f t="shared" si="28"/>
        <v>14.184397163120568</v>
      </c>
      <c r="AC47" s="205">
        <f t="shared" si="28"/>
        <v>2.4113475177304968</v>
      </c>
      <c r="AD47" s="205">
        <f t="shared" si="28"/>
        <v>2.459574468085107</v>
      </c>
      <c r="AE47" s="205">
        <f t="shared" si="28"/>
        <v>2.5087659574468089</v>
      </c>
      <c r="AF47" s="205">
        <f t="shared" si="28"/>
        <v>2.5589412765957453</v>
      </c>
      <c r="AG47" s="205">
        <f t="shared" si="28"/>
        <v>2.6101201021276599</v>
      </c>
      <c r="AH47" s="205">
        <f t="shared" si="28"/>
        <v>2.6623225041702128</v>
      </c>
      <c r="AI47" s="205">
        <f t="shared" si="28"/>
        <v>2.7155689542536172</v>
      </c>
      <c r="AJ47" s="205">
        <f t="shared" si="28"/>
        <v>2.7698803333386901</v>
      </c>
      <c r="AK47" s="205">
        <f t="shared" si="28"/>
        <v>2.825277940005464</v>
      </c>
      <c r="AL47" s="205">
        <f t="shared" si="28"/>
        <v>2.8817834988055737</v>
      </c>
      <c r="AM47" s="205">
        <f t="shared" si="28"/>
        <v>2.9394191687816851</v>
      </c>
      <c r="AN47" s="205">
        <f t="shared" si="28"/>
        <v>2.9982075521573188</v>
      </c>
    </row>
    <row r="48" spans="2:40" ht="12" customHeight="1" outlineLevel="1">
      <c r="B48" s="239"/>
      <c r="C48" s="214" t="s">
        <v>830</v>
      </c>
      <c r="D48" s="212"/>
      <c r="E48" s="256">
        <v>0</v>
      </c>
      <c r="F48" s="256">
        <v>0</v>
      </c>
      <c r="G48" s="256">
        <v>0</v>
      </c>
      <c r="H48" s="256">
        <v>0</v>
      </c>
      <c r="I48" s="256">
        <v>0</v>
      </c>
      <c r="J48" s="256">
        <v>0</v>
      </c>
      <c r="K48" s="256">
        <v>0</v>
      </c>
      <c r="L48" s="256">
        <v>0</v>
      </c>
      <c r="M48" s="190">
        <v>0</v>
      </c>
      <c r="N48" s="190">
        <v>0</v>
      </c>
      <c r="O48" s="190">
        <v>0</v>
      </c>
      <c r="P48" s="190">
        <v>0</v>
      </c>
      <c r="Q48" s="190">
        <v>0</v>
      </c>
      <c r="R48" s="190">
        <f>Q48</f>
        <v>0</v>
      </c>
      <c r="S48" s="190">
        <f t="shared" ref="S48:AN48" si="29">R48</f>
        <v>0</v>
      </c>
      <c r="T48" s="190">
        <f t="shared" si="29"/>
        <v>0</v>
      </c>
      <c r="U48" s="190">
        <v>0.1</v>
      </c>
      <c r="V48" s="190">
        <f t="shared" si="29"/>
        <v>0.1</v>
      </c>
      <c r="W48" s="190">
        <v>0.2</v>
      </c>
      <c r="X48" s="190">
        <f t="shared" si="29"/>
        <v>0.2</v>
      </c>
      <c r="Y48" s="190">
        <v>0</v>
      </c>
      <c r="Z48" s="190">
        <f t="shared" si="29"/>
        <v>0</v>
      </c>
      <c r="AA48" s="190">
        <f t="shared" si="29"/>
        <v>0</v>
      </c>
      <c r="AB48" s="190">
        <f t="shared" si="29"/>
        <v>0</v>
      </c>
      <c r="AC48" s="190">
        <f t="shared" si="29"/>
        <v>0</v>
      </c>
      <c r="AD48" s="190">
        <f t="shared" si="29"/>
        <v>0</v>
      </c>
      <c r="AE48" s="190">
        <f t="shared" si="29"/>
        <v>0</v>
      </c>
      <c r="AF48" s="190">
        <f t="shared" si="29"/>
        <v>0</v>
      </c>
      <c r="AG48" s="190">
        <f t="shared" si="29"/>
        <v>0</v>
      </c>
      <c r="AH48" s="190">
        <f t="shared" si="29"/>
        <v>0</v>
      </c>
      <c r="AI48" s="190">
        <f t="shared" si="29"/>
        <v>0</v>
      </c>
      <c r="AJ48" s="190">
        <f t="shared" si="29"/>
        <v>0</v>
      </c>
      <c r="AK48" s="190">
        <f t="shared" si="29"/>
        <v>0</v>
      </c>
      <c r="AL48" s="190">
        <f t="shared" si="29"/>
        <v>0</v>
      </c>
      <c r="AM48" s="190">
        <f t="shared" si="29"/>
        <v>0</v>
      </c>
      <c r="AN48" s="190">
        <f t="shared" si="29"/>
        <v>0</v>
      </c>
    </row>
    <row r="49" spans="2:40" ht="12" customHeight="1" outlineLevel="1">
      <c r="B49" s="239"/>
      <c r="C49" s="214" t="s">
        <v>831</v>
      </c>
      <c r="D49" s="212"/>
      <c r="E49" s="232">
        <f t="shared" ref="E49:AN49" si="30">E47*E48</f>
        <v>0</v>
      </c>
      <c r="F49" s="232">
        <f t="shared" ref="F49:L49" si="31">F47*F48</f>
        <v>0</v>
      </c>
      <c r="G49" s="232">
        <f t="shared" si="31"/>
        <v>0</v>
      </c>
      <c r="H49" s="232">
        <f t="shared" si="31"/>
        <v>0</v>
      </c>
      <c r="I49" s="232">
        <f t="shared" si="31"/>
        <v>0</v>
      </c>
      <c r="J49" s="232">
        <f t="shared" si="31"/>
        <v>0</v>
      </c>
      <c r="K49" s="232">
        <f t="shared" si="31"/>
        <v>0</v>
      </c>
      <c r="L49" s="232">
        <f t="shared" si="31"/>
        <v>0</v>
      </c>
      <c r="M49" s="205">
        <f t="shared" si="30"/>
        <v>0</v>
      </c>
      <c r="N49" s="205">
        <f t="shared" si="30"/>
        <v>0</v>
      </c>
      <c r="O49" s="205">
        <f t="shared" si="30"/>
        <v>0</v>
      </c>
      <c r="P49" s="205">
        <f t="shared" si="30"/>
        <v>0</v>
      </c>
      <c r="Q49" s="205">
        <f t="shared" si="30"/>
        <v>0</v>
      </c>
      <c r="R49" s="205">
        <f t="shared" si="30"/>
        <v>0</v>
      </c>
      <c r="S49" s="205">
        <f t="shared" si="30"/>
        <v>0</v>
      </c>
      <c r="T49" s="205">
        <f t="shared" si="30"/>
        <v>0</v>
      </c>
      <c r="U49" s="205">
        <f t="shared" si="30"/>
        <v>0.55992907801418446</v>
      </c>
      <c r="V49" s="205">
        <f t="shared" si="30"/>
        <v>0.66170212765957448</v>
      </c>
      <c r="W49" s="205">
        <f t="shared" si="30"/>
        <v>1.7106382978723407</v>
      </c>
      <c r="X49" s="205">
        <f t="shared" si="30"/>
        <v>1.0163120567375887</v>
      </c>
      <c r="Y49" s="205">
        <f t="shared" si="30"/>
        <v>0</v>
      </c>
      <c r="Z49" s="205">
        <f t="shared" si="30"/>
        <v>0</v>
      </c>
      <c r="AA49" s="205">
        <f t="shared" si="30"/>
        <v>0</v>
      </c>
      <c r="AB49" s="205">
        <f t="shared" si="30"/>
        <v>0</v>
      </c>
      <c r="AC49" s="205">
        <f t="shared" si="30"/>
        <v>0</v>
      </c>
      <c r="AD49" s="205">
        <f t="shared" si="30"/>
        <v>0</v>
      </c>
      <c r="AE49" s="205">
        <f t="shared" si="30"/>
        <v>0</v>
      </c>
      <c r="AF49" s="205">
        <f t="shared" si="30"/>
        <v>0</v>
      </c>
      <c r="AG49" s="205">
        <f t="shared" si="30"/>
        <v>0</v>
      </c>
      <c r="AH49" s="205">
        <f t="shared" si="30"/>
        <v>0</v>
      </c>
      <c r="AI49" s="205">
        <f t="shared" si="30"/>
        <v>0</v>
      </c>
      <c r="AJ49" s="205">
        <f t="shared" si="30"/>
        <v>0</v>
      </c>
      <c r="AK49" s="205">
        <f t="shared" si="30"/>
        <v>0</v>
      </c>
      <c r="AL49" s="205">
        <f t="shared" si="30"/>
        <v>0</v>
      </c>
      <c r="AM49" s="205">
        <f t="shared" si="30"/>
        <v>0</v>
      </c>
      <c r="AN49" s="205">
        <f t="shared" si="30"/>
        <v>0</v>
      </c>
    </row>
    <row r="50" spans="2:40" ht="12" customHeight="1" outlineLevel="1">
      <c r="B50" s="239"/>
      <c r="C50" s="214" t="s">
        <v>833</v>
      </c>
      <c r="D50" s="212"/>
      <c r="E50" s="232">
        <v>6</v>
      </c>
      <c r="F50" s="232">
        <v>7</v>
      </c>
      <c r="G50" s="232">
        <v>6</v>
      </c>
      <c r="H50" s="232">
        <f>18+11</f>
        <v>29</v>
      </c>
      <c r="I50" s="232">
        <f>3+5</f>
        <v>8</v>
      </c>
      <c r="J50" s="232">
        <f>8+10</f>
        <v>18</v>
      </c>
      <c r="K50" s="232">
        <f>11+3</f>
        <v>14</v>
      </c>
      <c r="L50" s="232">
        <v>10</v>
      </c>
      <c r="M50" s="205">
        <f t="shared" ref="M50:AN50" si="32">M47+M49</f>
        <v>0.84692671394799068</v>
      </c>
      <c r="N50" s="205">
        <f t="shared" si="32"/>
        <v>11.82033096926714</v>
      </c>
      <c r="O50" s="205">
        <f t="shared" si="32"/>
        <v>11.82033096926714</v>
      </c>
      <c r="P50" s="205">
        <f t="shared" si="32"/>
        <v>5.9101654846335698</v>
      </c>
      <c r="Q50" s="205">
        <f t="shared" si="32"/>
        <v>0.67198581560283699</v>
      </c>
      <c r="R50" s="205">
        <f t="shared" si="32"/>
        <v>10</v>
      </c>
      <c r="S50" s="205">
        <f>S47+S49</f>
        <v>10.23936170212766</v>
      </c>
      <c r="T50" s="205">
        <f t="shared" si="32"/>
        <v>6.0489361702127669</v>
      </c>
      <c r="U50" s="205">
        <f t="shared" si="32"/>
        <v>6.1592198581560291</v>
      </c>
      <c r="V50" s="205">
        <f t="shared" si="32"/>
        <v>7.2787234042553193</v>
      </c>
      <c r="W50" s="205">
        <f t="shared" si="32"/>
        <v>10.263829787234044</v>
      </c>
      <c r="X50" s="205">
        <f t="shared" si="32"/>
        <v>6.0978723404255319</v>
      </c>
      <c r="Y50" s="205">
        <f t="shared" si="32"/>
        <v>20.326241134751772</v>
      </c>
      <c r="Z50" s="205">
        <f t="shared" si="32"/>
        <v>35.460992907801419</v>
      </c>
      <c r="AA50" s="205">
        <f t="shared" si="32"/>
        <v>21.276595744680854</v>
      </c>
      <c r="AB50" s="205">
        <f t="shared" si="32"/>
        <v>14.184397163120568</v>
      </c>
      <c r="AC50" s="205">
        <f t="shared" si="32"/>
        <v>2.4113475177304968</v>
      </c>
      <c r="AD50" s="205">
        <f t="shared" si="32"/>
        <v>2.459574468085107</v>
      </c>
      <c r="AE50" s="205">
        <f t="shared" si="32"/>
        <v>2.5087659574468089</v>
      </c>
      <c r="AF50" s="205">
        <f t="shared" si="32"/>
        <v>2.5589412765957453</v>
      </c>
      <c r="AG50" s="205">
        <f t="shared" si="32"/>
        <v>2.6101201021276599</v>
      </c>
      <c r="AH50" s="205">
        <f t="shared" si="32"/>
        <v>2.6623225041702128</v>
      </c>
      <c r="AI50" s="205">
        <f t="shared" si="32"/>
        <v>2.7155689542536172</v>
      </c>
      <c r="AJ50" s="205">
        <f t="shared" si="32"/>
        <v>2.7698803333386901</v>
      </c>
      <c r="AK50" s="205">
        <f t="shared" si="32"/>
        <v>2.825277940005464</v>
      </c>
      <c r="AL50" s="205">
        <f t="shared" si="32"/>
        <v>2.8817834988055737</v>
      </c>
      <c r="AM50" s="205">
        <f t="shared" si="32"/>
        <v>2.9394191687816851</v>
      </c>
      <c r="AN50" s="205">
        <f t="shared" si="32"/>
        <v>2.9982075521573188</v>
      </c>
    </row>
    <row r="51" spans="2:40" ht="12" customHeight="1" outlineLevel="1">
      <c r="B51" s="239"/>
      <c r="C51" s="214" t="s">
        <v>834</v>
      </c>
      <c r="D51" s="212"/>
      <c r="E51" s="232">
        <v>5</v>
      </c>
      <c r="F51" s="232">
        <v>6</v>
      </c>
      <c r="G51" s="232">
        <v>1</v>
      </c>
      <c r="H51" s="232">
        <v>11</v>
      </c>
      <c r="I51" s="232">
        <v>5</v>
      </c>
      <c r="J51" s="232">
        <v>10</v>
      </c>
      <c r="K51" s="232">
        <v>11</v>
      </c>
      <c r="L51" s="232">
        <v>9</v>
      </c>
      <c r="M51" s="205">
        <f t="shared" ref="M51:AN51" si="33">M59+M60</f>
        <v>0.76223404255319172</v>
      </c>
      <c r="N51" s="205">
        <f t="shared" si="33"/>
        <v>10.638297872340427</v>
      </c>
      <c r="O51" s="205">
        <f t="shared" si="33"/>
        <v>10.638297872340427</v>
      </c>
      <c r="P51" s="205">
        <f t="shared" si="33"/>
        <v>5.3191489361702136</v>
      </c>
      <c r="Q51" s="205">
        <f t="shared" si="33"/>
        <v>0.6047872340425533</v>
      </c>
      <c r="R51" s="205">
        <f t="shared" si="33"/>
        <v>9</v>
      </c>
      <c r="S51" s="205">
        <f t="shared" si="33"/>
        <v>9.2154255319148941</v>
      </c>
      <c r="T51" s="205">
        <f t="shared" si="33"/>
        <v>5.4440425531914904</v>
      </c>
      <c r="U51" s="205">
        <f t="shared" si="33"/>
        <v>5.5432978723404265</v>
      </c>
      <c r="V51" s="205">
        <f t="shared" si="33"/>
        <v>6.5508510638297874</v>
      </c>
      <c r="W51" s="205">
        <f t="shared" si="33"/>
        <v>9.23744680851064</v>
      </c>
      <c r="X51" s="205">
        <f t="shared" si="33"/>
        <v>5.4880851063829788</v>
      </c>
      <c r="Y51" s="205">
        <f t="shared" si="33"/>
        <v>18.293617021276596</v>
      </c>
      <c r="Z51" s="205">
        <f t="shared" si="33"/>
        <v>31.914893617021278</v>
      </c>
      <c r="AA51" s="205">
        <f t="shared" si="33"/>
        <v>19.148936170212771</v>
      </c>
      <c r="AB51" s="205">
        <f t="shared" si="33"/>
        <v>12.765957446808514</v>
      </c>
      <c r="AC51" s="205">
        <f t="shared" si="33"/>
        <v>2.1702127659574471</v>
      </c>
      <c r="AD51" s="205">
        <f t="shared" si="33"/>
        <v>2.2136170212765967</v>
      </c>
      <c r="AE51" s="205">
        <f t="shared" si="33"/>
        <v>2.2578893617021283</v>
      </c>
      <c r="AF51" s="205">
        <f t="shared" si="33"/>
        <v>2.3030471489361708</v>
      </c>
      <c r="AG51" s="205">
        <f t="shared" si="33"/>
        <v>2.3491080919148937</v>
      </c>
      <c r="AH51" s="205">
        <f t="shared" si="33"/>
        <v>2.3960902537531918</v>
      </c>
      <c r="AI51" s="205">
        <f t="shared" si="33"/>
        <v>2.4440120588282555</v>
      </c>
      <c r="AJ51" s="205">
        <f t="shared" si="33"/>
        <v>2.4928923000048213</v>
      </c>
      <c r="AK51" s="205">
        <f t="shared" si="33"/>
        <v>2.5427501460049173</v>
      </c>
      <c r="AL51" s="205">
        <f t="shared" si="33"/>
        <v>2.5936051489250165</v>
      </c>
      <c r="AM51" s="205">
        <f t="shared" si="33"/>
        <v>2.6454772519035163</v>
      </c>
      <c r="AN51" s="205">
        <f t="shared" si="33"/>
        <v>2.6983867969415867</v>
      </c>
    </row>
    <row r="52" spans="2:40" ht="12" customHeight="1" outlineLevel="1">
      <c r="B52" s="239"/>
      <c r="C52" s="214" t="s">
        <v>835</v>
      </c>
      <c r="D52" s="212"/>
      <c r="E52" s="232">
        <f>E45/E50</f>
        <v>0</v>
      </c>
      <c r="F52" s="232">
        <f t="shared" ref="F52:I52" si="34">F45/F50</f>
        <v>0</v>
      </c>
      <c r="G52" s="232">
        <f t="shared" si="34"/>
        <v>0</v>
      </c>
      <c r="H52" s="232">
        <f t="shared" si="34"/>
        <v>0</v>
      </c>
      <c r="I52" s="232">
        <f t="shared" si="34"/>
        <v>0</v>
      </c>
      <c r="J52" s="232">
        <f>J45/J50</f>
        <v>0</v>
      </c>
      <c r="K52" s="232">
        <f t="shared" ref="K52:AN52" si="35">K45/K50</f>
        <v>0</v>
      </c>
      <c r="L52" s="232">
        <f t="shared" si="35"/>
        <v>0</v>
      </c>
      <c r="M52" s="205">
        <f t="shared" si="35"/>
        <v>84.6</v>
      </c>
      <c r="N52" s="205">
        <f t="shared" si="35"/>
        <v>84.6</v>
      </c>
      <c r="O52" s="205">
        <f t="shared" si="35"/>
        <v>84.6</v>
      </c>
      <c r="P52" s="205">
        <f t="shared" si="35"/>
        <v>84.6</v>
      </c>
      <c r="Q52" s="205">
        <f t="shared" si="35"/>
        <v>84.6</v>
      </c>
      <c r="R52" s="205">
        <f t="shared" si="35"/>
        <v>84.6</v>
      </c>
      <c r="S52" s="205">
        <f t="shared" si="35"/>
        <v>84.6</v>
      </c>
      <c r="T52" s="205">
        <f t="shared" si="35"/>
        <v>84.6</v>
      </c>
      <c r="U52" s="205">
        <f t="shared" si="35"/>
        <v>76.909090909090892</v>
      </c>
      <c r="V52" s="205">
        <f t="shared" si="35"/>
        <v>76.909090909090907</v>
      </c>
      <c r="W52" s="205">
        <f t="shared" si="35"/>
        <v>70.499999999999986</v>
      </c>
      <c r="X52" s="205">
        <f t="shared" si="35"/>
        <v>70.5</v>
      </c>
      <c r="Y52" s="205">
        <f t="shared" si="35"/>
        <v>84.6</v>
      </c>
      <c r="Z52" s="205">
        <f t="shared" si="35"/>
        <v>84.6</v>
      </c>
      <c r="AA52" s="205">
        <f t="shared" si="35"/>
        <v>84.6</v>
      </c>
      <c r="AB52" s="205">
        <f t="shared" si="35"/>
        <v>84.6</v>
      </c>
      <c r="AC52" s="205">
        <f t="shared" si="35"/>
        <v>84.59999999999998</v>
      </c>
      <c r="AD52" s="205">
        <f t="shared" si="35"/>
        <v>84.6</v>
      </c>
      <c r="AE52" s="205">
        <f t="shared" si="35"/>
        <v>84.600000000000009</v>
      </c>
      <c r="AF52" s="205">
        <f t="shared" si="35"/>
        <v>84.6</v>
      </c>
      <c r="AG52" s="205">
        <f t="shared" si="35"/>
        <v>84.6</v>
      </c>
      <c r="AH52" s="205">
        <f t="shared" si="35"/>
        <v>84.6</v>
      </c>
      <c r="AI52" s="205">
        <f t="shared" si="35"/>
        <v>84.6</v>
      </c>
      <c r="AJ52" s="205">
        <f t="shared" si="35"/>
        <v>84.6</v>
      </c>
      <c r="AK52" s="205">
        <f t="shared" si="35"/>
        <v>84.6</v>
      </c>
      <c r="AL52" s="205">
        <f t="shared" si="35"/>
        <v>84.6</v>
      </c>
      <c r="AM52" s="205">
        <f t="shared" si="35"/>
        <v>84.6</v>
      </c>
      <c r="AN52" s="205">
        <f t="shared" si="35"/>
        <v>84.6</v>
      </c>
    </row>
    <row r="53" spans="2:40" ht="12" customHeight="1" outlineLevel="1">
      <c r="B53" s="239"/>
      <c r="C53" s="243" t="s">
        <v>836</v>
      </c>
      <c r="D53" s="212"/>
      <c r="E53" s="232"/>
      <c r="F53" s="232"/>
      <c r="G53" s="232"/>
      <c r="H53" s="232"/>
      <c r="I53" s="232"/>
      <c r="J53" s="232"/>
      <c r="K53" s="232"/>
      <c r="L53" s="232"/>
      <c r="M53" s="205"/>
      <c r="N53" s="205"/>
      <c r="O53" s="205"/>
      <c r="P53" s="205"/>
      <c r="Q53" s="205"/>
      <c r="R53" s="205"/>
      <c r="S53" s="205"/>
      <c r="T53" s="205"/>
      <c r="U53" s="205"/>
      <c r="V53" s="205"/>
      <c r="W53" s="205"/>
      <c r="X53" s="205"/>
      <c r="Y53" s="205"/>
      <c r="Z53" s="205"/>
      <c r="AA53" s="205"/>
      <c r="AB53" s="205"/>
      <c r="AC53" s="205"/>
      <c r="AD53" s="205"/>
      <c r="AE53" s="205"/>
      <c r="AF53" s="205"/>
      <c r="AG53" s="205"/>
      <c r="AH53" s="205"/>
      <c r="AI53" s="205"/>
      <c r="AJ53" s="205"/>
      <c r="AK53" s="205"/>
      <c r="AL53" s="205"/>
      <c r="AM53" s="205"/>
      <c r="AN53" s="205"/>
    </row>
    <row r="54" spans="2:40" ht="12" customHeight="1" outlineLevel="1">
      <c r="B54" s="244" t="s">
        <v>920</v>
      </c>
      <c r="C54" s="214" t="s">
        <v>837</v>
      </c>
      <c r="D54" s="212"/>
      <c r="E54" s="8">
        <f>(E50-E51)/E50</f>
        <v>0.16666666666666666</v>
      </c>
      <c r="F54" s="8">
        <f t="shared" ref="F54:L54" si="36">(F50-F51)/F50</f>
        <v>0.14285714285714285</v>
      </c>
      <c r="G54" s="8">
        <f t="shared" si="36"/>
        <v>0.83333333333333337</v>
      </c>
      <c r="H54" s="8">
        <f t="shared" si="36"/>
        <v>0.62068965517241381</v>
      </c>
      <c r="I54" s="8">
        <f t="shared" si="36"/>
        <v>0.375</v>
      </c>
      <c r="J54" s="8">
        <f t="shared" si="36"/>
        <v>0.44444444444444442</v>
      </c>
      <c r="K54" s="8">
        <f t="shared" si="36"/>
        <v>0.21428571428571427</v>
      </c>
      <c r="L54" s="8">
        <f t="shared" si="36"/>
        <v>0.1</v>
      </c>
      <c r="M54" s="9">
        <v>0.1</v>
      </c>
      <c r="N54" s="9">
        <v>0.1</v>
      </c>
      <c r="O54" s="9">
        <v>0.1</v>
      </c>
      <c r="P54" s="9">
        <v>0.1</v>
      </c>
      <c r="Q54" s="9">
        <v>0.1</v>
      </c>
      <c r="R54" s="9">
        <v>0.1</v>
      </c>
      <c r="S54" s="9">
        <v>0.1</v>
      </c>
      <c r="T54" s="9">
        <v>0.1</v>
      </c>
      <c r="U54" s="9">
        <v>0.1</v>
      </c>
      <c r="V54" s="9">
        <v>0.1</v>
      </c>
      <c r="W54" s="9">
        <v>0.1</v>
      </c>
      <c r="X54" s="9">
        <v>0.1</v>
      </c>
      <c r="Y54" s="9">
        <v>0.1</v>
      </c>
      <c r="Z54" s="9">
        <v>0.1</v>
      </c>
      <c r="AA54" s="9">
        <v>0.1</v>
      </c>
      <c r="AB54" s="9">
        <v>0.1</v>
      </c>
      <c r="AC54" s="9">
        <v>0.1</v>
      </c>
      <c r="AD54" s="9">
        <v>0.1</v>
      </c>
      <c r="AE54" s="9">
        <v>0.1</v>
      </c>
      <c r="AF54" s="9">
        <v>0.1</v>
      </c>
      <c r="AG54" s="9">
        <v>0.1</v>
      </c>
      <c r="AH54" s="9">
        <v>0.1</v>
      </c>
      <c r="AI54" s="9">
        <v>0.1</v>
      </c>
      <c r="AJ54" s="9">
        <v>0.1</v>
      </c>
      <c r="AK54" s="9">
        <v>0.1</v>
      </c>
      <c r="AL54" s="9">
        <v>0.1</v>
      </c>
      <c r="AM54" s="9">
        <v>0.1</v>
      </c>
      <c r="AN54" s="9">
        <v>0.1</v>
      </c>
    </row>
    <row r="55" spans="2:40" ht="12" customHeight="1" outlineLevel="1">
      <c r="B55" s="239"/>
      <c r="C55" s="214" t="s">
        <v>839</v>
      </c>
      <c r="D55" s="212"/>
      <c r="E55" s="8">
        <f>1-E54</f>
        <v>0.83333333333333337</v>
      </c>
      <c r="F55" s="8">
        <f t="shared" ref="F55:L55" si="37">1-F54</f>
        <v>0.85714285714285721</v>
      </c>
      <c r="G55" s="8">
        <f t="shared" si="37"/>
        <v>0.16666666666666663</v>
      </c>
      <c r="H55" s="8">
        <f t="shared" si="37"/>
        <v>0.37931034482758619</v>
      </c>
      <c r="I55" s="8">
        <f t="shared" si="37"/>
        <v>0.625</v>
      </c>
      <c r="J55" s="8">
        <f t="shared" si="37"/>
        <v>0.55555555555555558</v>
      </c>
      <c r="K55" s="8">
        <f t="shared" si="37"/>
        <v>0.7857142857142857</v>
      </c>
      <c r="L55" s="8">
        <f t="shared" si="37"/>
        <v>0.9</v>
      </c>
      <c r="M55" s="9">
        <v>0.1</v>
      </c>
      <c r="N55" s="9">
        <v>0.1</v>
      </c>
      <c r="O55" s="9">
        <v>0.1</v>
      </c>
      <c r="P55" s="9">
        <v>0.1</v>
      </c>
      <c r="Q55" s="9">
        <v>0.1</v>
      </c>
      <c r="R55" s="9">
        <v>0.1</v>
      </c>
      <c r="S55" s="9">
        <v>0.1</v>
      </c>
      <c r="T55" s="9">
        <v>0.1</v>
      </c>
      <c r="U55" s="9">
        <v>0.1</v>
      </c>
      <c r="V55" s="9">
        <v>0.1</v>
      </c>
      <c r="W55" s="9">
        <v>0.1</v>
      </c>
      <c r="X55" s="9">
        <v>0.1</v>
      </c>
      <c r="Y55" s="9">
        <v>0.1</v>
      </c>
      <c r="Z55" s="9">
        <v>0.1</v>
      </c>
      <c r="AA55" s="9">
        <v>0.1</v>
      </c>
      <c r="AB55" s="9">
        <v>0.1</v>
      </c>
      <c r="AC55" s="9">
        <v>0.1</v>
      </c>
      <c r="AD55" s="9">
        <v>0.1</v>
      </c>
      <c r="AE55" s="9">
        <v>0.1</v>
      </c>
      <c r="AF55" s="9">
        <v>0.1</v>
      </c>
      <c r="AG55" s="9">
        <v>0.1</v>
      </c>
      <c r="AH55" s="9">
        <v>0.1</v>
      </c>
      <c r="AI55" s="9">
        <v>0.1</v>
      </c>
      <c r="AJ55" s="9">
        <v>0.1</v>
      </c>
      <c r="AK55" s="9">
        <v>0.1</v>
      </c>
      <c r="AL55" s="9">
        <v>0.1</v>
      </c>
      <c r="AM55" s="9">
        <v>0.1</v>
      </c>
      <c r="AN55" s="9">
        <v>0.1</v>
      </c>
    </row>
    <row r="56" spans="2:40" ht="12" customHeight="1" outlineLevel="1">
      <c r="B56" s="239"/>
      <c r="C56" s="214" t="s">
        <v>840</v>
      </c>
      <c r="D56" s="212"/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9">
        <v>0.8</v>
      </c>
      <c r="N56" s="9">
        <v>0.8</v>
      </c>
      <c r="O56" s="9">
        <v>0.8</v>
      </c>
      <c r="P56" s="9">
        <v>0.8</v>
      </c>
      <c r="Q56" s="9">
        <v>0.8</v>
      </c>
      <c r="R56" s="9">
        <v>0.8</v>
      </c>
      <c r="S56" s="9">
        <v>0.8</v>
      </c>
      <c r="T56" s="9">
        <v>0.8</v>
      </c>
      <c r="U56" s="9">
        <v>0.8</v>
      </c>
      <c r="V56" s="9">
        <v>0.8</v>
      </c>
      <c r="W56" s="9">
        <v>0.8</v>
      </c>
      <c r="X56" s="9">
        <v>0.8</v>
      </c>
      <c r="Y56" s="9">
        <v>0.8</v>
      </c>
      <c r="Z56" s="9">
        <v>0.8</v>
      </c>
      <c r="AA56" s="9">
        <v>0.8</v>
      </c>
      <c r="AB56" s="9">
        <v>0.8</v>
      </c>
      <c r="AC56" s="9">
        <v>0.8</v>
      </c>
      <c r="AD56" s="9">
        <v>0.8</v>
      </c>
      <c r="AE56" s="9">
        <v>0.8</v>
      </c>
      <c r="AF56" s="9">
        <v>0.8</v>
      </c>
      <c r="AG56" s="9">
        <v>0.8</v>
      </c>
      <c r="AH56" s="9">
        <v>0.8</v>
      </c>
      <c r="AI56" s="9">
        <v>0.8</v>
      </c>
      <c r="AJ56" s="9">
        <v>0.8</v>
      </c>
      <c r="AK56" s="9">
        <v>0.8</v>
      </c>
      <c r="AL56" s="9">
        <v>0.8</v>
      </c>
      <c r="AM56" s="9">
        <v>0.8</v>
      </c>
      <c r="AN56" s="9">
        <v>0.8</v>
      </c>
    </row>
    <row r="57" spans="2:40" ht="12" customHeight="1" outlineLevel="1">
      <c r="B57" s="237"/>
      <c r="C57" s="208"/>
      <c r="D57" s="208"/>
      <c r="E57" s="208"/>
      <c r="F57" s="208"/>
      <c r="G57" s="208"/>
      <c r="H57" s="208"/>
      <c r="I57" s="208"/>
      <c r="J57" s="208"/>
      <c r="K57" s="208"/>
      <c r="L57" s="208"/>
      <c r="M57" s="208"/>
      <c r="N57" s="208"/>
      <c r="O57" s="208"/>
      <c r="P57" s="208"/>
      <c r="Q57" s="208"/>
      <c r="R57" s="208"/>
      <c r="S57" s="208"/>
      <c r="T57" s="208"/>
      <c r="U57" s="208"/>
      <c r="V57" s="208"/>
      <c r="W57" s="208"/>
      <c r="X57" s="208"/>
      <c r="Y57" s="208"/>
      <c r="Z57" s="208"/>
      <c r="AA57" s="208"/>
      <c r="AB57" s="208"/>
      <c r="AC57" s="208"/>
      <c r="AD57" s="208"/>
      <c r="AE57" s="208"/>
      <c r="AF57" s="208"/>
      <c r="AG57" s="208"/>
      <c r="AH57" s="208"/>
      <c r="AI57" s="208"/>
      <c r="AJ57" s="208"/>
      <c r="AK57" s="208"/>
      <c r="AL57" s="208"/>
      <c r="AM57" s="208"/>
      <c r="AN57" s="208"/>
    </row>
    <row r="58" spans="2:40" ht="12" customHeight="1" outlineLevel="1">
      <c r="B58" s="239"/>
      <c r="C58" s="214" t="s">
        <v>841</v>
      </c>
      <c r="D58" s="214"/>
      <c r="E58" s="209">
        <f>E$48*E54</f>
        <v>0</v>
      </c>
      <c r="F58" s="209">
        <f>F$48*F54</f>
        <v>0</v>
      </c>
      <c r="G58" s="209">
        <f t="shared" ref="E58:I60" si="38">G$48*G54</f>
        <v>0</v>
      </c>
      <c r="H58" s="209">
        <f t="shared" si="38"/>
        <v>0</v>
      </c>
      <c r="I58" s="209">
        <f t="shared" si="38"/>
        <v>0</v>
      </c>
      <c r="J58" s="209">
        <f>J$50*J54</f>
        <v>8</v>
      </c>
      <c r="K58" s="209">
        <f t="shared" ref="J58:P60" si="39">K$50*K54</f>
        <v>3</v>
      </c>
      <c r="L58" s="209">
        <f t="shared" si="39"/>
        <v>1</v>
      </c>
      <c r="M58" s="209">
        <f t="shared" si="39"/>
        <v>8.4692671394799079E-2</v>
      </c>
      <c r="N58" s="209">
        <f t="shared" si="39"/>
        <v>1.1820330969267141</v>
      </c>
      <c r="O58" s="209">
        <f t="shared" si="39"/>
        <v>1.1820330969267141</v>
      </c>
      <c r="P58" s="209">
        <f t="shared" si="39"/>
        <v>0.59101654846335705</v>
      </c>
      <c r="Q58" s="209">
        <f>Q$50*Q54</f>
        <v>6.7198581560283702E-2</v>
      </c>
      <c r="R58" s="209">
        <f t="shared" ref="R58:AN60" si="40">R$50*R54</f>
        <v>1</v>
      </c>
      <c r="S58" s="209">
        <f t="shared" si="40"/>
        <v>1.0239361702127661</v>
      </c>
      <c r="T58" s="209">
        <f t="shared" si="40"/>
        <v>0.60489361702127675</v>
      </c>
      <c r="U58" s="209">
        <f t="shared" si="40"/>
        <v>0.61592198581560298</v>
      </c>
      <c r="V58" s="209">
        <f t="shared" si="40"/>
        <v>0.72787234042553195</v>
      </c>
      <c r="W58" s="209">
        <f t="shared" si="40"/>
        <v>1.0263829787234044</v>
      </c>
      <c r="X58" s="209">
        <f t="shared" si="40"/>
        <v>0.60978723404255319</v>
      </c>
      <c r="Y58" s="209">
        <f t="shared" si="40"/>
        <v>2.0326241134751775</v>
      </c>
      <c r="Z58" s="209">
        <f t="shared" si="40"/>
        <v>3.5460992907801421</v>
      </c>
      <c r="AA58" s="209">
        <f t="shared" si="40"/>
        <v>2.1276595744680855</v>
      </c>
      <c r="AB58" s="209">
        <f t="shared" si="40"/>
        <v>1.418439716312057</v>
      </c>
      <c r="AC58" s="209">
        <f t="shared" si="40"/>
        <v>0.24113475177304969</v>
      </c>
      <c r="AD58" s="209">
        <f t="shared" si="40"/>
        <v>0.24595744680851073</v>
      </c>
      <c r="AE58" s="209">
        <f t="shared" si="40"/>
        <v>0.25087659574468091</v>
      </c>
      <c r="AF58" s="209">
        <f t="shared" si="40"/>
        <v>0.25589412765957453</v>
      </c>
      <c r="AG58" s="209">
        <f t="shared" si="40"/>
        <v>0.26101201021276599</v>
      </c>
      <c r="AH58" s="209">
        <f t="shared" si="40"/>
        <v>0.26623225041702131</v>
      </c>
      <c r="AI58" s="209">
        <f t="shared" si="40"/>
        <v>0.27155689542536171</v>
      </c>
      <c r="AJ58" s="209">
        <f t="shared" si="40"/>
        <v>0.27698803333386901</v>
      </c>
      <c r="AK58" s="209">
        <f t="shared" si="40"/>
        <v>0.2825277940005464</v>
      </c>
      <c r="AL58" s="209">
        <f t="shared" si="40"/>
        <v>0.28817834988055741</v>
      </c>
      <c r="AM58" s="209">
        <f t="shared" si="40"/>
        <v>0.29394191687816851</v>
      </c>
      <c r="AN58" s="209">
        <f t="shared" si="40"/>
        <v>0.29982075521573187</v>
      </c>
    </row>
    <row r="59" spans="2:40" ht="12" customHeight="1" outlineLevel="1">
      <c r="B59" s="239"/>
      <c r="C59" s="214" t="s">
        <v>842</v>
      </c>
      <c r="D59" s="214"/>
      <c r="E59" s="209">
        <f>E$48*E55</f>
        <v>0</v>
      </c>
      <c r="F59" s="209">
        <f>F$48*F55</f>
        <v>0</v>
      </c>
      <c r="G59" s="209">
        <f t="shared" si="38"/>
        <v>0</v>
      </c>
      <c r="H59" s="209">
        <f t="shared" si="38"/>
        <v>0</v>
      </c>
      <c r="I59" s="209">
        <f t="shared" si="38"/>
        <v>0</v>
      </c>
      <c r="J59" s="209">
        <f t="shared" si="39"/>
        <v>10</v>
      </c>
      <c r="K59" s="209">
        <f t="shared" si="39"/>
        <v>11</v>
      </c>
      <c r="L59" s="209">
        <f t="shared" si="39"/>
        <v>9</v>
      </c>
      <c r="M59" s="209">
        <f t="shared" si="39"/>
        <v>8.4692671394799079E-2</v>
      </c>
      <c r="N59" s="209">
        <f t="shared" si="39"/>
        <v>1.1820330969267141</v>
      </c>
      <c r="O59" s="209">
        <f t="shared" si="39"/>
        <v>1.1820330969267141</v>
      </c>
      <c r="P59" s="209">
        <f t="shared" si="39"/>
        <v>0.59101654846335705</v>
      </c>
      <c r="Q59" s="209">
        <f>Q$50*Q55</f>
        <v>6.7198581560283702E-2</v>
      </c>
      <c r="R59" s="209">
        <f t="shared" si="40"/>
        <v>1</v>
      </c>
      <c r="S59" s="209">
        <f t="shared" si="40"/>
        <v>1.0239361702127661</v>
      </c>
      <c r="T59" s="209">
        <f t="shared" si="40"/>
        <v>0.60489361702127675</v>
      </c>
      <c r="U59" s="209">
        <f t="shared" si="40"/>
        <v>0.61592198581560298</v>
      </c>
      <c r="V59" s="209">
        <f t="shared" si="40"/>
        <v>0.72787234042553195</v>
      </c>
      <c r="W59" s="209">
        <f t="shared" si="40"/>
        <v>1.0263829787234044</v>
      </c>
      <c r="X59" s="209">
        <f t="shared" si="40"/>
        <v>0.60978723404255319</v>
      </c>
      <c r="Y59" s="209">
        <f t="shared" si="40"/>
        <v>2.0326241134751775</v>
      </c>
      <c r="Z59" s="209">
        <f t="shared" si="40"/>
        <v>3.5460992907801421</v>
      </c>
      <c r="AA59" s="209">
        <f t="shared" si="40"/>
        <v>2.1276595744680855</v>
      </c>
      <c r="AB59" s="209">
        <f t="shared" si="40"/>
        <v>1.418439716312057</v>
      </c>
      <c r="AC59" s="209">
        <f t="shared" si="40"/>
        <v>0.24113475177304969</v>
      </c>
      <c r="AD59" s="209">
        <f t="shared" si="40"/>
        <v>0.24595744680851073</v>
      </c>
      <c r="AE59" s="209">
        <f t="shared" si="40"/>
        <v>0.25087659574468091</v>
      </c>
      <c r="AF59" s="209">
        <f t="shared" si="40"/>
        <v>0.25589412765957453</v>
      </c>
      <c r="AG59" s="209">
        <f t="shared" si="40"/>
        <v>0.26101201021276599</v>
      </c>
      <c r="AH59" s="209">
        <f t="shared" si="40"/>
        <v>0.26623225041702131</v>
      </c>
      <c r="AI59" s="209">
        <f t="shared" si="40"/>
        <v>0.27155689542536171</v>
      </c>
      <c r="AJ59" s="209">
        <f t="shared" si="40"/>
        <v>0.27698803333386901</v>
      </c>
      <c r="AK59" s="209">
        <f t="shared" si="40"/>
        <v>0.2825277940005464</v>
      </c>
      <c r="AL59" s="209">
        <f t="shared" si="40"/>
        <v>0.28817834988055741</v>
      </c>
      <c r="AM59" s="209">
        <f t="shared" si="40"/>
        <v>0.29394191687816851</v>
      </c>
      <c r="AN59" s="209">
        <f t="shared" si="40"/>
        <v>0.29982075521573187</v>
      </c>
    </row>
    <row r="60" spans="2:40" ht="12" customHeight="1" outlineLevel="1">
      <c r="B60" s="239"/>
      <c r="C60" s="214" t="s">
        <v>843</v>
      </c>
      <c r="D60" s="214"/>
      <c r="E60" s="209">
        <f t="shared" si="38"/>
        <v>0</v>
      </c>
      <c r="F60" s="209">
        <f t="shared" si="38"/>
        <v>0</v>
      </c>
      <c r="G60" s="209">
        <f t="shared" si="38"/>
        <v>0</v>
      </c>
      <c r="H60" s="209">
        <f t="shared" si="38"/>
        <v>0</v>
      </c>
      <c r="I60" s="209">
        <f t="shared" si="38"/>
        <v>0</v>
      </c>
      <c r="J60" s="209">
        <f t="shared" si="39"/>
        <v>0</v>
      </c>
      <c r="K60" s="209">
        <f t="shared" si="39"/>
        <v>0</v>
      </c>
      <c r="L60" s="209">
        <f t="shared" si="39"/>
        <v>0</v>
      </c>
      <c r="M60" s="209">
        <f t="shared" si="39"/>
        <v>0.67754137115839264</v>
      </c>
      <c r="N60" s="209">
        <f t="shared" si="39"/>
        <v>9.4562647754137128</v>
      </c>
      <c r="O60" s="209">
        <f t="shared" si="39"/>
        <v>9.4562647754137128</v>
      </c>
      <c r="P60" s="209">
        <f t="shared" si="39"/>
        <v>4.7281323877068564</v>
      </c>
      <c r="Q60" s="209">
        <f>Q$50*Q56</f>
        <v>0.53758865248226961</v>
      </c>
      <c r="R60" s="209">
        <f t="shared" si="40"/>
        <v>8</v>
      </c>
      <c r="S60" s="209">
        <f t="shared" si="40"/>
        <v>8.1914893617021285</v>
      </c>
      <c r="T60" s="209">
        <f t="shared" si="40"/>
        <v>4.839148936170214</v>
      </c>
      <c r="U60" s="209">
        <f t="shared" si="40"/>
        <v>4.9273758865248238</v>
      </c>
      <c r="V60" s="209">
        <f t="shared" si="40"/>
        <v>5.8229787234042556</v>
      </c>
      <c r="W60" s="209">
        <f t="shared" si="40"/>
        <v>8.2110638297872356</v>
      </c>
      <c r="X60" s="209">
        <f t="shared" si="40"/>
        <v>4.8782978723404256</v>
      </c>
      <c r="Y60" s="209">
        <f t="shared" si="40"/>
        <v>16.26099290780142</v>
      </c>
      <c r="Z60" s="209">
        <f t="shared" si="40"/>
        <v>28.368794326241137</v>
      </c>
      <c r="AA60" s="209">
        <f t="shared" si="40"/>
        <v>17.021276595744684</v>
      </c>
      <c r="AB60" s="209">
        <f t="shared" si="40"/>
        <v>11.347517730496456</v>
      </c>
      <c r="AC60" s="209">
        <f t="shared" si="40"/>
        <v>1.9290780141843975</v>
      </c>
      <c r="AD60" s="209">
        <f t="shared" si="40"/>
        <v>1.9676595744680858</v>
      </c>
      <c r="AE60" s="209">
        <f t="shared" si="40"/>
        <v>2.0070127659574473</v>
      </c>
      <c r="AF60" s="209">
        <f t="shared" si="40"/>
        <v>2.0471530212765963</v>
      </c>
      <c r="AG60" s="209">
        <f t="shared" si="40"/>
        <v>2.0880960817021279</v>
      </c>
      <c r="AH60" s="209">
        <f t="shared" si="40"/>
        <v>2.1298580033361705</v>
      </c>
      <c r="AI60" s="209">
        <f t="shared" si="40"/>
        <v>2.1724551634028937</v>
      </c>
      <c r="AJ60" s="209">
        <f t="shared" si="40"/>
        <v>2.2159042666709521</v>
      </c>
      <c r="AK60" s="209">
        <f t="shared" si="40"/>
        <v>2.2602223520043712</v>
      </c>
      <c r="AL60" s="209">
        <f t="shared" si="40"/>
        <v>2.3054267990444592</v>
      </c>
      <c r="AM60" s="209">
        <f t="shared" si="40"/>
        <v>2.3515353350253481</v>
      </c>
      <c r="AN60" s="209">
        <f t="shared" si="40"/>
        <v>2.398566041725855</v>
      </c>
    </row>
    <row r="61" spans="2:40" ht="12" customHeight="1" outlineLevel="1">
      <c r="B61" s="239"/>
      <c r="C61" s="214" t="s">
        <v>844</v>
      </c>
      <c r="D61" s="214"/>
      <c r="E61" s="209">
        <f>ROUNDDOWN(SUM(E71:E107),0)-E58</f>
        <v>26</v>
      </c>
      <c r="F61" s="209">
        <f t="shared" ref="F61:H61" si="41">ROUNDDOWN(SUM(F71:F107),0)-F58</f>
        <v>25</v>
      </c>
      <c r="G61" s="209">
        <f>ROUNDDOWN(SUM(G71:G107),0)-G58</f>
        <v>38</v>
      </c>
      <c r="H61" s="209">
        <f t="shared" si="41"/>
        <v>37</v>
      </c>
      <c r="I61" s="209">
        <f>ROUNDDOWN(SUM(I71:I107),0)-I58</f>
        <v>14</v>
      </c>
      <c r="J61" s="209">
        <f>ROUNDDOWN(SUM(J71:J107),0)-J58</f>
        <v>13</v>
      </c>
      <c r="K61" s="209">
        <f>ROUNDDOWN(SUM(K71:K107),0)-K58</f>
        <v>13</v>
      </c>
      <c r="L61" s="209">
        <f t="shared" ref="L61:AN61" si="42">ROUNDDOWN(SUM(L71:L107),0)-L58</f>
        <v>13</v>
      </c>
      <c r="M61" s="209">
        <f t="shared" si="42"/>
        <v>11.9153073286052</v>
      </c>
      <c r="N61" s="209">
        <f t="shared" si="42"/>
        <v>11.817966903073286</v>
      </c>
      <c r="O61" s="209">
        <f t="shared" si="42"/>
        <v>11.817966903073286</v>
      </c>
      <c r="P61" s="209">
        <f t="shared" si="42"/>
        <v>11.408983451536644</v>
      </c>
      <c r="Q61" s="209">
        <f t="shared" si="42"/>
        <v>10.932801418439716</v>
      </c>
      <c r="R61" s="209">
        <f t="shared" si="42"/>
        <v>11</v>
      </c>
      <c r="S61" s="209">
        <f t="shared" si="42"/>
        <v>10.976063829787234</v>
      </c>
      <c r="T61" s="209">
        <f t="shared" si="42"/>
        <v>10.395106382978723</v>
      </c>
      <c r="U61" s="209">
        <f t="shared" si="42"/>
        <v>10.384078014184396</v>
      </c>
      <c r="V61" s="209">
        <f t="shared" si="42"/>
        <v>10.272127659574467</v>
      </c>
      <c r="W61" s="209">
        <f t="shared" si="42"/>
        <v>9.9736170212765956</v>
      </c>
      <c r="X61" s="209">
        <f t="shared" si="42"/>
        <v>9.3902127659574468</v>
      </c>
      <c r="Y61" s="209">
        <f t="shared" si="42"/>
        <v>9.9673758865248221</v>
      </c>
      <c r="Z61" s="209">
        <f t="shared" si="42"/>
        <v>9.4539007092198588</v>
      </c>
      <c r="AA61" s="209">
        <f t="shared" si="42"/>
        <v>8.8723404255319149</v>
      </c>
      <c r="AB61" s="209">
        <f t="shared" si="42"/>
        <v>8.5815602836879421</v>
      </c>
      <c r="AC61" s="209">
        <f t="shared" si="42"/>
        <v>8.7588652482269502</v>
      </c>
      <c r="AD61" s="209">
        <f t="shared" si="42"/>
        <v>8.7540425531914892</v>
      </c>
      <c r="AE61" s="209">
        <f t="shared" si="42"/>
        <v>8.7491234042553199</v>
      </c>
      <c r="AF61" s="209">
        <f t="shared" si="42"/>
        <v>8.744105872340425</v>
      </c>
      <c r="AG61" s="209">
        <f t="shared" si="42"/>
        <v>7.7389879897872342</v>
      </c>
      <c r="AH61" s="209">
        <f t="shared" si="42"/>
        <v>7.7337677495829791</v>
      </c>
      <c r="AI61" s="209">
        <f t="shared" si="42"/>
        <v>7.7284431045746382</v>
      </c>
      <c r="AJ61" s="209">
        <f t="shared" si="42"/>
        <v>7.7230119666661308</v>
      </c>
      <c r="AK61" s="209">
        <f t="shared" si="42"/>
        <v>7.7174722059994538</v>
      </c>
      <c r="AL61" s="209">
        <f t="shared" si="42"/>
        <v>7.7118216501194423</v>
      </c>
      <c r="AM61" s="209">
        <f t="shared" si="42"/>
        <v>6.7060580831218317</v>
      </c>
      <c r="AN61" s="209">
        <f t="shared" si="42"/>
        <v>6.7001792447842679</v>
      </c>
    </row>
    <row r="62" spans="2:40" ht="12" customHeight="1" outlineLevel="1">
      <c r="B62" s="239"/>
      <c r="C62" s="214" t="s">
        <v>845</v>
      </c>
      <c r="D62" s="214"/>
      <c r="E62" s="209">
        <f>ROUNDDOWN(SUM(E112:E148),0)-E59</f>
        <v>28</v>
      </c>
      <c r="F62" s="209">
        <f>ROUNDDOWN(SUM(F112:F148),0)-F59</f>
        <v>27</v>
      </c>
      <c r="G62" s="209">
        <f t="shared" ref="G62:AN62" si="43">ROUNDDOWN(SUM(G112:G148),0)-G59</f>
        <v>27</v>
      </c>
      <c r="H62" s="209">
        <f t="shared" si="43"/>
        <v>26</v>
      </c>
      <c r="I62" s="209">
        <f t="shared" si="43"/>
        <v>26</v>
      </c>
      <c r="J62" s="209">
        <f t="shared" si="43"/>
        <v>25</v>
      </c>
      <c r="K62" s="209">
        <f t="shared" si="43"/>
        <v>25</v>
      </c>
      <c r="L62" s="209">
        <f t="shared" si="43"/>
        <v>29</v>
      </c>
      <c r="M62" s="209">
        <f t="shared" si="43"/>
        <v>33.915307328605202</v>
      </c>
      <c r="N62" s="209">
        <f t="shared" si="43"/>
        <v>39.817966903073284</v>
      </c>
      <c r="O62" s="209">
        <f t="shared" si="43"/>
        <v>42.817966903073284</v>
      </c>
      <c r="P62" s="209">
        <f t="shared" si="43"/>
        <v>45.408983451536642</v>
      </c>
      <c r="Q62" s="209">
        <f t="shared" si="43"/>
        <v>46.932801418439716</v>
      </c>
      <c r="R62" s="209">
        <f t="shared" si="43"/>
        <v>48</v>
      </c>
      <c r="S62" s="209">
        <f t="shared" si="43"/>
        <v>48.976063829787236</v>
      </c>
      <c r="T62" s="209">
        <f t="shared" si="43"/>
        <v>50.395106382978724</v>
      </c>
      <c r="U62" s="209">
        <f>ROUNDDOWN(SUM(U112:U148),0)-U59</f>
        <v>50.384078014184396</v>
      </c>
      <c r="V62" s="209">
        <f t="shared" si="43"/>
        <v>51.272127659574465</v>
      </c>
      <c r="W62" s="209">
        <f t="shared" si="43"/>
        <v>51.973617021276596</v>
      </c>
      <c r="X62" s="209">
        <f t="shared" si="43"/>
        <v>52.390212765957443</v>
      </c>
      <c r="Y62" s="209">
        <f t="shared" si="43"/>
        <v>52.96737588652482</v>
      </c>
      <c r="Z62" s="209">
        <f t="shared" si="43"/>
        <v>53.453900709219859</v>
      </c>
      <c r="AA62" s="209">
        <f t="shared" si="43"/>
        <v>54.872340425531917</v>
      </c>
      <c r="AB62" s="209">
        <f t="shared" si="43"/>
        <v>56.581560283687942</v>
      </c>
      <c r="AC62" s="209">
        <f t="shared" si="43"/>
        <v>58.758865248226954</v>
      </c>
      <c r="AD62" s="209">
        <f t="shared" si="43"/>
        <v>59.754042553191489</v>
      </c>
      <c r="AE62" s="209">
        <f t="shared" si="43"/>
        <v>60.749123404255322</v>
      </c>
      <c r="AF62" s="209">
        <f t="shared" si="43"/>
        <v>60.744105872340427</v>
      </c>
      <c r="AG62" s="209">
        <f t="shared" si="43"/>
        <v>61.738987989787233</v>
      </c>
      <c r="AH62" s="209">
        <f t="shared" si="43"/>
        <v>61.733767749582981</v>
      </c>
      <c r="AI62" s="209">
        <f t="shared" si="43"/>
        <v>61.728443104574637</v>
      </c>
      <c r="AJ62" s="209">
        <f t="shared" si="43"/>
        <v>61.723011966666128</v>
      </c>
      <c r="AK62" s="209">
        <f t="shared" si="43"/>
        <v>61.717472205999456</v>
      </c>
      <c r="AL62" s="209">
        <f t="shared" si="43"/>
        <v>62.71182165011944</v>
      </c>
      <c r="AM62" s="209">
        <f t="shared" si="43"/>
        <v>62.706058083121832</v>
      </c>
      <c r="AN62" s="209">
        <f t="shared" si="43"/>
        <v>62.700179244784266</v>
      </c>
    </row>
    <row r="63" spans="2:40" ht="12" customHeight="1" outlineLevel="1">
      <c r="B63" s="239"/>
      <c r="C63" s="214" t="s">
        <v>846</v>
      </c>
      <c r="D63" s="214"/>
      <c r="E63" s="209">
        <f>ROUNDDOWN(SUM(E154:E190),0)-E60</f>
        <v>56</v>
      </c>
      <c r="F63" s="209">
        <f>ROUNDDOWN(SUM(F154:F190),0)-F60</f>
        <v>41</v>
      </c>
      <c r="G63" s="209">
        <f t="shared" ref="G63:AN63" si="44">ROUNDDOWN(SUM(G154:G190),0)-G60</f>
        <v>83</v>
      </c>
      <c r="H63" s="209">
        <f t="shared" si="44"/>
        <v>28</v>
      </c>
      <c r="I63" s="209">
        <f t="shared" si="44"/>
        <v>0</v>
      </c>
      <c r="J63" s="209">
        <f t="shared" si="44"/>
        <v>81</v>
      </c>
      <c r="K63" s="209">
        <f t="shared" si="44"/>
        <v>28</v>
      </c>
      <c r="L63" s="209">
        <f>ROUNDDOWN(SUM(L154:L190),0)-L60</f>
        <v>0</v>
      </c>
      <c r="M63" s="209">
        <f>ROUNDDOWN(SUM(M154:M190),0)-M60</f>
        <v>79.322458628841602</v>
      </c>
      <c r="N63" s="209">
        <f t="shared" si="44"/>
        <v>26.543735224586285</v>
      </c>
      <c r="O63" s="209">
        <f t="shared" si="44"/>
        <v>-0.4562647754137128</v>
      </c>
      <c r="P63" s="209">
        <f t="shared" si="44"/>
        <v>78.27186761229315</v>
      </c>
      <c r="Q63" s="209">
        <f t="shared" si="44"/>
        <v>34.46241134751773</v>
      </c>
      <c r="R63" s="209">
        <f t="shared" si="44"/>
        <v>8</v>
      </c>
      <c r="S63" s="209">
        <f t="shared" si="44"/>
        <v>80.808510638297875</v>
      </c>
      <c r="T63" s="209">
        <f t="shared" si="44"/>
        <v>32.160851063829789</v>
      </c>
      <c r="U63" s="209">
        <f t="shared" si="44"/>
        <v>12.072624113475175</v>
      </c>
      <c r="V63" s="209">
        <f t="shared" si="44"/>
        <v>85.177021276595738</v>
      </c>
      <c r="W63" s="209">
        <f t="shared" si="44"/>
        <v>33.788936170212764</v>
      </c>
      <c r="X63" s="209">
        <f t="shared" si="44"/>
        <v>13.121702127659574</v>
      </c>
      <c r="Y63" s="209">
        <f t="shared" si="44"/>
        <v>84.739007092198577</v>
      </c>
      <c r="Z63" s="209">
        <f t="shared" si="44"/>
        <v>37.631205673758863</v>
      </c>
      <c r="AA63" s="209">
        <f t="shared" si="44"/>
        <v>11.978723404255316</v>
      </c>
      <c r="AB63" s="209">
        <f t="shared" si="44"/>
        <v>93.652482269503537</v>
      </c>
      <c r="AC63" s="209">
        <f t="shared" si="44"/>
        <v>58.070921985815602</v>
      </c>
      <c r="AD63" s="209">
        <f t="shared" si="44"/>
        <v>23.032340425531913</v>
      </c>
      <c r="AE63" s="209">
        <f t="shared" si="44"/>
        <v>94.992987234042559</v>
      </c>
      <c r="AF63" s="209">
        <f t="shared" si="44"/>
        <v>47.9528469787234</v>
      </c>
      <c r="AG63" s="209">
        <f t="shared" si="44"/>
        <v>16.911903918297874</v>
      </c>
      <c r="AH63" s="209">
        <f t="shared" si="44"/>
        <v>86.870141996663833</v>
      </c>
      <c r="AI63" s="209">
        <f t="shared" si="44"/>
        <v>40.827544836597106</v>
      </c>
      <c r="AJ63" s="209">
        <f t="shared" si="44"/>
        <v>12.784095733329048</v>
      </c>
      <c r="AK63" s="209">
        <f t="shared" si="44"/>
        <v>80.739777647995624</v>
      </c>
      <c r="AL63" s="209">
        <f t="shared" si="44"/>
        <v>34.694573200955539</v>
      </c>
      <c r="AM63" s="209">
        <f t="shared" si="44"/>
        <v>9.6484646649746519</v>
      </c>
      <c r="AN63" s="209">
        <f t="shared" si="44"/>
        <v>76.601433958274143</v>
      </c>
    </row>
    <row r="64" spans="2:40" ht="12" customHeight="1" outlineLevel="1">
      <c r="B64" s="237"/>
      <c r="C64" s="214" t="s">
        <v>833</v>
      </c>
      <c r="D64" s="214"/>
      <c r="E64" s="210">
        <f>SUM(E58:E60)</f>
        <v>0</v>
      </c>
      <c r="F64" s="210">
        <f t="shared" ref="F64:I64" si="45">SUM(F58:F60)</f>
        <v>0</v>
      </c>
      <c r="G64" s="210">
        <f t="shared" si="45"/>
        <v>0</v>
      </c>
      <c r="H64" s="210">
        <f t="shared" si="45"/>
        <v>0</v>
      </c>
      <c r="I64" s="210">
        <f t="shared" si="45"/>
        <v>0</v>
      </c>
      <c r="J64" s="210">
        <f>SUM(J58:J60)</f>
        <v>18</v>
      </c>
      <c r="K64" s="210">
        <f t="shared" ref="K64:P64" si="46">SUM(K58:K60)</f>
        <v>14</v>
      </c>
      <c r="L64" s="210">
        <f t="shared" si="46"/>
        <v>10</v>
      </c>
      <c r="M64" s="210">
        <f t="shared" si="46"/>
        <v>0.84692671394799079</v>
      </c>
      <c r="N64" s="210">
        <f t="shared" si="46"/>
        <v>11.820330969267141</v>
      </c>
      <c r="O64" s="210">
        <f t="shared" si="46"/>
        <v>11.820330969267141</v>
      </c>
      <c r="P64" s="210">
        <f t="shared" si="46"/>
        <v>5.9101654846335707</v>
      </c>
      <c r="Q64" s="210">
        <f>SUM(Q58:Q60)</f>
        <v>0.67198581560283699</v>
      </c>
      <c r="R64" s="210">
        <f t="shared" ref="R64:AN64" si="47">SUM(R58:R60)</f>
        <v>10</v>
      </c>
      <c r="S64" s="210">
        <f t="shared" si="47"/>
        <v>10.23936170212766</v>
      </c>
      <c r="T64" s="210">
        <f t="shared" si="47"/>
        <v>6.0489361702127677</v>
      </c>
      <c r="U64" s="210">
        <f t="shared" si="47"/>
        <v>6.15921985815603</v>
      </c>
      <c r="V64" s="210">
        <f t="shared" si="47"/>
        <v>7.2787234042553193</v>
      </c>
      <c r="W64" s="210">
        <f t="shared" si="47"/>
        <v>10.263829787234044</v>
      </c>
      <c r="X64" s="210">
        <f t="shared" si="47"/>
        <v>6.0978723404255319</v>
      </c>
      <c r="Y64" s="210">
        <f t="shared" si="47"/>
        <v>20.326241134751776</v>
      </c>
      <c r="Z64" s="210">
        <f t="shared" si="47"/>
        <v>35.460992907801419</v>
      </c>
      <c r="AA64" s="210">
        <f t="shared" si="47"/>
        <v>21.276595744680854</v>
      </c>
      <c r="AB64" s="210">
        <f t="shared" si="47"/>
        <v>14.18439716312057</v>
      </c>
      <c r="AC64" s="210">
        <f t="shared" si="47"/>
        <v>2.4113475177304968</v>
      </c>
      <c r="AD64" s="210">
        <f t="shared" si="47"/>
        <v>2.4595744680851075</v>
      </c>
      <c r="AE64" s="210">
        <f t="shared" si="47"/>
        <v>2.5087659574468093</v>
      </c>
      <c r="AF64" s="210">
        <f t="shared" si="47"/>
        <v>2.5589412765957453</v>
      </c>
      <c r="AG64" s="210">
        <f t="shared" si="47"/>
        <v>2.6101201021276599</v>
      </c>
      <c r="AH64" s="210">
        <f t="shared" si="47"/>
        <v>2.6623225041702132</v>
      </c>
      <c r="AI64" s="210">
        <f t="shared" si="47"/>
        <v>2.7155689542536172</v>
      </c>
      <c r="AJ64" s="210">
        <f t="shared" si="47"/>
        <v>2.7698803333386901</v>
      </c>
      <c r="AK64" s="210">
        <f t="shared" si="47"/>
        <v>2.825277940005464</v>
      </c>
      <c r="AL64" s="210">
        <f t="shared" si="47"/>
        <v>2.8817834988055742</v>
      </c>
      <c r="AM64" s="210">
        <f t="shared" si="47"/>
        <v>2.9394191687816851</v>
      </c>
      <c r="AN64" s="210">
        <f t="shared" si="47"/>
        <v>2.9982075521573188</v>
      </c>
    </row>
    <row r="65" spans="2:40" ht="12" customHeight="1" outlineLevel="1">
      <c r="B65" s="237"/>
      <c r="C65" s="214" t="s">
        <v>847</v>
      </c>
      <c r="D65" s="214"/>
      <c r="E65" s="210">
        <f t="shared" ref="E65:AN65" si="48">SUM(E61:E63)</f>
        <v>110</v>
      </c>
      <c r="F65" s="210">
        <f t="shared" si="48"/>
        <v>93</v>
      </c>
      <c r="G65" s="210">
        <f t="shared" si="48"/>
        <v>148</v>
      </c>
      <c r="H65" s="210">
        <f t="shared" si="48"/>
        <v>91</v>
      </c>
      <c r="I65" s="210">
        <f t="shared" si="48"/>
        <v>40</v>
      </c>
      <c r="J65" s="210">
        <f t="shared" si="48"/>
        <v>119</v>
      </c>
      <c r="K65" s="210">
        <f t="shared" si="48"/>
        <v>66</v>
      </c>
      <c r="L65" s="210">
        <f t="shared" si="48"/>
        <v>42</v>
      </c>
      <c r="M65" s="210">
        <f>SUM(M61:M63)</f>
        <v>125.15307328605201</v>
      </c>
      <c r="N65" s="210">
        <f t="shared" si="48"/>
        <v>78.179669030732853</v>
      </c>
      <c r="O65" s="210">
        <f t="shared" si="48"/>
        <v>54.179669030732853</v>
      </c>
      <c r="P65" s="210">
        <f t="shared" si="48"/>
        <v>135.08983451536642</v>
      </c>
      <c r="Q65" s="210">
        <f t="shared" si="48"/>
        <v>92.328014184397162</v>
      </c>
      <c r="R65" s="210">
        <f t="shared" si="48"/>
        <v>67</v>
      </c>
      <c r="S65" s="210">
        <f t="shared" si="48"/>
        <v>140.76063829787233</v>
      </c>
      <c r="T65" s="210">
        <f t="shared" si="48"/>
        <v>92.951063829787245</v>
      </c>
      <c r="U65" s="210">
        <f t="shared" si="48"/>
        <v>72.840780141843965</v>
      </c>
      <c r="V65" s="210">
        <f t="shared" si="48"/>
        <v>146.72127659574465</v>
      </c>
      <c r="W65" s="210">
        <f t="shared" si="48"/>
        <v>95.736170212765956</v>
      </c>
      <c r="X65" s="210">
        <f t="shared" si="48"/>
        <v>74.902127659574461</v>
      </c>
      <c r="Y65" s="210">
        <f t="shared" si="48"/>
        <v>147.6737588652482</v>
      </c>
      <c r="Z65" s="210">
        <f t="shared" si="48"/>
        <v>100.53900709219857</v>
      </c>
      <c r="AA65" s="210">
        <f t="shared" si="48"/>
        <v>75.723404255319153</v>
      </c>
      <c r="AB65" s="210">
        <f t="shared" si="48"/>
        <v>158.81560283687941</v>
      </c>
      <c r="AC65" s="210">
        <f t="shared" si="48"/>
        <v>125.58865248226951</v>
      </c>
      <c r="AD65" s="210">
        <f t="shared" si="48"/>
        <v>91.540425531914892</v>
      </c>
      <c r="AE65" s="210">
        <f t="shared" si="48"/>
        <v>164.4912340425532</v>
      </c>
      <c r="AF65" s="210">
        <f t="shared" si="48"/>
        <v>117.44105872340425</v>
      </c>
      <c r="AG65" s="210">
        <f t="shared" si="48"/>
        <v>86.389879897872333</v>
      </c>
      <c r="AH65" s="210">
        <f t="shared" si="48"/>
        <v>156.33767749582978</v>
      </c>
      <c r="AI65" s="210">
        <f t="shared" si="48"/>
        <v>110.28443104574637</v>
      </c>
      <c r="AJ65" s="210">
        <f t="shared" si="48"/>
        <v>82.230119666661309</v>
      </c>
      <c r="AK65" s="210">
        <f t="shared" si="48"/>
        <v>150.17472205999454</v>
      </c>
      <c r="AL65" s="210">
        <f t="shared" si="48"/>
        <v>105.11821650119441</v>
      </c>
      <c r="AM65" s="210">
        <f t="shared" si="48"/>
        <v>79.060580831218317</v>
      </c>
      <c r="AN65" s="210">
        <f t="shared" si="48"/>
        <v>146.00179244784266</v>
      </c>
    </row>
    <row r="66" spans="2:40" ht="12" customHeight="1" outlineLevel="1">
      <c r="B66" s="237"/>
      <c r="C66" s="214" t="s">
        <v>848</v>
      </c>
      <c r="D66" s="214"/>
      <c r="E66" s="205">
        <f t="shared" ref="E66:I66" si="49">SUM(E64:E65)</f>
        <v>110</v>
      </c>
      <c r="F66" s="205">
        <f t="shared" si="49"/>
        <v>93</v>
      </c>
      <c r="G66" s="205">
        <f t="shared" si="49"/>
        <v>148</v>
      </c>
      <c r="H66" s="205">
        <f t="shared" si="49"/>
        <v>91</v>
      </c>
      <c r="I66" s="205">
        <f t="shared" si="49"/>
        <v>40</v>
      </c>
      <c r="J66" s="205">
        <f>SUM(J64:J65)</f>
        <v>137</v>
      </c>
      <c r="K66" s="205">
        <f t="shared" ref="K66:AN66" si="50">SUM(K64:K65)</f>
        <v>80</v>
      </c>
      <c r="L66" s="205">
        <f t="shared" si="50"/>
        <v>52</v>
      </c>
      <c r="M66" s="205">
        <f t="shared" si="50"/>
        <v>126</v>
      </c>
      <c r="N66" s="205">
        <f t="shared" si="50"/>
        <v>90</v>
      </c>
      <c r="O66" s="205">
        <f t="shared" si="50"/>
        <v>66</v>
      </c>
      <c r="P66" s="205">
        <f t="shared" si="50"/>
        <v>141</v>
      </c>
      <c r="Q66" s="205">
        <f t="shared" si="50"/>
        <v>93</v>
      </c>
      <c r="R66" s="205">
        <f t="shared" si="50"/>
        <v>77</v>
      </c>
      <c r="S66" s="205">
        <f t="shared" si="50"/>
        <v>151</v>
      </c>
      <c r="T66" s="205">
        <f t="shared" si="50"/>
        <v>99.000000000000014</v>
      </c>
      <c r="U66" s="205">
        <f t="shared" si="50"/>
        <v>79</v>
      </c>
      <c r="V66" s="205">
        <f t="shared" si="50"/>
        <v>153.99999999999997</v>
      </c>
      <c r="W66" s="205">
        <f t="shared" si="50"/>
        <v>106</v>
      </c>
      <c r="X66" s="205">
        <f t="shared" si="50"/>
        <v>81</v>
      </c>
      <c r="Y66" s="205">
        <f t="shared" si="50"/>
        <v>167.99999999999997</v>
      </c>
      <c r="Z66" s="205">
        <f t="shared" si="50"/>
        <v>136</v>
      </c>
      <c r="AA66" s="205">
        <f t="shared" si="50"/>
        <v>97</v>
      </c>
      <c r="AB66" s="205">
        <f t="shared" si="50"/>
        <v>172.99999999999997</v>
      </c>
      <c r="AC66" s="205">
        <f t="shared" si="50"/>
        <v>128</v>
      </c>
      <c r="AD66" s="205">
        <f t="shared" si="50"/>
        <v>94</v>
      </c>
      <c r="AE66" s="205">
        <f t="shared" si="50"/>
        <v>167</v>
      </c>
      <c r="AF66" s="205">
        <f t="shared" si="50"/>
        <v>120</v>
      </c>
      <c r="AG66" s="205">
        <f t="shared" si="50"/>
        <v>89</v>
      </c>
      <c r="AH66" s="205">
        <f t="shared" si="50"/>
        <v>159</v>
      </c>
      <c r="AI66" s="205">
        <f t="shared" si="50"/>
        <v>112.99999999999999</v>
      </c>
      <c r="AJ66" s="205">
        <f t="shared" si="50"/>
        <v>85</v>
      </c>
      <c r="AK66" s="205">
        <f t="shared" si="50"/>
        <v>153</v>
      </c>
      <c r="AL66" s="205">
        <f t="shared" si="50"/>
        <v>107.99999999999999</v>
      </c>
      <c r="AM66" s="205">
        <f t="shared" si="50"/>
        <v>82</v>
      </c>
      <c r="AN66" s="205">
        <f t="shared" si="50"/>
        <v>148.99999999999997</v>
      </c>
    </row>
    <row r="67" spans="2:40" ht="12" customHeight="1" outlineLevel="1">
      <c r="B67" s="239"/>
      <c r="C67" s="214"/>
      <c r="D67" s="214"/>
      <c r="E67" s="211"/>
      <c r="F67" s="211"/>
      <c r="G67" s="211"/>
      <c r="H67" s="211"/>
      <c r="I67" s="211"/>
      <c r="J67" s="211"/>
      <c r="K67" s="211"/>
      <c r="L67" s="211"/>
      <c r="M67" s="211"/>
      <c r="N67" s="211"/>
      <c r="O67" s="211"/>
      <c r="P67" s="211"/>
      <c r="Q67" s="211"/>
      <c r="R67" s="211"/>
      <c r="S67" s="211"/>
      <c r="T67" s="211"/>
      <c r="U67" s="211"/>
      <c r="V67" s="211"/>
      <c r="W67" s="211"/>
      <c r="X67" s="211"/>
      <c r="Y67" s="211"/>
      <c r="Z67" s="211"/>
      <c r="AA67" s="211"/>
      <c r="AB67" s="211"/>
      <c r="AC67" s="211"/>
      <c r="AD67" s="211"/>
      <c r="AE67" s="211"/>
      <c r="AF67" s="211"/>
      <c r="AG67" s="211"/>
      <c r="AH67" s="211"/>
      <c r="AI67" s="211"/>
      <c r="AJ67" s="211"/>
      <c r="AK67" s="211"/>
      <c r="AL67" s="211"/>
      <c r="AM67" s="211"/>
      <c r="AN67" s="211"/>
    </row>
    <row r="68" spans="2:40" ht="12" hidden="1" customHeight="1" outlineLevel="2">
      <c r="B68" s="239"/>
      <c r="C68" s="243" t="s">
        <v>849</v>
      </c>
      <c r="D68" s="214"/>
      <c r="O68" s="212"/>
      <c r="P68" s="212"/>
      <c r="Q68" s="212"/>
      <c r="R68" s="212"/>
      <c r="S68" s="212"/>
      <c r="T68" s="212"/>
      <c r="U68" s="212"/>
      <c r="V68" s="212"/>
      <c r="W68" s="212"/>
      <c r="X68" s="212"/>
      <c r="Y68" s="212"/>
      <c r="Z68" s="212"/>
      <c r="AA68" s="212"/>
      <c r="AB68" s="212"/>
      <c r="AC68" s="212"/>
      <c r="AD68" s="212"/>
      <c r="AE68" s="212"/>
      <c r="AF68" s="212"/>
      <c r="AG68" s="212"/>
      <c r="AH68" s="212"/>
      <c r="AI68" s="212"/>
      <c r="AJ68" s="212"/>
      <c r="AK68" s="212"/>
      <c r="AL68" s="212"/>
      <c r="AM68" s="212"/>
      <c r="AN68" s="212"/>
    </row>
    <row r="69" spans="2:40" ht="12" hidden="1" customHeight="1" outlineLevel="2">
      <c r="B69" s="239"/>
      <c r="C69" s="214" t="s">
        <v>850</v>
      </c>
      <c r="D69" s="214"/>
      <c r="E69" s="196" t="s">
        <v>753</v>
      </c>
      <c r="F69" s="196" t="s">
        <v>754</v>
      </c>
      <c r="G69" s="196" t="s">
        <v>755</v>
      </c>
      <c r="H69" s="196" t="s">
        <v>756</v>
      </c>
      <c r="I69" s="196" t="s">
        <v>757</v>
      </c>
      <c r="J69" s="196" t="s">
        <v>758</v>
      </c>
      <c r="K69" s="196" t="s">
        <v>759</v>
      </c>
      <c r="L69" s="196" t="s">
        <v>760</v>
      </c>
      <c r="M69" s="196" t="s">
        <v>761</v>
      </c>
      <c r="N69" s="196" t="s">
        <v>762</v>
      </c>
      <c r="O69" s="196" t="s">
        <v>763</v>
      </c>
      <c r="P69" s="196" t="s">
        <v>764</v>
      </c>
      <c r="Q69" s="196" t="s">
        <v>765</v>
      </c>
      <c r="R69" s="196" t="s">
        <v>766</v>
      </c>
      <c r="S69" s="196" t="s">
        <v>767</v>
      </c>
      <c r="T69" s="196" t="s">
        <v>768</v>
      </c>
      <c r="U69" s="196" t="s">
        <v>769</v>
      </c>
      <c r="V69" s="196" t="s">
        <v>770</v>
      </c>
      <c r="W69" s="196" t="s">
        <v>771</v>
      </c>
      <c r="X69" s="196" t="s">
        <v>772</v>
      </c>
      <c r="Y69" s="196" t="s">
        <v>773</v>
      </c>
      <c r="Z69" s="196" t="s">
        <v>774</v>
      </c>
      <c r="AA69" s="196" t="s">
        <v>775</v>
      </c>
      <c r="AB69" s="196" t="s">
        <v>776</v>
      </c>
      <c r="AC69" s="196" t="s">
        <v>777</v>
      </c>
      <c r="AD69" s="196" t="s">
        <v>778</v>
      </c>
      <c r="AE69" s="196" t="s">
        <v>779</v>
      </c>
      <c r="AF69" s="196" t="s">
        <v>780</v>
      </c>
      <c r="AG69" s="196" t="s">
        <v>781</v>
      </c>
      <c r="AH69" s="196" t="s">
        <v>782</v>
      </c>
      <c r="AI69" s="196" t="s">
        <v>783</v>
      </c>
      <c r="AJ69" s="196" t="s">
        <v>784</v>
      </c>
      <c r="AK69" s="196" t="s">
        <v>785</v>
      </c>
      <c r="AL69" s="196" t="s">
        <v>786</v>
      </c>
      <c r="AM69" s="196" t="s">
        <v>787</v>
      </c>
      <c r="AN69" s="196" t="s">
        <v>788</v>
      </c>
    </row>
    <row r="70" spans="2:40" ht="12" hidden="1" customHeight="1" outlineLevel="2">
      <c r="B70" s="239"/>
      <c r="C70" s="212" t="s">
        <v>851</v>
      </c>
      <c r="D70" s="212"/>
      <c r="E70" s="191">
        <v>0</v>
      </c>
      <c r="F70" s="191">
        <v>0</v>
      </c>
      <c r="G70" s="191">
        <v>0</v>
      </c>
      <c r="H70" s="191">
        <v>0</v>
      </c>
      <c r="I70" s="191">
        <v>0</v>
      </c>
      <c r="J70" s="191">
        <v>0</v>
      </c>
      <c r="K70" s="191">
        <v>0</v>
      </c>
      <c r="L70" s="191">
        <v>0</v>
      </c>
      <c r="M70" s="191">
        <v>0</v>
      </c>
      <c r="N70" s="191">
        <v>0</v>
      </c>
      <c r="O70" s="191">
        <v>0</v>
      </c>
      <c r="P70" s="191">
        <v>0</v>
      </c>
      <c r="Q70" s="191">
        <v>0</v>
      </c>
      <c r="R70" s="191">
        <v>0</v>
      </c>
      <c r="S70" s="191">
        <v>0</v>
      </c>
      <c r="T70" s="191">
        <v>0</v>
      </c>
      <c r="U70" s="191">
        <v>0</v>
      </c>
      <c r="V70" s="191">
        <v>0</v>
      </c>
      <c r="W70" s="191">
        <v>0</v>
      </c>
      <c r="X70" s="191">
        <v>0</v>
      </c>
      <c r="Y70" s="191">
        <v>0</v>
      </c>
      <c r="Z70" s="191">
        <v>0</v>
      </c>
      <c r="AA70" s="191">
        <v>0</v>
      </c>
      <c r="AB70" s="191">
        <v>0</v>
      </c>
      <c r="AC70" s="191">
        <v>0</v>
      </c>
      <c r="AD70" s="191">
        <v>0</v>
      </c>
      <c r="AE70" s="191">
        <v>0</v>
      </c>
      <c r="AF70" s="191">
        <v>0</v>
      </c>
      <c r="AG70" s="191">
        <v>0</v>
      </c>
      <c r="AH70" s="191">
        <v>0</v>
      </c>
      <c r="AI70" s="191">
        <v>0</v>
      </c>
      <c r="AJ70" s="191">
        <v>0</v>
      </c>
      <c r="AK70" s="191">
        <v>0</v>
      </c>
      <c r="AL70" s="191">
        <v>0</v>
      </c>
      <c r="AM70" s="191">
        <v>0</v>
      </c>
      <c r="AN70" s="191">
        <v>0</v>
      </c>
    </row>
    <row r="71" spans="2:40" ht="12" hidden="1" customHeight="1" outlineLevel="2">
      <c r="B71" s="239"/>
      <c r="C71" s="214" t="s">
        <v>852</v>
      </c>
      <c r="D71" s="212"/>
      <c r="E71" s="211">
        <v>26</v>
      </c>
      <c r="F71" s="211">
        <f>E71*98%</f>
        <v>25.48</v>
      </c>
      <c r="G71" s="211">
        <v>38</v>
      </c>
      <c r="H71" s="211">
        <f t="shared" ref="H71:AN71" si="51">G71*98%</f>
        <v>37.24</v>
      </c>
      <c r="I71" s="211">
        <v>14</v>
      </c>
      <c r="J71" s="211">
        <f t="shared" si="51"/>
        <v>13.719999999999999</v>
      </c>
      <c r="K71" s="211">
        <f t="shared" si="51"/>
        <v>13.445599999999999</v>
      </c>
      <c r="L71" s="211">
        <f t="shared" si="51"/>
        <v>13.176687999999999</v>
      </c>
      <c r="M71" s="211">
        <f t="shared" si="51"/>
        <v>12.913154239999999</v>
      </c>
      <c r="N71" s="211">
        <f t="shared" si="51"/>
        <v>12.6548911552</v>
      </c>
      <c r="O71" s="211">
        <f t="shared" si="51"/>
        <v>12.401793332096</v>
      </c>
      <c r="P71" s="211">
        <f t="shared" si="51"/>
        <v>12.153757465454079</v>
      </c>
      <c r="Q71" s="211">
        <f t="shared" si="51"/>
        <v>11.910682316144998</v>
      </c>
      <c r="R71" s="211">
        <f t="shared" si="51"/>
        <v>11.672468669822097</v>
      </c>
      <c r="S71" s="211">
        <f t="shared" si="51"/>
        <v>11.439019296425654</v>
      </c>
      <c r="T71" s="211">
        <f t="shared" si="51"/>
        <v>11.210238910497141</v>
      </c>
      <c r="U71" s="211">
        <f t="shared" si="51"/>
        <v>10.986034132287198</v>
      </c>
      <c r="V71" s="211">
        <f t="shared" si="51"/>
        <v>10.766313449641453</v>
      </c>
      <c r="W71" s="211">
        <f t="shared" si="51"/>
        <v>10.550987180648624</v>
      </c>
      <c r="X71" s="211">
        <f t="shared" si="51"/>
        <v>10.339967437035652</v>
      </c>
      <c r="Y71" s="211">
        <f t="shared" si="51"/>
        <v>10.133168088294939</v>
      </c>
      <c r="Z71" s="211">
        <f t="shared" si="51"/>
        <v>9.9305047265290405</v>
      </c>
      <c r="AA71" s="211">
        <f t="shared" si="51"/>
        <v>9.7318946319984594</v>
      </c>
      <c r="AB71" s="211">
        <f t="shared" si="51"/>
        <v>9.5372567393584902</v>
      </c>
      <c r="AC71" s="211">
        <f t="shared" si="51"/>
        <v>9.3465116045713206</v>
      </c>
      <c r="AD71" s="211">
        <f t="shared" si="51"/>
        <v>9.1595813724798933</v>
      </c>
      <c r="AE71" s="211">
        <f t="shared" si="51"/>
        <v>8.9763897450302945</v>
      </c>
      <c r="AF71" s="211">
        <f t="shared" si="51"/>
        <v>8.7968619501296885</v>
      </c>
      <c r="AG71" s="211">
        <f t="shared" si="51"/>
        <v>8.6209247111270955</v>
      </c>
      <c r="AH71" s="211">
        <f t="shared" si="51"/>
        <v>8.4485062169045531</v>
      </c>
      <c r="AI71" s="211">
        <f t="shared" si="51"/>
        <v>8.2795360925664614</v>
      </c>
      <c r="AJ71" s="211">
        <f t="shared" si="51"/>
        <v>8.1139453707151326</v>
      </c>
      <c r="AK71" s="211">
        <f t="shared" si="51"/>
        <v>7.95166646330083</v>
      </c>
      <c r="AL71" s="211">
        <f t="shared" si="51"/>
        <v>7.7926331340348129</v>
      </c>
      <c r="AM71" s="211">
        <f t="shared" si="51"/>
        <v>7.6367804713541165</v>
      </c>
      <c r="AN71" s="211">
        <f t="shared" si="51"/>
        <v>7.4840448619270337</v>
      </c>
    </row>
    <row r="72" spans="2:40" ht="12" hidden="1" customHeight="1" outlineLevel="2">
      <c r="B72" s="245"/>
      <c r="C72" s="213" t="s">
        <v>753</v>
      </c>
      <c r="D72" s="213"/>
      <c r="E72" s="211">
        <f>INDEX($C$44:$AN$64,MATCH("New Customers One-Time",$C$44:$C$64,0),MATCH($C72,$C$44:$AN$44,0))</f>
        <v>0</v>
      </c>
      <c r="F72" s="211">
        <f t="shared" ref="F72:AN72" si="52">$E$72*(E70)</f>
        <v>0</v>
      </c>
      <c r="G72" s="211">
        <f t="shared" si="52"/>
        <v>0</v>
      </c>
      <c r="H72" s="211">
        <f t="shared" si="52"/>
        <v>0</v>
      </c>
      <c r="I72" s="211">
        <f t="shared" si="52"/>
        <v>0</v>
      </c>
      <c r="J72" s="211">
        <f t="shared" si="52"/>
        <v>0</v>
      </c>
      <c r="K72" s="211">
        <f t="shared" si="52"/>
        <v>0</v>
      </c>
      <c r="L72" s="211">
        <f t="shared" si="52"/>
        <v>0</v>
      </c>
      <c r="M72" s="211">
        <f t="shared" si="52"/>
        <v>0</v>
      </c>
      <c r="N72" s="211">
        <f t="shared" si="52"/>
        <v>0</v>
      </c>
      <c r="O72" s="211">
        <f t="shared" si="52"/>
        <v>0</v>
      </c>
      <c r="P72" s="211">
        <f t="shared" si="52"/>
        <v>0</v>
      </c>
      <c r="Q72" s="211">
        <f t="shared" si="52"/>
        <v>0</v>
      </c>
      <c r="R72" s="211">
        <f t="shared" si="52"/>
        <v>0</v>
      </c>
      <c r="S72" s="211">
        <f t="shared" si="52"/>
        <v>0</v>
      </c>
      <c r="T72" s="211">
        <f t="shared" si="52"/>
        <v>0</v>
      </c>
      <c r="U72" s="211">
        <f t="shared" si="52"/>
        <v>0</v>
      </c>
      <c r="V72" s="211">
        <f t="shared" si="52"/>
        <v>0</v>
      </c>
      <c r="W72" s="211">
        <f t="shared" si="52"/>
        <v>0</v>
      </c>
      <c r="X72" s="211">
        <f t="shared" si="52"/>
        <v>0</v>
      </c>
      <c r="Y72" s="211">
        <f t="shared" si="52"/>
        <v>0</v>
      </c>
      <c r="Z72" s="211">
        <f t="shared" si="52"/>
        <v>0</v>
      </c>
      <c r="AA72" s="211">
        <f t="shared" si="52"/>
        <v>0</v>
      </c>
      <c r="AB72" s="211">
        <f t="shared" si="52"/>
        <v>0</v>
      </c>
      <c r="AC72" s="211">
        <f t="shared" si="52"/>
        <v>0</v>
      </c>
      <c r="AD72" s="211">
        <f t="shared" si="52"/>
        <v>0</v>
      </c>
      <c r="AE72" s="211">
        <f t="shared" si="52"/>
        <v>0</v>
      </c>
      <c r="AF72" s="211">
        <f t="shared" si="52"/>
        <v>0</v>
      </c>
      <c r="AG72" s="211">
        <f t="shared" si="52"/>
        <v>0</v>
      </c>
      <c r="AH72" s="211">
        <f t="shared" si="52"/>
        <v>0</v>
      </c>
      <c r="AI72" s="211">
        <f t="shared" si="52"/>
        <v>0</v>
      </c>
      <c r="AJ72" s="211">
        <f t="shared" si="52"/>
        <v>0</v>
      </c>
      <c r="AK72" s="211">
        <f t="shared" si="52"/>
        <v>0</v>
      </c>
      <c r="AL72" s="211">
        <f t="shared" si="52"/>
        <v>0</v>
      </c>
      <c r="AM72" s="211">
        <f t="shared" si="52"/>
        <v>0</v>
      </c>
      <c r="AN72" s="211">
        <f t="shared" si="52"/>
        <v>0</v>
      </c>
    </row>
    <row r="73" spans="2:40" ht="12" hidden="1" customHeight="1" outlineLevel="2">
      <c r="B73" s="245"/>
      <c r="C73" s="213" t="s">
        <v>754</v>
      </c>
      <c r="D73" s="213"/>
      <c r="E73" s="213"/>
      <c r="F73" s="211">
        <f>INDEX($C$44:$AN$64,MATCH("New Customers One-Time",$C$44:$C$64,0),MATCH($C73,$C$44:$AN$44,0))</f>
        <v>0</v>
      </c>
      <c r="G73" s="211">
        <f t="shared" ref="G73:AN73" si="53">$F$73*(E70)</f>
        <v>0</v>
      </c>
      <c r="H73" s="211">
        <f t="shared" si="53"/>
        <v>0</v>
      </c>
      <c r="I73" s="211">
        <f t="shared" si="53"/>
        <v>0</v>
      </c>
      <c r="J73" s="211">
        <f t="shared" si="53"/>
        <v>0</v>
      </c>
      <c r="K73" s="211">
        <f t="shared" si="53"/>
        <v>0</v>
      </c>
      <c r="L73" s="211">
        <f t="shared" si="53"/>
        <v>0</v>
      </c>
      <c r="M73" s="211">
        <f t="shared" si="53"/>
        <v>0</v>
      </c>
      <c r="N73" s="211">
        <f t="shared" si="53"/>
        <v>0</v>
      </c>
      <c r="O73" s="211">
        <f t="shared" si="53"/>
        <v>0</v>
      </c>
      <c r="P73" s="211">
        <f t="shared" si="53"/>
        <v>0</v>
      </c>
      <c r="Q73" s="211">
        <f t="shared" si="53"/>
        <v>0</v>
      </c>
      <c r="R73" s="211">
        <f t="shared" si="53"/>
        <v>0</v>
      </c>
      <c r="S73" s="211">
        <f t="shared" si="53"/>
        <v>0</v>
      </c>
      <c r="T73" s="211">
        <f t="shared" si="53"/>
        <v>0</v>
      </c>
      <c r="U73" s="211">
        <f t="shared" si="53"/>
        <v>0</v>
      </c>
      <c r="V73" s="211">
        <f t="shared" si="53"/>
        <v>0</v>
      </c>
      <c r="W73" s="211">
        <f t="shared" si="53"/>
        <v>0</v>
      </c>
      <c r="X73" s="211">
        <f t="shared" si="53"/>
        <v>0</v>
      </c>
      <c r="Y73" s="211">
        <f t="shared" si="53"/>
        <v>0</v>
      </c>
      <c r="Z73" s="211">
        <f t="shared" si="53"/>
        <v>0</v>
      </c>
      <c r="AA73" s="211">
        <f t="shared" si="53"/>
        <v>0</v>
      </c>
      <c r="AB73" s="211">
        <f t="shared" si="53"/>
        <v>0</v>
      </c>
      <c r="AC73" s="211">
        <f t="shared" si="53"/>
        <v>0</v>
      </c>
      <c r="AD73" s="211">
        <f t="shared" si="53"/>
        <v>0</v>
      </c>
      <c r="AE73" s="211">
        <f t="shared" si="53"/>
        <v>0</v>
      </c>
      <c r="AF73" s="211">
        <f t="shared" si="53"/>
        <v>0</v>
      </c>
      <c r="AG73" s="211">
        <f t="shared" si="53"/>
        <v>0</v>
      </c>
      <c r="AH73" s="211">
        <f t="shared" si="53"/>
        <v>0</v>
      </c>
      <c r="AI73" s="211">
        <f t="shared" si="53"/>
        <v>0</v>
      </c>
      <c r="AJ73" s="211">
        <f t="shared" si="53"/>
        <v>0</v>
      </c>
      <c r="AK73" s="211">
        <f t="shared" si="53"/>
        <v>0</v>
      </c>
      <c r="AL73" s="211">
        <f t="shared" si="53"/>
        <v>0</v>
      </c>
      <c r="AM73" s="211">
        <f t="shared" si="53"/>
        <v>0</v>
      </c>
      <c r="AN73" s="211">
        <f t="shared" si="53"/>
        <v>0</v>
      </c>
    </row>
    <row r="74" spans="2:40" ht="12" hidden="1" customHeight="1" outlineLevel="2">
      <c r="B74" s="245"/>
      <c r="C74" s="213" t="s">
        <v>755</v>
      </c>
      <c r="D74" s="213"/>
      <c r="E74" s="213"/>
      <c r="G74" s="211">
        <f>INDEX($C$44:$AN$66,MATCH("New Customers One-Time",$C$44:$C$66,0),MATCH($C74,$C$44:$AN$44,0))</f>
        <v>0</v>
      </c>
      <c r="H74" s="211">
        <f t="shared" ref="H74:AN74" si="54">$G$74*(E70)</f>
        <v>0</v>
      </c>
      <c r="I74" s="211">
        <f t="shared" si="54"/>
        <v>0</v>
      </c>
      <c r="J74" s="211">
        <f t="shared" si="54"/>
        <v>0</v>
      </c>
      <c r="K74" s="211">
        <f t="shared" si="54"/>
        <v>0</v>
      </c>
      <c r="L74" s="211">
        <f t="shared" si="54"/>
        <v>0</v>
      </c>
      <c r="M74" s="211">
        <f t="shared" si="54"/>
        <v>0</v>
      </c>
      <c r="N74" s="211">
        <f t="shared" si="54"/>
        <v>0</v>
      </c>
      <c r="O74" s="211">
        <f t="shared" si="54"/>
        <v>0</v>
      </c>
      <c r="P74" s="211">
        <f t="shared" si="54"/>
        <v>0</v>
      </c>
      <c r="Q74" s="211">
        <f t="shared" si="54"/>
        <v>0</v>
      </c>
      <c r="R74" s="211">
        <f t="shared" si="54"/>
        <v>0</v>
      </c>
      <c r="S74" s="211">
        <f t="shared" si="54"/>
        <v>0</v>
      </c>
      <c r="T74" s="211">
        <f t="shared" si="54"/>
        <v>0</v>
      </c>
      <c r="U74" s="211">
        <f t="shared" si="54"/>
        <v>0</v>
      </c>
      <c r="V74" s="211">
        <f t="shared" si="54"/>
        <v>0</v>
      </c>
      <c r="W74" s="211">
        <f t="shared" si="54"/>
        <v>0</v>
      </c>
      <c r="X74" s="211">
        <f t="shared" si="54"/>
        <v>0</v>
      </c>
      <c r="Y74" s="211">
        <f t="shared" si="54"/>
        <v>0</v>
      </c>
      <c r="Z74" s="211">
        <f t="shared" si="54"/>
        <v>0</v>
      </c>
      <c r="AA74" s="211">
        <f t="shared" si="54"/>
        <v>0</v>
      </c>
      <c r="AB74" s="211">
        <f t="shared" si="54"/>
        <v>0</v>
      </c>
      <c r="AC74" s="211">
        <f t="shared" si="54"/>
        <v>0</v>
      </c>
      <c r="AD74" s="211">
        <f t="shared" si="54"/>
        <v>0</v>
      </c>
      <c r="AE74" s="211">
        <f t="shared" si="54"/>
        <v>0</v>
      </c>
      <c r="AF74" s="211">
        <f t="shared" si="54"/>
        <v>0</v>
      </c>
      <c r="AG74" s="211">
        <f t="shared" si="54"/>
        <v>0</v>
      </c>
      <c r="AH74" s="211">
        <f t="shared" si="54"/>
        <v>0</v>
      </c>
      <c r="AI74" s="211">
        <f t="shared" si="54"/>
        <v>0</v>
      </c>
      <c r="AJ74" s="211">
        <f t="shared" si="54"/>
        <v>0</v>
      </c>
      <c r="AK74" s="211">
        <f t="shared" si="54"/>
        <v>0</v>
      </c>
      <c r="AL74" s="211">
        <f t="shared" si="54"/>
        <v>0</v>
      </c>
      <c r="AM74" s="211">
        <f t="shared" si="54"/>
        <v>0</v>
      </c>
      <c r="AN74" s="211">
        <f t="shared" si="54"/>
        <v>0</v>
      </c>
    </row>
    <row r="75" spans="2:40" ht="12" hidden="1" customHeight="1" outlineLevel="2">
      <c r="B75" s="245"/>
      <c r="C75" s="213" t="s">
        <v>756</v>
      </c>
      <c r="D75" s="213"/>
      <c r="E75" s="213"/>
      <c r="F75" s="213"/>
      <c r="G75" s="213"/>
      <c r="H75" s="211">
        <f>INDEX($C$44:$AN$66,MATCH("New Customers One-Time",$C$44:$C$66,0),MATCH($C75,$C$44:$AN$44,0))</f>
        <v>0</v>
      </c>
      <c r="I75" s="211">
        <f t="shared" ref="I75:AN75" si="55">$H$75*(E70)</f>
        <v>0</v>
      </c>
      <c r="J75" s="211">
        <f t="shared" si="55"/>
        <v>0</v>
      </c>
      <c r="K75" s="211">
        <f t="shared" si="55"/>
        <v>0</v>
      </c>
      <c r="L75" s="211">
        <f t="shared" si="55"/>
        <v>0</v>
      </c>
      <c r="M75" s="211">
        <f t="shared" si="55"/>
        <v>0</v>
      </c>
      <c r="N75" s="211">
        <f t="shared" si="55"/>
        <v>0</v>
      </c>
      <c r="O75" s="211">
        <f t="shared" si="55"/>
        <v>0</v>
      </c>
      <c r="P75" s="211">
        <f t="shared" si="55"/>
        <v>0</v>
      </c>
      <c r="Q75" s="211">
        <f t="shared" si="55"/>
        <v>0</v>
      </c>
      <c r="R75" s="211">
        <f t="shared" si="55"/>
        <v>0</v>
      </c>
      <c r="S75" s="211">
        <f t="shared" si="55"/>
        <v>0</v>
      </c>
      <c r="T75" s="211">
        <f t="shared" si="55"/>
        <v>0</v>
      </c>
      <c r="U75" s="211">
        <f t="shared" si="55"/>
        <v>0</v>
      </c>
      <c r="V75" s="211">
        <f t="shared" si="55"/>
        <v>0</v>
      </c>
      <c r="W75" s="211">
        <f t="shared" si="55"/>
        <v>0</v>
      </c>
      <c r="X75" s="211">
        <f t="shared" si="55"/>
        <v>0</v>
      </c>
      <c r="Y75" s="211">
        <f t="shared" si="55"/>
        <v>0</v>
      </c>
      <c r="Z75" s="211">
        <f t="shared" si="55"/>
        <v>0</v>
      </c>
      <c r="AA75" s="211">
        <f t="shared" si="55"/>
        <v>0</v>
      </c>
      <c r="AB75" s="211">
        <f t="shared" si="55"/>
        <v>0</v>
      </c>
      <c r="AC75" s="211">
        <f t="shared" si="55"/>
        <v>0</v>
      </c>
      <c r="AD75" s="211">
        <f t="shared" si="55"/>
        <v>0</v>
      </c>
      <c r="AE75" s="211">
        <f t="shared" si="55"/>
        <v>0</v>
      </c>
      <c r="AF75" s="211">
        <f t="shared" si="55"/>
        <v>0</v>
      </c>
      <c r="AG75" s="211">
        <f t="shared" si="55"/>
        <v>0</v>
      </c>
      <c r="AH75" s="211">
        <f t="shared" si="55"/>
        <v>0</v>
      </c>
      <c r="AI75" s="211">
        <f t="shared" si="55"/>
        <v>0</v>
      </c>
      <c r="AJ75" s="211">
        <f t="shared" si="55"/>
        <v>0</v>
      </c>
      <c r="AK75" s="211">
        <f t="shared" si="55"/>
        <v>0</v>
      </c>
      <c r="AL75" s="211">
        <f t="shared" si="55"/>
        <v>0</v>
      </c>
      <c r="AM75" s="211">
        <f t="shared" si="55"/>
        <v>0</v>
      </c>
      <c r="AN75" s="211">
        <f t="shared" si="55"/>
        <v>0</v>
      </c>
    </row>
    <row r="76" spans="2:40" ht="12" hidden="1" customHeight="1" outlineLevel="2">
      <c r="B76" s="245"/>
      <c r="C76" s="213" t="s">
        <v>757</v>
      </c>
      <c r="D76" s="213"/>
      <c r="E76" s="213"/>
      <c r="F76" s="213"/>
      <c r="G76" s="213"/>
      <c r="H76" s="213"/>
      <c r="I76" s="211">
        <f>INDEX($C$44:$AN$66,MATCH("New Customers One-Time",$C$44:$C$66,0),MATCH($C76,$C$44:$AN$44,0))</f>
        <v>0</v>
      </c>
      <c r="J76" s="211">
        <f t="shared" ref="J76:AN76" si="56">$I$76*(E70)</f>
        <v>0</v>
      </c>
      <c r="K76" s="211">
        <f t="shared" si="56"/>
        <v>0</v>
      </c>
      <c r="L76" s="211">
        <f t="shared" si="56"/>
        <v>0</v>
      </c>
      <c r="M76" s="211">
        <f t="shared" si="56"/>
        <v>0</v>
      </c>
      <c r="N76" s="211">
        <f t="shared" si="56"/>
        <v>0</v>
      </c>
      <c r="O76" s="211">
        <f t="shared" si="56"/>
        <v>0</v>
      </c>
      <c r="P76" s="211">
        <f t="shared" si="56"/>
        <v>0</v>
      </c>
      <c r="Q76" s="211">
        <f t="shared" si="56"/>
        <v>0</v>
      </c>
      <c r="R76" s="211">
        <f t="shared" si="56"/>
        <v>0</v>
      </c>
      <c r="S76" s="211">
        <f t="shared" si="56"/>
        <v>0</v>
      </c>
      <c r="T76" s="211">
        <f t="shared" si="56"/>
        <v>0</v>
      </c>
      <c r="U76" s="211">
        <f t="shared" si="56"/>
        <v>0</v>
      </c>
      <c r="V76" s="211">
        <f t="shared" si="56"/>
        <v>0</v>
      </c>
      <c r="W76" s="211">
        <f t="shared" si="56"/>
        <v>0</v>
      </c>
      <c r="X76" s="211">
        <f t="shared" si="56"/>
        <v>0</v>
      </c>
      <c r="Y76" s="211">
        <f t="shared" si="56"/>
        <v>0</v>
      </c>
      <c r="Z76" s="211">
        <f t="shared" si="56"/>
        <v>0</v>
      </c>
      <c r="AA76" s="211">
        <f t="shared" si="56"/>
        <v>0</v>
      </c>
      <c r="AB76" s="211">
        <f t="shared" si="56"/>
        <v>0</v>
      </c>
      <c r="AC76" s="211">
        <f t="shared" si="56"/>
        <v>0</v>
      </c>
      <c r="AD76" s="211">
        <f t="shared" si="56"/>
        <v>0</v>
      </c>
      <c r="AE76" s="211">
        <f t="shared" si="56"/>
        <v>0</v>
      </c>
      <c r="AF76" s="211">
        <f t="shared" si="56"/>
        <v>0</v>
      </c>
      <c r="AG76" s="211">
        <f t="shared" si="56"/>
        <v>0</v>
      </c>
      <c r="AH76" s="211">
        <f t="shared" si="56"/>
        <v>0</v>
      </c>
      <c r="AI76" s="211">
        <f t="shared" si="56"/>
        <v>0</v>
      </c>
      <c r="AJ76" s="211">
        <f t="shared" si="56"/>
        <v>0</v>
      </c>
      <c r="AK76" s="211">
        <f t="shared" si="56"/>
        <v>0</v>
      </c>
      <c r="AL76" s="211">
        <f t="shared" si="56"/>
        <v>0</v>
      </c>
      <c r="AM76" s="211">
        <f t="shared" si="56"/>
        <v>0</v>
      </c>
      <c r="AN76" s="211">
        <f t="shared" si="56"/>
        <v>0</v>
      </c>
    </row>
    <row r="77" spans="2:40" ht="12" hidden="1" customHeight="1" outlineLevel="2">
      <c r="B77" s="245"/>
      <c r="C77" s="213" t="s">
        <v>758</v>
      </c>
      <c r="D77" s="213"/>
      <c r="E77" s="213"/>
      <c r="F77" s="213"/>
      <c r="G77" s="213"/>
      <c r="H77" s="213"/>
      <c r="I77" s="213"/>
      <c r="J77" s="211">
        <f>INDEX($C$44:$AN$66,MATCH("New Customers One-Time",$C$44:$C$66,0),MATCH($C77,$C$44:$AN$44,0))</f>
        <v>8</v>
      </c>
      <c r="K77" s="211">
        <f t="shared" ref="K77:AN77" si="57">$J$77*(E70)</f>
        <v>0</v>
      </c>
      <c r="L77" s="211">
        <f t="shared" si="57"/>
        <v>0</v>
      </c>
      <c r="M77" s="211">
        <f t="shared" si="57"/>
        <v>0</v>
      </c>
      <c r="N77" s="211">
        <f t="shared" si="57"/>
        <v>0</v>
      </c>
      <c r="O77" s="211">
        <f t="shared" si="57"/>
        <v>0</v>
      </c>
      <c r="P77" s="211">
        <f t="shared" si="57"/>
        <v>0</v>
      </c>
      <c r="Q77" s="211">
        <f t="shared" si="57"/>
        <v>0</v>
      </c>
      <c r="R77" s="211">
        <f t="shared" si="57"/>
        <v>0</v>
      </c>
      <c r="S77" s="211">
        <f t="shared" si="57"/>
        <v>0</v>
      </c>
      <c r="T77" s="211">
        <f t="shared" si="57"/>
        <v>0</v>
      </c>
      <c r="U77" s="211">
        <f t="shared" si="57"/>
        <v>0</v>
      </c>
      <c r="V77" s="211">
        <f t="shared" si="57"/>
        <v>0</v>
      </c>
      <c r="W77" s="211">
        <f t="shared" si="57"/>
        <v>0</v>
      </c>
      <c r="X77" s="211">
        <f t="shared" si="57"/>
        <v>0</v>
      </c>
      <c r="Y77" s="211">
        <f t="shared" si="57"/>
        <v>0</v>
      </c>
      <c r="Z77" s="211">
        <f t="shared" si="57"/>
        <v>0</v>
      </c>
      <c r="AA77" s="211">
        <f t="shared" si="57"/>
        <v>0</v>
      </c>
      <c r="AB77" s="211">
        <f t="shared" si="57"/>
        <v>0</v>
      </c>
      <c r="AC77" s="211">
        <f t="shared" si="57"/>
        <v>0</v>
      </c>
      <c r="AD77" s="211">
        <f t="shared" si="57"/>
        <v>0</v>
      </c>
      <c r="AE77" s="211">
        <f t="shared" si="57"/>
        <v>0</v>
      </c>
      <c r="AF77" s="211">
        <f t="shared" si="57"/>
        <v>0</v>
      </c>
      <c r="AG77" s="211">
        <f t="shared" si="57"/>
        <v>0</v>
      </c>
      <c r="AH77" s="211">
        <f t="shared" si="57"/>
        <v>0</v>
      </c>
      <c r="AI77" s="211">
        <f t="shared" si="57"/>
        <v>0</v>
      </c>
      <c r="AJ77" s="211">
        <f t="shared" si="57"/>
        <v>0</v>
      </c>
      <c r="AK77" s="211">
        <f t="shared" si="57"/>
        <v>0</v>
      </c>
      <c r="AL77" s="211">
        <f t="shared" si="57"/>
        <v>0</v>
      </c>
      <c r="AM77" s="211">
        <f t="shared" si="57"/>
        <v>0</v>
      </c>
      <c r="AN77" s="211">
        <f t="shared" si="57"/>
        <v>0</v>
      </c>
    </row>
    <row r="78" spans="2:40" ht="12" hidden="1" customHeight="1" outlineLevel="2">
      <c r="B78" s="245"/>
      <c r="C78" s="213" t="s">
        <v>759</v>
      </c>
      <c r="D78" s="213"/>
      <c r="E78" s="213"/>
      <c r="F78" s="213"/>
      <c r="G78" s="213"/>
      <c r="H78" s="213"/>
      <c r="I78" s="213"/>
      <c r="J78" s="213"/>
      <c r="K78" s="211">
        <f>INDEX($C$44:$AN$66,MATCH("New Customers One-Time",$C$44:$C$66,0),MATCH($C78,$C$44:$AN$44,0))</f>
        <v>3</v>
      </c>
      <c r="L78" s="211">
        <f t="shared" ref="L78:AN78" si="58">$K$78*(E70)</f>
        <v>0</v>
      </c>
      <c r="M78" s="211">
        <f t="shared" si="58"/>
        <v>0</v>
      </c>
      <c r="N78" s="211">
        <f t="shared" si="58"/>
        <v>0</v>
      </c>
      <c r="O78" s="211">
        <f t="shared" si="58"/>
        <v>0</v>
      </c>
      <c r="P78" s="211">
        <f t="shared" si="58"/>
        <v>0</v>
      </c>
      <c r="Q78" s="211">
        <f t="shared" si="58"/>
        <v>0</v>
      </c>
      <c r="R78" s="211">
        <f t="shared" si="58"/>
        <v>0</v>
      </c>
      <c r="S78" s="211">
        <f t="shared" si="58"/>
        <v>0</v>
      </c>
      <c r="T78" s="211">
        <f t="shared" si="58"/>
        <v>0</v>
      </c>
      <c r="U78" s="211">
        <f t="shared" si="58"/>
        <v>0</v>
      </c>
      <c r="V78" s="211">
        <f t="shared" si="58"/>
        <v>0</v>
      </c>
      <c r="W78" s="211">
        <f t="shared" si="58"/>
        <v>0</v>
      </c>
      <c r="X78" s="211">
        <f t="shared" si="58"/>
        <v>0</v>
      </c>
      <c r="Y78" s="211">
        <f t="shared" si="58"/>
        <v>0</v>
      </c>
      <c r="Z78" s="211">
        <f t="shared" si="58"/>
        <v>0</v>
      </c>
      <c r="AA78" s="211">
        <f t="shared" si="58"/>
        <v>0</v>
      </c>
      <c r="AB78" s="211">
        <f t="shared" si="58"/>
        <v>0</v>
      </c>
      <c r="AC78" s="211">
        <f t="shared" si="58"/>
        <v>0</v>
      </c>
      <c r="AD78" s="211">
        <f t="shared" si="58"/>
        <v>0</v>
      </c>
      <c r="AE78" s="211">
        <f t="shared" si="58"/>
        <v>0</v>
      </c>
      <c r="AF78" s="211">
        <f t="shared" si="58"/>
        <v>0</v>
      </c>
      <c r="AG78" s="211">
        <f t="shared" si="58"/>
        <v>0</v>
      </c>
      <c r="AH78" s="211">
        <f t="shared" si="58"/>
        <v>0</v>
      </c>
      <c r="AI78" s="211">
        <f t="shared" si="58"/>
        <v>0</v>
      </c>
      <c r="AJ78" s="211">
        <f t="shared" si="58"/>
        <v>0</v>
      </c>
      <c r="AK78" s="211">
        <f t="shared" si="58"/>
        <v>0</v>
      </c>
      <c r="AL78" s="211">
        <f t="shared" si="58"/>
        <v>0</v>
      </c>
      <c r="AM78" s="211">
        <f t="shared" si="58"/>
        <v>0</v>
      </c>
      <c r="AN78" s="211">
        <f t="shared" si="58"/>
        <v>0</v>
      </c>
    </row>
    <row r="79" spans="2:40" ht="12" hidden="1" customHeight="1" outlineLevel="2">
      <c r="B79" s="245"/>
      <c r="C79" s="213" t="s">
        <v>760</v>
      </c>
      <c r="D79" s="213"/>
      <c r="E79" s="213"/>
      <c r="F79" s="213"/>
      <c r="G79" s="213"/>
      <c r="H79" s="213"/>
      <c r="I79" s="213"/>
      <c r="J79" s="213"/>
      <c r="K79" s="213"/>
      <c r="L79" s="211">
        <f>INDEX($C$44:$AN$66,MATCH("New Customers One-Time",$C$44:$C$66,0),MATCH($C79,$C$44:$AN$44,0))</f>
        <v>1</v>
      </c>
      <c r="M79" s="211">
        <f t="shared" ref="M79:AN79" si="59">$L$79*(E70)</f>
        <v>0</v>
      </c>
      <c r="N79" s="211">
        <f t="shared" si="59"/>
        <v>0</v>
      </c>
      <c r="O79" s="211">
        <f t="shared" si="59"/>
        <v>0</v>
      </c>
      <c r="P79" s="211">
        <f t="shared" si="59"/>
        <v>0</v>
      </c>
      <c r="Q79" s="211">
        <f t="shared" si="59"/>
        <v>0</v>
      </c>
      <c r="R79" s="211">
        <f t="shared" si="59"/>
        <v>0</v>
      </c>
      <c r="S79" s="211">
        <f t="shared" si="59"/>
        <v>0</v>
      </c>
      <c r="T79" s="211">
        <f t="shared" si="59"/>
        <v>0</v>
      </c>
      <c r="U79" s="211">
        <f t="shared" si="59"/>
        <v>0</v>
      </c>
      <c r="V79" s="211">
        <f t="shared" si="59"/>
        <v>0</v>
      </c>
      <c r="W79" s="211">
        <f t="shared" si="59"/>
        <v>0</v>
      </c>
      <c r="X79" s="211">
        <f t="shared" si="59"/>
        <v>0</v>
      </c>
      <c r="Y79" s="211">
        <f t="shared" si="59"/>
        <v>0</v>
      </c>
      <c r="Z79" s="211">
        <f t="shared" si="59"/>
        <v>0</v>
      </c>
      <c r="AA79" s="211">
        <f t="shared" si="59"/>
        <v>0</v>
      </c>
      <c r="AB79" s="211">
        <f t="shared" si="59"/>
        <v>0</v>
      </c>
      <c r="AC79" s="211">
        <f t="shared" si="59"/>
        <v>0</v>
      </c>
      <c r="AD79" s="211">
        <f t="shared" si="59"/>
        <v>0</v>
      </c>
      <c r="AE79" s="211">
        <f t="shared" si="59"/>
        <v>0</v>
      </c>
      <c r="AF79" s="211">
        <f t="shared" si="59"/>
        <v>0</v>
      </c>
      <c r="AG79" s="211">
        <f t="shared" si="59"/>
        <v>0</v>
      </c>
      <c r="AH79" s="211">
        <f t="shared" si="59"/>
        <v>0</v>
      </c>
      <c r="AI79" s="211">
        <f t="shared" si="59"/>
        <v>0</v>
      </c>
      <c r="AJ79" s="211">
        <f t="shared" si="59"/>
        <v>0</v>
      </c>
      <c r="AK79" s="211">
        <f t="shared" si="59"/>
        <v>0</v>
      </c>
      <c r="AL79" s="211">
        <f t="shared" si="59"/>
        <v>0</v>
      </c>
      <c r="AM79" s="211">
        <f t="shared" si="59"/>
        <v>0</v>
      </c>
      <c r="AN79" s="211">
        <f t="shared" si="59"/>
        <v>0</v>
      </c>
    </row>
    <row r="80" spans="2:40" ht="12" hidden="1" customHeight="1" outlineLevel="2">
      <c r="B80" s="245"/>
      <c r="C80" s="213" t="s">
        <v>761</v>
      </c>
      <c r="D80" s="213"/>
      <c r="E80" s="213"/>
      <c r="F80" s="213"/>
      <c r="G80" s="213"/>
      <c r="H80" s="213"/>
      <c r="I80" s="213"/>
      <c r="J80" s="213"/>
      <c r="K80" s="213"/>
      <c r="L80" s="213"/>
      <c r="M80" s="211">
        <f>INDEX($C$44:$AN$66,MATCH("New Customers One-Time",$C$44:$C$66,0),MATCH($C80,$C$44:$AN$44,0))</f>
        <v>8.4692671394799079E-2</v>
      </c>
      <c r="N80" s="211">
        <f t="shared" ref="N80:AN80" si="60">$M$80*(E70)</f>
        <v>0</v>
      </c>
      <c r="O80" s="211">
        <f t="shared" si="60"/>
        <v>0</v>
      </c>
      <c r="P80" s="211">
        <f t="shared" si="60"/>
        <v>0</v>
      </c>
      <c r="Q80" s="211">
        <f t="shared" si="60"/>
        <v>0</v>
      </c>
      <c r="R80" s="211">
        <f t="shared" si="60"/>
        <v>0</v>
      </c>
      <c r="S80" s="211">
        <f t="shared" si="60"/>
        <v>0</v>
      </c>
      <c r="T80" s="211">
        <f t="shared" si="60"/>
        <v>0</v>
      </c>
      <c r="U80" s="211">
        <f t="shared" si="60"/>
        <v>0</v>
      </c>
      <c r="V80" s="211">
        <f t="shared" si="60"/>
        <v>0</v>
      </c>
      <c r="W80" s="211">
        <f t="shared" si="60"/>
        <v>0</v>
      </c>
      <c r="X80" s="211">
        <f t="shared" si="60"/>
        <v>0</v>
      </c>
      <c r="Y80" s="211">
        <f t="shared" si="60"/>
        <v>0</v>
      </c>
      <c r="Z80" s="211">
        <f t="shared" si="60"/>
        <v>0</v>
      </c>
      <c r="AA80" s="211">
        <f t="shared" si="60"/>
        <v>0</v>
      </c>
      <c r="AB80" s="211">
        <f t="shared" si="60"/>
        <v>0</v>
      </c>
      <c r="AC80" s="211">
        <f t="shared" si="60"/>
        <v>0</v>
      </c>
      <c r="AD80" s="211">
        <f t="shared" si="60"/>
        <v>0</v>
      </c>
      <c r="AE80" s="211">
        <f t="shared" si="60"/>
        <v>0</v>
      </c>
      <c r="AF80" s="211">
        <f t="shared" si="60"/>
        <v>0</v>
      </c>
      <c r="AG80" s="211">
        <f t="shared" si="60"/>
        <v>0</v>
      </c>
      <c r="AH80" s="211">
        <f t="shared" si="60"/>
        <v>0</v>
      </c>
      <c r="AI80" s="211">
        <f t="shared" si="60"/>
        <v>0</v>
      </c>
      <c r="AJ80" s="211">
        <f t="shared" si="60"/>
        <v>0</v>
      </c>
      <c r="AK80" s="211">
        <f t="shared" si="60"/>
        <v>0</v>
      </c>
      <c r="AL80" s="211">
        <f t="shared" si="60"/>
        <v>0</v>
      </c>
      <c r="AM80" s="211">
        <f t="shared" si="60"/>
        <v>0</v>
      </c>
      <c r="AN80" s="211">
        <f t="shared" si="60"/>
        <v>0</v>
      </c>
    </row>
    <row r="81" spans="2:40" ht="12" hidden="1" customHeight="1" outlineLevel="2">
      <c r="B81" s="245"/>
      <c r="C81" s="213" t="s">
        <v>762</v>
      </c>
      <c r="D81" s="213"/>
      <c r="E81" s="213"/>
      <c r="F81" s="213"/>
      <c r="G81" s="213"/>
      <c r="H81" s="213"/>
      <c r="I81" s="213"/>
      <c r="J81" s="213"/>
      <c r="K81" s="213"/>
      <c r="L81" s="213"/>
      <c r="M81" s="213"/>
      <c r="N81" s="211">
        <f>INDEX($C$44:$AN$66,MATCH("New Customers One-Time",$C$44:$C$66,0),MATCH($C81,$C$44:$AN$44,0))</f>
        <v>1.1820330969267141</v>
      </c>
      <c r="O81" s="211">
        <f t="shared" ref="O81:AN81" si="61">$N$81*(E70)</f>
        <v>0</v>
      </c>
      <c r="P81" s="211">
        <f t="shared" si="61"/>
        <v>0</v>
      </c>
      <c r="Q81" s="211">
        <f t="shared" si="61"/>
        <v>0</v>
      </c>
      <c r="R81" s="211">
        <f t="shared" si="61"/>
        <v>0</v>
      </c>
      <c r="S81" s="211">
        <f t="shared" si="61"/>
        <v>0</v>
      </c>
      <c r="T81" s="211">
        <f t="shared" si="61"/>
        <v>0</v>
      </c>
      <c r="U81" s="211">
        <f t="shared" si="61"/>
        <v>0</v>
      </c>
      <c r="V81" s="211">
        <f t="shared" si="61"/>
        <v>0</v>
      </c>
      <c r="W81" s="211">
        <f t="shared" si="61"/>
        <v>0</v>
      </c>
      <c r="X81" s="211">
        <f t="shared" si="61"/>
        <v>0</v>
      </c>
      <c r="Y81" s="211">
        <f t="shared" si="61"/>
        <v>0</v>
      </c>
      <c r="Z81" s="211">
        <f t="shared" si="61"/>
        <v>0</v>
      </c>
      <c r="AA81" s="211">
        <f t="shared" si="61"/>
        <v>0</v>
      </c>
      <c r="AB81" s="211">
        <f t="shared" si="61"/>
        <v>0</v>
      </c>
      <c r="AC81" s="211">
        <f t="shared" si="61"/>
        <v>0</v>
      </c>
      <c r="AD81" s="211">
        <f t="shared" si="61"/>
        <v>0</v>
      </c>
      <c r="AE81" s="211">
        <f t="shared" si="61"/>
        <v>0</v>
      </c>
      <c r="AF81" s="211">
        <f t="shared" si="61"/>
        <v>0</v>
      </c>
      <c r="AG81" s="211">
        <f t="shared" si="61"/>
        <v>0</v>
      </c>
      <c r="AH81" s="211">
        <f t="shared" si="61"/>
        <v>0</v>
      </c>
      <c r="AI81" s="211">
        <f t="shared" si="61"/>
        <v>0</v>
      </c>
      <c r="AJ81" s="211">
        <f t="shared" si="61"/>
        <v>0</v>
      </c>
      <c r="AK81" s="211">
        <f t="shared" si="61"/>
        <v>0</v>
      </c>
      <c r="AL81" s="211">
        <f t="shared" si="61"/>
        <v>0</v>
      </c>
      <c r="AM81" s="211">
        <f t="shared" si="61"/>
        <v>0</v>
      </c>
      <c r="AN81" s="211">
        <f t="shared" si="61"/>
        <v>0</v>
      </c>
    </row>
    <row r="82" spans="2:40" ht="12" hidden="1" customHeight="1" outlineLevel="2">
      <c r="B82" s="245"/>
      <c r="C82" s="213" t="s">
        <v>763</v>
      </c>
      <c r="D82" s="213"/>
      <c r="E82" s="213"/>
      <c r="F82" s="213"/>
      <c r="G82" s="213"/>
      <c r="H82" s="213"/>
      <c r="I82" s="213"/>
      <c r="J82" s="213"/>
      <c r="K82" s="213"/>
      <c r="L82" s="213"/>
      <c r="M82" s="213"/>
      <c r="N82" s="213"/>
      <c r="O82" s="211">
        <f>INDEX($C$44:$AN$66,MATCH("New Customers One-Time",$C$44:$C$66,0),MATCH($C82,$C$44:$AN$44,0))</f>
        <v>1.1820330969267141</v>
      </c>
      <c r="P82" s="211">
        <f t="shared" ref="P82:AN82" si="62">$O$82*(E70)</f>
        <v>0</v>
      </c>
      <c r="Q82" s="211">
        <f t="shared" si="62"/>
        <v>0</v>
      </c>
      <c r="R82" s="211">
        <f t="shared" si="62"/>
        <v>0</v>
      </c>
      <c r="S82" s="211">
        <f t="shared" si="62"/>
        <v>0</v>
      </c>
      <c r="T82" s="211">
        <f t="shared" si="62"/>
        <v>0</v>
      </c>
      <c r="U82" s="211">
        <f t="shared" si="62"/>
        <v>0</v>
      </c>
      <c r="V82" s="211">
        <f t="shared" si="62"/>
        <v>0</v>
      </c>
      <c r="W82" s="211">
        <f t="shared" si="62"/>
        <v>0</v>
      </c>
      <c r="X82" s="211">
        <f t="shared" si="62"/>
        <v>0</v>
      </c>
      <c r="Y82" s="211">
        <f t="shared" si="62"/>
        <v>0</v>
      </c>
      <c r="Z82" s="211">
        <f t="shared" si="62"/>
        <v>0</v>
      </c>
      <c r="AA82" s="211">
        <f t="shared" si="62"/>
        <v>0</v>
      </c>
      <c r="AB82" s="211">
        <f t="shared" si="62"/>
        <v>0</v>
      </c>
      <c r="AC82" s="211">
        <f t="shared" si="62"/>
        <v>0</v>
      </c>
      <c r="AD82" s="211">
        <f t="shared" si="62"/>
        <v>0</v>
      </c>
      <c r="AE82" s="211">
        <f t="shared" si="62"/>
        <v>0</v>
      </c>
      <c r="AF82" s="211">
        <f t="shared" si="62"/>
        <v>0</v>
      </c>
      <c r="AG82" s="211">
        <f t="shared" si="62"/>
        <v>0</v>
      </c>
      <c r="AH82" s="211">
        <f t="shared" si="62"/>
        <v>0</v>
      </c>
      <c r="AI82" s="211">
        <f t="shared" si="62"/>
        <v>0</v>
      </c>
      <c r="AJ82" s="211">
        <f t="shared" si="62"/>
        <v>0</v>
      </c>
      <c r="AK82" s="211">
        <f t="shared" si="62"/>
        <v>0</v>
      </c>
      <c r="AL82" s="211">
        <f t="shared" si="62"/>
        <v>0</v>
      </c>
      <c r="AM82" s="211">
        <f t="shared" si="62"/>
        <v>0</v>
      </c>
      <c r="AN82" s="211">
        <f t="shared" si="62"/>
        <v>0</v>
      </c>
    </row>
    <row r="83" spans="2:40" ht="12" hidden="1" customHeight="1" outlineLevel="2">
      <c r="B83" s="245"/>
      <c r="C83" s="213" t="s">
        <v>764</v>
      </c>
      <c r="D83" s="213"/>
      <c r="E83" s="213"/>
      <c r="F83" s="213"/>
      <c r="G83" s="213"/>
      <c r="H83" s="213"/>
      <c r="I83" s="213"/>
      <c r="J83" s="213"/>
      <c r="K83" s="213"/>
      <c r="L83" s="213"/>
      <c r="M83" s="213"/>
      <c r="N83" s="213"/>
      <c r="O83" s="213"/>
      <c r="P83" s="211">
        <f>INDEX($C$44:$AN$66,MATCH("New Customers One-Time",$C$44:$C$66,0),MATCH($C83,$C$44:$AN$44,0))</f>
        <v>0.59101654846335705</v>
      </c>
      <c r="Q83" s="211">
        <f t="shared" ref="Q83:AN83" si="63">$P$83*(E70)</f>
        <v>0</v>
      </c>
      <c r="R83" s="211">
        <f t="shared" si="63"/>
        <v>0</v>
      </c>
      <c r="S83" s="211">
        <f t="shared" si="63"/>
        <v>0</v>
      </c>
      <c r="T83" s="211">
        <f t="shared" si="63"/>
        <v>0</v>
      </c>
      <c r="U83" s="211">
        <f t="shared" si="63"/>
        <v>0</v>
      </c>
      <c r="V83" s="211">
        <f t="shared" si="63"/>
        <v>0</v>
      </c>
      <c r="W83" s="211">
        <f t="shared" si="63"/>
        <v>0</v>
      </c>
      <c r="X83" s="211">
        <f t="shared" si="63"/>
        <v>0</v>
      </c>
      <c r="Y83" s="211">
        <f t="shared" si="63"/>
        <v>0</v>
      </c>
      <c r="Z83" s="211">
        <f t="shared" si="63"/>
        <v>0</v>
      </c>
      <c r="AA83" s="211">
        <f t="shared" si="63"/>
        <v>0</v>
      </c>
      <c r="AB83" s="211">
        <f t="shared" si="63"/>
        <v>0</v>
      </c>
      <c r="AC83" s="211">
        <f t="shared" si="63"/>
        <v>0</v>
      </c>
      <c r="AD83" s="211">
        <f t="shared" si="63"/>
        <v>0</v>
      </c>
      <c r="AE83" s="211">
        <f t="shared" si="63"/>
        <v>0</v>
      </c>
      <c r="AF83" s="211">
        <f t="shared" si="63"/>
        <v>0</v>
      </c>
      <c r="AG83" s="211">
        <f t="shared" si="63"/>
        <v>0</v>
      </c>
      <c r="AH83" s="211">
        <f t="shared" si="63"/>
        <v>0</v>
      </c>
      <c r="AI83" s="211">
        <f t="shared" si="63"/>
        <v>0</v>
      </c>
      <c r="AJ83" s="211">
        <f t="shared" si="63"/>
        <v>0</v>
      </c>
      <c r="AK83" s="211">
        <f t="shared" si="63"/>
        <v>0</v>
      </c>
      <c r="AL83" s="211">
        <f t="shared" si="63"/>
        <v>0</v>
      </c>
      <c r="AM83" s="211">
        <f t="shared" si="63"/>
        <v>0</v>
      </c>
      <c r="AN83" s="211">
        <f t="shared" si="63"/>
        <v>0</v>
      </c>
    </row>
    <row r="84" spans="2:40" ht="12" hidden="1" customHeight="1" outlineLevel="2">
      <c r="B84" s="245"/>
      <c r="C84" s="213" t="s">
        <v>765</v>
      </c>
      <c r="D84" s="213"/>
      <c r="E84" s="213"/>
      <c r="F84" s="213"/>
      <c r="G84" s="213"/>
      <c r="H84" s="213"/>
      <c r="I84" s="213"/>
      <c r="J84" s="213"/>
      <c r="K84" s="213"/>
      <c r="L84" s="213"/>
      <c r="M84" s="213"/>
      <c r="N84" s="213"/>
      <c r="O84" s="213"/>
      <c r="P84" s="213"/>
      <c r="Q84" s="211">
        <f>INDEX($C$44:$AN$66,MATCH("New Customers One-Time",$C$44:$C$66,0),MATCH($C84,$C$44:$AN$44,0))</f>
        <v>6.7198581560283702E-2</v>
      </c>
      <c r="R84" s="211">
        <f t="shared" ref="R84:AN84" si="64">$Q$84*(E70)</f>
        <v>0</v>
      </c>
      <c r="S84" s="211">
        <f t="shared" si="64"/>
        <v>0</v>
      </c>
      <c r="T84" s="211">
        <f t="shared" si="64"/>
        <v>0</v>
      </c>
      <c r="U84" s="211">
        <f t="shared" si="64"/>
        <v>0</v>
      </c>
      <c r="V84" s="211">
        <f t="shared" si="64"/>
        <v>0</v>
      </c>
      <c r="W84" s="211">
        <f t="shared" si="64"/>
        <v>0</v>
      </c>
      <c r="X84" s="211">
        <f t="shared" si="64"/>
        <v>0</v>
      </c>
      <c r="Y84" s="211">
        <f t="shared" si="64"/>
        <v>0</v>
      </c>
      <c r="Z84" s="211">
        <f t="shared" si="64"/>
        <v>0</v>
      </c>
      <c r="AA84" s="211">
        <f t="shared" si="64"/>
        <v>0</v>
      </c>
      <c r="AB84" s="211">
        <f t="shared" si="64"/>
        <v>0</v>
      </c>
      <c r="AC84" s="211">
        <f t="shared" si="64"/>
        <v>0</v>
      </c>
      <c r="AD84" s="211">
        <f t="shared" si="64"/>
        <v>0</v>
      </c>
      <c r="AE84" s="211">
        <f t="shared" si="64"/>
        <v>0</v>
      </c>
      <c r="AF84" s="211">
        <f t="shared" si="64"/>
        <v>0</v>
      </c>
      <c r="AG84" s="211">
        <f t="shared" si="64"/>
        <v>0</v>
      </c>
      <c r="AH84" s="211">
        <f t="shared" si="64"/>
        <v>0</v>
      </c>
      <c r="AI84" s="211">
        <f t="shared" si="64"/>
        <v>0</v>
      </c>
      <c r="AJ84" s="211">
        <f t="shared" si="64"/>
        <v>0</v>
      </c>
      <c r="AK84" s="211">
        <f t="shared" si="64"/>
        <v>0</v>
      </c>
      <c r="AL84" s="211">
        <f t="shared" si="64"/>
        <v>0</v>
      </c>
      <c r="AM84" s="211">
        <f t="shared" si="64"/>
        <v>0</v>
      </c>
      <c r="AN84" s="211">
        <f t="shared" si="64"/>
        <v>0</v>
      </c>
    </row>
    <row r="85" spans="2:40" ht="12" hidden="1" customHeight="1" outlineLevel="2">
      <c r="B85" s="245"/>
      <c r="C85" s="213" t="s">
        <v>766</v>
      </c>
      <c r="D85" s="213"/>
      <c r="E85" s="213"/>
      <c r="F85" s="213"/>
      <c r="G85" s="213"/>
      <c r="H85" s="213"/>
      <c r="I85" s="213"/>
      <c r="J85" s="213"/>
      <c r="K85" s="213"/>
      <c r="L85" s="213"/>
      <c r="M85" s="213"/>
      <c r="N85" s="213"/>
      <c r="O85" s="213"/>
      <c r="P85" s="213"/>
      <c r="Q85" s="213"/>
      <c r="R85" s="211">
        <f>INDEX($C$44:$AN$66,MATCH("New Customers One-Time",$C$44:$C$66,0),MATCH($C85,$C$44:$AN$44,0))</f>
        <v>1</v>
      </c>
      <c r="S85" s="211">
        <f t="shared" ref="S85:AN85" si="65">$R$85*(E70)</f>
        <v>0</v>
      </c>
      <c r="T85" s="211">
        <f t="shared" si="65"/>
        <v>0</v>
      </c>
      <c r="U85" s="211">
        <f t="shared" si="65"/>
        <v>0</v>
      </c>
      <c r="V85" s="211">
        <f t="shared" si="65"/>
        <v>0</v>
      </c>
      <c r="W85" s="211">
        <f t="shared" si="65"/>
        <v>0</v>
      </c>
      <c r="X85" s="211">
        <f t="shared" si="65"/>
        <v>0</v>
      </c>
      <c r="Y85" s="211">
        <f t="shared" si="65"/>
        <v>0</v>
      </c>
      <c r="Z85" s="211">
        <f t="shared" si="65"/>
        <v>0</v>
      </c>
      <c r="AA85" s="211">
        <f t="shared" si="65"/>
        <v>0</v>
      </c>
      <c r="AB85" s="211">
        <f t="shared" si="65"/>
        <v>0</v>
      </c>
      <c r="AC85" s="211">
        <f t="shared" si="65"/>
        <v>0</v>
      </c>
      <c r="AD85" s="211">
        <f t="shared" si="65"/>
        <v>0</v>
      </c>
      <c r="AE85" s="211">
        <f t="shared" si="65"/>
        <v>0</v>
      </c>
      <c r="AF85" s="211">
        <f t="shared" si="65"/>
        <v>0</v>
      </c>
      <c r="AG85" s="211">
        <f t="shared" si="65"/>
        <v>0</v>
      </c>
      <c r="AH85" s="211">
        <f t="shared" si="65"/>
        <v>0</v>
      </c>
      <c r="AI85" s="211">
        <f t="shared" si="65"/>
        <v>0</v>
      </c>
      <c r="AJ85" s="211">
        <f t="shared" si="65"/>
        <v>0</v>
      </c>
      <c r="AK85" s="211">
        <f t="shared" si="65"/>
        <v>0</v>
      </c>
      <c r="AL85" s="211">
        <f t="shared" si="65"/>
        <v>0</v>
      </c>
      <c r="AM85" s="211">
        <f t="shared" si="65"/>
        <v>0</v>
      </c>
      <c r="AN85" s="211">
        <f t="shared" si="65"/>
        <v>0</v>
      </c>
    </row>
    <row r="86" spans="2:40" ht="12" hidden="1" customHeight="1" outlineLevel="2">
      <c r="B86" s="245"/>
      <c r="C86" s="213" t="s">
        <v>767</v>
      </c>
      <c r="D86" s="213"/>
      <c r="E86" s="213"/>
      <c r="F86" s="213"/>
      <c r="G86" s="213"/>
      <c r="H86" s="213"/>
      <c r="I86" s="213"/>
      <c r="J86" s="213"/>
      <c r="K86" s="213"/>
      <c r="L86" s="213"/>
      <c r="M86" s="213"/>
      <c r="N86" s="213"/>
      <c r="O86" s="213"/>
      <c r="P86" s="213"/>
      <c r="Q86" s="213"/>
      <c r="R86" s="213"/>
      <c r="S86" s="211">
        <f>INDEX($C$44:$AN$66,MATCH("New Customers One-Time",$C$44:$C$66,0),MATCH($C86,$C$44:$AN$44,0))</f>
        <v>1.0239361702127661</v>
      </c>
      <c r="T86" s="211">
        <f t="shared" ref="T86:AN86" si="66">$S$86*(E70)</f>
        <v>0</v>
      </c>
      <c r="U86" s="211">
        <f t="shared" si="66"/>
        <v>0</v>
      </c>
      <c r="V86" s="211">
        <f t="shared" si="66"/>
        <v>0</v>
      </c>
      <c r="W86" s="211">
        <f t="shared" si="66"/>
        <v>0</v>
      </c>
      <c r="X86" s="211">
        <f t="shared" si="66"/>
        <v>0</v>
      </c>
      <c r="Y86" s="211">
        <f t="shared" si="66"/>
        <v>0</v>
      </c>
      <c r="Z86" s="211">
        <f t="shared" si="66"/>
        <v>0</v>
      </c>
      <c r="AA86" s="211">
        <f t="shared" si="66"/>
        <v>0</v>
      </c>
      <c r="AB86" s="211">
        <f t="shared" si="66"/>
        <v>0</v>
      </c>
      <c r="AC86" s="211">
        <f t="shared" si="66"/>
        <v>0</v>
      </c>
      <c r="AD86" s="211">
        <f t="shared" si="66"/>
        <v>0</v>
      </c>
      <c r="AE86" s="211">
        <f t="shared" si="66"/>
        <v>0</v>
      </c>
      <c r="AF86" s="211">
        <f t="shared" si="66"/>
        <v>0</v>
      </c>
      <c r="AG86" s="211">
        <f t="shared" si="66"/>
        <v>0</v>
      </c>
      <c r="AH86" s="211">
        <f t="shared" si="66"/>
        <v>0</v>
      </c>
      <c r="AI86" s="211">
        <f t="shared" si="66"/>
        <v>0</v>
      </c>
      <c r="AJ86" s="211">
        <f t="shared" si="66"/>
        <v>0</v>
      </c>
      <c r="AK86" s="211">
        <f t="shared" si="66"/>
        <v>0</v>
      </c>
      <c r="AL86" s="211">
        <f t="shared" si="66"/>
        <v>0</v>
      </c>
      <c r="AM86" s="211">
        <f t="shared" si="66"/>
        <v>0</v>
      </c>
      <c r="AN86" s="211">
        <f t="shared" si="66"/>
        <v>0</v>
      </c>
    </row>
    <row r="87" spans="2:40" ht="12" hidden="1" customHeight="1" outlineLevel="2">
      <c r="B87" s="245"/>
      <c r="C87" s="213" t="s">
        <v>768</v>
      </c>
      <c r="D87" s="213"/>
      <c r="E87" s="213"/>
      <c r="F87" s="213"/>
      <c r="G87" s="213"/>
      <c r="H87" s="213"/>
      <c r="I87" s="213"/>
      <c r="J87" s="213"/>
      <c r="K87" s="213"/>
      <c r="L87" s="213"/>
      <c r="M87" s="213"/>
      <c r="N87" s="213"/>
      <c r="O87" s="213"/>
      <c r="P87" s="213"/>
      <c r="Q87" s="213"/>
      <c r="R87" s="213"/>
      <c r="S87" s="213"/>
      <c r="T87" s="211">
        <f>INDEX($C$44:$AN$66,MATCH("New Customers One-Time",$C$44:$C$66,0),MATCH($C87,$C$44:$AN$44,0))</f>
        <v>0.60489361702127675</v>
      </c>
      <c r="U87" s="211">
        <f t="shared" ref="U87:AN87" si="67">$T$87*(E70)</f>
        <v>0</v>
      </c>
      <c r="V87" s="211">
        <f t="shared" si="67"/>
        <v>0</v>
      </c>
      <c r="W87" s="211">
        <f t="shared" si="67"/>
        <v>0</v>
      </c>
      <c r="X87" s="211">
        <f t="shared" si="67"/>
        <v>0</v>
      </c>
      <c r="Y87" s="211">
        <f t="shared" si="67"/>
        <v>0</v>
      </c>
      <c r="Z87" s="211">
        <f t="shared" si="67"/>
        <v>0</v>
      </c>
      <c r="AA87" s="211">
        <f t="shared" si="67"/>
        <v>0</v>
      </c>
      <c r="AB87" s="211">
        <f t="shared" si="67"/>
        <v>0</v>
      </c>
      <c r="AC87" s="211">
        <f t="shared" si="67"/>
        <v>0</v>
      </c>
      <c r="AD87" s="211">
        <f t="shared" si="67"/>
        <v>0</v>
      </c>
      <c r="AE87" s="211">
        <f t="shared" si="67"/>
        <v>0</v>
      </c>
      <c r="AF87" s="211">
        <f t="shared" si="67"/>
        <v>0</v>
      </c>
      <c r="AG87" s="211">
        <f t="shared" si="67"/>
        <v>0</v>
      </c>
      <c r="AH87" s="211">
        <f t="shared" si="67"/>
        <v>0</v>
      </c>
      <c r="AI87" s="211">
        <f t="shared" si="67"/>
        <v>0</v>
      </c>
      <c r="AJ87" s="211">
        <f t="shared" si="67"/>
        <v>0</v>
      </c>
      <c r="AK87" s="211">
        <f t="shared" si="67"/>
        <v>0</v>
      </c>
      <c r="AL87" s="211">
        <f t="shared" si="67"/>
        <v>0</v>
      </c>
      <c r="AM87" s="211">
        <f t="shared" si="67"/>
        <v>0</v>
      </c>
      <c r="AN87" s="211">
        <f t="shared" si="67"/>
        <v>0</v>
      </c>
    </row>
    <row r="88" spans="2:40" ht="12" hidden="1" customHeight="1" outlineLevel="2">
      <c r="B88" s="245"/>
      <c r="C88" s="213" t="s">
        <v>769</v>
      </c>
      <c r="D88" s="213"/>
      <c r="E88" s="213"/>
      <c r="F88" s="213"/>
      <c r="G88" s="213"/>
      <c r="H88" s="213"/>
      <c r="I88" s="213"/>
      <c r="J88" s="213"/>
      <c r="K88" s="213"/>
      <c r="L88" s="213"/>
      <c r="M88" s="213"/>
      <c r="N88" s="213"/>
      <c r="O88" s="213"/>
      <c r="P88" s="213"/>
      <c r="Q88" s="213"/>
      <c r="R88" s="213"/>
      <c r="S88" s="213"/>
      <c r="T88" s="213"/>
      <c r="U88" s="211">
        <f>INDEX($C$44:$AN$66,MATCH("New Customers One-Time",$C$44:$C$66,0),MATCH($C88,$C$44:$AN$44,0))</f>
        <v>0.61592198581560298</v>
      </c>
      <c r="V88" s="211">
        <f t="shared" ref="V88:AN88" si="68">$U$88*(E70)</f>
        <v>0</v>
      </c>
      <c r="W88" s="211">
        <f t="shared" si="68"/>
        <v>0</v>
      </c>
      <c r="X88" s="211">
        <f t="shared" si="68"/>
        <v>0</v>
      </c>
      <c r="Y88" s="211">
        <f t="shared" si="68"/>
        <v>0</v>
      </c>
      <c r="Z88" s="211">
        <f t="shared" si="68"/>
        <v>0</v>
      </c>
      <c r="AA88" s="211">
        <f t="shared" si="68"/>
        <v>0</v>
      </c>
      <c r="AB88" s="211">
        <f t="shared" si="68"/>
        <v>0</v>
      </c>
      <c r="AC88" s="211">
        <f t="shared" si="68"/>
        <v>0</v>
      </c>
      <c r="AD88" s="211">
        <f t="shared" si="68"/>
        <v>0</v>
      </c>
      <c r="AE88" s="211">
        <f t="shared" si="68"/>
        <v>0</v>
      </c>
      <c r="AF88" s="211">
        <f t="shared" si="68"/>
        <v>0</v>
      </c>
      <c r="AG88" s="211">
        <f t="shared" si="68"/>
        <v>0</v>
      </c>
      <c r="AH88" s="211">
        <f t="shared" si="68"/>
        <v>0</v>
      </c>
      <c r="AI88" s="211">
        <f t="shared" si="68"/>
        <v>0</v>
      </c>
      <c r="AJ88" s="211">
        <f t="shared" si="68"/>
        <v>0</v>
      </c>
      <c r="AK88" s="211">
        <f t="shared" si="68"/>
        <v>0</v>
      </c>
      <c r="AL88" s="211">
        <f t="shared" si="68"/>
        <v>0</v>
      </c>
      <c r="AM88" s="211">
        <f t="shared" si="68"/>
        <v>0</v>
      </c>
      <c r="AN88" s="211">
        <f t="shared" si="68"/>
        <v>0</v>
      </c>
    </row>
    <row r="89" spans="2:40" ht="12" hidden="1" customHeight="1" outlineLevel="2">
      <c r="B89" s="245"/>
      <c r="C89" s="213" t="s">
        <v>770</v>
      </c>
      <c r="D89" s="213"/>
      <c r="E89" s="213"/>
      <c r="F89" s="213"/>
      <c r="G89" s="213"/>
      <c r="H89" s="213"/>
      <c r="I89" s="213"/>
      <c r="J89" s="213"/>
      <c r="K89" s="213"/>
      <c r="L89" s="213"/>
      <c r="M89" s="213"/>
      <c r="N89" s="213"/>
      <c r="O89" s="213"/>
      <c r="P89" s="213"/>
      <c r="Q89" s="213"/>
      <c r="R89" s="213"/>
      <c r="S89" s="213"/>
      <c r="T89" s="213"/>
      <c r="U89" s="213"/>
      <c r="V89" s="211">
        <f>INDEX($C$44:$AN$66,MATCH("New Customers One-Time",$C$44:$C$66,0),MATCH($C89,$C$44:$AN$44,0))</f>
        <v>0.72787234042553195</v>
      </c>
      <c r="W89" s="211">
        <f t="shared" ref="W89:AN89" si="69">$V$89*(E70)</f>
        <v>0</v>
      </c>
      <c r="X89" s="211">
        <f t="shared" si="69"/>
        <v>0</v>
      </c>
      <c r="Y89" s="211">
        <f t="shared" si="69"/>
        <v>0</v>
      </c>
      <c r="Z89" s="211">
        <f t="shared" si="69"/>
        <v>0</v>
      </c>
      <c r="AA89" s="211">
        <f t="shared" si="69"/>
        <v>0</v>
      </c>
      <c r="AB89" s="211">
        <f t="shared" si="69"/>
        <v>0</v>
      </c>
      <c r="AC89" s="211">
        <f t="shared" si="69"/>
        <v>0</v>
      </c>
      <c r="AD89" s="211">
        <f t="shared" si="69"/>
        <v>0</v>
      </c>
      <c r="AE89" s="211">
        <f t="shared" si="69"/>
        <v>0</v>
      </c>
      <c r="AF89" s="211">
        <f t="shared" si="69"/>
        <v>0</v>
      </c>
      <c r="AG89" s="211">
        <f t="shared" si="69"/>
        <v>0</v>
      </c>
      <c r="AH89" s="211">
        <f t="shared" si="69"/>
        <v>0</v>
      </c>
      <c r="AI89" s="211">
        <f t="shared" si="69"/>
        <v>0</v>
      </c>
      <c r="AJ89" s="211">
        <f t="shared" si="69"/>
        <v>0</v>
      </c>
      <c r="AK89" s="211">
        <f t="shared" si="69"/>
        <v>0</v>
      </c>
      <c r="AL89" s="211">
        <f t="shared" si="69"/>
        <v>0</v>
      </c>
      <c r="AM89" s="211">
        <f t="shared" si="69"/>
        <v>0</v>
      </c>
      <c r="AN89" s="211">
        <f t="shared" si="69"/>
        <v>0</v>
      </c>
    </row>
    <row r="90" spans="2:40" ht="12" hidden="1" customHeight="1" outlineLevel="2">
      <c r="B90" s="245"/>
      <c r="C90" s="213" t="s">
        <v>771</v>
      </c>
      <c r="D90" s="213"/>
      <c r="E90" s="213"/>
      <c r="F90" s="213"/>
      <c r="G90" s="213"/>
      <c r="H90" s="213"/>
      <c r="I90" s="213"/>
      <c r="J90" s="213"/>
      <c r="K90" s="213"/>
      <c r="L90" s="213"/>
      <c r="M90" s="213"/>
      <c r="N90" s="213"/>
      <c r="O90" s="213"/>
      <c r="P90" s="213"/>
      <c r="Q90" s="213"/>
      <c r="R90" s="213"/>
      <c r="S90" s="213"/>
      <c r="T90" s="213"/>
      <c r="U90" s="213"/>
      <c r="V90" s="213"/>
      <c r="W90" s="211">
        <f>INDEX($C$44:$AN$66,MATCH("New Customers One-Time",$C$44:$C$66,0),MATCH($C90,$C$44:$AN$44,0))</f>
        <v>1.0263829787234044</v>
      </c>
      <c r="X90" s="211">
        <f t="shared" ref="X90:AN90" si="70">$W$90*(E70)</f>
        <v>0</v>
      </c>
      <c r="Y90" s="211">
        <f t="shared" si="70"/>
        <v>0</v>
      </c>
      <c r="Z90" s="211">
        <f t="shared" si="70"/>
        <v>0</v>
      </c>
      <c r="AA90" s="211">
        <f t="shared" si="70"/>
        <v>0</v>
      </c>
      <c r="AB90" s="211">
        <f t="shared" si="70"/>
        <v>0</v>
      </c>
      <c r="AC90" s="211">
        <f t="shared" si="70"/>
        <v>0</v>
      </c>
      <c r="AD90" s="211">
        <f t="shared" si="70"/>
        <v>0</v>
      </c>
      <c r="AE90" s="211">
        <f t="shared" si="70"/>
        <v>0</v>
      </c>
      <c r="AF90" s="211">
        <f t="shared" si="70"/>
        <v>0</v>
      </c>
      <c r="AG90" s="211">
        <f t="shared" si="70"/>
        <v>0</v>
      </c>
      <c r="AH90" s="211">
        <f t="shared" si="70"/>
        <v>0</v>
      </c>
      <c r="AI90" s="211">
        <f t="shared" si="70"/>
        <v>0</v>
      </c>
      <c r="AJ90" s="211">
        <f t="shared" si="70"/>
        <v>0</v>
      </c>
      <c r="AK90" s="211">
        <f t="shared" si="70"/>
        <v>0</v>
      </c>
      <c r="AL90" s="211">
        <f t="shared" si="70"/>
        <v>0</v>
      </c>
      <c r="AM90" s="211">
        <f t="shared" si="70"/>
        <v>0</v>
      </c>
      <c r="AN90" s="211">
        <f t="shared" si="70"/>
        <v>0</v>
      </c>
    </row>
    <row r="91" spans="2:40" ht="12" hidden="1" customHeight="1" outlineLevel="2">
      <c r="B91" s="245"/>
      <c r="C91" s="213" t="s">
        <v>772</v>
      </c>
      <c r="D91" s="213"/>
      <c r="E91" s="213"/>
      <c r="F91" s="213"/>
      <c r="G91" s="213"/>
      <c r="H91" s="213"/>
      <c r="I91" s="213"/>
      <c r="J91" s="213"/>
      <c r="K91" s="213"/>
      <c r="L91" s="213"/>
      <c r="M91" s="213"/>
      <c r="N91" s="213"/>
      <c r="O91" s="213"/>
      <c r="P91" s="213"/>
      <c r="Q91" s="213"/>
      <c r="R91" s="213"/>
      <c r="S91" s="213"/>
      <c r="T91" s="213"/>
      <c r="U91" s="213"/>
      <c r="V91" s="213"/>
      <c r="W91" s="213"/>
      <c r="X91" s="211">
        <f>INDEX($C$44:$AN$66,MATCH("New Customers One-Time",$C$44:$C$66,0),MATCH($C91,$C$44:$AN$44,0))</f>
        <v>0.60978723404255319</v>
      </c>
      <c r="Y91" s="211">
        <f t="shared" ref="Y91:AN91" si="71">$X$91*(E70)</f>
        <v>0</v>
      </c>
      <c r="Z91" s="211">
        <f t="shared" si="71"/>
        <v>0</v>
      </c>
      <c r="AA91" s="211">
        <f t="shared" si="71"/>
        <v>0</v>
      </c>
      <c r="AB91" s="211">
        <f t="shared" si="71"/>
        <v>0</v>
      </c>
      <c r="AC91" s="211">
        <f t="shared" si="71"/>
        <v>0</v>
      </c>
      <c r="AD91" s="211">
        <f t="shared" si="71"/>
        <v>0</v>
      </c>
      <c r="AE91" s="211">
        <f t="shared" si="71"/>
        <v>0</v>
      </c>
      <c r="AF91" s="211">
        <f t="shared" si="71"/>
        <v>0</v>
      </c>
      <c r="AG91" s="211">
        <f t="shared" si="71"/>
        <v>0</v>
      </c>
      <c r="AH91" s="211">
        <f t="shared" si="71"/>
        <v>0</v>
      </c>
      <c r="AI91" s="211">
        <f t="shared" si="71"/>
        <v>0</v>
      </c>
      <c r="AJ91" s="211">
        <f t="shared" si="71"/>
        <v>0</v>
      </c>
      <c r="AK91" s="211">
        <f t="shared" si="71"/>
        <v>0</v>
      </c>
      <c r="AL91" s="211">
        <f t="shared" si="71"/>
        <v>0</v>
      </c>
      <c r="AM91" s="211">
        <f t="shared" si="71"/>
        <v>0</v>
      </c>
      <c r="AN91" s="211">
        <f t="shared" si="71"/>
        <v>0</v>
      </c>
    </row>
    <row r="92" spans="2:40" ht="12" hidden="1" customHeight="1" outlineLevel="2">
      <c r="B92" s="245"/>
      <c r="C92" s="213" t="s">
        <v>773</v>
      </c>
      <c r="D92" s="213"/>
      <c r="E92" s="213"/>
      <c r="F92" s="213"/>
      <c r="G92" s="213"/>
      <c r="H92" s="213"/>
      <c r="I92" s="213"/>
      <c r="J92" s="213"/>
      <c r="K92" s="213"/>
      <c r="L92" s="213"/>
      <c r="M92" s="213"/>
      <c r="N92" s="213"/>
      <c r="O92" s="213"/>
      <c r="P92" s="213"/>
      <c r="Q92" s="213"/>
      <c r="R92" s="213"/>
      <c r="S92" s="213"/>
      <c r="T92" s="213"/>
      <c r="U92" s="213"/>
      <c r="V92" s="213"/>
      <c r="W92" s="213"/>
      <c r="X92" s="213"/>
      <c r="Y92" s="211">
        <f>INDEX($C$44:$AN$66,MATCH("New Customers One-Time",$C$44:$C$66,0),MATCH($C92,$C$44:$AN$44,0))</f>
        <v>2.0326241134751775</v>
      </c>
      <c r="Z92" s="211">
        <f t="shared" ref="Z92:AN92" si="72">$Y$92*(E70)</f>
        <v>0</v>
      </c>
      <c r="AA92" s="211">
        <f t="shared" si="72"/>
        <v>0</v>
      </c>
      <c r="AB92" s="211">
        <f t="shared" si="72"/>
        <v>0</v>
      </c>
      <c r="AC92" s="211">
        <f t="shared" si="72"/>
        <v>0</v>
      </c>
      <c r="AD92" s="211">
        <f t="shared" si="72"/>
        <v>0</v>
      </c>
      <c r="AE92" s="211">
        <f t="shared" si="72"/>
        <v>0</v>
      </c>
      <c r="AF92" s="211">
        <f t="shared" si="72"/>
        <v>0</v>
      </c>
      <c r="AG92" s="211">
        <f t="shared" si="72"/>
        <v>0</v>
      </c>
      <c r="AH92" s="211">
        <f t="shared" si="72"/>
        <v>0</v>
      </c>
      <c r="AI92" s="211">
        <f t="shared" si="72"/>
        <v>0</v>
      </c>
      <c r="AJ92" s="211">
        <f t="shared" si="72"/>
        <v>0</v>
      </c>
      <c r="AK92" s="211">
        <f t="shared" si="72"/>
        <v>0</v>
      </c>
      <c r="AL92" s="211">
        <f t="shared" si="72"/>
        <v>0</v>
      </c>
      <c r="AM92" s="211">
        <f t="shared" si="72"/>
        <v>0</v>
      </c>
      <c r="AN92" s="211">
        <f t="shared" si="72"/>
        <v>0</v>
      </c>
    </row>
    <row r="93" spans="2:40" ht="12" hidden="1" customHeight="1" outlineLevel="2">
      <c r="B93" s="245"/>
      <c r="C93" s="213" t="s">
        <v>774</v>
      </c>
      <c r="D93" s="213"/>
      <c r="E93" s="213"/>
      <c r="F93" s="213"/>
      <c r="G93" s="213"/>
      <c r="H93" s="213"/>
      <c r="I93" s="213"/>
      <c r="J93" s="213"/>
      <c r="K93" s="213"/>
      <c r="L93" s="213"/>
      <c r="M93" s="213"/>
      <c r="N93" s="213"/>
      <c r="O93" s="213"/>
      <c r="P93" s="213"/>
      <c r="Q93" s="213"/>
      <c r="R93" s="213"/>
      <c r="S93" s="213"/>
      <c r="T93" s="213"/>
      <c r="U93" s="213"/>
      <c r="V93" s="213"/>
      <c r="W93" s="213"/>
      <c r="X93" s="213"/>
      <c r="Y93" s="213"/>
      <c r="Z93" s="211">
        <f>INDEX($C$44:$AN$66,MATCH("New Customers One-Time",$C$44:$C$66,0),MATCH($C93,$C$44:$AN$44,0))</f>
        <v>3.5460992907801421</v>
      </c>
      <c r="AA93" s="211">
        <f t="shared" ref="AA93:AN93" si="73">$Z$93*(E70)</f>
        <v>0</v>
      </c>
      <c r="AB93" s="211">
        <f t="shared" si="73"/>
        <v>0</v>
      </c>
      <c r="AC93" s="211">
        <f t="shared" si="73"/>
        <v>0</v>
      </c>
      <c r="AD93" s="211">
        <f t="shared" si="73"/>
        <v>0</v>
      </c>
      <c r="AE93" s="211">
        <f t="shared" si="73"/>
        <v>0</v>
      </c>
      <c r="AF93" s="211">
        <f t="shared" si="73"/>
        <v>0</v>
      </c>
      <c r="AG93" s="211">
        <f t="shared" si="73"/>
        <v>0</v>
      </c>
      <c r="AH93" s="211">
        <f t="shared" si="73"/>
        <v>0</v>
      </c>
      <c r="AI93" s="211">
        <f t="shared" si="73"/>
        <v>0</v>
      </c>
      <c r="AJ93" s="211">
        <f t="shared" si="73"/>
        <v>0</v>
      </c>
      <c r="AK93" s="211">
        <f t="shared" si="73"/>
        <v>0</v>
      </c>
      <c r="AL93" s="211">
        <f t="shared" si="73"/>
        <v>0</v>
      </c>
      <c r="AM93" s="211">
        <f t="shared" si="73"/>
        <v>0</v>
      </c>
      <c r="AN93" s="211">
        <f t="shared" si="73"/>
        <v>0</v>
      </c>
    </row>
    <row r="94" spans="2:40" ht="12" hidden="1" customHeight="1" outlineLevel="2">
      <c r="B94" s="245"/>
      <c r="C94" s="213" t="s">
        <v>775</v>
      </c>
      <c r="D94" s="213"/>
      <c r="E94" s="213"/>
      <c r="F94" s="213"/>
      <c r="G94" s="213"/>
      <c r="H94" s="213"/>
      <c r="I94" s="213"/>
      <c r="J94" s="213"/>
      <c r="K94" s="213"/>
      <c r="L94" s="213"/>
      <c r="M94" s="213"/>
      <c r="N94" s="213"/>
      <c r="O94" s="213"/>
      <c r="P94" s="213"/>
      <c r="Q94" s="213"/>
      <c r="R94" s="213"/>
      <c r="S94" s="213"/>
      <c r="T94" s="213"/>
      <c r="U94" s="213"/>
      <c r="V94" s="213"/>
      <c r="W94" s="213"/>
      <c r="X94" s="213"/>
      <c r="Y94" s="213"/>
      <c r="Z94" s="213"/>
      <c r="AA94" s="211">
        <f>INDEX($C$44:$AN$66,MATCH("New Customers One-Time",$C$44:$C$66,0),MATCH($C94,$C$44:$AN$44,0))</f>
        <v>2.1276595744680855</v>
      </c>
      <c r="AB94" s="211">
        <f t="shared" ref="AB94:AN94" si="74">$AA$94*(E70)</f>
        <v>0</v>
      </c>
      <c r="AC94" s="211">
        <f t="shared" si="74"/>
        <v>0</v>
      </c>
      <c r="AD94" s="211">
        <f t="shared" si="74"/>
        <v>0</v>
      </c>
      <c r="AE94" s="211">
        <f t="shared" si="74"/>
        <v>0</v>
      </c>
      <c r="AF94" s="211">
        <f t="shared" si="74"/>
        <v>0</v>
      </c>
      <c r="AG94" s="211">
        <f t="shared" si="74"/>
        <v>0</v>
      </c>
      <c r="AH94" s="211">
        <f t="shared" si="74"/>
        <v>0</v>
      </c>
      <c r="AI94" s="211">
        <f t="shared" si="74"/>
        <v>0</v>
      </c>
      <c r="AJ94" s="211">
        <f t="shared" si="74"/>
        <v>0</v>
      </c>
      <c r="AK94" s="211">
        <f t="shared" si="74"/>
        <v>0</v>
      </c>
      <c r="AL94" s="211">
        <f t="shared" si="74"/>
        <v>0</v>
      </c>
      <c r="AM94" s="211">
        <f t="shared" si="74"/>
        <v>0</v>
      </c>
      <c r="AN94" s="211">
        <f t="shared" si="74"/>
        <v>0</v>
      </c>
    </row>
    <row r="95" spans="2:40" ht="12" hidden="1" customHeight="1" outlineLevel="2">
      <c r="B95" s="245"/>
      <c r="C95" s="213" t="s">
        <v>776</v>
      </c>
      <c r="D95" s="213"/>
      <c r="E95" s="213"/>
      <c r="F95" s="213"/>
      <c r="G95" s="213"/>
      <c r="H95" s="213"/>
      <c r="I95" s="213"/>
      <c r="J95" s="213"/>
      <c r="K95" s="213"/>
      <c r="L95" s="213"/>
      <c r="M95" s="213"/>
      <c r="N95" s="213"/>
      <c r="O95" s="213"/>
      <c r="P95" s="213"/>
      <c r="Q95" s="213"/>
      <c r="R95" s="213"/>
      <c r="S95" s="213"/>
      <c r="T95" s="213"/>
      <c r="U95" s="213"/>
      <c r="V95" s="213"/>
      <c r="W95" s="213"/>
      <c r="X95" s="213"/>
      <c r="Y95" s="213"/>
      <c r="Z95" s="213"/>
      <c r="AA95" s="213"/>
      <c r="AB95" s="211">
        <f>INDEX($C$44:$AN$66,MATCH("New Customers One-Time",$C$44:$C$66,0),MATCH($C95,$C$44:$AN$44,0))</f>
        <v>1.418439716312057</v>
      </c>
      <c r="AC95" s="211">
        <f t="shared" ref="AC95:AN95" si="75">$AB$95*(E70)</f>
        <v>0</v>
      </c>
      <c r="AD95" s="211">
        <f t="shared" si="75"/>
        <v>0</v>
      </c>
      <c r="AE95" s="211">
        <f t="shared" si="75"/>
        <v>0</v>
      </c>
      <c r="AF95" s="211">
        <f t="shared" si="75"/>
        <v>0</v>
      </c>
      <c r="AG95" s="211">
        <f t="shared" si="75"/>
        <v>0</v>
      </c>
      <c r="AH95" s="211">
        <f t="shared" si="75"/>
        <v>0</v>
      </c>
      <c r="AI95" s="211">
        <f t="shared" si="75"/>
        <v>0</v>
      </c>
      <c r="AJ95" s="211">
        <f t="shared" si="75"/>
        <v>0</v>
      </c>
      <c r="AK95" s="211">
        <f t="shared" si="75"/>
        <v>0</v>
      </c>
      <c r="AL95" s="211">
        <f t="shared" si="75"/>
        <v>0</v>
      </c>
      <c r="AM95" s="211">
        <f t="shared" si="75"/>
        <v>0</v>
      </c>
      <c r="AN95" s="211">
        <f t="shared" si="75"/>
        <v>0</v>
      </c>
    </row>
    <row r="96" spans="2:40" ht="12" hidden="1" customHeight="1" outlineLevel="2">
      <c r="B96" s="245"/>
      <c r="C96" s="213" t="s">
        <v>777</v>
      </c>
      <c r="D96" s="213"/>
      <c r="E96" s="213"/>
      <c r="F96" s="213"/>
      <c r="G96" s="213"/>
      <c r="H96" s="213"/>
      <c r="I96" s="213"/>
      <c r="J96" s="213"/>
      <c r="K96" s="213"/>
      <c r="L96" s="213"/>
      <c r="M96" s="213"/>
      <c r="N96" s="213"/>
      <c r="O96" s="213"/>
      <c r="P96" s="213"/>
      <c r="Q96" s="213"/>
      <c r="R96" s="213"/>
      <c r="S96" s="213"/>
      <c r="T96" s="213"/>
      <c r="U96" s="213"/>
      <c r="V96" s="213"/>
      <c r="W96" s="213"/>
      <c r="X96" s="213"/>
      <c r="Y96" s="213"/>
      <c r="Z96" s="213"/>
      <c r="AA96" s="213"/>
      <c r="AB96" s="211"/>
      <c r="AC96" s="211">
        <f>INDEX($C$44:$AN$66,MATCH("New Customers One-Time",$C$44:$C$66,0),MATCH($C96,$C$44:$AN$44,0))</f>
        <v>0.24113475177304969</v>
      </c>
      <c r="AD96" s="211">
        <f t="shared" ref="AD96:AN96" si="76">$AC$96*(E70)</f>
        <v>0</v>
      </c>
      <c r="AE96" s="211">
        <f t="shared" si="76"/>
        <v>0</v>
      </c>
      <c r="AF96" s="211">
        <f t="shared" si="76"/>
        <v>0</v>
      </c>
      <c r="AG96" s="211">
        <f t="shared" si="76"/>
        <v>0</v>
      </c>
      <c r="AH96" s="211">
        <f t="shared" si="76"/>
        <v>0</v>
      </c>
      <c r="AI96" s="211">
        <f t="shared" si="76"/>
        <v>0</v>
      </c>
      <c r="AJ96" s="211">
        <f t="shared" si="76"/>
        <v>0</v>
      </c>
      <c r="AK96" s="211">
        <f t="shared" si="76"/>
        <v>0</v>
      </c>
      <c r="AL96" s="211">
        <f t="shared" si="76"/>
        <v>0</v>
      </c>
      <c r="AM96" s="211">
        <f t="shared" si="76"/>
        <v>0</v>
      </c>
      <c r="AN96" s="211">
        <f t="shared" si="76"/>
        <v>0</v>
      </c>
    </row>
    <row r="97" spans="2:40" ht="12" hidden="1" customHeight="1" outlineLevel="2">
      <c r="B97" s="245"/>
      <c r="C97" s="213" t="s">
        <v>778</v>
      </c>
      <c r="D97" s="213"/>
      <c r="E97" s="213"/>
      <c r="F97" s="213"/>
      <c r="G97" s="213"/>
      <c r="H97" s="213"/>
      <c r="I97" s="213"/>
      <c r="J97" s="213"/>
      <c r="K97" s="213"/>
      <c r="L97" s="213"/>
      <c r="M97" s="213"/>
      <c r="N97" s="213"/>
      <c r="O97" s="213"/>
      <c r="P97" s="213"/>
      <c r="Q97" s="213"/>
      <c r="R97" s="213"/>
      <c r="S97" s="213"/>
      <c r="T97" s="213"/>
      <c r="U97" s="213"/>
      <c r="V97" s="213"/>
      <c r="W97" s="213"/>
      <c r="X97" s="213"/>
      <c r="Y97" s="213"/>
      <c r="Z97" s="213"/>
      <c r="AA97" s="213"/>
      <c r="AB97" s="211"/>
      <c r="AC97" s="211"/>
      <c r="AD97" s="211">
        <f>INDEX($C$44:$AN$66,MATCH("New Customers One-Time",$C$44:$C$66,0),MATCH($C97,$C$44:$AN$44,0))</f>
        <v>0.24595744680851073</v>
      </c>
      <c r="AE97" s="211">
        <f t="shared" ref="AE97:AN97" si="77">$AD$97*(E70)</f>
        <v>0</v>
      </c>
      <c r="AF97" s="211">
        <f t="shared" si="77"/>
        <v>0</v>
      </c>
      <c r="AG97" s="211">
        <f t="shared" si="77"/>
        <v>0</v>
      </c>
      <c r="AH97" s="211">
        <f t="shared" si="77"/>
        <v>0</v>
      </c>
      <c r="AI97" s="211">
        <f t="shared" si="77"/>
        <v>0</v>
      </c>
      <c r="AJ97" s="211">
        <f t="shared" si="77"/>
        <v>0</v>
      </c>
      <c r="AK97" s="211">
        <f t="shared" si="77"/>
        <v>0</v>
      </c>
      <c r="AL97" s="211">
        <f t="shared" si="77"/>
        <v>0</v>
      </c>
      <c r="AM97" s="211">
        <f t="shared" si="77"/>
        <v>0</v>
      </c>
      <c r="AN97" s="211">
        <f t="shared" si="77"/>
        <v>0</v>
      </c>
    </row>
    <row r="98" spans="2:40" ht="12" hidden="1" customHeight="1" outlineLevel="2">
      <c r="B98" s="245"/>
      <c r="C98" s="213" t="s">
        <v>779</v>
      </c>
      <c r="D98" s="213"/>
      <c r="E98" s="213"/>
      <c r="F98" s="213"/>
      <c r="G98" s="213"/>
      <c r="H98" s="213"/>
      <c r="I98" s="213"/>
      <c r="J98" s="213"/>
      <c r="K98" s="213"/>
      <c r="L98" s="213"/>
      <c r="M98" s="213"/>
      <c r="N98" s="213"/>
      <c r="O98" s="213"/>
      <c r="P98" s="213"/>
      <c r="Q98" s="213"/>
      <c r="R98" s="213"/>
      <c r="S98" s="213"/>
      <c r="T98" s="213"/>
      <c r="U98" s="213"/>
      <c r="V98" s="213"/>
      <c r="W98" s="213"/>
      <c r="X98" s="213"/>
      <c r="Y98" s="213"/>
      <c r="Z98" s="213"/>
      <c r="AA98" s="213"/>
      <c r="AB98" s="211"/>
      <c r="AC98" s="211"/>
      <c r="AD98" s="211"/>
      <c r="AE98" s="211">
        <f>INDEX($C$44:$AN$66,MATCH("New Customers One-Time",$C$44:$C$66,0),MATCH($C98,$C$44:$AN$44,0))</f>
        <v>0.25087659574468091</v>
      </c>
      <c r="AF98" s="211">
        <f t="shared" ref="AF98:AN98" si="78">$AE$98*(E70)</f>
        <v>0</v>
      </c>
      <c r="AG98" s="211">
        <f t="shared" si="78"/>
        <v>0</v>
      </c>
      <c r="AH98" s="211">
        <f t="shared" si="78"/>
        <v>0</v>
      </c>
      <c r="AI98" s="211">
        <f t="shared" si="78"/>
        <v>0</v>
      </c>
      <c r="AJ98" s="211">
        <f t="shared" si="78"/>
        <v>0</v>
      </c>
      <c r="AK98" s="211">
        <f t="shared" si="78"/>
        <v>0</v>
      </c>
      <c r="AL98" s="211">
        <f t="shared" si="78"/>
        <v>0</v>
      </c>
      <c r="AM98" s="211">
        <f t="shared" si="78"/>
        <v>0</v>
      </c>
      <c r="AN98" s="211">
        <f t="shared" si="78"/>
        <v>0</v>
      </c>
    </row>
    <row r="99" spans="2:40" ht="12" hidden="1" customHeight="1" outlineLevel="2">
      <c r="B99" s="245"/>
      <c r="C99" s="213" t="s">
        <v>780</v>
      </c>
      <c r="D99" s="213"/>
      <c r="E99" s="213"/>
      <c r="F99" s="213"/>
      <c r="G99" s="213"/>
      <c r="H99" s="213"/>
      <c r="I99" s="213"/>
      <c r="J99" s="213"/>
      <c r="K99" s="213"/>
      <c r="L99" s="213"/>
      <c r="M99" s="213"/>
      <c r="N99" s="213"/>
      <c r="O99" s="213"/>
      <c r="P99" s="213"/>
      <c r="Q99" s="213"/>
      <c r="R99" s="213"/>
      <c r="S99" s="213"/>
      <c r="T99" s="213"/>
      <c r="U99" s="213"/>
      <c r="V99" s="213"/>
      <c r="W99" s="213"/>
      <c r="X99" s="213"/>
      <c r="Y99" s="213"/>
      <c r="Z99" s="213"/>
      <c r="AA99" s="213"/>
      <c r="AB99" s="211"/>
      <c r="AC99" s="211"/>
      <c r="AD99" s="211"/>
      <c r="AE99" s="211"/>
      <c r="AF99" s="211">
        <f>INDEX($C$44:$AN$66,MATCH("New Customers One-Time",$C$44:$C$66,0),MATCH($C99,$C$44:$AN$44,0))</f>
        <v>0.25589412765957453</v>
      </c>
      <c r="AG99" s="211">
        <f t="shared" ref="AG99:AN99" si="79">$AF$99*(E70)</f>
        <v>0</v>
      </c>
      <c r="AH99" s="211">
        <f t="shared" si="79"/>
        <v>0</v>
      </c>
      <c r="AI99" s="211">
        <f t="shared" si="79"/>
        <v>0</v>
      </c>
      <c r="AJ99" s="211">
        <f t="shared" si="79"/>
        <v>0</v>
      </c>
      <c r="AK99" s="211">
        <f t="shared" si="79"/>
        <v>0</v>
      </c>
      <c r="AL99" s="211">
        <f t="shared" si="79"/>
        <v>0</v>
      </c>
      <c r="AM99" s="211">
        <f t="shared" si="79"/>
        <v>0</v>
      </c>
      <c r="AN99" s="211">
        <f t="shared" si="79"/>
        <v>0</v>
      </c>
    </row>
    <row r="100" spans="2:40" ht="12" hidden="1" customHeight="1" outlineLevel="2">
      <c r="B100" s="245"/>
      <c r="C100" s="213" t="s">
        <v>781</v>
      </c>
      <c r="D100" s="213"/>
      <c r="E100" s="213"/>
      <c r="F100" s="213"/>
      <c r="G100" s="213"/>
      <c r="H100" s="213"/>
      <c r="I100" s="213"/>
      <c r="J100" s="213"/>
      <c r="K100" s="213"/>
      <c r="L100" s="213"/>
      <c r="M100" s="213"/>
      <c r="N100" s="213"/>
      <c r="O100" s="213"/>
      <c r="P100" s="213"/>
      <c r="Q100" s="213"/>
      <c r="R100" s="213"/>
      <c r="S100" s="213"/>
      <c r="T100" s="213"/>
      <c r="U100" s="213"/>
      <c r="V100" s="213"/>
      <c r="W100" s="213"/>
      <c r="X100" s="213"/>
      <c r="Y100" s="213"/>
      <c r="Z100" s="213"/>
      <c r="AA100" s="213"/>
      <c r="AB100" s="211"/>
      <c r="AC100" s="211"/>
      <c r="AD100" s="211"/>
      <c r="AE100" s="211"/>
      <c r="AF100" s="211"/>
      <c r="AG100" s="211">
        <f>INDEX($C$44:$AN$66,MATCH("New Customers One-Time",$C$44:$C$66,0),MATCH($C100,$C$44:$AN$44,0))</f>
        <v>0.26101201021276599</v>
      </c>
      <c r="AH100" s="211">
        <f t="shared" ref="AH100:AN100" si="80">$AG$100*(E70)</f>
        <v>0</v>
      </c>
      <c r="AI100" s="211">
        <f t="shared" si="80"/>
        <v>0</v>
      </c>
      <c r="AJ100" s="211">
        <f t="shared" si="80"/>
        <v>0</v>
      </c>
      <c r="AK100" s="211">
        <f t="shared" si="80"/>
        <v>0</v>
      </c>
      <c r="AL100" s="211">
        <f t="shared" si="80"/>
        <v>0</v>
      </c>
      <c r="AM100" s="211">
        <f t="shared" si="80"/>
        <v>0</v>
      </c>
      <c r="AN100" s="211">
        <f t="shared" si="80"/>
        <v>0</v>
      </c>
    </row>
    <row r="101" spans="2:40" ht="12" hidden="1" customHeight="1" outlineLevel="2">
      <c r="B101" s="245"/>
      <c r="C101" s="213" t="s">
        <v>782</v>
      </c>
      <c r="D101" s="213"/>
      <c r="E101" s="213"/>
      <c r="F101" s="213"/>
      <c r="G101" s="213"/>
      <c r="H101" s="213"/>
      <c r="I101" s="213"/>
      <c r="J101" s="213"/>
      <c r="K101" s="213"/>
      <c r="L101" s="213"/>
      <c r="M101" s="213"/>
      <c r="N101" s="213"/>
      <c r="O101" s="213"/>
      <c r="P101" s="213"/>
      <c r="Q101" s="213"/>
      <c r="R101" s="213"/>
      <c r="S101" s="213"/>
      <c r="T101" s="213"/>
      <c r="U101" s="213"/>
      <c r="V101" s="213"/>
      <c r="W101" s="213"/>
      <c r="X101" s="213"/>
      <c r="Y101" s="213"/>
      <c r="Z101" s="213"/>
      <c r="AA101" s="213"/>
      <c r="AB101" s="211"/>
      <c r="AC101" s="211"/>
      <c r="AD101" s="211"/>
      <c r="AE101" s="211"/>
      <c r="AF101" s="211"/>
      <c r="AG101" s="211"/>
      <c r="AH101" s="211">
        <f>INDEX($C$44:$AN$66,MATCH("New Customers One-Time",$C$44:$C$66,0),MATCH($C101,$C$44:$AN$44,0))</f>
        <v>0.26623225041702131</v>
      </c>
      <c r="AI101" s="211">
        <f t="shared" ref="AI101:AN101" si="81">$AH$101*(E70)</f>
        <v>0</v>
      </c>
      <c r="AJ101" s="211">
        <f t="shared" si="81"/>
        <v>0</v>
      </c>
      <c r="AK101" s="211">
        <f t="shared" si="81"/>
        <v>0</v>
      </c>
      <c r="AL101" s="211">
        <f t="shared" si="81"/>
        <v>0</v>
      </c>
      <c r="AM101" s="211">
        <f t="shared" si="81"/>
        <v>0</v>
      </c>
      <c r="AN101" s="211">
        <f t="shared" si="81"/>
        <v>0</v>
      </c>
    </row>
    <row r="102" spans="2:40" ht="12" hidden="1" customHeight="1" outlineLevel="2">
      <c r="B102" s="245"/>
      <c r="C102" s="213" t="s">
        <v>783</v>
      </c>
      <c r="D102" s="213"/>
      <c r="E102" s="213"/>
      <c r="F102" s="213"/>
      <c r="G102" s="213"/>
      <c r="H102" s="213"/>
      <c r="I102" s="213"/>
      <c r="J102" s="213"/>
      <c r="K102" s="213"/>
      <c r="L102" s="213"/>
      <c r="M102" s="213"/>
      <c r="N102" s="213"/>
      <c r="O102" s="213"/>
      <c r="P102" s="213"/>
      <c r="Q102" s="213"/>
      <c r="R102" s="213"/>
      <c r="S102" s="213"/>
      <c r="T102" s="213"/>
      <c r="U102" s="213"/>
      <c r="V102" s="213"/>
      <c r="W102" s="213"/>
      <c r="X102" s="213"/>
      <c r="Y102" s="213"/>
      <c r="Z102" s="213"/>
      <c r="AA102" s="213"/>
      <c r="AB102" s="211"/>
      <c r="AC102" s="211"/>
      <c r="AD102" s="211"/>
      <c r="AE102" s="211"/>
      <c r="AF102" s="211"/>
      <c r="AG102" s="211"/>
      <c r="AH102" s="211"/>
      <c r="AI102" s="211">
        <f>INDEX($C$44:$AN$66,MATCH("New Customers One-Time",$C$44:$C$66,0),MATCH($C102,$C$44:$AN$44,0))</f>
        <v>0.27155689542536171</v>
      </c>
      <c r="AJ102" s="211">
        <f>$AI$102*(E70)</f>
        <v>0</v>
      </c>
      <c r="AK102" s="211">
        <f>$AI$102*(F70)</f>
        <v>0</v>
      </c>
      <c r="AL102" s="211">
        <f>$AI$102*(G70)</f>
        <v>0</v>
      </c>
      <c r="AM102" s="211">
        <f>$AI$102*(H70)</f>
        <v>0</v>
      </c>
      <c r="AN102" s="211">
        <f>$AI$102*(I70)</f>
        <v>0</v>
      </c>
    </row>
    <row r="103" spans="2:40" ht="12" hidden="1" customHeight="1" outlineLevel="2">
      <c r="B103" s="245"/>
      <c r="C103" s="213" t="s">
        <v>784</v>
      </c>
      <c r="D103" s="213"/>
      <c r="E103" s="213"/>
      <c r="F103" s="213"/>
      <c r="G103" s="213"/>
      <c r="H103" s="213"/>
      <c r="I103" s="213"/>
      <c r="J103" s="213"/>
      <c r="K103" s="213"/>
      <c r="L103" s="213"/>
      <c r="M103" s="213"/>
      <c r="N103" s="213"/>
      <c r="O103" s="213"/>
      <c r="P103" s="213"/>
      <c r="Q103" s="213"/>
      <c r="R103" s="213"/>
      <c r="S103" s="213"/>
      <c r="T103" s="213"/>
      <c r="U103" s="213"/>
      <c r="V103" s="213"/>
      <c r="W103" s="213"/>
      <c r="X103" s="213"/>
      <c r="Y103" s="213"/>
      <c r="Z103" s="213"/>
      <c r="AA103" s="213"/>
      <c r="AB103" s="211"/>
      <c r="AC103" s="211"/>
      <c r="AD103" s="211"/>
      <c r="AE103" s="211"/>
      <c r="AF103" s="211"/>
      <c r="AG103" s="211"/>
      <c r="AH103" s="211"/>
      <c r="AI103" s="211"/>
      <c r="AJ103" s="211">
        <f>INDEX($C$44:$AN$66,MATCH("New Customers One-Time",$C$44:$C$66,0),MATCH($C103,$C$44:$AN$44,0))</f>
        <v>0.27698803333386901</v>
      </c>
      <c r="AK103" s="211">
        <f>$AJ$103*(E70)</f>
        <v>0</v>
      </c>
      <c r="AL103" s="211">
        <f>$AJ$103*(F70)</f>
        <v>0</v>
      </c>
      <c r="AM103" s="211">
        <f>$AJ$103*(G70)</f>
        <v>0</v>
      </c>
      <c r="AN103" s="211">
        <f>$AJ$103*(H70)</f>
        <v>0</v>
      </c>
    </row>
    <row r="104" spans="2:40" ht="12" hidden="1" customHeight="1" outlineLevel="2">
      <c r="B104" s="245"/>
      <c r="C104" s="213" t="s">
        <v>785</v>
      </c>
      <c r="D104" s="213"/>
      <c r="E104" s="213"/>
      <c r="F104" s="213"/>
      <c r="G104" s="213"/>
      <c r="H104" s="213"/>
      <c r="I104" s="213"/>
      <c r="J104" s="213"/>
      <c r="K104" s="213"/>
      <c r="L104" s="213"/>
      <c r="M104" s="213"/>
      <c r="N104" s="213"/>
      <c r="O104" s="213"/>
      <c r="P104" s="213"/>
      <c r="Q104" s="213"/>
      <c r="R104" s="213"/>
      <c r="S104" s="213"/>
      <c r="T104" s="213"/>
      <c r="U104" s="213"/>
      <c r="V104" s="213"/>
      <c r="W104" s="213"/>
      <c r="X104" s="213"/>
      <c r="Y104" s="213"/>
      <c r="Z104" s="213"/>
      <c r="AA104" s="213"/>
      <c r="AB104" s="211"/>
      <c r="AC104" s="211"/>
      <c r="AD104" s="211"/>
      <c r="AE104" s="211"/>
      <c r="AF104" s="211"/>
      <c r="AG104" s="211"/>
      <c r="AH104" s="211"/>
      <c r="AI104" s="211"/>
      <c r="AJ104" s="211"/>
      <c r="AK104" s="211">
        <f>INDEX($C$44:$AN$66,MATCH("New Customers One-Time",$C$44:$C$66,0),MATCH($C104,$C$44:$AN$44,0))</f>
        <v>0.2825277940005464</v>
      </c>
      <c r="AL104" s="211">
        <f>$AK$104*(E70)</f>
        <v>0</v>
      </c>
      <c r="AM104" s="211">
        <f>$AK$104*(F70)</f>
        <v>0</v>
      </c>
      <c r="AN104" s="211">
        <f>$AK$104*(G70)</f>
        <v>0</v>
      </c>
    </row>
    <row r="105" spans="2:40" ht="12" hidden="1" customHeight="1" outlineLevel="2">
      <c r="B105" s="245"/>
      <c r="C105" s="213" t="s">
        <v>786</v>
      </c>
      <c r="D105" s="213"/>
      <c r="E105" s="213"/>
      <c r="F105" s="213"/>
      <c r="G105" s="213"/>
      <c r="H105" s="213"/>
      <c r="I105" s="213"/>
      <c r="J105" s="213"/>
      <c r="K105" s="213"/>
      <c r="L105" s="213"/>
      <c r="M105" s="213"/>
      <c r="N105" s="213"/>
      <c r="O105" s="213"/>
      <c r="P105" s="213"/>
      <c r="Q105" s="213"/>
      <c r="R105" s="213"/>
      <c r="S105" s="213"/>
      <c r="T105" s="213"/>
      <c r="U105" s="213"/>
      <c r="V105" s="213"/>
      <c r="W105" s="213"/>
      <c r="X105" s="213"/>
      <c r="Y105" s="213"/>
      <c r="Z105" s="213"/>
      <c r="AA105" s="213"/>
      <c r="AB105" s="211"/>
      <c r="AC105" s="211"/>
      <c r="AD105" s="211"/>
      <c r="AE105" s="211"/>
      <c r="AF105" s="211"/>
      <c r="AG105" s="211"/>
      <c r="AH105" s="211"/>
      <c r="AI105" s="211"/>
      <c r="AJ105" s="211"/>
      <c r="AK105" s="211"/>
      <c r="AL105" s="211">
        <f>INDEX($C$44:$AN$66,MATCH("New Customers One-Time",$C$44:$C$66,0),MATCH($C105,$C$44:$AN$44,0))</f>
        <v>0.28817834988055741</v>
      </c>
      <c r="AM105" s="211">
        <f>$AL$105*(E70)</f>
        <v>0</v>
      </c>
      <c r="AN105" s="211">
        <f>$AL$105*(F70)</f>
        <v>0</v>
      </c>
    </row>
    <row r="106" spans="2:40" ht="12" hidden="1" customHeight="1" outlineLevel="2">
      <c r="B106" s="245"/>
      <c r="C106" s="213" t="s">
        <v>787</v>
      </c>
      <c r="D106" s="213"/>
      <c r="E106" s="213"/>
      <c r="F106" s="213"/>
      <c r="G106" s="213"/>
      <c r="H106" s="213"/>
      <c r="I106" s="213"/>
      <c r="J106" s="213"/>
      <c r="K106" s="213"/>
      <c r="L106" s="213"/>
      <c r="M106" s="213"/>
      <c r="N106" s="213"/>
      <c r="O106" s="213"/>
      <c r="P106" s="213"/>
      <c r="Q106" s="213"/>
      <c r="R106" s="213"/>
      <c r="S106" s="213"/>
      <c r="T106" s="213"/>
      <c r="U106" s="213"/>
      <c r="V106" s="213"/>
      <c r="W106" s="213"/>
      <c r="X106" s="213"/>
      <c r="Y106" s="213"/>
      <c r="Z106" s="213"/>
      <c r="AA106" s="213"/>
      <c r="AB106" s="211"/>
      <c r="AC106" s="211"/>
      <c r="AD106" s="211"/>
      <c r="AE106" s="211"/>
      <c r="AF106" s="211"/>
      <c r="AG106" s="211"/>
      <c r="AH106" s="211"/>
      <c r="AI106" s="211"/>
      <c r="AJ106" s="211"/>
      <c r="AK106" s="211"/>
      <c r="AL106" s="211"/>
      <c r="AM106" s="211">
        <f>INDEX($C$44:$AN$66,MATCH("New Customers One-Time",$C$44:$C$66,0),MATCH($C106,$C$44:$AN$44,0))</f>
        <v>0.29394191687816851</v>
      </c>
      <c r="AN106" s="211">
        <f>$AM$106*(E70)</f>
        <v>0</v>
      </c>
    </row>
    <row r="107" spans="2:40" ht="12" hidden="1" customHeight="1" outlineLevel="2">
      <c r="B107" s="245"/>
      <c r="C107" s="213" t="s">
        <v>788</v>
      </c>
      <c r="D107" s="213"/>
      <c r="E107" s="213"/>
      <c r="F107" s="213"/>
      <c r="G107" s="213"/>
      <c r="H107" s="213"/>
      <c r="I107" s="213"/>
      <c r="J107" s="213"/>
      <c r="K107" s="213"/>
      <c r="L107" s="213"/>
      <c r="M107" s="213"/>
      <c r="N107" s="213"/>
      <c r="O107" s="213"/>
      <c r="P107" s="213"/>
      <c r="Q107" s="213"/>
      <c r="R107" s="213"/>
      <c r="S107" s="213"/>
      <c r="T107" s="213"/>
      <c r="U107" s="213"/>
      <c r="V107" s="213"/>
      <c r="W107" s="213"/>
      <c r="X107" s="213"/>
      <c r="Y107" s="213"/>
      <c r="Z107" s="213"/>
      <c r="AA107" s="213"/>
      <c r="AB107" s="211"/>
      <c r="AC107" s="211"/>
      <c r="AD107" s="211"/>
      <c r="AE107" s="211"/>
      <c r="AF107" s="211"/>
      <c r="AG107" s="211"/>
      <c r="AH107" s="211"/>
      <c r="AI107" s="211"/>
      <c r="AJ107" s="211"/>
      <c r="AK107" s="211"/>
      <c r="AL107" s="211"/>
      <c r="AM107" s="211"/>
      <c r="AN107" s="211">
        <f>INDEX($C$44:$AN$66,MATCH("New Customers One-Time",$C$44:$C$66,0),MATCH($C107,$C$44:$AN$44,0))</f>
        <v>0.29982075521573187</v>
      </c>
    </row>
    <row r="108" spans="2:40" ht="12" hidden="1" customHeight="1" outlineLevel="2">
      <c r="B108" s="245"/>
      <c r="C108" s="213"/>
      <c r="D108" s="213"/>
      <c r="E108" s="213"/>
      <c r="F108" s="213"/>
      <c r="G108" s="213"/>
      <c r="H108" s="213"/>
      <c r="I108" s="213"/>
      <c r="J108" s="213"/>
      <c r="K108" s="213"/>
      <c r="L108" s="213"/>
      <c r="M108" s="213"/>
      <c r="N108" s="213"/>
      <c r="O108" s="213"/>
      <c r="P108" s="213"/>
      <c r="Q108" s="213"/>
      <c r="R108" s="213"/>
      <c r="S108" s="213"/>
      <c r="T108" s="213"/>
      <c r="U108" s="213"/>
      <c r="V108" s="213"/>
      <c r="W108" s="213"/>
      <c r="X108" s="213"/>
      <c r="Y108" s="213"/>
      <c r="Z108" s="213"/>
      <c r="AA108" s="213"/>
      <c r="AB108" s="211"/>
      <c r="AC108" s="211"/>
      <c r="AD108" s="211"/>
      <c r="AE108" s="211"/>
      <c r="AF108" s="211"/>
      <c r="AG108" s="211"/>
      <c r="AH108" s="211"/>
      <c r="AI108" s="211"/>
      <c r="AJ108" s="211"/>
      <c r="AK108" s="211"/>
      <c r="AL108" s="211"/>
      <c r="AM108" s="211"/>
      <c r="AN108" s="211"/>
    </row>
    <row r="109" spans="2:40" ht="12" hidden="1" customHeight="1" outlineLevel="2">
      <c r="B109" s="245"/>
      <c r="C109" s="243" t="s">
        <v>853</v>
      </c>
      <c r="D109" s="213"/>
      <c r="E109" s="213"/>
      <c r="F109" s="213"/>
      <c r="G109" s="213"/>
      <c r="H109" s="213"/>
      <c r="I109" s="213"/>
      <c r="J109" s="213"/>
      <c r="K109" s="213"/>
      <c r="L109" s="213"/>
      <c r="M109" s="213"/>
      <c r="N109" s="213"/>
      <c r="O109" s="213"/>
      <c r="P109" s="213"/>
      <c r="Q109" s="213"/>
      <c r="R109" s="213"/>
      <c r="S109" s="213"/>
      <c r="T109" s="213"/>
      <c r="U109" s="213"/>
      <c r="V109" s="213"/>
      <c r="W109" s="213"/>
      <c r="X109" s="213"/>
      <c r="Y109" s="213"/>
      <c r="Z109" s="213"/>
      <c r="AA109" s="213"/>
      <c r="AB109" s="213"/>
      <c r="AC109" s="211"/>
    </row>
    <row r="110" spans="2:40" ht="12" hidden="1" customHeight="1" outlineLevel="2">
      <c r="B110" s="239"/>
      <c r="C110" s="214" t="s">
        <v>850</v>
      </c>
      <c r="D110" s="214"/>
      <c r="E110" s="196" t="s">
        <v>753</v>
      </c>
      <c r="F110" s="196" t="s">
        <v>754</v>
      </c>
      <c r="G110" s="196" t="s">
        <v>755</v>
      </c>
      <c r="H110" s="196" t="s">
        <v>756</v>
      </c>
      <c r="I110" s="196" t="s">
        <v>757</v>
      </c>
      <c r="J110" s="196" t="s">
        <v>758</v>
      </c>
      <c r="K110" s="196" t="s">
        <v>759</v>
      </c>
      <c r="L110" s="196" t="s">
        <v>760</v>
      </c>
      <c r="M110" s="196" t="s">
        <v>761</v>
      </c>
      <c r="N110" s="196" t="s">
        <v>762</v>
      </c>
      <c r="O110" s="196" t="s">
        <v>763</v>
      </c>
      <c r="P110" s="196" t="s">
        <v>764</v>
      </c>
      <c r="Q110" s="196" t="s">
        <v>765</v>
      </c>
      <c r="R110" s="196" t="s">
        <v>766</v>
      </c>
      <c r="S110" s="196" t="s">
        <v>767</v>
      </c>
      <c r="T110" s="196" t="s">
        <v>768</v>
      </c>
      <c r="U110" s="196" t="s">
        <v>769</v>
      </c>
      <c r="V110" s="196" t="s">
        <v>770</v>
      </c>
      <c r="W110" s="196" t="s">
        <v>771</v>
      </c>
      <c r="X110" s="196" t="s">
        <v>772</v>
      </c>
      <c r="Y110" s="196" t="s">
        <v>773</v>
      </c>
      <c r="Z110" s="196" t="s">
        <v>774</v>
      </c>
      <c r="AA110" s="196" t="s">
        <v>775</v>
      </c>
      <c r="AB110" s="196" t="s">
        <v>776</v>
      </c>
      <c r="AC110" s="196" t="s">
        <v>777</v>
      </c>
      <c r="AD110" s="196" t="s">
        <v>778</v>
      </c>
      <c r="AE110" s="196" t="s">
        <v>779</v>
      </c>
      <c r="AF110" s="196" t="s">
        <v>780</v>
      </c>
      <c r="AG110" s="196" t="s">
        <v>781</v>
      </c>
      <c r="AH110" s="196" t="s">
        <v>782</v>
      </c>
      <c r="AI110" s="196" t="s">
        <v>783</v>
      </c>
      <c r="AJ110" s="196" t="s">
        <v>784</v>
      </c>
      <c r="AK110" s="196" t="s">
        <v>785</v>
      </c>
      <c r="AL110" s="196" t="s">
        <v>786</v>
      </c>
      <c r="AM110" s="196" t="s">
        <v>787</v>
      </c>
      <c r="AN110" s="196" t="s">
        <v>788</v>
      </c>
    </row>
    <row r="111" spans="2:40" ht="12" hidden="1" customHeight="1" outlineLevel="2">
      <c r="B111" s="239"/>
      <c r="C111" s="212" t="s">
        <v>851</v>
      </c>
      <c r="D111" s="212"/>
      <c r="E111" s="191">
        <v>8.536585365853655E-2</v>
      </c>
      <c r="F111" s="191">
        <v>0.36933797909407662</v>
      </c>
      <c r="G111" s="191">
        <v>0.56445993031358888</v>
      </c>
      <c r="H111" s="191">
        <v>0.67770034843205573</v>
      </c>
      <c r="I111" s="191">
        <v>0.74912891986062724</v>
      </c>
      <c r="J111" s="191">
        <v>0.79616724738675959</v>
      </c>
      <c r="K111" s="191">
        <v>0.82752613240418116</v>
      </c>
      <c r="L111" s="191">
        <v>0.85888501742160273</v>
      </c>
      <c r="M111" s="191">
        <v>0.89198606271777003</v>
      </c>
      <c r="N111" s="191">
        <v>0.91289198606271782</v>
      </c>
      <c r="O111" s="191">
        <v>0.9285714285714286</v>
      </c>
      <c r="P111" s="191">
        <v>0.93031358885017423</v>
      </c>
      <c r="Q111" s="191">
        <v>0.93554006968641112</v>
      </c>
      <c r="R111" s="191">
        <v>0.94250871080139376</v>
      </c>
      <c r="S111" s="191">
        <v>0.94425087108013939</v>
      </c>
      <c r="T111" s="191">
        <v>0.95296167247386765</v>
      </c>
      <c r="U111" s="191">
        <v>0.96515679442508706</v>
      </c>
      <c r="V111" s="191">
        <v>0.97735191637630658</v>
      </c>
      <c r="W111" s="191">
        <v>0.98257839721254359</v>
      </c>
      <c r="X111" s="191">
        <v>0.98432055749128922</v>
      </c>
      <c r="Y111" s="191">
        <v>0.99</v>
      </c>
      <c r="Z111" s="191">
        <v>0.99</v>
      </c>
      <c r="AA111" s="193">
        <f t="shared" ref="AA111:AB111" si="82">Z111</f>
        <v>0.99</v>
      </c>
      <c r="AB111" s="193">
        <f t="shared" si="82"/>
        <v>0.99</v>
      </c>
      <c r="AC111" s="193">
        <f>AB111</f>
        <v>0.99</v>
      </c>
      <c r="AD111" s="193">
        <f t="shared" ref="AD111:AN111" si="83">AC111</f>
        <v>0.99</v>
      </c>
      <c r="AE111" s="193">
        <f t="shared" si="83"/>
        <v>0.99</v>
      </c>
      <c r="AF111" s="193">
        <f t="shared" si="83"/>
        <v>0.99</v>
      </c>
      <c r="AG111" s="193">
        <f t="shared" si="83"/>
        <v>0.99</v>
      </c>
      <c r="AH111" s="193">
        <f t="shared" si="83"/>
        <v>0.99</v>
      </c>
      <c r="AI111" s="193">
        <f t="shared" si="83"/>
        <v>0.99</v>
      </c>
      <c r="AJ111" s="193">
        <f t="shared" si="83"/>
        <v>0.99</v>
      </c>
      <c r="AK111" s="193">
        <f t="shared" si="83"/>
        <v>0.99</v>
      </c>
      <c r="AL111" s="193">
        <f t="shared" si="83"/>
        <v>0.99</v>
      </c>
      <c r="AM111" s="193">
        <f t="shared" si="83"/>
        <v>0.99</v>
      </c>
      <c r="AN111" s="193">
        <f t="shared" si="83"/>
        <v>0.99</v>
      </c>
    </row>
    <row r="112" spans="2:40" ht="12" hidden="1" customHeight="1" outlineLevel="2">
      <c r="B112" s="239"/>
      <c r="C112" s="214" t="s">
        <v>852</v>
      </c>
      <c r="D112" s="212"/>
      <c r="E112" s="211">
        <f>86*33%</f>
        <v>28.380000000000003</v>
      </c>
      <c r="F112" s="211">
        <f>E112*98%</f>
        <v>27.8124</v>
      </c>
      <c r="G112" s="211">
        <f>F112*98%</f>
        <v>27.256152</v>
      </c>
      <c r="H112" s="211">
        <f t="shared" ref="H112:AN112" si="84">G112*98%</f>
        <v>26.71102896</v>
      </c>
      <c r="I112" s="211">
        <f t="shared" si="84"/>
        <v>26.176808380800001</v>
      </c>
      <c r="J112" s="211">
        <f t="shared" si="84"/>
        <v>25.653272213184</v>
      </c>
      <c r="K112" s="211">
        <f t="shared" si="84"/>
        <v>25.140206768920319</v>
      </c>
      <c r="L112" s="211">
        <f t="shared" si="84"/>
        <v>24.63740263354191</v>
      </c>
      <c r="M112" s="211">
        <f t="shared" si="84"/>
        <v>24.144654580871073</v>
      </c>
      <c r="N112" s="211">
        <f t="shared" si="84"/>
        <v>23.661761489253649</v>
      </c>
      <c r="O112" s="211">
        <f t="shared" si="84"/>
        <v>23.188526259468578</v>
      </c>
      <c r="P112" s="211">
        <f t="shared" si="84"/>
        <v>22.724755734279206</v>
      </c>
      <c r="Q112" s="211">
        <f t="shared" si="84"/>
        <v>22.270260619593621</v>
      </c>
      <c r="R112" s="211">
        <f t="shared" si="84"/>
        <v>21.824855407201749</v>
      </c>
      <c r="S112" s="211">
        <f t="shared" si="84"/>
        <v>21.388358299057714</v>
      </c>
      <c r="T112" s="211">
        <f t="shared" si="84"/>
        <v>20.960591133076559</v>
      </c>
      <c r="U112" s="211">
        <f t="shared" si="84"/>
        <v>20.541379310415028</v>
      </c>
      <c r="V112" s="211">
        <f t="shared" si="84"/>
        <v>20.130551724206725</v>
      </c>
      <c r="W112" s="211">
        <f t="shared" si="84"/>
        <v>19.72794068972259</v>
      </c>
      <c r="X112" s="211">
        <f t="shared" si="84"/>
        <v>19.33338187592814</v>
      </c>
      <c r="Y112" s="211">
        <f t="shared" si="84"/>
        <v>18.946714238409577</v>
      </c>
      <c r="Z112" s="211">
        <f t="shared" si="84"/>
        <v>18.567779953641384</v>
      </c>
      <c r="AA112" s="211">
        <f t="shared" si="84"/>
        <v>18.196424354568556</v>
      </c>
      <c r="AB112" s="211">
        <f t="shared" si="84"/>
        <v>17.832495867477185</v>
      </c>
      <c r="AC112" s="211">
        <f t="shared" si="84"/>
        <v>17.475845950127642</v>
      </c>
      <c r="AD112" s="211">
        <f t="shared" si="84"/>
        <v>17.126329031125088</v>
      </c>
      <c r="AE112" s="211">
        <f t="shared" si="84"/>
        <v>16.783802450502588</v>
      </c>
      <c r="AF112" s="211">
        <f t="shared" si="84"/>
        <v>16.448126401492537</v>
      </c>
      <c r="AG112" s="211">
        <f t="shared" si="84"/>
        <v>16.119163873462686</v>
      </c>
      <c r="AH112" s="211">
        <f t="shared" si="84"/>
        <v>15.796780595993432</v>
      </c>
      <c r="AI112" s="211">
        <f t="shared" si="84"/>
        <v>15.480844984073563</v>
      </c>
      <c r="AJ112" s="211">
        <f t="shared" si="84"/>
        <v>15.171228084392093</v>
      </c>
      <c r="AK112" s="211">
        <f t="shared" si="84"/>
        <v>14.86780352270425</v>
      </c>
      <c r="AL112" s="211">
        <f t="shared" si="84"/>
        <v>14.570447452250164</v>
      </c>
      <c r="AM112" s="211">
        <f t="shared" si="84"/>
        <v>14.279038503205161</v>
      </c>
      <c r="AN112" s="211">
        <f t="shared" si="84"/>
        <v>13.993457733141058</v>
      </c>
    </row>
    <row r="113" spans="2:40" ht="12" hidden="1" customHeight="1" outlineLevel="2">
      <c r="B113" s="245"/>
      <c r="C113" s="213" t="s">
        <v>753</v>
      </c>
      <c r="D113" s="213"/>
      <c r="E113" s="211">
        <f>INDEX($C$44:$AN$66,MATCH("New Customers 1MS",$C$44:$C$66,0),MATCH($C113,$C$44:$AN$44,0))</f>
        <v>0</v>
      </c>
      <c r="F113" s="211">
        <f t="shared" ref="F113:AN113" si="85">$E$113*(E111)</f>
        <v>0</v>
      </c>
      <c r="G113" s="211">
        <f t="shared" si="85"/>
        <v>0</v>
      </c>
      <c r="H113" s="211">
        <f t="shared" si="85"/>
        <v>0</v>
      </c>
      <c r="I113" s="211">
        <f t="shared" si="85"/>
        <v>0</v>
      </c>
      <c r="J113" s="211">
        <f t="shared" si="85"/>
        <v>0</v>
      </c>
      <c r="K113" s="211">
        <f t="shared" si="85"/>
        <v>0</v>
      </c>
      <c r="L113" s="211">
        <f t="shared" si="85"/>
        <v>0</v>
      </c>
      <c r="M113" s="211">
        <f t="shared" si="85"/>
        <v>0</v>
      </c>
      <c r="N113" s="211">
        <f t="shared" si="85"/>
        <v>0</v>
      </c>
      <c r="O113" s="211">
        <f t="shared" si="85"/>
        <v>0</v>
      </c>
      <c r="P113" s="211">
        <f t="shared" si="85"/>
        <v>0</v>
      </c>
      <c r="Q113" s="211">
        <f t="shared" si="85"/>
        <v>0</v>
      </c>
      <c r="R113" s="211">
        <f t="shared" si="85"/>
        <v>0</v>
      </c>
      <c r="S113" s="211">
        <f t="shared" si="85"/>
        <v>0</v>
      </c>
      <c r="T113" s="211">
        <f t="shared" si="85"/>
        <v>0</v>
      </c>
      <c r="U113" s="211">
        <f t="shared" si="85"/>
        <v>0</v>
      </c>
      <c r="V113" s="211">
        <f t="shared" si="85"/>
        <v>0</v>
      </c>
      <c r="W113" s="211">
        <f t="shared" si="85"/>
        <v>0</v>
      </c>
      <c r="X113" s="211">
        <f t="shared" si="85"/>
        <v>0</v>
      </c>
      <c r="Y113" s="211">
        <f t="shared" si="85"/>
        <v>0</v>
      </c>
      <c r="Z113" s="211">
        <f t="shared" si="85"/>
        <v>0</v>
      </c>
      <c r="AA113" s="211">
        <f t="shared" si="85"/>
        <v>0</v>
      </c>
      <c r="AB113" s="211">
        <f t="shared" si="85"/>
        <v>0</v>
      </c>
      <c r="AC113" s="211">
        <f t="shared" si="85"/>
        <v>0</v>
      </c>
      <c r="AD113" s="211">
        <f t="shared" si="85"/>
        <v>0</v>
      </c>
      <c r="AE113" s="211">
        <f t="shared" si="85"/>
        <v>0</v>
      </c>
      <c r="AF113" s="211">
        <f t="shared" si="85"/>
        <v>0</v>
      </c>
      <c r="AG113" s="211">
        <f t="shared" si="85"/>
        <v>0</v>
      </c>
      <c r="AH113" s="211">
        <f t="shared" si="85"/>
        <v>0</v>
      </c>
      <c r="AI113" s="211">
        <f t="shared" si="85"/>
        <v>0</v>
      </c>
      <c r="AJ113" s="211">
        <f t="shared" si="85"/>
        <v>0</v>
      </c>
      <c r="AK113" s="211">
        <f t="shared" si="85"/>
        <v>0</v>
      </c>
      <c r="AL113" s="211">
        <f t="shared" si="85"/>
        <v>0</v>
      </c>
      <c r="AM113" s="211">
        <f t="shared" si="85"/>
        <v>0</v>
      </c>
      <c r="AN113" s="211">
        <f t="shared" si="85"/>
        <v>0</v>
      </c>
    </row>
    <row r="114" spans="2:40" ht="12" hidden="1" customHeight="1" outlineLevel="2">
      <c r="B114" s="245"/>
      <c r="C114" s="213" t="s">
        <v>754</v>
      </c>
      <c r="D114" s="213"/>
      <c r="E114" s="213"/>
      <c r="F114" s="211">
        <f>INDEX($C$44:$AN$66,MATCH("New Customers 1MS",$C$44:$C$66,0),MATCH($C114,$C$44:$AN$44,0))</f>
        <v>0</v>
      </c>
      <c r="G114" s="211">
        <f t="shared" ref="G114:AN114" si="86">$F$114*(E111)</f>
        <v>0</v>
      </c>
      <c r="H114" s="211">
        <f t="shared" si="86"/>
        <v>0</v>
      </c>
      <c r="I114" s="211">
        <f t="shared" si="86"/>
        <v>0</v>
      </c>
      <c r="J114" s="211">
        <f t="shared" si="86"/>
        <v>0</v>
      </c>
      <c r="K114" s="211">
        <f t="shared" si="86"/>
        <v>0</v>
      </c>
      <c r="L114" s="211">
        <f t="shared" si="86"/>
        <v>0</v>
      </c>
      <c r="M114" s="211">
        <f t="shared" si="86"/>
        <v>0</v>
      </c>
      <c r="N114" s="211">
        <f t="shared" si="86"/>
        <v>0</v>
      </c>
      <c r="O114" s="211">
        <f t="shared" si="86"/>
        <v>0</v>
      </c>
      <c r="P114" s="211">
        <f t="shared" si="86"/>
        <v>0</v>
      </c>
      <c r="Q114" s="211">
        <f t="shared" si="86"/>
        <v>0</v>
      </c>
      <c r="R114" s="211">
        <f t="shared" si="86"/>
        <v>0</v>
      </c>
      <c r="S114" s="211">
        <f t="shared" si="86"/>
        <v>0</v>
      </c>
      <c r="T114" s="211">
        <f t="shared" si="86"/>
        <v>0</v>
      </c>
      <c r="U114" s="211">
        <f t="shared" si="86"/>
        <v>0</v>
      </c>
      <c r="V114" s="211">
        <f t="shared" si="86"/>
        <v>0</v>
      </c>
      <c r="W114" s="211">
        <f t="shared" si="86"/>
        <v>0</v>
      </c>
      <c r="X114" s="211">
        <f t="shared" si="86"/>
        <v>0</v>
      </c>
      <c r="Y114" s="211">
        <f t="shared" si="86"/>
        <v>0</v>
      </c>
      <c r="Z114" s="211">
        <f t="shared" si="86"/>
        <v>0</v>
      </c>
      <c r="AA114" s="211">
        <f t="shared" si="86"/>
        <v>0</v>
      </c>
      <c r="AB114" s="211">
        <f t="shared" si="86"/>
        <v>0</v>
      </c>
      <c r="AC114" s="211">
        <f t="shared" si="86"/>
        <v>0</v>
      </c>
      <c r="AD114" s="211">
        <f t="shared" si="86"/>
        <v>0</v>
      </c>
      <c r="AE114" s="211">
        <f t="shared" si="86"/>
        <v>0</v>
      </c>
      <c r="AF114" s="211">
        <f t="shared" si="86"/>
        <v>0</v>
      </c>
      <c r="AG114" s="211">
        <f t="shared" si="86"/>
        <v>0</v>
      </c>
      <c r="AH114" s="211">
        <f t="shared" si="86"/>
        <v>0</v>
      </c>
      <c r="AI114" s="211">
        <f t="shared" si="86"/>
        <v>0</v>
      </c>
      <c r="AJ114" s="211">
        <f t="shared" si="86"/>
        <v>0</v>
      </c>
      <c r="AK114" s="211">
        <f t="shared" si="86"/>
        <v>0</v>
      </c>
      <c r="AL114" s="211">
        <f t="shared" si="86"/>
        <v>0</v>
      </c>
      <c r="AM114" s="211">
        <f t="shared" si="86"/>
        <v>0</v>
      </c>
      <c r="AN114" s="211">
        <f t="shared" si="86"/>
        <v>0</v>
      </c>
    </row>
    <row r="115" spans="2:40" ht="12" hidden="1" customHeight="1" outlineLevel="2">
      <c r="B115" s="245"/>
      <c r="C115" s="213" t="s">
        <v>755</v>
      </c>
      <c r="D115" s="213"/>
      <c r="E115" s="213"/>
      <c r="F115" s="213"/>
      <c r="G115" s="211">
        <f>INDEX($C$44:$AN$66,MATCH("New Customers 1MS",$C$44:$C$66,0),MATCH($C115,$C$44:$AN$44,0))</f>
        <v>0</v>
      </c>
      <c r="H115" s="211">
        <f t="shared" ref="H115:AN115" si="87">$G$115*(E111)</f>
        <v>0</v>
      </c>
      <c r="I115" s="211">
        <f t="shared" si="87"/>
        <v>0</v>
      </c>
      <c r="J115" s="211">
        <f t="shared" si="87"/>
        <v>0</v>
      </c>
      <c r="K115" s="211">
        <f t="shared" si="87"/>
        <v>0</v>
      </c>
      <c r="L115" s="211">
        <f t="shared" si="87"/>
        <v>0</v>
      </c>
      <c r="M115" s="211">
        <f t="shared" si="87"/>
        <v>0</v>
      </c>
      <c r="N115" s="211">
        <f t="shared" si="87"/>
        <v>0</v>
      </c>
      <c r="O115" s="211">
        <f t="shared" si="87"/>
        <v>0</v>
      </c>
      <c r="P115" s="211">
        <f t="shared" si="87"/>
        <v>0</v>
      </c>
      <c r="Q115" s="211">
        <f t="shared" si="87"/>
        <v>0</v>
      </c>
      <c r="R115" s="211">
        <f t="shared" si="87"/>
        <v>0</v>
      </c>
      <c r="S115" s="211">
        <f t="shared" si="87"/>
        <v>0</v>
      </c>
      <c r="T115" s="211">
        <f t="shared" si="87"/>
        <v>0</v>
      </c>
      <c r="U115" s="211">
        <f t="shared" si="87"/>
        <v>0</v>
      </c>
      <c r="V115" s="211">
        <f t="shared" si="87"/>
        <v>0</v>
      </c>
      <c r="W115" s="211">
        <f t="shared" si="87"/>
        <v>0</v>
      </c>
      <c r="X115" s="211">
        <f t="shared" si="87"/>
        <v>0</v>
      </c>
      <c r="Y115" s="211">
        <f t="shared" si="87"/>
        <v>0</v>
      </c>
      <c r="Z115" s="211">
        <f t="shared" si="87"/>
        <v>0</v>
      </c>
      <c r="AA115" s="211">
        <f t="shared" si="87"/>
        <v>0</v>
      </c>
      <c r="AB115" s="211">
        <f t="shared" si="87"/>
        <v>0</v>
      </c>
      <c r="AC115" s="211">
        <f t="shared" si="87"/>
        <v>0</v>
      </c>
      <c r="AD115" s="211">
        <f t="shared" si="87"/>
        <v>0</v>
      </c>
      <c r="AE115" s="211">
        <f t="shared" si="87"/>
        <v>0</v>
      </c>
      <c r="AF115" s="211">
        <f t="shared" si="87"/>
        <v>0</v>
      </c>
      <c r="AG115" s="211">
        <f t="shared" si="87"/>
        <v>0</v>
      </c>
      <c r="AH115" s="211">
        <f t="shared" si="87"/>
        <v>0</v>
      </c>
      <c r="AI115" s="211">
        <f t="shared" si="87"/>
        <v>0</v>
      </c>
      <c r="AJ115" s="211">
        <f t="shared" si="87"/>
        <v>0</v>
      </c>
      <c r="AK115" s="211">
        <f t="shared" si="87"/>
        <v>0</v>
      </c>
      <c r="AL115" s="211">
        <f t="shared" si="87"/>
        <v>0</v>
      </c>
      <c r="AM115" s="211">
        <f t="shared" si="87"/>
        <v>0</v>
      </c>
      <c r="AN115" s="211">
        <f t="shared" si="87"/>
        <v>0</v>
      </c>
    </row>
    <row r="116" spans="2:40" ht="12" hidden="1" customHeight="1" outlineLevel="2">
      <c r="B116" s="245"/>
      <c r="C116" s="213" t="s">
        <v>756</v>
      </c>
      <c r="D116" s="213"/>
      <c r="E116" s="213"/>
      <c r="F116" s="213"/>
      <c r="G116" s="213"/>
      <c r="H116" s="211">
        <f>INDEX($C$44:$AN$66,MATCH("New Customers 1MS",$C$44:$C$66,0),MATCH($C116,$C$44:$AN$44,0))</f>
        <v>0</v>
      </c>
      <c r="I116" s="211">
        <f t="shared" ref="I116:AN116" si="88">$H$116*(E111)</f>
        <v>0</v>
      </c>
      <c r="J116" s="211">
        <f t="shared" si="88"/>
        <v>0</v>
      </c>
      <c r="K116" s="211">
        <f t="shared" si="88"/>
        <v>0</v>
      </c>
      <c r="L116" s="211">
        <f t="shared" si="88"/>
        <v>0</v>
      </c>
      <c r="M116" s="211">
        <f t="shared" si="88"/>
        <v>0</v>
      </c>
      <c r="N116" s="211">
        <f t="shared" si="88"/>
        <v>0</v>
      </c>
      <c r="O116" s="211">
        <f t="shared" si="88"/>
        <v>0</v>
      </c>
      <c r="P116" s="211">
        <f t="shared" si="88"/>
        <v>0</v>
      </c>
      <c r="Q116" s="211">
        <f t="shared" si="88"/>
        <v>0</v>
      </c>
      <c r="R116" s="211">
        <f t="shared" si="88"/>
        <v>0</v>
      </c>
      <c r="S116" s="211">
        <f t="shared" si="88"/>
        <v>0</v>
      </c>
      <c r="T116" s="211">
        <f t="shared" si="88"/>
        <v>0</v>
      </c>
      <c r="U116" s="211">
        <f t="shared" si="88"/>
        <v>0</v>
      </c>
      <c r="V116" s="211">
        <f t="shared" si="88"/>
        <v>0</v>
      </c>
      <c r="W116" s="211">
        <f t="shared" si="88"/>
        <v>0</v>
      </c>
      <c r="X116" s="211">
        <f t="shared" si="88"/>
        <v>0</v>
      </c>
      <c r="Y116" s="211">
        <f t="shared" si="88"/>
        <v>0</v>
      </c>
      <c r="Z116" s="211">
        <f t="shared" si="88"/>
        <v>0</v>
      </c>
      <c r="AA116" s="211">
        <f t="shared" si="88"/>
        <v>0</v>
      </c>
      <c r="AB116" s="211">
        <f t="shared" si="88"/>
        <v>0</v>
      </c>
      <c r="AC116" s="211">
        <f t="shared" si="88"/>
        <v>0</v>
      </c>
      <c r="AD116" s="211">
        <f t="shared" si="88"/>
        <v>0</v>
      </c>
      <c r="AE116" s="211">
        <f t="shared" si="88"/>
        <v>0</v>
      </c>
      <c r="AF116" s="211">
        <f t="shared" si="88"/>
        <v>0</v>
      </c>
      <c r="AG116" s="211">
        <f t="shared" si="88"/>
        <v>0</v>
      </c>
      <c r="AH116" s="211">
        <f t="shared" si="88"/>
        <v>0</v>
      </c>
      <c r="AI116" s="211">
        <f t="shared" si="88"/>
        <v>0</v>
      </c>
      <c r="AJ116" s="211">
        <f t="shared" si="88"/>
        <v>0</v>
      </c>
      <c r="AK116" s="211">
        <f t="shared" si="88"/>
        <v>0</v>
      </c>
      <c r="AL116" s="211">
        <f t="shared" si="88"/>
        <v>0</v>
      </c>
      <c r="AM116" s="211">
        <f t="shared" si="88"/>
        <v>0</v>
      </c>
      <c r="AN116" s="211">
        <f t="shared" si="88"/>
        <v>0</v>
      </c>
    </row>
    <row r="117" spans="2:40" ht="12" hidden="1" customHeight="1" outlineLevel="2">
      <c r="B117" s="245"/>
      <c r="C117" s="213" t="s">
        <v>757</v>
      </c>
      <c r="D117" s="213"/>
      <c r="E117" s="213"/>
      <c r="F117" s="213"/>
      <c r="G117" s="213"/>
      <c r="H117" s="213"/>
      <c r="I117" s="211">
        <f>INDEX($C$44:$AN$66,MATCH("New Customers 1MS",$C$44:$C$66,0),MATCH($C117,$C$44:$AN$44,0))</f>
        <v>0</v>
      </c>
      <c r="J117" s="211">
        <f t="shared" ref="J117:AN117" si="89">$I$117*(E111)</f>
        <v>0</v>
      </c>
      <c r="K117" s="211">
        <f t="shared" si="89"/>
        <v>0</v>
      </c>
      <c r="L117" s="211">
        <f t="shared" si="89"/>
        <v>0</v>
      </c>
      <c r="M117" s="211">
        <f t="shared" si="89"/>
        <v>0</v>
      </c>
      <c r="N117" s="211">
        <f t="shared" si="89"/>
        <v>0</v>
      </c>
      <c r="O117" s="211">
        <f t="shared" si="89"/>
        <v>0</v>
      </c>
      <c r="P117" s="211">
        <f t="shared" si="89"/>
        <v>0</v>
      </c>
      <c r="Q117" s="211">
        <f t="shared" si="89"/>
        <v>0</v>
      </c>
      <c r="R117" s="211">
        <f t="shared" si="89"/>
        <v>0</v>
      </c>
      <c r="S117" s="211">
        <f t="shared" si="89"/>
        <v>0</v>
      </c>
      <c r="T117" s="211">
        <f t="shared" si="89"/>
        <v>0</v>
      </c>
      <c r="U117" s="211">
        <f t="shared" si="89"/>
        <v>0</v>
      </c>
      <c r="V117" s="211">
        <f t="shared" si="89"/>
        <v>0</v>
      </c>
      <c r="W117" s="211">
        <f t="shared" si="89"/>
        <v>0</v>
      </c>
      <c r="X117" s="211">
        <f t="shared" si="89"/>
        <v>0</v>
      </c>
      <c r="Y117" s="211">
        <f t="shared" si="89"/>
        <v>0</v>
      </c>
      <c r="Z117" s="211">
        <f t="shared" si="89"/>
        <v>0</v>
      </c>
      <c r="AA117" s="211">
        <f t="shared" si="89"/>
        <v>0</v>
      </c>
      <c r="AB117" s="211">
        <f t="shared" si="89"/>
        <v>0</v>
      </c>
      <c r="AC117" s="211">
        <f t="shared" si="89"/>
        <v>0</v>
      </c>
      <c r="AD117" s="211">
        <f t="shared" si="89"/>
        <v>0</v>
      </c>
      <c r="AE117" s="211">
        <f t="shared" si="89"/>
        <v>0</v>
      </c>
      <c r="AF117" s="211">
        <f t="shared" si="89"/>
        <v>0</v>
      </c>
      <c r="AG117" s="211">
        <f t="shared" si="89"/>
        <v>0</v>
      </c>
      <c r="AH117" s="211">
        <f t="shared" si="89"/>
        <v>0</v>
      </c>
      <c r="AI117" s="211">
        <f t="shared" si="89"/>
        <v>0</v>
      </c>
      <c r="AJ117" s="211">
        <f t="shared" si="89"/>
        <v>0</v>
      </c>
      <c r="AK117" s="211">
        <f t="shared" si="89"/>
        <v>0</v>
      </c>
      <c r="AL117" s="211">
        <f t="shared" si="89"/>
        <v>0</v>
      </c>
      <c r="AM117" s="211">
        <f t="shared" si="89"/>
        <v>0</v>
      </c>
      <c r="AN117" s="211">
        <f t="shared" si="89"/>
        <v>0</v>
      </c>
    </row>
    <row r="118" spans="2:40" ht="12" hidden="1" customHeight="1" outlineLevel="2">
      <c r="B118" s="245"/>
      <c r="C118" s="213" t="s">
        <v>758</v>
      </c>
      <c r="D118" s="213"/>
      <c r="E118" s="213"/>
      <c r="F118" s="213"/>
      <c r="G118" s="213"/>
      <c r="H118" s="213"/>
      <c r="I118" s="213"/>
      <c r="J118" s="211">
        <f>INDEX($C$44:$AN$66,MATCH("New Customers 1MS",$C$44:$C$66,0),MATCH($C118,$C$44:$AN$44,0))</f>
        <v>10</v>
      </c>
      <c r="K118" s="211">
        <f t="shared" ref="K118:AN118" si="90">$J$118*(E111)</f>
        <v>0.8536585365853655</v>
      </c>
      <c r="L118" s="211">
        <f t="shared" si="90"/>
        <v>3.6933797909407664</v>
      </c>
      <c r="M118" s="211">
        <f t="shared" si="90"/>
        <v>5.6445993031358892</v>
      </c>
      <c r="N118" s="211">
        <f t="shared" si="90"/>
        <v>6.7770034843205575</v>
      </c>
      <c r="O118" s="211">
        <f t="shared" si="90"/>
        <v>7.4912891986062728</v>
      </c>
      <c r="P118" s="211">
        <f t="shared" si="90"/>
        <v>7.9616724738675959</v>
      </c>
      <c r="Q118" s="211">
        <f t="shared" si="90"/>
        <v>8.2752613240418107</v>
      </c>
      <c r="R118" s="211">
        <f t="shared" si="90"/>
        <v>8.5888501742160273</v>
      </c>
      <c r="S118" s="211">
        <f t="shared" si="90"/>
        <v>8.9198606271776999</v>
      </c>
      <c r="T118" s="211">
        <f t="shared" si="90"/>
        <v>9.1289198606271782</v>
      </c>
      <c r="U118" s="211">
        <f t="shared" si="90"/>
        <v>9.2857142857142865</v>
      </c>
      <c r="V118" s="211">
        <f t="shared" si="90"/>
        <v>9.3031358885017426</v>
      </c>
      <c r="W118" s="211">
        <f t="shared" si="90"/>
        <v>9.3554006968641108</v>
      </c>
      <c r="X118" s="211">
        <f t="shared" si="90"/>
        <v>9.4250871080139369</v>
      </c>
      <c r="Y118" s="211">
        <f t="shared" si="90"/>
        <v>9.4425087108013948</v>
      </c>
      <c r="Z118" s="211">
        <f t="shared" si="90"/>
        <v>9.5296167247386769</v>
      </c>
      <c r="AA118" s="211">
        <f t="shared" si="90"/>
        <v>9.6515679442508713</v>
      </c>
      <c r="AB118" s="211">
        <f t="shared" si="90"/>
        <v>9.7735191637630656</v>
      </c>
      <c r="AC118" s="211">
        <f t="shared" si="90"/>
        <v>9.8257839721254356</v>
      </c>
      <c r="AD118" s="211">
        <f t="shared" si="90"/>
        <v>9.8432055749128917</v>
      </c>
      <c r="AE118" s="211">
        <f t="shared" si="90"/>
        <v>9.9</v>
      </c>
      <c r="AF118" s="211">
        <f t="shared" si="90"/>
        <v>9.9</v>
      </c>
      <c r="AG118" s="211">
        <f t="shared" si="90"/>
        <v>9.9</v>
      </c>
      <c r="AH118" s="211">
        <f t="shared" si="90"/>
        <v>9.9</v>
      </c>
      <c r="AI118" s="211">
        <f t="shared" si="90"/>
        <v>9.9</v>
      </c>
      <c r="AJ118" s="211">
        <f t="shared" si="90"/>
        <v>9.9</v>
      </c>
      <c r="AK118" s="211">
        <f t="shared" si="90"/>
        <v>9.9</v>
      </c>
      <c r="AL118" s="211">
        <f t="shared" si="90"/>
        <v>9.9</v>
      </c>
      <c r="AM118" s="211">
        <f t="shared" si="90"/>
        <v>9.9</v>
      </c>
      <c r="AN118" s="211">
        <f t="shared" si="90"/>
        <v>9.9</v>
      </c>
    </row>
    <row r="119" spans="2:40" ht="12" hidden="1" customHeight="1" outlineLevel="2">
      <c r="B119" s="245"/>
      <c r="C119" s="213" t="s">
        <v>759</v>
      </c>
      <c r="D119" s="213"/>
      <c r="E119" s="213"/>
      <c r="F119" s="213"/>
      <c r="G119" s="213"/>
      <c r="H119" s="213"/>
      <c r="I119" s="213"/>
      <c r="J119" s="213"/>
      <c r="K119" s="211">
        <f>INDEX($C$44:$AN$66,MATCH("New Customers 1MS",$C$44:$C$66,0),MATCH($C119,$C$44:$AN$44,0))</f>
        <v>11</v>
      </c>
      <c r="L119" s="211">
        <f t="shared" ref="L119:AN119" si="91">$K$119*(E111)</f>
        <v>0.93902439024390205</v>
      </c>
      <c r="M119" s="211">
        <f t="shared" si="91"/>
        <v>4.0627177700348431</v>
      </c>
      <c r="N119" s="211">
        <f t="shared" si="91"/>
        <v>6.2090592334494774</v>
      </c>
      <c r="O119" s="211">
        <f t="shared" si="91"/>
        <v>7.4547038327526129</v>
      </c>
      <c r="P119" s="211">
        <f t="shared" si="91"/>
        <v>8.2404181184669003</v>
      </c>
      <c r="Q119" s="211">
        <f t="shared" si="91"/>
        <v>8.7578397212543564</v>
      </c>
      <c r="R119" s="211">
        <f t="shared" si="91"/>
        <v>9.1027874564459932</v>
      </c>
      <c r="S119" s="211">
        <f t="shared" si="91"/>
        <v>9.44773519163763</v>
      </c>
      <c r="T119" s="211">
        <f t="shared" si="91"/>
        <v>9.8118466898954697</v>
      </c>
      <c r="U119" s="211">
        <f t="shared" si="91"/>
        <v>10.041811846689896</v>
      </c>
      <c r="V119" s="211">
        <f t="shared" si="91"/>
        <v>10.214285714285715</v>
      </c>
      <c r="W119" s="211">
        <f t="shared" si="91"/>
        <v>10.233449477351916</v>
      </c>
      <c r="X119" s="211">
        <f t="shared" si="91"/>
        <v>10.290940766550522</v>
      </c>
      <c r="Y119" s="211">
        <f t="shared" si="91"/>
        <v>10.367595818815332</v>
      </c>
      <c r="Z119" s="211">
        <f t="shared" si="91"/>
        <v>10.386759581881533</v>
      </c>
      <c r="AA119" s="211">
        <f t="shared" si="91"/>
        <v>10.482578397212544</v>
      </c>
      <c r="AB119" s="211">
        <f t="shared" si="91"/>
        <v>10.616724738675957</v>
      </c>
      <c r="AC119" s="211">
        <f t="shared" si="91"/>
        <v>10.750871080139373</v>
      </c>
      <c r="AD119" s="211">
        <f t="shared" si="91"/>
        <v>10.80836236933798</v>
      </c>
      <c r="AE119" s="211">
        <f t="shared" si="91"/>
        <v>10.827526132404181</v>
      </c>
      <c r="AF119" s="211">
        <f t="shared" si="91"/>
        <v>10.89</v>
      </c>
      <c r="AG119" s="211">
        <f t="shared" si="91"/>
        <v>10.89</v>
      </c>
      <c r="AH119" s="211">
        <f t="shared" si="91"/>
        <v>10.89</v>
      </c>
      <c r="AI119" s="211">
        <f t="shared" si="91"/>
        <v>10.89</v>
      </c>
      <c r="AJ119" s="211">
        <f t="shared" si="91"/>
        <v>10.89</v>
      </c>
      <c r="AK119" s="211">
        <f t="shared" si="91"/>
        <v>10.89</v>
      </c>
      <c r="AL119" s="211">
        <f t="shared" si="91"/>
        <v>10.89</v>
      </c>
      <c r="AM119" s="211">
        <f t="shared" si="91"/>
        <v>10.89</v>
      </c>
      <c r="AN119" s="211">
        <f t="shared" si="91"/>
        <v>10.89</v>
      </c>
    </row>
    <row r="120" spans="2:40" ht="12" hidden="1" customHeight="1" outlineLevel="2">
      <c r="B120" s="245"/>
      <c r="C120" s="213" t="s">
        <v>760</v>
      </c>
      <c r="D120" s="213"/>
      <c r="E120" s="213"/>
      <c r="F120" s="213"/>
      <c r="G120" s="213"/>
      <c r="H120" s="213"/>
      <c r="I120" s="213"/>
      <c r="J120" s="213"/>
      <c r="K120" s="213"/>
      <c r="L120" s="211">
        <f>INDEX($C$44:$AN$66,MATCH("New Customers 1MS",$C$44:$C$66,0),MATCH($C120,$C$44:$AN$44,0))</f>
        <v>9</v>
      </c>
      <c r="M120" s="211">
        <f t="shared" ref="M120:AN120" si="92">$L$120*(E111)</f>
        <v>0.76829268292682895</v>
      </c>
      <c r="N120" s="211">
        <f t="shared" si="92"/>
        <v>3.3240418118466897</v>
      </c>
      <c r="O120" s="211">
        <f t="shared" si="92"/>
        <v>5.0801393728223001</v>
      </c>
      <c r="P120" s="211">
        <f t="shared" si="92"/>
        <v>6.0993031358885013</v>
      </c>
      <c r="Q120" s="211">
        <f t="shared" si="92"/>
        <v>6.7421602787456454</v>
      </c>
      <c r="R120" s="211">
        <f t="shared" si="92"/>
        <v>7.1655052264808363</v>
      </c>
      <c r="S120" s="211">
        <f t="shared" si="92"/>
        <v>7.44773519163763</v>
      </c>
      <c r="T120" s="211">
        <f t="shared" si="92"/>
        <v>7.7299651567944245</v>
      </c>
      <c r="U120" s="211">
        <f t="shared" si="92"/>
        <v>8.0278745644599301</v>
      </c>
      <c r="V120" s="211">
        <f t="shared" si="92"/>
        <v>8.2160278745644604</v>
      </c>
      <c r="W120" s="211">
        <f t="shared" si="92"/>
        <v>8.3571428571428577</v>
      </c>
      <c r="X120" s="211">
        <f t="shared" si="92"/>
        <v>8.3728222996515687</v>
      </c>
      <c r="Y120" s="211">
        <f t="shared" si="92"/>
        <v>8.4198606271776999</v>
      </c>
      <c r="Z120" s="211">
        <f t="shared" si="92"/>
        <v>8.4825783972125439</v>
      </c>
      <c r="AA120" s="211">
        <f t="shared" si="92"/>
        <v>8.4982578397212549</v>
      </c>
      <c r="AB120" s="211">
        <f t="shared" si="92"/>
        <v>8.5766550522648082</v>
      </c>
      <c r="AC120" s="211">
        <f t="shared" si="92"/>
        <v>8.6864111498257834</v>
      </c>
      <c r="AD120" s="211">
        <f t="shared" si="92"/>
        <v>8.7961672473867587</v>
      </c>
      <c r="AE120" s="211">
        <f t="shared" si="92"/>
        <v>8.8432055749128917</v>
      </c>
      <c r="AF120" s="211">
        <f t="shared" si="92"/>
        <v>8.8588850174216027</v>
      </c>
      <c r="AG120" s="211">
        <f t="shared" si="92"/>
        <v>8.91</v>
      </c>
      <c r="AH120" s="211">
        <f t="shared" si="92"/>
        <v>8.91</v>
      </c>
      <c r="AI120" s="211">
        <f t="shared" si="92"/>
        <v>8.91</v>
      </c>
      <c r="AJ120" s="211">
        <f t="shared" si="92"/>
        <v>8.91</v>
      </c>
      <c r="AK120" s="211">
        <f t="shared" si="92"/>
        <v>8.91</v>
      </c>
      <c r="AL120" s="211">
        <f t="shared" si="92"/>
        <v>8.91</v>
      </c>
      <c r="AM120" s="211">
        <f t="shared" si="92"/>
        <v>8.91</v>
      </c>
      <c r="AN120" s="211">
        <f t="shared" si="92"/>
        <v>8.91</v>
      </c>
    </row>
    <row r="121" spans="2:40" ht="12" hidden="1" customHeight="1" outlineLevel="2">
      <c r="B121" s="245"/>
      <c r="C121" s="213" t="s">
        <v>761</v>
      </c>
      <c r="D121" s="213"/>
      <c r="E121" s="213"/>
      <c r="F121" s="213"/>
      <c r="G121" s="213"/>
      <c r="H121" s="213"/>
      <c r="I121" s="213"/>
      <c r="J121" s="213"/>
      <c r="K121" s="213"/>
      <c r="L121" s="213"/>
      <c r="M121" s="211">
        <f>INDEX($C$44:$AN$66,MATCH("New Customers 1MS",$C$44:$C$66,0),MATCH($C121,$C$44:$AN$44,0))</f>
        <v>8.4692671394799079E-2</v>
      </c>
      <c r="N121" s="211">
        <f t="shared" ref="N121:AN121" si="93">$M$121*(E111)</f>
        <v>7.2298621922389427E-3</v>
      </c>
      <c r="O121" s="211">
        <f t="shared" si="93"/>
        <v>3.1280220097033802E-2</v>
      </c>
      <c r="P121" s="211">
        <f t="shared" si="93"/>
        <v>4.7805619393579968E-2</v>
      </c>
      <c r="Q121" s="211">
        <f t="shared" si="93"/>
        <v>5.7396252913896939E-2</v>
      </c>
      <c r="R121" s="211">
        <f t="shared" si="93"/>
        <v>6.3445729442096879E-2</v>
      </c>
      <c r="S121" s="211">
        <f t="shared" si="93"/>
        <v>6.7429531058228534E-2</v>
      </c>
      <c r="T121" s="211">
        <f t="shared" si="93"/>
        <v>7.0085398802316304E-2</v>
      </c>
      <c r="U121" s="211">
        <f t="shared" si="93"/>
        <v>7.2741266546404088E-2</v>
      </c>
      <c r="V121" s="211">
        <f t="shared" si="93"/>
        <v>7.5544682498496746E-2</v>
      </c>
      <c r="W121" s="211">
        <f t="shared" si="93"/>
        <v>7.7315260994555268E-2</v>
      </c>
      <c r="X121" s="211">
        <f t="shared" si="93"/>
        <v>7.8643194866599153E-2</v>
      </c>
      <c r="Y121" s="211">
        <f t="shared" si="93"/>
        <v>7.8790743074604028E-2</v>
      </c>
      <c r="Z121" s="211">
        <f t="shared" si="93"/>
        <v>7.9233387698618651E-2</v>
      </c>
      <c r="AA121" s="211">
        <f t="shared" si="93"/>
        <v>7.9823580530638163E-2</v>
      </c>
      <c r="AB121" s="211">
        <f t="shared" si="93"/>
        <v>7.9971128738643038E-2</v>
      </c>
      <c r="AC121" s="211">
        <f t="shared" si="93"/>
        <v>8.0708869778667425E-2</v>
      </c>
      <c r="AD121" s="211">
        <f t="shared" si="93"/>
        <v>8.1741707234701547E-2</v>
      </c>
      <c r="AE121" s="211">
        <f t="shared" si="93"/>
        <v>8.2774544690735682E-2</v>
      </c>
      <c r="AF121" s="211">
        <f t="shared" si="93"/>
        <v>8.321718931475032E-2</v>
      </c>
      <c r="AG121" s="211">
        <f t="shared" si="93"/>
        <v>8.3364737522755195E-2</v>
      </c>
      <c r="AH121" s="211">
        <f t="shared" si="93"/>
        <v>8.3845744680851084E-2</v>
      </c>
      <c r="AI121" s="211">
        <f t="shared" si="93"/>
        <v>8.3845744680851084E-2</v>
      </c>
      <c r="AJ121" s="211">
        <f t="shared" si="93"/>
        <v>8.3845744680851084E-2</v>
      </c>
      <c r="AK121" s="211">
        <f t="shared" si="93"/>
        <v>8.3845744680851084E-2</v>
      </c>
      <c r="AL121" s="211">
        <f t="shared" si="93"/>
        <v>8.3845744680851084E-2</v>
      </c>
      <c r="AM121" s="211">
        <f t="shared" si="93"/>
        <v>8.3845744680851084E-2</v>
      </c>
      <c r="AN121" s="211">
        <f t="shared" si="93"/>
        <v>8.3845744680851084E-2</v>
      </c>
    </row>
    <row r="122" spans="2:40" ht="12" hidden="1" customHeight="1" outlineLevel="2">
      <c r="B122" s="245"/>
      <c r="C122" s="213" t="s">
        <v>762</v>
      </c>
      <c r="D122" s="213"/>
      <c r="E122" s="213"/>
      <c r="F122" s="213"/>
      <c r="G122" s="213"/>
      <c r="H122" s="213"/>
      <c r="I122" s="213"/>
      <c r="J122" s="213"/>
      <c r="K122" s="213"/>
      <c r="L122" s="213"/>
      <c r="M122" s="213"/>
      <c r="N122" s="211">
        <f>INDEX($C$44:$AN$66,MATCH("New Customers 1MS",$C$44:$C$66,0),MATCH($C122,$C$44:$AN$44,0))</f>
        <v>1.1820330969267141</v>
      </c>
      <c r="O122" s="211">
        <f t="shared" ref="O122:AN122" si="94">$N$122*(E111)</f>
        <v>0.10090526437179262</v>
      </c>
      <c r="P122" s="211">
        <f t="shared" si="94"/>
        <v>0.4365697152412254</v>
      </c>
      <c r="Q122" s="211">
        <f t="shared" si="94"/>
        <v>0.66721031951960874</v>
      </c>
      <c r="R122" s="211">
        <f t="shared" si="94"/>
        <v>0.80106424164545609</v>
      </c>
      <c r="S122" s="211">
        <f t="shared" si="94"/>
        <v>0.88549517714022141</v>
      </c>
      <c r="T122" s="211">
        <f t="shared" si="94"/>
        <v>0.94109603710018874</v>
      </c>
      <c r="U122" s="211">
        <f t="shared" si="94"/>
        <v>0.97816327707350026</v>
      </c>
      <c r="V122" s="211">
        <f t="shared" si="94"/>
        <v>1.0152305170468119</v>
      </c>
      <c r="W122" s="211">
        <f t="shared" si="94"/>
        <v>1.054357048129752</v>
      </c>
      <c r="X122" s="211">
        <f t="shared" si="94"/>
        <v>1.079068541445293</v>
      </c>
      <c r="Y122" s="211">
        <f t="shared" si="94"/>
        <v>1.0976021614319489</v>
      </c>
      <c r="Z122" s="211">
        <f t="shared" si="94"/>
        <v>1.0996614525415773</v>
      </c>
      <c r="AA122" s="211">
        <f t="shared" si="94"/>
        <v>1.1058393258704624</v>
      </c>
      <c r="AB122" s="211">
        <f t="shared" si="94"/>
        <v>1.1140764903089762</v>
      </c>
      <c r="AC122" s="211">
        <f t="shared" si="94"/>
        <v>1.1161357814186046</v>
      </c>
      <c r="AD122" s="211">
        <f t="shared" si="94"/>
        <v>1.1264322369667468</v>
      </c>
      <c r="AE122" s="211">
        <f t="shared" si="94"/>
        <v>1.1408472747341456</v>
      </c>
      <c r="AF122" s="211">
        <f t="shared" si="94"/>
        <v>1.1552623125015447</v>
      </c>
      <c r="AG122" s="211">
        <f t="shared" si="94"/>
        <v>1.16144018583043</v>
      </c>
      <c r="AH122" s="211">
        <f t="shared" si="94"/>
        <v>1.1634994769400584</v>
      </c>
      <c r="AI122" s="211">
        <f t="shared" si="94"/>
        <v>1.1702127659574471</v>
      </c>
      <c r="AJ122" s="211">
        <f t="shared" si="94"/>
        <v>1.1702127659574471</v>
      </c>
      <c r="AK122" s="211">
        <f t="shared" si="94"/>
        <v>1.1702127659574471</v>
      </c>
      <c r="AL122" s="211">
        <f t="shared" si="94"/>
        <v>1.1702127659574471</v>
      </c>
      <c r="AM122" s="211">
        <f t="shared" si="94"/>
        <v>1.1702127659574471</v>
      </c>
      <c r="AN122" s="211">
        <f t="shared" si="94"/>
        <v>1.1702127659574471</v>
      </c>
    </row>
    <row r="123" spans="2:40" ht="12" hidden="1" customHeight="1" outlineLevel="2">
      <c r="B123" s="245"/>
      <c r="C123" s="213" t="s">
        <v>763</v>
      </c>
      <c r="D123" s="213"/>
      <c r="E123" s="213"/>
      <c r="F123" s="213"/>
      <c r="G123" s="213"/>
      <c r="H123" s="213"/>
      <c r="I123" s="213"/>
      <c r="J123" s="213"/>
      <c r="K123" s="213"/>
      <c r="L123" s="213"/>
      <c r="M123" s="213"/>
      <c r="N123" s="213"/>
      <c r="O123" s="211">
        <f>INDEX($C$44:$AN$66,MATCH("New Customers 1MS",$C$44:$C$66,0),MATCH($C123,$C$44:$AN$44,0))</f>
        <v>1.1820330969267141</v>
      </c>
      <c r="P123" s="211">
        <f t="shared" ref="P123:AN123" si="95">$O$123*(E111)</f>
        <v>0.10090526437179262</v>
      </c>
      <c r="Q123" s="211">
        <f t="shared" si="95"/>
        <v>0.4365697152412254</v>
      </c>
      <c r="R123" s="211">
        <f t="shared" si="95"/>
        <v>0.66721031951960874</v>
      </c>
      <c r="S123" s="211">
        <f t="shared" si="95"/>
        <v>0.80106424164545609</v>
      </c>
      <c r="T123" s="211">
        <f t="shared" si="95"/>
        <v>0.88549517714022141</v>
      </c>
      <c r="U123" s="211">
        <f t="shared" si="95"/>
        <v>0.94109603710018874</v>
      </c>
      <c r="V123" s="211">
        <f t="shared" si="95"/>
        <v>0.97816327707350026</v>
      </c>
      <c r="W123" s="211">
        <f t="shared" si="95"/>
        <v>1.0152305170468119</v>
      </c>
      <c r="X123" s="211">
        <f t="shared" si="95"/>
        <v>1.054357048129752</v>
      </c>
      <c r="Y123" s="211">
        <f t="shared" si="95"/>
        <v>1.079068541445293</v>
      </c>
      <c r="Z123" s="211">
        <f t="shared" si="95"/>
        <v>1.0976021614319489</v>
      </c>
      <c r="AA123" s="211">
        <f t="shared" si="95"/>
        <v>1.0996614525415773</v>
      </c>
      <c r="AB123" s="211">
        <f t="shared" si="95"/>
        <v>1.1058393258704624</v>
      </c>
      <c r="AC123" s="211">
        <f t="shared" si="95"/>
        <v>1.1140764903089762</v>
      </c>
      <c r="AD123" s="211">
        <f t="shared" si="95"/>
        <v>1.1161357814186046</v>
      </c>
      <c r="AE123" s="211">
        <f t="shared" si="95"/>
        <v>1.1264322369667468</v>
      </c>
      <c r="AF123" s="211">
        <f t="shared" si="95"/>
        <v>1.1408472747341456</v>
      </c>
      <c r="AG123" s="211">
        <f t="shared" si="95"/>
        <v>1.1552623125015447</v>
      </c>
      <c r="AH123" s="211">
        <f t="shared" si="95"/>
        <v>1.16144018583043</v>
      </c>
      <c r="AI123" s="211">
        <f t="shared" si="95"/>
        <v>1.1634994769400584</v>
      </c>
      <c r="AJ123" s="211">
        <f t="shared" si="95"/>
        <v>1.1702127659574471</v>
      </c>
      <c r="AK123" s="211">
        <f t="shared" si="95"/>
        <v>1.1702127659574471</v>
      </c>
      <c r="AL123" s="211">
        <f t="shared" si="95"/>
        <v>1.1702127659574471</v>
      </c>
      <c r="AM123" s="211">
        <f t="shared" si="95"/>
        <v>1.1702127659574471</v>
      </c>
      <c r="AN123" s="211">
        <f t="shared" si="95"/>
        <v>1.1702127659574471</v>
      </c>
    </row>
    <row r="124" spans="2:40" ht="12" hidden="1" customHeight="1" outlineLevel="2">
      <c r="B124" s="245"/>
      <c r="C124" s="213" t="s">
        <v>764</v>
      </c>
      <c r="D124" s="213"/>
      <c r="E124" s="213"/>
      <c r="F124" s="213"/>
      <c r="G124" s="213"/>
      <c r="H124" s="213"/>
      <c r="I124" s="213"/>
      <c r="J124" s="213"/>
      <c r="K124" s="213"/>
      <c r="L124" s="213"/>
      <c r="M124" s="213"/>
      <c r="N124" s="213"/>
      <c r="O124" s="213"/>
      <c r="P124" s="211">
        <f>INDEX($C$44:$AN$66,MATCH("New Customers 1MS",$C$44:$C$66,0),MATCH($C124,$C$44:$AN$44,0))</f>
        <v>0.59101654846335705</v>
      </c>
      <c r="Q124" s="211">
        <f t="shared" ref="Q124:AN124" si="96">$P$124*(E111)</f>
        <v>5.0452632185896309E-2</v>
      </c>
      <c r="R124" s="211">
        <f t="shared" si="96"/>
        <v>0.2182848576206127</v>
      </c>
      <c r="S124" s="211">
        <f t="shared" si="96"/>
        <v>0.33360515975980437</v>
      </c>
      <c r="T124" s="211">
        <f t="shared" si="96"/>
        <v>0.40053212082272804</v>
      </c>
      <c r="U124" s="211">
        <f t="shared" si="96"/>
        <v>0.44274758857011071</v>
      </c>
      <c r="V124" s="211">
        <f t="shared" si="96"/>
        <v>0.47054801855009437</v>
      </c>
      <c r="W124" s="211">
        <f t="shared" si="96"/>
        <v>0.48908163853675013</v>
      </c>
      <c r="X124" s="211">
        <f t="shared" si="96"/>
        <v>0.50761525852340594</v>
      </c>
      <c r="Y124" s="211">
        <f t="shared" si="96"/>
        <v>0.52717852406487598</v>
      </c>
      <c r="Z124" s="211">
        <f t="shared" si="96"/>
        <v>0.53953427072264648</v>
      </c>
      <c r="AA124" s="211">
        <f t="shared" si="96"/>
        <v>0.54880108071597444</v>
      </c>
      <c r="AB124" s="211">
        <f t="shared" si="96"/>
        <v>0.54983072627078866</v>
      </c>
      <c r="AC124" s="211">
        <f t="shared" si="96"/>
        <v>0.5529196629352312</v>
      </c>
      <c r="AD124" s="211">
        <f t="shared" si="96"/>
        <v>0.55703824515448808</v>
      </c>
      <c r="AE124" s="211">
        <f t="shared" si="96"/>
        <v>0.55806789070930229</v>
      </c>
      <c r="AF124" s="211">
        <f t="shared" si="96"/>
        <v>0.56321611848337338</v>
      </c>
      <c r="AG124" s="211">
        <f t="shared" si="96"/>
        <v>0.5704236373670728</v>
      </c>
      <c r="AH124" s="211">
        <f t="shared" si="96"/>
        <v>0.57763115625077233</v>
      </c>
      <c r="AI124" s="211">
        <f t="shared" si="96"/>
        <v>0.58072009291521498</v>
      </c>
      <c r="AJ124" s="211">
        <f t="shared" si="96"/>
        <v>0.5817497384700292</v>
      </c>
      <c r="AK124" s="211">
        <f t="shared" si="96"/>
        <v>0.58510638297872353</v>
      </c>
      <c r="AL124" s="211">
        <f t="shared" si="96"/>
        <v>0.58510638297872353</v>
      </c>
      <c r="AM124" s="211">
        <f t="shared" si="96"/>
        <v>0.58510638297872353</v>
      </c>
      <c r="AN124" s="211">
        <f t="shared" si="96"/>
        <v>0.58510638297872353</v>
      </c>
    </row>
    <row r="125" spans="2:40" ht="12" hidden="1" customHeight="1" outlineLevel="2">
      <c r="B125" s="245"/>
      <c r="C125" s="213" t="s">
        <v>765</v>
      </c>
      <c r="D125" s="213"/>
      <c r="E125" s="213"/>
      <c r="F125" s="213"/>
      <c r="G125" s="213"/>
      <c r="H125" s="213"/>
      <c r="I125" s="213"/>
      <c r="J125" s="213"/>
      <c r="K125" s="213"/>
      <c r="L125" s="213"/>
      <c r="M125" s="213"/>
      <c r="N125" s="213"/>
      <c r="O125" s="213"/>
      <c r="P125" s="213"/>
      <c r="Q125" s="211">
        <f>INDEX($C$44:$AN$66,MATCH("New Customers 1MS",$C$44:$C$66,0),MATCH($C125,$C$44:$AN$44,0))</f>
        <v>6.7198581560283702E-2</v>
      </c>
      <c r="R125" s="211">
        <f t="shared" ref="R125:AN125" si="97">$Q$125*(E111)</f>
        <v>5.7364642795364115E-3</v>
      </c>
      <c r="S125" s="211">
        <f t="shared" si="97"/>
        <v>2.4818988311463664E-2</v>
      </c>
      <c r="T125" s="211">
        <f t="shared" si="97"/>
        <v>3.7930906664689755E-2</v>
      </c>
      <c r="U125" s="211">
        <f t="shared" si="97"/>
        <v>4.5540502137544181E-2</v>
      </c>
      <c r="V125" s="211">
        <f t="shared" si="97"/>
        <v>5.0340400820421592E-2</v>
      </c>
      <c r="W125" s="211">
        <f t="shared" si="97"/>
        <v>5.3501309709145732E-2</v>
      </c>
      <c r="X125" s="211">
        <f t="shared" si="97"/>
        <v>5.5608582301628497E-2</v>
      </c>
      <c r="Y125" s="211">
        <f t="shared" si="97"/>
        <v>5.7715854894111261E-2</v>
      </c>
      <c r="Z125" s="211">
        <f t="shared" si="97"/>
        <v>5.9940198186176401E-2</v>
      </c>
      <c r="AA125" s="211">
        <f t="shared" si="97"/>
        <v>6.1345046581164915E-2</v>
      </c>
      <c r="AB125" s="211">
        <f t="shared" si="97"/>
        <v>6.2398682877406297E-2</v>
      </c>
      <c r="AC125" s="211">
        <f t="shared" si="97"/>
        <v>6.2515753576988672E-2</v>
      </c>
      <c r="AD125" s="211">
        <f t="shared" si="97"/>
        <v>6.2866965675735798E-2</v>
      </c>
      <c r="AE125" s="211">
        <f t="shared" si="97"/>
        <v>6.3335248474065298E-2</v>
      </c>
      <c r="AF125" s="211">
        <f t="shared" si="97"/>
        <v>6.3452319173647673E-2</v>
      </c>
      <c r="AG125" s="211">
        <f t="shared" si="97"/>
        <v>6.4037672671559562E-2</v>
      </c>
      <c r="AH125" s="211">
        <f t="shared" si="97"/>
        <v>6.4857167568636187E-2</v>
      </c>
      <c r="AI125" s="211">
        <f t="shared" si="97"/>
        <v>6.5676662465712812E-2</v>
      </c>
      <c r="AJ125" s="211">
        <f t="shared" si="97"/>
        <v>6.6027874564459951E-2</v>
      </c>
      <c r="AK125" s="211">
        <f t="shared" si="97"/>
        <v>6.6144945264042326E-2</v>
      </c>
      <c r="AL125" s="211">
        <f t="shared" si="97"/>
        <v>6.6526595744680866E-2</v>
      </c>
      <c r="AM125" s="211">
        <f t="shared" si="97"/>
        <v>6.6526595744680866E-2</v>
      </c>
      <c r="AN125" s="211">
        <f t="shared" si="97"/>
        <v>6.6526595744680866E-2</v>
      </c>
    </row>
    <row r="126" spans="2:40" ht="12" hidden="1" customHeight="1" outlineLevel="2">
      <c r="B126" s="245"/>
      <c r="C126" s="213" t="s">
        <v>766</v>
      </c>
      <c r="D126" s="213"/>
      <c r="E126" s="213"/>
      <c r="F126" s="213"/>
      <c r="G126" s="213"/>
      <c r="H126" s="213"/>
      <c r="I126" s="213"/>
      <c r="J126" s="213"/>
      <c r="K126" s="213"/>
      <c r="L126" s="213"/>
      <c r="M126" s="213"/>
      <c r="N126" s="213"/>
      <c r="O126" s="213"/>
      <c r="P126" s="213"/>
      <c r="Q126" s="213"/>
      <c r="R126" s="211">
        <f>INDEX($C$44:$AN$66,MATCH("New Customers 1MS",$C$44:$C$66,0),MATCH($C126,$C$44:$AN$44,0))</f>
        <v>1</v>
      </c>
      <c r="S126" s="211">
        <f t="shared" ref="S126:AN126" si="98">$R$126*(E111)</f>
        <v>8.536585365853655E-2</v>
      </c>
      <c r="T126" s="211">
        <f t="shared" si="98"/>
        <v>0.36933797909407662</v>
      </c>
      <c r="U126" s="211">
        <f t="shared" si="98"/>
        <v>0.56445993031358888</v>
      </c>
      <c r="V126" s="211">
        <f t="shared" si="98"/>
        <v>0.67770034843205573</v>
      </c>
      <c r="W126" s="211">
        <f t="shared" si="98"/>
        <v>0.74912891986062724</v>
      </c>
      <c r="X126" s="211">
        <f t="shared" si="98"/>
        <v>0.79616724738675959</v>
      </c>
      <c r="Y126" s="211">
        <f t="shared" si="98"/>
        <v>0.82752613240418116</v>
      </c>
      <c r="Z126" s="211">
        <f t="shared" si="98"/>
        <v>0.85888501742160273</v>
      </c>
      <c r="AA126" s="211">
        <f t="shared" si="98"/>
        <v>0.89198606271777003</v>
      </c>
      <c r="AB126" s="211">
        <f t="shared" si="98"/>
        <v>0.91289198606271782</v>
      </c>
      <c r="AC126" s="211">
        <f t="shared" si="98"/>
        <v>0.9285714285714286</v>
      </c>
      <c r="AD126" s="211">
        <f t="shared" si="98"/>
        <v>0.93031358885017423</v>
      </c>
      <c r="AE126" s="211">
        <f t="shared" si="98"/>
        <v>0.93554006968641112</v>
      </c>
      <c r="AF126" s="211">
        <f t="shared" si="98"/>
        <v>0.94250871080139376</v>
      </c>
      <c r="AG126" s="211">
        <f t="shared" si="98"/>
        <v>0.94425087108013939</v>
      </c>
      <c r="AH126" s="211">
        <f t="shared" si="98"/>
        <v>0.95296167247386765</v>
      </c>
      <c r="AI126" s="211">
        <f t="shared" si="98"/>
        <v>0.96515679442508706</v>
      </c>
      <c r="AJ126" s="211">
        <f t="shared" si="98"/>
        <v>0.97735191637630658</v>
      </c>
      <c r="AK126" s="211">
        <f t="shared" si="98"/>
        <v>0.98257839721254359</v>
      </c>
      <c r="AL126" s="211">
        <f t="shared" si="98"/>
        <v>0.98432055749128922</v>
      </c>
      <c r="AM126" s="211">
        <f t="shared" si="98"/>
        <v>0.99</v>
      </c>
      <c r="AN126" s="211">
        <f t="shared" si="98"/>
        <v>0.99</v>
      </c>
    </row>
    <row r="127" spans="2:40" ht="12" hidden="1" customHeight="1" outlineLevel="2">
      <c r="B127" s="245"/>
      <c r="C127" s="213" t="s">
        <v>767</v>
      </c>
      <c r="D127" s="213"/>
      <c r="E127" s="213"/>
      <c r="F127" s="213"/>
      <c r="G127" s="213"/>
      <c r="H127" s="213"/>
      <c r="I127" s="213"/>
      <c r="J127" s="213"/>
      <c r="K127" s="213"/>
      <c r="L127" s="213"/>
      <c r="M127" s="213"/>
      <c r="N127" s="213"/>
      <c r="O127" s="213"/>
      <c r="P127" s="213"/>
      <c r="Q127" s="213"/>
      <c r="R127" s="213"/>
      <c r="S127" s="211">
        <f>INDEX($C$44:$AN$66,MATCH("New Customers 1MS",$C$44:$C$66,0),MATCH($C127,$C$44:$AN$44,0))</f>
        <v>1.0239361702127661</v>
      </c>
      <c r="T127" s="211">
        <f t="shared" ref="T127:AN127" si="99">$S$127*(E111)</f>
        <v>8.7409185262065356E-2</v>
      </c>
      <c r="U127" s="211">
        <f t="shared" si="99"/>
        <v>0.37817851582771145</v>
      </c>
      <c r="V127" s="211">
        <f t="shared" si="99"/>
        <v>0.57797093928386101</v>
      </c>
      <c r="W127" s="211">
        <f t="shared" si="99"/>
        <v>0.69392189932537629</v>
      </c>
      <c r="X127" s="211">
        <f t="shared" si="99"/>
        <v>0.76706019719771679</v>
      </c>
      <c r="Y127" s="211">
        <f t="shared" si="99"/>
        <v>0.81522444213803846</v>
      </c>
      <c r="Z127" s="211">
        <f t="shared" si="99"/>
        <v>0.84733393876491958</v>
      </c>
      <c r="AA127" s="211">
        <f t="shared" si="99"/>
        <v>0.8794434353918007</v>
      </c>
      <c r="AB127" s="211">
        <f t="shared" si="99"/>
        <v>0.91333679294239756</v>
      </c>
      <c r="AC127" s="211">
        <f t="shared" si="99"/>
        <v>0.93474312402698512</v>
      </c>
      <c r="AD127" s="211">
        <f t="shared" si="99"/>
        <v>0.95079787234042568</v>
      </c>
      <c r="AE127" s="211">
        <f t="shared" si="99"/>
        <v>0.95258173326414131</v>
      </c>
      <c r="AF127" s="211">
        <f t="shared" si="99"/>
        <v>0.95793331603528808</v>
      </c>
      <c r="AG127" s="211">
        <f t="shared" si="99"/>
        <v>0.9650687597301506</v>
      </c>
      <c r="AH127" s="211">
        <f t="shared" si="99"/>
        <v>0.96685262065386623</v>
      </c>
      <c r="AI127" s="211">
        <f t="shared" si="99"/>
        <v>0.97577192527244438</v>
      </c>
      <c r="AJ127" s="211">
        <f t="shared" si="99"/>
        <v>0.98825895173845357</v>
      </c>
      <c r="AK127" s="211">
        <f t="shared" si="99"/>
        <v>1.000745978204463</v>
      </c>
      <c r="AL127" s="211">
        <f t="shared" si="99"/>
        <v>1.00609756097561</v>
      </c>
      <c r="AM127" s="211">
        <f t="shared" si="99"/>
        <v>1.0078814218993255</v>
      </c>
      <c r="AN127" s="211">
        <f t="shared" si="99"/>
        <v>1.0136968085106384</v>
      </c>
    </row>
    <row r="128" spans="2:40" ht="12" hidden="1" customHeight="1" outlineLevel="2">
      <c r="B128" s="245"/>
      <c r="C128" s="213" t="s">
        <v>768</v>
      </c>
      <c r="D128" s="213"/>
      <c r="E128" s="213"/>
      <c r="F128" s="213"/>
      <c r="G128" s="213"/>
      <c r="H128" s="213"/>
      <c r="I128" s="213"/>
      <c r="J128" s="213"/>
      <c r="K128" s="213"/>
      <c r="L128" s="213"/>
      <c r="M128" s="213"/>
      <c r="N128" s="213"/>
      <c r="O128" s="213"/>
      <c r="P128" s="213"/>
      <c r="Q128" s="213"/>
      <c r="R128" s="213"/>
      <c r="S128" s="213"/>
      <c r="T128" s="211">
        <f>INDEX($C$44:$AN$66,MATCH("New Customers 1MS",$C$44:$C$66,0),MATCH($C128,$C$44:$AN$44,0))</f>
        <v>0.60489361702127675</v>
      </c>
      <c r="U128" s="211">
        <f t="shared" ref="U128:AN128" si="100">$T$128*(E111)</f>
        <v>5.1637259989621168E-2</v>
      </c>
      <c r="V128" s="211">
        <f t="shared" si="100"/>
        <v>0.2234101860775447</v>
      </c>
      <c r="W128" s="211">
        <f t="shared" si="100"/>
        <v>0.3414382089109646</v>
      </c>
      <c r="X128" s="211">
        <f t="shared" si="100"/>
        <v>0.40993661501964573</v>
      </c>
      <c r="Y128" s="211">
        <f t="shared" si="100"/>
        <v>0.45314330194973695</v>
      </c>
      <c r="Z128" s="211">
        <f t="shared" si="100"/>
        <v>0.48159648602565064</v>
      </c>
      <c r="AA128" s="211">
        <f t="shared" si="100"/>
        <v>0.50056527540959317</v>
      </c>
      <c r="AB128" s="211">
        <f t="shared" si="100"/>
        <v>0.51953406479353559</v>
      </c>
      <c r="AC128" s="211">
        <f t="shared" si="100"/>
        <v>0.53955667580991928</v>
      </c>
      <c r="AD128" s="211">
        <f t="shared" si="100"/>
        <v>0.55220253539921438</v>
      </c>
      <c r="AE128" s="211">
        <f t="shared" si="100"/>
        <v>0.56168693009118553</v>
      </c>
      <c r="AF128" s="211">
        <f t="shared" si="100"/>
        <v>0.56274075172362681</v>
      </c>
      <c r="AG128" s="211">
        <f t="shared" si="100"/>
        <v>0.56590221662095053</v>
      </c>
      <c r="AH128" s="211">
        <f t="shared" si="100"/>
        <v>0.57011750315071552</v>
      </c>
      <c r="AI128" s="211">
        <f t="shared" si="100"/>
        <v>0.5711713247831568</v>
      </c>
      <c r="AJ128" s="211">
        <f t="shared" si="100"/>
        <v>0.57644043294536307</v>
      </c>
      <c r="AK128" s="211">
        <f t="shared" si="100"/>
        <v>0.58381718437245178</v>
      </c>
      <c r="AL128" s="211">
        <f t="shared" si="100"/>
        <v>0.59119393579954049</v>
      </c>
      <c r="AM128" s="211">
        <f t="shared" si="100"/>
        <v>0.59435540069686432</v>
      </c>
      <c r="AN128" s="211">
        <f t="shared" si="100"/>
        <v>0.59540922232930549</v>
      </c>
    </row>
    <row r="129" spans="2:40" ht="12" hidden="1" customHeight="1" outlineLevel="2">
      <c r="B129" s="245"/>
      <c r="C129" s="213" t="s">
        <v>769</v>
      </c>
      <c r="D129" s="213"/>
      <c r="E129" s="213"/>
      <c r="F129" s="213"/>
      <c r="G129" s="213"/>
      <c r="H129" s="213"/>
      <c r="I129" s="213"/>
      <c r="J129" s="213"/>
      <c r="K129" s="213"/>
      <c r="L129" s="213"/>
      <c r="M129" s="213"/>
      <c r="N129" s="213"/>
      <c r="O129" s="213"/>
      <c r="P129" s="213"/>
      <c r="Q129" s="213"/>
      <c r="R129" s="213"/>
      <c r="S129" s="213"/>
      <c r="T129" s="213"/>
      <c r="U129" s="211">
        <f>INDEX($C$44:$AN$66,MATCH("New Customers 1MS",$C$44:$C$66,0),MATCH($C129,$C$44:$AN$44,0))</f>
        <v>0.61592198581560298</v>
      </c>
      <c r="V129" s="211">
        <f t="shared" ref="V129:AN129" si="101">$U$129*(E111)</f>
        <v>5.2578706106209988E-2</v>
      </c>
      <c r="W129" s="211">
        <f t="shared" si="101"/>
        <v>0.22748338152074532</v>
      </c>
      <c r="X129" s="211">
        <f t="shared" si="101"/>
        <v>0.34766328119208251</v>
      </c>
      <c r="Y129" s="211">
        <f t="shared" si="101"/>
        <v>0.41741054439419784</v>
      </c>
      <c r="Z129" s="211">
        <f t="shared" si="101"/>
        <v>0.46140497195245522</v>
      </c>
      <c r="AA129" s="211">
        <f t="shared" si="101"/>
        <v>0.4903769120517954</v>
      </c>
      <c r="AB129" s="211">
        <f t="shared" si="101"/>
        <v>0.50969153878468887</v>
      </c>
      <c r="AC129" s="211">
        <f t="shared" si="101"/>
        <v>0.52900616551758228</v>
      </c>
      <c r="AD129" s="211">
        <f t="shared" si="101"/>
        <v>0.54939382706896989</v>
      </c>
      <c r="AE129" s="211">
        <f t="shared" si="101"/>
        <v>0.56227024489089894</v>
      </c>
      <c r="AF129" s="211">
        <f t="shared" si="101"/>
        <v>0.57192755825734565</v>
      </c>
      <c r="AG129" s="211">
        <f t="shared" si="101"/>
        <v>0.57300059307583973</v>
      </c>
      <c r="AH129" s="211">
        <f t="shared" si="101"/>
        <v>0.57621969753132196</v>
      </c>
      <c r="AI129" s="211">
        <f t="shared" si="101"/>
        <v>0.58051183680529828</v>
      </c>
      <c r="AJ129" s="211">
        <f t="shared" si="101"/>
        <v>0.58158487162379235</v>
      </c>
      <c r="AK129" s="211">
        <f t="shared" si="101"/>
        <v>0.58695004571626275</v>
      </c>
      <c r="AL129" s="211">
        <f t="shared" si="101"/>
        <v>0.5944612894457213</v>
      </c>
      <c r="AM129" s="211">
        <f t="shared" si="101"/>
        <v>0.60197253317517985</v>
      </c>
      <c r="AN129" s="211">
        <f t="shared" si="101"/>
        <v>0.60519163763066219</v>
      </c>
    </row>
    <row r="130" spans="2:40" ht="12" hidden="1" customHeight="1" outlineLevel="2">
      <c r="B130" s="245"/>
      <c r="C130" s="213" t="s">
        <v>770</v>
      </c>
      <c r="D130" s="213"/>
      <c r="E130" s="213"/>
      <c r="F130" s="213"/>
      <c r="G130" s="213"/>
      <c r="H130" s="213"/>
      <c r="I130" s="213"/>
      <c r="J130" s="213"/>
      <c r="K130" s="213"/>
      <c r="L130" s="213"/>
      <c r="M130" s="213"/>
      <c r="N130" s="213"/>
      <c r="O130" s="213"/>
      <c r="P130" s="213"/>
      <c r="Q130" s="213"/>
      <c r="R130" s="213"/>
      <c r="S130" s="213"/>
      <c r="T130" s="213"/>
      <c r="U130" s="213"/>
      <c r="V130" s="211">
        <f>INDEX($C$44:$AN$66,MATCH("New Customers 1MS",$C$44:$C$66,0),MATCH($C130,$C$44:$AN$44,0))</f>
        <v>0.72787234042553195</v>
      </c>
      <c r="W130" s="211">
        <f t="shared" ref="W130:AN130" si="102">$V$130*(E111)</f>
        <v>6.2135443694862458E-2</v>
      </c>
      <c r="X130" s="211">
        <f t="shared" si="102"/>
        <v>0.26883089925124176</v>
      </c>
      <c r="Y130" s="211">
        <f t="shared" si="102"/>
        <v>0.41085477055378461</v>
      </c>
      <c r="Z130" s="211">
        <f t="shared" si="102"/>
        <v>0.49327933872043889</v>
      </c>
      <c r="AA130" s="211">
        <f t="shared" si="102"/>
        <v>0.54527022017940552</v>
      </c>
      <c r="AB130" s="211">
        <f t="shared" si="102"/>
        <v>0.57950811772555422</v>
      </c>
      <c r="AC130" s="211">
        <f t="shared" si="102"/>
        <v>0.60233338275631998</v>
      </c>
      <c r="AD130" s="211">
        <f t="shared" si="102"/>
        <v>0.62515864778708574</v>
      </c>
      <c r="AE130" s="211">
        <f t="shared" si="102"/>
        <v>0.64925198309733856</v>
      </c>
      <c r="AF130" s="211">
        <f t="shared" si="102"/>
        <v>0.66446882645118255</v>
      </c>
      <c r="AG130" s="211">
        <f t="shared" si="102"/>
        <v>0.67588145896656537</v>
      </c>
      <c r="AH130" s="211">
        <f t="shared" si="102"/>
        <v>0.67714952924605243</v>
      </c>
      <c r="AI130" s="211">
        <f t="shared" si="102"/>
        <v>0.68095374008451337</v>
      </c>
      <c r="AJ130" s="211">
        <f t="shared" si="102"/>
        <v>0.68602602120246137</v>
      </c>
      <c r="AK130" s="211">
        <f t="shared" si="102"/>
        <v>0.68729409148194831</v>
      </c>
      <c r="AL130" s="211">
        <f t="shared" si="102"/>
        <v>0.69363444287938325</v>
      </c>
      <c r="AM130" s="211">
        <f t="shared" si="102"/>
        <v>0.70251093483579208</v>
      </c>
      <c r="AN130" s="211">
        <f t="shared" si="102"/>
        <v>0.71138742679220102</v>
      </c>
    </row>
    <row r="131" spans="2:40" ht="12" hidden="1" customHeight="1" outlineLevel="2">
      <c r="B131" s="245"/>
      <c r="C131" s="213" t="s">
        <v>771</v>
      </c>
      <c r="D131" s="213"/>
      <c r="E131" s="213"/>
      <c r="F131" s="213"/>
      <c r="G131" s="213"/>
      <c r="H131" s="213"/>
      <c r="I131" s="213"/>
      <c r="J131" s="213"/>
      <c r="K131" s="213"/>
      <c r="L131" s="213"/>
      <c r="M131" s="213"/>
      <c r="N131" s="213"/>
      <c r="O131" s="213"/>
      <c r="P131" s="213"/>
      <c r="Q131" s="213"/>
      <c r="R131" s="213"/>
      <c r="S131" s="213"/>
      <c r="T131" s="213"/>
      <c r="U131" s="213"/>
      <c r="V131" s="213"/>
      <c r="W131" s="211">
        <f>INDEX($C$44:$AN$66,MATCH("New Customers 1MS",$C$44:$C$66,0),MATCH($C131,$C$44:$AN$44,0))</f>
        <v>1.0263829787234044</v>
      </c>
      <c r="X131" s="211">
        <f t="shared" ref="X131:AN131" si="103">$W$131*(E111)</f>
        <v>8.7618059159314976E-2</v>
      </c>
      <c r="Y131" s="211">
        <f t="shared" si="103"/>
        <v>0.37908221513826085</v>
      </c>
      <c r="Z131" s="211">
        <f t="shared" si="103"/>
        <v>0.57935206464526667</v>
      </c>
      <c r="AA131" s="211">
        <f t="shared" si="103"/>
        <v>0.69558010230558243</v>
      </c>
      <c r="AB131" s="211">
        <f t="shared" si="103"/>
        <v>0.76889317221439712</v>
      </c>
      <c r="AC131" s="211">
        <f t="shared" si="103"/>
        <v>0.817172510934836</v>
      </c>
      <c r="AD131" s="211">
        <f t="shared" si="103"/>
        <v>0.84935873674846185</v>
      </c>
      <c r="AE131" s="211">
        <f t="shared" si="103"/>
        <v>0.8815449625620877</v>
      </c>
      <c r="AF131" s="211">
        <f t="shared" si="103"/>
        <v>0.9155193120320263</v>
      </c>
      <c r="AG131" s="211">
        <f t="shared" si="103"/>
        <v>0.93697679590777694</v>
      </c>
      <c r="AH131" s="211">
        <f t="shared" si="103"/>
        <v>0.95306990881458986</v>
      </c>
      <c r="AI131" s="211">
        <f t="shared" si="103"/>
        <v>0.9548580324709024</v>
      </c>
      <c r="AJ131" s="211">
        <f t="shared" si="103"/>
        <v>0.96022240343984</v>
      </c>
      <c r="AK131" s="211">
        <f t="shared" si="103"/>
        <v>0.96737489806509025</v>
      </c>
      <c r="AL131" s="211">
        <f t="shared" si="103"/>
        <v>0.96916302172140278</v>
      </c>
      <c r="AM131" s="211">
        <f t="shared" si="103"/>
        <v>0.97810364000296557</v>
      </c>
      <c r="AN131" s="211">
        <f t="shared" si="103"/>
        <v>0.99062050559715342</v>
      </c>
    </row>
    <row r="132" spans="2:40" ht="12" hidden="1" customHeight="1" outlineLevel="2">
      <c r="B132" s="245"/>
      <c r="C132" s="213" t="s">
        <v>772</v>
      </c>
      <c r="D132" s="213"/>
      <c r="E132" s="213"/>
      <c r="F132" s="213"/>
      <c r="G132" s="213"/>
      <c r="H132" s="213"/>
      <c r="I132" s="213"/>
      <c r="J132" s="213"/>
      <c r="K132" s="213"/>
      <c r="L132" s="213"/>
      <c r="M132" s="213"/>
      <c r="N132" s="213"/>
      <c r="O132" s="213"/>
      <c r="P132" s="213"/>
      <c r="Q132" s="213"/>
      <c r="R132" s="213"/>
      <c r="S132" s="213"/>
      <c r="T132" s="213"/>
      <c r="U132" s="213"/>
      <c r="V132" s="213"/>
      <c r="W132" s="213"/>
      <c r="X132" s="211">
        <f>INDEX($C$44:$AN$66,MATCH("New Customers 1MS",$C$44:$C$66,0),MATCH($C132,$C$44:$AN$44,0))</f>
        <v>0.60978723404255319</v>
      </c>
      <c r="Y132" s="211">
        <f t="shared" ref="Y132:AN132" si="104">$X$132*(E111)</f>
        <v>5.2055007784120373E-2</v>
      </c>
      <c r="Z132" s="211">
        <f t="shared" si="104"/>
        <v>0.22521758469864331</v>
      </c>
      <c r="AA132" s="211">
        <f t="shared" si="104"/>
        <v>0.34420045963377571</v>
      </c>
      <c r="AB132" s="211">
        <f t="shared" si="104"/>
        <v>0.41325302098005784</v>
      </c>
      <c r="AC132" s="211">
        <f t="shared" si="104"/>
        <v>0.45680925198309735</v>
      </c>
      <c r="AD132" s="211">
        <f t="shared" si="104"/>
        <v>0.48549262361924533</v>
      </c>
      <c r="AE132" s="211">
        <f t="shared" si="104"/>
        <v>0.50461487137667727</v>
      </c>
      <c r="AF132" s="211">
        <f t="shared" si="104"/>
        <v>0.52373711913410925</v>
      </c>
      <c r="AG132" s="211">
        <f t="shared" si="104"/>
        <v>0.54392171398917633</v>
      </c>
      <c r="AH132" s="211">
        <f t="shared" si="104"/>
        <v>0.55666987916079769</v>
      </c>
      <c r="AI132" s="211">
        <f t="shared" si="104"/>
        <v>0.56623100303951368</v>
      </c>
      <c r="AJ132" s="211">
        <f t="shared" si="104"/>
        <v>0.56729335013714877</v>
      </c>
      <c r="AK132" s="211">
        <f t="shared" si="104"/>
        <v>0.57048039143005413</v>
      </c>
      <c r="AL132" s="211">
        <f t="shared" si="104"/>
        <v>0.57472977982059459</v>
      </c>
      <c r="AM132" s="211">
        <f t="shared" si="104"/>
        <v>0.57579212691822967</v>
      </c>
      <c r="AN132" s="211">
        <f t="shared" si="104"/>
        <v>0.58110386240640521</v>
      </c>
    </row>
    <row r="133" spans="2:40" ht="12" hidden="1" customHeight="1" outlineLevel="2">
      <c r="B133" s="245"/>
      <c r="C133" s="213" t="s">
        <v>773</v>
      </c>
      <c r="D133" s="213"/>
      <c r="E133" s="213"/>
      <c r="F133" s="213"/>
      <c r="G133" s="213"/>
      <c r="H133" s="213"/>
      <c r="I133" s="213"/>
      <c r="J133" s="213"/>
      <c r="K133" s="213"/>
      <c r="L133" s="213"/>
      <c r="M133" s="213"/>
      <c r="N133" s="213"/>
      <c r="O133" s="213"/>
      <c r="P133" s="213"/>
      <c r="Q133" s="213"/>
      <c r="R133" s="213"/>
      <c r="S133" s="213"/>
      <c r="T133" s="213"/>
      <c r="U133" s="213"/>
      <c r="V133" s="213"/>
      <c r="W133" s="213"/>
      <c r="X133" s="213"/>
      <c r="Y133" s="211">
        <f>INDEX($C$44:$AN$66,MATCH("New Customers 1MS",$C$44:$C$66,0),MATCH($C133,$C$44:$AN$44,0))</f>
        <v>2.0326241134751775</v>
      </c>
      <c r="Z133" s="211">
        <f t="shared" ref="Z133:AN133" si="105">$Y$133*(E111)</f>
        <v>0.17351669261373459</v>
      </c>
      <c r="AA133" s="211">
        <f t="shared" si="105"/>
        <v>0.75072528232881108</v>
      </c>
      <c r="AB133" s="211">
        <f t="shared" si="105"/>
        <v>1.147334865445919</v>
      </c>
      <c r="AC133" s="211">
        <f t="shared" si="105"/>
        <v>1.3775100699335261</v>
      </c>
      <c r="AD133" s="211">
        <f t="shared" si="105"/>
        <v>1.5226975066103248</v>
      </c>
      <c r="AE133" s="211">
        <f t="shared" si="105"/>
        <v>1.6183087453974845</v>
      </c>
      <c r="AF133" s="211">
        <f t="shared" si="105"/>
        <v>1.682049571255591</v>
      </c>
      <c r="AG133" s="211">
        <f t="shared" si="105"/>
        <v>1.7457903971136977</v>
      </c>
      <c r="AH133" s="211">
        <f t="shared" si="105"/>
        <v>1.8130723799639215</v>
      </c>
      <c r="AI133" s="211">
        <f t="shared" si="105"/>
        <v>1.8555662638693258</v>
      </c>
      <c r="AJ133" s="211">
        <f t="shared" si="105"/>
        <v>1.8874366767983792</v>
      </c>
      <c r="AK133" s="211">
        <f t="shared" si="105"/>
        <v>1.8909778337904961</v>
      </c>
      <c r="AL133" s="211">
        <f t="shared" si="105"/>
        <v>1.9016013047668472</v>
      </c>
      <c r="AM133" s="211">
        <f t="shared" si="105"/>
        <v>1.9157659327353154</v>
      </c>
      <c r="AN133" s="211">
        <f t="shared" si="105"/>
        <v>1.9193070897274325</v>
      </c>
    </row>
    <row r="134" spans="2:40" ht="12" hidden="1" customHeight="1" outlineLevel="2">
      <c r="B134" s="245"/>
      <c r="C134" s="213" t="s">
        <v>774</v>
      </c>
      <c r="D134" s="213"/>
      <c r="E134" s="213"/>
      <c r="F134" s="213"/>
      <c r="G134" s="213"/>
      <c r="H134" s="213"/>
      <c r="I134" s="213"/>
      <c r="J134" s="213"/>
      <c r="K134" s="213"/>
      <c r="L134" s="213"/>
      <c r="M134" s="213"/>
      <c r="N134" s="213"/>
      <c r="O134" s="213"/>
      <c r="P134" s="213"/>
      <c r="Q134" s="213"/>
      <c r="R134" s="213"/>
      <c r="S134" s="213"/>
      <c r="T134" s="213"/>
      <c r="U134" s="213"/>
      <c r="V134" s="213"/>
      <c r="W134" s="213"/>
      <c r="X134" s="213"/>
      <c r="Y134" s="213"/>
      <c r="Z134" s="211">
        <f>INDEX($C$44:$AN$66,MATCH("New Customers 1MS",$C$44:$C$66,0),MATCH($C134,$C$44:$AN$44,0))</f>
        <v>3.5460992907801421</v>
      </c>
      <c r="AA134" s="211">
        <f t="shared" ref="AA134:AN134" si="106">$Z$134*(E111)</f>
        <v>0.30271579311537788</v>
      </c>
      <c r="AB134" s="211">
        <f t="shared" si="106"/>
        <v>1.309709145723676</v>
      </c>
      <c r="AC134" s="211">
        <f t="shared" si="106"/>
        <v>2.0016309585588261</v>
      </c>
      <c r="AD134" s="211">
        <f t="shared" si="106"/>
        <v>2.403192724936368</v>
      </c>
      <c r="AE134" s="211">
        <f t="shared" si="106"/>
        <v>2.6564855314206643</v>
      </c>
      <c r="AF134" s="211">
        <f t="shared" si="106"/>
        <v>2.8232881113005659</v>
      </c>
      <c r="AG134" s="211">
        <f t="shared" si="106"/>
        <v>2.9344898312205006</v>
      </c>
      <c r="AH134" s="211">
        <f t="shared" si="106"/>
        <v>3.0456915511404352</v>
      </c>
      <c r="AI134" s="211">
        <f t="shared" si="106"/>
        <v>3.1630711443892556</v>
      </c>
      <c r="AJ134" s="211">
        <f t="shared" si="106"/>
        <v>3.2372056243358789</v>
      </c>
      <c r="AK134" s="211">
        <f t="shared" si="106"/>
        <v>3.2928064842958462</v>
      </c>
      <c r="AL134" s="211">
        <f t="shared" si="106"/>
        <v>3.2989843576247315</v>
      </c>
      <c r="AM134" s="211">
        <f t="shared" si="106"/>
        <v>3.317517977611387</v>
      </c>
      <c r="AN134" s="211">
        <f t="shared" si="106"/>
        <v>3.3422294709269282</v>
      </c>
    </row>
    <row r="135" spans="2:40" ht="12" hidden="1" customHeight="1" outlineLevel="2">
      <c r="B135" s="245"/>
      <c r="C135" s="213" t="s">
        <v>775</v>
      </c>
      <c r="D135" s="213"/>
      <c r="E135" s="213"/>
      <c r="F135" s="213"/>
      <c r="G135" s="213"/>
      <c r="H135" s="213"/>
      <c r="I135" s="213"/>
      <c r="J135" s="213"/>
      <c r="K135" s="213"/>
      <c r="L135" s="213"/>
      <c r="M135" s="213"/>
      <c r="N135" s="213"/>
      <c r="O135" s="213"/>
      <c r="P135" s="213"/>
      <c r="Q135" s="213"/>
      <c r="R135" s="213"/>
      <c r="S135" s="213"/>
      <c r="T135" s="213"/>
      <c r="U135" s="213"/>
      <c r="V135" s="213"/>
      <c r="W135" s="213"/>
      <c r="X135" s="213"/>
      <c r="Y135" s="213"/>
      <c r="Z135" s="213"/>
      <c r="AA135" s="211">
        <f>INDEX($C$44:$AN$66,MATCH("New Customers 1MS",$C$44:$C$66,0),MATCH($C135,$C$44:$AN$44,0))</f>
        <v>2.1276595744680855</v>
      </c>
      <c r="AB135" s="211">
        <f t="shared" ref="AB135:AN135" si="107">$AA$135*(E111)</f>
        <v>0.18162947586922673</v>
      </c>
      <c r="AC135" s="211">
        <f t="shared" si="107"/>
        <v>0.78582548743420577</v>
      </c>
      <c r="AD135" s="211">
        <f t="shared" si="107"/>
        <v>1.2009785751352957</v>
      </c>
      <c r="AE135" s="211">
        <f t="shared" si="107"/>
        <v>1.441915634961821</v>
      </c>
      <c r="AF135" s="211">
        <f t="shared" si="107"/>
        <v>1.5938913188523987</v>
      </c>
      <c r="AG135" s="211">
        <f t="shared" si="107"/>
        <v>1.69397286678034</v>
      </c>
      <c r="AH135" s="211">
        <f t="shared" si="107"/>
        <v>1.7606938987323006</v>
      </c>
      <c r="AI135" s="211">
        <f t="shared" si="107"/>
        <v>1.8274149306842615</v>
      </c>
      <c r="AJ135" s="211">
        <f t="shared" si="107"/>
        <v>1.8978426866335536</v>
      </c>
      <c r="AK135" s="211">
        <f t="shared" si="107"/>
        <v>1.9423233746015276</v>
      </c>
      <c r="AL135" s="211">
        <f t="shared" si="107"/>
        <v>1.975683890577508</v>
      </c>
      <c r="AM135" s="211">
        <f t="shared" si="107"/>
        <v>1.9793906145748392</v>
      </c>
      <c r="AN135" s="211">
        <f t="shared" si="107"/>
        <v>1.9905107865668326</v>
      </c>
    </row>
    <row r="136" spans="2:40" ht="12" hidden="1" customHeight="1" outlineLevel="2">
      <c r="B136" s="245"/>
      <c r="C136" s="213" t="s">
        <v>776</v>
      </c>
      <c r="D136" s="213"/>
      <c r="E136" s="213"/>
      <c r="F136" s="213"/>
      <c r="G136" s="213"/>
      <c r="H136" s="213"/>
      <c r="I136" s="213"/>
      <c r="J136" s="213"/>
      <c r="K136" s="213"/>
      <c r="L136" s="213"/>
      <c r="M136" s="213"/>
      <c r="N136" s="213"/>
      <c r="O136" s="213"/>
      <c r="P136" s="213"/>
      <c r="Q136" s="213"/>
      <c r="R136" s="213"/>
      <c r="S136" s="213"/>
      <c r="T136" s="213"/>
      <c r="U136" s="213"/>
      <c r="V136" s="213"/>
      <c r="W136" s="213"/>
      <c r="X136" s="213"/>
      <c r="Y136" s="213"/>
      <c r="Z136" s="213"/>
      <c r="AA136" s="213"/>
      <c r="AB136" s="211">
        <f>INDEX($C$44:$AN$66,MATCH("New Customers 1MS",$C$44:$C$66,0),MATCH($C136,$C$44:$AN$44,0))</f>
        <v>1.418439716312057</v>
      </c>
      <c r="AC136" s="211">
        <f t="shared" ref="AC136:AN136" si="108">$AB$136*(E111)</f>
        <v>0.12108631724615115</v>
      </c>
      <c r="AD136" s="211">
        <f t="shared" si="108"/>
        <v>0.52388365828947048</v>
      </c>
      <c r="AE136" s="211">
        <f t="shared" si="108"/>
        <v>0.80065238342353051</v>
      </c>
      <c r="AF136" s="211">
        <f t="shared" si="108"/>
        <v>0.96127708997454731</v>
      </c>
      <c r="AG136" s="211">
        <f t="shared" si="108"/>
        <v>1.0625942125682657</v>
      </c>
      <c r="AH136" s="211">
        <f t="shared" si="108"/>
        <v>1.1293152445202266</v>
      </c>
      <c r="AI136" s="211">
        <f t="shared" si="108"/>
        <v>1.1737959324882004</v>
      </c>
      <c r="AJ136" s="211">
        <f t="shared" si="108"/>
        <v>1.2182766204561744</v>
      </c>
      <c r="AK136" s="211">
        <f t="shared" si="108"/>
        <v>1.2652284577557025</v>
      </c>
      <c r="AL136" s="211">
        <f t="shared" si="108"/>
        <v>1.2948822497343517</v>
      </c>
      <c r="AM136" s="211">
        <f t="shared" si="108"/>
        <v>1.3171225937183386</v>
      </c>
      <c r="AN136" s="211">
        <f t="shared" si="108"/>
        <v>1.3195937430498927</v>
      </c>
    </row>
    <row r="137" spans="2:40" ht="12" hidden="1" customHeight="1" outlineLevel="2">
      <c r="B137" s="245"/>
      <c r="C137" s="213" t="s">
        <v>777</v>
      </c>
      <c r="D137" s="213"/>
      <c r="E137" s="213"/>
      <c r="F137" s="213"/>
      <c r="G137" s="213"/>
      <c r="H137" s="213"/>
      <c r="I137" s="213"/>
      <c r="J137" s="213"/>
      <c r="K137" s="213"/>
      <c r="L137" s="213"/>
      <c r="M137" s="213"/>
      <c r="N137" s="213"/>
      <c r="O137" s="213"/>
      <c r="P137" s="213"/>
      <c r="Q137" s="213"/>
      <c r="R137" s="213"/>
      <c r="S137" s="213"/>
      <c r="T137" s="213"/>
      <c r="U137" s="213"/>
      <c r="V137" s="213"/>
      <c r="W137" s="213"/>
      <c r="X137" s="213"/>
      <c r="Y137" s="213"/>
      <c r="Z137" s="213"/>
      <c r="AA137" s="213"/>
      <c r="AB137" s="211"/>
      <c r="AC137" s="211">
        <f>INDEX($C$44:$AN$66,MATCH("New Customers 1MS",$C$44:$C$66,0),MATCH($C137,$C$44:$AN$44,0))</f>
        <v>0.24113475177304969</v>
      </c>
      <c r="AD137" s="211">
        <f t="shared" ref="AD137:AN137" si="109">$AC$137*(E111)</f>
        <v>2.0584673931845696E-2</v>
      </c>
      <c r="AE137" s="211">
        <f t="shared" si="109"/>
        <v>8.906022190920998E-2</v>
      </c>
      <c r="AF137" s="211">
        <f t="shared" si="109"/>
        <v>0.13611090518200017</v>
      </c>
      <c r="AG137" s="211">
        <f t="shared" si="109"/>
        <v>0.16341710529567305</v>
      </c>
      <c r="AH137" s="211">
        <f t="shared" si="109"/>
        <v>0.18064101613660519</v>
      </c>
      <c r="AI137" s="211">
        <f t="shared" si="109"/>
        <v>0.19198359156843853</v>
      </c>
      <c r="AJ137" s="211">
        <f t="shared" si="109"/>
        <v>0.19954530852299407</v>
      </c>
      <c r="AK137" s="211">
        <f t="shared" si="109"/>
        <v>0.20710702547754964</v>
      </c>
      <c r="AL137" s="211">
        <f t="shared" si="109"/>
        <v>0.21508883781846941</v>
      </c>
      <c r="AM137" s="211">
        <f t="shared" si="109"/>
        <v>0.22012998245483981</v>
      </c>
      <c r="AN137" s="211">
        <f t="shared" si="109"/>
        <v>0.22391084093211758</v>
      </c>
    </row>
    <row r="138" spans="2:40" ht="12" hidden="1" customHeight="1" outlineLevel="2">
      <c r="B138" s="245"/>
      <c r="C138" s="213" t="s">
        <v>778</v>
      </c>
      <c r="D138" s="213"/>
      <c r="E138" s="213"/>
      <c r="F138" s="213"/>
      <c r="G138" s="213"/>
      <c r="H138" s="213"/>
      <c r="I138" s="213"/>
      <c r="J138" s="213"/>
      <c r="K138" s="213"/>
      <c r="L138" s="213"/>
      <c r="M138" s="213"/>
      <c r="N138" s="213"/>
      <c r="O138" s="213"/>
      <c r="P138" s="213"/>
      <c r="Q138" s="213"/>
      <c r="R138" s="213"/>
      <c r="S138" s="213"/>
      <c r="T138" s="213"/>
      <c r="U138" s="213"/>
      <c r="V138" s="213"/>
      <c r="W138" s="213"/>
      <c r="X138" s="213"/>
      <c r="Y138" s="213"/>
      <c r="Z138" s="213"/>
      <c r="AA138" s="213"/>
      <c r="AB138" s="211"/>
      <c r="AC138" s="211"/>
      <c r="AD138" s="211">
        <f>INDEX($C$44:$AN$66,MATCH("New Customers 1MS",$C$44:$C$66,0),MATCH($C138,$C$44:$AN$44,0))</f>
        <v>0.24595744680851073</v>
      </c>
      <c r="AE138" s="211">
        <f t="shared" ref="AE138:AN138" si="110">$AD$138*(E111)</f>
        <v>2.0996367410482615E-2</v>
      </c>
      <c r="AF138" s="211">
        <f t="shared" si="110"/>
        <v>9.08414263473942E-2</v>
      </c>
      <c r="AG138" s="211">
        <f t="shared" si="110"/>
        <v>0.13883312328564021</v>
      </c>
      <c r="AH138" s="211">
        <f t="shared" si="110"/>
        <v>0.16668544740158653</v>
      </c>
      <c r="AI138" s="211">
        <f t="shared" si="110"/>
        <v>0.18425383645933732</v>
      </c>
      <c r="AJ138" s="211">
        <f t="shared" si="110"/>
        <v>0.19582326339980732</v>
      </c>
      <c r="AK138" s="211">
        <f t="shared" si="110"/>
        <v>0.20353621469345398</v>
      </c>
      <c r="AL138" s="211">
        <f t="shared" si="110"/>
        <v>0.21124916598710067</v>
      </c>
      <c r="AM138" s="211">
        <f t="shared" si="110"/>
        <v>0.21939061457483883</v>
      </c>
      <c r="AN138" s="211">
        <f t="shared" si="110"/>
        <v>0.22453258210393665</v>
      </c>
    </row>
    <row r="139" spans="2:40" ht="12" hidden="1" customHeight="1" outlineLevel="2">
      <c r="B139" s="245"/>
      <c r="C139" s="213" t="s">
        <v>779</v>
      </c>
      <c r="D139" s="213"/>
      <c r="E139" s="213"/>
      <c r="F139" s="213"/>
      <c r="G139" s="213"/>
      <c r="H139" s="213"/>
      <c r="I139" s="213"/>
      <c r="J139" s="213"/>
      <c r="K139" s="213"/>
      <c r="L139" s="213"/>
      <c r="M139" s="213"/>
      <c r="N139" s="213"/>
      <c r="O139" s="213"/>
      <c r="P139" s="213"/>
      <c r="Q139" s="213"/>
      <c r="R139" s="213"/>
      <c r="S139" s="213"/>
      <c r="T139" s="213"/>
      <c r="U139" s="213"/>
      <c r="V139" s="213"/>
      <c r="W139" s="213"/>
      <c r="X139" s="213"/>
      <c r="Y139" s="213"/>
      <c r="Z139" s="213"/>
      <c r="AA139" s="213"/>
      <c r="AB139" s="211"/>
      <c r="AC139" s="211"/>
      <c r="AD139" s="211"/>
      <c r="AE139" s="211">
        <f>INDEX($C$44:$AN$66,MATCH("New Customers 1MS",$C$44:$C$66,0),MATCH($C139,$C$44:$AN$44,0))</f>
        <v>0.25087659574468091</v>
      </c>
      <c r="AF139" s="211">
        <f t="shared" ref="AF139:AM139" si="111">$AE$139*(E111)</f>
        <v>2.1416294758692264E-2</v>
      </c>
      <c r="AG139" s="211">
        <f t="shared" si="111"/>
        <v>9.2658254874342066E-2</v>
      </c>
      <c r="AH139" s="211">
        <f t="shared" si="111"/>
        <v>0.141609785751353</v>
      </c>
      <c r="AI139" s="211">
        <f t="shared" si="111"/>
        <v>0.17001915634961826</v>
      </c>
      <c r="AJ139" s="211">
        <f t="shared" si="111"/>
        <v>0.18793891318852404</v>
      </c>
      <c r="AK139" s="211">
        <f t="shared" si="111"/>
        <v>0.19973972866780346</v>
      </c>
      <c r="AL139" s="211">
        <f t="shared" si="111"/>
        <v>0.20760693898732305</v>
      </c>
      <c r="AM139" s="211">
        <f t="shared" si="111"/>
        <v>0.21547414930684264</v>
      </c>
      <c r="AN139" s="211">
        <f>AM139*(M111)</f>
        <v>0.19219993805767149</v>
      </c>
    </row>
    <row r="140" spans="2:40" ht="12" hidden="1" customHeight="1" outlineLevel="2">
      <c r="B140" s="245"/>
      <c r="C140" s="213" t="s">
        <v>780</v>
      </c>
      <c r="D140" s="213"/>
      <c r="E140" s="213"/>
      <c r="F140" s="213"/>
      <c r="G140" s="213"/>
      <c r="H140" s="213"/>
      <c r="I140" s="213"/>
      <c r="J140" s="213"/>
      <c r="K140" s="213"/>
      <c r="L140" s="213"/>
      <c r="M140" s="213"/>
      <c r="N140" s="213"/>
      <c r="O140" s="213"/>
      <c r="P140" s="213"/>
      <c r="Q140" s="213"/>
      <c r="R140" s="213"/>
      <c r="S140" s="213"/>
      <c r="T140" s="213"/>
      <c r="U140" s="213"/>
      <c r="V140" s="213"/>
      <c r="W140" s="213"/>
      <c r="X140" s="213"/>
      <c r="Y140" s="213"/>
      <c r="Z140" s="213"/>
      <c r="AA140" s="213"/>
      <c r="AB140" s="211"/>
      <c r="AC140" s="211"/>
      <c r="AD140" s="211"/>
      <c r="AE140" s="211"/>
      <c r="AF140" s="211">
        <f>INDEX($C$44:$AN$66,MATCH("New Customers 1MS",$C$44:$C$66,0),MATCH($C140,$C$44:$AN$44,0))</f>
        <v>0.25589412765957453</v>
      </c>
      <c r="AG140" s="211">
        <f t="shared" ref="AG140:AM140" si="112">$AF$140*(E111)</f>
        <v>2.1844620653866109E-2</v>
      </c>
      <c r="AH140" s="211">
        <f t="shared" si="112"/>
        <v>9.4511419971828908E-2</v>
      </c>
      <c r="AI140" s="211">
        <f t="shared" si="112"/>
        <v>0.14444198146638004</v>
      </c>
      <c r="AJ140" s="211">
        <f t="shared" si="112"/>
        <v>0.17341953947661062</v>
      </c>
      <c r="AK140" s="211">
        <f t="shared" si="112"/>
        <v>0.19169769145229454</v>
      </c>
      <c r="AL140" s="211">
        <f t="shared" si="112"/>
        <v>0.20373452324115951</v>
      </c>
      <c r="AM140" s="211">
        <f t="shared" si="112"/>
        <v>0.21175907776706951</v>
      </c>
      <c r="AN140" s="211">
        <f>AM140*(L111)</f>
        <v>0.18187669919715202</v>
      </c>
    </row>
    <row r="141" spans="2:40" ht="12" hidden="1" customHeight="1" outlineLevel="2">
      <c r="B141" s="245"/>
      <c r="C141" s="213" t="s">
        <v>781</v>
      </c>
      <c r="D141" s="213"/>
      <c r="E141" s="213"/>
      <c r="F141" s="213"/>
      <c r="G141" s="213"/>
      <c r="H141" s="213"/>
      <c r="I141" s="213"/>
      <c r="J141" s="213"/>
      <c r="K141" s="213"/>
      <c r="L141" s="213"/>
      <c r="M141" s="213"/>
      <c r="N141" s="213"/>
      <c r="O141" s="213"/>
      <c r="P141" s="213"/>
      <c r="Q141" s="213"/>
      <c r="R141" s="213"/>
      <c r="S141" s="213"/>
      <c r="T141" s="213"/>
      <c r="U141" s="213"/>
      <c r="V141" s="213"/>
      <c r="W141" s="213"/>
      <c r="X141" s="213"/>
      <c r="Y141" s="213"/>
      <c r="Z141" s="213"/>
      <c r="AA141" s="213"/>
      <c r="AB141" s="211"/>
      <c r="AC141" s="211"/>
      <c r="AD141" s="211"/>
      <c r="AE141" s="211"/>
      <c r="AF141" s="211"/>
      <c r="AG141" s="211">
        <f>INDEX($C$44:$AN$66,MATCH("New Customers 1MS",$C$44:$C$66,0),MATCH($C141,$C$44:$AN$44,0))</f>
        <v>0.26101201021276599</v>
      </c>
      <c r="AH141" s="211">
        <f t="shared" ref="AH141:AN141" si="113">$AG$141*(E111)</f>
        <v>2.2281513066943429E-2</v>
      </c>
      <c r="AI141" s="211">
        <f t="shared" si="113"/>
        <v>9.6401648371265483E-2</v>
      </c>
      <c r="AJ141" s="211">
        <f t="shared" si="113"/>
        <v>0.14733082109570764</v>
      </c>
      <c r="AK141" s="211">
        <f t="shared" si="113"/>
        <v>0.1768879302661428</v>
      </c>
      <c r="AL141" s="211">
        <f t="shared" si="113"/>
        <v>0.1955316452813404</v>
      </c>
      <c r="AM141" s="211">
        <f t="shared" si="113"/>
        <v>0.20780921370598268</v>
      </c>
      <c r="AN141" s="211">
        <f t="shared" si="113"/>
        <v>0.21599425932241087</v>
      </c>
    </row>
    <row r="142" spans="2:40" ht="12" hidden="1" customHeight="1" outlineLevel="2">
      <c r="B142" s="245"/>
      <c r="C142" s="213" t="s">
        <v>782</v>
      </c>
      <c r="D142" s="213"/>
      <c r="E142" s="213"/>
      <c r="F142" s="213"/>
      <c r="G142" s="213"/>
      <c r="H142" s="213"/>
      <c r="I142" s="213"/>
      <c r="J142" s="213"/>
      <c r="K142" s="213"/>
      <c r="L142" s="213"/>
      <c r="M142" s="213"/>
      <c r="N142" s="213"/>
      <c r="O142" s="213"/>
      <c r="P142" s="213"/>
      <c r="Q142" s="213"/>
      <c r="R142" s="213"/>
      <c r="S142" s="213"/>
      <c r="T142" s="213"/>
      <c r="U142" s="213"/>
      <c r="V142" s="213"/>
      <c r="W142" s="213"/>
      <c r="X142" s="213"/>
      <c r="Y142" s="213"/>
      <c r="Z142" s="213"/>
      <c r="AA142" s="213"/>
      <c r="AB142" s="211"/>
      <c r="AC142" s="211"/>
      <c r="AD142" s="211"/>
      <c r="AE142" s="211"/>
      <c r="AF142" s="211"/>
      <c r="AG142" s="211"/>
      <c r="AH142" s="211">
        <f>INDEX($C$44:$AN$66,MATCH("New Customers 1MS",$C$44:$C$66,0),MATCH($C142,$C$44:$AN$44,0))</f>
        <v>0.26623225041702131</v>
      </c>
      <c r="AI142" s="211">
        <f t="shared" ref="AI142:AN142" si="114">$AH$142*(E111)</f>
        <v>2.2727143328282299E-2</v>
      </c>
      <c r="AJ142" s="211">
        <f t="shared" si="114"/>
        <v>9.8329681338690786E-2</v>
      </c>
      <c r="AK142" s="211">
        <f t="shared" si="114"/>
        <v>0.15027743751762179</v>
      </c>
      <c r="AL142" s="211">
        <f t="shared" si="114"/>
        <v>0.18042568887146565</v>
      </c>
      <c r="AM142" s="211">
        <f t="shared" si="114"/>
        <v>0.19944227818696719</v>
      </c>
      <c r="AN142" s="211">
        <f t="shared" si="114"/>
        <v>0.21196539798010233</v>
      </c>
    </row>
    <row r="143" spans="2:40" ht="12" hidden="1" customHeight="1" outlineLevel="2">
      <c r="B143" s="245"/>
      <c r="C143" s="213" t="s">
        <v>783</v>
      </c>
      <c r="D143" s="213"/>
      <c r="E143" s="213"/>
      <c r="F143" s="213"/>
      <c r="G143" s="213"/>
      <c r="H143" s="213"/>
      <c r="I143" s="213"/>
      <c r="J143" s="213"/>
      <c r="K143" s="213"/>
      <c r="L143" s="213"/>
      <c r="M143" s="213"/>
      <c r="N143" s="213"/>
      <c r="O143" s="213"/>
      <c r="P143" s="213"/>
      <c r="Q143" s="213"/>
      <c r="R143" s="213"/>
      <c r="S143" s="213"/>
      <c r="T143" s="213"/>
      <c r="U143" s="213"/>
      <c r="V143" s="213"/>
      <c r="W143" s="213"/>
      <c r="X143" s="213"/>
      <c r="Y143" s="213"/>
      <c r="Z143" s="213"/>
      <c r="AA143" s="213"/>
      <c r="AB143" s="211"/>
      <c r="AC143" s="211"/>
      <c r="AD143" s="211"/>
      <c r="AE143" s="211"/>
      <c r="AF143" s="211"/>
      <c r="AG143" s="211"/>
      <c r="AH143" s="211"/>
      <c r="AI143" s="211">
        <f>INDEX($C$44:$AN$66,MATCH("New Customers 1MS",$C$44:$C$66,0),MATCH($C143,$C$44:$AN$44,0))</f>
        <v>0.27155689542536171</v>
      </c>
      <c r="AJ143" s="211">
        <f>$AI$143*(E111)</f>
        <v>2.318168619484794E-2</v>
      </c>
      <c r="AK143" s="211">
        <f>$AI$143*(F111)</f>
        <v>0.10029627496546459</v>
      </c>
      <c r="AL143" s="211">
        <f>$AI$143*(G111)</f>
        <v>0.15328298626797421</v>
      </c>
      <c r="AM143" s="211">
        <f>$AI$143*(H111)</f>
        <v>0.18403420264889495</v>
      </c>
      <c r="AN143" s="211">
        <f>$AI$143*(I111)</f>
        <v>0.20343112375070652</v>
      </c>
    </row>
    <row r="144" spans="2:40" ht="12" hidden="1" customHeight="1" outlineLevel="2">
      <c r="B144" s="245"/>
      <c r="C144" s="213" t="s">
        <v>784</v>
      </c>
      <c r="D144" s="213"/>
      <c r="E144" s="213"/>
      <c r="F144" s="213"/>
      <c r="G144" s="213"/>
      <c r="H144" s="213"/>
      <c r="I144" s="213"/>
      <c r="J144" s="213"/>
      <c r="K144" s="213"/>
      <c r="L144" s="213"/>
      <c r="M144" s="213"/>
      <c r="N144" s="213"/>
      <c r="O144" s="213"/>
      <c r="P144" s="213"/>
      <c r="Q144" s="213"/>
      <c r="R144" s="213"/>
      <c r="S144" s="213"/>
      <c r="T144" s="213"/>
      <c r="U144" s="213"/>
      <c r="V144" s="213"/>
      <c r="W144" s="213"/>
      <c r="X144" s="213"/>
      <c r="Y144" s="213"/>
      <c r="Z144" s="213"/>
      <c r="AA144" s="213"/>
      <c r="AB144" s="211"/>
      <c r="AC144" s="211"/>
      <c r="AD144" s="211"/>
      <c r="AE144" s="211"/>
      <c r="AF144" s="211"/>
      <c r="AG144" s="211"/>
      <c r="AH144" s="211"/>
      <c r="AI144" s="211"/>
      <c r="AJ144" s="211">
        <f>INDEX($C$44:$AN$66,MATCH("New Customers 1MS",$C$44:$C$66,0),MATCH($C144,$C$44:$AN$44,0))</f>
        <v>0.27698803333386901</v>
      </c>
      <c r="AK144" s="211">
        <f>$AJ$144*(E111)</f>
        <v>2.3645319918744905E-2</v>
      </c>
      <c r="AL144" s="211">
        <f>$AJ$144*(F111)</f>
        <v>0.10230220046477391</v>
      </c>
      <c r="AM144" s="211">
        <f>$AJ$144*(G111)</f>
        <v>0.15634864599333373</v>
      </c>
      <c r="AN144" s="211">
        <f>$AJ$144*(H111)</f>
        <v>0.18771488670187289</v>
      </c>
    </row>
    <row r="145" spans="2:41" ht="12" hidden="1" customHeight="1" outlineLevel="2">
      <c r="B145" s="245"/>
      <c r="C145" s="213" t="s">
        <v>785</v>
      </c>
      <c r="D145" s="213"/>
      <c r="E145" s="213"/>
      <c r="F145" s="213"/>
      <c r="G145" s="213"/>
      <c r="H145" s="213"/>
      <c r="I145" s="213"/>
      <c r="J145" s="213"/>
      <c r="K145" s="213"/>
      <c r="L145" s="213"/>
      <c r="M145" s="213"/>
      <c r="N145" s="213"/>
      <c r="O145" s="213"/>
      <c r="P145" s="213"/>
      <c r="Q145" s="213"/>
      <c r="R145" s="213"/>
      <c r="S145" s="213"/>
      <c r="T145" s="213"/>
      <c r="U145" s="213"/>
      <c r="V145" s="213"/>
      <c r="W145" s="213"/>
      <c r="X145" s="213"/>
      <c r="Y145" s="213"/>
      <c r="Z145" s="213"/>
      <c r="AA145" s="213"/>
      <c r="AB145" s="211"/>
      <c r="AC145" s="211"/>
      <c r="AD145" s="211"/>
      <c r="AE145" s="211"/>
      <c r="AF145" s="211"/>
      <c r="AG145" s="211"/>
      <c r="AH145" s="211"/>
      <c r="AI145" s="211"/>
      <c r="AJ145" s="211"/>
      <c r="AK145" s="211">
        <f>INDEX($C$44:$AN$66,MATCH("New Customers 1MS",$C$44:$C$66,0),MATCH($C145,$C$44:$AN$44,0))</f>
        <v>0.2825277940005464</v>
      </c>
      <c r="AL145" s="211">
        <f>$AK$145*(E111)</f>
        <v>2.4118226317119806E-2</v>
      </c>
      <c r="AM145" s="211">
        <f>$AK$145*(F111)</f>
        <v>0.10434824447406939</v>
      </c>
      <c r="AN145" s="211">
        <f>$AK$145*(G111)</f>
        <v>0.15947561891320042</v>
      </c>
    </row>
    <row r="146" spans="2:41" ht="12" hidden="1" customHeight="1" outlineLevel="2">
      <c r="B146" s="245"/>
      <c r="C146" s="213" t="s">
        <v>786</v>
      </c>
      <c r="D146" s="213"/>
      <c r="E146" s="213"/>
      <c r="F146" s="213"/>
      <c r="G146" s="213"/>
      <c r="H146" s="213"/>
      <c r="I146" s="213"/>
      <c r="J146" s="213"/>
      <c r="K146" s="213"/>
      <c r="L146" s="213"/>
      <c r="M146" s="213"/>
      <c r="N146" s="213"/>
      <c r="O146" s="213"/>
      <c r="P146" s="213"/>
      <c r="Q146" s="213"/>
      <c r="R146" s="213"/>
      <c r="S146" s="213"/>
      <c r="T146" s="213"/>
      <c r="U146" s="213"/>
      <c r="V146" s="213"/>
      <c r="W146" s="213"/>
      <c r="X146" s="213"/>
      <c r="Y146" s="213"/>
      <c r="Z146" s="213"/>
      <c r="AA146" s="213"/>
      <c r="AB146" s="211"/>
      <c r="AC146" s="211"/>
      <c r="AD146" s="211"/>
      <c r="AE146" s="211"/>
      <c r="AF146" s="211"/>
      <c r="AG146" s="211"/>
      <c r="AH146" s="211"/>
      <c r="AI146" s="211"/>
      <c r="AJ146" s="211"/>
      <c r="AK146" s="211"/>
      <c r="AL146" s="211">
        <f>INDEX($C$44:$AN$66,MATCH("New Customers 1MS",$C$44:$C$66,0),MATCH($C146,$C$44:$AN$44,0))</f>
        <v>0.28817834988055741</v>
      </c>
      <c r="AM146" s="211">
        <f>$AL$146*(E111)</f>
        <v>2.4600590843462208E-2</v>
      </c>
      <c r="AN146" s="211">
        <f>$AL$146*(F111)</f>
        <v>0.1064352093635508</v>
      </c>
    </row>
    <row r="147" spans="2:41" ht="12" hidden="1" customHeight="1" outlineLevel="2">
      <c r="B147" s="245"/>
      <c r="C147" s="213" t="s">
        <v>787</v>
      </c>
      <c r="D147" s="213"/>
      <c r="E147" s="213"/>
      <c r="F147" s="213"/>
      <c r="G147" s="213"/>
      <c r="H147" s="213"/>
      <c r="I147" s="213"/>
      <c r="J147" s="213"/>
      <c r="K147" s="213"/>
      <c r="L147" s="213"/>
      <c r="M147" s="213"/>
      <c r="N147" s="213"/>
      <c r="O147" s="213"/>
      <c r="P147" s="213"/>
      <c r="Q147" s="213"/>
      <c r="R147" s="213"/>
      <c r="S147" s="213"/>
      <c r="T147" s="213"/>
      <c r="U147" s="213"/>
      <c r="V147" s="213"/>
      <c r="W147" s="213"/>
      <c r="X147" s="213"/>
      <c r="Y147" s="213"/>
      <c r="Z147" s="213"/>
      <c r="AA147" s="213"/>
      <c r="AB147" s="211"/>
      <c r="AC147" s="211"/>
      <c r="AD147" s="211"/>
      <c r="AE147" s="211"/>
      <c r="AF147" s="211"/>
      <c r="AG147" s="211"/>
      <c r="AH147" s="211"/>
      <c r="AI147" s="211"/>
      <c r="AJ147" s="211"/>
      <c r="AK147" s="211"/>
      <c r="AL147" s="211"/>
      <c r="AM147" s="211">
        <f>INDEX($C$44:$AN$66,MATCH("New Customers 1MS",$C$44:$C$66,0),MATCH($C147,$C$44:$AN$44,0))</f>
        <v>0.29394191687816851</v>
      </c>
      <c r="AN147" s="211">
        <f>$AM$147*(E111)</f>
        <v>2.5092602660331448E-2</v>
      </c>
    </row>
    <row r="148" spans="2:41" ht="12" hidden="1" customHeight="1" outlineLevel="2">
      <c r="B148" s="245"/>
      <c r="C148" s="213" t="s">
        <v>788</v>
      </c>
      <c r="D148" s="213"/>
      <c r="E148" s="213"/>
      <c r="F148" s="213"/>
      <c r="G148" s="213"/>
      <c r="H148" s="213"/>
      <c r="I148" s="213"/>
      <c r="J148" s="213"/>
      <c r="K148" s="213"/>
      <c r="L148" s="213"/>
      <c r="M148" s="213"/>
      <c r="N148" s="213"/>
      <c r="O148" s="213"/>
      <c r="P148" s="213"/>
      <c r="Q148" s="213"/>
      <c r="R148" s="213"/>
      <c r="S148" s="213"/>
      <c r="T148" s="213"/>
      <c r="U148" s="213"/>
      <c r="V148" s="213"/>
      <c r="W148" s="213"/>
      <c r="X148" s="213"/>
      <c r="Y148" s="213"/>
      <c r="Z148" s="213"/>
      <c r="AA148" s="213"/>
      <c r="AB148" s="211"/>
      <c r="AC148" s="211"/>
      <c r="AD148" s="211"/>
      <c r="AE148" s="211"/>
      <c r="AF148" s="211"/>
      <c r="AG148" s="211"/>
      <c r="AH148" s="211"/>
      <c r="AI148" s="211"/>
      <c r="AJ148" s="211"/>
      <c r="AK148" s="211"/>
      <c r="AL148" s="211"/>
      <c r="AM148" s="211"/>
      <c r="AN148" s="211">
        <f>INDEX($C$44:$AN$66,MATCH("New Customers 1MS",$C$44:$C$66,0),MATCH($C148,$C$44:$AN$44,0))</f>
        <v>0.29982075521573187</v>
      </c>
    </row>
    <row r="149" spans="2:41" ht="12" hidden="1" customHeight="1" outlineLevel="2">
      <c r="B149" s="245"/>
      <c r="C149" s="213"/>
      <c r="D149" s="213"/>
      <c r="E149" s="213"/>
      <c r="F149" s="213"/>
      <c r="G149" s="213"/>
      <c r="H149" s="213"/>
      <c r="I149" s="213"/>
      <c r="J149" s="213"/>
      <c r="K149" s="213"/>
      <c r="L149" s="213"/>
      <c r="M149" s="213"/>
      <c r="N149" s="213"/>
      <c r="O149" s="213"/>
      <c r="P149" s="213"/>
      <c r="Q149" s="213"/>
      <c r="R149" s="213"/>
      <c r="S149" s="213"/>
      <c r="T149" s="213"/>
      <c r="U149" s="213"/>
      <c r="V149" s="213"/>
      <c r="W149" s="213"/>
      <c r="X149" s="213"/>
      <c r="Y149" s="213"/>
      <c r="Z149" s="213"/>
      <c r="AA149" s="213"/>
      <c r="AB149" s="211"/>
      <c r="AC149" s="211"/>
      <c r="AD149" s="211"/>
      <c r="AE149" s="211"/>
      <c r="AF149" s="211"/>
      <c r="AG149" s="211"/>
      <c r="AH149" s="211"/>
      <c r="AI149" s="211"/>
      <c r="AJ149" s="211"/>
      <c r="AK149" s="211"/>
      <c r="AL149" s="211"/>
      <c r="AM149" s="211"/>
      <c r="AN149" s="211"/>
    </row>
    <row r="150" spans="2:41" ht="12" hidden="1" customHeight="1" outlineLevel="2">
      <c r="B150" s="245"/>
      <c r="C150" s="213"/>
      <c r="D150" s="213"/>
      <c r="E150" s="213"/>
      <c r="F150" s="213"/>
      <c r="G150" s="213"/>
      <c r="H150" s="213"/>
      <c r="I150" s="213"/>
      <c r="J150" s="213"/>
      <c r="K150" s="213"/>
      <c r="L150" s="213"/>
      <c r="M150" s="213"/>
      <c r="N150" s="213"/>
      <c r="O150" s="213"/>
      <c r="P150" s="213"/>
      <c r="Q150" s="213"/>
      <c r="R150" s="213"/>
      <c r="S150" s="213"/>
      <c r="T150" s="213"/>
      <c r="U150" s="213"/>
      <c r="V150" s="213"/>
      <c r="W150" s="213"/>
      <c r="X150" s="213"/>
      <c r="Y150" s="213"/>
      <c r="Z150" s="213"/>
      <c r="AA150" s="213"/>
      <c r="AB150" s="211"/>
      <c r="AC150" s="211"/>
      <c r="AD150" s="211"/>
      <c r="AE150" s="211"/>
      <c r="AF150" s="211"/>
      <c r="AG150" s="211"/>
      <c r="AH150" s="211"/>
      <c r="AI150" s="211"/>
      <c r="AJ150" s="211"/>
      <c r="AK150" s="211"/>
      <c r="AL150" s="211"/>
      <c r="AM150" s="211"/>
      <c r="AN150" s="211"/>
    </row>
    <row r="151" spans="2:41" ht="12" hidden="1" customHeight="1" outlineLevel="2">
      <c r="B151" s="245"/>
      <c r="C151" s="243" t="s">
        <v>854</v>
      </c>
      <c r="D151" s="213"/>
      <c r="E151" s="213"/>
      <c r="F151" s="213"/>
      <c r="G151" s="213"/>
      <c r="H151" s="213"/>
      <c r="I151" s="213"/>
      <c r="J151" s="213"/>
      <c r="K151" s="213"/>
      <c r="L151" s="213"/>
      <c r="M151" s="213"/>
      <c r="N151" s="213"/>
      <c r="O151" s="213"/>
      <c r="P151" s="213"/>
      <c r="Q151" s="213"/>
      <c r="R151" s="213"/>
      <c r="S151" s="213"/>
      <c r="T151" s="213"/>
      <c r="U151" s="213"/>
      <c r="V151" s="213"/>
      <c r="W151" s="213"/>
      <c r="X151" s="213"/>
      <c r="Y151" s="213"/>
      <c r="Z151" s="213"/>
      <c r="AA151" s="213"/>
      <c r="AB151" s="213"/>
      <c r="AC151" s="211"/>
    </row>
    <row r="152" spans="2:41" ht="12" hidden="1" customHeight="1" outlineLevel="2">
      <c r="B152" s="239"/>
      <c r="C152" s="214" t="s">
        <v>850</v>
      </c>
      <c r="D152" s="214"/>
      <c r="E152" s="196" t="s">
        <v>753</v>
      </c>
      <c r="F152" s="196" t="s">
        <v>754</v>
      </c>
      <c r="G152" s="196" t="s">
        <v>755</v>
      </c>
      <c r="H152" s="196" t="s">
        <v>756</v>
      </c>
      <c r="I152" s="196" t="s">
        <v>757</v>
      </c>
      <c r="J152" s="196" t="s">
        <v>758</v>
      </c>
      <c r="K152" s="196" t="s">
        <v>759</v>
      </c>
      <c r="L152" s="196" t="s">
        <v>760</v>
      </c>
      <c r="M152" s="196" t="s">
        <v>761</v>
      </c>
      <c r="N152" s="196" t="s">
        <v>762</v>
      </c>
      <c r="O152" s="196" t="s">
        <v>763</v>
      </c>
      <c r="P152" s="196" t="s">
        <v>764</v>
      </c>
      <c r="Q152" s="196" t="s">
        <v>765</v>
      </c>
      <c r="R152" s="196" t="s">
        <v>766</v>
      </c>
      <c r="S152" s="196" t="s">
        <v>767</v>
      </c>
      <c r="T152" s="196" t="s">
        <v>768</v>
      </c>
      <c r="U152" s="196" t="s">
        <v>769</v>
      </c>
      <c r="V152" s="196" t="s">
        <v>770</v>
      </c>
      <c r="W152" s="196" t="s">
        <v>771</v>
      </c>
      <c r="X152" s="196" t="s">
        <v>772</v>
      </c>
      <c r="Y152" s="196" t="s">
        <v>773</v>
      </c>
      <c r="Z152" s="196" t="s">
        <v>774</v>
      </c>
      <c r="AA152" s="196" t="s">
        <v>775</v>
      </c>
      <c r="AB152" s="196" t="s">
        <v>776</v>
      </c>
      <c r="AC152" s="196" t="s">
        <v>777</v>
      </c>
      <c r="AD152" s="196" t="s">
        <v>778</v>
      </c>
      <c r="AE152" s="196" t="s">
        <v>779</v>
      </c>
      <c r="AF152" s="196" t="s">
        <v>780</v>
      </c>
      <c r="AG152" s="196" t="s">
        <v>781</v>
      </c>
      <c r="AH152" s="196" t="s">
        <v>782</v>
      </c>
      <c r="AI152" s="196" t="s">
        <v>783</v>
      </c>
      <c r="AJ152" s="196" t="s">
        <v>784</v>
      </c>
      <c r="AK152" s="196" t="s">
        <v>785</v>
      </c>
      <c r="AL152" s="196" t="s">
        <v>786</v>
      </c>
      <c r="AM152" s="196" t="s">
        <v>787</v>
      </c>
      <c r="AN152" s="196" t="s">
        <v>788</v>
      </c>
    </row>
    <row r="153" spans="2:41" ht="12" hidden="1" customHeight="1" outlineLevel="2">
      <c r="B153" s="239"/>
      <c r="C153" s="247" t="s">
        <v>851</v>
      </c>
      <c r="D153" s="212"/>
      <c r="E153" s="193">
        <v>0.9</v>
      </c>
      <c r="F153" s="192"/>
      <c r="G153" s="192"/>
      <c r="H153" s="193">
        <v>0.6</v>
      </c>
      <c r="I153" s="192"/>
      <c r="J153" s="192"/>
      <c r="K153" s="193">
        <v>0.4</v>
      </c>
      <c r="L153" s="192"/>
      <c r="M153" s="192"/>
      <c r="N153" s="193">
        <v>0.2</v>
      </c>
      <c r="O153" s="192"/>
      <c r="P153" s="192"/>
      <c r="Q153" s="193">
        <v>0.15</v>
      </c>
      <c r="R153" s="192"/>
      <c r="S153" s="192"/>
      <c r="T153" s="193">
        <v>0.1</v>
      </c>
      <c r="U153" s="192"/>
      <c r="V153" s="192"/>
      <c r="W153" s="193">
        <v>0.08</v>
      </c>
      <c r="X153" s="192"/>
      <c r="Y153" s="192"/>
      <c r="Z153" s="193">
        <v>7.0000000000000007E-2</v>
      </c>
      <c r="AA153" s="192"/>
      <c r="AB153" s="192"/>
      <c r="AC153" s="193">
        <v>0.05</v>
      </c>
      <c r="AD153" s="192"/>
      <c r="AE153" s="192"/>
      <c r="AF153" s="193">
        <v>0.04</v>
      </c>
      <c r="AG153" s="192"/>
      <c r="AH153" s="192"/>
      <c r="AI153" s="193">
        <v>0.02</v>
      </c>
      <c r="AJ153" s="192"/>
      <c r="AK153" s="192"/>
      <c r="AL153" s="193">
        <v>0.01</v>
      </c>
      <c r="AM153" s="192"/>
      <c r="AN153" s="192"/>
    </row>
    <row r="154" spans="2:41" ht="12" hidden="1" customHeight="1" outlineLevel="2">
      <c r="B154" s="239"/>
      <c r="C154" s="214" t="s">
        <v>852</v>
      </c>
      <c r="D154" s="212"/>
      <c r="E154" s="211">
        <f>86*66%</f>
        <v>56.760000000000005</v>
      </c>
      <c r="F154" s="211">
        <f>69-28</f>
        <v>41</v>
      </c>
      <c r="G154" s="211">
        <f>111-28</f>
        <v>83</v>
      </c>
      <c r="H154" s="211">
        <f>E154*0.98-27</f>
        <v>28.6248</v>
      </c>
      <c r="I154" s="211">
        <f>F154*0.98-40</f>
        <v>0.17999999999999972</v>
      </c>
      <c r="J154" s="211">
        <f t="shared" ref="J154:AN154" si="115">G154*0.98</f>
        <v>81.34</v>
      </c>
      <c r="K154" s="211">
        <f t="shared" si="115"/>
        <v>28.052303999999999</v>
      </c>
      <c r="L154" s="211">
        <f t="shared" si="115"/>
        <v>0.17639999999999972</v>
      </c>
      <c r="M154" s="211">
        <f t="shared" si="115"/>
        <v>79.713200000000001</v>
      </c>
      <c r="N154" s="211">
        <f t="shared" si="115"/>
        <v>27.491257919999999</v>
      </c>
      <c r="O154" s="211">
        <f t="shared" si="115"/>
        <v>0.17287199999999972</v>
      </c>
      <c r="P154" s="211">
        <f t="shared" si="115"/>
        <v>78.118936000000005</v>
      </c>
      <c r="Q154" s="211">
        <f t="shared" si="115"/>
        <v>26.941432761599998</v>
      </c>
      <c r="R154" s="211">
        <f t="shared" si="115"/>
        <v>0.16941455999999971</v>
      </c>
      <c r="S154" s="211">
        <f t="shared" si="115"/>
        <v>76.556557280000007</v>
      </c>
      <c r="T154" s="211">
        <f t="shared" si="115"/>
        <v>26.402604106367999</v>
      </c>
      <c r="U154" s="211">
        <f t="shared" si="115"/>
        <v>0.16602626879999971</v>
      </c>
      <c r="V154" s="211">
        <f t="shared" si="115"/>
        <v>75.025426134400007</v>
      </c>
      <c r="W154" s="211">
        <f t="shared" si="115"/>
        <v>25.874552024240639</v>
      </c>
      <c r="X154" s="211">
        <f t="shared" si="115"/>
        <v>0.16270574342399971</v>
      </c>
      <c r="Y154" s="211">
        <f t="shared" si="115"/>
        <v>73.524917611711999</v>
      </c>
      <c r="Z154" s="211">
        <f t="shared" si="115"/>
        <v>25.357060983755826</v>
      </c>
      <c r="AA154" s="211">
        <f t="shared" si="115"/>
        <v>0.15945162855551973</v>
      </c>
      <c r="AB154" s="211">
        <f t="shared" si="115"/>
        <v>72.054419259477754</v>
      </c>
      <c r="AC154" s="211">
        <f t="shared" si="115"/>
        <v>24.84991976408071</v>
      </c>
      <c r="AD154" s="211">
        <f t="shared" si="115"/>
        <v>0.15626259598440934</v>
      </c>
      <c r="AE154" s="211">
        <f t="shared" si="115"/>
        <v>70.613330874288195</v>
      </c>
      <c r="AF154" s="211">
        <f t="shared" si="115"/>
        <v>24.352921368799095</v>
      </c>
      <c r="AG154" s="211">
        <f t="shared" si="115"/>
        <v>0.15313734406472115</v>
      </c>
      <c r="AH154" s="211">
        <f t="shared" si="115"/>
        <v>69.201064256802425</v>
      </c>
      <c r="AI154" s="211">
        <f t="shared" si="115"/>
        <v>23.865862941423114</v>
      </c>
      <c r="AJ154" s="211">
        <f t="shared" si="115"/>
        <v>0.15007459718342672</v>
      </c>
      <c r="AK154" s="211">
        <f t="shared" si="115"/>
        <v>67.817042971666382</v>
      </c>
      <c r="AL154" s="211">
        <f t="shared" si="115"/>
        <v>23.38854568259465</v>
      </c>
      <c r="AM154" s="211">
        <f t="shared" si="115"/>
        <v>0.1470731052397582</v>
      </c>
      <c r="AN154" s="211">
        <f t="shared" si="115"/>
        <v>66.460702112233051</v>
      </c>
      <c r="AO154" s="211"/>
    </row>
    <row r="155" spans="2:41" ht="12" hidden="1" customHeight="1" outlineLevel="2">
      <c r="B155" s="245"/>
      <c r="C155" s="213" t="s">
        <v>753</v>
      </c>
      <c r="D155" s="213"/>
      <c r="E155" s="211">
        <f>INDEX($C$44:$AN$66,MATCH("New Customers 3MS",$C$44:$C$66,0),MATCH($C155,$C$44:$AN$44,0))</f>
        <v>0</v>
      </c>
      <c r="F155" s="211"/>
      <c r="G155" s="211"/>
      <c r="H155" s="211">
        <f>E155*(E153)</f>
        <v>0</v>
      </c>
      <c r="I155" s="211"/>
      <c r="J155" s="211"/>
      <c r="K155" s="211">
        <f>$E$155*(H153)</f>
        <v>0</v>
      </c>
      <c r="L155" s="211"/>
      <c r="M155" s="211"/>
      <c r="N155" s="211">
        <f>$E$155*(K153)</f>
        <v>0</v>
      </c>
      <c r="O155" s="211"/>
      <c r="P155" s="211"/>
      <c r="Q155" s="211">
        <f>$E$155*(N153)</f>
        <v>0</v>
      </c>
      <c r="R155" s="211"/>
      <c r="S155" s="211"/>
      <c r="T155" s="211">
        <f>$E$155*(Q153)</f>
        <v>0</v>
      </c>
      <c r="U155" s="211"/>
      <c r="V155" s="211"/>
      <c r="W155" s="211">
        <f>$E$155*(T153)</f>
        <v>0</v>
      </c>
      <c r="X155" s="211"/>
      <c r="Y155" s="211"/>
      <c r="Z155" s="211">
        <f>$E$155*(W153)</f>
        <v>0</v>
      </c>
      <c r="AA155" s="211"/>
      <c r="AB155" s="211"/>
      <c r="AC155" s="211">
        <f>$E$155*(Z153)</f>
        <v>0</v>
      </c>
      <c r="AD155" s="211"/>
      <c r="AE155" s="211"/>
      <c r="AF155" s="211">
        <f>$E$155*(AC153)</f>
        <v>0</v>
      </c>
      <c r="AG155" s="211"/>
      <c r="AH155" s="211"/>
      <c r="AI155" s="211">
        <f>$E$155*(AF153)</f>
        <v>0</v>
      </c>
      <c r="AJ155" s="211"/>
      <c r="AK155" s="211"/>
      <c r="AL155" s="211">
        <f>$E$155*(AI153)</f>
        <v>0</v>
      </c>
      <c r="AM155" s="211"/>
      <c r="AN155" s="211"/>
    </row>
    <row r="156" spans="2:41" ht="12" hidden="1" customHeight="1" outlineLevel="2">
      <c r="B156" s="245"/>
      <c r="C156" s="213" t="s">
        <v>754</v>
      </c>
      <c r="D156" s="213"/>
      <c r="E156" s="213"/>
      <c r="F156" s="211">
        <f>INDEX($C$44:$AN$66,MATCH("New Customers 3MS",$C$44:$C$66,0),MATCH($C156,$C$44:$AN$44,0))</f>
        <v>0</v>
      </c>
      <c r="G156" s="211"/>
      <c r="H156" s="211"/>
      <c r="I156" s="211">
        <f>$F$156*(E153)</f>
        <v>0</v>
      </c>
      <c r="J156" s="211"/>
      <c r="K156" s="211"/>
      <c r="L156" s="211">
        <f>$F$156*(H153)</f>
        <v>0</v>
      </c>
      <c r="M156" s="211"/>
      <c r="N156" s="211"/>
      <c r="O156" s="211">
        <f>$F$156*(K153)</f>
        <v>0</v>
      </c>
      <c r="P156" s="211"/>
      <c r="Q156" s="211"/>
      <c r="R156" s="211">
        <f>$F$156*(N153)</f>
        <v>0</v>
      </c>
      <c r="S156" s="211"/>
      <c r="T156" s="211"/>
      <c r="U156" s="211">
        <f>$F$156*(Q153)</f>
        <v>0</v>
      </c>
      <c r="V156" s="211"/>
      <c r="W156" s="211"/>
      <c r="X156" s="211">
        <f>$F$156*(T153)</f>
        <v>0</v>
      </c>
      <c r="Y156" s="211"/>
      <c r="Z156" s="211"/>
      <c r="AA156" s="211">
        <f>$F$156*(W153)</f>
        <v>0</v>
      </c>
      <c r="AB156" s="211"/>
      <c r="AC156" s="211"/>
      <c r="AD156" s="211">
        <f>$F$156*(Z153)</f>
        <v>0</v>
      </c>
      <c r="AE156" s="211"/>
      <c r="AF156" s="211"/>
      <c r="AG156" s="211">
        <f>$F$156*(AC153)</f>
        <v>0</v>
      </c>
      <c r="AH156" s="211"/>
      <c r="AI156" s="211"/>
      <c r="AJ156" s="211">
        <f>$F$156*(AF153)</f>
        <v>0</v>
      </c>
      <c r="AK156" s="211"/>
      <c r="AL156" s="211"/>
      <c r="AM156" s="211">
        <f>$F$156*(AI153)</f>
        <v>0</v>
      </c>
      <c r="AN156" s="211"/>
    </row>
    <row r="157" spans="2:41" ht="12" hidden="1" customHeight="1" outlineLevel="2">
      <c r="B157" s="245"/>
      <c r="C157" s="213" t="s">
        <v>755</v>
      </c>
      <c r="D157" s="213"/>
      <c r="E157" s="213"/>
      <c r="F157" s="213"/>
      <c r="G157" s="211">
        <f>INDEX($C$44:$AN$66,MATCH("New Customers 3MS",$C$44:$C$66,0),MATCH($C157,$C$44:$AN$44,0))</f>
        <v>0</v>
      </c>
      <c r="H157" s="211"/>
      <c r="I157" s="211"/>
      <c r="J157" s="211">
        <f>$G$157*(E153)</f>
        <v>0</v>
      </c>
      <c r="K157" s="211"/>
      <c r="L157" s="211"/>
      <c r="M157" s="211">
        <f>$G$157*(H153)</f>
        <v>0</v>
      </c>
      <c r="N157" s="211"/>
      <c r="O157" s="211"/>
      <c r="P157" s="211">
        <f>$G$157*(K153)</f>
        <v>0</v>
      </c>
      <c r="Q157" s="211"/>
      <c r="R157" s="211"/>
      <c r="S157" s="211">
        <f>$G$157*(N153)</f>
        <v>0</v>
      </c>
      <c r="T157" s="211"/>
      <c r="U157" s="211"/>
      <c r="V157" s="211">
        <f>$G$157*(Q153)</f>
        <v>0</v>
      </c>
      <c r="W157" s="211"/>
      <c r="X157" s="211"/>
      <c r="Y157" s="211">
        <f>$G$157*(T153)</f>
        <v>0</v>
      </c>
      <c r="Z157" s="211"/>
      <c r="AA157" s="211"/>
      <c r="AB157" s="211">
        <f>$G$157*(W153)</f>
        <v>0</v>
      </c>
      <c r="AC157" s="211"/>
      <c r="AD157" s="211"/>
      <c r="AE157" s="211">
        <f>$G$157*(Z153)</f>
        <v>0</v>
      </c>
      <c r="AF157" s="211"/>
      <c r="AG157" s="211"/>
      <c r="AH157" s="211">
        <f>$G$157*(AC153)</f>
        <v>0</v>
      </c>
      <c r="AI157" s="211"/>
      <c r="AJ157" s="211"/>
      <c r="AK157" s="211">
        <f>$G$157*(AF153)</f>
        <v>0</v>
      </c>
      <c r="AL157" s="211"/>
      <c r="AM157" s="211"/>
      <c r="AN157" s="211">
        <f>$G$157*(AI153)</f>
        <v>0</v>
      </c>
    </row>
    <row r="158" spans="2:41" ht="12" hidden="1" customHeight="1" outlineLevel="2">
      <c r="B158" s="245"/>
      <c r="C158" s="213" t="s">
        <v>756</v>
      </c>
      <c r="D158" s="213"/>
      <c r="E158" s="213"/>
      <c r="F158" s="213"/>
      <c r="G158" s="213"/>
      <c r="H158" s="211">
        <f>INDEX($C$44:$AN$66,MATCH("New Customers 3MS",$C$44:$C$66,0),MATCH($C158,$C$44:$AN$44,0))</f>
        <v>0</v>
      </c>
      <c r="I158" s="211"/>
      <c r="J158" s="211"/>
      <c r="K158" s="211">
        <f>$H$158*(E153)</f>
        <v>0</v>
      </c>
      <c r="L158" s="211"/>
      <c r="M158" s="211"/>
      <c r="N158" s="211">
        <f>$H$158*(H153)</f>
        <v>0</v>
      </c>
      <c r="O158" s="211"/>
      <c r="P158" s="211"/>
      <c r="Q158" s="211">
        <f>$H$158*(K153)</f>
        <v>0</v>
      </c>
      <c r="R158" s="211"/>
      <c r="S158" s="211"/>
      <c r="T158" s="211">
        <f>$H$158*(N153)</f>
        <v>0</v>
      </c>
      <c r="U158" s="211"/>
      <c r="V158" s="211"/>
      <c r="W158" s="211">
        <f>$H$158*(Q153)</f>
        <v>0</v>
      </c>
      <c r="X158" s="211"/>
      <c r="Y158" s="211"/>
      <c r="Z158" s="211">
        <f>$H$158*(T153)</f>
        <v>0</v>
      </c>
      <c r="AA158" s="211"/>
      <c r="AB158" s="211"/>
      <c r="AC158" s="211">
        <f>$H$158*(W153)</f>
        <v>0</v>
      </c>
      <c r="AD158" s="211"/>
      <c r="AE158" s="211"/>
      <c r="AF158" s="211">
        <f>$H$158*(Z153)</f>
        <v>0</v>
      </c>
      <c r="AG158" s="211"/>
      <c r="AH158" s="211"/>
      <c r="AI158" s="211">
        <f>$H$158*(AC153)</f>
        <v>0</v>
      </c>
      <c r="AJ158" s="211"/>
      <c r="AK158" s="211"/>
      <c r="AL158" s="211">
        <f>$H$158*(AF153)</f>
        <v>0</v>
      </c>
      <c r="AM158" s="211"/>
      <c r="AN158" s="211"/>
    </row>
    <row r="159" spans="2:41" ht="12" hidden="1" customHeight="1" outlineLevel="2">
      <c r="B159" s="245"/>
      <c r="C159" s="213" t="s">
        <v>757</v>
      </c>
      <c r="D159" s="213"/>
      <c r="E159" s="213"/>
      <c r="F159" s="213"/>
      <c r="G159" s="213"/>
      <c r="H159" s="213"/>
      <c r="I159" s="211">
        <f>INDEX($C$44:$AN$66,MATCH("New Customers 3MS",$C$44:$C$66,0),MATCH($C159,$C$44:$AN$44,0))</f>
        <v>0</v>
      </c>
      <c r="J159" s="211"/>
      <c r="K159" s="211"/>
      <c r="L159" s="211">
        <f>$I$159*(E153)</f>
        <v>0</v>
      </c>
      <c r="M159" s="211"/>
      <c r="N159" s="211"/>
      <c r="O159" s="211">
        <f>$I$159*(H153)</f>
        <v>0</v>
      </c>
      <c r="P159" s="211"/>
      <c r="Q159" s="211"/>
      <c r="R159" s="211">
        <f>$I$159*(K153)</f>
        <v>0</v>
      </c>
      <c r="S159" s="211"/>
      <c r="T159" s="211"/>
      <c r="U159" s="211">
        <f>$I$159*(N153)</f>
        <v>0</v>
      </c>
      <c r="V159" s="211"/>
      <c r="W159" s="211"/>
      <c r="X159" s="211">
        <f>$I$159*(Q153)</f>
        <v>0</v>
      </c>
      <c r="Y159" s="211"/>
      <c r="Z159" s="211"/>
      <c r="AA159" s="211">
        <f>$I$159*(T153)</f>
        <v>0</v>
      </c>
      <c r="AB159" s="211"/>
      <c r="AC159" s="211"/>
      <c r="AD159" s="211">
        <f>$I$159*(W153)</f>
        <v>0</v>
      </c>
      <c r="AE159" s="211"/>
      <c r="AF159" s="211"/>
      <c r="AG159" s="211">
        <f>$I$159*(Z153)</f>
        <v>0</v>
      </c>
      <c r="AH159" s="211"/>
      <c r="AI159" s="211"/>
      <c r="AJ159" s="211">
        <f>$I$159*(AC153)</f>
        <v>0</v>
      </c>
      <c r="AK159" s="211"/>
      <c r="AL159" s="211"/>
      <c r="AM159" s="211">
        <f>$I$159*(AF153)</f>
        <v>0</v>
      </c>
      <c r="AN159" s="211"/>
    </row>
    <row r="160" spans="2:41" ht="12" hidden="1" customHeight="1" outlineLevel="2">
      <c r="B160" s="245"/>
      <c r="C160" s="213" t="s">
        <v>758</v>
      </c>
      <c r="D160" s="213"/>
      <c r="E160" s="213"/>
      <c r="F160" s="213"/>
      <c r="G160" s="213"/>
      <c r="H160" s="213"/>
      <c r="I160" s="213"/>
      <c r="J160" s="211">
        <f>INDEX($C$44:$AN$66,MATCH("New Customers 3MS",$C$44:$C$66,0),MATCH($C160,$C$44:$AN$44,0))</f>
        <v>0</v>
      </c>
      <c r="K160" s="211"/>
      <c r="L160" s="211"/>
      <c r="M160" s="211">
        <f>$J$160*(E153)</f>
        <v>0</v>
      </c>
      <c r="N160" s="211"/>
      <c r="O160" s="211"/>
      <c r="P160" s="211">
        <f>$J$160*(H153)</f>
        <v>0</v>
      </c>
      <c r="Q160" s="211"/>
      <c r="R160" s="211"/>
      <c r="S160" s="211">
        <f>$J$160*(K153)</f>
        <v>0</v>
      </c>
      <c r="T160" s="211"/>
      <c r="U160" s="211"/>
      <c r="V160" s="211">
        <f>$J$160*(N153)</f>
        <v>0</v>
      </c>
      <c r="W160" s="211"/>
      <c r="X160" s="211"/>
      <c r="Y160" s="211">
        <f>$J$160*(Q153)</f>
        <v>0</v>
      </c>
      <c r="Z160" s="211"/>
      <c r="AA160" s="211"/>
      <c r="AB160" s="211">
        <f>$J$160*(T153)</f>
        <v>0</v>
      </c>
      <c r="AC160" s="211"/>
      <c r="AD160" s="211"/>
      <c r="AE160" s="211">
        <f>$J$160*(W153)</f>
        <v>0</v>
      </c>
      <c r="AF160" s="211"/>
      <c r="AG160" s="211"/>
      <c r="AH160" s="211">
        <f>$J$160*(Z153)</f>
        <v>0</v>
      </c>
      <c r="AI160" s="211"/>
      <c r="AJ160" s="211"/>
      <c r="AK160" s="211">
        <f>$J$160*(AC153)</f>
        <v>0</v>
      </c>
      <c r="AL160" s="211"/>
      <c r="AM160" s="211"/>
      <c r="AN160" s="211">
        <f>$J$160*(AF153)</f>
        <v>0</v>
      </c>
    </row>
    <row r="161" spans="2:42" ht="12" hidden="1" customHeight="1" outlineLevel="2">
      <c r="B161" s="245"/>
      <c r="C161" s="213" t="s">
        <v>759</v>
      </c>
      <c r="D161" s="213"/>
      <c r="E161" s="213"/>
      <c r="F161" s="213"/>
      <c r="G161" s="213"/>
      <c r="H161" s="213"/>
      <c r="I161" s="213"/>
      <c r="J161" s="213"/>
      <c r="K161" s="211">
        <f>INDEX($C$44:$AN$66,MATCH("New Customers 3MS",$C$44:$C$66,0),MATCH($C161,$C$44:$AN$44,0))</f>
        <v>0</v>
      </c>
      <c r="L161" s="211"/>
      <c r="M161" s="211"/>
      <c r="N161" s="211">
        <f>$K$161*(E153)</f>
        <v>0</v>
      </c>
      <c r="O161" s="211"/>
      <c r="P161" s="211"/>
      <c r="Q161" s="211">
        <f>$K$161*(H153)</f>
        <v>0</v>
      </c>
      <c r="R161" s="211"/>
      <c r="S161" s="211"/>
      <c r="T161" s="211">
        <f>$K$161*(K153)</f>
        <v>0</v>
      </c>
      <c r="U161" s="211"/>
      <c r="V161" s="211"/>
      <c r="W161" s="211">
        <f>$K$161*(N153)</f>
        <v>0</v>
      </c>
      <c r="X161" s="211"/>
      <c r="Y161" s="211"/>
      <c r="Z161" s="211">
        <f>$K$161*(Q153)</f>
        <v>0</v>
      </c>
      <c r="AA161" s="211"/>
      <c r="AB161" s="211"/>
      <c r="AC161" s="211">
        <f>$K$161*(T153)</f>
        <v>0</v>
      </c>
      <c r="AD161" s="211"/>
      <c r="AE161" s="211"/>
      <c r="AF161" s="211">
        <f>$K$161*(W153)</f>
        <v>0</v>
      </c>
      <c r="AG161" s="211"/>
      <c r="AH161" s="211"/>
      <c r="AI161" s="211">
        <f>$K$161*(Z153)</f>
        <v>0</v>
      </c>
      <c r="AJ161" s="211"/>
      <c r="AK161" s="211"/>
      <c r="AL161" s="211">
        <f>$K$161*(AC153)</f>
        <v>0</v>
      </c>
      <c r="AM161" s="211"/>
      <c r="AN161" s="211"/>
    </row>
    <row r="162" spans="2:42" ht="12" hidden="1" customHeight="1" outlineLevel="2">
      <c r="B162" s="245"/>
      <c r="C162" s="213" t="s">
        <v>760</v>
      </c>
      <c r="D162" s="213"/>
      <c r="E162" s="213"/>
      <c r="F162" s="213"/>
      <c r="G162" s="213"/>
      <c r="H162" s="213"/>
      <c r="I162" s="213"/>
      <c r="J162" s="213"/>
      <c r="K162" s="213"/>
      <c r="L162" s="211">
        <f>INDEX($C$44:$AN$66,MATCH("New Customers 3MS",$C$44:$C$66,0),MATCH($C162,$C$44:$AN$44,0))</f>
        <v>0</v>
      </c>
      <c r="M162" s="211"/>
      <c r="N162" s="211"/>
      <c r="O162" s="211">
        <f>$L$162*(E153)</f>
        <v>0</v>
      </c>
      <c r="P162" s="211"/>
      <c r="Q162" s="211"/>
      <c r="R162" s="211">
        <f>$L$162*(H153)</f>
        <v>0</v>
      </c>
      <c r="S162" s="211"/>
      <c r="T162" s="211"/>
      <c r="U162" s="211">
        <f>$L$162*(K153)</f>
        <v>0</v>
      </c>
      <c r="V162" s="211"/>
      <c r="W162" s="211"/>
      <c r="X162" s="211">
        <f>$L$162*(N153)</f>
        <v>0</v>
      </c>
      <c r="Y162" s="211"/>
      <c r="Z162" s="211"/>
      <c r="AA162" s="211">
        <f>$L$162*(Q153)</f>
        <v>0</v>
      </c>
      <c r="AB162" s="211"/>
      <c r="AC162" s="211"/>
      <c r="AD162" s="211">
        <f>$L$162*(T153)</f>
        <v>0</v>
      </c>
      <c r="AE162" s="211"/>
      <c r="AF162" s="211"/>
      <c r="AG162" s="211">
        <f>$L$162*(W153)</f>
        <v>0</v>
      </c>
      <c r="AH162" s="211"/>
      <c r="AI162" s="211"/>
      <c r="AJ162" s="211">
        <f>$L$162*(Z153)</f>
        <v>0</v>
      </c>
      <c r="AK162" s="211"/>
      <c r="AL162" s="211"/>
      <c r="AM162" s="211">
        <f>$L$162*(AC153)</f>
        <v>0</v>
      </c>
      <c r="AN162" s="211"/>
    </row>
    <row r="163" spans="2:42" ht="12" hidden="1" customHeight="1" outlineLevel="2">
      <c r="B163" s="245"/>
      <c r="C163" s="213" t="s">
        <v>761</v>
      </c>
      <c r="D163" s="213"/>
      <c r="E163" s="213"/>
      <c r="F163" s="213"/>
      <c r="G163" s="213"/>
      <c r="H163" s="213"/>
      <c r="I163" s="213"/>
      <c r="J163" s="213"/>
      <c r="K163" s="213"/>
      <c r="L163" s="213"/>
      <c r="M163" s="211">
        <f>INDEX($C$44:$AN$64,MATCH("New Customers 3MS",$C$44:$C$64,0),MATCH($C163,$C$44:$AN$44,0))</f>
        <v>0.67754137115839264</v>
      </c>
      <c r="N163" s="211"/>
      <c r="O163" s="211"/>
      <c r="P163" s="211">
        <f>$M$163*(E153)</f>
        <v>0.60978723404255342</v>
      </c>
      <c r="Q163" s="211"/>
      <c r="R163" s="211"/>
      <c r="S163" s="211">
        <f>$M$163*(H153)</f>
        <v>0.40652482269503559</v>
      </c>
      <c r="T163" s="211"/>
      <c r="U163" s="211"/>
      <c r="V163" s="211">
        <f>$M$163*(K153)</f>
        <v>0.27101654846335704</v>
      </c>
      <c r="W163" s="211"/>
      <c r="X163" s="211"/>
      <c r="Y163" s="211">
        <f>$M$163*(N153)</f>
        <v>0.13550827423167852</v>
      </c>
      <c r="Z163" s="211"/>
      <c r="AA163" s="211"/>
      <c r="AB163" s="211">
        <f>$M$163*(Q153)</f>
        <v>0.1016312056737589</v>
      </c>
      <c r="AC163" s="211"/>
      <c r="AD163" s="211"/>
      <c r="AE163" s="211">
        <f>$M$163*(T153)</f>
        <v>6.7754137115839261E-2</v>
      </c>
      <c r="AF163" s="211"/>
      <c r="AG163" s="211"/>
      <c r="AH163" s="211">
        <f>$M$163*(W153)</f>
        <v>5.4203309692671411E-2</v>
      </c>
      <c r="AI163" s="211"/>
      <c r="AJ163" s="211"/>
      <c r="AK163" s="211">
        <f>$M$163*(Z153)</f>
        <v>4.7427895981087487E-2</v>
      </c>
      <c r="AL163" s="211"/>
      <c r="AM163" s="211"/>
      <c r="AN163" s="211">
        <f>$M$163*(AC153)</f>
        <v>3.387706855791963E-2</v>
      </c>
    </row>
    <row r="164" spans="2:42" ht="12" hidden="1" customHeight="1" outlineLevel="2">
      <c r="B164" s="245"/>
      <c r="C164" s="213" t="s">
        <v>762</v>
      </c>
      <c r="D164" s="213"/>
      <c r="E164" s="213"/>
      <c r="F164" s="213"/>
      <c r="G164" s="213"/>
      <c r="H164" s="213"/>
      <c r="I164" s="213"/>
      <c r="J164" s="213"/>
      <c r="K164" s="213"/>
      <c r="L164" s="213"/>
      <c r="M164" s="213"/>
      <c r="N164" s="211">
        <f>INDEX($C$44:$AN$66,MATCH("New Customers 3MS",$C$44:$C$66,0),MATCH($C164,$C$44:$AN$44,0))</f>
        <v>9.4562647754137128</v>
      </c>
      <c r="O164" s="211"/>
      <c r="P164" s="211"/>
      <c r="Q164" s="211">
        <f>$N$164*(E153)</f>
        <v>8.5106382978723421</v>
      </c>
      <c r="R164" s="211"/>
      <c r="S164" s="211"/>
      <c r="T164" s="211">
        <f>$N$164*(H153)</f>
        <v>5.6737588652482271</v>
      </c>
      <c r="U164" s="211"/>
      <c r="V164" s="211"/>
      <c r="W164" s="211">
        <f>$N$164*(K153)</f>
        <v>3.7825059101654852</v>
      </c>
      <c r="X164" s="211"/>
      <c r="Y164" s="211"/>
      <c r="Z164" s="211">
        <f>$N$164*(N153)</f>
        <v>1.8912529550827426</v>
      </c>
      <c r="AA164" s="211"/>
      <c r="AB164" s="211"/>
      <c r="AC164" s="211">
        <f>$N$164*(Q153)</f>
        <v>1.4184397163120568</v>
      </c>
      <c r="AD164" s="211"/>
      <c r="AE164" s="211"/>
      <c r="AF164" s="211">
        <f>$N$164*(T153)</f>
        <v>0.9456264775413713</v>
      </c>
      <c r="AG164" s="211"/>
      <c r="AH164" s="211"/>
      <c r="AI164" s="211">
        <f>$N$164*(W153)</f>
        <v>0.75650118203309702</v>
      </c>
      <c r="AJ164" s="211"/>
      <c r="AK164" s="211"/>
      <c r="AL164" s="211">
        <f>$N$164*(Z153)</f>
        <v>0.66193853427895999</v>
      </c>
      <c r="AM164" s="211"/>
      <c r="AN164" s="211"/>
      <c r="AO164" s="211"/>
    </row>
    <row r="165" spans="2:42" ht="12" hidden="1" customHeight="1" outlineLevel="2">
      <c r="B165" s="245"/>
      <c r="C165" s="213" t="s">
        <v>763</v>
      </c>
      <c r="D165" s="213"/>
      <c r="E165" s="213"/>
      <c r="F165" s="213"/>
      <c r="G165" s="213"/>
      <c r="H165" s="213"/>
      <c r="I165" s="213"/>
      <c r="J165" s="213"/>
      <c r="K165" s="213"/>
      <c r="L165" s="213"/>
      <c r="M165" s="213"/>
      <c r="N165" s="213"/>
      <c r="O165" s="211">
        <f>INDEX($C$44:$AN$66,MATCH("New Customers 3MS",$C$44:$C$66,0),MATCH($C165,$C$44:$AN$44,0))</f>
        <v>9.4562647754137128</v>
      </c>
      <c r="P165" s="211"/>
      <c r="Q165" s="211"/>
      <c r="R165" s="211">
        <f>$N$164*(E153)</f>
        <v>8.5106382978723421</v>
      </c>
      <c r="S165" s="211"/>
      <c r="T165" s="211"/>
      <c r="U165" s="211">
        <f>$N$164*(H153)</f>
        <v>5.6737588652482271</v>
      </c>
      <c r="V165" s="211"/>
      <c r="W165" s="211"/>
      <c r="X165" s="211">
        <f>$N$164*(K153)</f>
        <v>3.7825059101654852</v>
      </c>
      <c r="Y165" s="211"/>
      <c r="Z165" s="211"/>
      <c r="AA165" s="211">
        <f>$N$164*(N153)</f>
        <v>1.8912529550827426</v>
      </c>
      <c r="AB165" s="211"/>
      <c r="AC165" s="211"/>
      <c r="AD165" s="211">
        <f>$N$164*(Q153)</f>
        <v>1.4184397163120568</v>
      </c>
      <c r="AE165" s="211"/>
      <c r="AF165" s="211"/>
      <c r="AG165" s="211">
        <f>$N$164*(T153)</f>
        <v>0.9456264775413713</v>
      </c>
      <c r="AH165" s="211"/>
      <c r="AI165" s="211"/>
      <c r="AJ165" s="211">
        <f>$N$164*(W153)</f>
        <v>0.75650118203309702</v>
      </c>
      <c r="AK165" s="211"/>
      <c r="AL165" s="211"/>
      <c r="AM165" s="211">
        <f>$N$164*(Z153)</f>
        <v>0.66193853427895999</v>
      </c>
      <c r="AN165" s="211"/>
    </row>
    <row r="166" spans="2:42" ht="12" hidden="1" customHeight="1" outlineLevel="2">
      <c r="B166" s="245"/>
      <c r="C166" s="213" t="s">
        <v>764</v>
      </c>
      <c r="D166" s="213"/>
      <c r="E166" s="213"/>
      <c r="F166" s="213"/>
      <c r="G166" s="213"/>
      <c r="H166" s="213"/>
      <c r="I166" s="213"/>
      <c r="J166" s="213"/>
      <c r="K166" s="213"/>
      <c r="L166" s="213"/>
      <c r="M166" s="213"/>
      <c r="N166" s="213"/>
      <c r="O166" s="213"/>
      <c r="P166" s="211">
        <f>INDEX($C$44:$AN$66,MATCH("New Customers 3MS",$C$44:$C$66,0),MATCH($C166,$C$44:$AN$44,0))</f>
        <v>4.7281323877068564</v>
      </c>
      <c r="Q166" s="211"/>
      <c r="R166" s="211"/>
      <c r="S166" s="211">
        <f>$P$166*(E153)</f>
        <v>4.255319148936171</v>
      </c>
      <c r="T166" s="211"/>
      <c r="U166" s="211"/>
      <c r="V166" s="211">
        <f>$P$166*(H153)</f>
        <v>2.8368794326241136</v>
      </c>
      <c r="W166" s="211"/>
      <c r="X166" s="211"/>
      <c r="Y166" s="211">
        <f>$P$166*(K153)</f>
        <v>1.8912529550827426</v>
      </c>
      <c r="Z166" s="211"/>
      <c r="AA166" s="211"/>
      <c r="AB166" s="211">
        <f>$P$166*(N153)</f>
        <v>0.9456264775413713</v>
      </c>
      <c r="AC166" s="211"/>
      <c r="AD166" s="211"/>
      <c r="AE166" s="211">
        <f>$P$166*(Q153)</f>
        <v>0.70921985815602839</v>
      </c>
      <c r="AF166" s="211"/>
      <c r="AG166" s="211"/>
      <c r="AH166" s="211">
        <f>$P$166*(T153)</f>
        <v>0.47281323877068565</v>
      </c>
      <c r="AI166" s="211"/>
      <c r="AJ166" s="211"/>
      <c r="AK166" s="211">
        <f>$P$166*(W153)</f>
        <v>0.37825059101654851</v>
      </c>
      <c r="AL166" s="211"/>
      <c r="AM166" s="211"/>
      <c r="AN166" s="211">
        <f>$P$166*(Z153)</f>
        <v>0.33096926713947999</v>
      </c>
    </row>
    <row r="167" spans="2:42" ht="12" hidden="1" customHeight="1" outlineLevel="2">
      <c r="B167" s="245"/>
      <c r="C167" s="213" t="s">
        <v>765</v>
      </c>
      <c r="D167" s="213"/>
      <c r="E167" s="213"/>
      <c r="F167" s="213"/>
      <c r="G167" s="213"/>
      <c r="H167" s="213"/>
      <c r="I167" s="213"/>
      <c r="J167" s="213"/>
      <c r="K167" s="213"/>
      <c r="L167" s="213"/>
      <c r="M167" s="213"/>
      <c r="N167" s="213"/>
      <c r="O167" s="213"/>
      <c r="P167" s="213"/>
      <c r="Q167" s="211">
        <f>INDEX($C$44:$AN$66,MATCH("New Customers 3MS",$C$44:$C$66,0),MATCH($C167,$C$44:$AN$44,0))</f>
        <v>0.53758865248226961</v>
      </c>
      <c r="R167" s="211"/>
      <c r="S167" s="211"/>
      <c r="T167" s="211">
        <f>$Q$167*(E153)</f>
        <v>0.48382978723404269</v>
      </c>
      <c r="U167" s="211"/>
      <c r="V167" s="211"/>
      <c r="W167" s="211">
        <f>$Q$167*(H153)</f>
        <v>0.32255319148936173</v>
      </c>
      <c r="X167" s="211"/>
      <c r="Y167" s="211"/>
      <c r="Z167" s="211">
        <f>$Q$167*(K153)</f>
        <v>0.21503546099290785</v>
      </c>
      <c r="AA167" s="211"/>
      <c r="AB167" s="211"/>
      <c r="AC167" s="211">
        <f>$Q$167*(N153)</f>
        <v>0.10751773049645393</v>
      </c>
      <c r="AD167" s="211"/>
      <c r="AE167" s="211"/>
      <c r="AF167" s="211">
        <f>$Q$167*(Q153)</f>
        <v>8.0638297872340434E-2</v>
      </c>
      <c r="AG167" s="211"/>
      <c r="AH167" s="211"/>
      <c r="AI167" s="211">
        <f>$Q$167*(T153)</f>
        <v>5.3758865248226963E-2</v>
      </c>
      <c r="AJ167" s="211"/>
      <c r="AK167" s="211"/>
      <c r="AL167" s="211">
        <f>$Q$167*(W153)</f>
        <v>4.3007092198581572E-2</v>
      </c>
      <c r="AM167" s="211"/>
      <c r="AN167" s="211"/>
      <c r="AO167" s="211"/>
    </row>
    <row r="168" spans="2:42" ht="12" hidden="1" customHeight="1" outlineLevel="2">
      <c r="B168" s="245"/>
      <c r="C168" s="213" t="s">
        <v>766</v>
      </c>
      <c r="D168" s="213"/>
      <c r="E168" s="213"/>
      <c r="F168" s="213"/>
      <c r="G168" s="213"/>
      <c r="H168" s="213"/>
      <c r="I168" s="213"/>
      <c r="J168" s="213"/>
      <c r="K168" s="213"/>
      <c r="L168" s="213"/>
      <c r="M168" s="213"/>
      <c r="N168" s="213"/>
      <c r="O168" s="213"/>
      <c r="P168" s="213"/>
      <c r="Q168" s="213"/>
      <c r="R168" s="211">
        <f>INDEX($C$44:$AN$66,MATCH("New Customers 3MS",$C$44:$C$66,0),MATCH($C168,$C$44:$AN$44,0))</f>
        <v>8</v>
      </c>
      <c r="S168" s="211"/>
      <c r="T168" s="211"/>
      <c r="U168" s="211">
        <f>$R$168*(E153)</f>
        <v>7.2</v>
      </c>
      <c r="V168" s="211"/>
      <c r="W168" s="211"/>
      <c r="X168" s="211">
        <f>$R$168*(H153)</f>
        <v>4.8</v>
      </c>
      <c r="Y168" s="211"/>
      <c r="Z168" s="211"/>
      <c r="AA168" s="211">
        <f>$R$168*(K153)</f>
        <v>3.2</v>
      </c>
      <c r="AB168" s="211"/>
      <c r="AC168" s="211"/>
      <c r="AD168" s="211">
        <f>$R$168*(N153)</f>
        <v>1.6</v>
      </c>
      <c r="AE168" s="211"/>
      <c r="AF168" s="211"/>
      <c r="AG168" s="211">
        <f>$R$168*(Q153)</f>
        <v>1.2</v>
      </c>
      <c r="AH168" s="211"/>
      <c r="AI168" s="211"/>
      <c r="AJ168" s="211">
        <f>$R$168*(T153)</f>
        <v>0.8</v>
      </c>
      <c r="AK168" s="211"/>
      <c r="AL168" s="211"/>
      <c r="AM168" s="211">
        <f>$R$168*(W153)</f>
        <v>0.64</v>
      </c>
      <c r="AN168" s="211"/>
    </row>
    <row r="169" spans="2:42" ht="12" hidden="1" customHeight="1" outlineLevel="2">
      <c r="B169" s="245"/>
      <c r="C169" s="213" t="s">
        <v>767</v>
      </c>
      <c r="D169" s="213"/>
      <c r="E169" s="213"/>
      <c r="F169" s="213"/>
      <c r="G169" s="213"/>
      <c r="H169" s="213"/>
      <c r="I169" s="213"/>
      <c r="J169" s="213"/>
      <c r="K169" s="213"/>
      <c r="L169" s="213"/>
      <c r="M169" s="213"/>
      <c r="N169" s="213"/>
      <c r="O169" s="213"/>
      <c r="P169" s="213"/>
      <c r="Q169" s="213"/>
      <c r="R169" s="213"/>
      <c r="S169" s="211">
        <f>INDEX($C$44:$AN$66,MATCH("New Customers 3MS",$C$44:$C$66,0),MATCH($C169,$C$44:$AN$44,0))</f>
        <v>8.1914893617021285</v>
      </c>
      <c r="T169" s="211"/>
      <c r="U169" s="211"/>
      <c r="V169" s="211">
        <f>$S$169*(E153)</f>
        <v>7.3723404255319158</v>
      </c>
      <c r="W169" s="211"/>
      <c r="X169" s="211"/>
      <c r="Y169" s="211">
        <f>$S$169*(H153)</f>
        <v>4.9148936170212769</v>
      </c>
      <c r="Z169" s="211"/>
      <c r="AA169" s="211"/>
      <c r="AB169" s="211">
        <f>$S$169*(K153)</f>
        <v>3.2765957446808516</v>
      </c>
      <c r="AC169" s="211"/>
      <c r="AD169" s="211"/>
      <c r="AE169" s="211">
        <f>$S$169*(N153)</f>
        <v>1.6382978723404258</v>
      </c>
      <c r="AF169" s="211"/>
      <c r="AG169" s="211"/>
      <c r="AH169" s="211">
        <f>$S$169*(Q153)</f>
        <v>1.2287234042553192</v>
      </c>
      <c r="AI169" s="211"/>
      <c r="AJ169" s="211"/>
      <c r="AK169" s="211">
        <f>$S$169*(T153)</f>
        <v>0.81914893617021289</v>
      </c>
      <c r="AL169" s="211"/>
      <c r="AM169" s="211"/>
      <c r="AN169" s="211">
        <f>$S$169*(W153)</f>
        <v>0.65531914893617027</v>
      </c>
    </row>
    <row r="170" spans="2:42" ht="12" hidden="1" customHeight="1" outlineLevel="2">
      <c r="B170" s="245"/>
      <c r="C170" s="213" t="s">
        <v>768</v>
      </c>
      <c r="D170" s="213"/>
      <c r="E170" s="213"/>
      <c r="F170" s="213"/>
      <c r="G170" s="213"/>
      <c r="H170" s="213"/>
      <c r="I170" s="213"/>
      <c r="J170" s="213"/>
      <c r="K170" s="213"/>
      <c r="L170" s="213"/>
      <c r="M170" s="213"/>
      <c r="N170" s="213"/>
      <c r="O170" s="213"/>
      <c r="P170" s="213"/>
      <c r="Q170" s="213"/>
      <c r="R170" s="213"/>
      <c r="S170" s="213"/>
      <c r="T170" s="211">
        <f>INDEX($C$44:$AN$66,MATCH("New Customers 3MS",$C$44:$C$66,0),MATCH($C170,$C$44:$AN$44,0))</f>
        <v>4.839148936170214</v>
      </c>
      <c r="U170" s="211"/>
      <c r="V170" s="211"/>
      <c r="W170" s="211">
        <f>$T$170*(E153)</f>
        <v>4.3552340425531924</v>
      </c>
      <c r="X170" s="211"/>
      <c r="Y170" s="211"/>
      <c r="Z170" s="211">
        <f>$T$170*(H153)</f>
        <v>2.9034893617021282</v>
      </c>
      <c r="AA170" s="211"/>
      <c r="AB170" s="211"/>
      <c r="AC170" s="211">
        <f>$T$170*(K153)</f>
        <v>1.9356595744680858</v>
      </c>
      <c r="AD170" s="211"/>
      <c r="AE170" s="211"/>
      <c r="AF170" s="211">
        <f>$T$170*(N153)</f>
        <v>0.96782978723404289</v>
      </c>
      <c r="AG170" s="211"/>
      <c r="AH170" s="211"/>
      <c r="AI170" s="211">
        <f>$T$170*(Q153)</f>
        <v>0.72587234042553206</v>
      </c>
      <c r="AJ170" s="211"/>
      <c r="AK170" s="211"/>
      <c r="AL170" s="211">
        <f>$T$170*(T153)</f>
        <v>0.48391489361702145</v>
      </c>
      <c r="AM170" s="211"/>
      <c r="AN170" s="211"/>
      <c r="AO170" s="211"/>
    </row>
    <row r="171" spans="2:42" ht="12" hidden="1" customHeight="1" outlineLevel="2">
      <c r="B171" s="245"/>
      <c r="C171" s="213" t="s">
        <v>769</v>
      </c>
      <c r="D171" s="213"/>
      <c r="E171" s="213"/>
      <c r="F171" s="213"/>
      <c r="G171" s="213"/>
      <c r="H171" s="213"/>
      <c r="I171" s="213"/>
      <c r="J171" s="213"/>
      <c r="K171" s="213"/>
      <c r="L171" s="213"/>
      <c r="M171" s="213"/>
      <c r="N171" s="213"/>
      <c r="O171" s="213"/>
      <c r="P171" s="213"/>
      <c r="Q171" s="213"/>
      <c r="R171" s="213"/>
      <c r="S171" s="213"/>
      <c r="T171" s="213"/>
      <c r="U171" s="211">
        <f>INDEX($C$44:$AN$66,MATCH("New Customers 3MS",$C$44:$C$66,0),MATCH($C171,$C$44:$AN$44,0))</f>
        <v>4.9273758865248238</v>
      </c>
      <c r="V171" s="211"/>
      <c r="W171" s="211"/>
      <c r="X171" s="211">
        <f>$U$171*(E153)</f>
        <v>4.4346382978723415</v>
      </c>
      <c r="Y171" s="211"/>
      <c r="Z171" s="211"/>
      <c r="AA171" s="211">
        <f>$U$171*(H153)</f>
        <v>2.9564255319148942</v>
      </c>
      <c r="AB171" s="211"/>
      <c r="AC171" s="211"/>
      <c r="AD171" s="211">
        <f>$U$171*(K153)</f>
        <v>1.9709503546099296</v>
      </c>
      <c r="AE171" s="211"/>
      <c r="AF171" s="211"/>
      <c r="AG171" s="211">
        <f>$U$171*(N153)</f>
        <v>0.98547517730496481</v>
      </c>
      <c r="AH171" s="211"/>
      <c r="AI171" s="211"/>
      <c r="AJ171" s="211">
        <f>$U$171*(Q153)</f>
        <v>0.73910638297872355</v>
      </c>
      <c r="AK171" s="211"/>
      <c r="AL171" s="211"/>
      <c r="AM171" s="211">
        <f>$U$171*(T153)</f>
        <v>0.49273758865248241</v>
      </c>
      <c r="AN171" s="211"/>
      <c r="AP171" s="211"/>
    </row>
    <row r="172" spans="2:42" ht="12" hidden="1" customHeight="1" outlineLevel="2">
      <c r="B172" s="245"/>
      <c r="C172" s="213" t="s">
        <v>770</v>
      </c>
      <c r="D172" s="213"/>
      <c r="E172" s="213"/>
      <c r="F172" s="213"/>
      <c r="G172" s="213"/>
      <c r="H172" s="213"/>
      <c r="I172" s="213"/>
      <c r="J172" s="213"/>
      <c r="K172" s="213"/>
      <c r="L172" s="213"/>
      <c r="M172" s="213"/>
      <c r="N172" s="213"/>
      <c r="O172" s="213"/>
      <c r="P172" s="213"/>
      <c r="Q172" s="213"/>
      <c r="R172" s="213"/>
      <c r="S172" s="213"/>
      <c r="T172" s="213"/>
      <c r="U172" s="213"/>
      <c r="V172" s="211">
        <f>INDEX($C$44:$AN$66,MATCH("New Customers 3MS",$C$44:$C$66,0),MATCH($C172,$C$44:$AN$44,0))</f>
        <v>5.8229787234042556</v>
      </c>
      <c r="W172" s="211"/>
      <c r="X172" s="211"/>
      <c r="Y172" s="211">
        <f>$V$172*(E153)</f>
        <v>5.2406808510638303</v>
      </c>
      <c r="Z172" s="211"/>
      <c r="AA172" s="211"/>
      <c r="AB172" s="211">
        <f>$V$172*(H153)</f>
        <v>3.4937872340425531</v>
      </c>
      <c r="AC172" s="211"/>
      <c r="AD172" s="211"/>
      <c r="AE172" s="211">
        <f>$V$172*(K153)</f>
        <v>2.3291914893617025</v>
      </c>
      <c r="AF172" s="211"/>
      <c r="AG172" s="211"/>
      <c r="AH172" s="211">
        <f>$V$172*(N153)</f>
        <v>1.1645957446808513</v>
      </c>
      <c r="AI172" s="211"/>
      <c r="AJ172" s="211"/>
      <c r="AK172" s="211">
        <f>$V$172*(Q153)</f>
        <v>0.87344680851063827</v>
      </c>
      <c r="AL172" s="211"/>
      <c r="AM172" s="211"/>
      <c r="AN172" s="211">
        <f>$V$172*(T153)</f>
        <v>0.58229787234042563</v>
      </c>
    </row>
    <row r="173" spans="2:42" ht="12" hidden="1" customHeight="1" outlineLevel="2">
      <c r="B173" s="245"/>
      <c r="C173" s="213" t="s">
        <v>771</v>
      </c>
      <c r="D173" s="213"/>
      <c r="E173" s="213"/>
      <c r="F173" s="213"/>
      <c r="G173" s="213"/>
      <c r="H173" s="213"/>
      <c r="I173" s="213"/>
      <c r="J173" s="213"/>
      <c r="K173" s="213"/>
      <c r="L173" s="213"/>
      <c r="M173" s="213"/>
      <c r="N173" s="213"/>
      <c r="O173" s="213"/>
      <c r="P173" s="213"/>
      <c r="Q173" s="213"/>
      <c r="R173" s="213"/>
      <c r="S173" s="213"/>
      <c r="T173" s="213"/>
      <c r="U173" s="213"/>
      <c r="V173" s="213"/>
      <c r="W173" s="211">
        <f>INDEX($C$44:$AN$66,MATCH("New Customers 3MS",$C$44:$C$66,0),MATCH($C173,$C$44:$AN$44,0))</f>
        <v>8.2110638297872356</v>
      </c>
      <c r="X173" s="211"/>
      <c r="Y173" s="211"/>
      <c r="Z173" s="211">
        <f>$W$173*(E153)</f>
        <v>7.3899574468085119</v>
      </c>
      <c r="AA173" s="211"/>
      <c r="AB173" s="211"/>
      <c r="AC173" s="211">
        <f>$W$173*(H153)</f>
        <v>4.9266382978723415</v>
      </c>
      <c r="AD173" s="211"/>
      <c r="AE173" s="211"/>
      <c r="AF173" s="211">
        <f>$W$173*(K153)</f>
        <v>3.2844255319148945</v>
      </c>
      <c r="AG173" s="211"/>
      <c r="AH173" s="211"/>
      <c r="AI173" s="211">
        <f>$W$173*(N153)</f>
        <v>1.6422127659574473</v>
      </c>
      <c r="AJ173" s="211"/>
      <c r="AK173" s="211"/>
      <c r="AL173" s="211">
        <f>$W$173*(Q153)</f>
        <v>1.2316595744680854</v>
      </c>
      <c r="AM173" s="211"/>
      <c r="AN173" s="211"/>
    </row>
    <row r="174" spans="2:42" ht="12" hidden="1" customHeight="1" outlineLevel="2">
      <c r="B174" s="245"/>
      <c r="C174" s="213" t="s">
        <v>772</v>
      </c>
      <c r="D174" s="213"/>
      <c r="E174" s="213"/>
      <c r="F174" s="213"/>
      <c r="G174" s="213"/>
      <c r="H174" s="213"/>
      <c r="I174" s="213"/>
      <c r="J174" s="213"/>
      <c r="K174" s="213"/>
      <c r="L174" s="213"/>
      <c r="M174" s="213"/>
      <c r="N174" s="213"/>
      <c r="O174" s="213"/>
      <c r="P174" s="213"/>
      <c r="Q174" s="213"/>
      <c r="R174" s="213"/>
      <c r="S174" s="213"/>
      <c r="T174" s="213"/>
      <c r="U174" s="213"/>
      <c r="V174" s="213"/>
      <c r="W174" s="213"/>
      <c r="X174" s="211">
        <f>INDEX($C$44:$AN$66,MATCH("New Customers 3MS",$C$44:$C$66,0),MATCH($C174,$C$44:$AN$44,0))</f>
        <v>4.8782978723404256</v>
      </c>
      <c r="Y174" s="211"/>
      <c r="Z174" s="211"/>
      <c r="AA174" s="211">
        <f>$X$174*(E153)</f>
        <v>4.3904680851063835</v>
      </c>
      <c r="AB174" s="211"/>
      <c r="AC174" s="211"/>
      <c r="AD174" s="211">
        <f>$X$174*(H153)</f>
        <v>2.9269787234042552</v>
      </c>
      <c r="AE174" s="211"/>
      <c r="AF174" s="211"/>
      <c r="AG174" s="211">
        <f>$X$174*(K153)</f>
        <v>1.9513191489361703</v>
      </c>
      <c r="AH174" s="211"/>
      <c r="AI174" s="211"/>
      <c r="AJ174" s="211">
        <f>$X$174*(N153)</f>
        <v>0.97565957446808516</v>
      </c>
      <c r="AK174" s="211"/>
      <c r="AL174" s="211"/>
      <c r="AM174" s="211">
        <f>$X$174*(Q153)</f>
        <v>0.73174468085106381</v>
      </c>
      <c r="AN174" s="211"/>
    </row>
    <row r="175" spans="2:42" ht="12" hidden="1" customHeight="1" outlineLevel="2">
      <c r="B175" s="245"/>
      <c r="C175" s="213" t="s">
        <v>773</v>
      </c>
      <c r="D175" s="213"/>
      <c r="E175" s="213"/>
      <c r="F175" s="213"/>
      <c r="G175" s="213"/>
      <c r="H175" s="213"/>
      <c r="I175" s="213"/>
      <c r="J175" s="213"/>
      <c r="K175" s="213"/>
      <c r="L175" s="213"/>
      <c r="M175" s="213"/>
      <c r="N175" s="213"/>
      <c r="O175" s="213"/>
      <c r="P175" s="213"/>
      <c r="Q175" s="213"/>
      <c r="R175" s="213"/>
      <c r="S175" s="213"/>
      <c r="T175" s="213"/>
      <c r="U175" s="213"/>
      <c r="V175" s="213"/>
      <c r="W175" s="213"/>
      <c r="X175" s="213"/>
      <c r="Y175" s="211">
        <f>INDEX($C$44:$AN$66,MATCH("New Customers 3MS",$C$44:$C$66,0),MATCH($C175,$C$44:$AN$44,0))</f>
        <v>16.26099290780142</v>
      </c>
      <c r="Z175" s="211"/>
      <c r="AA175" s="211"/>
      <c r="AB175" s="211">
        <f>$Y$175*(E153)</f>
        <v>14.634893617021278</v>
      </c>
      <c r="AC175" s="211"/>
      <c r="AD175" s="211"/>
      <c r="AE175" s="211">
        <f>$Y$175*(H153)</f>
        <v>9.7565957446808511</v>
      </c>
      <c r="AF175" s="211"/>
      <c r="AG175" s="211"/>
      <c r="AH175" s="211">
        <f>$Y$175*(K153)</f>
        <v>6.5043971631205686</v>
      </c>
      <c r="AI175" s="211"/>
      <c r="AJ175" s="211"/>
      <c r="AK175" s="211">
        <f>$Y$175*(N153)</f>
        <v>3.2521985815602843</v>
      </c>
      <c r="AL175" s="211"/>
      <c r="AM175" s="211"/>
      <c r="AN175" s="211">
        <f>$Y$175*(Q153)</f>
        <v>2.4391489361702128</v>
      </c>
    </row>
    <row r="176" spans="2:42" ht="12" hidden="1" customHeight="1" outlineLevel="2">
      <c r="B176" s="245"/>
      <c r="C176" s="213" t="s">
        <v>774</v>
      </c>
      <c r="D176" s="213"/>
      <c r="E176" s="213"/>
      <c r="F176" s="213"/>
      <c r="G176" s="213"/>
      <c r="H176" s="213"/>
      <c r="I176" s="213"/>
      <c r="J176" s="213"/>
      <c r="K176" s="213"/>
      <c r="L176" s="213"/>
      <c r="M176" s="213"/>
      <c r="N176" s="213"/>
      <c r="O176" s="213"/>
      <c r="P176" s="213"/>
      <c r="Q176" s="213"/>
      <c r="R176" s="213"/>
      <c r="S176" s="213"/>
      <c r="T176" s="213"/>
      <c r="U176" s="213"/>
      <c r="V176" s="213"/>
      <c r="W176" s="213"/>
      <c r="X176" s="213"/>
      <c r="Y176" s="213"/>
      <c r="Z176" s="211">
        <f>INDEX($C$44:$AN$66,MATCH("New Customers 3MS",$C$44:$C$66,0),MATCH($C176,$C$44:$AN$44,0))</f>
        <v>28.368794326241137</v>
      </c>
      <c r="AA176" s="211"/>
      <c r="AB176" s="211"/>
      <c r="AC176" s="211">
        <f>$Z$176*(E153)</f>
        <v>25.531914893617024</v>
      </c>
      <c r="AD176" s="211"/>
      <c r="AE176" s="211"/>
      <c r="AF176" s="211">
        <f>$Z$176*(H153)</f>
        <v>17.021276595744681</v>
      </c>
      <c r="AG176" s="211"/>
      <c r="AH176" s="211"/>
      <c r="AI176" s="211">
        <f>$Z$176*(K153)</f>
        <v>11.347517730496456</v>
      </c>
      <c r="AJ176" s="211"/>
      <c r="AK176" s="211"/>
      <c r="AL176" s="211">
        <f>$Z$176*(N153)</f>
        <v>5.673758865248228</v>
      </c>
      <c r="AM176" s="211"/>
      <c r="AN176" s="211"/>
    </row>
    <row r="177" spans="2:41" ht="12" hidden="1" customHeight="1" outlineLevel="2">
      <c r="B177" s="245"/>
      <c r="C177" s="213" t="s">
        <v>775</v>
      </c>
      <c r="D177" s="213"/>
      <c r="E177" s="213"/>
      <c r="F177" s="213"/>
      <c r="G177" s="213"/>
      <c r="H177" s="213"/>
      <c r="I177" s="213"/>
      <c r="J177" s="213"/>
      <c r="K177" s="213"/>
      <c r="L177" s="213"/>
      <c r="M177" s="213"/>
      <c r="N177" s="213"/>
      <c r="O177" s="213"/>
      <c r="P177" s="213"/>
      <c r="Q177" s="213"/>
      <c r="R177" s="213"/>
      <c r="S177" s="213"/>
      <c r="T177" s="213"/>
      <c r="U177" s="213"/>
      <c r="V177" s="213"/>
      <c r="W177" s="213"/>
      <c r="X177" s="213"/>
      <c r="Y177" s="213"/>
      <c r="Z177" s="213"/>
      <c r="AA177" s="211">
        <f>INDEX($C$44:$AN$66,MATCH("New Customers 3MS",$C$44:$C$66,0),MATCH($C177,$C$44:$AN$44,0))</f>
        <v>17.021276595744684</v>
      </c>
      <c r="AB177" s="211"/>
      <c r="AC177" s="211"/>
      <c r="AD177" s="211">
        <f>$AA$177*(E153)</f>
        <v>15.319148936170215</v>
      </c>
      <c r="AE177" s="211"/>
      <c r="AF177" s="211"/>
      <c r="AG177" s="211">
        <f>$AA$177*(H153)</f>
        <v>10.212765957446811</v>
      </c>
      <c r="AH177" s="211"/>
      <c r="AI177" s="211"/>
      <c r="AJ177" s="211">
        <f>$AA$177*(K153)</f>
        <v>6.8085106382978742</v>
      </c>
      <c r="AK177" s="211"/>
      <c r="AL177" s="211"/>
      <c r="AM177" s="211">
        <f>$AA$177*(N153)</f>
        <v>3.4042553191489371</v>
      </c>
      <c r="AN177" s="211"/>
    </row>
    <row r="178" spans="2:41" ht="12" hidden="1" customHeight="1" outlineLevel="2">
      <c r="B178" s="245"/>
      <c r="C178" s="213" t="s">
        <v>776</v>
      </c>
      <c r="D178" s="213"/>
      <c r="E178" s="213"/>
      <c r="F178" s="213"/>
      <c r="G178" s="213"/>
      <c r="H178" s="213"/>
      <c r="I178" s="213"/>
      <c r="J178" s="213"/>
      <c r="K178" s="213"/>
      <c r="L178" s="213"/>
      <c r="M178" s="213"/>
      <c r="N178" s="213"/>
      <c r="O178" s="213"/>
      <c r="P178" s="213"/>
      <c r="Q178" s="213"/>
      <c r="R178" s="213"/>
      <c r="S178" s="213"/>
      <c r="T178" s="213"/>
      <c r="U178" s="213"/>
      <c r="V178" s="213"/>
      <c r="W178" s="213"/>
      <c r="X178" s="213"/>
      <c r="Y178" s="213"/>
      <c r="Z178" s="213"/>
      <c r="AA178" s="213"/>
      <c r="AB178" s="211">
        <f>INDEX($C$44:$AN$66,MATCH("New Customers 3MS",$C$44:$C$66,0),MATCH($C178,$C$44:$AN$44,0))</f>
        <v>11.347517730496456</v>
      </c>
      <c r="AC178" s="211"/>
      <c r="AD178" s="211"/>
      <c r="AE178" s="211">
        <f>$AB$178*(E153)</f>
        <v>10.212765957446811</v>
      </c>
      <c r="AF178" s="211"/>
      <c r="AG178" s="211"/>
      <c r="AH178" s="211">
        <f>$AB$178*(H153)</f>
        <v>6.8085106382978733</v>
      </c>
      <c r="AI178" s="211"/>
      <c r="AJ178" s="211"/>
      <c r="AK178" s="211">
        <f>$AB$178*(K153)</f>
        <v>4.5390070921985828</v>
      </c>
      <c r="AL178" s="211"/>
      <c r="AM178" s="211"/>
      <c r="AN178" s="211">
        <f>$AB$178*(N153)</f>
        <v>2.2695035460992914</v>
      </c>
    </row>
    <row r="179" spans="2:41" ht="12" hidden="1" customHeight="1" outlineLevel="2">
      <c r="B179" s="245"/>
      <c r="C179" s="213" t="s">
        <v>777</v>
      </c>
      <c r="D179" s="213"/>
      <c r="E179" s="213"/>
      <c r="F179" s="213"/>
      <c r="G179" s="213"/>
      <c r="H179" s="213"/>
      <c r="I179" s="213"/>
      <c r="J179" s="213"/>
      <c r="K179" s="213"/>
      <c r="L179" s="213"/>
      <c r="M179" s="213"/>
      <c r="N179" s="213"/>
      <c r="O179" s="213"/>
      <c r="P179" s="213"/>
      <c r="Q179" s="213"/>
      <c r="R179" s="213"/>
      <c r="S179" s="213"/>
      <c r="T179" s="213"/>
      <c r="U179" s="213"/>
      <c r="V179" s="213"/>
      <c r="W179" s="213"/>
      <c r="X179" s="213"/>
      <c r="Y179" s="213"/>
      <c r="Z179" s="213"/>
      <c r="AA179" s="213"/>
      <c r="AB179" s="211"/>
      <c r="AC179" s="211">
        <f>INDEX($C$44:$AN$66,MATCH("New Customers 3MS",$C$44:$C$66,0),MATCH($C179,$C$44:$AN$44,0))</f>
        <v>1.9290780141843975</v>
      </c>
      <c r="AD179" s="211"/>
      <c r="AE179" s="211"/>
      <c r="AF179" s="211">
        <f>$AC$179*(E153)</f>
        <v>1.7361702127659577</v>
      </c>
      <c r="AG179" s="211"/>
      <c r="AH179" s="211"/>
      <c r="AI179" s="211">
        <f>$AC$179*(H153)</f>
        <v>1.1574468085106384</v>
      </c>
      <c r="AJ179" s="211"/>
      <c r="AK179" s="211"/>
      <c r="AL179" s="211">
        <f>$AC$179*(K153)</f>
        <v>0.77163120567375909</v>
      </c>
      <c r="AM179" s="211"/>
      <c r="AN179" s="211"/>
      <c r="AO179" s="211"/>
    </row>
    <row r="180" spans="2:41" ht="12" hidden="1" customHeight="1" outlineLevel="2">
      <c r="B180" s="245"/>
      <c r="C180" s="213" t="s">
        <v>778</v>
      </c>
      <c r="D180" s="213"/>
      <c r="E180" s="213"/>
      <c r="F180" s="213"/>
      <c r="G180" s="213"/>
      <c r="H180" s="213"/>
      <c r="I180" s="213"/>
      <c r="J180" s="213"/>
      <c r="K180" s="213"/>
      <c r="L180" s="213"/>
      <c r="M180" s="213"/>
      <c r="N180" s="213"/>
      <c r="O180" s="213"/>
      <c r="P180" s="213"/>
      <c r="Q180" s="213"/>
      <c r="R180" s="213"/>
      <c r="S180" s="213"/>
      <c r="T180" s="213"/>
      <c r="U180" s="213"/>
      <c r="V180" s="213"/>
      <c r="W180" s="213"/>
      <c r="X180" s="213"/>
      <c r="Y180" s="213"/>
      <c r="Z180" s="213"/>
      <c r="AA180" s="213"/>
      <c r="AB180" s="211"/>
      <c r="AC180" s="211"/>
      <c r="AD180" s="211">
        <f>INDEX($C$44:$AN$66,MATCH("New Customers 3MS",$C$44:$C$66,0),MATCH($C180,$C$44:$AN$44,0))</f>
        <v>1.9676595744680858</v>
      </c>
      <c r="AE180" s="211"/>
      <c r="AF180" s="211"/>
      <c r="AG180" s="211">
        <f>$AD$180*(E153)</f>
        <v>1.7708936170212772</v>
      </c>
      <c r="AH180" s="211"/>
      <c r="AI180" s="211"/>
      <c r="AJ180" s="211">
        <f>$AD$180*(H153)</f>
        <v>1.1805957446808515</v>
      </c>
      <c r="AK180" s="211"/>
      <c r="AL180" s="211"/>
      <c r="AM180" s="211">
        <f>$AD$180*(K153)</f>
        <v>0.78706382978723433</v>
      </c>
      <c r="AN180" s="211"/>
    </row>
    <row r="181" spans="2:41" ht="12" hidden="1" customHeight="1" outlineLevel="2">
      <c r="B181" s="245"/>
      <c r="C181" s="213" t="s">
        <v>779</v>
      </c>
      <c r="D181" s="213"/>
      <c r="E181" s="213"/>
      <c r="F181" s="213"/>
      <c r="G181" s="213"/>
      <c r="H181" s="213"/>
      <c r="I181" s="213"/>
      <c r="J181" s="213"/>
      <c r="K181" s="213"/>
      <c r="L181" s="213"/>
      <c r="M181" s="213"/>
      <c r="N181" s="213"/>
      <c r="O181" s="213"/>
      <c r="P181" s="213"/>
      <c r="Q181" s="213"/>
      <c r="R181" s="213"/>
      <c r="S181" s="213"/>
      <c r="T181" s="213"/>
      <c r="U181" s="213"/>
      <c r="V181" s="213"/>
      <c r="W181" s="213"/>
      <c r="X181" s="213"/>
      <c r="Y181" s="213"/>
      <c r="Z181" s="213"/>
      <c r="AA181" s="213"/>
      <c r="AB181" s="211"/>
      <c r="AC181" s="211"/>
      <c r="AD181" s="211"/>
      <c r="AE181" s="211">
        <f>INDEX($C$44:$AN$66,MATCH("New Customers 3MS",$C$44:$C$66,0),MATCH($C181,$C$44:$AN$44,0))</f>
        <v>2.0070127659574473</v>
      </c>
      <c r="AF181" s="211"/>
      <c r="AG181" s="211"/>
      <c r="AH181" s="211">
        <f>$AE$181*(E153)</f>
        <v>1.8063114893617025</v>
      </c>
      <c r="AI181" s="211"/>
      <c r="AJ181" s="211"/>
      <c r="AK181" s="211">
        <f>$AE$181*(H153)</f>
        <v>1.2042076595744684</v>
      </c>
      <c r="AL181" s="211"/>
      <c r="AM181" s="211"/>
      <c r="AN181" s="211">
        <f>$AE$181*(K153)</f>
        <v>0.80280510638297897</v>
      </c>
    </row>
    <row r="182" spans="2:41" ht="12" hidden="1" customHeight="1" outlineLevel="2">
      <c r="B182" s="245"/>
      <c r="C182" s="213" t="s">
        <v>780</v>
      </c>
      <c r="D182" s="213"/>
      <c r="E182" s="213"/>
      <c r="F182" s="213"/>
      <c r="G182" s="213"/>
      <c r="H182" s="213"/>
      <c r="I182" s="213"/>
      <c r="J182" s="213"/>
      <c r="K182" s="213"/>
      <c r="L182" s="213"/>
      <c r="M182" s="213"/>
      <c r="N182" s="213"/>
      <c r="O182" s="213"/>
      <c r="P182" s="213"/>
      <c r="Q182" s="213"/>
      <c r="R182" s="213"/>
      <c r="S182" s="213"/>
      <c r="T182" s="213"/>
      <c r="U182" s="213"/>
      <c r="V182" s="213"/>
      <c r="W182" s="213"/>
      <c r="X182" s="213"/>
      <c r="Y182" s="213"/>
      <c r="Z182" s="213"/>
      <c r="AA182" s="213"/>
      <c r="AB182" s="211"/>
      <c r="AC182" s="211"/>
      <c r="AD182" s="211"/>
      <c r="AE182" s="211"/>
      <c r="AF182" s="211">
        <f>INDEX($C$44:$AN$66,MATCH("New Customers 3MS",$C$44:$C$66,0),MATCH($C182,$C$44:$AN$44,0))</f>
        <v>2.0471530212765963</v>
      </c>
      <c r="AG182" s="211"/>
      <c r="AH182" s="211"/>
      <c r="AI182" s="211">
        <f>$AF$182*(E153)</f>
        <v>1.8424377191489367</v>
      </c>
      <c r="AJ182" s="211"/>
      <c r="AK182" s="211"/>
      <c r="AL182" s="211">
        <f>$AF$182*(H153)</f>
        <v>1.2282918127659577</v>
      </c>
      <c r="AM182" s="211"/>
      <c r="AN182" s="211"/>
    </row>
    <row r="183" spans="2:41" ht="12" hidden="1" customHeight="1" outlineLevel="2">
      <c r="B183" s="245"/>
      <c r="C183" s="213" t="s">
        <v>781</v>
      </c>
      <c r="D183" s="213"/>
      <c r="E183" s="213"/>
      <c r="F183" s="213"/>
      <c r="G183" s="213"/>
      <c r="H183" s="213"/>
      <c r="I183" s="213"/>
      <c r="J183" s="213"/>
      <c r="K183" s="213"/>
      <c r="L183" s="213"/>
      <c r="M183" s="213"/>
      <c r="N183" s="213"/>
      <c r="O183" s="213"/>
      <c r="P183" s="213"/>
      <c r="Q183" s="213"/>
      <c r="R183" s="213"/>
      <c r="S183" s="213"/>
      <c r="T183" s="213"/>
      <c r="U183" s="213"/>
      <c r="V183" s="213"/>
      <c r="W183" s="213"/>
      <c r="X183" s="213"/>
      <c r="Y183" s="213"/>
      <c r="Z183" s="213"/>
      <c r="AA183" s="213"/>
      <c r="AB183" s="211"/>
      <c r="AC183" s="211"/>
      <c r="AD183" s="211"/>
      <c r="AE183" s="211"/>
      <c r="AF183" s="211"/>
      <c r="AG183" s="211">
        <f>INDEX($C$44:$AN$66,MATCH("New Customers 3MS",$C$44:$C$66,0),MATCH($C183,$C$44:$AN$44,0))</f>
        <v>2.0880960817021279</v>
      </c>
      <c r="AH183" s="211"/>
      <c r="AI183" s="211"/>
      <c r="AJ183" s="211">
        <f>$AG$183*(E153)</f>
        <v>1.8792864735319152</v>
      </c>
      <c r="AK183" s="211"/>
      <c r="AL183" s="211"/>
      <c r="AM183" s="211">
        <f>$AG$183*(H153)</f>
        <v>1.2528576490212766</v>
      </c>
      <c r="AN183" s="211"/>
    </row>
    <row r="184" spans="2:41" ht="12" hidden="1" customHeight="1" outlineLevel="2">
      <c r="B184" s="245"/>
      <c r="C184" s="213" t="s">
        <v>782</v>
      </c>
      <c r="D184" s="213"/>
      <c r="E184" s="213"/>
      <c r="F184" s="213"/>
      <c r="G184" s="213"/>
      <c r="H184" s="213"/>
      <c r="I184" s="213"/>
      <c r="J184" s="213"/>
      <c r="K184" s="213"/>
      <c r="L184" s="213"/>
      <c r="M184" s="213"/>
      <c r="N184" s="213"/>
      <c r="O184" s="213"/>
      <c r="P184" s="213"/>
      <c r="Q184" s="213"/>
      <c r="R184" s="213"/>
      <c r="S184" s="213"/>
      <c r="T184" s="213"/>
      <c r="U184" s="213"/>
      <c r="V184" s="213"/>
      <c r="W184" s="213"/>
      <c r="X184" s="213"/>
      <c r="Y184" s="213"/>
      <c r="Z184" s="213"/>
      <c r="AA184" s="213"/>
      <c r="AB184" s="211"/>
      <c r="AC184" s="211"/>
      <c r="AD184" s="211"/>
      <c r="AE184" s="211"/>
      <c r="AF184" s="211"/>
      <c r="AG184" s="211"/>
      <c r="AH184" s="211">
        <f>INDEX($C$44:$AN$66,MATCH("New Customers 3MS",$C$44:$C$66,0),MATCH($C184,$C$44:$AN$44,0))</f>
        <v>2.1298580033361705</v>
      </c>
      <c r="AI184" s="211"/>
      <c r="AJ184" s="211"/>
      <c r="AK184" s="211">
        <f>$AH$184*(E153)</f>
        <v>1.9168722030025536</v>
      </c>
      <c r="AL184" s="211"/>
      <c r="AM184" s="211"/>
      <c r="AN184" s="211">
        <f>$AH$184*(H153)</f>
        <v>1.2779148020017022</v>
      </c>
    </row>
    <row r="185" spans="2:41" ht="12" hidden="1" customHeight="1" outlineLevel="2">
      <c r="B185" s="245"/>
      <c r="C185" s="213" t="s">
        <v>783</v>
      </c>
      <c r="D185" s="213"/>
      <c r="E185" s="213"/>
      <c r="F185" s="213"/>
      <c r="G185" s="213"/>
      <c r="H185" s="213"/>
      <c r="I185" s="213"/>
      <c r="J185" s="213"/>
      <c r="K185" s="213"/>
      <c r="L185" s="213"/>
      <c r="M185" s="213"/>
      <c r="N185" s="213"/>
      <c r="O185" s="213"/>
      <c r="P185" s="213"/>
      <c r="Q185" s="213"/>
      <c r="R185" s="213"/>
      <c r="S185" s="213"/>
      <c r="T185" s="213"/>
      <c r="U185" s="213"/>
      <c r="V185" s="213"/>
      <c r="W185" s="213"/>
      <c r="X185" s="213"/>
      <c r="Y185" s="213"/>
      <c r="Z185" s="213"/>
      <c r="AA185" s="213"/>
      <c r="AB185" s="211"/>
      <c r="AC185" s="211"/>
      <c r="AD185" s="211"/>
      <c r="AE185" s="211"/>
      <c r="AF185" s="211"/>
      <c r="AG185" s="211"/>
      <c r="AH185" s="211"/>
      <c r="AI185" s="211">
        <f>INDEX($C$44:$AN$66,MATCH("New Customers 3MS",$C$44:$C$66,0),MATCH($C185,$C$44:$AN$44,0))</f>
        <v>2.1724551634028937</v>
      </c>
      <c r="AJ185" s="211"/>
      <c r="AK185" s="211"/>
      <c r="AL185" s="211">
        <f>$AI$185*(E153)</f>
        <v>1.9552096470626044</v>
      </c>
      <c r="AM185" s="211"/>
      <c r="AN185" s="211"/>
    </row>
    <row r="186" spans="2:41" ht="12" hidden="1" customHeight="1" outlineLevel="2">
      <c r="B186" s="245"/>
      <c r="C186" s="213" t="s">
        <v>784</v>
      </c>
      <c r="D186" s="213"/>
      <c r="E186" s="213"/>
      <c r="F186" s="213"/>
      <c r="G186" s="213"/>
      <c r="H186" s="213"/>
      <c r="I186" s="213"/>
      <c r="J186" s="213"/>
      <c r="K186" s="213"/>
      <c r="L186" s="213"/>
      <c r="M186" s="213"/>
      <c r="N186" s="213"/>
      <c r="O186" s="213"/>
      <c r="P186" s="213"/>
      <c r="Q186" s="213"/>
      <c r="R186" s="213"/>
      <c r="S186" s="213"/>
      <c r="T186" s="213"/>
      <c r="U186" s="213"/>
      <c r="V186" s="213"/>
      <c r="W186" s="213"/>
      <c r="X186" s="213"/>
      <c r="Y186" s="213"/>
      <c r="Z186" s="213"/>
      <c r="AA186" s="213"/>
      <c r="AB186" s="211"/>
      <c r="AC186" s="211"/>
      <c r="AD186" s="211"/>
      <c r="AE186" s="211"/>
      <c r="AF186" s="211"/>
      <c r="AG186" s="211"/>
      <c r="AH186" s="211"/>
      <c r="AI186" s="211"/>
      <c r="AJ186" s="211">
        <f>INDEX($C$44:$AN$66,MATCH("New Customers 3MS",$C$44:$C$66,0),MATCH($C186,$C$44:$AN$44,0))</f>
        <v>2.2159042666709521</v>
      </c>
      <c r="AK186" s="211"/>
      <c r="AL186" s="211"/>
      <c r="AM186" s="211">
        <f>$AJ$186*(E153)</f>
        <v>1.9943138400038569</v>
      </c>
      <c r="AN186" s="211"/>
    </row>
    <row r="187" spans="2:41" ht="12" hidden="1" customHeight="1" outlineLevel="2">
      <c r="B187" s="245"/>
      <c r="C187" s="213" t="s">
        <v>785</v>
      </c>
      <c r="D187" s="213"/>
      <c r="E187" s="213"/>
      <c r="F187" s="213"/>
      <c r="G187" s="213"/>
      <c r="H187" s="213"/>
      <c r="I187" s="213"/>
      <c r="J187" s="213"/>
      <c r="K187" s="213"/>
      <c r="L187" s="213"/>
      <c r="M187" s="213"/>
      <c r="N187" s="213"/>
      <c r="O187" s="213"/>
      <c r="P187" s="213"/>
      <c r="Q187" s="213"/>
      <c r="R187" s="213"/>
      <c r="S187" s="213"/>
      <c r="T187" s="213"/>
      <c r="U187" s="213"/>
      <c r="V187" s="213"/>
      <c r="W187" s="213"/>
      <c r="X187" s="213"/>
      <c r="Y187" s="213"/>
      <c r="Z187" s="213"/>
      <c r="AA187" s="213"/>
      <c r="AB187" s="211"/>
      <c r="AC187" s="211"/>
      <c r="AD187" s="211"/>
      <c r="AE187" s="211"/>
      <c r="AF187" s="211"/>
      <c r="AG187" s="211"/>
      <c r="AH187" s="211"/>
      <c r="AI187" s="211"/>
      <c r="AJ187" s="211"/>
      <c r="AK187" s="211">
        <f>INDEX($C$44:$AN$66,MATCH("New Customers 3MS",$C$44:$C$66,0),MATCH($C187,$C$44:$AN$44,0))</f>
        <v>2.2602223520043712</v>
      </c>
      <c r="AL187" s="211"/>
      <c r="AM187" s="211"/>
      <c r="AN187" s="211">
        <f>$AK$187*(E153)</f>
        <v>2.0342001168039343</v>
      </c>
    </row>
    <row r="188" spans="2:41" ht="12" hidden="1" customHeight="1" outlineLevel="2">
      <c r="B188" s="245"/>
      <c r="C188" s="213" t="s">
        <v>786</v>
      </c>
      <c r="D188" s="213"/>
      <c r="E188" s="213"/>
      <c r="F188" s="213"/>
      <c r="G188" s="213"/>
      <c r="H188" s="213"/>
      <c r="I188" s="213"/>
      <c r="J188" s="213"/>
      <c r="K188" s="213"/>
      <c r="L188" s="213"/>
      <c r="M188" s="213"/>
      <c r="N188" s="213"/>
      <c r="O188" s="213"/>
      <c r="P188" s="213"/>
      <c r="Q188" s="213"/>
      <c r="R188" s="213"/>
      <c r="S188" s="213"/>
      <c r="T188" s="213"/>
      <c r="U188" s="213"/>
      <c r="V188" s="213"/>
      <c r="W188" s="213"/>
      <c r="X188" s="213"/>
      <c r="Y188" s="213"/>
      <c r="Z188" s="213"/>
      <c r="AA188" s="213"/>
      <c r="AB188" s="211"/>
      <c r="AC188" s="211"/>
      <c r="AD188" s="211"/>
      <c r="AE188" s="211"/>
      <c r="AF188" s="211"/>
      <c r="AG188" s="211"/>
      <c r="AH188" s="211"/>
      <c r="AI188" s="211"/>
      <c r="AJ188" s="211"/>
      <c r="AK188" s="211"/>
      <c r="AL188" s="211">
        <f>INDEX($C$44:$AN$66,MATCH("New Customers 3MS",$C$44:$C$66,0),MATCH($C188,$C$44:$AN$44,0))</f>
        <v>2.3054267990444592</v>
      </c>
      <c r="AM188" s="211"/>
      <c r="AN188" s="211"/>
    </row>
    <row r="189" spans="2:41" ht="12" hidden="1" customHeight="1" outlineLevel="2">
      <c r="B189" s="245"/>
      <c r="C189" s="213" t="s">
        <v>787</v>
      </c>
      <c r="D189" s="213"/>
      <c r="E189" s="213"/>
      <c r="F189" s="213"/>
      <c r="G189" s="213"/>
      <c r="H189" s="213"/>
      <c r="I189" s="213"/>
      <c r="J189" s="213"/>
      <c r="K189" s="213"/>
      <c r="L189" s="213"/>
      <c r="M189" s="213"/>
      <c r="N189" s="213"/>
      <c r="O189" s="213"/>
      <c r="P189" s="213"/>
      <c r="Q189" s="213"/>
      <c r="R189" s="213"/>
      <c r="S189" s="213"/>
      <c r="T189" s="213"/>
      <c r="U189" s="213"/>
      <c r="V189" s="213"/>
      <c r="W189" s="213"/>
      <c r="X189" s="213"/>
      <c r="Y189" s="213"/>
      <c r="Z189" s="213"/>
      <c r="AA189" s="213"/>
      <c r="AB189" s="211"/>
      <c r="AC189" s="211"/>
      <c r="AD189" s="211"/>
      <c r="AE189" s="211"/>
      <c r="AF189" s="211"/>
      <c r="AG189" s="211"/>
      <c r="AH189" s="211"/>
      <c r="AI189" s="211"/>
      <c r="AJ189" s="211"/>
      <c r="AK189" s="211"/>
      <c r="AL189" s="211"/>
      <c r="AM189" s="211">
        <f>INDEX($C$44:$AN$66,MATCH("New Customers 3MS",$C$44:$C$66,0),MATCH($C189,$C$44:$AN$44,0))</f>
        <v>2.3515353350253481</v>
      </c>
      <c r="AN189" s="211"/>
    </row>
    <row r="190" spans="2:41" ht="12" hidden="1" customHeight="1" outlineLevel="2">
      <c r="B190" s="245"/>
      <c r="C190" s="213" t="s">
        <v>788</v>
      </c>
      <c r="D190" s="213"/>
      <c r="E190" s="213"/>
      <c r="F190" s="213"/>
      <c r="G190" s="213"/>
      <c r="H190" s="213"/>
      <c r="I190" s="213"/>
      <c r="J190" s="213"/>
      <c r="K190" s="213"/>
      <c r="L190" s="213"/>
      <c r="M190" s="213"/>
      <c r="N190" s="213"/>
      <c r="O190" s="213"/>
      <c r="P190" s="213"/>
      <c r="Q190" s="213"/>
      <c r="R190" s="213"/>
      <c r="S190" s="213"/>
      <c r="T190" s="213"/>
      <c r="U190" s="213"/>
      <c r="V190" s="213"/>
      <c r="W190" s="213"/>
      <c r="X190" s="213"/>
      <c r="Y190" s="213"/>
      <c r="Z190" s="213"/>
      <c r="AA190" s="213"/>
      <c r="AB190" s="211"/>
      <c r="AC190" s="211"/>
      <c r="AD190" s="211"/>
      <c r="AE190" s="211"/>
      <c r="AF190" s="211"/>
      <c r="AG190" s="211"/>
      <c r="AH190" s="211"/>
      <c r="AI190" s="211"/>
      <c r="AJ190" s="211"/>
      <c r="AK190" s="211"/>
      <c r="AL190" s="211"/>
      <c r="AM190" s="211"/>
      <c r="AN190" s="211">
        <f>INDEX($C$44:$AN$66,MATCH("New Customers 3MS",$C$44:$C$66,0),MATCH($C190,$C$44:$AN$44,0))</f>
        <v>2.398566041725855</v>
      </c>
    </row>
    <row r="191" spans="2:41" ht="12" hidden="1" customHeight="1" outlineLevel="2">
      <c r="B191" s="245"/>
      <c r="C191" s="213"/>
      <c r="D191" s="213"/>
      <c r="E191" s="213"/>
      <c r="F191" s="213"/>
      <c r="G191" s="213"/>
      <c r="H191" s="213"/>
      <c r="I191" s="213"/>
      <c r="J191" s="213"/>
      <c r="K191" s="213"/>
      <c r="L191" s="213"/>
      <c r="M191" s="213"/>
      <c r="N191" s="213"/>
      <c r="O191" s="213"/>
      <c r="P191" s="213"/>
      <c r="Q191" s="213"/>
      <c r="R191" s="213"/>
      <c r="S191" s="213"/>
      <c r="T191" s="213"/>
      <c r="U191" s="213"/>
      <c r="V191" s="213"/>
      <c r="W191" s="213"/>
      <c r="X191" s="213"/>
      <c r="Y191" s="213"/>
      <c r="Z191" s="213"/>
      <c r="AA191" s="213"/>
      <c r="AB191" s="211"/>
      <c r="AC191" s="211"/>
      <c r="AD191" s="211"/>
      <c r="AE191" s="211"/>
      <c r="AF191" s="211"/>
      <c r="AG191" s="211"/>
      <c r="AH191" s="211"/>
      <c r="AI191" s="211"/>
      <c r="AJ191" s="211"/>
      <c r="AK191" s="211"/>
      <c r="AL191" s="211"/>
      <c r="AM191" s="211"/>
      <c r="AN191" s="211"/>
    </row>
    <row r="192" spans="2:41" ht="12" hidden="1" customHeight="1" outlineLevel="2">
      <c r="B192" s="245"/>
      <c r="C192" s="213"/>
      <c r="D192" s="213"/>
      <c r="E192" s="213"/>
      <c r="F192" s="213"/>
      <c r="G192" s="213"/>
      <c r="H192" s="213"/>
      <c r="I192" s="213"/>
      <c r="J192" s="213"/>
      <c r="K192" s="213"/>
      <c r="L192" s="213"/>
      <c r="M192" s="213"/>
      <c r="N192" s="213"/>
      <c r="O192" s="213"/>
      <c r="P192" s="213"/>
      <c r="Q192" s="213"/>
      <c r="R192" s="213"/>
      <c r="S192" s="213"/>
      <c r="T192" s="213"/>
      <c r="U192" s="213"/>
      <c r="V192" s="213"/>
      <c r="W192" s="213"/>
      <c r="X192" s="213"/>
      <c r="Y192" s="213"/>
      <c r="Z192" s="213"/>
      <c r="AA192" s="213"/>
      <c r="AB192" s="211"/>
      <c r="AC192" s="211"/>
      <c r="AD192" s="211"/>
      <c r="AE192" s="211"/>
      <c r="AF192" s="211"/>
      <c r="AG192" s="211"/>
      <c r="AH192" s="211"/>
      <c r="AI192" s="211"/>
      <c r="AJ192" s="211"/>
      <c r="AK192" s="211"/>
      <c r="AL192" s="211"/>
      <c r="AM192" s="211"/>
      <c r="AN192" s="211"/>
    </row>
    <row r="193" spans="2:40" ht="12" hidden="1" customHeight="1" outlineLevel="2">
      <c r="B193" s="245"/>
      <c r="C193" s="213"/>
      <c r="D193" s="213"/>
      <c r="E193" s="213"/>
      <c r="F193" s="213"/>
      <c r="G193" s="213"/>
      <c r="H193" s="213"/>
      <c r="I193" s="213"/>
      <c r="J193" s="213"/>
      <c r="K193" s="213"/>
      <c r="L193" s="213"/>
      <c r="M193" s="213"/>
      <c r="N193" s="213"/>
      <c r="O193" s="213"/>
      <c r="P193" s="213"/>
      <c r="Q193" s="213"/>
      <c r="R193" s="213"/>
      <c r="S193" s="213"/>
      <c r="T193" s="213"/>
      <c r="U193" s="213"/>
      <c r="V193" s="213"/>
      <c r="W193" s="213"/>
      <c r="X193" s="213"/>
      <c r="Y193" s="213"/>
      <c r="Z193" s="213"/>
      <c r="AA193" s="213"/>
      <c r="AB193" s="211"/>
      <c r="AC193" s="211"/>
      <c r="AD193" s="211"/>
      <c r="AE193" s="211"/>
      <c r="AF193" s="211"/>
      <c r="AG193" s="211"/>
      <c r="AH193" s="211"/>
      <c r="AI193" s="211"/>
      <c r="AJ193" s="211"/>
      <c r="AK193" s="211"/>
      <c r="AL193" s="211"/>
      <c r="AM193" s="211"/>
      <c r="AN193" s="211"/>
    </row>
    <row r="194" spans="2:40" ht="12" hidden="1" customHeight="1" outlineLevel="2">
      <c r="B194" s="245"/>
      <c r="C194" s="213"/>
      <c r="D194" s="213"/>
      <c r="E194" s="213"/>
      <c r="F194" s="213"/>
      <c r="G194" s="213"/>
      <c r="H194" s="213"/>
      <c r="I194" s="213"/>
      <c r="J194" s="213"/>
      <c r="K194" s="213"/>
      <c r="L194" s="213"/>
      <c r="M194" s="213"/>
      <c r="N194" s="213"/>
      <c r="O194" s="213"/>
      <c r="P194" s="213"/>
      <c r="Q194" s="213"/>
      <c r="R194" s="213"/>
      <c r="S194" s="213"/>
      <c r="T194" s="213"/>
      <c r="U194" s="213"/>
      <c r="V194" s="213"/>
      <c r="W194" s="213"/>
      <c r="X194" s="213"/>
      <c r="Y194" s="213"/>
      <c r="Z194" s="213"/>
      <c r="AA194" s="213"/>
      <c r="AB194" s="211"/>
      <c r="AC194" s="211"/>
      <c r="AD194" s="211"/>
      <c r="AE194" s="211"/>
      <c r="AF194" s="211"/>
      <c r="AG194" s="211"/>
      <c r="AH194" s="211"/>
      <c r="AI194" s="211"/>
      <c r="AJ194" s="211"/>
      <c r="AK194" s="211"/>
      <c r="AL194" s="211"/>
      <c r="AM194" s="211"/>
      <c r="AN194" s="211"/>
    </row>
    <row r="195" spans="2:40" ht="12" customHeight="1" outlineLevel="1" collapsed="1">
      <c r="B195" s="245"/>
      <c r="C195" s="243" t="s">
        <v>855</v>
      </c>
      <c r="D195" s="214"/>
      <c r="E195" s="214"/>
      <c r="F195" s="214"/>
      <c r="G195" s="214"/>
      <c r="H195" s="214"/>
      <c r="I195" s="214"/>
      <c r="J195" s="214"/>
      <c r="K195" s="214"/>
      <c r="L195" s="214"/>
      <c r="M195" s="214"/>
      <c r="N195" s="214"/>
      <c r="O195" s="214"/>
      <c r="P195" s="214"/>
      <c r="Q195" s="214"/>
      <c r="R195" s="214"/>
      <c r="S195" s="214"/>
      <c r="T195" s="214"/>
      <c r="U195" s="214"/>
      <c r="V195" s="214"/>
      <c r="W195" s="214"/>
      <c r="X195" s="214"/>
      <c r="Y195" s="214"/>
      <c r="Z195" s="214"/>
      <c r="AA195" s="214"/>
      <c r="AB195" s="214"/>
      <c r="AC195" s="211"/>
    </row>
    <row r="196" spans="2:40" ht="12" customHeight="1" outlineLevel="1">
      <c r="B196" s="239"/>
      <c r="C196" s="214"/>
      <c r="D196" s="214"/>
      <c r="E196" s="214"/>
      <c r="F196" s="214"/>
      <c r="G196" s="214"/>
      <c r="H196" s="214"/>
      <c r="I196" s="214"/>
      <c r="J196" s="214"/>
      <c r="K196" s="214"/>
      <c r="L196" s="214"/>
      <c r="M196" s="214"/>
      <c r="N196" s="214"/>
      <c r="O196" s="214"/>
      <c r="P196" s="214"/>
      <c r="Q196" s="214"/>
      <c r="R196" s="214"/>
      <c r="S196" s="214"/>
      <c r="T196" s="214"/>
      <c r="U196" s="214"/>
      <c r="V196" s="214"/>
      <c r="W196" s="214"/>
      <c r="X196" s="214"/>
      <c r="Y196" s="214"/>
      <c r="Z196" s="214"/>
      <c r="AA196" s="214"/>
      <c r="AB196" s="214"/>
      <c r="AC196" s="215"/>
    </row>
    <row r="197" spans="2:40" outlineLevel="1"/>
    <row r="198" spans="2:40" s="207" customFormat="1">
      <c r="C198" s="248" t="s">
        <v>823</v>
      </c>
    </row>
    <row r="199" spans="2:40" ht="12" customHeight="1" outlineLevel="1">
      <c r="B199" s="237"/>
      <c r="C199" s="208"/>
      <c r="D199" s="208"/>
      <c r="E199" s="196" t="s">
        <v>753</v>
      </c>
      <c r="F199" s="196" t="s">
        <v>754</v>
      </c>
      <c r="G199" s="196" t="s">
        <v>755</v>
      </c>
      <c r="H199" s="196" t="s">
        <v>756</v>
      </c>
      <c r="I199" s="196" t="s">
        <v>757</v>
      </c>
      <c r="J199" s="196" t="s">
        <v>758</v>
      </c>
      <c r="K199" s="196" t="s">
        <v>759</v>
      </c>
      <c r="L199" s="196" t="s">
        <v>760</v>
      </c>
      <c r="M199" s="196" t="s">
        <v>761</v>
      </c>
      <c r="N199" s="196" t="s">
        <v>762</v>
      </c>
      <c r="O199" s="196" t="s">
        <v>763</v>
      </c>
      <c r="P199" s="196" t="s">
        <v>764</v>
      </c>
      <c r="Q199" s="196" t="s">
        <v>765</v>
      </c>
      <c r="R199" s="196" t="s">
        <v>766</v>
      </c>
      <c r="S199" s="196" t="s">
        <v>767</v>
      </c>
      <c r="T199" s="196" t="s">
        <v>768</v>
      </c>
      <c r="U199" s="196" t="s">
        <v>769</v>
      </c>
      <c r="V199" s="196" t="s">
        <v>770</v>
      </c>
      <c r="W199" s="196" t="s">
        <v>771</v>
      </c>
      <c r="X199" s="196" t="s">
        <v>772</v>
      </c>
      <c r="Y199" s="196" t="s">
        <v>773</v>
      </c>
      <c r="Z199" s="196" t="s">
        <v>774</v>
      </c>
      <c r="AA199" s="196" t="s">
        <v>775</v>
      </c>
      <c r="AB199" s="196" t="s">
        <v>776</v>
      </c>
      <c r="AC199" s="196" t="s">
        <v>777</v>
      </c>
      <c r="AD199" s="196" t="s">
        <v>778</v>
      </c>
      <c r="AE199" s="196" t="s">
        <v>779</v>
      </c>
      <c r="AF199" s="196" t="s">
        <v>780</v>
      </c>
      <c r="AG199" s="196" t="s">
        <v>781</v>
      </c>
      <c r="AH199" s="196" t="s">
        <v>782</v>
      </c>
      <c r="AI199" s="196" t="s">
        <v>783</v>
      </c>
      <c r="AJ199" s="196" t="s">
        <v>784</v>
      </c>
      <c r="AK199" s="196" t="s">
        <v>785</v>
      </c>
      <c r="AL199" s="196" t="s">
        <v>786</v>
      </c>
      <c r="AM199" s="196" t="s">
        <v>787</v>
      </c>
      <c r="AN199" s="196" t="s">
        <v>788</v>
      </c>
    </row>
    <row r="200" spans="2:40" ht="12" customHeight="1" outlineLevel="1">
      <c r="B200" s="239"/>
      <c r="C200" s="214" t="s">
        <v>821</v>
      </c>
      <c r="D200" s="212"/>
      <c r="E200" s="188"/>
      <c r="F200" s="188"/>
      <c r="G200" s="188"/>
      <c r="H200" s="188"/>
      <c r="I200" s="188"/>
      <c r="J200" s="188">
        <f t="shared" ref="J200:AN200" si="116">J36*J40</f>
        <v>0</v>
      </c>
      <c r="K200" s="188">
        <f t="shared" si="116"/>
        <v>0</v>
      </c>
      <c r="L200" s="188">
        <f t="shared" si="116"/>
        <v>0</v>
      </c>
      <c r="M200" s="188">
        <f t="shared" si="116"/>
        <v>286.60000000000002</v>
      </c>
      <c r="N200" s="188">
        <f t="shared" si="116"/>
        <v>4000</v>
      </c>
      <c r="O200" s="188">
        <f t="shared" si="116"/>
        <v>4000</v>
      </c>
      <c r="P200" s="188">
        <f t="shared" si="116"/>
        <v>2000</v>
      </c>
      <c r="Q200" s="188">
        <f t="shared" si="116"/>
        <v>227.4</v>
      </c>
      <c r="R200" s="188">
        <f t="shared" si="116"/>
        <v>282</v>
      </c>
      <c r="S200" s="188">
        <f t="shared" si="116"/>
        <v>288.75</v>
      </c>
      <c r="T200" s="188">
        <f t="shared" si="116"/>
        <v>170.58000000000004</v>
      </c>
      <c r="U200" s="188">
        <f t="shared" si="116"/>
        <v>157.9</v>
      </c>
      <c r="V200" s="188">
        <f t="shared" si="116"/>
        <v>186.60000000000002</v>
      </c>
      <c r="W200" s="188">
        <f t="shared" si="116"/>
        <v>241.20000000000002</v>
      </c>
      <c r="X200" s="188">
        <f t="shared" si="116"/>
        <v>143.30000000000001</v>
      </c>
      <c r="Y200" s="188">
        <f t="shared" si="116"/>
        <v>573.20000000000005</v>
      </c>
      <c r="Z200" s="188">
        <f t="shared" si="116"/>
        <v>1000</v>
      </c>
      <c r="AA200" s="188">
        <f t="shared" si="116"/>
        <v>600</v>
      </c>
      <c r="AB200" s="188">
        <f t="shared" si="116"/>
        <v>400</v>
      </c>
      <c r="AC200" s="188">
        <f t="shared" si="116"/>
        <v>816</v>
      </c>
      <c r="AD200" s="188">
        <f t="shared" si="116"/>
        <v>832.32000000000016</v>
      </c>
      <c r="AE200" s="188">
        <f t="shared" si="116"/>
        <v>848.96640000000014</v>
      </c>
      <c r="AF200" s="188">
        <f t="shared" si="116"/>
        <v>865.94572800000014</v>
      </c>
      <c r="AG200" s="188">
        <f t="shared" si="116"/>
        <v>883.26464256000008</v>
      </c>
      <c r="AH200" s="188">
        <f t="shared" si="116"/>
        <v>900.92993541119995</v>
      </c>
      <c r="AI200" s="188">
        <f t="shared" si="116"/>
        <v>918.94853411942404</v>
      </c>
      <c r="AJ200" s="188">
        <f t="shared" si="116"/>
        <v>937.32750480181267</v>
      </c>
      <c r="AK200" s="188">
        <f t="shared" si="116"/>
        <v>956.0740548978489</v>
      </c>
      <c r="AL200" s="188">
        <f t="shared" si="116"/>
        <v>975.19553599580604</v>
      </c>
      <c r="AM200" s="188">
        <f t="shared" si="116"/>
        <v>994.69944671572216</v>
      </c>
      <c r="AN200" s="188">
        <f t="shared" si="116"/>
        <v>1014.5934356500366</v>
      </c>
    </row>
    <row r="201" spans="2:40" ht="12" customHeight="1" outlineLevel="1">
      <c r="B201" s="239"/>
      <c r="C201" s="214" t="s">
        <v>827</v>
      </c>
      <c r="D201" s="212"/>
      <c r="E201" s="234"/>
      <c r="F201" s="234"/>
      <c r="G201" s="234"/>
      <c r="H201" s="234"/>
      <c r="I201" s="234"/>
      <c r="J201" s="234"/>
      <c r="K201" s="234"/>
      <c r="L201" s="234"/>
      <c r="M201" s="189">
        <v>50</v>
      </c>
      <c r="N201" s="189">
        <v>50</v>
      </c>
      <c r="O201" s="189">
        <v>50</v>
      </c>
      <c r="P201" s="189">
        <v>50</v>
      </c>
      <c r="Q201" s="189">
        <v>50</v>
      </c>
      <c r="R201" s="189">
        <v>50</v>
      </c>
      <c r="S201" s="189">
        <v>50</v>
      </c>
      <c r="T201" s="189">
        <v>50</v>
      </c>
      <c r="U201" s="189">
        <v>50</v>
      </c>
      <c r="V201" s="189">
        <v>50</v>
      </c>
      <c r="W201" s="189">
        <v>50</v>
      </c>
      <c r="X201" s="189">
        <v>50</v>
      </c>
      <c r="Y201" s="189">
        <v>50</v>
      </c>
      <c r="Z201" s="189">
        <v>50</v>
      </c>
      <c r="AA201" s="189">
        <v>50</v>
      </c>
      <c r="AB201" s="189">
        <v>50</v>
      </c>
      <c r="AC201" s="189">
        <v>50</v>
      </c>
      <c r="AD201" s="189">
        <v>50</v>
      </c>
      <c r="AE201" s="189">
        <v>50</v>
      </c>
      <c r="AF201" s="189">
        <v>50</v>
      </c>
      <c r="AG201" s="189">
        <v>50</v>
      </c>
      <c r="AH201" s="189">
        <v>50</v>
      </c>
      <c r="AI201" s="189">
        <v>50</v>
      </c>
      <c r="AJ201" s="189">
        <v>50</v>
      </c>
      <c r="AK201" s="189">
        <v>50</v>
      </c>
      <c r="AL201" s="189">
        <v>50</v>
      </c>
      <c r="AM201" s="189">
        <v>50</v>
      </c>
      <c r="AN201" s="189">
        <v>50</v>
      </c>
    </row>
    <row r="202" spans="2:40" ht="12" customHeight="1" outlineLevel="1">
      <c r="B202" s="239"/>
      <c r="C202" s="214" t="s">
        <v>829</v>
      </c>
      <c r="D202" s="212"/>
      <c r="E202" s="232"/>
      <c r="F202" s="232"/>
      <c r="G202" s="232"/>
      <c r="H202" s="232"/>
      <c r="I202" s="232"/>
      <c r="J202" s="232"/>
      <c r="K202" s="232"/>
      <c r="L202" s="232"/>
      <c r="M202" s="205">
        <f t="shared" ref="M202:AN202" si="117">M200/M201</f>
        <v>5.7320000000000002</v>
      </c>
      <c r="N202" s="205">
        <f t="shared" si="117"/>
        <v>80</v>
      </c>
      <c r="O202" s="205">
        <f t="shared" si="117"/>
        <v>80</v>
      </c>
      <c r="P202" s="205">
        <f t="shared" si="117"/>
        <v>40</v>
      </c>
      <c r="Q202" s="205">
        <f t="shared" si="117"/>
        <v>4.548</v>
      </c>
      <c r="R202" s="205">
        <f t="shared" si="117"/>
        <v>5.64</v>
      </c>
      <c r="S202" s="205">
        <f t="shared" si="117"/>
        <v>5.7750000000000004</v>
      </c>
      <c r="T202" s="205">
        <f t="shared" si="117"/>
        <v>3.4116000000000009</v>
      </c>
      <c r="U202" s="205">
        <f t="shared" si="117"/>
        <v>3.1579999999999999</v>
      </c>
      <c r="V202" s="205">
        <f t="shared" si="117"/>
        <v>3.7320000000000007</v>
      </c>
      <c r="W202" s="205">
        <f t="shared" si="117"/>
        <v>4.8240000000000007</v>
      </c>
      <c r="X202" s="205">
        <f t="shared" si="117"/>
        <v>2.8660000000000001</v>
      </c>
      <c r="Y202" s="205">
        <f t="shared" si="117"/>
        <v>11.464</v>
      </c>
      <c r="Z202" s="205">
        <f t="shared" si="117"/>
        <v>20</v>
      </c>
      <c r="AA202" s="205">
        <f t="shared" si="117"/>
        <v>12</v>
      </c>
      <c r="AB202" s="205">
        <f t="shared" si="117"/>
        <v>8</v>
      </c>
      <c r="AC202" s="205">
        <f t="shared" si="117"/>
        <v>16.32</v>
      </c>
      <c r="AD202" s="205">
        <f t="shared" si="117"/>
        <v>16.646400000000003</v>
      </c>
      <c r="AE202" s="205">
        <f t="shared" si="117"/>
        <v>16.979328000000002</v>
      </c>
      <c r="AF202" s="205">
        <f t="shared" si="117"/>
        <v>17.318914560000003</v>
      </c>
      <c r="AG202" s="205">
        <f t="shared" si="117"/>
        <v>17.6652928512</v>
      </c>
      <c r="AH202" s="205">
        <f t="shared" si="117"/>
        <v>18.018598708223998</v>
      </c>
      <c r="AI202" s="205">
        <f t="shared" si="117"/>
        <v>18.378970682388481</v>
      </c>
      <c r="AJ202" s="205">
        <f t="shared" si="117"/>
        <v>18.746550096036252</v>
      </c>
      <c r="AK202" s="205">
        <f t="shared" si="117"/>
        <v>19.121481097956977</v>
      </c>
      <c r="AL202" s="205">
        <f t="shared" si="117"/>
        <v>19.503910719916121</v>
      </c>
      <c r="AM202" s="205">
        <f t="shared" si="117"/>
        <v>19.893988934314443</v>
      </c>
      <c r="AN202" s="205">
        <f t="shared" si="117"/>
        <v>20.291868713000731</v>
      </c>
    </row>
    <row r="203" spans="2:40" ht="12" customHeight="1" outlineLevel="1">
      <c r="B203" s="239"/>
      <c r="C203" s="214" t="s">
        <v>830</v>
      </c>
      <c r="D203" s="212"/>
      <c r="E203" s="256">
        <v>0</v>
      </c>
      <c r="F203" s="256">
        <v>0</v>
      </c>
      <c r="G203" s="256">
        <v>0</v>
      </c>
      <c r="H203" s="256">
        <v>0</v>
      </c>
      <c r="I203" s="256">
        <v>0</v>
      </c>
      <c r="J203" s="256">
        <v>0</v>
      </c>
      <c r="K203" s="256">
        <v>0</v>
      </c>
      <c r="L203" s="256">
        <v>0</v>
      </c>
      <c r="M203" s="190">
        <v>0</v>
      </c>
      <c r="N203" s="190">
        <v>0</v>
      </c>
      <c r="O203" s="190">
        <v>0</v>
      </c>
      <c r="P203" s="190">
        <v>0</v>
      </c>
      <c r="Q203" s="190">
        <v>0</v>
      </c>
      <c r="R203" s="190">
        <v>0</v>
      </c>
      <c r="S203" s="190">
        <v>0</v>
      </c>
      <c r="T203" s="190">
        <v>0</v>
      </c>
      <c r="U203" s="190">
        <v>0</v>
      </c>
      <c r="V203" s="190">
        <v>0</v>
      </c>
      <c r="W203" s="190">
        <v>0</v>
      </c>
      <c r="X203" s="190">
        <v>0</v>
      </c>
      <c r="Y203" s="190">
        <v>0</v>
      </c>
      <c r="Z203" s="190">
        <v>0</v>
      </c>
      <c r="AA203" s="190">
        <v>0</v>
      </c>
      <c r="AB203" s="190">
        <v>0</v>
      </c>
      <c r="AC203" s="190">
        <v>0</v>
      </c>
      <c r="AD203" s="190">
        <v>0</v>
      </c>
      <c r="AE203" s="190">
        <v>0</v>
      </c>
      <c r="AF203" s="190">
        <v>0</v>
      </c>
      <c r="AG203" s="190">
        <v>0</v>
      </c>
      <c r="AH203" s="190">
        <v>0</v>
      </c>
      <c r="AI203" s="190">
        <v>0</v>
      </c>
      <c r="AJ203" s="190">
        <v>0</v>
      </c>
      <c r="AK203" s="190">
        <v>0</v>
      </c>
      <c r="AL203" s="190">
        <v>0</v>
      </c>
      <c r="AM203" s="190">
        <v>0</v>
      </c>
      <c r="AN203" s="190">
        <v>0</v>
      </c>
    </row>
    <row r="204" spans="2:40" ht="12" customHeight="1" outlineLevel="1">
      <c r="B204" s="239"/>
      <c r="C204" s="214" t="s">
        <v>831</v>
      </c>
      <c r="D204" s="212"/>
      <c r="E204" s="232">
        <f t="shared" ref="E204:L204" si="118">E202*E203</f>
        <v>0</v>
      </c>
      <c r="F204" s="232">
        <f t="shared" si="118"/>
        <v>0</v>
      </c>
      <c r="G204" s="232">
        <f t="shared" si="118"/>
        <v>0</v>
      </c>
      <c r="H204" s="232">
        <f t="shared" si="118"/>
        <v>0</v>
      </c>
      <c r="I204" s="232">
        <f t="shared" si="118"/>
        <v>0</v>
      </c>
      <c r="J204" s="232">
        <f t="shared" si="118"/>
        <v>0</v>
      </c>
      <c r="K204" s="232">
        <f t="shared" si="118"/>
        <v>0</v>
      </c>
      <c r="L204" s="232">
        <f t="shared" si="118"/>
        <v>0</v>
      </c>
      <c r="M204" s="205">
        <f t="shared" ref="M204:AN204" si="119">M202*M203</f>
        <v>0</v>
      </c>
      <c r="N204" s="205">
        <f t="shared" si="119"/>
        <v>0</v>
      </c>
      <c r="O204" s="205">
        <f t="shared" si="119"/>
        <v>0</v>
      </c>
      <c r="P204" s="205">
        <f t="shared" si="119"/>
        <v>0</v>
      </c>
      <c r="Q204" s="205">
        <f t="shared" si="119"/>
        <v>0</v>
      </c>
      <c r="R204" s="205">
        <f t="shared" si="119"/>
        <v>0</v>
      </c>
      <c r="S204" s="205">
        <f t="shared" si="119"/>
        <v>0</v>
      </c>
      <c r="T204" s="205">
        <f t="shared" si="119"/>
        <v>0</v>
      </c>
      <c r="U204" s="205">
        <f t="shared" si="119"/>
        <v>0</v>
      </c>
      <c r="V204" s="205">
        <f t="shared" si="119"/>
        <v>0</v>
      </c>
      <c r="W204" s="205">
        <f t="shared" si="119"/>
        <v>0</v>
      </c>
      <c r="X204" s="205">
        <f t="shared" si="119"/>
        <v>0</v>
      </c>
      <c r="Y204" s="205">
        <f t="shared" si="119"/>
        <v>0</v>
      </c>
      <c r="Z204" s="205">
        <f t="shared" si="119"/>
        <v>0</v>
      </c>
      <c r="AA204" s="205">
        <f t="shared" si="119"/>
        <v>0</v>
      </c>
      <c r="AB204" s="205">
        <f t="shared" si="119"/>
        <v>0</v>
      </c>
      <c r="AC204" s="205">
        <f t="shared" si="119"/>
        <v>0</v>
      </c>
      <c r="AD204" s="205">
        <f t="shared" si="119"/>
        <v>0</v>
      </c>
      <c r="AE204" s="205">
        <f t="shared" si="119"/>
        <v>0</v>
      </c>
      <c r="AF204" s="205">
        <f t="shared" si="119"/>
        <v>0</v>
      </c>
      <c r="AG204" s="205">
        <f t="shared" si="119"/>
        <v>0</v>
      </c>
      <c r="AH204" s="205">
        <f t="shared" si="119"/>
        <v>0</v>
      </c>
      <c r="AI204" s="205">
        <f t="shared" si="119"/>
        <v>0</v>
      </c>
      <c r="AJ204" s="205">
        <f t="shared" si="119"/>
        <v>0</v>
      </c>
      <c r="AK204" s="205">
        <f t="shared" si="119"/>
        <v>0</v>
      </c>
      <c r="AL204" s="205">
        <f t="shared" si="119"/>
        <v>0</v>
      </c>
      <c r="AM204" s="205">
        <f t="shared" si="119"/>
        <v>0</v>
      </c>
      <c r="AN204" s="205">
        <f t="shared" si="119"/>
        <v>0</v>
      </c>
    </row>
    <row r="205" spans="2:40" ht="12" customHeight="1" outlineLevel="1">
      <c r="B205" s="239"/>
      <c r="C205" s="214" t="s">
        <v>833</v>
      </c>
      <c r="D205" s="212"/>
      <c r="E205" s="232">
        <v>9</v>
      </c>
      <c r="F205" s="232">
        <v>10</v>
      </c>
      <c r="G205" s="232">
        <v>9</v>
      </c>
      <c r="H205" s="232">
        <v>59</v>
      </c>
      <c r="I205" s="232">
        <v>17</v>
      </c>
      <c r="J205" s="232">
        <v>4</v>
      </c>
      <c r="K205" s="232">
        <v>2</v>
      </c>
      <c r="L205" s="232">
        <v>1</v>
      </c>
      <c r="M205" s="205">
        <f t="shared" ref="M205:AN205" si="120">M202+M204</f>
        <v>5.7320000000000002</v>
      </c>
      <c r="N205" s="205">
        <f t="shared" si="120"/>
        <v>80</v>
      </c>
      <c r="O205" s="205">
        <f t="shared" si="120"/>
        <v>80</v>
      </c>
      <c r="P205" s="205">
        <f t="shared" si="120"/>
        <v>40</v>
      </c>
      <c r="Q205" s="205">
        <f t="shared" si="120"/>
        <v>4.548</v>
      </c>
      <c r="R205" s="205">
        <f t="shared" si="120"/>
        <v>5.64</v>
      </c>
      <c r="S205" s="205">
        <f t="shared" si="120"/>
        <v>5.7750000000000004</v>
      </c>
      <c r="T205" s="205">
        <f t="shared" si="120"/>
        <v>3.4116000000000009</v>
      </c>
      <c r="U205" s="205">
        <f t="shared" si="120"/>
        <v>3.1579999999999999</v>
      </c>
      <c r="V205" s="205">
        <f t="shared" si="120"/>
        <v>3.7320000000000007</v>
      </c>
      <c r="W205" s="205">
        <f t="shared" si="120"/>
        <v>4.8240000000000007</v>
      </c>
      <c r="X205" s="205">
        <f t="shared" si="120"/>
        <v>2.8660000000000001</v>
      </c>
      <c r="Y205" s="205">
        <f t="shared" si="120"/>
        <v>11.464</v>
      </c>
      <c r="Z205" s="205">
        <f t="shared" si="120"/>
        <v>20</v>
      </c>
      <c r="AA205" s="205">
        <f t="shared" si="120"/>
        <v>12</v>
      </c>
      <c r="AB205" s="205">
        <f t="shared" si="120"/>
        <v>8</v>
      </c>
      <c r="AC205" s="205">
        <f t="shared" si="120"/>
        <v>16.32</v>
      </c>
      <c r="AD205" s="205">
        <f t="shared" si="120"/>
        <v>16.646400000000003</v>
      </c>
      <c r="AE205" s="205">
        <f t="shared" si="120"/>
        <v>16.979328000000002</v>
      </c>
      <c r="AF205" s="205">
        <f t="shared" si="120"/>
        <v>17.318914560000003</v>
      </c>
      <c r="AG205" s="205">
        <f t="shared" si="120"/>
        <v>17.6652928512</v>
      </c>
      <c r="AH205" s="205">
        <f t="shared" si="120"/>
        <v>18.018598708223998</v>
      </c>
      <c r="AI205" s="205">
        <f t="shared" si="120"/>
        <v>18.378970682388481</v>
      </c>
      <c r="AJ205" s="205">
        <f t="shared" si="120"/>
        <v>18.746550096036252</v>
      </c>
      <c r="AK205" s="205">
        <f t="shared" si="120"/>
        <v>19.121481097956977</v>
      </c>
      <c r="AL205" s="205">
        <f t="shared" si="120"/>
        <v>19.503910719916121</v>
      </c>
      <c r="AM205" s="205">
        <f t="shared" si="120"/>
        <v>19.893988934314443</v>
      </c>
      <c r="AN205" s="205">
        <f t="shared" si="120"/>
        <v>20.291868713000731</v>
      </c>
    </row>
    <row r="206" spans="2:40" ht="12" customHeight="1" outlineLevel="1">
      <c r="B206" s="239"/>
      <c r="C206" s="214" t="s">
        <v>834</v>
      </c>
      <c r="D206" s="212"/>
      <c r="E206" s="232">
        <v>0</v>
      </c>
      <c r="F206" s="232">
        <v>1</v>
      </c>
      <c r="G206" s="232">
        <v>0</v>
      </c>
      <c r="H206" s="232">
        <v>5</v>
      </c>
      <c r="I206" s="232">
        <v>2</v>
      </c>
      <c r="J206" s="232">
        <v>2</v>
      </c>
      <c r="K206" s="232">
        <v>0</v>
      </c>
      <c r="L206" s="232">
        <v>0</v>
      </c>
      <c r="M206" s="205">
        <f t="shared" ref="M206:AN206" si="121">M214+M215</f>
        <v>1.0453967111178861</v>
      </c>
      <c r="N206" s="205">
        <f t="shared" si="121"/>
        <v>14.590323951401061</v>
      </c>
      <c r="O206" s="205">
        <f t="shared" si="121"/>
        <v>14.590323951401061</v>
      </c>
      <c r="P206" s="205">
        <f t="shared" si="121"/>
        <v>7.2951619757005304</v>
      </c>
      <c r="Q206" s="205">
        <f t="shared" si="121"/>
        <v>0.82945991663715035</v>
      </c>
      <c r="R206" s="205">
        <f t="shared" si="121"/>
        <v>1.0286178385737748</v>
      </c>
      <c r="S206" s="205">
        <f t="shared" si="121"/>
        <v>1.0532390102417641</v>
      </c>
      <c r="T206" s="205">
        <f t="shared" si="121"/>
        <v>0.62220436490749842</v>
      </c>
      <c r="U206" s="205">
        <f t="shared" si="121"/>
        <v>0.57595303798155684</v>
      </c>
      <c r="V206" s="205">
        <f t="shared" si="121"/>
        <v>0.6806386123328596</v>
      </c>
      <c r="W206" s="205">
        <f t="shared" si="121"/>
        <v>0.87979653426948412</v>
      </c>
      <c r="X206" s="205">
        <f t="shared" si="121"/>
        <v>0.52269835555894306</v>
      </c>
      <c r="Y206" s="205">
        <f t="shared" si="121"/>
        <v>2.0907934222357722</v>
      </c>
      <c r="Z206" s="205">
        <f t="shared" si="121"/>
        <v>3.6475809878502652</v>
      </c>
      <c r="AA206" s="205">
        <f t="shared" si="121"/>
        <v>2.1885485927101591</v>
      </c>
      <c r="AB206" s="205">
        <f t="shared" si="121"/>
        <v>1.4590323951401061</v>
      </c>
      <c r="AC206" s="205">
        <f t="shared" si="121"/>
        <v>2.9764260860858163</v>
      </c>
      <c r="AD206" s="205">
        <f t="shared" si="121"/>
        <v>3.0359546078075335</v>
      </c>
      <c r="AE206" s="205">
        <f t="shared" si="121"/>
        <v>3.0966736999636839</v>
      </c>
      <c r="AF206" s="205">
        <f t="shared" si="121"/>
        <v>3.1586071739629578</v>
      </c>
      <c r="AG206" s="205">
        <f t="shared" si="121"/>
        <v>3.2217793174422162</v>
      </c>
      <c r="AH206" s="205">
        <f t="shared" si="121"/>
        <v>3.28621490379106</v>
      </c>
      <c r="AI206" s="205">
        <f t="shared" si="121"/>
        <v>3.3519392018668817</v>
      </c>
      <c r="AJ206" s="205">
        <f t="shared" si="121"/>
        <v>3.41897798590422</v>
      </c>
      <c r="AK206" s="205">
        <f t="shared" si="121"/>
        <v>3.487357545622304</v>
      </c>
      <c r="AL206" s="205">
        <f t="shared" si="121"/>
        <v>3.557104696534751</v>
      </c>
      <c r="AM206" s="205">
        <f t="shared" si="121"/>
        <v>3.6282467904654458</v>
      </c>
      <c r="AN206" s="205">
        <f t="shared" si="121"/>
        <v>3.7008117262747549</v>
      </c>
    </row>
    <row r="207" spans="2:40" ht="12" customHeight="1" outlineLevel="1">
      <c r="B207" s="239"/>
      <c r="C207" s="214" t="s">
        <v>835</v>
      </c>
      <c r="D207" s="212"/>
      <c r="E207" s="232"/>
      <c r="F207" s="232"/>
      <c r="G207" s="232"/>
      <c r="H207" s="232"/>
      <c r="I207" s="232"/>
      <c r="J207" s="232"/>
      <c r="K207" s="232"/>
      <c r="L207" s="232"/>
      <c r="M207" s="205">
        <f t="shared" ref="M207:AN207" si="122">M200/M205</f>
        <v>50</v>
      </c>
      <c r="N207" s="205">
        <f t="shared" si="122"/>
        <v>50</v>
      </c>
      <c r="O207" s="205">
        <f t="shared" si="122"/>
        <v>50</v>
      </c>
      <c r="P207" s="205">
        <f t="shared" si="122"/>
        <v>50</v>
      </c>
      <c r="Q207" s="205">
        <f t="shared" si="122"/>
        <v>50</v>
      </c>
      <c r="R207" s="205">
        <f t="shared" si="122"/>
        <v>50</v>
      </c>
      <c r="S207" s="205">
        <f t="shared" si="122"/>
        <v>50</v>
      </c>
      <c r="T207" s="205">
        <f t="shared" si="122"/>
        <v>50</v>
      </c>
      <c r="U207" s="205">
        <f t="shared" si="122"/>
        <v>50</v>
      </c>
      <c r="V207" s="205">
        <f t="shared" si="122"/>
        <v>50</v>
      </c>
      <c r="W207" s="205">
        <f t="shared" si="122"/>
        <v>49.999999999999993</v>
      </c>
      <c r="X207" s="205">
        <f t="shared" si="122"/>
        <v>50</v>
      </c>
      <c r="Y207" s="205">
        <f t="shared" si="122"/>
        <v>50</v>
      </c>
      <c r="Z207" s="205">
        <f t="shared" si="122"/>
        <v>50</v>
      </c>
      <c r="AA207" s="205">
        <f t="shared" si="122"/>
        <v>50</v>
      </c>
      <c r="AB207" s="205">
        <f t="shared" si="122"/>
        <v>50</v>
      </c>
      <c r="AC207" s="205">
        <f t="shared" si="122"/>
        <v>50</v>
      </c>
      <c r="AD207" s="205">
        <f t="shared" si="122"/>
        <v>50</v>
      </c>
      <c r="AE207" s="205">
        <f t="shared" si="122"/>
        <v>50</v>
      </c>
      <c r="AF207" s="205">
        <f t="shared" si="122"/>
        <v>50</v>
      </c>
      <c r="AG207" s="205">
        <f t="shared" si="122"/>
        <v>50.000000000000007</v>
      </c>
      <c r="AH207" s="205">
        <f t="shared" si="122"/>
        <v>50.000000000000007</v>
      </c>
      <c r="AI207" s="205">
        <f t="shared" si="122"/>
        <v>50</v>
      </c>
      <c r="AJ207" s="205">
        <f t="shared" si="122"/>
        <v>50.000000000000007</v>
      </c>
      <c r="AK207" s="205">
        <f t="shared" si="122"/>
        <v>50</v>
      </c>
      <c r="AL207" s="205">
        <f t="shared" si="122"/>
        <v>50</v>
      </c>
      <c r="AM207" s="205">
        <f t="shared" si="122"/>
        <v>50</v>
      </c>
      <c r="AN207" s="205">
        <f t="shared" si="122"/>
        <v>50</v>
      </c>
    </row>
    <row r="208" spans="2:40" ht="12" customHeight="1" outlineLevel="1">
      <c r="B208" s="239"/>
      <c r="C208" s="214" t="s">
        <v>836</v>
      </c>
      <c r="D208" s="212"/>
      <c r="E208" s="232"/>
      <c r="F208" s="232"/>
      <c r="G208" s="232"/>
      <c r="H208" s="232"/>
      <c r="I208" s="232"/>
      <c r="J208" s="232"/>
      <c r="K208" s="232"/>
      <c r="L208" s="232"/>
      <c r="M208" s="205"/>
      <c r="N208" s="205"/>
      <c r="O208" s="205"/>
      <c r="P208" s="205"/>
      <c r="Q208" s="205"/>
      <c r="R208" s="205"/>
      <c r="S208" s="205"/>
      <c r="T208" s="205"/>
      <c r="U208" s="205"/>
      <c r="V208" s="205"/>
      <c r="W208" s="205"/>
      <c r="X208" s="205"/>
      <c r="Y208" s="205"/>
      <c r="Z208" s="205"/>
      <c r="AA208" s="205"/>
      <c r="AB208" s="205"/>
      <c r="AC208" s="205"/>
      <c r="AD208" s="205"/>
      <c r="AE208" s="205"/>
      <c r="AF208" s="205"/>
      <c r="AG208" s="205"/>
      <c r="AH208" s="205"/>
      <c r="AI208" s="205"/>
      <c r="AJ208" s="205"/>
      <c r="AK208" s="205"/>
      <c r="AL208" s="205"/>
      <c r="AM208" s="205"/>
      <c r="AN208" s="205"/>
    </row>
    <row r="209" spans="2:40" ht="12" customHeight="1" outlineLevel="1">
      <c r="B209" s="244" t="s">
        <v>921</v>
      </c>
      <c r="C209" s="214" t="s">
        <v>837</v>
      </c>
      <c r="D209" s="212"/>
      <c r="E209" s="8">
        <f>(E205-E206)/E205</f>
        <v>1</v>
      </c>
      <c r="F209" s="8">
        <f t="shared" ref="F209:L209" si="123">(F205-F206)/F205</f>
        <v>0.9</v>
      </c>
      <c r="G209" s="8">
        <f t="shared" si="123"/>
        <v>1</v>
      </c>
      <c r="H209" s="8">
        <f t="shared" si="123"/>
        <v>0.9152542372881356</v>
      </c>
      <c r="I209" s="8">
        <f t="shared" si="123"/>
        <v>0.88235294117647056</v>
      </c>
      <c r="J209" s="8">
        <f t="shared" si="123"/>
        <v>0.5</v>
      </c>
      <c r="K209" s="8">
        <f t="shared" si="123"/>
        <v>1</v>
      </c>
      <c r="L209" s="8">
        <f t="shared" si="123"/>
        <v>1</v>
      </c>
      <c r="M209" s="9">
        <v>0.81762095060748674</v>
      </c>
      <c r="N209" s="9">
        <v>0.81762095060748674</v>
      </c>
      <c r="O209" s="9">
        <v>0.81762095060748674</v>
      </c>
      <c r="P209" s="9">
        <v>0.81762095060748674</v>
      </c>
      <c r="Q209" s="9">
        <v>0.81762095060748674</v>
      </c>
      <c r="R209" s="9">
        <v>0.81762095060748674</v>
      </c>
      <c r="S209" s="9">
        <v>0.81762095060748674</v>
      </c>
      <c r="T209" s="9">
        <v>0.81762095060748674</v>
      </c>
      <c r="U209" s="9">
        <v>0.81762095060748674</v>
      </c>
      <c r="V209" s="9">
        <v>0.81762095060748674</v>
      </c>
      <c r="W209" s="9">
        <v>0.81762095060748674</v>
      </c>
      <c r="X209" s="9">
        <v>0.81762095060748674</v>
      </c>
      <c r="Y209" s="9">
        <v>0.81762095060748674</v>
      </c>
      <c r="Z209" s="9">
        <v>0.81762095060748674</v>
      </c>
      <c r="AA209" s="9">
        <v>0.81762095060748674</v>
      </c>
      <c r="AB209" s="9">
        <v>0.81762095060748674</v>
      </c>
      <c r="AC209" s="9">
        <v>0.81762095060748674</v>
      </c>
      <c r="AD209" s="9">
        <v>0.81762095060748674</v>
      </c>
      <c r="AE209" s="9">
        <v>0.81762095060748674</v>
      </c>
      <c r="AF209" s="9">
        <v>0.81762095060748674</v>
      </c>
      <c r="AG209" s="9">
        <v>0.81762095060748674</v>
      </c>
      <c r="AH209" s="9">
        <v>0.81762095060748674</v>
      </c>
      <c r="AI209" s="9">
        <v>0.81762095060748674</v>
      </c>
      <c r="AJ209" s="9">
        <v>0.81762095060748674</v>
      </c>
      <c r="AK209" s="9">
        <v>0.81762095060748674</v>
      </c>
      <c r="AL209" s="9">
        <v>0.81762095060748674</v>
      </c>
      <c r="AM209" s="9">
        <v>0.81762095060748674</v>
      </c>
      <c r="AN209" s="9">
        <v>0.81762095060748674</v>
      </c>
    </row>
    <row r="210" spans="2:40" ht="12" customHeight="1" outlineLevel="1">
      <c r="B210" s="239"/>
      <c r="C210" s="214" t="s">
        <v>839</v>
      </c>
      <c r="D210" s="212"/>
      <c r="E210" s="8">
        <f>1-E209</f>
        <v>0</v>
      </c>
      <c r="F210" s="8">
        <f t="shared" ref="F210" si="124">1-F209</f>
        <v>9.9999999999999978E-2</v>
      </c>
      <c r="G210" s="8">
        <f t="shared" ref="G210" si="125">1-G209</f>
        <v>0</v>
      </c>
      <c r="H210" s="8">
        <f t="shared" ref="H210" si="126">1-H209</f>
        <v>8.4745762711864403E-2</v>
      </c>
      <c r="I210" s="8">
        <f t="shared" ref="I210" si="127">1-I209</f>
        <v>0.11764705882352944</v>
      </c>
      <c r="J210" s="8">
        <f t="shared" ref="J210" si="128">1-J209</f>
        <v>0.5</v>
      </c>
      <c r="K210" s="8">
        <f t="shared" ref="K210" si="129">1-K209</f>
        <v>0</v>
      </c>
      <c r="L210" s="8">
        <f t="shared" ref="L210" si="130">1-L209</f>
        <v>0</v>
      </c>
      <c r="M210" s="9">
        <v>0.18237904939251326</v>
      </c>
      <c r="N210" s="9">
        <v>0.18237904939251326</v>
      </c>
      <c r="O210" s="9">
        <v>0.18237904939251326</v>
      </c>
      <c r="P210" s="9">
        <v>0.18237904939251326</v>
      </c>
      <c r="Q210" s="9">
        <v>0.18237904939251326</v>
      </c>
      <c r="R210" s="9">
        <v>0.18237904939251326</v>
      </c>
      <c r="S210" s="9">
        <v>0.18237904939251326</v>
      </c>
      <c r="T210" s="9">
        <v>0.18237904939251326</v>
      </c>
      <c r="U210" s="9">
        <v>0.18237904939251326</v>
      </c>
      <c r="V210" s="9">
        <v>0.18237904939251326</v>
      </c>
      <c r="W210" s="9">
        <v>0.18237904939251326</v>
      </c>
      <c r="X210" s="9">
        <v>0.18237904939251326</v>
      </c>
      <c r="Y210" s="9">
        <v>0.18237904939251326</v>
      </c>
      <c r="Z210" s="9">
        <v>0.18237904939251326</v>
      </c>
      <c r="AA210" s="9">
        <v>0.18237904939251326</v>
      </c>
      <c r="AB210" s="9">
        <v>0.18237904939251326</v>
      </c>
      <c r="AC210" s="9">
        <v>0.18237904939251326</v>
      </c>
      <c r="AD210" s="9">
        <v>0.18237904939251326</v>
      </c>
      <c r="AE210" s="9">
        <v>0.18237904939251326</v>
      </c>
      <c r="AF210" s="9">
        <v>0.18237904939251326</v>
      </c>
      <c r="AG210" s="9">
        <v>0.18237904939251326</v>
      </c>
      <c r="AH210" s="9">
        <v>0.18237904939251326</v>
      </c>
      <c r="AI210" s="9">
        <v>0.18237904939251326</v>
      </c>
      <c r="AJ210" s="9">
        <v>0.18237904939251326</v>
      </c>
      <c r="AK210" s="9">
        <v>0.18237904939251326</v>
      </c>
      <c r="AL210" s="9">
        <v>0.18237904939251326</v>
      </c>
      <c r="AM210" s="9">
        <v>0.18237904939251326</v>
      </c>
      <c r="AN210" s="9">
        <v>0.18237904939251326</v>
      </c>
    </row>
    <row r="211" spans="2:40" ht="12" customHeight="1" outlineLevel="1">
      <c r="B211" s="239"/>
      <c r="C211" s="214" t="s">
        <v>840</v>
      </c>
      <c r="D211" s="212"/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9">
        <v>0</v>
      </c>
      <c r="N211" s="9">
        <v>0</v>
      </c>
      <c r="O211" s="9">
        <v>0</v>
      </c>
      <c r="P211" s="9">
        <v>0</v>
      </c>
      <c r="Q211" s="9">
        <v>0</v>
      </c>
      <c r="R211" s="9">
        <v>0</v>
      </c>
      <c r="S211" s="9">
        <v>0</v>
      </c>
      <c r="T211" s="9">
        <v>0</v>
      </c>
      <c r="U211" s="9">
        <v>0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</v>
      </c>
      <c r="AB211" s="9">
        <v>0</v>
      </c>
      <c r="AC211" s="9">
        <v>0</v>
      </c>
      <c r="AD211" s="9">
        <v>0</v>
      </c>
      <c r="AE211" s="9">
        <v>0</v>
      </c>
      <c r="AF211" s="9">
        <v>0</v>
      </c>
      <c r="AG211" s="9">
        <v>0</v>
      </c>
      <c r="AH211" s="9">
        <v>0</v>
      </c>
      <c r="AI211" s="9">
        <v>0</v>
      </c>
      <c r="AJ211" s="9">
        <v>0</v>
      </c>
      <c r="AK211" s="9">
        <v>0</v>
      </c>
      <c r="AL211" s="9">
        <v>0</v>
      </c>
      <c r="AM211" s="9">
        <v>0</v>
      </c>
      <c r="AN211" s="9">
        <v>0</v>
      </c>
    </row>
    <row r="212" spans="2:40" ht="12" customHeight="1" outlineLevel="1">
      <c r="B212" s="237"/>
      <c r="C212" s="208"/>
      <c r="D212" s="208"/>
      <c r="E212" s="216"/>
      <c r="F212" s="208"/>
      <c r="G212" s="208"/>
      <c r="H212" s="208"/>
      <c r="I212" s="208"/>
      <c r="J212" s="208"/>
      <c r="K212" s="208"/>
      <c r="L212" s="208"/>
      <c r="M212" s="208"/>
      <c r="N212" s="208"/>
      <c r="O212" s="208"/>
      <c r="P212" s="208"/>
      <c r="Q212" s="208"/>
      <c r="R212" s="208"/>
      <c r="S212" s="208"/>
      <c r="T212" s="208"/>
      <c r="U212" s="208"/>
      <c r="V212" s="208"/>
      <c r="W212" s="208"/>
      <c r="X212" s="208"/>
      <c r="Y212" s="208"/>
      <c r="Z212" s="208"/>
      <c r="AA212" s="208"/>
      <c r="AB212" s="208"/>
      <c r="AC212" s="208"/>
      <c r="AD212" s="208"/>
      <c r="AE212" s="208"/>
      <c r="AF212" s="208"/>
      <c r="AG212" s="208"/>
      <c r="AH212" s="208"/>
      <c r="AI212" s="208"/>
      <c r="AJ212" s="208"/>
      <c r="AK212" s="208"/>
      <c r="AL212" s="208"/>
      <c r="AM212" s="208"/>
      <c r="AN212" s="208"/>
    </row>
    <row r="213" spans="2:40" ht="12" customHeight="1" outlineLevel="1">
      <c r="B213" s="239"/>
      <c r="C213" s="214" t="s">
        <v>841</v>
      </c>
      <c r="D213" s="214"/>
      <c r="E213" s="209">
        <f>E205*E209</f>
        <v>9</v>
      </c>
      <c r="F213" s="209">
        <f>F205*F209</f>
        <v>9</v>
      </c>
      <c r="G213" s="209">
        <f t="shared" ref="G213:AN213" si="131">G205*G209</f>
        <v>9</v>
      </c>
      <c r="H213" s="209">
        <f>H205*H209</f>
        <v>54</v>
      </c>
      <c r="I213" s="209">
        <f t="shared" si="131"/>
        <v>15</v>
      </c>
      <c r="J213" s="209">
        <f t="shared" si="131"/>
        <v>2</v>
      </c>
      <c r="K213" s="209">
        <f t="shared" si="131"/>
        <v>2</v>
      </c>
      <c r="L213" s="209">
        <f t="shared" si="131"/>
        <v>1</v>
      </c>
      <c r="M213" s="209">
        <f t="shared" si="131"/>
        <v>4.6866032888821145</v>
      </c>
      <c r="N213" s="209">
        <f t="shared" si="131"/>
        <v>65.409676048598939</v>
      </c>
      <c r="O213" s="209">
        <f t="shared" si="131"/>
        <v>65.409676048598939</v>
      </c>
      <c r="P213" s="209">
        <f t="shared" si="131"/>
        <v>32.70483802429947</v>
      </c>
      <c r="Q213" s="209">
        <f t="shared" si="131"/>
        <v>3.7185400833628499</v>
      </c>
      <c r="R213" s="209">
        <f t="shared" si="131"/>
        <v>4.6113821614262251</v>
      </c>
      <c r="S213" s="209">
        <f t="shared" si="131"/>
        <v>4.721760989758236</v>
      </c>
      <c r="T213" s="209">
        <f t="shared" si="131"/>
        <v>2.7893956350925024</v>
      </c>
      <c r="U213" s="209">
        <f t="shared" si="131"/>
        <v>2.5820469620184432</v>
      </c>
      <c r="V213" s="209">
        <f t="shared" si="131"/>
        <v>3.051361387667141</v>
      </c>
      <c r="W213" s="209">
        <f t="shared" si="131"/>
        <v>3.9442034657305167</v>
      </c>
      <c r="X213" s="209">
        <f t="shared" si="131"/>
        <v>2.3433016444410573</v>
      </c>
      <c r="Y213" s="209">
        <f t="shared" si="131"/>
        <v>9.3732065777642291</v>
      </c>
      <c r="Z213" s="209">
        <f t="shared" si="131"/>
        <v>16.352419012149735</v>
      </c>
      <c r="AA213" s="209">
        <f t="shared" si="131"/>
        <v>9.8114514072898409</v>
      </c>
      <c r="AB213" s="209">
        <f t="shared" si="131"/>
        <v>6.5409676048598939</v>
      </c>
      <c r="AC213" s="209">
        <f t="shared" si="131"/>
        <v>13.343573913914184</v>
      </c>
      <c r="AD213" s="209">
        <f t="shared" si="131"/>
        <v>13.610445392192471</v>
      </c>
      <c r="AE213" s="209">
        <f t="shared" si="131"/>
        <v>13.882654300036318</v>
      </c>
      <c r="AF213" s="209">
        <f t="shared" si="131"/>
        <v>14.160307386037045</v>
      </c>
      <c r="AG213" s="209">
        <f t="shared" si="131"/>
        <v>14.443513533757784</v>
      </c>
      <c r="AH213" s="209">
        <f t="shared" si="131"/>
        <v>14.732383804432937</v>
      </c>
      <c r="AI213" s="209">
        <f>AI205*AI209</f>
        <v>15.027031480521599</v>
      </c>
      <c r="AJ213" s="209">
        <f t="shared" si="131"/>
        <v>15.327572110132031</v>
      </c>
      <c r="AK213" s="209">
        <f t="shared" si="131"/>
        <v>15.634123552334673</v>
      </c>
      <c r="AL213" s="209">
        <f t="shared" si="131"/>
        <v>15.94680602338137</v>
      </c>
      <c r="AM213" s="209">
        <f t="shared" si="131"/>
        <v>16.265742143848996</v>
      </c>
      <c r="AN213" s="209">
        <f t="shared" si="131"/>
        <v>16.591056986725977</v>
      </c>
    </row>
    <row r="214" spans="2:40" ht="12" customHeight="1" outlineLevel="1">
      <c r="B214" s="239"/>
      <c r="C214" s="214" t="s">
        <v>842</v>
      </c>
      <c r="D214" s="214"/>
      <c r="E214" s="209">
        <f>E205*E210</f>
        <v>0</v>
      </c>
      <c r="F214" s="209">
        <f>F205*F210</f>
        <v>0.99999999999999978</v>
      </c>
      <c r="G214" s="209">
        <f>G205*G210</f>
        <v>0</v>
      </c>
      <c r="H214" s="209">
        <f t="shared" ref="H214:AN214" si="132">H205*H210</f>
        <v>5</v>
      </c>
      <c r="I214" s="209">
        <f t="shared" si="132"/>
        <v>2.0000000000000004</v>
      </c>
      <c r="J214" s="209">
        <f t="shared" si="132"/>
        <v>2</v>
      </c>
      <c r="K214" s="209">
        <f t="shared" si="132"/>
        <v>0</v>
      </c>
      <c r="L214" s="209">
        <f t="shared" si="132"/>
        <v>0</v>
      </c>
      <c r="M214" s="209">
        <f t="shared" si="132"/>
        <v>1.0453967111178861</v>
      </c>
      <c r="N214" s="209">
        <f t="shared" si="132"/>
        <v>14.590323951401061</v>
      </c>
      <c r="O214" s="209">
        <f t="shared" si="132"/>
        <v>14.590323951401061</v>
      </c>
      <c r="P214" s="209">
        <f t="shared" si="132"/>
        <v>7.2951619757005304</v>
      </c>
      <c r="Q214" s="209">
        <f t="shared" si="132"/>
        <v>0.82945991663715035</v>
      </c>
      <c r="R214" s="209">
        <f t="shared" si="132"/>
        <v>1.0286178385737748</v>
      </c>
      <c r="S214" s="209">
        <f t="shared" si="132"/>
        <v>1.0532390102417641</v>
      </c>
      <c r="T214" s="209">
        <f t="shared" si="132"/>
        <v>0.62220436490749842</v>
      </c>
      <c r="U214" s="209">
        <f t="shared" si="132"/>
        <v>0.57595303798155684</v>
      </c>
      <c r="V214" s="209">
        <f t="shared" si="132"/>
        <v>0.6806386123328596</v>
      </c>
      <c r="W214" s="209">
        <f t="shared" si="132"/>
        <v>0.87979653426948412</v>
      </c>
      <c r="X214" s="209">
        <f t="shared" si="132"/>
        <v>0.52269835555894306</v>
      </c>
      <c r="Y214" s="209">
        <f t="shared" si="132"/>
        <v>2.0907934222357722</v>
      </c>
      <c r="Z214" s="209">
        <f t="shared" si="132"/>
        <v>3.6475809878502652</v>
      </c>
      <c r="AA214" s="209">
        <f t="shared" si="132"/>
        <v>2.1885485927101591</v>
      </c>
      <c r="AB214" s="209">
        <f t="shared" si="132"/>
        <v>1.4590323951401061</v>
      </c>
      <c r="AC214" s="209">
        <f t="shared" si="132"/>
        <v>2.9764260860858163</v>
      </c>
      <c r="AD214" s="209">
        <f t="shared" si="132"/>
        <v>3.0359546078075335</v>
      </c>
      <c r="AE214" s="209">
        <f t="shared" si="132"/>
        <v>3.0966736999636839</v>
      </c>
      <c r="AF214" s="209">
        <f t="shared" si="132"/>
        <v>3.1586071739629578</v>
      </c>
      <c r="AG214" s="209">
        <f t="shared" si="132"/>
        <v>3.2217793174422162</v>
      </c>
      <c r="AH214" s="209">
        <f t="shared" si="132"/>
        <v>3.28621490379106</v>
      </c>
      <c r="AI214" s="209">
        <f t="shared" si="132"/>
        <v>3.3519392018668817</v>
      </c>
      <c r="AJ214" s="209">
        <f t="shared" si="132"/>
        <v>3.41897798590422</v>
      </c>
      <c r="AK214" s="209">
        <f t="shared" si="132"/>
        <v>3.487357545622304</v>
      </c>
      <c r="AL214" s="209">
        <f t="shared" si="132"/>
        <v>3.557104696534751</v>
      </c>
      <c r="AM214" s="209">
        <f t="shared" si="132"/>
        <v>3.6282467904654458</v>
      </c>
      <c r="AN214" s="209">
        <f t="shared" si="132"/>
        <v>3.7008117262747549</v>
      </c>
    </row>
    <row r="215" spans="2:40" ht="12" customHeight="1" outlineLevel="1">
      <c r="B215" s="239"/>
      <c r="C215" s="214" t="s">
        <v>843</v>
      </c>
      <c r="D215" s="214"/>
      <c r="E215" s="209">
        <f>E205*E211</f>
        <v>0</v>
      </c>
      <c r="F215" s="209">
        <f t="shared" ref="F215:AN215" si="133">F205*F211</f>
        <v>0</v>
      </c>
      <c r="G215" s="209">
        <f t="shared" si="133"/>
        <v>0</v>
      </c>
      <c r="H215" s="209">
        <f t="shared" si="133"/>
        <v>0</v>
      </c>
      <c r="I215" s="209">
        <f t="shared" si="133"/>
        <v>0</v>
      </c>
      <c r="J215" s="209">
        <f t="shared" si="133"/>
        <v>0</v>
      </c>
      <c r="K215" s="209">
        <f t="shared" si="133"/>
        <v>0</v>
      </c>
      <c r="L215" s="209">
        <f t="shared" si="133"/>
        <v>0</v>
      </c>
      <c r="M215" s="209">
        <f t="shared" si="133"/>
        <v>0</v>
      </c>
      <c r="N215" s="209">
        <f t="shared" si="133"/>
        <v>0</v>
      </c>
      <c r="O215" s="209">
        <f t="shared" si="133"/>
        <v>0</v>
      </c>
      <c r="P215" s="209">
        <f t="shared" si="133"/>
        <v>0</v>
      </c>
      <c r="Q215" s="209">
        <f t="shared" si="133"/>
        <v>0</v>
      </c>
      <c r="R215" s="209">
        <f t="shared" si="133"/>
        <v>0</v>
      </c>
      <c r="S215" s="209">
        <f t="shared" si="133"/>
        <v>0</v>
      </c>
      <c r="T215" s="209">
        <f t="shared" si="133"/>
        <v>0</v>
      </c>
      <c r="U215" s="209">
        <f t="shared" si="133"/>
        <v>0</v>
      </c>
      <c r="V215" s="209">
        <f t="shared" si="133"/>
        <v>0</v>
      </c>
      <c r="W215" s="209">
        <f t="shared" si="133"/>
        <v>0</v>
      </c>
      <c r="X215" s="209">
        <f t="shared" si="133"/>
        <v>0</v>
      </c>
      <c r="Y215" s="209">
        <f t="shared" si="133"/>
        <v>0</v>
      </c>
      <c r="Z215" s="209">
        <f t="shared" si="133"/>
        <v>0</v>
      </c>
      <c r="AA215" s="209">
        <f t="shared" si="133"/>
        <v>0</v>
      </c>
      <c r="AB215" s="209">
        <f t="shared" si="133"/>
        <v>0</v>
      </c>
      <c r="AC215" s="209">
        <f t="shared" si="133"/>
        <v>0</v>
      </c>
      <c r="AD215" s="209">
        <f t="shared" si="133"/>
        <v>0</v>
      </c>
      <c r="AE215" s="209">
        <f t="shared" si="133"/>
        <v>0</v>
      </c>
      <c r="AF215" s="209">
        <f t="shared" si="133"/>
        <v>0</v>
      </c>
      <c r="AG215" s="209">
        <f t="shared" si="133"/>
        <v>0</v>
      </c>
      <c r="AH215" s="209">
        <f t="shared" si="133"/>
        <v>0</v>
      </c>
      <c r="AI215" s="209">
        <f t="shared" si="133"/>
        <v>0</v>
      </c>
      <c r="AJ215" s="209">
        <f t="shared" si="133"/>
        <v>0</v>
      </c>
      <c r="AK215" s="209">
        <f t="shared" si="133"/>
        <v>0</v>
      </c>
      <c r="AL215" s="209">
        <f t="shared" si="133"/>
        <v>0</v>
      </c>
      <c r="AM215" s="209">
        <f t="shared" si="133"/>
        <v>0</v>
      </c>
      <c r="AN215" s="209">
        <f t="shared" si="133"/>
        <v>0</v>
      </c>
    </row>
    <row r="216" spans="2:40" ht="12" customHeight="1" outlineLevel="1">
      <c r="B216" s="239"/>
      <c r="C216" s="214" t="s">
        <v>844</v>
      </c>
      <c r="D216" s="214"/>
      <c r="E216" s="209">
        <f>IF((SUM(E226:E262)-E213)&lt;2,ROUNDUP(SUM(E226:E262),0)-E213,ROUNDDOWN(SUM(E226:E262),0)-E213)</f>
        <v>33</v>
      </c>
      <c r="F216" s="209">
        <f t="shared" ref="F216" si="134">IF((SUM(F226:F262)-F213)&lt;2,ROUNDUP(SUM(F226:F262),0)-F213,ROUNDDOWN(SUM(F226:F262),0)-F213)</f>
        <v>90</v>
      </c>
      <c r="G216" s="209">
        <f>IF((SUM(G226:G262)-G213)&lt;2,ROUNDUP(SUM(G226:G262),0)-G213,ROUNDDOWN(SUM(G226:G262),0)-G213)</f>
        <v>6</v>
      </c>
      <c r="H216" s="209">
        <f>IF((SUM(H226:H262)-H213)&lt;2,ROUNDUP(SUM(H226:H262),0)-H213,ROUNDDOWN(SUM(H226:H262),0)-H213)</f>
        <v>178</v>
      </c>
      <c r="I216" s="209">
        <f>IF((SUM(I226:I262)-I213)&lt;2,ROUNDUP(SUM(I226:I262),0)-I213,ROUNDDOWN(SUM(I226:I262),0)-I213)</f>
        <v>8</v>
      </c>
      <c r="J216" s="209">
        <f t="shared" ref="J216:AN216" si="135">IF((SUM(J226:J262)-J213)&lt;2,ROUNDUP(SUM(J226:J262),0)-J213,ROUNDDOWN(SUM(J226:J262),0)-J213)</f>
        <v>7</v>
      </c>
      <c r="K216" s="209">
        <f t="shared" si="135"/>
        <v>7</v>
      </c>
      <c r="L216" s="209">
        <f t="shared" si="135"/>
        <v>7</v>
      </c>
      <c r="M216" s="209">
        <f t="shared" si="135"/>
        <v>7.3133967111178855</v>
      </c>
      <c r="N216" s="209">
        <f t="shared" si="135"/>
        <v>6.5903239514010608</v>
      </c>
      <c r="O216" s="209">
        <f t="shared" si="135"/>
        <v>6.5903239514010608</v>
      </c>
      <c r="P216" s="209">
        <f t="shared" si="135"/>
        <v>6.2951619757005304</v>
      </c>
      <c r="Q216" s="209">
        <f t="shared" si="135"/>
        <v>6.2814599166371501</v>
      </c>
      <c r="R216" s="209">
        <f t="shared" si="135"/>
        <v>6.3886178385737749</v>
      </c>
      <c r="S216" s="209">
        <f t="shared" si="135"/>
        <v>6.278239010241764</v>
      </c>
      <c r="T216" s="209">
        <f t="shared" si="135"/>
        <v>6.210604364907498</v>
      </c>
      <c r="U216" s="209">
        <f t="shared" si="135"/>
        <v>5.4179530379815564</v>
      </c>
      <c r="V216" s="209">
        <f t="shared" si="135"/>
        <v>5.948638612332859</v>
      </c>
      <c r="W216" s="209">
        <f t="shared" si="135"/>
        <v>5.0557965342694828</v>
      </c>
      <c r="X216" s="209">
        <f t="shared" si="135"/>
        <v>5.6566983555589427</v>
      </c>
      <c r="Y216" s="209">
        <f t="shared" si="135"/>
        <v>5.6267934222357709</v>
      </c>
      <c r="Z216" s="209">
        <f t="shared" si="135"/>
        <v>5.6475809878502652</v>
      </c>
      <c r="AA216" s="209">
        <f t="shared" si="135"/>
        <v>5.1885485927101591</v>
      </c>
      <c r="AB216" s="209">
        <f t="shared" si="135"/>
        <v>4.4590323951401061</v>
      </c>
      <c r="AC216" s="209">
        <f t="shared" si="135"/>
        <v>4.6564260860858155</v>
      </c>
      <c r="AD216" s="209">
        <f t="shared" si="135"/>
        <v>4.3895546078075292</v>
      </c>
      <c r="AE216" s="209">
        <f t="shared" si="135"/>
        <v>5.1173456999636819</v>
      </c>
      <c r="AF216" s="209">
        <f t="shared" si="135"/>
        <v>4.8396926139629546</v>
      </c>
      <c r="AG216" s="209">
        <f t="shared" si="135"/>
        <v>4.556486466242216</v>
      </c>
      <c r="AH216" s="209">
        <f t="shared" si="135"/>
        <v>4.2676161955670633</v>
      </c>
      <c r="AI216" s="209">
        <f t="shared" si="135"/>
        <v>3.9729685194784015</v>
      </c>
      <c r="AJ216" s="209">
        <f t="shared" si="135"/>
        <v>3.6724278898679685</v>
      </c>
      <c r="AK216" s="209">
        <f t="shared" si="135"/>
        <v>4.3658764476653271</v>
      </c>
      <c r="AL216" s="209">
        <f t="shared" si="135"/>
        <v>4.0531939766186298</v>
      </c>
      <c r="AM216" s="209">
        <f t="shared" si="135"/>
        <v>3.7342578561510038</v>
      </c>
      <c r="AN216" s="209">
        <f t="shared" si="135"/>
        <v>3.4089430132740226</v>
      </c>
    </row>
    <row r="217" spans="2:40" ht="12" customHeight="1" outlineLevel="1">
      <c r="B217" s="239"/>
      <c r="C217" s="214" t="s">
        <v>845</v>
      </c>
      <c r="D217" s="214"/>
      <c r="E217" s="209">
        <f>IF((SUM(E267:E303)-E214)&lt;2,ROUNDUP(SUM(E267:E303),0)-E214,ROUNDDOWN(SUM(E267:E303),0)-E214)</f>
        <v>0</v>
      </c>
      <c r="F217" s="209">
        <f>IF((SUM(F267:F303)-F214)&lt;2,ROUND(SUM(F267:F303),0)-F214,ROUNDDOWN(SUM(F267:F303),0)-F214)</f>
        <v>2.2204460492503131E-16</v>
      </c>
      <c r="G217" s="209">
        <f>IF((SUM(G267:G303)-G214)&lt;2,ROUND(SUM(G267:G303),0)-G214,ROUNDDOWN(SUM(G267:G303),0)-G214)</f>
        <v>0</v>
      </c>
      <c r="H217" s="209">
        <f t="shared" ref="H217:I217" si="136">IF((SUM(H267:H303)-H214)&lt;2,ROUND(SUM(H267:H303),0)-H214,ROUNDDOWN(SUM(H267:H303),0)-H214)</f>
        <v>0</v>
      </c>
      <c r="I217" s="209">
        <f t="shared" si="136"/>
        <v>-1.0000000000000004</v>
      </c>
      <c r="J217" s="209">
        <f t="shared" ref="J217:AN217" si="137">IF((SUM(J267:J303)-J214)&lt;2,ROUNDUP(SUM(J267:J303),0)-J214,ROUNDDOWN(SUM(J267:J303),0)-J214)</f>
        <v>1</v>
      </c>
      <c r="K217" s="209">
        <f t="shared" si="137"/>
        <v>1</v>
      </c>
      <c r="L217" s="209">
        <f t="shared" si="137"/>
        <v>1</v>
      </c>
      <c r="M217" s="209">
        <f t="shared" si="137"/>
        <v>0.95460328888211388</v>
      </c>
      <c r="N217" s="209">
        <f t="shared" si="137"/>
        <v>1.4096760485989392</v>
      </c>
      <c r="O217" s="209">
        <f t="shared" si="137"/>
        <v>2.4096760485989392</v>
      </c>
      <c r="P217" s="209">
        <f t="shared" si="137"/>
        <v>1.7048380242994696</v>
      </c>
      <c r="Q217" s="209">
        <f t="shared" si="137"/>
        <v>2.1705400833628499</v>
      </c>
      <c r="R217" s="209">
        <f t="shared" si="137"/>
        <v>1.9713821614262252</v>
      </c>
      <c r="S217" s="209">
        <f t="shared" si="137"/>
        <v>1.9467609897582359</v>
      </c>
      <c r="T217" s="209">
        <f t="shared" si="137"/>
        <v>2.3777956350925016</v>
      </c>
      <c r="U217" s="209">
        <f t="shared" si="137"/>
        <v>2.4240469620184433</v>
      </c>
      <c r="V217" s="209">
        <f t="shared" si="137"/>
        <v>2.3193613876671404</v>
      </c>
      <c r="W217" s="209">
        <f t="shared" si="137"/>
        <v>2.120203465730516</v>
      </c>
      <c r="X217" s="209">
        <f t="shared" si="137"/>
        <v>1.4773016444410569</v>
      </c>
      <c r="Y217" s="209">
        <f t="shared" si="137"/>
        <v>1.9092065777642278</v>
      </c>
      <c r="Z217" s="209">
        <f t="shared" si="137"/>
        <v>1.3524190121497348</v>
      </c>
      <c r="AA217" s="209">
        <f t="shared" si="137"/>
        <v>1.8114514072898409</v>
      </c>
      <c r="AB217" s="209">
        <f t="shared" si="137"/>
        <v>1.5409676048598939</v>
      </c>
      <c r="AC217" s="209">
        <f t="shared" si="137"/>
        <v>2.0235739139141837</v>
      </c>
      <c r="AD217" s="209">
        <f t="shared" si="137"/>
        <v>1.9640453921924665</v>
      </c>
      <c r="AE217" s="209">
        <f t="shared" si="137"/>
        <v>1.9033263000363161</v>
      </c>
      <c r="AF217" s="209">
        <f t="shared" si="137"/>
        <v>1.8413928260370422</v>
      </c>
      <c r="AG217" s="209">
        <f t="shared" si="137"/>
        <v>1.7782206825577838</v>
      </c>
      <c r="AH217" s="209">
        <f t="shared" si="137"/>
        <v>1.71378509620894</v>
      </c>
      <c r="AI217" s="209">
        <f t="shared" si="137"/>
        <v>1.6480607981331183</v>
      </c>
      <c r="AJ217" s="209">
        <f t="shared" si="137"/>
        <v>1.58102201409578</v>
      </c>
      <c r="AK217" s="209">
        <f t="shared" si="137"/>
        <v>2.512642454377696</v>
      </c>
      <c r="AL217" s="209">
        <f t="shared" si="137"/>
        <v>2.442895303465249</v>
      </c>
      <c r="AM217" s="209">
        <f t="shared" si="137"/>
        <v>2.3717532095345542</v>
      </c>
      <c r="AN217" s="209">
        <f t="shared" si="137"/>
        <v>2.2991882737252451</v>
      </c>
    </row>
    <row r="218" spans="2:40" ht="12" customHeight="1" outlineLevel="1">
      <c r="B218" s="239"/>
      <c r="C218" s="214" t="s">
        <v>846</v>
      </c>
      <c r="D218" s="214"/>
      <c r="E218" s="209">
        <f>IF((SUM(E308:E343)-E215)&lt;1,ROUNDUP(SUM(E308:E343),0)-E215,ROUNDDOWN(SUM(E308:E343),0)-E215)</f>
        <v>0</v>
      </c>
      <c r="F218" s="209">
        <f t="shared" ref="F218:I218" si="138">IF((SUM(F308:F343)-F215)&lt;1,ROUNDUP(SUM(F308:F343),0)-F215,ROUNDDOWN(SUM(F308:F343),0)-F215)</f>
        <v>0</v>
      </c>
      <c r="G218" s="209">
        <f t="shared" si="138"/>
        <v>0</v>
      </c>
      <c r="H218" s="209">
        <f t="shared" si="138"/>
        <v>0</v>
      </c>
      <c r="I218" s="209">
        <f t="shared" si="138"/>
        <v>0</v>
      </c>
      <c r="J218" s="209">
        <f t="shared" ref="J218:AN218" si="139">IF((SUM(J308:J343)-J215)&lt;1,ROUNDUP(SUM(J308:J343),0)-J215,ROUNDDOWN(SUM(J308:J343),0)-J215)</f>
        <v>0</v>
      </c>
      <c r="K218" s="209">
        <f t="shared" si="139"/>
        <v>0</v>
      </c>
      <c r="L218" s="209">
        <f t="shared" si="139"/>
        <v>0</v>
      </c>
      <c r="M218" s="209">
        <f t="shared" si="139"/>
        <v>0</v>
      </c>
      <c r="N218" s="209">
        <f t="shared" si="139"/>
        <v>0</v>
      </c>
      <c r="O218" s="209">
        <f t="shared" si="139"/>
        <v>0</v>
      </c>
      <c r="P218" s="209">
        <f t="shared" si="139"/>
        <v>0</v>
      </c>
      <c r="Q218" s="209">
        <f t="shared" si="139"/>
        <v>0</v>
      </c>
      <c r="R218" s="209">
        <f t="shared" si="139"/>
        <v>0</v>
      </c>
      <c r="S218" s="209">
        <f t="shared" si="139"/>
        <v>0</v>
      </c>
      <c r="T218" s="209">
        <f t="shared" si="139"/>
        <v>0</v>
      </c>
      <c r="U218" s="209">
        <f t="shared" si="139"/>
        <v>0</v>
      </c>
      <c r="V218" s="209">
        <f t="shared" si="139"/>
        <v>0</v>
      </c>
      <c r="W218" s="209">
        <f t="shared" si="139"/>
        <v>0</v>
      </c>
      <c r="X218" s="209">
        <f t="shared" si="139"/>
        <v>0</v>
      </c>
      <c r="Y218" s="209">
        <f t="shared" si="139"/>
        <v>0</v>
      </c>
      <c r="Z218" s="209">
        <f t="shared" si="139"/>
        <v>0</v>
      </c>
      <c r="AA218" s="209">
        <f t="shared" si="139"/>
        <v>0</v>
      </c>
      <c r="AB218" s="209">
        <f t="shared" si="139"/>
        <v>0</v>
      </c>
      <c r="AC218" s="209">
        <f t="shared" si="139"/>
        <v>0</v>
      </c>
      <c r="AD218" s="209">
        <f t="shared" si="139"/>
        <v>0</v>
      </c>
      <c r="AE218" s="209">
        <f t="shared" si="139"/>
        <v>0</v>
      </c>
      <c r="AF218" s="209">
        <f t="shared" si="139"/>
        <v>0</v>
      </c>
      <c r="AG218" s="209">
        <f t="shared" si="139"/>
        <v>0</v>
      </c>
      <c r="AH218" s="209">
        <f t="shared" si="139"/>
        <v>0</v>
      </c>
      <c r="AI218" s="209">
        <f t="shared" si="139"/>
        <v>0</v>
      </c>
      <c r="AJ218" s="209">
        <f t="shared" si="139"/>
        <v>0</v>
      </c>
      <c r="AK218" s="209">
        <f t="shared" si="139"/>
        <v>0</v>
      </c>
      <c r="AL218" s="209">
        <f t="shared" si="139"/>
        <v>0</v>
      </c>
      <c r="AM218" s="209">
        <f t="shared" si="139"/>
        <v>0</v>
      </c>
      <c r="AN218" s="209">
        <f t="shared" si="139"/>
        <v>0</v>
      </c>
    </row>
    <row r="219" spans="2:40" ht="12" customHeight="1" outlineLevel="1">
      <c r="B219" s="237"/>
      <c r="C219" s="214" t="s">
        <v>833</v>
      </c>
      <c r="D219" s="214"/>
      <c r="E219" s="210">
        <f t="shared" ref="E219:I219" si="140">SUM(E213:E215)</f>
        <v>9</v>
      </c>
      <c r="F219" s="210">
        <f t="shared" si="140"/>
        <v>10</v>
      </c>
      <c r="G219" s="210">
        <f t="shared" si="140"/>
        <v>9</v>
      </c>
      <c r="H219" s="210">
        <f>SUM(H213:H215)</f>
        <v>59</v>
      </c>
      <c r="I219" s="210">
        <f t="shared" si="140"/>
        <v>17</v>
      </c>
      <c r="J219" s="210">
        <f t="shared" ref="J219:AN219" si="141">SUM(J213:J215)</f>
        <v>4</v>
      </c>
      <c r="K219" s="210">
        <f t="shared" si="141"/>
        <v>2</v>
      </c>
      <c r="L219" s="210">
        <f t="shared" si="141"/>
        <v>1</v>
      </c>
      <c r="M219" s="210">
        <f t="shared" si="141"/>
        <v>5.7320000000000011</v>
      </c>
      <c r="N219" s="210">
        <f t="shared" si="141"/>
        <v>80</v>
      </c>
      <c r="O219" s="210">
        <f t="shared" si="141"/>
        <v>80</v>
      </c>
      <c r="P219" s="210">
        <f t="shared" si="141"/>
        <v>40</v>
      </c>
      <c r="Q219" s="210">
        <f t="shared" si="141"/>
        <v>4.548</v>
      </c>
      <c r="R219" s="210">
        <f t="shared" si="141"/>
        <v>5.64</v>
      </c>
      <c r="S219" s="210">
        <f t="shared" si="141"/>
        <v>5.7750000000000004</v>
      </c>
      <c r="T219" s="210">
        <f t="shared" si="141"/>
        <v>3.4116000000000009</v>
      </c>
      <c r="U219" s="210">
        <f t="shared" si="141"/>
        <v>3.1579999999999999</v>
      </c>
      <c r="V219" s="210">
        <f t="shared" si="141"/>
        <v>3.7320000000000007</v>
      </c>
      <c r="W219" s="210">
        <f t="shared" si="141"/>
        <v>4.8240000000000007</v>
      </c>
      <c r="X219" s="210">
        <f t="shared" si="141"/>
        <v>2.8660000000000005</v>
      </c>
      <c r="Y219" s="210">
        <f t="shared" si="141"/>
        <v>11.464000000000002</v>
      </c>
      <c r="Z219" s="210">
        <f t="shared" si="141"/>
        <v>20</v>
      </c>
      <c r="AA219" s="210">
        <f t="shared" si="141"/>
        <v>12</v>
      </c>
      <c r="AB219" s="210">
        <f t="shared" si="141"/>
        <v>8</v>
      </c>
      <c r="AC219" s="210">
        <f t="shared" si="141"/>
        <v>16.32</v>
      </c>
      <c r="AD219" s="210">
        <f t="shared" si="141"/>
        <v>16.646400000000003</v>
      </c>
      <c r="AE219" s="210">
        <f t="shared" si="141"/>
        <v>16.979328000000002</v>
      </c>
      <c r="AF219" s="210">
        <f t="shared" si="141"/>
        <v>17.318914560000003</v>
      </c>
      <c r="AG219" s="210">
        <f t="shared" si="141"/>
        <v>17.6652928512</v>
      </c>
      <c r="AH219" s="210">
        <f t="shared" si="141"/>
        <v>18.018598708223998</v>
      </c>
      <c r="AI219" s="210">
        <f t="shared" si="141"/>
        <v>18.378970682388481</v>
      </c>
      <c r="AJ219" s="210">
        <f t="shared" si="141"/>
        <v>18.746550096036252</v>
      </c>
      <c r="AK219" s="210">
        <f t="shared" si="141"/>
        <v>19.121481097956977</v>
      </c>
      <c r="AL219" s="210">
        <f t="shared" si="141"/>
        <v>19.503910719916121</v>
      </c>
      <c r="AM219" s="210">
        <f t="shared" si="141"/>
        <v>19.893988934314443</v>
      </c>
      <c r="AN219" s="210">
        <f t="shared" si="141"/>
        <v>20.291868713000731</v>
      </c>
    </row>
    <row r="220" spans="2:40" ht="12" customHeight="1" outlineLevel="1">
      <c r="B220" s="237"/>
      <c r="C220" s="214" t="s">
        <v>847</v>
      </c>
      <c r="D220" s="214"/>
      <c r="E220" s="210">
        <f>SUM(E216:E218)</f>
        <v>33</v>
      </c>
      <c r="F220" s="210">
        <f t="shared" ref="F220:AN220" si="142">SUM(F216:F218)</f>
        <v>90</v>
      </c>
      <c r="G220" s="210">
        <f t="shared" si="142"/>
        <v>6</v>
      </c>
      <c r="H220" s="210">
        <f t="shared" si="142"/>
        <v>178</v>
      </c>
      <c r="I220" s="210">
        <f t="shared" si="142"/>
        <v>7</v>
      </c>
      <c r="J220" s="210">
        <f t="shared" si="142"/>
        <v>8</v>
      </c>
      <c r="K220" s="210">
        <f t="shared" si="142"/>
        <v>8</v>
      </c>
      <c r="L220" s="210">
        <f t="shared" si="142"/>
        <v>8</v>
      </c>
      <c r="M220" s="210">
        <f t="shared" si="142"/>
        <v>8.2679999999999989</v>
      </c>
      <c r="N220" s="210">
        <f t="shared" si="142"/>
        <v>8</v>
      </c>
      <c r="O220" s="210">
        <f t="shared" si="142"/>
        <v>9</v>
      </c>
      <c r="P220" s="210">
        <f t="shared" si="142"/>
        <v>8</v>
      </c>
      <c r="Q220" s="210">
        <f t="shared" si="142"/>
        <v>8.452</v>
      </c>
      <c r="R220" s="210">
        <f t="shared" si="142"/>
        <v>8.36</v>
      </c>
      <c r="S220" s="210">
        <f t="shared" si="142"/>
        <v>8.2249999999999996</v>
      </c>
      <c r="T220" s="210">
        <f t="shared" si="142"/>
        <v>8.5884</v>
      </c>
      <c r="U220" s="210">
        <f t="shared" si="142"/>
        <v>7.8419999999999996</v>
      </c>
      <c r="V220" s="210">
        <f t="shared" si="142"/>
        <v>8.2679999999999989</v>
      </c>
      <c r="W220" s="210">
        <f t="shared" si="142"/>
        <v>7.1759999999999984</v>
      </c>
      <c r="X220" s="210">
        <f t="shared" si="142"/>
        <v>7.1339999999999995</v>
      </c>
      <c r="Y220" s="210">
        <f t="shared" si="142"/>
        <v>7.5359999999999987</v>
      </c>
      <c r="Z220" s="210">
        <f t="shared" si="142"/>
        <v>7</v>
      </c>
      <c r="AA220" s="210">
        <f t="shared" si="142"/>
        <v>7</v>
      </c>
      <c r="AB220" s="210">
        <f t="shared" si="142"/>
        <v>6</v>
      </c>
      <c r="AC220" s="210">
        <f t="shared" si="142"/>
        <v>6.68</v>
      </c>
      <c r="AD220" s="210">
        <f t="shared" si="142"/>
        <v>6.3535999999999957</v>
      </c>
      <c r="AE220" s="210">
        <f t="shared" si="142"/>
        <v>7.0206719999999976</v>
      </c>
      <c r="AF220" s="210">
        <f t="shared" si="142"/>
        <v>6.6810854399999968</v>
      </c>
      <c r="AG220" s="210">
        <f t="shared" si="142"/>
        <v>6.3347071487999997</v>
      </c>
      <c r="AH220" s="210">
        <f t="shared" si="142"/>
        <v>5.9814012917760033</v>
      </c>
      <c r="AI220" s="210">
        <f t="shared" si="142"/>
        <v>5.6210293176115194</v>
      </c>
      <c r="AJ220" s="210">
        <f t="shared" si="142"/>
        <v>5.2534499039637481</v>
      </c>
      <c r="AK220" s="210">
        <f t="shared" si="142"/>
        <v>6.8785189020430231</v>
      </c>
      <c r="AL220" s="210">
        <f t="shared" si="142"/>
        <v>6.4960892800838792</v>
      </c>
      <c r="AM220" s="210">
        <f t="shared" si="142"/>
        <v>6.106011065685558</v>
      </c>
      <c r="AN220" s="210">
        <f t="shared" si="142"/>
        <v>5.7081312869992678</v>
      </c>
    </row>
    <row r="221" spans="2:40" ht="12" customHeight="1" outlineLevel="1">
      <c r="B221" s="237"/>
      <c r="C221" s="214" t="s">
        <v>848</v>
      </c>
      <c r="D221" s="214"/>
      <c r="E221" s="205">
        <f>SUM(E219:E220)</f>
        <v>42</v>
      </c>
      <c r="F221" s="205">
        <f t="shared" ref="F221:AN221" si="143">SUM(F219:F220)</f>
        <v>100</v>
      </c>
      <c r="G221" s="205">
        <f t="shared" si="143"/>
        <v>15</v>
      </c>
      <c r="H221" s="205">
        <f t="shared" si="143"/>
        <v>237</v>
      </c>
      <c r="I221" s="205">
        <f t="shared" si="143"/>
        <v>24</v>
      </c>
      <c r="J221" s="205">
        <f t="shared" si="143"/>
        <v>12</v>
      </c>
      <c r="K221" s="205">
        <f t="shared" si="143"/>
        <v>10</v>
      </c>
      <c r="L221" s="205">
        <f t="shared" si="143"/>
        <v>9</v>
      </c>
      <c r="M221" s="205">
        <f t="shared" si="143"/>
        <v>14</v>
      </c>
      <c r="N221" s="205">
        <f t="shared" si="143"/>
        <v>88</v>
      </c>
      <c r="O221" s="205">
        <f t="shared" si="143"/>
        <v>89</v>
      </c>
      <c r="P221" s="205">
        <f t="shared" si="143"/>
        <v>48</v>
      </c>
      <c r="Q221" s="205">
        <f t="shared" si="143"/>
        <v>13</v>
      </c>
      <c r="R221" s="205">
        <f t="shared" si="143"/>
        <v>14</v>
      </c>
      <c r="S221" s="205">
        <f t="shared" si="143"/>
        <v>14</v>
      </c>
      <c r="T221" s="205">
        <f t="shared" si="143"/>
        <v>12</v>
      </c>
      <c r="U221" s="205">
        <f t="shared" si="143"/>
        <v>11</v>
      </c>
      <c r="V221" s="205">
        <f t="shared" si="143"/>
        <v>12</v>
      </c>
      <c r="W221" s="205">
        <f t="shared" si="143"/>
        <v>12</v>
      </c>
      <c r="X221" s="205">
        <f t="shared" si="143"/>
        <v>10</v>
      </c>
      <c r="Y221" s="205">
        <f t="shared" si="143"/>
        <v>19</v>
      </c>
      <c r="Z221" s="205">
        <f t="shared" si="143"/>
        <v>27</v>
      </c>
      <c r="AA221" s="205">
        <f t="shared" si="143"/>
        <v>19</v>
      </c>
      <c r="AB221" s="205">
        <f t="shared" si="143"/>
        <v>14</v>
      </c>
      <c r="AC221" s="205">
        <f t="shared" si="143"/>
        <v>23</v>
      </c>
      <c r="AD221" s="205">
        <f t="shared" si="143"/>
        <v>23</v>
      </c>
      <c r="AE221" s="205">
        <f t="shared" si="143"/>
        <v>24</v>
      </c>
      <c r="AF221" s="205">
        <f t="shared" si="143"/>
        <v>24</v>
      </c>
      <c r="AG221" s="205">
        <f t="shared" si="143"/>
        <v>24</v>
      </c>
      <c r="AH221" s="205">
        <f t="shared" si="143"/>
        <v>24</v>
      </c>
      <c r="AI221" s="205">
        <f t="shared" si="143"/>
        <v>24</v>
      </c>
      <c r="AJ221" s="205">
        <f t="shared" si="143"/>
        <v>24</v>
      </c>
      <c r="AK221" s="205">
        <f t="shared" si="143"/>
        <v>26</v>
      </c>
      <c r="AL221" s="205">
        <f t="shared" si="143"/>
        <v>26</v>
      </c>
      <c r="AM221" s="205">
        <f t="shared" si="143"/>
        <v>26</v>
      </c>
      <c r="AN221" s="205">
        <f t="shared" si="143"/>
        <v>26</v>
      </c>
    </row>
    <row r="222" spans="2:40" ht="12" customHeight="1" outlineLevel="1">
      <c r="B222" s="239"/>
      <c r="C222" s="212"/>
      <c r="D222" s="212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</row>
    <row r="223" spans="2:40" ht="12" hidden="1" customHeight="1" outlineLevel="2">
      <c r="B223" s="239"/>
      <c r="C223" s="249" t="s">
        <v>849</v>
      </c>
      <c r="D223" s="212"/>
      <c r="O223" s="212"/>
      <c r="P223" s="212"/>
      <c r="Q223" s="212"/>
      <c r="R223" s="212"/>
      <c r="S223" s="212"/>
      <c r="T223" s="212"/>
      <c r="U223" s="212"/>
      <c r="V223" s="212"/>
      <c r="W223" s="212"/>
      <c r="X223" s="212"/>
      <c r="Y223" s="212"/>
      <c r="Z223" s="212"/>
      <c r="AA223" s="212"/>
      <c r="AB223" s="212"/>
      <c r="AC223" s="212"/>
      <c r="AD223" s="212"/>
      <c r="AE223" s="212"/>
      <c r="AF223" s="212"/>
      <c r="AG223" s="212"/>
      <c r="AH223" s="212"/>
      <c r="AI223" s="212"/>
      <c r="AJ223" s="212"/>
      <c r="AK223" s="212"/>
      <c r="AL223" s="212"/>
      <c r="AM223" s="212"/>
      <c r="AN223" s="212"/>
    </row>
    <row r="224" spans="2:40" ht="12" hidden="1" customHeight="1" outlineLevel="2">
      <c r="B224" s="239"/>
      <c r="C224" s="212" t="s">
        <v>850</v>
      </c>
      <c r="D224" s="212"/>
      <c r="E224" s="196" t="s">
        <v>753</v>
      </c>
      <c r="F224" s="196" t="s">
        <v>754</v>
      </c>
      <c r="G224" s="196" t="s">
        <v>755</v>
      </c>
      <c r="H224" s="196" t="s">
        <v>756</v>
      </c>
      <c r="I224" s="196" t="s">
        <v>757</v>
      </c>
      <c r="J224" s="196" t="s">
        <v>758</v>
      </c>
      <c r="K224" s="196" t="s">
        <v>759</v>
      </c>
      <c r="L224" s="196" t="s">
        <v>760</v>
      </c>
      <c r="M224" s="196" t="s">
        <v>761</v>
      </c>
      <c r="N224" s="196" t="s">
        <v>762</v>
      </c>
      <c r="O224" s="196" t="s">
        <v>763</v>
      </c>
      <c r="P224" s="196" t="s">
        <v>764</v>
      </c>
      <c r="Q224" s="196" t="s">
        <v>765</v>
      </c>
      <c r="R224" s="196" t="s">
        <v>766</v>
      </c>
      <c r="S224" s="196" t="s">
        <v>767</v>
      </c>
      <c r="T224" s="196" t="s">
        <v>768</v>
      </c>
      <c r="U224" s="196" t="s">
        <v>769</v>
      </c>
      <c r="V224" s="196" t="s">
        <v>770</v>
      </c>
      <c r="W224" s="196" t="s">
        <v>771</v>
      </c>
      <c r="X224" s="196" t="s">
        <v>772</v>
      </c>
      <c r="Y224" s="196" t="s">
        <v>773</v>
      </c>
      <c r="Z224" s="196" t="s">
        <v>774</v>
      </c>
      <c r="AA224" s="196" t="s">
        <v>775</v>
      </c>
      <c r="AB224" s="196" t="s">
        <v>776</v>
      </c>
      <c r="AC224" s="196" t="s">
        <v>777</v>
      </c>
      <c r="AD224" s="196" t="s">
        <v>778</v>
      </c>
      <c r="AE224" s="196" t="s">
        <v>779</v>
      </c>
      <c r="AF224" s="196" t="s">
        <v>780</v>
      </c>
      <c r="AG224" s="196" t="s">
        <v>781</v>
      </c>
      <c r="AH224" s="196" t="s">
        <v>782</v>
      </c>
      <c r="AI224" s="196" t="s">
        <v>783</v>
      </c>
      <c r="AJ224" s="196" t="s">
        <v>784</v>
      </c>
      <c r="AK224" s="196" t="s">
        <v>785</v>
      </c>
      <c r="AL224" s="196" t="s">
        <v>786</v>
      </c>
      <c r="AM224" s="196" t="s">
        <v>787</v>
      </c>
      <c r="AN224" s="196" t="s">
        <v>788</v>
      </c>
    </row>
    <row r="225" spans="2:40" ht="12" hidden="1" customHeight="1" outlineLevel="2">
      <c r="B225" s="239"/>
      <c r="C225" s="212" t="s">
        <v>851</v>
      </c>
      <c r="D225" s="212"/>
      <c r="E225" s="191">
        <v>0</v>
      </c>
      <c r="F225" s="191">
        <v>0</v>
      </c>
      <c r="G225" s="191">
        <v>0</v>
      </c>
      <c r="H225" s="191">
        <v>0</v>
      </c>
      <c r="I225" s="191">
        <v>0</v>
      </c>
      <c r="J225" s="191">
        <v>0</v>
      </c>
      <c r="K225" s="191">
        <v>0</v>
      </c>
      <c r="L225" s="191">
        <v>0</v>
      </c>
      <c r="M225" s="191">
        <v>0</v>
      </c>
      <c r="N225" s="191">
        <v>0</v>
      </c>
      <c r="O225" s="191">
        <v>0</v>
      </c>
      <c r="P225" s="191">
        <v>0</v>
      </c>
      <c r="Q225" s="191">
        <v>0</v>
      </c>
      <c r="R225" s="191">
        <v>0</v>
      </c>
      <c r="S225" s="191">
        <v>0</v>
      </c>
      <c r="T225" s="191">
        <v>0</v>
      </c>
      <c r="U225" s="191">
        <v>0</v>
      </c>
      <c r="V225" s="191">
        <v>0</v>
      </c>
      <c r="W225" s="191">
        <v>0</v>
      </c>
      <c r="X225" s="191">
        <v>0</v>
      </c>
      <c r="Y225" s="191">
        <v>0</v>
      </c>
      <c r="Z225" s="191">
        <v>0</v>
      </c>
      <c r="AA225" s="191">
        <v>0</v>
      </c>
      <c r="AB225" s="191">
        <v>0</v>
      </c>
      <c r="AC225" s="191">
        <v>0</v>
      </c>
      <c r="AD225" s="191">
        <v>0</v>
      </c>
      <c r="AE225" s="191">
        <v>0</v>
      </c>
      <c r="AF225" s="191">
        <v>0</v>
      </c>
      <c r="AG225" s="191">
        <v>0</v>
      </c>
      <c r="AH225" s="191">
        <v>0</v>
      </c>
      <c r="AI225" s="191">
        <v>0</v>
      </c>
      <c r="AJ225" s="191">
        <v>0</v>
      </c>
      <c r="AK225" s="191">
        <v>0</v>
      </c>
      <c r="AL225" s="191">
        <v>0</v>
      </c>
      <c r="AM225" s="191">
        <v>0</v>
      </c>
      <c r="AN225" s="191">
        <v>0</v>
      </c>
    </row>
    <row r="226" spans="2:40" ht="12" hidden="1" customHeight="1" outlineLevel="2">
      <c r="B226" s="239"/>
      <c r="C226" s="212" t="s">
        <v>861</v>
      </c>
      <c r="D226" s="212"/>
      <c r="E226" s="211">
        <v>33</v>
      </c>
      <c r="F226" s="211">
        <v>90</v>
      </c>
      <c r="G226" s="211">
        <v>6</v>
      </c>
      <c r="H226" s="211">
        <v>178</v>
      </c>
      <c r="I226" s="211">
        <v>8</v>
      </c>
      <c r="J226" s="211">
        <f t="shared" ref="J226:AN226" si="144">I226*98%</f>
        <v>7.84</v>
      </c>
      <c r="K226" s="211">
        <f t="shared" si="144"/>
        <v>7.6831999999999994</v>
      </c>
      <c r="L226" s="211">
        <f t="shared" si="144"/>
        <v>7.5295359999999993</v>
      </c>
      <c r="M226" s="211">
        <f t="shared" si="144"/>
        <v>7.3789452799999991</v>
      </c>
      <c r="N226" s="211">
        <f t="shared" si="144"/>
        <v>7.2313663743999985</v>
      </c>
      <c r="O226" s="211">
        <f t="shared" si="144"/>
        <v>7.0867390469119984</v>
      </c>
      <c r="P226" s="211">
        <f t="shared" si="144"/>
        <v>6.9450042659737585</v>
      </c>
      <c r="Q226" s="211">
        <f t="shared" si="144"/>
        <v>6.806104180654283</v>
      </c>
      <c r="R226" s="211">
        <f t="shared" si="144"/>
        <v>6.6699820970411974</v>
      </c>
      <c r="S226" s="211">
        <f t="shared" si="144"/>
        <v>6.5365824551003735</v>
      </c>
      <c r="T226" s="211">
        <f t="shared" si="144"/>
        <v>6.4058508059983659</v>
      </c>
      <c r="U226" s="211">
        <f t="shared" si="144"/>
        <v>6.2777337898783987</v>
      </c>
      <c r="V226" s="211">
        <f t="shared" si="144"/>
        <v>6.1521791140808304</v>
      </c>
      <c r="W226" s="211">
        <f t="shared" si="144"/>
        <v>6.0291355317992137</v>
      </c>
      <c r="X226" s="211">
        <f t="shared" si="144"/>
        <v>5.9085528211632292</v>
      </c>
      <c r="Y226" s="211">
        <f t="shared" si="144"/>
        <v>5.7903817647399647</v>
      </c>
      <c r="Z226" s="211">
        <f t="shared" si="144"/>
        <v>5.6745741294451655</v>
      </c>
      <c r="AA226" s="211">
        <f t="shared" si="144"/>
        <v>5.5610826468562617</v>
      </c>
      <c r="AB226" s="211">
        <f t="shared" si="144"/>
        <v>5.4498609939191365</v>
      </c>
      <c r="AC226" s="211">
        <f t="shared" si="144"/>
        <v>5.3408637740407539</v>
      </c>
      <c r="AD226" s="211">
        <f t="shared" si="144"/>
        <v>5.2340464985599384</v>
      </c>
      <c r="AE226" s="211">
        <f t="shared" si="144"/>
        <v>5.1293655685887396</v>
      </c>
      <c r="AF226" s="211">
        <f t="shared" si="144"/>
        <v>5.0267782572169644</v>
      </c>
      <c r="AG226" s="211">
        <f t="shared" si="144"/>
        <v>4.9262426920726252</v>
      </c>
      <c r="AH226" s="211">
        <f t="shared" si="144"/>
        <v>4.8277178382311723</v>
      </c>
      <c r="AI226" s="211">
        <f t="shared" si="144"/>
        <v>4.7311634814665489</v>
      </c>
      <c r="AJ226" s="211">
        <f t="shared" si="144"/>
        <v>4.6365402118372181</v>
      </c>
      <c r="AK226" s="211">
        <f t="shared" si="144"/>
        <v>4.5438094076004738</v>
      </c>
      <c r="AL226" s="211">
        <f t="shared" si="144"/>
        <v>4.4529332194484645</v>
      </c>
      <c r="AM226" s="211">
        <f t="shared" si="144"/>
        <v>4.3638745550594953</v>
      </c>
      <c r="AN226" s="211">
        <f t="shared" si="144"/>
        <v>4.2765970639583051</v>
      </c>
    </row>
    <row r="227" spans="2:40" ht="12" hidden="1" customHeight="1" outlineLevel="2">
      <c r="B227" s="245"/>
      <c r="C227" s="250" t="s">
        <v>753</v>
      </c>
      <c r="D227" s="250"/>
      <c r="E227" s="211">
        <f>INDEX($C$199:$AN$221,MATCH("New Customers One-Time",$C$199:$C$221,0),MATCH($C227,$C$199:$AN$199,0))</f>
        <v>9</v>
      </c>
      <c r="F227" s="211">
        <f t="shared" ref="F227:AN227" si="145">$E$227*(E225)</f>
        <v>0</v>
      </c>
      <c r="G227" s="211">
        <f t="shared" si="145"/>
        <v>0</v>
      </c>
      <c r="H227" s="211">
        <f t="shared" si="145"/>
        <v>0</v>
      </c>
      <c r="I227" s="211">
        <f t="shared" si="145"/>
        <v>0</v>
      </c>
      <c r="J227" s="211">
        <f t="shared" si="145"/>
        <v>0</v>
      </c>
      <c r="K227" s="211">
        <f t="shared" si="145"/>
        <v>0</v>
      </c>
      <c r="L227" s="211">
        <f t="shared" si="145"/>
        <v>0</v>
      </c>
      <c r="M227" s="211">
        <f t="shared" si="145"/>
        <v>0</v>
      </c>
      <c r="N227" s="211">
        <f t="shared" si="145"/>
        <v>0</v>
      </c>
      <c r="O227" s="211">
        <f t="shared" si="145"/>
        <v>0</v>
      </c>
      <c r="P227" s="211">
        <f t="shared" si="145"/>
        <v>0</v>
      </c>
      <c r="Q227" s="211">
        <f t="shared" si="145"/>
        <v>0</v>
      </c>
      <c r="R227" s="211">
        <f t="shared" si="145"/>
        <v>0</v>
      </c>
      <c r="S227" s="211">
        <f t="shared" si="145"/>
        <v>0</v>
      </c>
      <c r="T227" s="211">
        <f t="shared" si="145"/>
        <v>0</v>
      </c>
      <c r="U227" s="211">
        <f t="shared" si="145"/>
        <v>0</v>
      </c>
      <c r="V227" s="211">
        <f t="shared" si="145"/>
        <v>0</v>
      </c>
      <c r="W227" s="211">
        <f t="shared" si="145"/>
        <v>0</v>
      </c>
      <c r="X227" s="211">
        <f t="shared" si="145"/>
        <v>0</v>
      </c>
      <c r="Y227" s="211">
        <f t="shared" si="145"/>
        <v>0</v>
      </c>
      <c r="Z227" s="211">
        <f t="shared" si="145"/>
        <v>0</v>
      </c>
      <c r="AA227" s="211">
        <f t="shared" si="145"/>
        <v>0</v>
      </c>
      <c r="AB227" s="211">
        <f t="shared" si="145"/>
        <v>0</v>
      </c>
      <c r="AC227" s="211">
        <f t="shared" si="145"/>
        <v>0</v>
      </c>
      <c r="AD227" s="211">
        <f t="shared" si="145"/>
        <v>0</v>
      </c>
      <c r="AE227" s="211">
        <f t="shared" si="145"/>
        <v>0</v>
      </c>
      <c r="AF227" s="211">
        <f t="shared" si="145"/>
        <v>0</v>
      </c>
      <c r="AG227" s="211">
        <f t="shared" si="145"/>
        <v>0</v>
      </c>
      <c r="AH227" s="211">
        <f t="shared" si="145"/>
        <v>0</v>
      </c>
      <c r="AI227" s="211">
        <f t="shared" si="145"/>
        <v>0</v>
      </c>
      <c r="AJ227" s="211">
        <f t="shared" si="145"/>
        <v>0</v>
      </c>
      <c r="AK227" s="211">
        <f t="shared" si="145"/>
        <v>0</v>
      </c>
      <c r="AL227" s="211">
        <f t="shared" si="145"/>
        <v>0</v>
      </c>
      <c r="AM227" s="211">
        <f t="shared" si="145"/>
        <v>0</v>
      </c>
      <c r="AN227" s="211">
        <f t="shared" si="145"/>
        <v>0</v>
      </c>
    </row>
    <row r="228" spans="2:40" ht="12" hidden="1" customHeight="1" outlineLevel="2">
      <c r="B228" s="245"/>
      <c r="C228" s="250" t="s">
        <v>754</v>
      </c>
      <c r="D228" s="250"/>
      <c r="E228" s="213"/>
      <c r="F228" s="211">
        <f>INDEX($C$199:$AN$221,MATCH("New Customers One-Time",$C$199:$C$221,0),MATCH($C228,$C$199:$AN$199,0))</f>
        <v>9</v>
      </c>
      <c r="G228" s="211">
        <f t="shared" ref="G228:AN228" si="146">$F$228*(E225)</f>
        <v>0</v>
      </c>
      <c r="H228" s="211">
        <f t="shared" si="146"/>
        <v>0</v>
      </c>
      <c r="I228" s="211">
        <f t="shared" si="146"/>
        <v>0</v>
      </c>
      <c r="J228" s="211">
        <f t="shared" si="146"/>
        <v>0</v>
      </c>
      <c r="K228" s="211">
        <f t="shared" si="146"/>
        <v>0</v>
      </c>
      <c r="L228" s="211">
        <f t="shared" si="146"/>
        <v>0</v>
      </c>
      <c r="M228" s="211">
        <f t="shared" si="146"/>
        <v>0</v>
      </c>
      <c r="N228" s="211">
        <f t="shared" si="146"/>
        <v>0</v>
      </c>
      <c r="O228" s="211">
        <f t="shared" si="146"/>
        <v>0</v>
      </c>
      <c r="P228" s="211">
        <f t="shared" si="146"/>
        <v>0</v>
      </c>
      <c r="Q228" s="211">
        <f t="shared" si="146"/>
        <v>0</v>
      </c>
      <c r="R228" s="211">
        <f t="shared" si="146"/>
        <v>0</v>
      </c>
      <c r="S228" s="211">
        <f t="shared" si="146"/>
        <v>0</v>
      </c>
      <c r="T228" s="211">
        <f t="shared" si="146"/>
        <v>0</v>
      </c>
      <c r="U228" s="211">
        <f t="shared" si="146"/>
        <v>0</v>
      </c>
      <c r="V228" s="211">
        <f t="shared" si="146"/>
        <v>0</v>
      </c>
      <c r="W228" s="211">
        <f t="shared" si="146"/>
        <v>0</v>
      </c>
      <c r="X228" s="211">
        <f t="shared" si="146"/>
        <v>0</v>
      </c>
      <c r="Y228" s="211">
        <f t="shared" si="146"/>
        <v>0</v>
      </c>
      <c r="Z228" s="211">
        <f t="shared" si="146"/>
        <v>0</v>
      </c>
      <c r="AA228" s="211">
        <f t="shared" si="146"/>
        <v>0</v>
      </c>
      <c r="AB228" s="211">
        <f t="shared" si="146"/>
        <v>0</v>
      </c>
      <c r="AC228" s="211">
        <f t="shared" si="146"/>
        <v>0</v>
      </c>
      <c r="AD228" s="211">
        <f t="shared" si="146"/>
        <v>0</v>
      </c>
      <c r="AE228" s="211">
        <f t="shared" si="146"/>
        <v>0</v>
      </c>
      <c r="AF228" s="211">
        <f t="shared" si="146"/>
        <v>0</v>
      </c>
      <c r="AG228" s="211">
        <f t="shared" si="146"/>
        <v>0</v>
      </c>
      <c r="AH228" s="211">
        <f t="shared" si="146"/>
        <v>0</v>
      </c>
      <c r="AI228" s="211">
        <f t="shared" si="146"/>
        <v>0</v>
      </c>
      <c r="AJ228" s="211">
        <f t="shared" si="146"/>
        <v>0</v>
      </c>
      <c r="AK228" s="211">
        <f t="shared" si="146"/>
        <v>0</v>
      </c>
      <c r="AL228" s="211">
        <f t="shared" si="146"/>
        <v>0</v>
      </c>
      <c r="AM228" s="211">
        <f t="shared" si="146"/>
        <v>0</v>
      </c>
      <c r="AN228" s="211">
        <f t="shared" si="146"/>
        <v>0</v>
      </c>
    </row>
    <row r="229" spans="2:40" ht="12" hidden="1" customHeight="1" outlineLevel="2">
      <c r="B229" s="245"/>
      <c r="C229" s="250" t="s">
        <v>755</v>
      </c>
      <c r="D229" s="250"/>
      <c r="E229" s="213"/>
      <c r="G229" s="211">
        <f>INDEX($C$199:$AN$221,MATCH("New Customers One-Time",$C$199:$C$221,0),MATCH($C229,$C$199:$AN$199,0))</f>
        <v>9</v>
      </c>
      <c r="H229" s="211">
        <f t="shared" ref="H229:AN229" si="147">$G$229*(E225)</f>
        <v>0</v>
      </c>
      <c r="I229" s="211">
        <f t="shared" si="147"/>
        <v>0</v>
      </c>
      <c r="J229" s="211">
        <f t="shared" si="147"/>
        <v>0</v>
      </c>
      <c r="K229" s="211">
        <f t="shared" si="147"/>
        <v>0</v>
      </c>
      <c r="L229" s="211">
        <f t="shared" si="147"/>
        <v>0</v>
      </c>
      <c r="M229" s="211">
        <f t="shared" si="147"/>
        <v>0</v>
      </c>
      <c r="N229" s="211">
        <f t="shared" si="147"/>
        <v>0</v>
      </c>
      <c r="O229" s="211">
        <f t="shared" si="147"/>
        <v>0</v>
      </c>
      <c r="P229" s="211">
        <f t="shared" si="147"/>
        <v>0</v>
      </c>
      <c r="Q229" s="211">
        <f t="shared" si="147"/>
        <v>0</v>
      </c>
      <c r="R229" s="211">
        <f t="shared" si="147"/>
        <v>0</v>
      </c>
      <c r="S229" s="211">
        <f t="shared" si="147"/>
        <v>0</v>
      </c>
      <c r="T229" s="211">
        <f t="shared" si="147"/>
        <v>0</v>
      </c>
      <c r="U229" s="211">
        <f t="shared" si="147"/>
        <v>0</v>
      </c>
      <c r="V229" s="211">
        <f t="shared" si="147"/>
        <v>0</v>
      </c>
      <c r="W229" s="211">
        <f t="shared" si="147"/>
        <v>0</v>
      </c>
      <c r="X229" s="211">
        <f t="shared" si="147"/>
        <v>0</v>
      </c>
      <c r="Y229" s="211">
        <f t="shared" si="147"/>
        <v>0</v>
      </c>
      <c r="Z229" s="211">
        <f t="shared" si="147"/>
        <v>0</v>
      </c>
      <c r="AA229" s="211">
        <f t="shared" si="147"/>
        <v>0</v>
      </c>
      <c r="AB229" s="211">
        <f t="shared" si="147"/>
        <v>0</v>
      </c>
      <c r="AC229" s="211">
        <f t="shared" si="147"/>
        <v>0</v>
      </c>
      <c r="AD229" s="211">
        <f t="shared" si="147"/>
        <v>0</v>
      </c>
      <c r="AE229" s="211">
        <f t="shared" si="147"/>
        <v>0</v>
      </c>
      <c r="AF229" s="211">
        <f t="shared" si="147"/>
        <v>0</v>
      </c>
      <c r="AG229" s="211">
        <f t="shared" si="147"/>
        <v>0</v>
      </c>
      <c r="AH229" s="211">
        <f t="shared" si="147"/>
        <v>0</v>
      </c>
      <c r="AI229" s="211">
        <f t="shared" si="147"/>
        <v>0</v>
      </c>
      <c r="AJ229" s="211">
        <f t="shared" si="147"/>
        <v>0</v>
      </c>
      <c r="AK229" s="211">
        <f t="shared" si="147"/>
        <v>0</v>
      </c>
      <c r="AL229" s="211">
        <f t="shared" si="147"/>
        <v>0</v>
      </c>
      <c r="AM229" s="211">
        <f t="shared" si="147"/>
        <v>0</v>
      </c>
      <c r="AN229" s="211">
        <f t="shared" si="147"/>
        <v>0</v>
      </c>
    </row>
    <row r="230" spans="2:40" ht="12" hidden="1" customHeight="1" outlineLevel="2">
      <c r="B230" s="245"/>
      <c r="C230" s="250" t="s">
        <v>756</v>
      </c>
      <c r="D230" s="250"/>
      <c r="E230" s="213"/>
      <c r="F230" s="213"/>
      <c r="G230" s="213"/>
      <c r="H230" s="211">
        <f>INDEX($C$199:$AN$221,MATCH("New Customers One-Time",$C$199:$C$221,0),MATCH($C230,$C$199:$AN$199,0))</f>
        <v>54</v>
      </c>
      <c r="I230" s="211">
        <f t="shared" ref="I230:AN230" si="148">$H$230*(E225)</f>
        <v>0</v>
      </c>
      <c r="J230" s="211">
        <f t="shared" si="148"/>
        <v>0</v>
      </c>
      <c r="K230" s="211">
        <f t="shared" si="148"/>
        <v>0</v>
      </c>
      <c r="L230" s="211">
        <f t="shared" si="148"/>
        <v>0</v>
      </c>
      <c r="M230" s="211">
        <f t="shared" si="148"/>
        <v>0</v>
      </c>
      <c r="N230" s="211">
        <f t="shared" si="148"/>
        <v>0</v>
      </c>
      <c r="O230" s="211">
        <f t="shared" si="148"/>
        <v>0</v>
      </c>
      <c r="P230" s="211">
        <f t="shared" si="148"/>
        <v>0</v>
      </c>
      <c r="Q230" s="211">
        <f t="shared" si="148"/>
        <v>0</v>
      </c>
      <c r="R230" s="211">
        <f t="shared" si="148"/>
        <v>0</v>
      </c>
      <c r="S230" s="211">
        <f t="shared" si="148"/>
        <v>0</v>
      </c>
      <c r="T230" s="211">
        <f t="shared" si="148"/>
        <v>0</v>
      </c>
      <c r="U230" s="211">
        <f t="shared" si="148"/>
        <v>0</v>
      </c>
      <c r="V230" s="211">
        <f t="shared" si="148"/>
        <v>0</v>
      </c>
      <c r="W230" s="211">
        <f t="shared" si="148"/>
        <v>0</v>
      </c>
      <c r="X230" s="211">
        <f t="shared" si="148"/>
        <v>0</v>
      </c>
      <c r="Y230" s="211">
        <f t="shared" si="148"/>
        <v>0</v>
      </c>
      <c r="Z230" s="211">
        <f t="shared" si="148"/>
        <v>0</v>
      </c>
      <c r="AA230" s="211">
        <f t="shared" si="148"/>
        <v>0</v>
      </c>
      <c r="AB230" s="211">
        <f t="shared" si="148"/>
        <v>0</v>
      </c>
      <c r="AC230" s="211">
        <f t="shared" si="148"/>
        <v>0</v>
      </c>
      <c r="AD230" s="211">
        <f t="shared" si="148"/>
        <v>0</v>
      </c>
      <c r="AE230" s="211">
        <f t="shared" si="148"/>
        <v>0</v>
      </c>
      <c r="AF230" s="211">
        <f t="shared" si="148"/>
        <v>0</v>
      </c>
      <c r="AG230" s="211">
        <f t="shared" si="148"/>
        <v>0</v>
      </c>
      <c r="AH230" s="211">
        <f t="shared" si="148"/>
        <v>0</v>
      </c>
      <c r="AI230" s="211">
        <f t="shared" si="148"/>
        <v>0</v>
      </c>
      <c r="AJ230" s="211">
        <f t="shared" si="148"/>
        <v>0</v>
      </c>
      <c r="AK230" s="211">
        <f t="shared" si="148"/>
        <v>0</v>
      </c>
      <c r="AL230" s="211">
        <f t="shared" si="148"/>
        <v>0</v>
      </c>
      <c r="AM230" s="211">
        <f t="shared" si="148"/>
        <v>0</v>
      </c>
      <c r="AN230" s="211">
        <f t="shared" si="148"/>
        <v>0</v>
      </c>
    </row>
    <row r="231" spans="2:40" ht="12" hidden="1" customHeight="1" outlineLevel="2">
      <c r="B231" s="245"/>
      <c r="C231" s="250" t="s">
        <v>757</v>
      </c>
      <c r="D231" s="250"/>
      <c r="E231" s="213"/>
      <c r="F231" s="213"/>
      <c r="G231" s="213"/>
      <c r="H231" s="213"/>
      <c r="I231" s="211">
        <f>INDEX($C$199:$AN$221,MATCH("New Customers One-Time",$C$199:$C$221,0),MATCH($C231,$C$199:$AN$199,0))</f>
        <v>15</v>
      </c>
      <c r="J231" s="211">
        <f t="shared" ref="J231:AN231" si="149">$I$231*(E225)</f>
        <v>0</v>
      </c>
      <c r="K231" s="211">
        <f t="shared" si="149"/>
        <v>0</v>
      </c>
      <c r="L231" s="211">
        <f t="shared" si="149"/>
        <v>0</v>
      </c>
      <c r="M231" s="211">
        <f t="shared" si="149"/>
        <v>0</v>
      </c>
      <c r="N231" s="211">
        <f t="shared" si="149"/>
        <v>0</v>
      </c>
      <c r="O231" s="211">
        <f t="shared" si="149"/>
        <v>0</v>
      </c>
      <c r="P231" s="211">
        <f t="shared" si="149"/>
        <v>0</v>
      </c>
      <c r="Q231" s="211">
        <f t="shared" si="149"/>
        <v>0</v>
      </c>
      <c r="R231" s="211">
        <f t="shared" si="149"/>
        <v>0</v>
      </c>
      <c r="S231" s="211">
        <f t="shared" si="149"/>
        <v>0</v>
      </c>
      <c r="T231" s="211">
        <f t="shared" si="149"/>
        <v>0</v>
      </c>
      <c r="U231" s="211">
        <f t="shared" si="149"/>
        <v>0</v>
      </c>
      <c r="V231" s="211">
        <f t="shared" si="149"/>
        <v>0</v>
      </c>
      <c r="W231" s="211">
        <f t="shared" si="149"/>
        <v>0</v>
      </c>
      <c r="X231" s="211">
        <f t="shared" si="149"/>
        <v>0</v>
      </c>
      <c r="Y231" s="211">
        <f t="shared" si="149"/>
        <v>0</v>
      </c>
      <c r="Z231" s="211">
        <f t="shared" si="149"/>
        <v>0</v>
      </c>
      <c r="AA231" s="211">
        <f t="shared" si="149"/>
        <v>0</v>
      </c>
      <c r="AB231" s="211">
        <f t="shared" si="149"/>
        <v>0</v>
      </c>
      <c r="AC231" s="211">
        <f t="shared" si="149"/>
        <v>0</v>
      </c>
      <c r="AD231" s="211">
        <f t="shared" si="149"/>
        <v>0</v>
      </c>
      <c r="AE231" s="211">
        <f t="shared" si="149"/>
        <v>0</v>
      </c>
      <c r="AF231" s="211">
        <f t="shared" si="149"/>
        <v>0</v>
      </c>
      <c r="AG231" s="211">
        <f t="shared" si="149"/>
        <v>0</v>
      </c>
      <c r="AH231" s="211">
        <f t="shared" si="149"/>
        <v>0</v>
      </c>
      <c r="AI231" s="211">
        <f t="shared" si="149"/>
        <v>0</v>
      </c>
      <c r="AJ231" s="211">
        <f t="shared" si="149"/>
        <v>0</v>
      </c>
      <c r="AK231" s="211">
        <f t="shared" si="149"/>
        <v>0</v>
      </c>
      <c r="AL231" s="211">
        <f t="shared" si="149"/>
        <v>0</v>
      </c>
      <c r="AM231" s="211">
        <f t="shared" si="149"/>
        <v>0</v>
      </c>
      <c r="AN231" s="211">
        <f t="shared" si="149"/>
        <v>0</v>
      </c>
    </row>
    <row r="232" spans="2:40" ht="12" hidden="1" customHeight="1" outlineLevel="2">
      <c r="B232" s="245"/>
      <c r="C232" s="250" t="s">
        <v>758</v>
      </c>
      <c r="D232" s="250"/>
      <c r="E232" s="213"/>
      <c r="F232" s="213"/>
      <c r="G232" s="213"/>
      <c r="H232" s="213"/>
      <c r="I232" s="213"/>
      <c r="J232" s="211">
        <f>INDEX($C$199:$AN$221,MATCH("New Customers One-Time",$C$199:$C$221,0),MATCH($C232,$C$199:$AN$199,0))</f>
        <v>2</v>
      </c>
      <c r="K232" s="211">
        <f t="shared" ref="K232:AN232" si="150">$J$232*(E225)</f>
        <v>0</v>
      </c>
      <c r="L232" s="211">
        <f t="shared" si="150"/>
        <v>0</v>
      </c>
      <c r="M232" s="211">
        <f t="shared" si="150"/>
        <v>0</v>
      </c>
      <c r="N232" s="211">
        <f t="shared" si="150"/>
        <v>0</v>
      </c>
      <c r="O232" s="211">
        <f t="shared" si="150"/>
        <v>0</v>
      </c>
      <c r="P232" s="211">
        <f t="shared" si="150"/>
        <v>0</v>
      </c>
      <c r="Q232" s="211">
        <f t="shared" si="150"/>
        <v>0</v>
      </c>
      <c r="R232" s="211">
        <f t="shared" si="150"/>
        <v>0</v>
      </c>
      <c r="S232" s="211">
        <f t="shared" si="150"/>
        <v>0</v>
      </c>
      <c r="T232" s="211">
        <f t="shared" si="150"/>
        <v>0</v>
      </c>
      <c r="U232" s="211">
        <f t="shared" si="150"/>
        <v>0</v>
      </c>
      <c r="V232" s="211">
        <f t="shared" si="150"/>
        <v>0</v>
      </c>
      <c r="W232" s="211">
        <f t="shared" si="150"/>
        <v>0</v>
      </c>
      <c r="X232" s="211">
        <f t="shared" si="150"/>
        <v>0</v>
      </c>
      <c r="Y232" s="211">
        <f t="shared" si="150"/>
        <v>0</v>
      </c>
      <c r="Z232" s="211">
        <f t="shared" si="150"/>
        <v>0</v>
      </c>
      <c r="AA232" s="211">
        <f t="shared" si="150"/>
        <v>0</v>
      </c>
      <c r="AB232" s="211">
        <f t="shared" si="150"/>
        <v>0</v>
      </c>
      <c r="AC232" s="211">
        <f t="shared" si="150"/>
        <v>0</v>
      </c>
      <c r="AD232" s="211">
        <f t="shared" si="150"/>
        <v>0</v>
      </c>
      <c r="AE232" s="211">
        <f t="shared" si="150"/>
        <v>0</v>
      </c>
      <c r="AF232" s="211">
        <f t="shared" si="150"/>
        <v>0</v>
      </c>
      <c r="AG232" s="211">
        <f t="shared" si="150"/>
        <v>0</v>
      </c>
      <c r="AH232" s="211">
        <f t="shared" si="150"/>
        <v>0</v>
      </c>
      <c r="AI232" s="211">
        <f t="shared" si="150"/>
        <v>0</v>
      </c>
      <c r="AJ232" s="211">
        <f t="shared" si="150"/>
        <v>0</v>
      </c>
      <c r="AK232" s="211">
        <f t="shared" si="150"/>
        <v>0</v>
      </c>
      <c r="AL232" s="211">
        <f t="shared" si="150"/>
        <v>0</v>
      </c>
      <c r="AM232" s="211">
        <f t="shared" si="150"/>
        <v>0</v>
      </c>
      <c r="AN232" s="211">
        <f t="shared" si="150"/>
        <v>0</v>
      </c>
    </row>
    <row r="233" spans="2:40" ht="12" hidden="1" customHeight="1" outlineLevel="2">
      <c r="B233" s="245"/>
      <c r="C233" s="250" t="s">
        <v>759</v>
      </c>
      <c r="D233" s="250"/>
      <c r="E233" s="213"/>
      <c r="F233" s="213"/>
      <c r="G233" s="213"/>
      <c r="H233" s="213"/>
      <c r="I233" s="213"/>
      <c r="J233" s="213"/>
      <c r="K233" s="211">
        <f>INDEX($C$199:$AN$221,MATCH("New Customers One-Time",$C$199:$C$221,0),MATCH($C233,$C$199:$AN$199,0))</f>
        <v>2</v>
      </c>
      <c r="L233" s="211">
        <f t="shared" ref="L233:AN233" si="151">$K$233*(E225)</f>
        <v>0</v>
      </c>
      <c r="M233" s="211">
        <f t="shared" si="151"/>
        <v>0</v>
      </c>
      <c r="N233" s="211">
        <f t="shared" si="151"/>
        <v>0</v>
      </c>
      <c r="O233" s="211">
        <f t="shared" si="151"/>
        <v>0</v>
      </c>
      <c r="P233" s="211">
        <f t="shared" si="151"/>
        <v>0</v>
      </c>
      <c r="Q233" s="211">
        <f t="shared" si="151"/>
        <v>0</v>
      </c>
      <c r="R233" s="211">
        <f t="shared" si="151"/>
        <v>0</v>
      </c>
      <c r="S233" s="211">
        <f t="shared" si="151"/>
        <v>0</v>
      </c>
      <c r="T233" s="211">
        <f t="shared" si="151"/>
        <v>0</v>
      </c>
      <c r="U233" s="211">
        <f t="shared" si="151"/>
        <v>0</v>
      </c>
      <c r="V233" s="211">
        <f t="shared" si="151"/>
        <v>0</v>
      </c>
      <c r="W233" s="211">
        <f t="shared" si="151"/>
        <v>0</v>
      </c>
      <c r="X233" s="211">
        <f t="shared" si="151"/>
        <v>0</v>
      </c>
      <c r="Y233" s="211">
        <f t="shared" si="151"/>
        <v>0</v>
      </c>
      <c r="Z233" s="211">
        <f t="shared" si="151"/>
        <v>0</v>
      </c>
      <c r="AA233" s="211">
        <f t="shared" si="151"/>
        <v>0</v>
      </c>
      <c r="AB233" s="211">
        <f t="shared" si="151"/>
        <v>0</v>
      </c>
      <c r="AC233" s="211">
        <f t="shared" si="151"/>
        <v>0</v>
      </c>
      <c r="AD233" s="211">
        <f t="shared" si="151"/>
        <v>0</v>
      </c>
      <c r="AE233" s="211">
        <f t="shared" si="151"/>
        <v>0</v>
      </c>
      <c r="AF233" s="211">
        <f t="shared" si="151"/>
        <v>0</v>
      </c>
      <c r="AG233" s="211">
        <f t="shared" si="151"/>
        <v>0</v>
      </c>
      <c r="AH233" s="211">
        <f t="shared" si="151"/>
        <v>0</v>
      </c>
      <c r="AI233" s="211">
        <f t="shared" si="151"/>
        <v>0</v>
      </c>
      <c r="AJ233" s="211">
        <f t="shared" si="151"/>
        <v>0</v>
      </c>
      <c r="AK233" s="211">
        <f t="shared" si="151"/>
        <v>0</v>
      </c>
      <c r="AL233" s="211">
        <f t="shared" si="151"/>
        <v>0</v>
      </c>
      <c r="AM233" s="211">
        <f t="shared" si="151"/>
        <v>0</v>
      </c>
      <c r="AN233" s="211">
        <f t="shared" si="151"/>
        <v>0</v>
      </c>
    </row>
    <row r="234" spans="2:40" ht="12" hidden="1" customHeight="1" outlineLevel="2">
      <c r="B234" s="245"/>
      <c r="C234" s="250" t="s">
        <v>760</v>
      </c>
      <c r="D234" s="250"/>
      <c r="E234" s="213"/>
      <c r="F234" s="213"/>
      <c r="G234" s="213"/>
      <c r="H234" s="213"/>
      <c r="I234" s="213"/>
      <c r="J234" s="213"/>
      <c r="K234" s="213"/>
      <c r="L234" s="211">
        <f>INDEX($C$199:$AN$221,MATCH("New Customers One-Time",$C$199:$C$221,0),MATCH($C234,$C$199:$AN$199,0))</f>
        <v>1</v>
      </c>
      <c r="M234" s="211">
        <f t="shared" ref="M234:AN234" si="152">$L$234*(E225)</f>
        <v>0</v>
      </c>
      <c r="N234" s="211">
        <f t="shared" si="152"/>
        <v>0</v>
      </c>
      <c r="O234" s="211">
        <f t="shared" si="152"/>
        <v>0</v>
      </c>
      <c r="P234" s="211">
        <f t="shared" si="152"/>
        <v>0</v>
      </c>
      <c r="Q234" s="211">
        <f t="shared" si="152"/>
        <v>0</v>
      </c>
      <c r="R234" s="211">
        <f t="shared" si="152"/>
        <v>0</v>
      </c>
      <c r="S234" s="211">
        <f t="shared" si="152"/>
        <v>0</v>
      </c>
      <c r="T234" s="211">
        <f t="shared" si="152"/>
        <v>0</v>
      </c>
      <c r="U234" s="211">
        <f t="shared" si="152"/>
        <v>0</v>
      </c>
      <c r="V234" s="211">
        <f t="shared" si="152"/>
        <v>0</v>
      </c>
      <c r="W234" s="211">
        <f t="shared" si="152"/>
        <v>0</v>
      </c>
      <c r="X234" s="211">
        <f t="shared" si="152"/>
        <v>0</v>
      </c>
      <c r="Y234" s="211">
        <f t="shared" si="152"/>
        <v>0</v>
      </c>
      <c r="Z234" s="211">
        <f t="shared" si="152"/>
        <v>0</v>
      </c>
      <c r="AA234" s="211">
        <f t="shared" si="152"/>
        <v>0</v>
      </c>
      <c r="AB234" s="211">
        <f t="shared" si="152"/>
        <v>0</v>
      </c>
      <c r="AC234" s="211">
        <f t="shared" si="152"/>
        <v>0</v>
      </c>
      <c r="AD234" s="211">
        <f t="shared" si="152"/>
        <v>0</v>
      </c>
      <c r="AE234" s="211">
        <f t="shared" si="152"/>
        <v>0</v>
      </c>
      <c r="AF234" s="211">
        <f t="shared" si="152"/>
        <v>0</v>
      </c>
      <c r="AG234" s="211">
        <f t="shared" si="152"/>
        <v>0</v>
      </c>
      <c r="AH234" s="211">
        <f t="shared" si="152"/>
        <v>0</v>
      </c>
      <c r="AI234" s="211">
        <f t="shared" si="152"/>
        <v>0</v>
      </c>
      <c r="AJ234" s="211">
        <f t="shared" si="152"/>
        <v>0</v>
      </c>
      <c r="AK234" s="211">
        <f t="shared" si="152"/>
        <v>0</v>
      </c>
      <c r="AL234" s="211">
        <f t="shared" si="152"/>
        <v>0</v>
      </c>
      <c r="AM234" s="211">
        <f t="shared" si="152"/>
        <v>0</v>
      </c>
      <c r="AN234" s="211">
        <f t="shared" si="152"/>
        <v>0</v>
      </c>
    </row>
    <row r="235" spans="2:40" ht="12" hidden="1" customHeight="1" outlineLevel="2">
      <c r="B235" s="245"/>
      <c r="C235" s="250" t="s">
        <v>761</v>
      </c>
      <c r="D235" s="250"/>
      <c r="E235" s="213"/>
      <c r="F235" s="213"/>
      <c r="G235" s="213"/>
      <c r="H235" s="213"/>
      <c r="I235" s="213"/>
      <c r="J235" s="213"/>
      <c r="K235" s="213"/>
      <c r="L235" s="213"/>
      <c r="M235" s="211">
        <f>INDEX($C$199:$AN$221,MATCH("New Customers One-Time",$C$199:$C$221,0),MATCH($C235,$C$199:$AN$199,0))</f>
        <v>4.6866032888821145</v>
      </c>
      <c r="N235" s="211">
        <f t="shared" ref="N235:AN235" si="153">$M$235*(E225)</f>
        <v>0</v>
      </c>
      <c r="O235" s="211">
        <f t="shared" si="153"/>
        <v>0</v>
      </c>
      <c r="P235" s="211">
        <f t="shared" si="153"/>
        <v>0</v>
      </c>
      <c r="Q235" s="211">
        <f t="shared" si="153"/>
        <v>0</v>
      </c>
      <c r="R235" s="211">
        <f t="shared" si="153"/>
        <v>0</v>
      </c>
      <c r="S235" s="211">
        <f t="shared" si="153"/>
        <v>0</v>
      </c>
      <c r="T235" s="211">
        <f t="shared" si="153"/>
        <v>0</v>
      </c>
      <c r="U235" s="211">
        <f t="shared" si="153"/>
        <v>0</v>
      </c>
      <c r="V235" s="211">
        <f t="shared" si="153"/>
        <v>0</v>
      </c>
      <c r="W235" s="211">
        <f t="shared" si="153"/>
        <v>0</v>
      </c>
      <c r="X235" s="211">
        <f t="shared" si="153"/>
        <v>0</v>
      </c>
      <c r="Y235" s="211">
        <f t="shared" si="153"/>
        <v>0</v>
      </c>
      <c r="Z235" s="211">
        <f t="shared" si="153"/>
        <v>0</v>
      </c>
      <c r="AA235" s="211">
        <f t="shared" si="153"/>
        <v>0</v>
      </c>
      <c r="AB235" s="211">
        <f t="shared" si="153"/>
        <v>0</v>
      </c>
      <c r="AC235" s="211">
        <f t="shared" si="153"/>
        <v>0</v>
      </c>
      <c r="AD235" s="211">
        <f t="shared" si="153"/>
        <v>0</v>
      </c>
      <c r="AE235" s="211">
        <f t="shared" si="153"/>
        <v>0</v>
      </c>
      <c r="AF235" s="211">
        <f t="shared" si="153"/>
        <v>0</v>
      </c>
      <c r="AG235" s="211">
        <f t="shared" si="153"/>
        <v>0</v>
      </c>
      <c r="AH235" s="211">
        <f t="shared" si="153"/>
        <v>0</v>
      </c>
      <c r="AI235" s="211">
        <f t="shared" si="153"/>
        <v>0</v>
      </c>
      <c r="AJ235" s="211">
        <f t="shared" si="153"/>
        <v>0</v>
      </c>
      <c r="AK235" s="211">
        <f t="shared" si="153"/>
        <v>0</v>
      </c>
      <c r="AL235" s="211">
        <f t="shared" si="153"/>
        <v>0</v>
      </c>
      <c r="AM235" s="211">
        <f t="shared" si="153"/>
        <v>0</v>
      </c>
      <c r="AN235" s="211">
        <f t="shared" si="153"/>
        <v>0</v>
      </c>
    </row>
    <row r="236" spans="2:40" ht="12" hidden="1" customHeight="1" outlineLevel="2">
      <c r="B236" s="245"/>
      <c r="C236" s="250" t="s">
        <v>762</v>
      </c>
      <c r="D236" s="250"/>
      <c r="E236" s="213"/>
      <c r="F236" s="213"/>
      <c r="G236" s="213"/>
      <c r="H236" s="213"/>
      <c r="I236" s="213"/>
      <c r="J236" s="213"/>
      <c r="K236" s="213"/>
      <c r="L236" s="213"/>
      <c r="M236" s="213"/>
      <c r="N236" s="211">
        <f>INDEX($C$199:$AN$221,MATCH("New Customers One-Time",$C$199:$C$221,0),MATCH($C236,$C$199:$AN$199,0))</f>
        <v>65.409676048598939</v>
      </c>
      <c r="O236" s="211">
        <f t="shared" ref="O236:AN236" si="154">$N$236*(E225)</f>
        <v>0</v>
      </c>
      <c r="P236" s="211">
        <f t="shared" si="154"/>
        <v>0</v>
      </c>
      <c r="Q236" s="211">
        <f t="shared" si="154"/>
        <v>0</v>
      </c>
      <c r="R236" s="211">
        <f t="shared" si="154"/>
        <v>0</v>
      </c>
      <c r="S236" s="211">
        <f t="shared" si="154"/>
        <v>0</v>
      </c>
      <c r="T236" s="211">
        <f t="shared" si="154"/>
        <v>0</v>
      </c>
      <c r="U236" s="211">
        <f t="shared" si="154"/>
        <v>0</v>
      </c>
      <c r="V236" s="211">
        <f t="shared" si="154"/>
        <v>0</v>
      </c>
      <c r="W236" s="211">
        <f t="shared" si="154"/>
        <v>0</v>
      </c>
      <c r="X236" s="211">
        <f t="shared" si="154"/>
        <v>0</v>
      </c>
      <c r="Y236" s="211">
        <f t="shared" si="154"/>
        <v>0</v>
      </c>
      <c r="Z236" s="211">
        <f t="shared" si="154"/>
        <v>0</v>
      </c>
      <c r="AA236" s="211">
        <f t="shared" si="154"/>
        <v>0</v>
      </c>
      <c r="AB236" s="211">
        <f t="shared" si="154"/>
        <v>0</v>
      </c>
      <c r="AC236" s="211">
        <f t="shared" si="154"/>
        <v>0</v>
      </c>
      <c r="AD236" s="211">
        <f t="shared" si="154"/>
        <v>0</v>
      </c>
      <c r="AE236" s="211">
        <f t="shared" si="154"/>
        <v>0</v>
      </c>
      <c r="AF236" s="211">
        <f t="shared" si="154"/>
        <v>0</v>
      </c>
      <c r="AG236" s="211">
        <f t="shared" si="154"/>
        <v>0</v>
      </c>
      <c r="AH236" s="211">
        <f t="shared" si="154"/>
        <v>0</v>
      </c>
      <c r="AI236" s="211">
        <f t="shared" si="154"/>
        <v>0</v>
      </c>
      <c r="AJ236" s="211">
        <f t="shared" si="154"/>
        <v>0</v>
      </c>
      <c r="AK236" s="211">
        <f t="shared" si="154"/>
        <v>0</v>
      </c>
      <c r="AL236" s="211">
        <f t="shared" si="154"/>
        <v>0</v>
      </c>
      <c r="AM236" s="211">
        <f t="shared" si="154"/>
        <v>0</v>
      </c>
      <c r="AN236" s="211">
        <f t="shared" si="154"/>
        <v>0</v>
      </c>
    </row>
    <row r="237" spans="2:40" ht="12" hidden="1" customHeight="1" outlineLevel="2">
      <c r="B237" s="245"/>
      <c r="C237" s="250" t="s">
        <v>763</v>
      </c>
      <c r="D237" s="250"/>
      <c r="E237" s="213"/>
      <c r="F237" s="213"/>
      <c r="G237" s="213"/>
      <c r="H237" s="213"/>
      <c r="I237" s="213"/>
      <c r="J237" s="213"/>
      <c r="K237" s="213"/>
      <c r="L237" s="213"/>
      <c r="M237" s="213"/>
      <c r="N237" s="213"/>
      <c r="O237" s="211">
        <f>INDEX($C$199:$AN$221,MATCH("New Customers One-Time",$C$199:$C$221,0),MATCH($C237,$C$199:$AN$199,0))</f>
        <v>65.409676048598939</v>
      </c>
      <c r="P237" s="211">
        <f t="shared" ref="P237:AN237" si="155">$O$237*(E225)</f>
        <v>0</v>
      </c>
      <c r="Q237" s="211">
        <f t="shared" si="155"/>
        <v>0</v>
      </c>
      <c r="R237" s="211">
        <f t="shared" si="155"/>
        <v>0</v>
      </c>
      <c r="S237" s="211">
        <f t="shared" si="155"/>
        <v>0</v>
      </c>
      <c r="T237" s="211">
        <f t="shared" si="155"/>
        <v>0</v>
      </c>
      <c r="U237" s="211">
        <f t="shared" si="155"/>
        <v>0</v>
      </c>
      <c r="V237" s="211">
        <f t="shared" si="155"/>
        <v>0</v>
      </c>
      <c r="W237" s="211">
        <f t="shared" si="155"/>
        <v>0</v>
      </c>
      <c r="X237" s="211">
        <f t="shared" si="155"/>
        <v>0</v>
      </c>
      <c r="Y237" s="211">
        <f t="shared" si="155"/>
        <v>0</v>
      </c>
      <c r="Z237" s="211">
        <f t="shared" si="155"/>
        <v>0</v>
      </c>
      <c r="AA237" s="211">
        <f t="shared" si="155"/>
        <v>0</v>
      </c>
      <c r="AB237" s="211">
        <f t="shared" si="155"/>
        <v>0</v>
      </c>
      <c r="AC237" s="211">
        <f t="shared" si="155"/>
        <v>0</v>
      </c>
      <c r="AD237" s="211">
        <f t="shared" si="155"/>
        <v>0</v>
      </c>
      <c r="AE237" s="211">
        <f t="shared" si="155"/>
        <v>0</v>
      </c>
      <c r="AF237" s="211">
        <f t="shared" si="155"/>
        <v>0</v>
      </c>
      <c r="AG237" s="211">
        <f t="shared" si="155"/>
        <v>0</v>
      </c>
      <c r="AH237" s="211">
        <f t="shared" si="155"/>
        <v>0</v>
      </c>
      <c r="AI237" s="211">
        <f t="shared" si="155"/>
        <v>0</v>
      </c>
      <c r="AJ237" s="211">
        <f t="shared" si="155"/>
        <v>0</v>
      </c>
      <c r="AK237" s="211">
        <f t="shared" si="155"/>
        <v>0</v>
      </c>
      <c r="AL237" s="211">
        <f t="shared" si="155"/>
        <v>0</v>
      </c>
      <c r="AM237" s="211">
        <f t="shared" si="155"/>
        <v>0</v>
      </c>
      <c r="AN237" s="211">
        <f t="shared" si="155"/>
        <v>0</v>
      </c>
    </row>
    <row r="238" spans="2:40" ht="12" hidden="1" customHeight="1" outlineLevel="2">
      <c r="B238" s="245"/>
      <c r="C238" s="250" t="s">
        <v>764</v>
      </c>
      <c r="D238" s="250"/>
      <c r="E238" s="213"/>
      <c r="F238" s="213"/>
      <c r="G238" s="213"/>
      <c r="H238" s="213"/>
      <c r="I238" s="213"/>
      <c r="J238" s="213"/>
      <c r="K238" s="213"/>
      <c r="L238" s="213"/>
      <c r="M238" s="213"/>
      <c r="N238" s="213"/>
      <c r="O238" s="213"/>
      <c r="P238" s="211">
        <f>INDEX($C$199:$AN$221,MATCH("New Customers One-Time",$C$199:$C$221,0),MATCH($C238,$C$199:$AN$199,0))</f>
        <v>32.70483802429947</v>
      </c>
      <c r="Q238" s="211">
        <f t="shared" ref="Q238:AN238" si="156">$P$238*(E225)</f>
        <v>0</v>
      </c>
      <c r="R238" s="211">
        <f t="shared" si="156"/>
        <v>0</v>
      </c>
      <c r="S238" s="211">
        <f t="shared" si="156"/>
        <v>0</v>
      </c>
      <c r="T238" s="211">
        <f t="shared" si="156"/>
        <v>0</v>
      </c>
      <c r="U238" s="211">
        <f t="shared" si="156"/>
        <v>0</v>
      </c>
      <c r="V238" s="211">
        <f t="shared" si="156"/>
        <v>0</v>
      </c>
      <c r="W238" s="211">
        <f t="shared" si="156"/>
        <v>0</v>
      </c>
      <c r="X238" s="211">
        <f t="shared" si="156"/>
        <v>0</v>
      </c>
      <c r="Y238" s="211">
        <f t="shared" si="156"/>
        <v>0</v>
      </c>
      <c r="Z238" s="211">
        <f t="shared" si="156"/>
        <v>0</v>
      </c>
      <c r="AA238" s="211">
        <f t="shared" si="156"/>
        <v>0</v>
      </c>
      <c r="AB238" s="211">
        <f t="shared" si="156"/>
        <v>0</v>
      </c>
      <c r="AC238" s="211">
        <f t="shared" si="156"/>
        <v>0</v>
      </c>
      <c r="AD238" s="211">
        <f t="shared" si="156"/>
        <v>0</v>
      </c>
      <c r="AE238" s="211">
        <f t="shared" si="156"/>
        <v>0</v>
      </c>
      <c r="AF238" s="211">
        <f t="shared" si="156"/>
        <v>0</v>
      </c>
      <c r="AG238" s="211">
        <f t="shared" si="156"/>
        <v>0</v>
      </c>
      <c r="AH238" s="211">
        <f t="shared" si="156"/>
        <v>0</v>
      </c>
      <c r="AI238" s="211">
        <f t="shared" si="156"/>
        <v>0</v>
      </c>
      <c r="AJ238" s="211">
        <f t="shared" si="156"/>
        <v>0</v>
      </c>
      <c r="AK238" s="211">
        <f t="shared" si="156"/>
        <v>0</v>
      </c>
      <c r="AL238" s="211">
        <f t="shared" si="156"/>
        <v>0</v>
      </c>
      <c r="AM238" s="211">
        <f t="shared" si="156"/>
        <v>0</v>
      </c>
      <c r="AN238" s="211">
        <f t="shared" si="156"/>
        <v>0</v>
      </c>
    </row>
    <row r="239" spans="2:40" ht="12" hidden="1" customHeight="1" outlineLevel="2">
      <c r="B239" s="245"/>
      <c r="C239" s="250" t="s">
        <v>765</v>
      </c>
      <c r="D239" s="250"/>
      <c r="E239" s="213"/>
      <c r="F239" s="213"/>
      <c r="G239" s="213"/>
      <c r="H239" s="213"/>
      <c r="I239" s="213"/>
      <c r="J239" s="213"/>
      <c r="K239" s="213"/>
      <c r="L239" s="213"/>
      <c r="M239" s="213"/>
      <c r="N239" s="213"/>
      <c r="O239" s="213"/>
      <c r="P239" s="213"/>
      <c r="Q239" s="211">
        <f>INDEX($C$199:$AN$221,MATCH("New Customers One-Time",$C$199:$C$221,0),MATCH($C239,$C$199:$AN$199,0))</f>
        <v>3.7185400833628499</v>
      </c>
      <c r="R239" s="211">
        <f t="shared" ref="R239:AN239" si="157">$Q$239*(E225)</f>
        <v>0</v>
      </c>
      <c r="S239" s="211">
        <f t="shared" si="157"/>
        <v>0</v>
      </c>
      <c r="T239" s="211">
        <f t="shared" si="157"/>
        <v>0</v>
      </c>
      <c r="U239" s="211">
        <f t="shared" si="157"/>
        <v>0</v>
      </c>
      <c r="V239" s="211">
        <f t="shared" si="157"/>
        <v>0</v>
      </c>
      <c r="W239" s="211">
        <f t="shared" si="157"/>
        <v>0</v>
      </c>
      <c r="X239" s="211">
        <f t="shared" si="157"/>
        <v>0</v>
      </c>
      <c r="Y239" s="211">
        <f t="shared" si="157"/>
        <v>0</v>
      </c>
      <c r="Z239" s="211">
        <f t="shared" si="157"/>
        <v>0</v>
      </c>
      <c r="AA239" s="211">
        <f t="shared" si="157"/>
        <v>0</v>
      </c>
      <c r="AB239" s="211">
        <f t="shared" si="157"/>
        <v>0</v>
      </c>
      <c r="AC239" s="211">
        <f t="shared" si="157"/>
        <v>0</v>
      </c>
      <c r="AD239" s="211">
        <f t="shared" si="157"/>
        <v>0</v>
      </c>
      <c r="AE239" s="211">
        <f t="shared" si="157"/>
        <v>0</v>
      </c>
      <c r="AF239" s="211">
        <f t="shared" si="157"/>
        <v>0</v>
      </c>
      <c r="AG239" s="211">
        <f t="shared" si="157"/>
        <v>0</v>
      </c>
      <c r="AH239" s="211">
        <f t="shared" si="157"/>
        <v>0</v>
      </c>
      <c r="AI239" s="211">
        <f t="shared" si="157"/>
        <v>0</v>
      </c>
      <c r="AJ239" s="211">
        <f t="shared" si="157"/>
        <v>0</v>
      </c>
      <c r="AK239" s="211">
        <f t="shared" si="157"/>
        <v>0</v>
      </c>
      <c r="AL239" s="211">
        <f t="shared" si="157"/>
        <v>0</v>
      </c>
      <c r="AM239" s="211">
        <f t="shared" si="157"/>
        <v>0</v>
      </c>
      <c r="AN239" s="211">
        <f t="shared" si="157"/>
        <v>0</v>
      </c>
    </row>
    <row r="240" spans="2:40" ht="12" hidden="1" customHeight="1" outlineLevel="2">
      <c r="B240" s="245"/>
      <c r="C240" s="250" t="s">
        <v>766</v>
      </c>
      <c r="D240" s="250"/>
      <c r="E240" s="213"/>
      <c r="F240" s="213"/>
      <c r="G240" s="213"/>
      <c r="H240" s="213"/>
      <c r="I240" s="213"/>
      <c r="J240" s="213"/>
      <c r="K240" s="213"/>
      <c r="L240" s="213"/>
      <c r="M240" s="213"/>
      <c r="N240" s="213"/>
      <c r="O240" s="213"/>
      <c r="P240" s="213"/>
      <c r="Q240" s="213"/>
      <c r="R240" s="211">
        <f>INDEX($C$199:$AN$221,MATCH("New Customers One-Time",$C$199:$C$221,0),MATCH($C240,$C$199:$AN$199,0))</f>
        <v>4.6113821614262251</v>
      </c>
      <c r="S240" s="211">
        <f t="shared" ref="S240:AN240" si="158">$R$240*(E225)</f>
        <v>0</v>
      </c>
      <c r="T240" s="211">
        <f t="shared" si="158"/>
        <v>0</v>
      </c>
      <c r="U240" s="211">
        <f t="shared" si="158"/>
        <v>0</v>
      </c>
      <c r="V240" s="211">
        <f t="shared" si="158"/>
        <v>0</v>
      </c>
      <c r="W240" s="211">
        <f t="shared" si="158"/>
        <v>0</v>
      </c>
      <c r="X240" s="211">
        <f t="shared" si="158"/>
        <v>0</v>
      </c>
      <c r="Y240" s="211">
        <f t="shared" si="158"/>
        <v>0</v>
      </c>
      <c r="Z240" s="211">
        <f t="shared" si="158"/>
        <v>0</v>
      </c>
      <c r="AA240" s="211">
        <f t="shared" si="158"/>
        <v>0</v>
      </c>
      <c r="AB240" s="211">
        <f t="shared" si="158"/>
        <v>0</v>
      </c>
      <c r="AC240" s="211">
        <f t="shared" si="158"/>
        <v>0</v>
      </c>
      <c r="AD240" s="211">
        <f t="shared" si="158"/>
        <v>0</v>
      </c>
      <c r="AE240" s="211">
        <f t="shared" si="158"/>
        <v>0</v>
      </c>
      <c r="AF240" s="211">
        <f t="shared" si="158"/>
        <v>0</v>
      </c>
      <c r="AG240" s="211">
        <f t="shared" si="158"/>
        <v>0</v>
      </c>
      <c r="AH240" s="211">
        <f t="shared" si="158"/>
        <v>0</v>
      </c>
      <c r="AI240" s="211">
        <f t="shared" si="158"/>
        <v>0</v>
      </c>
      <c r="AJ240" s="211">
        <f t="shared" si="158"/>
        <v>0</v>
      </c>
      <c r="AK240" s="211">
        <f t="shared" si="158"/>
        <v>0</v>
      </c>
      <c r="AL240" s="211">
        <f t="shared" si="158"/>
        <v>0</v>
      </c>
      <c r="AM240" s="211">
        <f t="shared" si="158"/>
        <v>0</v>
      </c>
      <c r="AN240" s="211">
        <f t="shared" si="158"/>
        <v>0</v>
      </c>
    </row>
    <row r="241" spans="2:41" ht="12" hidden="1" customHeight="1" outlineLevel="2">
      <c r="B241" s="245"/>
      <c r="C241" s="250" t="s">
        <v>767</v>
      </c>
      <c r="D241" s="250"/>
      <c r="E241" s="213"/>
      <c r="F241" s="213"/>
      <c r="G241" s="213"/>
      <c r="H241" s="213"/>
      <c r="I241" s="213"/>
      <c r="J241" s="213"/>
      <c r="K241" s="213"/>
      <c r="L241" s="213"/>
      <c r="M241" s="213"/>
      <c r="N241" s="213"/>
      <c r="O241" s="213"/>
      <c r="P241" s="213"/>
      <c r="Q241" s="213"/>
      <c r="R241" s="213"/>
      <c r="S241" s="211">
        <f>INDEX($C$199:$AN$221,MATCH("New Customers One-Time",$C$199:$C$221,0),MATCH($C241,$C$199:$AN$199,0))</f>
        <v>4.721760989758236</v>
      </c>
      <c r="T241" s="211">
        <f t="shared" ref="T241:AN241" si="159">$S$241*(E225)</f>
        <v>0</v>
      </c>
      <c r="U241" s="211">
        <f t="shared" si="159"/>
        <v>0</v>
      </c>
      <c r="V241" s="211">
        <f t="shared" si="159"/>
        <v>0</v>
      </c>
      <c r="W241" s="211">
        <f t="shared" si="159"/>
        <v>0</v>
      </c>
      <c r="X241" s="211">
        <f t="shared" si="159"/>
        <v>0</v>
      </c>
      <c r="Y241" s="211">
        <f t="shared" si="159"/>
        <v>0</v>
      </c>
      <c r="Z241" s="211">
        <f t="shared" si="159"/>
        <v>0</v>
      </c>
      <c r="AA241" s="211">
        <f t="shared" si="159"/>
        <v>0</v>
      </c>
      <c r="AB241" s="211">
        <f t="shared" si="159"/>
        <v>0</v>
      </c>
      <c r="AC241" s="211">
        <f t="shared" si="159"/>
        <v>0</v>
      </c>
      <c r="AD241" s="211">
        <f t="shared" si="159"/>
        <v>0</v>
      </c>
      <c r="AE241" s="211">
        <f t="shared" si="159"/>
        <v>0</v>
      </c>
      <c r="AF241" s="211">
        <f t="shared" si="159"/>
        <v>0</v>
      </c>
      <c r="AG241" s="211">
        <f t="shared" si="159"/>
        <v>0</v>
      </c>
      <c r="AH241" s="211">
        <f t="shared" si="159"/>
        <v>0</v>
      </c>
      <c r="AI241" s="211">
        <f t="shared" si="159"/>
        <v>0</v>
      </c>
      <c r="AJ241" s="211">
        <f t="shared" si="159"/>
        <v>0</v>
      </c>
      <c r="AK241" s="211">
        <f t="shared" si="159"/>
        <v>0</v>
      </c>
      <c r="AL241" s="211">
        <f t="shared" si="159"/>
        <v>0</v>
      </c>
      <c r="AM241" s="211">
        <f t="shared" si="159"/>
        <v>0</v>
      </c>
      <c r="AN241" s="211">
        <f t="shared" si="159"/>
        <v>0</v>
      </c>
    </row>
    <row r="242" spans="2:41" ht="12" hidden="1" customHeight="1" outlineLevel="2">
      <c r="B242" s="245"/>
      <c r="C242" s="250" t="s">
        <v>768</v>
      </c>
      <c r="D242" s="250"/>
      <c r="E242" s="213"/>
      <c r="F242" s="213"/>
      <c r="G242" s="213"/>
      <c r="H242" s="213"/>
      <c r="I242" s="213"/>
      <c r="J242" s="213"/>
      <c r="K242" s="213"/>
      <c r="L242" s="213"/>
      <c r="M242" s="213"/>
      <c r="N242" s="213"/>
      <c r="O242" s="213"/>
      <c r="P242" s="213"/>
      <c r="Q242" s="213"/>
      <c r="R242" s="213"/>
      <c r="S242" s="213"/>
      <c r="T242" s="211">
        <f>INDEX($C$199:$AN$221,MATCH("New Customers One-Time",$C$199:$C$221,0),MATCH($C242,$C$199:$AN$199,0))</f>
        <v>2.7893956350925024</v>
      </c>
      <c r="U242" s="211">
        <f t="shared" ref="U242:AN242" si="160">$T$242*(E225)</f>
        <v>0</v>
      </c>
      <c r="V242" s="211">
        <f t="shared" si="160"/>
        <v>0</v>
      </c>
      <c r="W242" s="211">
        <f t="shared" si="160"/>
        <v>0</v>
      </c>
      <c r="X242" s="211">
        <f t="shared" si="160"/>
        <v>0</v>
      </c>
      <c r="Y242" s="211">
        <f t="shared" si="160"/>
        <v>0</v>
      </c>
      <c r="Z242" s="211">
        <f t="shared" si="160"/>
        <v>0</v>
      </c>
      <c r="AA242" s="211">
        <f t="shared" si="160"/>
        <v>0</v>
      </c>
      <c r="AB242" s="211">
        <f t="shared" si="160"/>
        <v>0</v>
      </c>
      <c r="AC242" s="211">
        <f t="shared" si="160"/>
        <v>0</v>
      </c>
      <c r="AD242" s="211">
        <f t="shared" si="160"/>
        <v>0</v>
      </c>
      <c r="AE242" s="211">
        <f t="shared" si="160"/>
        <v>0</v>
      </c>
      <c r="AF242" s="211">
        <f t="shared" si="160"/>
        <v>0</v>
      </c>
      <c r="AG242" s="211">
        <f t="shared" si="160"/>
        <v>0</v>
      </c>
      <c r="AH242" s="211">
        <f t="shared" si="160"/>
        <v>0</v>
      </c>
      <c r="AI242" s="211">
        <f t="shared" si="160"/>
        <v>0</v>
      </c>
      <c r="AJ242" s="211">
        <f t="shared" si="160"/>
        <v>0</v>
      </c>
      <c r="AK242" s="211">
        <f t="shared" si="160"/>
        <v>0</v>
      </c>
      <c r="AL242" s="211">
        <f t="shared" si="160"/>
        <v>0</v>
      </c>
      <c r="AM242" s="211">
        <f t="shared" si="160"/>
        <v>0</v>
      </c>
      <c r="AN242" s="211">
        <f t="shared" si="160"/>
        <v>0</v>
      </c>
    </row>
    <row r="243" spans="2:41" ht="12" hidden="1" customHeight="1" outlineLevel="2">
      <c r="B243" s="245"/>
      <c r="C243" s="250" t="s">
        <v>769</v>
      </c>
      <c r="D243" s="250"/>
      <c r="E243" s="213"/>
      <c r="F243" s="213"/>
      <c r="G243" s="213"/>
      <c r="H243" s="213"/>
      <c r="I243" s="213"/>
      <c r="J243" s="213"/>
      <c r="K243" s="213"/>
      <c r="L243" s="213"/>
      <c r="M243" s="213"/>
      <c r="N243" s="213"/>
      <c r="O243" s="213"/>
      <c r="P243" s="213"/>
      <c r="Q243" s="213"/>
      <c r="R243" s="213"/>
      <c r="S243" s="213"/>
      <c r="T243" s="213"/>
      <c r="U243" s="211">
        <f>INDEX($C$199:$AN$221,MATCH("New Customers One-Time",$C$199:$C$221,0),MATCH($C243,$C$199:$AN$199,0))</f>
        <v>2.5820469620184432</v>
      </c>
      <c r="V243" s="211">
        <f t="shared" ref="V243:AN243" si="161">$U$243*(E225)</f>
        <v>0</v>
      </c>
      <c r="W243" s="211">
        <f t="shared" si="161"/>
        <v>0</v>
      </c>
      <c r="X243" s="211">
        <f t="shared" si="161"/>
        <v>0</v>
      </c>
      <c r="Y243" s="211">
        <f t="shared" si="161"/>
        <v>0</v>
      </c>
      <c r="Z243" s="211">
        <f t="shared" si="161"/>
        <v>0</v>
      </c>
      <c r="AA243" s="211">
        <f t="shared" si="161"/>
        <v>0</v>
      </c>
      <c r="AB243" s="211">
        <f t="shared" si="161"/>
        <v>0</v>
      </c>
      <c r="AC243" s="211">
        <f t="shared" si="161"/>
        <v>0</v>
      </c>
      <c r="AD243" s="211">
        <f t="shared" si="161"/>
        <v>0</v>
      </c>
      <c r="AE243" s="211">
        <f t="shared" si="161"/>
        <v>0</v>
      </c>
      <c r="AF243" s="211">
        <f t="shared" si="161"/>
        <v>0</v>
      </c>
      <c r="AG243" s="211">
        <f t="shared" si="161"/>
        <v>0</v>
      </c>
      <c r="AH243" s="211">
        <f t="shared" si="161"/>
        <v>0</v>
      </c>
      <c r="AI243" s="211">
        <f t="shared" si="161"/>
        <v>0</v>
      </c>
      <c r="AJ243" s="211">
        <f t="shared" si="161"/>
        <v>0</v>
      </c>
      <c r="AK243" s="211">
        <f t="shared" si="161"/>
        <v>0</v>
      </c>
      <c r="AL243" s="211">
        <f t="shared" si="161"/>
        <v>0</v>
      </c>
      <c r="AM243" s="211">
        <f t="shared" si="161"/>
        <v>0</v>
      </c>
      <c r="AN243" s="211">
        <f t="shared" si="161"/>
        <v>0</v>
      </c>
    </row>
    <row r="244" spans="2:41" ht="12" hidden="1" customHeight="1" outlineLevel="2">
      <c r="B244" s="245"/>
      <c r="C244" s="250" t="s">
        <v>770</v>
      </c>
      <c r="D244" s="250"/>
      <c r="E244" s="213"/>
      <c r="F244" s="213"/>
      <c r="G244" s="213"/>
      <c r="H244" s="213"/>
      <c r="I244" s="213"/>
      <c r="J244" s="213"/>
      <c r="K244" s="213"/>
      <c r="L244" s="213"/>
      <c r="M244" s="213"/>
      <c r="N244" s="213"/>
      <c r="O244" s="213"/>
      <c r="P244" s="213"/>
      <c r="Q244" s="213"/>
      <c r="R244" s="213"/>
      <c r="S244" s="213"/>
      <c r="T244" s="213"/>
      <c r="U244" s="213"/>
      <c r="V244" s="211">
        <f>INDEX($C$199:$AN$221,MATCH("New Customers One-Time",$C$199:$C$221,0),MATCH($C244,$C$199:$AN$199,0))</f>
        <v>3.051361387667141</v>
      </c>
      <c r="W244" s="211">
        <f t="shared" ref="W244:AN244" si="162">$V$244*(E225)</f>
        <v>0</v>
      </c>
      <c r="X244" s="211">
        <f t="shared" si="162"/>
        <v>0</v>
      </c>
      <c r="Y244" s="211">
        <f t="shared" si="162"/>
        <v>0</v>
      </c>
      <c r="Z244" s="211">
        <f t="shared" si="162"/>
        <v>0</v>
      </c>
      <c r="AA244" s="211">
        <f t="shared" si="162"/>
        <v>0</v>
      </c>
      <c r="AB244" s="211">
        <f t="shared" si="162"/>
        <v>0</v>
      </c>
      <c r="AC244" s="211">
        <f t="shared" si="162"/>
        <v>0</v>
      </c>
      <c r="AD244" s="211">
        <f t="shared" si="162"/>
        <v>0</v>
      </c>
      <c r="AE244" s="211">
        <f t="shared" si="162"/>
        <v>0</v>
      </c>
      <c r="AF244" s="211">
        <f t="shared" si="162"/>
        <v>0</v>
      </c>
      <c r="AG244" s="211">
        <f t="shared" si="162"/>
        <v>0</v>
      </c>
      <c r="AH244" s="211">
        <f t="shared" si="162"/>
        <v>0</v>
      </c>
      <c r="AI244" s="211">
        <f t="shared" si="162"/>
        <v>0</v>
      </c>
      <c r="AJ244" s="211">
        <f t="shared" si="162"/>
        <v>0</v>
      </c>
      <c r="AK244" s="211">
        <f t="shared" si="162"/>
        <v>0</v>
      </c>
      <c r="AL244" s="211">
        <f t="shared" si="162"/>
        <v>0</v>
      </c>
      <c r="AM244" s="211">
        <f t="shared" si="162"/>
        <v>0</v>
      </c>
      <c r="AN244" s="211">
        <f t="shared" si="162"/>
        <v>0</v>
      </c>
    </row>
    <row r="245" spans="2:41" ht="12" hidden="1" customHeight="1" outlineLevel="2">
      <c r="B245" s="245"/>
      <c r="C245" s="250" t="s">
        <v>771</v>
      </c>
      <c r="D245" s="250"/>
      <c r="E245" s="213"/>
      <c r="F245" s="213"/>
      <c r="G245" s="213"/>
      <c r="H245" s="213"/>
      <c r="I245" s="213"/>
      <c r="J245" s="213"/>
      <c r="K245" s="213"/>
      <c r="L245" s="213"/>
      <c r="M245" s="213"/>
      <c r="N245" s="213"/>
      <c r="O245" s="213"/>
      <c r="P245" s="213"/>
      <c r="Q245" s="213"/>
      <c r="R245" s="213"/>
      <c r="S245" s="213"/>
      <c r="T245" s="213"/>
      <c r="U245" s="213"/>
      <c r="V245" s="213"/>
      <c r="W245" s="211">
        <f>INDEX($C$199:$AN$221,MATCH("New Customers One-Time",$C$199:$C$221,0),MATCH($C245,$C$199:$AN$199,0))</f>
        <v>3.9442034657305167</v>
      </c>
      <c r="X245" s="211">
        <f t="shared" ref="X245:AN245" si="163">$W$245*(E225)</f>
        <v>0</v>
      </c>
      <c r="Y245" s="211">
        <f t="shared" si="163"/>
        <v>0</v>
      </c>
      <c r="Z245" s="211">
        <f t="shared" si="163"/>
        <v>0</v>
      </c>
      <c r="AA245" s="211">
        <f t="shared" si="163"/>
        <v>0</v>
      </c>
      <c r="AB245" s="211">
        <f t="shared" si="163"/>
        <v>0</v>
      </c>
      <c r="AC245" s="211">
        <f t="shared" si="163"/>
        <v>0</v>
      </c>
      <c r="AD245" s="211">
        <f t="shared" si="163"/>
        <v>0</v>
      </c>
      <c r="AE245" s="211">
        <f t="shared" si="163"/>
        <v>0</v>
      </c>
      <c r="AF245" s="211">
        <f t="shared" si="163"/>
        <v>0</v>
      </c>
      <c r="AG245" s="211">
        <f t="shared" si="163"/>
        <v>0</v>
      </c>
      <c r="AH245" s="211">
        <f t="shared" si="163"/>
        <v>0</v>
      </c>
      <c r="AI245" s="211">
        <f t="shared" si="163"/>
        <v>0</v>
      </c>
      <c r="AJ245" s="211">
        <f t="shared" si="163"/>
        <v>0</v>
      </c>
      <c r="AK245" s="211">
        <f t="shared" si="163"/>
        <v>0</v>
      </c>
      <c r="AL245" s="211">
        <f t="shared" si="163"/>
        <v>0</v>
      </c>
      <c r="AM245" s="211">
        <f t="shared" si="163"/>
        <v>0</v>
      </c>
      <c r="AN245" s="211">
        <f t="shared" si="163"/>
        <v>0</v>
      </c>
    </row>
    <row r="246" spans="2:41" ht="12" hidden="1" customHeight="1" outlineLevel="2">
      <c r="B246" s="245"/>
      <c r="C246" s="250" t="s">
        <v>772</v>
      </c>
      <c r="D246" s="250"/>
      <c r="E246" s="213"/>
      <c r="F246" s="213"/>
      <c r="G246" s="213"/>
      <c r="H246" s="213"/>
      <c r="I246" s="213"/>
      <c r="J246" s="213"/>
      <c r="K246" s="213"/>
      <c r="L246" s="213"/>
      <c r="M246" s="213"/>
      <c r="N246" s="213"/>
      <c r="O246" s="213"/>
      <c r="P246" s="213"/>
      <c r="Q246" s="213"/>
      <c r="R246" s="213"/>
      <c r="S246" s="213"/>
      <c r="T246" s="213"/>
      <c r="U246" s="213"/>
      <c r="V246" s="213"/>
      <c r="W246" s="213"/>
      <c r="X246" s="211">
        <f>INDEX($C$199:$AN$221,MATCH("New Customers One-Time",$C$199:$C$221,0),MATCH($C246,$C$199:$AN$199,0))</f>
        <v>2.3433016444410573</v>
      </c>
      <c r="Y246" s="211">
        <f t="shared" ref="Y246:AN246" si="164">$X$246*(E225)</f>
        <v>0</v>
      </c>
      <c r="Z246" s="211">
        <f t="shared" si="164"/>
        <v>0</v>
      </c>
      <c r="AA246" s="211">
        <f t="shared" si="164"/>
        <v>0</v>
      </c>
      <c r="AB246" s="211">
        <f t="shared" si="164"/>
        <v>0</v>
      </c>
      <c r="AC246" s="211">
        <f t="shared" si="164"/>
        <v>0</v>
      </c>
      <c r="AD246" s="211">
        <f t="shared" si="164"/>
        <v>0</v>
      </c>
      <c r="AE246" s="211">
        <f t="shared" si="164"/>
        <v>0</v>
      </c>
      <c r="AF246" s="211">
        <f t="shared" si="164"/>
        <v>0</v>
      </c>
      <c r="AG246" s="211">
        <f t="shared" si="164"/>
        <v>0</v>
      </c>
      <c r="AH246" s="211">
        <f t="shared" si="164"/>
        <v>0</v>
      </c>
      <c r="AI246" s="211">
        <f t="shared" si="164"/>
        <v>0</v>
      </c>
      <c r="AJ246" s="211">
        <f t="shared" si="164"/>
        <v>0</v>
      </c>
      <c r="AK246" s="211">
        <f t="shared" si="164"/>
        <v>0</v>
      </c>
      <c r="AL246" s="211">
        <f t="shared" si="164"/>
        <v>0</v>
      </c>
      <c r="AM246" s="211">
        <f t="shared" si="164"/>
        <v>0</v>
      </c>
      <c r="AN246" s="211">
        <f t="shared" si="164"/>
        <v>0</v>
      </c>
    </row>
    <row r="247" spans="2:41" ht="12" hidden="1" customHeight="1" outlineLevel="2">
      <c r="B247" s="245"/>
      <c r="C247" s="250" t="s">
        <v>773</v>
      </c>
      <c r="D247" s="250"/>
      <c r="E247" s="213"/>
      <c r="F247" s="213"/>
      <c r="G247" s="213"/>
      <c r="H247" s="213"/>
      <c r="I247" s="213"/>
      <c r="J247" s="213"/>
      <c r="K247" s="213"/>
      <c r="L247" s="213"/>
      <c r="M247" s="213"/>
      <c r="N247" s="213"/>
      <c r="O247" s="213"/>
      <c r="P247" s="213"/>
      <c r="Q247" s="213"/>
      <c r="R247" s="213"/>
      <c r="S247" s="213"/>
      <c r="T247" s="213"/>
      <c r="U247" s="213"/>
      <c r="V247" s="213"/>
      <c r="W247" s="213"/>
      <c r="X247" s="213"/>
      <c r="Y247" s="211">
        <f>INDEX($C$199:$AN$221,MATCH("New Customers One-Time",$C$199:$C$221,0),MATCH($C247,$C$199:$AN$199,0))</f>
        <v>9.3732065777642291</v>
      </c>
      <c r="Z247" s="211">
        <f t="shared" ref="Z247:AN247" si="165">$Y$247*(E225)</f>
        <v>0</v>
      </c>
      <c r="AA247" s="211">
        <f t="shared" si="165"/>
        <v>0</v>
      </c>
      <c r="AB247" s="211">
        <f t="shared" si="165"/>
        <v>0</v>
      </c>
      <c r="AC247" s="211">
        <f t="shared" si="165"/>
        <v>0</v>
      </c>
      <c r="AD247" s="211">
        <f t="shared" si="165"/>
        <v>0</v>
      </c>
      <c r="AE247" s="211">
        <f t="shared" si="165"/>
        <v>0</v>
      </c>
      <c r="AF247" s="211">
        <f t="shared" si="165"/>
        <v>0</v>
      </c>
      <c r="AG247" s="211">
        <f t="shared" si="165"/>
        <v>0</v>
      </c>
      <c r="AH247" s="211">
        <f t="shared" si="165"/>
        <v>0</v>
      </c>
      <c r="AI247" s="211">
        <f t="shared" si="165"/>
        <v>0</v>
      </c>
      <c r="AJ247" s="211">
        <f t="shared" si="165"/>
        <v>0</v>
      </c>
      <c r="AK247" s="211">
        <f t="shared" si="165"/>
        <v>0</v>
      </c>
      <c r="AL247" s="211">
        <f t="shared" si="165"/>
        <v>0</v>
      </c>
      <c r="AM247" s="211">
        <f t="shared" si="165"/>
        <v>0</v>
      </c>
      <c r="AN247" s="211">
        <f t="shared" si="165"/>
        <v>0</v>
      </c>
    </row>
    <row r="248" spans="2:41" ht="12" hidden="1" customHeight="1" outlineLevel="2">
      <c r="B248" s="245"/>
      <c r="C248" s="250" t="s">
        <v>774</v>
      </c>
      <c r="D248" s="250"/>
      <c r="E248" s="213"/>
      <c r="F248" s="213"/>
      <c r="G248" s="213"/>
      <c r="H248" s="213"/>
      <c r="I248" s="213"/>
      <c r="J248" s="213"/>
      <c r="K248" s="213"/>
      <c r="L248" s="213"/>
      <c r="M248" s="213"/>
      <c r="N248" s="213"/>
      <c r="O248" s="213"/>
      <c r="P248" s="213"/>
      <c r="Q248" s="213"/>
      <c r="R248" s="213"/>
      <c r="S248" s="213"/>
      <c r="T248" s="213"/>
      <c r="U248" s="213"/>
      <c r="V248" s="213"/>
      <c r="W248" s="213"/>
      <c r="X248" s="213"/>
      <c r="Y248" s="213"/>
      <c r="Z248" s="211">
        <f>INDEX($C$199:$AN$221,MATCH("New Customers One-Time",$C$199:$C$221,0),MATCH($C248,$C$199:$AN$199,0))</f>
        <v>16.352419012149735</v>
      </c>
      <c r="AA248" s="211">
        <f t="shared" ref="AA248:AK248" si="166">$Z$248*(E225)</f>
        <v>0</v>
      </c>
      <c r="AB248" s="211">
        <f t="shared" si="166"/>
        <v>0</v>
      </c>
      <c r="AC248" s="211">
        <f t="shared" si="166"/>
        <v>0</v>
      </c>
      <c r="AD248" s="211">
        <f t="shared" si="166"/>
        <v>0</v>
      </c>
      <c r="AE248" s="211">
        <f t="shared" si="166"/>
        <v>0</v>
      </c>
      <c r="AF248" s="211">
        <f t="shared" si="166"/>
        <v>0</v>
      </c>
      <c r="AG248" s="211">
        <f t="shared" si="166"/>
        <v>0</v>
      </c>
      <c r="AH248" s="211">
        <f t="shared" si="166"/>
        <v>0</v>
      </c>
      <c r="AI248" s="211">
        <f t="shared" si="166"/>
        <v>0</v>
      </c>
      <c r="AJ248" s="211">
        <f t="shared" si="166"/>
        <v>0</v>
      </c>
      <c r="AK248" s="211">
        <f t="shared" si="166"/>
        <v>0</v>
      </c>
      <c r="AL248" s="211">
        <f>AK248*(P225)</f>
        <v>0</v>
      </c>
      <c r="AM248" s="211">
        <f>AL248*(Q225)</f>
        <v>0</v>
      </c>
      <c r="AN248" s="211">
        <f>AM248*(R225)</f>
        <v>0</v>
      </c>
    </row>
    <row r="249" spans="2:41" ht="12" hidden="1" customHeight="1" outlineLevel="2">
      <c r="B249" s="245"/>
      <c r="C249" s="250" t="s">
        <v>775</v>
      </c>
      <c r="D249" s="250"/>
      <c r="E249" s="213"/>
      <c r="F249" s="213"/>
      <c r="G249" s="213"/>
      <c r="H249" s="213"/>
      <c r="I249" s="213"/>
      <c r="J249" s="213"/>
      <c r="K249" s="213"/>
      <c r="L249" s="213"/>
      <c r="M249" s="213"/>
      <c r="N249" s="213"/>
      <c r="O249" s="213"/>
      <c r="P249" s="213"/>
      <c r="Q249" s="213"/>
      <c r="R249" s="213"/>
      <c r="S249" s="213"/>
      <c r="T249" s="213"/>
      <c r="U249" s="213"/>
      <c r="V249" s="213"/>
      <c r="W249" s="213"/>
      <c r="X249" s="213"/>
      <c r="Y249" s="213"/>
      <c r="Z249" s="213"/>
      <c r="AA249" s="211">
        <f>INDEX($C$199:$AN$221,MATCH("New Customers One-Time",$C$199:$C$221,0),MATCH($C249,$C$199:$AN$199,0))</f>
        <v>9.8114514072898409</v>
      </c>
      <c r="AB249" s="211">
        <f t="shared" ref="AB249:AK249" si="167">$AA$249*(E225)</f>
        <v>0</v>
      </c>
      <c r="AC249" s="211">
        <f t="shared" si="167"/>
        <v>0</v>
      </c>
      <c r="AD249" s="211">
        <f t="shared" si="167"/>
        <v>0</v>
      </c>
      <c r="AE249" s="211">
        <f t="shared" si="167"/>
        <v>0</v>
      </c>
      <c r="AF249" s="211">
        <f t="shared" si="167"/>
        <v>0</v>
      </c>
      <c r="AG249" s="211">
        <f t="shared" si="167"/>
        <v>0</v>
      </c>
      <c r="AH249" s="211">
        <f t="shared" si="167"/>
        <v>0</v>
      </c>
      <c r="AI249" s="211">
        <f t="shared" si="167"/>
        <v>0</v>
      </c>
      <c r="AJ249" s="211">
        <f t="shared" si="167"/>
        <v>0</v>
      </c>
      <c r="AK249" s="211">
        <f t="shared" si="167"/>
        <v>0</v>
      </c>
      <c r="AL249" s="211">
        <f>AK249*(O225)</f>
        <v>0</v>
      </c>
      <c r="AM249" s="211">
        <f>AL249*(P225)</f>
        <v>0</v>
      </c>
      <c r="AN249" s="211">
        <f>AM249*(Q225)</f>
        <v>0</v>
      </c>
    </row>
    <row r="250" spans="2:41" ht="12" hidden="1" customHeight="1" outlineLevel="2">
      <c r="B250" s="245"/>
      <c r="C250" s="250" t="s">
        <v>776</v>
      </c>
      <c r="D250" s="250"/>
      <c r="E250" s="213"/>
      <c r="F250" s="213"/>
      <c r="G250" s="213"/>
      <c r="H250" s="213"/>
      <c r="I250" s="213"/>
      <c r="J250" s="213"/>
      <c r="K250" s="213"/>
      <c r="L250" s="213"/>
      <c r="M250" s="213"/>
      <c r="N250" s="213"/>
      <c r="O250" s="213"/>
      <c r="P250" s="213"/>
      <c r="Q250" s="213"/>
      <c r="R250" s="213"/>
      <c r="S250" s="213"/>
      <c r="T250" s="213"/>
      <c r="U250" s="213"/>
      <c r="V250" s="213"/>
      <c r="W250" s="213"/>
      <c r="X250" s="213"/>
      <c r="Y250" s="213"/>
      <c r="Z250" s="213"/>
      <c r="AA250" s="213"/>
      <c r="AB250" s="211">
        <f>INDEX($C$199:$AN$221,MATCH("New Customers One-Time",$C$199:$C$221,0),MATCH($C250,$C$199:$AN$199,0))</f>
        <v>6.5409676048598939</v>
      </c>
      <c r="AC250" s="211">
        <f t="shared" ref="AC250:AN250" si="168">$AB$250*(E225)</f>
        <v>0</v>
      </c>
      <c r="AD250" s="211">
        <f t="shared" si="168"/>
        <v>0</v>
      </c>
      <c r="AE250" s="211">
        <f t="shared" si="168"/>
        <v>0</v>
      </c>
      <c r="AF250" s="211">
        <f t="shared" si="168"/>
        <v>0</v>
      </c>
      <c r="AG250" s="211">
        <f t="shared" si="168"/>
        <v>0</v>
      </c>
      <c r="AH250" s="211">
        <f t="shared" si="168"/>
        <v>0</v>
      </c>
      <c r="AI250" s="211">
        <f t="shared" si="168"/>
        <v>0</v>
      </c>
      <c r="AJ250" s="211">
        <f t="shared" si="168"/>
        <v>0</v>
      </c>
      <c r="AK250" s="211">
        <f t="shared" si="168"/>
        <v>0</v>
      </c>
      <c r="AL250" s="211">
        <f t="shared" si="168"/>
        <v>0</v>
      </c>
      <c r="AM250" s="211">
        <f t="shared" si="168"/>
        <v>0</v>
      </c>
      <c r="AN250" s="211">
        <f t="shared" si="168"/>
        <v>0</v>
      </c>
      <c r="AO250" s="211"/>
    </row>
    <row r="251" spans="2:41" ht="12" hidden="1" customHeight="1" outlineLevel="2">
      <c r="B251" s="245"/>
      <c r="C251" s="250" t="s">
        <v>777</v>
      </c>
      <c r="D251" s="250"/>
      <c r="E251" s="213"/>
      <c r="F251" s="213"/>
      <c r="G251" s="213"/>
      <c r="H251" s="213"/>
      <c r="I251" s="213"/>
      <c r="J251" s="213"/>
      <c r="K251" s="213"/>
      <c r="L251" s="213"/>
      <c r="M251" s="213"/>
      <c r="N251" s="213"/>
      <c r="O251" s="213"/>
      <c r="P251" s="213"/>
      <c r="Q251" s="213"/>
      <c r="R251" s="213"/>
      <c r="S251" s="213"/>
      <c r="T251" s="213"/>
      <c r="U251" s="213"/>
      <c r="V251" s="213"/>
      <c r="W251" s="213"/>
      <c r="X251" s="213"/>
      <c r="Y251" s="213"/>
      <c r="Z251" s="213"/>
      <c r="AA251" s="213"/>
      <c r="AB251" s="211"/>
      <c r="AC251" s="211">
        <f>INDEX($C$199:$AN$221,MATCH("New Customers One-Time",$C$199:$C$221,0),MATCH($C251,$C$199:$AN$199,0))</f>
        <v>13.343573913914184</v>
      </c>
      <c r="AD251" s="211">
        <f t="shared" ref="AD251:AK251" si="169">$AC$251*(E225)</f>
        <v>0</v>
      </c>
      <c r="AE251" s="211">
        <f t="shared" si="169"/>
        <v>0</v>
      </c>
      <c r="AF251" s="211">
        <f t="shared" si="169"/>
        <v>0</v>
      </c>
      <c r="AG251" s="211">
        <f t="shared" si="169"/>
        <v>0</v>
      </c>
      <c r="AH251" s="211">
        <f t="shared" si="169"/>
        <v>0</v>
      </c>
      <c r="AI251" s="211">
        <f t="shared" si="169"/>
        <v>0</v>
      </c>
      <c r="AJ251" s="211">
        <f t="shared" si="169"/>
        <v>0</v>
      </c>
      <c r="AK251" s="211">
        <f t="shared" si="169"/>
        <v>0</v>
      </c>
      <c r="AL251" s="211">
        <f>AK251*(M225)</f>
        <v>0</v>
      </c>
      <c r="AM251" s="211">
        <f>AL251*(N225)</f>
        <v>0</v>
      </c>
      <c r="AN251" s="211">
        <f>AM251*(O225)</f>
        <v>0</v>
      </c>
    </row>
    <row r="252" spans="2:41" ht="12" hidden="1" customHeight="1" outlineLevel="2">
      <c r="B252" s="245"/>
      <c r="C252" s="250" t="s">
        <v>778</v>
      </c>
      <c r="D252" s="250"/>
      <c r="E252" s="213"/>
      <c r="F252" s="213"/>
      <c r="G252" s="213"/>
      <c r="H252" s="213"/>
      <c r="I252" s="213"/>
      <c r="J252" s="213"/>
      <c r="K252" s="213"/>
      <c r="L252" s="213"/>
      <c r="M252" s="213"/>
      <c r="N252" s="213"/>
      <c r="O252" s="213"/>
      <c r="P252" s="213"/>
      <c r="Q252" s="213"/>
      <c r="R252" s="213"/>
      <c r="S252" s="213"/>
      <c r="T252" s="213"/>
      <c r="U252" s="213"/>
      <c r="V252" s="213"/>
      <c r="W252" s="213"/>
      <c r="X252" s="213"/>
      <c r="Y252" s="213"/>
      <c r="Z252" s="213"/>
      <c r="AA252" s="213"/>
      <c r="AB252" s="211"/>
      <c r="AC252" s="211"/>
      <c r="AD252" s="211">
        <f>INDEX($C$199:$AN$221,MATCH("New Customers One-Time",$C$199:$C$221,0),MATCH($C252,$C$199:$AN$199,0))</f>
        <v>13.610445392192471</v>
      </c>
      <c r="AE252" s="211">
        <f t="shared" ref="AE252:AN252" si="170">$AD$252*(E225)</f>
        <v>0</v>
      </c>
      <c r="AF252" s="211">
        <f t="shared" si="170"/>
        <v>0</v>
      </c>
      <c r="AG252" s="211">
        <f t="shared" si="170"/>
        <v>0</v>
      </c>
      <c r="AH252" s="211">
        <f t="shared" si="170"/>
        <v>0</v>
      </c>
      <c r="AI252" s="211">
        <f t="shared" si="170"/>
        <v>0</v>
      </c>
      <c r="AJ252" s="211">
        <f t="shared" si="170"/>
        <v>0</v>
      </c>
      <c r="AK252" s="211">
        <f t="shared" si="170"/>
        <v>0</v>
      </c>
      <c r="AL252" s="211">
        <f t="shared" si="170"/>
        <v>0</v>
      </c>
      <c r="AM252" s="211">
        <f t="shared" si="170"/>
        <v>0</v>
      </c>
      <c r="AN252" s="211">
        <f t="shared" si="170"/>
        <v>0</v>
      </c>
    </row>
    <row r="253" spans="2:41" ht="12" hidden="1" customHeight="1" outlineLevel="2">
      <c r="B253" s="245"/>
      <c r="C253" s="250" t="s">
        <v>779</v>
      </c>
      <c r="D253" s="250"/>
      <c r="E253" s="213"/>
      <c r="F253" s="213"/>
      <c r="G253" s="213"/>
      <c r="H253" s="213"/>
      <c r="I253" s="213"/>
      <c r="J253" s="213"/>
      <c r="K253" s="213"/>
      <c r="L253" s="213"/>
      <c r="M253" s="213"/>
      <c r="N253" s="213"/>
      <c r="O253" s="213"/>
      <c r="P253" s="213"/>
      <c r="Q253" s="213"/>
      <c r="R253" s="213"/>
      <c r="S253" s="213"/>
      <c r="T253" s="213"/>
      <c r="U253" s="213"/>
      <c r="V253" s="213"/>
      <c r="W253" s="213"/>
      <c r="X253" s="213"/>
      <c r="Y253" s="213"/>
      <c r="Z253" s="213"/>
      <c r="AA253" s="213"/>
      <c r="AB253" s="211"/>
      <c r="AC253" s="211"/>
      <c r="AD253" s="211"/>
      <c r="AE253" s="211">
        <f>INDEX($C$199:$AN$221,MATCH("New Customers One-Time",$C$199:$C$221,0),MATCH($C253,$C$199:$AN$199,0))</f>
        <v>13.882654300036318</v>
      </c>
      <c r="AF253" s="211">
        <f t="shared" ref="AF253:AN253" si="171">$AE$253*(E225)</f>
        <v>0</v>
      </c>
      <c r="AG253" s="211">
        <f t="shared" si="171"/>
        <v>0</v>
      </c>
      <c r="AH253" s="211">
        <f t="shared" si="171"/>
        <v>0</v>
      </c>
      <c r="AI253" s="211">
        <f t="shared" si="171"/>
        <v>0</v>
      </c>
      <c r="AJ253" s="211">
        <f t="shared" si="171"/>
        <v>0</v>
      </c>
      <c r="AK253" s="211">
        <f t="shared" si="171"/>
        <v>0</v>
      </c>
      <c r="AL253" s="211">
        <f t="shared" si="171"/>
        <v>0</v>
      </c>
      <c r="AM253" s="211">
        <f t="shared" si="171"/>
        <v>0</v>
      </c>
      <c r="AN253" s="211">
        <f t="shared" si="171"/>
        <v>0</v>
      </c>
    </row>
    <row r="254" spans="2:41" ht="12" hidden="1" customHeight="1" outlineLevel="2">
      <c r="B254" s="245"/>
      <c r="C254" s="250" t="s">
        <v>780</v>
      </c>
      <c r="D254" s="250"/>
      <c r="E254" s="213"/>
      <c r="F254" s="213"/>
      <c r="G254" s="213"/>
      <c r="H254" s="213"/>
      <c r="I254" s="213"/>
      <c r="J254" s="213"/>
      <c r="K254" s="213"/>
      <c r="L254" s="213"/>
      <c r="M254" s="213"/>
      <c r="N254" s="213"/>
      <c r="O254" s="213"/>
      <c r="P254" s="213"/>
      <c r="Q254" s="213"/>
      <c r="R254" s="213"/>
      <c r="S254" s="213"/>
      <c r="T254" s="213"/>
      <c r="U254" s="213"/>
      <c r="V254" s="213"/>
      <c r="W254" s="213"/>
      <c r="X254" s="213"/>
      <c r="Y254" s="213"/>
      <c r="Z254" s="213"/>
      <c r="AA254" s="213"/>
      <c r="AB254" s="211"/>
      <c r="AC254" s="211"/>
      <c r="AD254" s="211"/>
      <c r="AE254" s="211"/>
      <c r="AF254" s="211">
        <f>INDEX($C$199:$AN$221,MATCH("New Customers One-Time",$C$199:$C$221,0),MATCH($C254,$C$199:$AN$199,0))</f>
        <v>14.160307386037045</v>
      </c>
      <c r="AG254" s="211">
        <f t="shared" ref="AG254:AN254" si="172">$AF$254*(E225)</f>
        <v>0</v>
      </c>
      <c r="AH254" s="211">
        <f t="shared" si="172"/>
        <v>0</v>
      </c>
      <c r="AI254" s="211">
        <f t="shared" si="172"/>
        <v>0</v>
      </c>
      <c r="AJ254" s="211">
        <f t="shared" si="172"/>
        <v>0</v>
      </c>
      <c r="AK254" s="211">
        <f t="shared" si="172"/>
        <v>0</v>
      </c>
      <c r="AL254" s="211">
        <f t="shared" si="172"/>
        <v>0</v>
      </c>
      <c r="AM254" s="211">
        <f t="shared" si="172"/>
        <v>0</v>
      </c>
      <c r="AN254" s="211">
        <f t="shared" si="172"/>
        <v>0</v>
      </c>
    </row>
    <row r="255" spans="2:41" ht="12" hidden="1" customHeight="1" outlineLevel="2">
      <c r="B255" s="245"/>
      <c r="C255" s="250" t="s">
        <v>781</v>
      </c>
      <c r="D255" s="250"/>
      <c r="E255" s="213"/>
      <c r="F255" s="213"/>
      <c r="G255" s="213"/>
      <c r="H255" s="213"/>
      <c r="I255" s="213"/>
      <c r="J255" s="213"/>
      <c r="K255" s="213"/>
      <c r="L255" s="213"/>
      <c r="M255" s="213"/>
      <c r="N255" s="213"/>
      <c r="O255" s="213"/>
      <c r="P255" s="213"/>
      <c r="Q255" s="213"/>
      <c r="R255" s="213"/>
      <c r="S255" s="213"/>
      <c r="T255" s="213"/>
      <c r="U255" s="213"/>
      <c r="V255" s="213"/>
      <c r="W255" s="213"/>
      <c r="X255" s="213"/>
      <c r="Y255" s="213"/>
      <c r="Z255" s="213"/>
      <c r="AA255" s="213"/>
      <c r="AB255" s="211"/>
      <c r="AC255" s="211"/>
      <c r="AD255" s="211"/>
      <c r="AE255" s="211"/>
      <c r="AF255" s="211"/>
      <c r="AG255" s="211">
        <f>INDEX($C$199:$AN$221,MATCH("New Customers One-Time",$C$199:$C$221,0),MATCH($C255,$C$199:$AN$199,0))</f>
        <v>14.443513533757784</v>
      </c>
      <c r="AH255" s="211">
        <f t="shared" ref="AH255:AN255" si="173">$AG$255*(E225)</f>
        <v>0</v>
      </c>
      <c r="AI255" s="211">
        <f t="shared" si="173"/>
        <v>0</v>
      </c>
      <c r="AJ255" s="211">
        <f t="shared" si="173"/>
        <v>0</v>
      </c>
      <c r="AK255" s="211">
        <f t="shared" si="173"/>
        <v>0</v>
      </c>
      <c r="AL255" s="211">
        <f t="shared" si="173"/>
        <v>0</v>
      </c>
      <c r="AM255" s="211">
        <f t="shared" si="173"/>
        <v>0</v>
      </c>
      <c r="AN255" s="211">
        <f t="shared" si="173"/>
        <v>0</v>
      </c>
    </row>
    <row r="256" spans="2:41" ht="12" hidden="1" customHeight="1" outlineLevel="2">
      <c r="B256" s="245"/>
      <c r="C256" s="250" t="s">
        <v>782</v>
      </c>
      <c r="D256" s="250"/>
      <c r="E256" s="213"/>
      <c r="F256" s="213"/>
      <c r="G256" s="213"/>
      <c r="H256" s="213"/>
      <c r="I256" s="213"/>
      <c r="J256" s="213"/>
      <c r="K256" s="213"/>
      <c r="L256" s="213"/>
      <c r="M256" s="213"/>
      <c r="N256" s="213"/>
      <c r="O256" s="213"/>
      <c r="P256" s="213"/>
      <c r="Q256" s="213"/>
      <c r="R256" s="213"/>
      <c r="S256" s="213"/>
      <c r="T256" s="213"/>
      <c r="U256" s="213"/>
      <c r="V256" s="213"/>
      <c r="W256" s="213"/>
      <c r="X256" s="213"/>
      <c r="Y256" s="213"/>
      <c r="Z256" s="213"/>
      <c r="AA256" s="213"/>
      <c r="AB256" s="211"/>
      <c r="AC256" s="211"/>
      <c r="AD256" s="211"/>
      <c r="AE256" s="211"/>
      <c r="AF256" s="211"/>
      <c r="AG256" s="211"/>
      <c r="AH256" s="211">
        <f>INDEX($C$199:$AN$221,MATCH("New Customers One-Time",$C$199:$C$221,0),MATCH($C256,$C$199:$AN$199,0))</f>
        <v>14.732383804432937</v>
      </c>
      <c r="AI256" s="211">
        <f t="shared" ref="AI256:AN256" si="174">$AH$256*(E225)</f>
        <v>0</v>
      </c>
      <c r="AJ256" s="211">
        <f t="shared" si="174"/>
        <v>0</v>
      </c>
      <c r="AK256" s="211">
        <f t="shared" si="174"/>
        <v>0</v>
      </c>
      <c r="AL256" s="211">
        <f t="shared" si="174"/>
        <v>0</v>
      </c>
      <c r="AM256" s="211">
        <f t="shared" si="174"/>
        <v>0</v>
      </c>
      <c r="AN256" s="211">
        <f t="shared" si="174"/>
        <v>0</v>
      </c>
    </row>
    <row r="257" spans="2:40" ht="12" hidden="1" customHeight="1" outlineLevel="2">
      <c r="B257" s="245"/>
      <c r="C257" s="250" t="s">
        <v>783</v>
      </c>
      <c r="D257" s="250"/>
      <c r="E257" s="213"/>
      <c r="F257" s="213"/>
      <c r="G257" s="213"/>
      <c r="H257" s="213"/>
      <c r="I257" s="213"/>
      <c r="J257" s="213"/>
      <c r="K257" s="213"/>
      <c r="L257" s="213"/>
      <c r="M257" s="213"/>
      <c r="N257" s="213"/>
      <c r="O257" s="213"/>
      <c r="P257" s="213"/>
      <c r="Q257" s="213"/>
      <c r="R257" s="213"/>
      <c r="S257" s="213"/>
      <c r="T257" s="213"/>
      <c r="U257" s="213"/>
      <c r="V257" s="213"/>
      <c r="W257" s="213"/>
      <c r="X257" s="213"/>
      <c r="Y257" s="213"/>
      <c r="Z257" s="213"/>
      <c r="AA257" s="213"/>
      <c r="AB257" s="211"/>
      <c r="AC257" s="211"/>
      <c r="AD257" s="211"/>
      <c r="AE257" s="211"/>
      <c r="AF257" s="211"/>
      <c r="AG257" s="211"/>
      <c r="AH257" s="211"/>
      <c r="AI257" s="211">
        <f>INDEX($C$199:$AN$221,MATCH("New Customers One-Time",$C$199:$C$221,0),MATCH($C257,$C$199:$AN$199,0))</f>
        <v>15.027031480521599</v>
      </c>
      <c r="AJ257" s="211">
        <f>$AI$257*(E225)</f>
        <v>0</v>
      </c>
      <c r="AK257" s="211">
        <f>$AI$257*(F225)</f>
        <v>0</v>
      </c>
      <c r="AL257" s="211">
        <f>$AI$257*(G225)</f>
        <v>0</v>
      </c>
      <c r="AM257" s="211">
        <f>$AI$257*(H225)</f>
        <v>0</v>
      </c>
      <c r="AN257" s="211">
        <f>$AI$257*(I225)</f>
        <v>0</v>
      </c>
    </row>
    <row r="258" spans="2:40" ht="12" hidden="1" customHeight="1" outlineLevel="2">
      <c r="B258" s="245"/>
      <c r="C258" s="250" t="s">
        <v>784</v>
      </c>
      <c r="D258" s="250"/>
      <c r="E258" s="213"/>
      <c r="F258" s="213"/>
      <c r="G258" s="213"/>
      <c r="H258" s="213"/>
      <c r="I258" s="213"/>
      <c r="J258" s="213"/>
      <c r="K258" s="213"/>
      <c r="L258" s="213"/>
      <c r="M258" s="213"/>
      <c r="N258" s="213"/>
      <c r="O258" s="213"/>
      <c r="P258" s="213"/>
      <c r="Q258" s="213"/>
      <c r="R258" s="213"/>
      <c r="S258" s="213"/>
      <c r="T258" s="213"/>
      <c r="U258" s="213"/>
      <c r="V258" s="213"/>
      <c r="W258" s="213"/>
      <c r="X258" s="213"/>
      <c r="Y258" s="213"/>
      <c r="Z258" s="213"/>
      <c r="AA258" s="213"/>
      <c r="AB258" s="211"/>
      <c r="AC258" s="211"/>
      <c r="AD258" s="211"/>
      <c r="AE258" s="211"/>
      <c r="AF258" s="211"/>
      <c r="AG258" s="211"/>
      <c r="AH258" s="211"/>
      <c r="AI258" s="211"/>
      <c r="AJ258" s="211">
        <f>INDEX($C$199:$AN$221,MATCH("New Customers One-Time",$C$199:$C$221,0),MATCH($C258,$C$199:$AN$199,0))</f>
        <v>15.327572110132031</v>
      </c>
      <c r="AK258" s="211">
        <f>$AJ$258*(E225)</f>
        <v>0</v>
      </c>
      <c r="AL258" s="211">
        <f>$AJ$258*(F225)</f>
        <v>0</v>
      </c>
      <c r="AM258" s="211">
        <f>$AJ$258*(G225)</f>
        <v>0</v>
      </c>
      <c r="AN258" s="211">
        <f>$AJ$258*(H225)</f>
        <v>0</v>
      </c>
    </row>
    <row r="259" spans="2:40" ht="12" hidden="1" customHeight="1" outlineLevel="2">
      <c r="B259" s="245"/>
      <c r="C259" s="250" t="s">
        <v>785</v>
      </c>
      <c r="D259" s="250"/>
      <c r="E259" s="213"/>
      <c r="F259" s="213"/>
      <c r="G259" s="213"/>
      <c r="H259" s="213"/>
      <c r="I259" s="213"/>
      <c r="J259" s="213"/>
      <c r="K259" s="213"/>
      <c r="L259" s="213"/>
      <c r="M259" s="213"/>
      <c r="N259" s="213"/>
      <c r="O259" s="213"/>
      <c r="P259" s="213"/>
      <c r="Q259" s="213"/>
      <c r="R259" s="213"/>
      <c r="S259" s="213"/>
      <c r="T259" s="213"/>
      <c r="U259" s="213"/>
      <c r="V259" s="213"/>
      <c r="W259" s="213"/>
      <c r="X259" s="213"/>
      <c r="Y259" s="213"/>
      <c r="Z259" s="213"/>
      <c r="AA259" s="213"/>
      <c r="AB259" s="211"/>
      <c r="AC259" s="211"/>
      <c r="AD259" s="211"/>
      <c r="AE259" s="211"/>
      <c r="AF259" s="211"/>
      <c r="AG259" s="211"/>
      <c r="AH259" s="211"/>
      <c r="AI259" s="211"/>
      <c r="AJ259" s="211"/>
      <c r="AK259" s="211">
        <f>INDEX($C$199:$AN$221,MATCH("New Customers One-Time",$C$199:$C$221,0),MATCH($C259,$C$199:$AN$199,0))</f>
        <v>15.634123552334673</v>
      </c>
      <c r="AL259" s="211">
        <f>$AK$259*(E225)</f>
        <v>0</v>
      </c>
      <c r="AM259" s="211">
        <f>$AK$259*(F225)</f>
        <v>0</v>
      </c>
      <c r="AN259" s="211">
        <f>$AK$259*(G225)</f>
        <v>0</v>
      </c>
    </row>
    <row r="260" spans="2:40" ht="12" hidden="1" customHeight="1" outlineLevel="2">
      <c r="B260" s="245"/>
      <c r="C260" s="250" t="s">
        <v>786</v>
      </c>
      <c r="D260" s="250"/>
      <c r="E260" s="213"/>
      <c r="F260" s="213"/>
      <c r="G260" s="213"/>
      <c r="H260" s="213"/>
      <c r="I260" s="213"/>
      <c r="J260" s="213"/>
      <c r="K260" s="213"/>
      <c r="L260" s="213"/>
      <c r="M260" s="213"/>
      <c r="N260" s="213"/>
      <c r="O260" s="213"/>
      <c r="P260" s="213"/>
      <c r="Q260" s="213"/>
      <c r="R260" s="213"/>
      <c r="S260" s="213"/>
      <c r="T260" s="213"/>
      <c r="U260" s="213"/>
      <c r="V260" s="213"/>
      <c r="W260" s="213"/>
      <c r="X260" s="213"/>
      <c r="Y260" s="213"/>
      <c r="Z260" s="213"/>
      <c r="AA260" s="213"/>
      <c r="AB260" s="211"/>
      <c r="AC260" s="211"/>
      <c r="AD260" s="211"/>
      <c r="AE260" s="211"/>
      <c r="AF260" s="211"/>
      <c r="AG260" s="211"/>
      <c r="AH260" s="211"/>
      <c r="AI260" s="211"/>
      <c r="AJ260" s="211"/>
      <c r="AK260" s="211"/>
      <c r="AL260" s="211">
        <f>INDEX($C$199:$AN$221,MATCH("New Customers One-Time",$C$199:$C$221,0),MATCH($C260,$C$199:$AN$199,0))</f>
        <v>15.94680602338137</v>
      </c>
      <c r="AM260" s="211">
        <f>$AL$260*(E225)</f>
        <v>0</v>
      </c>
      <c r="AN260" s="211">
        <f>$AL$260*(F225)</f>
        <v>0</v>
      </c>
    </row>
    <row r="261" spans="2:40" ht="12" hidden="1" customHeight="1" outlineLevel="2">
      <c r="B261" s="245"/>
      <c r="C261" s="250" t="s">
        <v>787</v>
      </c>
      <c r="D261" s="250"/>
      <c r="E261" s="213"/>
      <c r="F261" s="213"/>
      <c r="G261" s="213"/>
      <c r="H261" s="213"/>
      <c r="I261" s="213"/>
      <c r="J261" s="213"/>
      <c r="K261" s="213"/>
      <c r="L261" s="213"/>
      <c r="M261" s="213"/>
      <c r="N261" s="213"/>
      <c r="O261" s="213"/>
      <c r="P261" s="213"/>
      <c r="Q261" s="213"/>
      <c r="R261" s="213"/>
      <c r="S261" s="213"/>
      <c r="T261" s="213"/>
      <c r="U261" s="213"/>
      <c r="V261" s="213"/>
      <c r="W261" s="213"/>
      <c r="X261" s="213"/>
      <c r="Y261" s="213"/>
      <c r="Z261" s="213"/>
      <c r="AA261" s="213"/>
      <c r="AB261" s="211"/>
      <c r="AC261" s="211"/>
      <c r="AD261" s="211"/>
      <c r="AE261" s="211"/>
      <c r="AF261" s="211"/>
      <c r="AG261" s="211"/>
      <c r="AH261" s="211"/>
      <c r="AI261" s="211"/>
      <c r="AJ261" s="211"/>
      <c r="AK261" s="211"/>
      <c r="AL261" s="211"/>
      <c r="AM261" s="211">
        <f>INDEX($C$199:$AN$221,MATCH("New Customers One-Time",$C$199:$C$221,0),MATCH($C261,$C$199:$AN$199,0))</f>
        <v>16.265742143848996</v>
      </c>
      <c r="AN261" s="211">
        <f>$AM$261*(E225)</f>
        <v>0</v>
      </c>
    </row>
    <row r="262" spans="2:40" ht="12" hidden="1" customHeight="1" outlineLevel="2">
      <c r="B262" s="245"/>
      <c r="C262" s="250" t="s">
        <v>788</v>
      </c>
      <c r="D262" s="250"/>
      <c r="E262" s="213"/>
      <c r="F262" s="213"/>
      <c r="G262" s="213"/>
      <c r="H262" s="213"/>
      <c r="I262" s="213"/>
      <c r="J262" s="213"/>
      <c r="K262" s="213"/>
      <c r="L262" s="213"/>
      <c r="M262" s="213"/>
      <c r="N262" s="213"/>
      <c r="O262" s="213"/>
      <c r="P262" s="213"/>
      <c r="Q262" s="213"/>
      <c r="R262" s="213"/>
      <c r="S262" s="213"/>
      <c r="T262" s="213"/>
      <c r="U262" s="213"/>
      <c r="V262" s="213"/>
      <c r="W262" s="213"/>
      <c r="X262" s="213"/>
      <c r="Y262" s="213"/>
      <c r="Z262" s="213"/>
      <c r="AA262" s="213"/>
      <c r="AB262" s="211"/>
      <c r="AC262" s="211"/>
      <c r="AD262" s="211"/>
      <c r="AE262" s="211"/>
      <c r="AF262" s="211"/>
      <c r="AG262" s="211"/>
      <c r="AH262" s="211"/>
      <c r="AI262" s="211"/>
      <c r="AJ262" s="211"/>
      <c r="AK262" s="211"/>
      <c r="AL262" s="211"/>
      <c r="AM262" s="211"/>
      <c r="AN262" s="211">
        <f>INDEX($C$199:$AN$221,MATCH("New Customers One-Time",$C$199:$C$221,0),MATCH($C262,$C$199:$AN$199,0))</f>
        <v>16.591056986725977</v>
      </c>
    </row>
    <row r="263" spans="2:40" ht="12" hidden="1" customHeight="1" outlineLevel="2">
      <c r="B263" s="245"/>
      <c r="C263" s="250"/>
      <c r="D263" s="250"/>
      <c r="E263" s="213"/>
      <c r="F263" s="213"/>
      <c r="G263" s="213"/>
      <c r="H263" s="213"/>
      <c r="I263" s="213"/>
      <c r="J263" s="213"/>
      <c r="K263" s="213"/>
      <c r="L263" s="213"/>
      <c r="M263" s="213"/>
      <c r="N263" s="213"/>
      <c r="O263" s="213"/>
      <c r="P263" s="213"/>
      <c r="Q263" s="213"/>
      <c r="R263" s="213"/>
      <c r="S263" s="213"/>
      <c r="T263" s="213"/>
      <c r="U263" s="213"/>
      <c r="V263" s="213"/>
      <c r="W263" s="213"/>
      <c r="X263" s="213"/>
      <c r="Y263" s="213"/>
      <c r="Z263" s="213"/>
      <c r="AA263" s="213"/>
      <c r="AB263" s="211"/>
      <c r="AC263" s="211"/>
      <c r="AD263" s="211"/>
      <c r="AE263" s="211"/>
      <c r="AF263" s="211"/>
      <c r="AG263" s="211"/>
      <c r="AH263" s="211"/>
      <c r="AI263" s="211"/>
      <c r="AJ263" s="211"/>
      <c r="AK263" s="211"/>
      <c r="AL263" s="211"/>
      <c r="AM263" s="211"/>
      <c r="AN263" s="211"/>
    </row>
    <row r="264" spans="2:40" ht="12" hidden="1" customHeight="1" outlineLevel="2">
      <c r="B264" s="245"/>
      <c r="C264" s="249" t="s">
        <v>853</v>
      </c>
      <c r="D264" s="250"/>
      <c r="E264" s="213"/>
      <c r="F264" s="213"/>
      <c r="G264" s="213"/>
      <c r="H264" s="213"/>
      <c r="I264" s="213"/>
      <c r="J264" s="213"/>
      <c r="K264" s="213"/>
      <c r="L264" s="213"/>
      <c r="M264" s="213"/>
      <c r="N264" s="213"/>
      <c r="O264" s="213"/>
      <c r="P264" s="213"/>
      <c r="Q264" s="213"/>
      <c r="R264" s="213"/>
      <c r="S264" s="213"/>
      <c r="T264" s="213"/>
      <c r="U264" s="213"/>
      <c r="V264" s="213"/>
      <c r="W264" s="213"/>
      <c r="X264" s="213"/>
      <c r="Y264" s="213"/>
      <c r="Z264" s="213"/>
      <c r="AA264" s="213"/>
      <c r="AB264" s="213"/>
      <c r="AC264" s="211"/>
    </row>
    <row r="265" spans="2:40" ht="12" hidden="1" customHeight="1" outlineLevel="2">
      <c r="B265" s="239"/>
      <c r="C265" s="212" t="s">
        <v>850</v>
      </c>
      <c r="D265" s="212"/>
      <c r="E265" s="196" t="s">
        <v>753</v>
      </c>
      <c r="F265" s="196" t="s">
        <v>754</v>
      </c>
      <c r="G265" s="196" t="s">
        <v>755</v>
      </c>
      <c r="H265" s="196" t="s">
        <v>756</v>
      </c>
      <c r="I265" s="196" t="s">
        <v>757</v>
      </c>
      <c r="J265" s="196" t="s">
        <v>758</v>
      </c>
      <c r="K265" s="196" t="s">
        <v>759</v>
      </c>
      <c r="L265" s="196" t="s">
        <v>760</v>
      </c>
      <c r="M265" s="196" t="s">
        <v>761</v>
      </c>
      <c r="N265" s="196" t="s">
        <v>762</v>
      </c>
      <c r="O265" s="196" t="s">
        <v>763</v>
      </c>
      <c r="P265" s="196" t="s">
        <v>764</v>
      </c>
      <c r="Q265" s="196" t="s">
        <v>765</v>
      </c>
      <c r="R265" s="196" t="s">
        <v>766</v>
      </c>
      <c r="S265" s="196" t="s">
        <v>767</v>
      </c>
      <c r="T265" s="196" t="s">
        <v>768</v>
      </c>
      <c r="U265" s="196" t="s">
        <v>769</v>
      </c>
      <c r="V265" s="196" t="s">
        <v>770</v>
      </c>
      <c r="W265" s="196" t="s">
        <v>771</v>
      </c>
      <c r="X265" s="196" t="s">
        <v>772</v>
      </c>
      <c r="Y265" s="196" t="s">
        <v>773</v>
      </c>
      <c r="Z265" s="196" t="s">
        <v>774</v>
      </c>
      <c r="AA265" s="196" t="s">
        <v>775</v>
      </c>
      <c r="AB265" s="196" t="s">
        <v>776</v>
      </c>
      <c r="AC265" s="196" t="s">
        <v>777</v>
      </c>
      <c r="AD265" s="196" t="s">
        <v>778</v>
      </c>
      <c r="AE265" s="196" t="s">
        <v>779</v>
      </c>
      <c r="AF265" s="196" t="s">
        <v>780</v>
      </c>
      <c r="AG265" s="196" t="s">
        <v>781</v>
      </c>
      <c r="AH265" s="196" t="s">
        <v>782</v>
      </c>
      <c r="AI265" s="196" t="s">
        <v>783</v>
      </c>
      <c r="AJ265" s="196" t="s">
        <v>784</v>
      </c>
      <c r="AK265" s="196" t="s">
        <v>785</v>
      </c>
      <c r="AL265" s="196" t="s">
        <v>786</v>
      </c>
      <c r="AM265" s="196" t="s">
        <v>787</v>
      </c>
      <c r="AN265" s="196" t="s">
        <v>788</v>
      </c>
    </row>
    <row r="266" spans="2:40" ht="12" hidden="1" customHeight="1" outlineLevel="2">
      <c r="B266" s="239"/>
      <c r="C266" s="247" t="s">
        <v>851</v>
      </c>
      <c r="D266" s="212"/>
      <c r="E266" s="193">
        <v>7.0000000000000007E-2</v>
      </c>
      <c r="F266" s="193">
        <v>7.0000000000000007E-2</v>
      </c>
      <c r="G266" s="193">
        <v>7.0000000000000007E-2</v>
      </c>
      <c r="H266" s="193">
        <v>0.06</v>
      </c>
      <c r="I266" s="193">
        <v>0.06</v>
      </c>
      <c r="J266" s="193">
        <v>0.06</v>
      </c>
      <c r="K266" s="193">
        <v>0.05</v>
      </c>
      <c r="L266" s="193">
        <v>0.05</v>
      </c>
      <c r="M266" s="193">
        <v>0.05</v>
      </c>
      <c r="N266" s="193">
        <v>0.04</v>
      </c>
      <c r="O266" s="193">
        <v>0.04</v>
      </c>
      <c r="P266" s="193">
        <v>0.04</v>
      </c>
      <c r="Q266" s="193">
        <v>0.03</v>
      </c>
      <c r="R266" s="193">
        <v>0.03</v>
      </c>
      <c r="S266" s="193">
        <v>0.03</v>
      </c>
      <c r="T266" s="193">
        <v>0.02</v>
      </c>
      <c r="U266" s="193">
        <v>0.02</v>
      </c>
      <c r="V266" s="193">
        <v>0.02</v>
      </c>
      <c r="W266" s="193">
        <v>0.01</v>
      </c>
      <c r="X266" s="193">
        <v>0.01</v>
      </c>
      <c r="Y266" s="193">
        <v>0.01</v>
      </c>
      <c r="Z266" s="193">
        <v>0.01</v>
      </c>
      <c r="AA266" s="193">
        <v>0.01</v>
      </c>
      <c r="AB266" s="193">
        <v>0.01</v>
      </c>
      <c r="AC266" s="193">
        <v>0.01</v>
      </c>
      <c r="AD266" s="193">
        <f t="shared" ref="AD266:AN266" si="175">AC266</f>
        <v>0.01</v>
      </c>
      <c r="AE266" s="193">
        <f t="shared" si="175"/>
        <v>0.01</v>
      </c>
      <c r="AF266" s="193">
        <f t="shared" si="175"/>
        <v>0.01</v>
      </c>
      <c r="AG266" s="193">
        <f t="shared" si="175"/>
        <v>0.01</v>
      </c>
      <c r="AH266" s="193">
        <f t="shared" si="175"/>
        <v>0.01</v>
      </c>
      <c r="AI266" s="193">
        <f t="shared" si="175"/>
        <v>0.01</v>
      </c>
      <c r="AJ266" s="193">
        <f t="shared" si="175"/>
        <v>0.01</v>
      </c>
      <c r="AK266" s="193">
        <f t="shared" si="175"/>
        <v>0.01</v>
      </c>
      <c r="AL266" s="193">
        <f t="shared" si="175"/>
        <v>0.01</v>
      </c>
      <c r="AM266" s="193">
        <f t="shared" si="175"/>
        <v>0.01</v>
      </c>
      <c r="AN266" s="193">
        <f t="shared" si="175"/>
        <v>0.01</v>
      </c>
    </row>
    <row r="267" spans="2:40" ht="12" hidden="1" customHeight="1" outlineLevel="2">
      <c r="B267" s="239"/>
      <c r="C267" s="212" t="s">
        <v>861</v>
      </c>
      <c r="D267" s="212"/>
      <c r="E267" s="211"/>
      <c r="F267" s="211"/>
      <c r="G267" s="211"/>
      <c r="H267" s="211"/>
      <c r="I267" s="211">
        <v>-1</v>
      </c>
      <c r="J267" s="211"/>
      <c r="K267" s="211"/>
      <c r="L267" s="211"/>
      <c r="M267" s="211"/>
      <c r="N267" s="211"/>
      <c r="O267" s="211"/>
      <c r="P267" s="211"/>
      <c r="Q267" s="211"/>
      <c r="R267" s="211"/>
      <c r="S267" s="211"/>
      <c r="T267" s="211"/>
      <c r="U267" s="211"/>
      <c r="V267" s="211"/>
      <c r="W267" s="211"/>
      <c r="X267" s="211"/>
      <c r="Y267" s="211"/>
      <c r="Z267" s="211"/>
      <c r="AA267" s="211"/>
      <c r="AB267" s="211"/>
      <c r="AC267" s="211"/>
      <c r="AD267" s="211"/>
      <c r="AE267" s="211"/>
      <c r="AF267" s="211"/>
      <c r="AG267" s="211"/>
      <c r="AH267" s="211"/>
      <c r="AI267" s="211"/>
      <c r="AJ267" s="211"/>
      <c r="AK267" s="211"/>
      <c r="AL267" s="211"/>
      <c r="AM267" s="211"/>
      <c r="AN267" s="211"/>
    </row>
    <row r="268" spans="2:40" ht="12" hidden="1" customHeight="1" outlineLevel="2">
      <c r="B268" s="245"/>
      <c r="C268" s="250" t="s">
        <v>753</v>
      </c>
      <c r="D268" s="250"/>
      <c r="E268" s="211">
        <f>INDEX($C$199:$AN$221,MATCH("New Customers 1MS",$C$199:$C$221,0),MATCH($C268,$C$199:$AN$199,0))</f>
        <v>0</v>
      </c>
      <c r="F268" s="211">
        <f t="shared" ref="F268:AN268" si="176">$E$268*(E266)</f>
        <v>0</v>
      </c>
      <c r="G268" s="211">
        <f t="shared" si="176"/>
        <v>0</v>
      </c>
      <c r="H268" s="211">
        <f t="shared" si="176"/>
        <v>0</v>
      </c>
      <c r="I268" s="211">
        <f t="shared" si="176"/>
        <v>0</v>
      </c>
      <c r="J268" s="211">
        <f t="shared" si="176"/>
        <v>0</v>
      </c>
      <c r="K268" s="211">
        <f t="shared" si="176"/>
        <v>0</v>
      </c>
      <c r="L268" s="211">
        <f t="shared" si="176"/>
        <v>0</v>
      </c>
      <c r="M268" s="211">
        <f t="shared" si="176"/>
        <v>0</v>
      </c>
      <c r="N268" s="211">
        <f t="shared" si="176"/>
        <v>0</v>
      </c>
      <c r="O268" s="211">
        <f t="shared" si="176"/>
        <v>0</v>
      </c>
      <c r="P268" s="211">
        <f t="shared" si="176"/>
        <v>0</v>
      </c>
      <c r="Q268" s="211">
        <f t="shared" si="176"/>
        <v>0</v>
      </c>
      <c r="R268" s="211">
        <f t="shared" si="176"/>
        <v>0</v>
      </c>
      <c r="S268" s="211">
        <f t="shared" si="176"/>
        <v>0</v>
      </c>
      <c r="T268" s="211">
        <f t="shared" si="176"/>
        <v>0</v>
      </c>
      <c r="U268" s="211">
        <f t="shared" si="176"/>
        <v>0</v>
      </c>
      <c r="V268" s="211">
        <f t="shared" si="176"/>
        <v>0</v>
      </c>
      <c r="W268" s="211">
        <f t="shared" si="176"/>
        <v>0</v>
      </c>
      <c r="X268" s="211">
        <f t="shared" si="176"/>
        <v>0</v>
      </c>
      <c r="Y268" s="211">
        <f t="shared" si="176"/>
        <v>0</v>
      </c>
      <c r="Z268" s="211">
        <f t="shared" si="176"/>
        <v>0</v>
      </c>
      <c r="AA268" s="211">
        <f t="shared" si="176"/>
        <v>0</v>
      </c>
      <c r="AB268" s="211">
        <f t="shared" si="176"/>
        <v>0</v>
      </c>
      <c r="AC268" s="211">
        <f t="shared" si="176"/>
        <v>0</v>
      </c>
      <c r="AD268" s="211">
        <f t="shared" si="176"/>
        <v>0</v>
      </c>
      <c r="AE268" s="211">
        <f t="shared" si="176"/>
        <v>0</v>
      </c>
      <c r="AF268" s="211">
        <f t="shared" si="176"/>
        <v>0</v>
      </c>
      <c r="AG268" s="211">
        <f t="shared" si="176"/>
        <v>0</v>
      </c>
      <c r="AH268" s="211">
        <f t="shared" si="176"/>
        <v>0</v>
      </c>
      <c r="AI268" s="211">
        <f t="shared" si="176"/>
        <v>0</v>
      </c>
      <c r="AJ268" s="211">
        <f t="shared" si="176"/>
        <v>0</v>
      </c>
      <c r="AK268" s="211">
        <f t="shared" si="176"/>
        <v>0</v>
      </c>
      <c r="AL268" s="211">
        <f t="shared" si="176"/>
        <v>0</v>
      </c>
      <c r="AM268" s="211">
        <f t="shared" si="176"/>
        <v>0</v>
      </c>
      <c r="AN268" s="211">
        <f t="shared" si="176"/>
        <v>0</v>
      </c>
    </row>
    <row r="269" spans="2:40" ht="12" hidden="1" customHeight="1" outlineLevel="2">
      <c r="B269" s="245"/>
      <c r="C269" s="250" t="s">
        <v>754</v>
      </c>
      <c r="D269" s="250"/>
      <c r="E269" s="213"/>
      <c r="F269" s="211">
        <f>INDEX($C$199:$AN$221,MATCH("New Customers 1MS",$C$199:$C$221,0),MATCH($C269,$C$199:$AN$199,0))</f>
        <v>0.99999999999999978</v>
      </c>
      <c r="G269" s="211">
        <f t="shared" ref="G269:AN269" si="177">$F$269*(E266)</f>
        <v>6.9999999999999993E-2</v>
      </c>
      <c r="H269" s="211">
        <f t="shared" si="177"/>
        <v>6.9999999999999993E-2</v>
      </c>
      <c r="I269" s="211">
        <f t="shared" si="177"/>
        <v>6.9999999999999993E-2</v>
      </c>
      <c r="J269" s="211">
        <f t="shared" si="177"/>
        <v>5.9999999999999984E-2</v>
      </c>
      <c r="K269" s="211">
        <f t="shared" si="177"/>
        <v>5.9999999999999984E-2</v>
      </c>
      <c r="L269" s="211">
        <f t="shared" si="177"/>
        <v>5.9999999999999984E-2</v>
      </c>
      <c r="M269" s="211">
        <f t="shared" si="177"/>
        <v>4.9999999999999989E-2</v>
      </c>
      <c r="N269" s="211">
        <f t="shared" si="177"/>
        <v>4.9999999999999989E-2</v>
      </c>
      <c r="O269" s="211">
        <f t="shared" si="177"/>
        <v>4.9999999999999989E-2</v>
      </c>
      <c r="P269" s="211">
        <f t="shared" si="177"/>
        <v>3.9999999999999994E-2</v>
      </c>
      <c r="Q269" s="211">
        <f t="shared" si="177"/>
        <v>3.9999999999999994E-2</v>
      </c>
      <c r="R269" s="211">
        <f t="shared" si="177"/>
        <v>3.9999999999999994E-2</v>
      </c>
      <c r="S269" s="211">
        <f t="shared" si="177"/>
        <v>2.9999999999999992E-2</v>
      </c>
      <c r="T269" s="211">
        <f t="shared" si="177"/>
        <v>2.9999999999999992E-2</v>
      </c>
      <c r="U269" s="211">
        <f t="shared" si="177"/>
        <v>2.9999999999999992E-2</v>
      </c>
      <c r="V269" s="211">
        <f t="shared" si="177"/>
        <v>1.9999999999999997E-2</v>
      </c>
      <c r="W269" s="211">
        <f t="shared" si="177"/>
        <v>1.9999999999999997E-2</v>
      </c>
      <c r="X269" s="211">
        <f t="shared" si="177"/>
        <v>1.9999999999999997E-2</v>
      </c>
      <c r="Y269" s="211">
        <f t="shared" si="177"/>
        <v>9.9999999999999985E-3</v>
      </c>
      <c r="Z269" s="211">
        <f t="shared" si="177"/>
        <v>9.9999999999999985E-3</v>
      </c>
      <c r="AA269" s="211">
        <f t="shared" si="177"/>
        <v>9.9999999999999985E-3</v>
      </c>
      <c r="AB269" s="211">
        <f t="shared" si="177"/>
        <v>9.9999999999999985E-3</v>
      </c>
      <c r="AC269" s="211">
        <f t="shared" si="177"/>
        <v>9.9999999999999985E-3</v>
      </c>
      <c r="AD269" s="211">
        <f t="shared" si="177"/>
        <v>9.9999999999999985E-3</v>
      </c>
      <c r="AE269" s="211">
        <f t="shared" si="177"/>
        <v>9.9999999999999985E-3</v>
      </c>
      <c r="AF269" s="211">
        <f t="shared" si="177"/>
        <v>9.9999999999999985E-3</v>
      </c>
      <c r="AG269" s="211">
        <f t="shared" si="177"/>
        <v>9.9999999999999985E-3</v>
      </c>
      <c r="AH269" s="211">
        <f t="shared" si="177"/>
        <v>9.9999999999999985E-3</v>
      </c>
      <c r="AI269" s="211">
        <f t="shared" si="177"/>
        <v>9.9999999999999985E-3</v>
      </c>
      <c r="AJ269" s="211">
        <f t="shared" si="177"/>
        <v>9.9999999999999985E-3</v>
      </c>
      <c r="AK269" s="211">
        <f t="shared" si="177"/>
        <v>9.9999999999999985E-3</v>
      </c>
      <c r="AL269" s="211">
        <f t="shared" si="177"/>
        <v>9.9999999999999985E-3</v>
      </c>
      <c r="AM269" s="211">
        <f t="shared" si="177"/>
        <v>9.9999999999999985E-3</v>
      </c>
      <c r="AN269" s="211">
        <f t="shared" si="177"/>
        <v>9.9999999999999985E-3</v>
      </c>
    </row>
    <row r="270" spans="2:40" ht="12" hidden="1" customHeight="1" outlineLevel="2">
      <c r="B270" s="245"/>
      <c r="C270" s="250" t="s">
        <v>755</v>
      </c>
      <c r="D270" s="250"/>
      <c r="E270" s="213"/>
      <c r="F270" s="213"/>
      <c r="G270" s="211">
        <f>INDEX($C$199:$AN$221,MATCH("New Customers 1MS",$C$199:$C$221,0),MATCH($C270,$C$199:$AN$199,0))</f>
        <v>0</v>
      </c>
      <c r="H270" s="211">
        <f t="shared" ref="H270:AN270" si="178">$G$270*(E266)</f>
        <v>0</v>
      </c>
      <c r="I270" s="211">
        <f t="shared" si="178"/>
        <v>0</v>
      </c>
      <c r="J270" s="211">
        <f t="shared" si="178"/>
        <v>0</v>
      </c>
      <c r="K270" s="211">
        <f t="shared" si="178"/>
        <v>0</v>
      </c>
      <c r="L270" s="211">
        <f t="shared" si="178"/>
        <v>0</v>
      </c>
      <c r="M270" s="211">
        <f t="shared" si="178"/>
        <v>0</v>
      </c>
      <c r="N270" s="211">
        <f t="shared" si="178"/>
        <v>0</v>
      </c>
      <c r="O270" s="211">
        <f t="shared" si="178"/>
        <v>0</v>
      </c>
      <c r="P270" s="211">
        <f t="shared" si="178"/>
        <v>0</v>
      </c>
      <c r="Q270" s="211">
        <f t="shared" si="178"/>
        <v>0</v>
      </c>
      <c r="R270" s="211">
        <f t="shared" si="178"/>
        <v>0</v>
      </c>
      <c r="S270" s="211">
        <f t="shared" si="178"/>
        <v>0</v>
      </c>
      <c r="T270" s="211">
        <f t="shared" si="178"/>
        <v>0</v>
      </c>
      <c r="U270" s="211">
        <f t="shared" si="178"/>
        <v>0</v>
      </c>
      <c r="V270" s="211">
        <f t="shared" si="178"/>
        <v>0</v>
      </c>
      <c r="W270" s="211">
        <f t="shared" si="178"/>
        <v>0</v>
      </c>
      <c r="X270" s="211">
        <f t="shared" si="178"/>
        <v>0</v>
      </c>
      <c r="Y270" s="211">
        <f t="shared" si="178"/>
        <v>0</v>
      </c>
      <c r="Z270" s="211">
        <f t="shared" si="178"/>
        <v>0</v>
      </c>
      <c r="AA270" s="211">
        <f t="shared" si="178"/>
        <v>0</v>
      </c>
      <c r="AB270" s="211">
        <f t="shared" si="178"/>
        <v>0</v>
      </c>
      <c r="AC270" s="211">
        <f t="shared" si="178"/>
        <v>0</v>
      </c>
      <c r="AD270" s="211">
        <f t="shared" si="178"/>
        <v>0</v>
      </c>
      <c r="AE270" s="211">
        <f t="shared" si="178"/>
        <v>0</v>
      </c>
      <c r="AF270" s="211">
        <f t="shared" si="178"/>
        <v>0</v>
      </c>
      <c r="AG270" s="211">
        <f t="shared" si="178"/>
        <v>0</v>
      </c>
      <c r="AH270" s="211">
        <f t="shared" si="178"/>
        <v>0</v>
      </c>
      <c r="AI270" s="211">
        <f t="shared" si="178"/>
        <v>0</v>
      </c>
      <c r="AJ270" s="211">
        <f t="shared" si="178"/>
        <v>0</v>
      </c>
      <c r="AK270" s="211">
        <f t="shared" si="178"/>
        <v>0</v>
      </c>
      <c r="AL270" s="211">
        <f t="shared" si="178"/>
        <v>0</v>
      </c>
      <c r="AM270" s="211">
        <f t="shared" si="178"/>
        <v>0</v>
      </c>
      <c r="AN270" s="211">
        <f t="shared" si="178"/>
        <v>0</v>
      </c>
    </row>
    <row r="271" spans="2:40" ht="12" hidden="1" customHeight="1" outlineLevel="2">
      <c r="B271" s="245"/>
      <c r="C271" s="250" t="s">
        <v>756</v>
      </c>
      <c r="D271" s="250"/>
      <c r="E271" s="213"/>
      <c r="F271" s="213"/>
      <c r="G271" s="213"/>
      <c r="H271" s="211">
        <f>INDEX($C$199:$AN$221,MATCH("New Customers 1MS",$C$199:$C$221,0),MATCH($C271,$C$199:$AN$199,0))</f>
        <v>5</v>
      </c>
      <c r="I271" s="211">
        <f t="shared" ref="I271:AN271" si="179">$H$271*(E266)</f>
        <v>0.35000000000000003</v>
      </c>
      <c r="J271" s="211">
        <f t="shared" si="179"/>
        <v>0.35000000000000003</v>
      </c>
      <c r="K271" s="211">
        <f t="shared" si="179"/>
        <v>0.35000000000000003</v>
      </c>
      <c r="L271" s="211">
        <f t="shared" si="179"/>
        <v>0.3</v>
      </c>
      <c r="M271" s="211">
        <f t="shared" si="179"/>
        <v>0.3</v>
      </c>
      <c r="N271" s="211">
        <f t="shared" si="179"/>
        <v>0.3</v>
      </c>
      <c r="O271" s="211">
        <f t="shared" si="179"/>
        <v>0.25</v>
      </c>
      <c r="P271" s="211">
        <f t="shared" si="179"/>
        <v>0.25</v>
      </c>
      <c r="Q271" s="211">
        <f t="shared" si="179"/>
        <v>0.25</v>
      </c>
      <c r="R271" s="211">
        <f t="shared" si="179"/>
        <v>0.2</v>
      </c>
      <c r="S271" s="211">
        <f t="shared" si="179"/>
        <v>0.2</v>
      </c>
      <c r="T271" s="211">
        <f t="shared" si="179"/>
        <v>0.2</v>
      </c>
      <c r="U271" s="211">
        <f t="shared" si="179"/>
        <v>0.15</v>
      </c>
      <c r="V271" s="211">
        <f t="shared" si="179"/>
        <v>0.15</v>
      </c>
      <c r="W271" s="211">
        <f t="shared" si="179"/>
        <v>0.15</v>
      </c>
      <c r="X271" s="211">
        <f t="shared" si="179"/>
        <v>0.1</v>
      </c>
      <c r="Y271" s="211">
        <f t="shared" si="179"/>
        <v>0.1</v>
      </c>
      <c r="Z271" s="211">
        <f t="shared" si="179"/>
        <v>0.1</v>
      </c>
      <c r="AA271" s="211">
        <f t="shared" si="179"/>
        <v>0.05</v>
      </c>
      <c r="AB271" s="211">
        <f t="shared" si="179"/>
        <v>0.05</v>
      </c>
      <c r="AC271" s="211">
        <f t="shared" si="179"/>
        <v>0.05</v>
      </c>
      <c r="AD271" s="211">
        <f t="shared" si="179"/>
        <v>0.05</v>
      </c>
      <c r="AE271" s="211">
        <f t="shared" si="179"/>
        <v>0.05</v>
      </c>
      <c r="AF271" s="211">
        <f t="shared" si="179"/>
        <v>0.05</v>
      </c>
      <c r="AG271" s="211">
        <f t="shared" si="179"/>
        <v>0.05</v>
      </c>
      <c r="AH271" s="211">
        <f t="shared" si="179"/>
        <v>0.05</v>
      </c>
      <c r="AI271" s="211">
        <f t="shared" si="179"/>
        <v>0.05</v>
      </c>
      <c r="AJ271" s="211">
        <f t="shared" si="179"/>
        <v>0.05</v>
      </c>
      <c r="AK271" s="211">
        <f t="shared" si="179"/>
        <v>0.05</v>
      </c>
      <c r="AL271" s="211">
        <f t="shared" si="179"/>
        <v>0.05</v>
      </c>
      <c r="AM271" s="211">
        <f t="shared" si="179"/>
        <v>0.05</v>
      </c>
      <c r="AN271" s="211">
        <f t="shared" si="179"/>
        <v>0.05</v>
      </c>
    </row>
    <row r="272" spans="2:40" ht="12" hidden="1" customHeight="1" outlineLevel="2">
      <c r="B272" s="245"/>
      <c r="C272" s="250" t="s">
        <v>757</v>
      </c>
      <c r="D272" s="250"/>
      <c r="E272" s="213"/>
      <c r="F272" s="213"/>
      <c r="G272" s="213"/>
      <c r="H272" s="213"/>
      <c r="I272" s="211">
        <f>INDEX($C$199:$AN$221,MATCH("New Customers 1MS",$C$199:$C$221,0),MATCH($C272,$C$199:$AN$199,0))</f>
        <v>2.0000000000000004</v>
      </c>
      <c r="J272" s="211">
        <f t="shared" ref="J272:AN272" si="180">$I$272*(E266)</f>
        <v>0.14000000000000004</v>
      </c>
      <c r="K272" s="211">
        <f t="shared" si="180"/>
        <v>0.14000000000000004</v>
      </c>
      <c r="L272" s="211">
        <f t="shared" si="180"/>
        <v>0.14000000000000004</v>
      </c>
      <c r="M272" s="211">
        <f t="shared" si="180"/>
        <v>0.12000000000000002</v>
      </c>
      <c r="N272" s="211">
        <f t="shared" si="180"/>
        <v>0.12000000000000002</v>
      </c>
      <c r="O272" s="211">
        <f t="shared" si="180"/>
        <v>0.12000000000000002</v>
      </c>
      <c r="P272" s="211">
        <f t="shared" si="180"/>
        <v>0.10000000000000003</v>
      </c>
      <c r="Q272" s="211">
        <f t="shared" si="180"/>
        <v>0.10000000000000003</v>
      </c>
      <c r="R272" s="211">
        <f t="shared" si="180"/>
        <v>0.10000000000000003</v>
      </c>
      <c r="S272" s="211">
        <f t="shared" si="180"/>
        <v>8.0000000000000016E-2</v>
      </c>
      <c r="T272" s="211">
        <f t="shared" si="180"/>
        <v>8.0000000000000016E-2</v>
      </c>
      <c r="U272" s="211">
        <f t="shared" si="180"/>
        <v>8.0000000000000016E-2</v>
      </c>
      <c r="V272" s="211">
        <f t="shared" si="180"/>
        <v>6.0000000000000012E-2</v>
      </c>
      <c r="W272" s="211">
        <f t="shared" si="180"/>
        <v>6.0000000000000012E-2</v>
      </c>
      <c r="X272" s="211">
        <f t="shared" si="180"/>
        <v>6.0000000000000012E-2</v>
      </c>
      <c r="Y272" s="211">
        <f t="shared" si="180"/>
        <v>4.0000000000000008E-2</v>
      </c>
      <c r="Z272" s="211">
        <f t="shared" si="180"/>
        <v>4.0000000000000008E-2</v>
      </c>
      <c r="AA272" s="211">
        <f t="shared" si="180"/>
        <v>4.0000000000000008E-2</v>
      </c>
      <c r="AB272" s="211">
        <f t="shared" si="180"/>
        <v>2.0000000000000004E-2</v>
      </c>
      <c r="AC272" s="211">
        <f t="shared" si="180"/>
        <v>2.0000000000000004E-2</v>
      </c>
      <c r="AD272" s="211">
        <f t="shared" si="180"/>
        <v>2.0000000000000004E-2</v>
      </c>
      <c r="AE272" s="211">
        <f t="shared" si="180"/>
        <v>2.0000000000000004E-2</v>
      </c>
      <c r="AF272" s="211">
        <f t="shared" si="180"/>
        <v>2.0000000000000004E-2</v>
      </c>
      <c r="AG272" s="211">
        <f t="shared" si="180"/>
        <v>2.0000000000000004E-2</v>
      </c>
      <c r="AH272" s="211">
        <f t="shared" si="180"/>
        <v>2.0000000000000004E-2</v>
      </c>
      <c r="AI272" s="211">
        <f t="shared" si="180"/>
        <v>2.0000000000000004E-2</v>
      </c>
      <c r="AJ272" s="211">
        <f t="shared" si="180"/>
        <v>2.0000000000000004E-2</v>
      </c>
      <c r="AK272" s="211">
        <f t="shared" si="180"/>
        <v>2.0000000000000004E-2</v>
      </c>
      <c r="AL272" s="211">
        <f t="shared" si="180"/>
        <v>2.0000000000000004E-2</v>
      </c>
      <c r="AM272" s="211">
        <f t="shared" si="180"/>
        <v>2.0000000000000004E-2</v>
      </c>
      <c r="AN272" s="211">
        <f t="shared" si="180"/>
        <v>2.0000000000000004E-2</v>
      </c>
    </row>
    <row r="273" spans="2:40" ht="12" hidden="1" customHeight="1" outlineLevel="2">
      <c r="B273" s="245"/>
      <c r="C273" s="250" t="s">
        <v>758</v>
      </c>
      <c r="D273" s="250"/>
      <c r="E273" s="213"/>
      <c r="F273" s="213"/>
      <c r="G273" s="213"/>
      <c r="H273" s="213"/>
      <c r="I273" s="213"/>
      <c r="J273" s="211">
        <f>INDEX($C$199:$AN$221,MATCH("New Customers 1MS",$C$199:$C$221,0),MATCH($C273,$C$199:$AN$199,0))</f>
        <v>2</v>
      </c>
      <c r="K273" s="211">
        <f t="shared" ref="K273:AN273" si="181">$J$273*(E266)</f>
        <v>0.14000000000000001</v>
      </c>
      <c r="L273" s="211">
        <f t="shared" si="181"/>
        <v>0.14000000000000001</v>
      </c>
      <c r="M273" s="211">
        <f t="shared" si="181"/>
        <v>0.14000000000000001</v>
      </c>
      <c r="N273" s="211">
        <f t="shared" si="181"/>
        <v>0.12</v>
      </c>
      <c r="O273" s="211">
        <f t="shared" si="181"/>
        <v>0.12</v>
      </c>
      <c r="P273" s="211">
        <f t="shared" si="181"/>
        <v>0.12</v>
      </c>
      <c r="Q273" s="211">
        <f t="shared" si="181"/>
        <v>0.1</v>
      </c>
      <c r="R273" s="211">
        <f t="shared" si="181"/>
        <v>0.1</v>
      </c>
      <c r="S273" s="211">
        <f t="shared" si="181"/>
        <v>0.1</v>
      </c>
      <c r="T273" s="211">
        <f t="shared" si="181"/>
        <v>0.08</v>
      </c>
      <c r="U273" s="211">
        <f t="shared" si="181"/>
        <v>0.08</v>
      </c>
      <c r="V273" s="211">
        <f t="shared" si="181"/>
        <v>0.08</v>
      </c>
      <c r="W273" s="211">
        <f t="shared" si="181"/>
        <v>0.06</v>
      </c>
      <c r="X273" s="211">
        <f t="shared" si="181"/>
        <v>0.06</v>
      </c>
      <c r="Y273" s="211">
        <f t="shared" si="181"/>
        <v>0.06</v>
      </c>
      <c r="Z273" s="211">
        <f t="shared" si="181"/>
        <v>0.04</v>
      </c>
      <c r="AA273" s="211">
        <f t="shared" si="181"/>
        <v>0.04</v>
      </c>
      <c r="AB273" s="211">
        <f t="shared" si="181"/>
        <v>0.04</v>
      </c>
      <c r="AC273" s="211">
        <f t="shared" si="181"/>
        <v>0.02</v>
      </c>
      <c r="AD273" s="211">
        <f t="shared" si="181"/>
        <v>0.02</v>
      </c>
      <c r="AE273" s="211">
        <f t="shared" si="181"/>
        <v>0.02</v>
      </c>
      <c r="AF273" s="211">
        <f t="shared" si="181"/>
        <v>0.02</v>
      </c>
      <c r="AG273" s="211">
        <f t="shared" si="181"/>
        <v>0.02</v>
      </c>
      <c r="AH273" s="211">
        <f t="shared" si="181"/>
        <v>0.02</v>
      </c>
      <c r="AI273" s="211">
        <f t="shared" si="181"/>
        <v>0.02</v>
      </c>
      <c r="AJ273" s="211">
        <f t="shared" si="181"/>
        <v>0.02</v>
      </c>
      <c r="AK273" s="211">
        <f t="shared" si="181"/>
        <v>0.02</v>
      </c>
      <c r="AL273" s="211">
        <f t="shared" si="181"/>
        <v>0.02</v>
      </c>
      <c r="AM273" s="211">
        <f t="shared" si="181"/>
        <v>0.02</v>
      </c>
      <c r="AN273" s="211">
        <f t="shared" si="181"/>
        <v>0.02</v>
      </c>
    </row>
    <row r="274" spans="2:40" ht="12" hidden="1" customHeight="1" outlineLevel="2">
      <c r="B274" s="245"/>
      <c r="C274" s="250" t="s">
        <v>759</v>
      </c>
      <c r="D274" s="250"/>
      <c r="E274" s="213"/>
      <c r="F274" s="213"/>
      <c r="G274" s="213"/>
      <c r="H274" s="213"/>
      <c r="I274" s="213"/>
      <c r="J274" s="213"/>
      <c r="K274" s="211">
        <f>INDEX($C$199:$AN$221,MATCH("New Customers 1MS",$C$199:$C$221,0),MATCH($C274,$C$199:$AN$199,0))</f>
        <v>0</v>
      </c>
      <c r="L274" s="211">
        <f t="shared" ref="L274:AN274" si="182">$K$274*(E266)</f>
        <v>0</v>
      </c>
      <c r="M274" s="211">
        <f t="shared" si="182"/>
        <v>0</v>
      </c>
      <c r="N274" s="211">
        <f t="shared" si="182"/>
        <v>0</v>
      </c>
      <c r="O274" s="211">
        <f t="shared" si="182"/>
        <v>0</v>
      </c>
      <c r="P274" s="211">
        <f t="shared" si="182"/>
        <v>0</v>
      </c>
      <c r="Q274" s="211">
        <f t="shared" si="182"/>
        <v>0</v>
      </c>
      <c r="R274" s="211">
        <f t="shared" si="182"/>
        <v>0</v>
      </c>
      <c r="S274" s="211">
        <f t="shared" si="182"/>
        <v>0</v>
      </c>
      <c r="T274" s="211">
        <f t="shared" si="182"/>
        <v>0</v>
      </c>
      <c r="U274" s="211">
        <f t="shared" si="182"/>
        <v>0</v>
      </c>
      <c r="V274" s="211">
        <f t="shared" si="182"/>
        <v>0</v>
      </c>
      <c r="W274" s="211">
        <f t="shared" si="182"/>
        <v>0</v>
      </c>
      <c r="X274" s="211">
        <f t="shared" si="182"/>
        <v>0</v>
      </c>
      <c r="Y274" s="211">
        <f t="shared" si="182"/>
        <v>0</v>
      </c>
      <c r="Z274" s="211">
        <f t="shared" si="182"/>
        <v>0</v>
      </c>
      <c r="AA274" s="211">
        <f t="shared" si="182"/>
        <v>0</v>
      </c>
      <c r="AB274" s="211">
        <f t="shared" si="182"/>
        <v>0</v>
      </c>
      <c r="AC274" s="211">
        <f t="shared" si="182"/>
        <v>0</v>
      </c>
      <c r="AD274" s="211">
        <f t="shared" si="182"/>
        <v>0</v>
      </c>
      <c r="AE274" s="211">
        <f t="shared" si="182"/>
        <v>0</v>
      </c>
      <c r="AF274" s="211">
        <f t="shared" si="182"/>
        <v>0</v>
      </c>
      <c r="AG274" s="211">
        <f t="shared" si="182"/>
        <v>0</v>
      </c>
      <c r="AH274" s="211">
        <f t="shared" si="182"/>
        <v>0</v>
      </c>
      <c r="AI274" s="211">
        <f t="shared" si="182"/>
        <v>0</v>
      </c>
      <c r="AJ274" s="211">
        <f t="shared" si="182"/>
        <v>0</v>
      </c>
      <c r="AK274" s="211">
        <f t="shared" si="182"/>
        <v>0</v>
      </c>
      <c r="AL274" s="211">
        <f t="shared" si="182"/>
        <v>0</v>
      </c>
      <c r="AM274" s="211">
        <f t="shared" si="182"/>
        <v>0</v>
      </c>
      <c r="AN274" s="211">
        <f t="shared" si="182"/>
        <v>0</v>
      </c>
    </row>
    <row r="275" spans="2:40" ht="12" hidden="1" customHeight="1" outlineLevel="2">
      <c r="B275" s="245"/>
      <c r="C275" s="250" t="s">
        <v>760</v>
      </c>
      <c r="D275" s="250"/>
      <c r="E275" s="213"/>
      <c r="F275" s="213"/>
      <c r="G275" s="251"/>
      <c r="H275" s="213"/>
      <c r="I275" s="213"/>
      <c r="J275" s="213"/>
      <c r="K275" s="213"/>
      <c r="L275" s="211">
        <f>INDEX($C$199:$AN$221,MATCH("New Customers 1MS",$C$199:$C$221,0),MATCH($C275,$C$199:$AN$199,0))</f>
        <v>0</v>
      </c>
      <c r="M275" s="211">
        <f t="shared" ref="M275:AN275" si="183">$L$275*(E266)</f>
        <v>0</v>
      </c>
      <c r="N275" s="211">
        <f t="shared" si="183"/>
        <v>0</v>
      </c>
      <c r="O275" s="211">
        <f t="shared" si="183"/>
        <v>0</v>
      </c>
      <c r="P275" s="211">
        <f t="shared" si="183"/>
        <v>0</v>
      </c>
      <c r="Q275" s="211">
        <f t="shared" si="183"/>
        <v>0</v>
      </c>
      <c r="R275" s="211">
        <f t="shared" si="183"/>
        <v>0</v>
      </c>
      <c r="S275" s="211">
        <f t="shared" si="183"/>
        <v>0</v>
      </c>
      <c r="T275" s="211">
        <f t="shared" si="183"/>
        <v>0</v>
      </c>
      <c r="U275" s="211">
        <f t="shared" si="183"/>
        <v>0</v>
      </c>
      <c r="V275" s="211">
        <f t="shared" si="183"/>
        <v>0</v>
      </c>
      <c r="W275" s="211">
        <f t="shared" si="183"/>
        <v>0</v>
      </c>
      <c r="X275" s="211">
        <f t="shared" si="183"/>
        <v>0</v>
      </c>
      <c r="Y275" s="211">
        <f t="shared" si="183"/>
        <v>0</v>
      </c>
      <c r="Z275" s="211">
        <f t="shared" si="183"/>
        <v>0</v>
      </c>
      <c r="AA275" s="211">
        <f t="shared" si="183"/>
        <v>0</v>
      </c>
      <c r="AB275" s="211">
        <f t="shared" si="183"/>
        <v>0</v>
      </c>
      <c r="AC275" s="211">
        <f t="shared" si="183"/>
        <v>0</v>
      </c>
      <c r="AD275" s="211">
        <f t="shared" si="183"/>
        <v>0</v>
      </c>
      <c r="AE275" s="211">
        <f t="shared" si="183"/>
        <v>0</v>
      </c>
      <c r="AF275" s="211">
        <f t="shared" si="183"/>
        <v>0</v>
      </c>
      <c r="AG275" s="211">
        <f t="shared" si="183"/>
        <v>0</v>
      </c>
      <c r="AH275" s="211">
        <f t="shared" si="183"/>
        <v>0</v>
      </c>
      <c r="AI275" s="211">
        <f t="shared" si="183"/>
        <v>0</v>
      </c>
      <c r="AJ275" s="211">
        <f t="shared" si="183"/>
        <v>0</v>
      </c>
      <c r="AK275" s="211">
        <f t="shared" si="183"/>
        <v>0</v>
      </c>
      <c r="AL275" s="211">
        <f t="shared" si="183"/>
        <v>0</v>
      </c>
      <c r="AM275" s="211">
        <f t="shared" si="183"/>
        <v>0</v>
      </c>
      <c r="AN275" s="211">
        <f t="shared" si="183"/>
        <v>0</v>
      </c>
    </row>
    <row r="276" spans="2:40" ht="12" hidden="1" customHeight="1" outlineLevel="2">
      <c r="B276" s="245"/>
      <c r="C276" s="250" t="s">
        <v>761</v>
      </c>
      <c r="D276" s="250"/>
      <c r="E276" s="213"/>
      <c r="F276" s="213"/>
      <c r="G276" s="213"/>
      <c r="H276" s="213"/>
      <c r="I276" s="213"/>
      <c r="J276" s="213"/>
      <c r="K276" s="213"/>
      <c r="L276" s="213"/>
      <c r="M276" s="211">
        <f>INDEX($C$199:$AN$221,MATCH("New Customers 1MS",$C$199:$C$221,0),MATCH($C276,$C$199:$AN$199,0))</f>
        <v>1.0453967111178861</v>
      </c>
      <c r="N276" s="211">
        <f t="shared" ref="N276:AN276" si="184">$M$276*(E266)</f>
        <v>7.3177769778252036E-2</v>
      </c>
      <c r="O276" s="211">
        <f t="shared" si="184"/>
        <v>7.3177769778252036E-2</v>
      </c>
      <c r="P276" s="211">
        <f t="shared" si="184"/>
        <v>7.3177769778252036E-2</v>
      </c>
      <c r="Q276" s="211">
        <f t="shared" si="184"/>
        <v>6.272380266707317E-2</v>
      </c>
      <c r="R276" s="211">
        <f t="shared" si="184"/>
        <v>6.272380266707317E-2</v>
      </c>
      <c r="S276" s="211">
        <f t="shared" si="184"/>
        <v>6.272380266707317E-2</v>
      </c>
      <c r="T276" s="211">
        <f t="shared" si="184"/>
        <v>5.226983555589431E-2</v>
      </c>
      <c r="U276" s="211">
        <f t="shared" si="184"/>
        <v>5.226983555589431E-2</v>
      </c>
      <c r="V276" s="211">
        <f t="shared" si="184"/>
        <v>5.226983555589431E-2</v>
      </c>
      <c r="W276" s="211">
        <f t="shared" si="184"/>
        <v>4.1815868444715444E-2</v>
      </c>
      <c r="X276" s="211">
        <f t="shared" si="184"/>
        <v>4.1815868444715444E-2</v>
      </c>
      <c r="Y276" s="211">
        <f t="shared" si="184"/>
        <v>4.1815868444715444E-2</v>
      </c>
      <c r="Z276" s="211">
        <f t="shared" si="184"/>
        <v>3.1361901333536585E-2</v>
      </c>
      <c r="AA276" s="211">
        <f t="shared" si="184"/>
        <v>3.1361901333536585E-2</v>
      </c>
      <c r="AB276" s="211">
        <f t="shared" si="184"/>
        <v>3.1361901333536585E-2</v>
      </c>
      <c r="AC276" s="211">
        <f t="shared" si="184"/>
        <v>2.0907934222357722E-2</v>
      </c>
      <c r="AD276" s="211">
        <f t="shared" si="184"/>
        <v>2.0907934222357722E-2</v>
      </c>
      <c r="AE276" s="211">
        <f t="shared" si="184"/>
        <v>2.0907934222357722E-2</v>
      </c>
      <c r="AF276" s="211">
        <f t="shared" si="184"/>
        <v>1.0453967111178861E-2</v>
      </c>
      <c r="AG276" s="211">
        <f t="shared" si="184"/>
        <v>1.0453967111178861E-2</v>
      </c>
      <c r="AH276" s="211">
        <f t="shared" si="184"/>
        <v>1.0453967111178861E-2</v>
      </c>
      <c r="AI276" s="211">
        <f t="shared" si="184"/>
        <v>1.0453967111178861E-2</v>
      </c>
      <c r="AJ276" s="211">
        <f t="shared" si="184"/>
        <v>1.0453967111178861E-2</v>
      </c>
      <c r="AK276" s="211">
        <f t="shared" si="184"/>
        <v>1.0453967111178861E-2</v>
      </c>
      <c r="AL276" s="211">
        <f t="shared" si="184"/>
        <v>1.0453967111178861E-2</v>
      </c>
      <c r="AM276" s="211">
        <f t="shared" si="184"/>
        <v>1.0453967111178861E-2</v>
      </c>
      <c r="AN276" s="211">
        <f t="shared" si="184"/>
        <v>1.0453967111178861E-2</v>
      </c>
    </row>
    <row r="277" spans="2:40" ht="12" hidden="1" customHeight="1" outlineLevel="2">
      <c r="B277" s="245"/>
      <c r="C277" s="250" t="s">
        <v>762</v>
      </c>
      <c r="D277" s="250"/>
      <c r="E277" s="213"/>
      <c r="F277" s="213"/>
      <c r="G277" s="213"/>
      <c r="H277" s="213"/>
      <c r="I277" s="213"/>
      <c r="J277" s="213"/>
      <c r="K277" s="213"/>
      <c r="L277" s="213"/>
      <c r="M277" s="213"/>
      <c r="N277" s="211">
        <f>INDEX($C$199:$AN$221,MATCH("New Customers 1MS",$C$199:$C$221,0),MATCH($C277,$C$199:$AN$199,0))</f>
        <v>14.590323951401061</v>
      </c>
      <c r="O277" s="211">
        <f t="shared" ref="O277:AN277" si="185">$N$277*(E266)</f>
        <v>1.0213226765980743</v>
      </c>
      <c r="P277" s="211">
        <f t="shared" si="185"/>
        <v>1.0213226765980743</v>
      </c>
      <c r="Q277" s="211">
        <f t="shared" si="185"/>
        <v>1.0213226765980743</v>
      </c>
      <c r="R277" s="211">
        <f t="shared" si="185"/>
        <v>0.87541943708406367</v>
      </c>
      <c r="S277" s="211">
        <f t="shared" si="185"/>
        <v>0.87541943708406367</v>
      </c>
      <c r="T277" s="211">
        <f t="shared" si="185"/>
        <v>0.87541943708406367</v>
      </c>
      <c r="U277" s="211">
        <f t="shared" si="185"/>
        <v>0.72951619757005304</v>
      </c>
      <c r="V277" s="211">
        <f t="shared" si="185"/>
        <v>0.72951619757005304</v>
      </c>
      <c r="W277" s="211">
        <f t="shared" si="185"/>
        <v>0.72951619757005304</v>
      </c>
      <c r="X277" s="211">
        <f t="shared" si="185"/>
        <v>0.58361295805604241</v>
      </c>
      <c r="Y277" s="211">
        <f t="shared" si="185"/>
        <v>0.58361295805604241</v>
      </c>
      <c r="Z277" s="211">
        <f t="shared" si="185"/>
        <v>0.58361295805604241</v>
      </c>
      <c r="AA277" s="211">
        <f t="shared" si="185"/>
        <v>0.43770971854203183</v>
      </c>
      <c r="AB277" s="211">
        <f t="shared" si="185"/>
        <v>0.43770971854203183</v>
      </c>
      <c r="AC277" s="211">
        <f t="shared" si="185"/>
        <v>0.43770971854203183</v>
      </c>
      <c r="AD277" s="211">
        <f t="shared" si="185"/>
        <v>0.2918064790280212</v>
      </c>
      <c r="AE277" s="211">
        <f t="shared" si="185"/>
        <v>0.2918064790280212</v>
      </c>
      <c r="AF277" s="211">
        <f t="shared" si="185"/>
        <v>0.2918064790280212</v>
      </c>
      <c r="AG277" s="211">
        <f t="shared" si="185"/>
        <v>0.1459032395140106</v>
      </c>
      <c r="AH277" s="211">
        <f t="shared" si="185"/>
        <v>0.1459032395140106</v>
      </c>
      <c r="AI277" s="211">
        <f t="shared" si="185"/>
        <v>0.1459032395140106</v>
      </c>
      <c r="AJ277" s="211">
        <f t="shared" si="185"/>
        <v>0.1459032395140106</v>
      </c>
      <c r="AK277" s="211">
        <f t="shared" si="185"/>
        <v>0.1459032395140106</v>
      </c>
      <c r="AL277" s="211">
        <f t="shared" si="185"/>
        <v>0.1459032395140106</v>
      </c>
      <c r="AM277" s="211">
        <f t="shared" si="185"/>
        <v>0.1459032395140106</v>
      </c>
      <c r="AN277" s="211">
        <f t="shared" si="185"/>
        <v>0.1459032395140106</v>
      </c>
    </row>
    <row r="278" spans="2:40" ht="12" hidden="1" customHeight="1" outlineLevel="2">
      <c r="B278" s="245"/>
      <c r="C278" s="250" t="s">
        <v>763</v>
      </c>
      <c r="D278" s="250"/>
      <c r="E278" s="213"/>
      <c r="F278" s="213"/>
      <c r="G278" s="213"/>
      <c r="H278" s="213"/>
      <c r="I278" s="213"/>
      <c r="J278" s="213"/>
      <c r="K278" s="213"/>
      <c r="L278" s="213"/>
      <c r="M278" s="213"/>
      <c r="N278" s="213"/>
      <c r="O278" s="211">
        <f>INDEX($C$199:$AN$221,MATCH("New Customers 1MS",$C$199:$C$221,0),MATCH($C278,$C$199:$AN$199,0))</f>
        <v>14.590323951401061</v>
      </c>
      <c r="P278" s="211">
        <f t="shared" ref="P278:AN278" si="186">$O$278*(E266)</f>
        <v>1.0213226765980743</v>
      </c>
      <c r="Q278" s="211">
        <f t="shared" si="186"/>
        <v>1.0213226765980743</v>
      </c>
      <c r="R278" s="211">
        <f t="shared" si="186"/>
        <v>1.0213226765980743</v>
      </c>
      <c r="S278" s="211">
        <f t="shared" si="186"/>
        <v>0.87541943708406367</v>
      </c>
      <c r="T278" s="211">
        <f t="shared" si="186"/>
        <v>0.87541943708406367</v>
      </c>
      <c r="U278" s="211">
        <f t="shared" si="186"/>
        <v>0.87541943708406367</v>
      </c>
      <c r="V278" s="211">
        <f t="shared" si="186"/>
        <v>0.72951619757005304</v>
      </c>
      <c r="W278" s="211">
        <f t="shared" si="186"/>
        <v>0.72951619757005304</v>
      </c>
      <c r="X278" s="211">
        <f t="shared" si="186"/>
        <v>0.72951619757005304</v>
      </c>
      <c r="Y278" s="211">
        <f t="shared" si="186"/>
        <v>0.58361295805604241</v>
      </c>
      <c r="Z278" s="211">
        <f t="shared" si="186"/>
        <v>0.58361295805604241</v>
      </c>
      <c r="AA278" s="211">
        <f t="shared" si="186"/>
        <v>0.58361295805604241</v>
      </c>
      <c r="AB278" s="211">
        <f t="shared" si="186"/>
        <v>0.43770971854203183</v>
      </c>
      <c r="AC278" s="211">
        <f t="shared" si="186"/>
        <v>0.43770971854203183</v>
      </c>
      <c r="AD278" s="211">
        <f t="shared" si="186"/>
        <v>0.43770971854203183</v>
      </c>
      <c r="AE278" s="211">
        <f t="shared" si="186"/>
        <v>0.2918064790280212</v>
      </c>
      <c r="AF278" s="211">
        <f t="shared" si="186"/>
        <v>0.2918064790280212</v>
      </c>
      <c r="AG278" s="211">
        <f t="shared" si="186"/>
        <v>0.2918064790280212</v>
      </c>
      <c r="AH278" s="211">
        <f t="shared" si="186"/>
        <v>0.1459032395140106</v>
      </c>
      <c r="AI278" s="211">
        <f t="shared" si="186"/>
        <v>0.1459032395140106</v>
      </c>
      <c r="AJ278" s="211">
        <f t="shared" si="186"/>
        <v>0.1459032395140106</v>
      </c>
      <c r="AK278" s="211">
        <f t="shared" si="186"/>
        <v>0.1459032395140106</v>
      </c>
      <c r="AL278" s="211">
        <f t="shared" si="186"/>
        <v>0.1459032395140106</v>
      </c>
      <c r="AM278" s="211">
        <f t="shared" si="186"/>
        <v>0.1459032395140106</v>
      </c>
      <c r="AN278" s="211">
        <f t="shared" si="186"/>
        <v>0.1459032395140106</v>
      </c>
    </row>
    <row r="279" spans="2:40" ht="12" hidden="1" customHeight="1" outlineLevel="2">
      <c r="B279" s="245"/>
      <c r="C279" s="250" t="s">
        <v>764</v>
      </c>
      <c r="D279" s="250"/>
      <c r="E279" s="213"/>
      <c r="F279" s="213"/>
      <c r="G279" s="213"/>
      <c r="H279" s="213"/>
      <c r="I279" s="213"/>
      <c r="J279" s="213"/>
      <c r="K279" s="213"/>
      <c r="L279" s="213"/>
      <c r="M279" s="213"/>
      <c r="N279" s="213"/>
      <c r="O279" s="213"/>
      <c r="P279" s="211">
        <f>INDEX($C$199:$AN$221,MATCH("New Customers 1MS",$C$199:$C$221,0),MATCH($C279,$C$199:$AN$199,0))</f>
        <v>7.2951619757005304</v>
      </c>
      <c r="Q279" s="211">
        <f t="shared" ref="Q279:AN279" si="187">$P$279*(E266)</f>
        <v>0.51066133829903715</v>
      </c>
      <c r="R279" s="211">
        <f t="shared" si="187"/>
        <v>0.51066133829903715</v>
      </c>
      <c r="S279" s="211">
        <f t="shared" si="187"/>
        <v>0.51066133829903715</v>
      </c>
      <c r="T279" s="211">
        <f t="shared" si="187"/>
        <v>0.43770971854203183</v>
      </c>
      <c r="U279" s="211">
        <f t="shared" si="187"/>
        <v>0.43770971854203183</v>
      </c>
      <c r="V279" s="211">
        <f t="shared" si="187"/>
        <v>0.43770971854203183</v>
      </c>
      <c r="W279" s="211">
        <f t="shared" si="187"/>
        <v>0.36475809878502652</v>
      </c>
      <c r="X279" s="211">
        <f t="shared" si="187"/>
        <v>0.36475809878502652</v>
      </c>
      <c r="Y279" s="211">
        <f t="shared" si="187"/>
        <v>0.36475809878502652</v>
      </c>
      <c r="Z279" s="211">
        <f t="shared" si="187"/>
        <v>0.2918064790280212</v>
      </c>
      <c r="AA279" s="211">
        <f t="shared" si="187"/>
        <v>0.2918064790280212</v>
      </c>
      <c r="AB279" s="211">
        <f t="shared" si="187"/>
        <v>0.2918064790280212</v>
      </c>
      <c r="AC279" s="211">
        <f t="shared" si="187"/>
        <v>0.21885485927101592</v>
      </c>
      <c r="AD279" s="211">
        <f t="shared" si="187"/>
        <v>0.21885485927101592</v>
      </c>
      <c r="AE279" s="211">
        <f t="shared" si="187"/>
        <v>0.21885485927101592</v>
      </c>
      <c r="AF279" s="211">
        <f t="shared" si="187"/>
        <v>0.1459032395140106</v>
      </c>
      <c r="AG279" s="211">
        <f t="shared" si="187"/>
        <v>0.1459032395140106</v>
      </c>
      <c r="AH279" s="211">
        <f t="shared" si="187"/>
        <v>0.1459032395140106</v>
      </c>
      <c r="AI279" s="211">
        <f t="shared" si="187"/>
        <v>7.2951619757005301E-2</v>
      </c>
      <c r="AJ279" s="211">
        <f t="shared" si="187"/>
        <v>7.2951619757005301E-2</v>
      </c>
      <c r="AK279" s="211">
        <f t="shared" si="187"/>
        <v>7.2951619757005301E-2</v>
      </c>
      <c r="AL279" s="211">
        <f t="shared" si="187"/>
        <v>7.2951619757005301E-2</v>
      </c>
      <c r="AM279" s="211">
        <f t="shared" si="187"/>
        <v>7.2951619757005301E-2</v>
      </c>
      <c r="AN279" s="211">
        <f t="shared" si="187"/>
        <v>7.2951619757005301E-2</v>
      </c>
    </row>
    <row r="280" spans="2:40" ht="12" hidden="1" customHeight="1" outlineLevel="2">
      <c r="B280" s="245"/>
      <c r="C280" s="250" t="s">
        <v>765</v>
      </c>
      <c r="D280" s="250"/>
      <c r="E280" s="213"/>
      <c r="F280" s="213"/>
      <c r="G280" s="213"/>
      <c r="H280" s="213"/>
      <c r="I280" s="213"/>
      <c r="J280" s="213"/>
      <c r="K280" s="213"/>
      <c r="L280" s="213"/>
      <c r="M280" s="213"/>
      <c r="N280" s="213"/>
      <c r="O280" s="213"/>
      <c r="P280" s="213"/>
      <c r="Q280" s="211">
        <f>INDEX($C$199:$AN$221,MATCH("New Customers 1MS",$C$199:$C$221,0),MATCH($C280,$C$199:$AN$199,0))</f>
        <v>0.82945991663715035</v>
      </c>
      <c r="R280" s="211">
        <f t="shared" ref="R280:AN280" si="188">$Q$280*(E266)</f>
        <v>5.8062194164600532E-2</v>
      </c>
      <c r="S280" s="211">
        <f t="shared" si="188"/>
        <v>5.8062194164600532E-2</v>
      </c>
      <c r="T280" s="211">
        <f t="shared" si="188"/>
        <v>5.8062194164600532E-2</v>
      </c>
      <c r="U280" s="211">
        <f t="shared" si="188"/>
        <v>4.9767594998229019E-2</v>
      </c>
      <c r="V280" s="211">
        <f t="shared" si="188"/>
        <v>4.9767594998229019E-2</v>
      </c>
      <c r="W280" s="211">
        <f t="shared" si="188"/>
        <v>4.9767594998229019E-2</v>
      </c>
      <c r="X280" s="211">
        <f t="shared" si="188"/>
        <v>4.1472995831857519E-2</v>
      </c>
      <c r="Y280" s="211">
        <f t="shared" si="188"/>
        <v>4.1472995831857519E-2</v>
      </c>
      <c r="Z280" s="211">
        <f t="shared" si="188"/>
        <v>4.1472995831857519E-2</v>
      </c>
      <c r="AA280" s="211">
        <f t="shared" si="188"/>
        <v>3.3178396665486012E-2</v>
      </c>
      <c r="AB280" s="211">
        <f t="shared" si="188"/>
        <v>3.3178396665486012E-2</v>
      </c>
      <c r="AC280" s="211">
        <f t="shared" si="188"/>
        <v>3.3178396665486012E-2</v>
      </c>
      <c r="AD280" s="211">
        <f t="shared" si="188"/>
        <v>2.4883797499114509E-2</v>
      </c>
      <c r="AE280" s="211">
        <f t="shared" si="188"/>
        <v>2.4883797499114509E-2</v>
      </c>
      <c r="AF280" s="211">
        <f t="shared" si="188"/>
        <v>2.4883797499114509E-2</v>
      </c>
      <c r="AG280" s="211">
        <f t="shared" si="188"/>
        <v>1.6589198332743006E-2</v>
      </c>
      <c r="AH280" s="211">
        <f t="shared" si="188"/>
        <v>1.6589198332743006E-2</v>
      </c>
      <c r="AI280" s="211">
        <f t="shared" si="188"/>
        <v>1.6589198332743006E-2</v>
      </c>
      <c r="AJ280" s="211">
        <f t="shared" si="188"/>
        <v>8.2945991663715031E-3</v>
      </c>
      <c r="AK280" s="211">
        <f t="shared" si="188"/>
        <v>8.2945991663715031E-3</v>
      </c>
      <c r="AL280" s="211">
        <f t="shared" si="188"/>
        <v>8.2945991663715031E-3</v>
      </c>
      <c r="AM280" s="211">
        <f t="shared" si="188"/>
        <v>8.2945991663715031E-3</v>
      </c>
      <c r="AN280" s="211">
        <f t="shared" si="188"/>
        <v>8.2945991663715031E-3</v>
      </c>
    </row>
    <row r="281" spans="2:40" ht="12" hidden="1" customHeight="1" outlineLevel="2">
      <c r="B281" s="245"/>
      <c r="C281" s="250" t="s">
        <v>766</v>
      </c>
      <c r="D281" s="250"/>
      <c r="E281" s="213"/>
      <c r="F281" s="213"/>
      <c r="G281" s="213"/>
      <c r="H281" s="213"/>
      <c r="I281" s="213"/>
      <c r="J281" s="213"/>
      <c r="K281" s="213"/>
      <c r="L281" s="213"/>
      <c r="M281" s="213"/>
      <c r="N281" s="213"/>
      <c r="O281" s="213"/>
      <c r="P281" s="213"/>
      <c r="Q281" s="213"/>
      <c r="R281" s="211">
        <f>INDEX($C$199:$AN$221,MATCH("New Customers 1MS",$C$199:$C$221,0),MATCH($C281,$C$199:$AN$199,0))</f>
        <v>1.0286178385737748</v>
      </c>
      <c r="S281" s="211">
        <f t="shared" ref="S281:AN281" si="189">$R$281*(E266)</f>
        <v>7.2003248700164238E-2</v>
      </c>
      <c r="T281" s="211">
        <f t="shared" si="189"/>
        <v>7.2003248700164238E-2</v>
      </c>
      <c r="U281" s="211">
        <f t="shared" si="189"/>
        <v>7.2003248700164238E-2</v>
      </c>
      <c r="V281" s="211">
        <f t="shared" si="189"/>
        <v>6.1717070314426484E-2</v>
      </c>
      <c r="W281" s="211">
        <f t="shared" si="189"/>
        <v>6.1717070314426484E-2</v>
      </c>
      <c r="X281" s="211">
        <f t="shared" si="189"/>
        <v>6.1717070314426484E-2</v>
      </c>
      <c r="Y281" s="211">
        <f t="shared" si="189"/>
        <v>5.1430891928688743E-2</v>
      </c>
      <c r="Z281" s="211">
        <f t="shared" si="189"/>
        <v>5.1430891928688743E-2</v>
      </c>
      <c r="AA281" s="211">
        <f t="shared" si="189"/>
        <v>5.1430891928688743E-2</v>
      </c>
      <c r="AB281" s="211">
        <f t="shared" si="189"/>
        <v>4.1144713542950989E-2</v>
      </c>
      <c r="AC281" s="211">
        <f t="shared" si="189"/>
        <v>4.1144713542950989E-2</v>
      </c>
      <c r="AD281" s="211">
        <f t="shared" si="189"/>
        <v>4.1144713542950989E-2</v>
      </c>
      <c r="AE281" s="211">
        <f t="shared" si="189"/>
        <v>3.0858535157213242E-2</v>
      </c>
      <c r="AF281" s="211">
        <f t="shared" si="189"/>
        <v>3.0858535157213242E-2</v>
      </c>
      <c r="AG281" s="211">
        <f t="shared" si="189"/>
        <v>3.0858535157213242E-2</v>
      </c>
      <c r="AH281" s="211">
        <f t="shared" si="189"/>
        <v>2.0572356771475495E-2</v>
      </c>
      <c r="AI281" s="211">
        <f t="shared" si="189"/>
        <v>2.0572356771475495E-2</v>
      </c>
      <c r="AJ281" s="211">
        <f t="shared" si="189"/>
        <v>2.0572356771475495E-2</v>
      </c>
      <c r="AK281" s="211">
        <f t="shared" si="189"/>
        <v>1.0286178385737747E-2</v>
      </c>
      <c r="AL281" s="211">
        <f t="shared" si="189"/>
        <v>1.0286178385737747E-2</v>
      </c>
      <c r="AM281" s="211">
        <f t="shared" si="189"/>
        <v>1.0286178385737747E-2</v>
      </c>
      <c r="AN281" s="211">
        <f t="shared" si="189"/>
        <v>1.0286178385737747E-2</v>
      </c>
    </row>
    <row r="282" spans="2:40" ht="12" hidden="1" customHeight="1" outlineLevel="2">
      <c r="B282" s="245"/>
      <c r="C282" s="250" t="s">
        <v>767</v>
      </c>
      <c r="D282" s="250"/>
      <c r="E282" s="213"/>
      <c r="F282" s="213"/>
      <c r="G282" s="213"/>
      <c r="H282" s="213"/>
      <c r="I282" s="213"/>
      <c r="J282" s="213"/>
      <c r="K282" s="213"/>
      <c r="L282" s="213"/>
      <c r="M282" s="213"/>
      <c r="N282" s="213"/>
      <c r="O282" s="213"/>
      <c r="P282" s="213"/>
      <c r="Q282" s="213"/>
      <c r="R282" s="213"/>
      <c r="S282" s="211">
        <f>INDEX($C$199:$AN$221,MATCH("New Customers 1MS",$C$199:$C$221,0),MATCH($C282,$C$199:$AN$199,0))</f>
        <v>1.0532390102417641</v>
      </c>
      <c r="T282" s="211">
        <f t="shared" ref="T282:AN282" si="190">$S$282*(E266)</f>
        <v>7.3726730716923497E-2</v>
      </c>
      <c r="U282" s="211">
        <f t="shared" si="190"/>
        <v>7.3726730716923497E-2</v>
      </c>
      <c r="V282" s="211">
        <f t="shared" si="190"/>
        <v>7.3726730716923497E-2</v>
      </c>
      <c r="W282" s="211">
        <f t="shared" si="190"/>
        <v>6.3194340614505851E-2</v>
      </c>
      <c r="X282" s="211">
        <f t="shared" si="190"/>
        <v>6.3194340614505851E-2</v>
      </c>
      <c r="Y282" s="211">
        <f t="shared" si="190"/>
        <v>6.3194340614505851E-2</v>
      </c>
      <c r="Z282" s="211">
        <f t="shared" si="190"/>
        <v>5.2661950512088211E-2</v>
      </c>
      <c r="AA282" s="211">
        <f t="shared" si="190"/>
        <v>5.2661950512088211E-2</v>
      </c>
      <c r="AB282" s="211">
        <f t="shared" si="190"/>
        <v>5.2661950512088211E-2</v>
      </c>
      <c r="AC282" s="211">
        <f t="shared" si="190"/>
        <v>4.2129560409670565E-2</v>
      </c>
      <c r="AD282" s="211">
        <f t="shared" si="190"/>
        <v>4.2129560409670565E-2</v>
      </c>
      <c r="AE282" s="211">
        <f t="shared" si="190"/>
        <v>4.2129560409670565E-2</v>
      </c>
      <c r="AF282" s="211">
        <f t="shared" si="190"/>
        <v>3.1597170307252925E-2</v>
      </c>
      <c r="AG282" s="211">
        <f t="shared" si="190"/>
        <v>3.1597170307252925E-2</v>
      </c>
      <c r="AH282" s="211">
        <f t="shared" si="190"/>
        <v>3.1597170307252925E-2</v>
      </c>
      <c r="AI282" s="211">
        <f t="shared" si="190"/>
        <v>2.1064780204835282E-2</v>
      </c>
      <c r="AJ282" s="211">
        <f t="shared" si="190"/>
        <v>2.1064780204835282E-2</v>
      </c>
      <c r="AK282" s="211">
        <f t="shared" si="190"/>
        <v>2.1064780204835282E-2</v>
      </c>
      <c r="AL282" s="211">
        <f t="shared" si="190"/>
        <v>1.0532390102417641E-2</v>
      </c>
      <c r="AM282" s="211">
        <f t="shared" si="190"/>
        <v>1.0532390102417641E-2</v>
      </c>
      <c r="AN282" s="211">
        <f t="shared" si="190"/>
        <v>1.0532390102417641E-2</v>
      </c>
    </row>
    <row r="283" spans="2:40" ht="12" hidden="1" customHeight="1" outlineLevel="2">
      <c r="B283" s="245"/>
      <c r="C283" s="250" t="s">
        <v>768</v>
      </c>
      <c r="D283" s="250"/>
      <c r="E283" s="213"/>
      <c r="F283" s="213"/>
      <c r="G283" s="213"/>
      <c r="H283" s="213"/>
      <c r="I283" s="213"/>
      <c r="J283" s="213"/>
      <c r="K283" s="213"/>
      <c r="L283" s="213"/>
      <c r="M283" s="213"/>
      <c r="N283" s="213"/>
      <c r="O283" s="213"/>
      <c r="P283" s="213"/>
      <c r="Q283" s="213"/>
      <c r="R283" s="213"/>
      <c r="S283" s="213"/>
      <c r="T283" s="211">
        <f>INDEX($C$199:$AN$221,MATCH("New Customers 1MS",$C$199:$C$221,0),MATCH($C283,$C$199:$AN$199,0))</f>
        <v>0.62220436490749842</v>
      </c>
      <c r="U283" s="211">
        <f t="shared" ref="U283:AN283" si="191">$T$283*(E266)</f>
        <v>4.3554305543524893E-2</v>
      </c>
      <c r="V283" s="211">
        <f t="shared" si="191"/>
        <v>4.3554305543524893E-2</v>
      </c>
      <c r="W283" s="211">
        <f t="shared" si="191"/>
        <v>4.3554305543524893E-2</v>
      </c>
      <c r="X283" s="211">
        <f t="shared" si="191"/>
        <v>3.7332261894449902E-2</v>
      </c>
      <c r="Y283" s="211">
        <f t="shared" si="191"/>
        <v>3.7332261894449902E-2</v>
      </c>
      <c r="Z283" s="211">
        <f t="shared" si="191"/>
        <v>3.7332261894449902E-2</v>
      </c>
      <c r="AA283" s="211">
        <f t="shared" si="191"/>
        <v>3.1110218245374924E-2</v>
      </c>
      <c r="AB283" s="211">
        <f t="shared" si="191"/>
        <v>3.1110218245374924E-2</v>
      </c>
      <c r="AC283" s="211">
        <f t="shared" si="191"/>
        <v>3.1110218245374924E-2</v>
      </c>
      <c r="AD283" s="211">
        <f t="shared" si="191"/>
        <v>2.4888174596299939E-2</v>
      </c>
      <c r="AE283" s="211">
        <f t="shared" si="191"/>
        <v>2.4888174596299939E-2</v>
      </c>
      <c r="AF283" s="211">
        <f t="shared" si="191"/>
        <v>2.4888174596299939E-2</v>
      </c>
      <c r="AG283" s="211">
        <f t="shared" si="191"/>
        <v>1.8666130947224951E-2</v>
      </c>
      <c r="AH283" s="211">
        <f t="shared" si="191"/>
        <v>1.8666130947224951E-2</v>
      </c>
      <c r="AI283" s="211">
        <f t="shared" si="191"/>
        <v>1.8666130947224951E-2</v>
      </c>
      <c r="AJ283" s="211">
        <f t="shared" si="191"/>
        <v>1.244408729814997E-2</v>
      </c>
      <c r="AK283" s="211">
        <f t="shared" si="191"/>
        <v>1.244408729814997E-2</v>
      </c>
      <c r="AL283" s="211">
        <f t="shared" si="191"/>
        <v>1.244408729814997E-2</v>
      </c>
      <c r="AM283" s="211">
        <f t="shared" si="191"/>
        <v>6.2220436490749848E-3</v>
      </c>
      <c r="AN283" s="211">
        <f t="shared" si="191"/>
        <v>6.2220436490749848E-3</v>
      </c>
    </row>
    <row r="284" spans="2:40" ht="12" hidden="1" customHeight="1" outlineLevel="2">
      <c r="B284" s="245"/>
      <c r="C284" s="250" t="s">
        <v>769</v>
      </c>
      <c r="D284" s="250"/>
      <c r="E284" s="213"/>
      <c r="F284" s="213"/>
      <c r="G284" s="213"/>
      <c r="H284" s="213"/>
      <c r="I284" s="213"/>
      <c r="J284" s="213"/>
      <c r="K284" s="213"/>
      <c r="L284" s="213"/>
      <c r="M284" s="213"/>
      <c r="N284" s="213"/>
      <c r="O284" s="213"/>
      <c r="P284" s="213"/>
      <c r="Q284" s="213"/>
      <c r="R284" s="213"/>
      <c r="S284" s="213"/>
      <c r="T284" s="213"/>
      <c r="U284" s="211">
        <f>INDEX($C$199:$AN$221,MATCH("New Customers 1MS",$C$199:$C$221,0),MATCH($C284,$C$199:$AN$199,0))</f>
        <v>0.57595303798155684</v>
      </c>
      <c r="V284" s="211">
        <f t="shared" ref="V284:AN284" si="192">$U$284*(E266)</f>
        <v>4.0316712658708981E-2</v>
      </c>
      <c r="W284" s="211">
        <f t="shared" si="192"/>
        <v>4.0316712658708981E-2</v>
      </c>
      <c r="X284" s="211">
        <f t="shared" si="192"/>
        <v>4.0316712658708981E-2</v>
      </c>
      <c r="Y284" s="211">
        <f t="shared" si="192"/>
        <v>3.4557182278893407E-2</v>
      </c>
      <c r="Z284" s="211">
        <f t="shared" si="192"/>
        <v>3.4557182278893407E-2</v>
      </c>
      <c r="AA284" s="211">
        <f t="shared" si="192"/>
        <v>3.4557182278893407E-2</v>
      </c>
      <c r="AB284" s="211">
        <f t="shared" si="192"/>
        <v>2.8797651899077844E-2</v>
      </c>
      <c r="AC284" s="211">
        <f t="shared" si="192"/>
        <v>2.8797651899077844E-2</v>
      </c>
      <c r="AD284" s="211">
        <f t="shared" si="192"/>
        <v>2.8797651899077844E-2</v>
      </c>
      <c r="AE284" s="211">
        <f t="shared" si="192"/>
        <v>2.3038121519262274E-2</v>
      </c>
      <c r="AF284" s="211">
        <f t="shared" si="192"/>
        <v>2.3038121519262274E-2</v>
      </c>
      <c r="AG284" s="211">
        <f t="shared" si="192"/>
        <v>2.3038121519262274E-2</v>
      </c>
      <c r="AH284" s="211">
        <f t="shared" si="192"/>
        <v>1.7278591139446704E-2</v>
      </c>
      <c r="AI284" s="211">
        <f t="shared" si="192"/>
        <v>1.7278591139446704E-2</v>
      </c>
      <c r="AJ284" s="211">
        <f t="shared" si="192"/>
        <v>1.7278591139446704E-2</v>
      </c>
      <c r="AK284" s="211">
        <f t="shared" si="192"/>
        <v>1.1519060759631137E-2</v>
      </c>
      <c r="AL284" s="211">
        <f t="shared" si="192"/>
        <v>1.1519060759631137E-2</v>
      </c>
      <c r="AM284" s="211">
        <f t="shared" si="192"/>
        <v>1.1519060759631137E-2</v>
      </c>
      <c r="AN284" s="211">
        <f t="shared" si="192"/>
        <v>5.7595303798155684E-3</v>
      </c>
    </row>
    <row r="285" spans="2:40" ht="12" hidden="1" customHeight="1" outlineLevel="2">
      <c r="B285" s="245"/>
      <c r="C285" s="250" t="s">
        <v>770</v>
      </c>
      <c r="D285" s="250"/>
      <c r="E285" s="213"/>
      <c r="F285" s="213"/>
      <c r="G285" s="213"/>
      <c r="H285" s="213"/>
      <c r="I285" s="213"/>
      <c r="J285" s="213"/>
      <c r="K285" s="213"/>
      <c r="L285" s="213"/>
      <c r="M285" s="213"/>
      <c r="N285" s="213"/>
      <c r="O285" s="213"/>
      <c r="P285" s="213"/>
      <c r="Q285" s="213"/>
      <c r="R285" s="213"/>
      <c r="S285" s="213"/>
      <c r="T285" s="213"/>
      <c r="U285" s="213"/>
      <c r="V285" s="211">
        <f>INDEX($C$199:$AN$221,MATCH("New Customers 1MS",$C$199:$C$221,0),MATCH($C285,$C$199:$AN$199,0))</f>
        <v>0.6806386123328596</v>
      </c>
      <c r="W285" s="211">
        <f t="shared" ref="W285:AN285" si="193">$V$285*(E266)</f>
        <v>4.7644702863300178E-2</v>
      </c>
      <c r="X285" s="211">
        <f t="shared" si="193"/>
        <v>4.7644702863300178E-2</v>
      </c>
      <c r="Y285" s="211">
        <f t="shared" si="193"/>
        <v>4.7644702863300178E-2</v>
      </c>
      <c r="Z285" s="211">
        <f t="shared" si="193"/>
        <v>4.0838316739971577E-2</v>
      </c>
      <c r="AA285" s="211">
        <f t="shared" si="193"/>
        <v>4.0838316739971577E-2</v>
      </c>
      <c r="AB285" s="211">
        <f t="shared" si="193"/>
        <v>4.0838316739971577E-2</v>
      </c>
      <c r="AC285" s="211">
        <f t="shared" si="193"/>
        <v>3.4031930616642982E-2</v>
      </c>
      <c r="AD285" s="211">
        <f t="shared" si="193"/>
        <v>3.4031930616642982E-2</v>
      </c>
      <c r="AE285" s="211">
        <f t="shared" si="193"/>
        <v>3.4031930616642982E-2</v>
      </c>
      <c r="AF285" s="211">
        <f t="shared" si="193"/>
        <v>2.7225544493314383E-2</v>
      </c>
      <c r="AG285" s="211">
        <f t="shared" si="193"/>
        <v>2.7225544493314383E-2</v>
      </c>
      <c r="AH285" s="211">
        <f t="shared" si="193"/>
        <v>2.7225544493314383E-2</v>
      </c>
      <c r="AI285" s="211">
        <f t="shared" si="193"/>
        <v>2.0419158369985788E-2</v>
      </c>
      <c r="AJ285" s="211">
        <f t="shared" si="193"/>
        <v>2.0419158369985788E-2</v>
      </c>
      <c r="AK285" s="211">
        <f t="shared" si="193"/>
        <v>2.0419158369985788E-2</v>
      </c>
      <c r="AL285" s="211">
        <f t="shared" si="193"/>
        <v>1.3612772246657192E-2</v>
      </c>
      <c r="AM285" s="211">
        <f t="shared" si="193"/>
        <v>1.3612772246657192E-2</v>
      </c>
      <c r="AN285" s="211">
        <f t="shared" si="193"/>
        <v>1.3612772246657192E-2</v>
      </c>
    </row>
    <row r="286" spans="2:40" ht="12" hidden="1" customHeight="1" outlineLevel="2">
      <c r="B286" s="245"/>
      <c r="C286" s="250" t="s">
        <v>771</v>
      </c>
      <c r="D286" s="250"/>
      <c r="E286" s="213"/>
      <c r="F286" s="213"/>
      <c r="G286" s="213"/>
      <c r="H286" s="213"/>
      <c r="I286" s="213"/>
      <c r="J286" s="213"/>
      <c r="K286" s="213"/>
      <c r="L286" s="213"/>
      <c r="M286" s="213"/>
      <c r="N286" s="213"/>
      <c r="O286" s="213"/>
      <c r="P286" s="213"/>
      <c r="Q286" s="213"/>
      <c r="R286" s="213"/>
      <c r="S286" s="213"/>
      <c r="T286" s="213"/>
      <c r="U286" s="213"/>
      <c r="V286" s="213"/>
      <c r="W286" s="211">
        <f>INDEX($C$199:$AN$221,MATCH("New Customers 1MS",$C$199:$C$221,0),MATCH($C286,$C$199:$AN$199,0))</f>
        <v>0.87979653426948412</v>
      </c>
      <c r="X286" s="211">
        <f t="shared" ref="X286:AN286" si="194">$W$286*(E266)</f>
        <v>6.1585757398863891E-2</v>
      </c>
      <c r="Y286" s="211">
        <f t="shared" si="194"/>
        <v>6.1585757398863891E-2</v>
      </c>
      <c r="Z286" s="211">
        <f t="shared" si="194"/>
        <v>6.1585757398863891E-2</v>
      </c>
      <c r="AA286" s="211">
        <f t="shared" si="194"/>
        <v>5.2787792056169049E-2</v>
      </c>
      <c r="AB286" s="211">
        <f t="shared" si="194"/>
        <v>5.2787792056169049E-2</v>
      </c>
      <c r="AC286" s="211">
        <f t="shared" si="194"/>
        <v>5.2787792056169049E-2</v>
      </c>
      <c r="AD286" s="211">
        <f t="shared" si="194"/>
        <v>4.3989826713474206E-2</v>
      </c>
      <c r="AE286" s="211">
        <f t="shared" si="194"/>
        <v>4.3989826713474206E-2</v>
      </c>
      <c r="AF286" s="211">
        <f t="shared" si="194"/>
        <v>4.3989826713474206E-2</v>
      </c>
      <c r="AG286" s="211">
        <f t="shared" si="194"/>
        <v>3.5191861370779363E-2</v>
      </c>
      <c r="AH286" s="211">
        <f t="shared" si="194"/>
        <v>3.5191861370779363E-2</v>
      </c>
      <c r="AI286" s="211">
        <f t="shared" si="194"/>
        <v>3.5191861370779363E-2</v>
      </c>
      <c r="AJ286" s="211">
        <f t="shared" si="194"/>
        <v>2.6393896028084524E-2</v>
      </c>
      <c r="AK286" s="211">
        <f t="shared" si="194"/>
        <v>2.6393896028084524E-2</v>
      </c>
      <c r="AL286" s="211">
        <f t="shared" si="194"/>
        <v>2.6393896028084524E-2</v>
      </c>
      <c r="AM286" s="211">
        <f t="shared" si="194"/>
        <v>1.7595930685389682E-2</v>
      </c>
      <c r="AN286" s="211">
        <f t="shared" si="194"/>
        <v>1.7595930685389682E-2</v>
      </c>
    </row>
    <row r="287" spans="2:40" ht="12" hidden="1" customHeight="1" outlineLevel="2">
      <c r="B287" s="245"/>
      <c r="C287" s="250" t="s">
        <v>772</v>
      </c>
      <c r="D287" s="250"/>
      <c r="E287" s="213"/>
      <c r="F287" s="213"/>
      <c r="G287" s="213"/>
      <c r="H287" s="213"/>
      <c r="I287" s="213"/>
      <c r="J287" s="213"/>
      <c r="K287" s="213"/>
      <c r="L287" s="213"/>
      <c r="M287" s="213"/>
      <c r="N287" s="213"/>
      <c r="O287" s="213"/>
      <c r="P287" s="213"/>
      <c r="Q287" s="213"/>
      <c r="R287" s="213"/>
      <c r="S287" s="213"/>
      <c r="T287" s="213"/>
      <c r="U287" s="213"/>
      <c r="V287" s="213"/>
      <c r="W287" s="213"/>
      <c r="X287" s="211">
        <f>INDEX($C$199:$AN$221,MATCH("New Customers 1MS",$C$199:$C$221,0),MATCH($C287,$C$199:$AN$199,0))</f>
        <v>0.52269835555894306</v>
      </c>
      <c r="Y287" s="211">
        <f t="shared" ref="Y287:AN287" si="195">$X$287*(E266)</f>
        <v>3.6588884889126018E-2</v>
      </c>
      <c r="Z287" s="211">
        <f t="shared" si="195"/>
        <v>3.6588884889126018E-2</v>
      </c>
      <c r="AA287" s="211">
        <f t="shared" si="195"/>
        <v>3.6588884889126018E-2</v>
      </c>
      <c r="AB287" s="211">
        <f t="shared" si="195"/>
        <v>3.1361901333536585E-2</v>
      </c>
      <c r="AC287" s="211">
        <f t="shared" si="195"/>
        <v>3.1361901333536585E-2</v>
      </c>
      <c r="AD287" s="211">
        <f t="shared" si="195"/>
        <v>3.1361901333536585E-2</v>
      </c>
      <c r="AE287" s="211">
        <f t="shared" si="195"/>
        <v>2.6134917777947155E-2</v>
      </c>
      <c r="AF287" s="211">
        <f t="shared" si="195"/>
        <v>2.6134917777947155E-2</v>
      </c>
      <c r="AG287" s="211">
        <f t="shared" si="195"/>
        <v>2.6134917777947155E-2</v>
      </c>
      <c r="AH287" s="211">
        <f t="shared" si="195"/>
        <v>2.0907934222357722E-2</v>
      </c>
      <c r="AI287" s="211">
        <f t="shared" si="195"/>
        <v>2.0907934222357722E-2</v>
      </c>
      <c r="AJ287" s="211">
        <f t="shared" si="195"/>
        <v>2.0907934222357722E-2</v>
      </c>
      <c r="AK287" s="211">
        <f t="shared" si="195"/>
        <v>1.5680950666768292E-2</v>
      </c>
      <c r="AL287" s="211">
        <f t="shared" si="195"/>
        <v>1.5680950666768292E-2</v>
      </c>
      <c r="AM287" s="211">
        <f t="shared" si="195"/>
        <v>1.5680950666768292E-2</v>
      </c>
      <c r="AN287" s="211">
        <f t="shared" si="195"/>
        <v>1.0453967111178861E-2</v>
      </c>
    </row>
    <row r="288" spans="2:40" ht="12" hidden="1" customHeight="1" outlineLevel="2">
      <c r="B288" s="245"/>
      <c r="C288" s="250" t="s">
        <v>773</v>
      </c>
      <c r="D288" s="250"/>
      <c r="E288" s="213"/>
      <c r="F288" s="213"/>
      <c r="G288" s="213"/>
      <c r="H288" s="213"/>
      <c r="I288" s="213"/>
      <c r="J288" s="213"/>
      <c r="K288" s="213"/>
      <c r="L288" s="213"/>
      <c r="M288" s="213"/>
      <c r="N288" s="213"/>
      <c r="O288" s="213"/>
      <c r="P288" s="213"/>
      <c r="Q288" s="213"/>
      <c r="R288" s="213"/>
      <c r="S288" s="213"/>
      <c r="T288" s="213"/>
      <c r="U288" s="213"/>
      <c r="V288" s="213"/>
      <c r="W288" s="213"/>
      <c r="X288" s="213"/>
      <c r="Y288" s="211">
        <f>INDEX($C$199:$AN$221,MATCH("New Customers 1MS",$C$199:$C$221,0),MATCH($C288,$C$199:$AN$199,0))</f>
        <v>2.0907934222357722</v>
      </c>
      <c r="Z288" s="211">
        <f t="shared" ref="Z288:AN288" si="196">$Y$288*(E266)</f>
        <v>0.14635553955650407</v>
      </c>
      <c r="AA288" s="211">
        <f t="shared" si="196"/>
        <v>0.14635553955650407</v>
      </c>
      <c r="AB288" s="211">
        <f t="shared" si="196"/>
        <v>0.14635553955650407</v>
      </c>
      <c r="AC288" s="211">
        <f t="shared" si="196"/>
        <v>0.12544760533414634</v>
      </c>
      <c r="AD288" s="211">
        <f t="shared" si="196"/>
        <v>0.12544760533414634</v>
      </c>
      <c r="AE288" s="211">
        <f t="shared" si="196"/>
        <v>0.12544760533414634</v>
      </c>
      <c r="AF288" s="211">
        <f t="shared" si="196"/>
        <v>0.10453967111178862</v>
      </c>
      <c r="AG288" s="211">
        <f t="shared" si="196"/>
        <v>0.10453967111178862</v>
      </c>
      <c r="AH288" s="211">
        <f t="shared" si="196"/>
        <v>0.10453967111178862</v>
      </c>
      <c r="AI288" s="211">
        <f t="shared" si="196"/>
        <v>8.3631736889430888E-2</v>
      </c>
      <c r="AJ288" s="211">
        <f t="shared" si="196"/>
        <v>8.3631736889430888E-2</v>
      </c>
      <c r="AK288" s="211">
        <f t="shared" si="196"/>
        <v>8.3631736889430888E-2</v>
      </c>
      <c r="AL288" s="211">
        <f t="shared" si="196"/>
        <v>6.272380266707317E-2</v>
      </c>
      <c r="AM288" s="211">
        <f t="shared" si="196"/>
        <v>6.272380266707317E-2</v>
      </c>
      <c r="AN288" s="211">
        <f t="shared" si="196"/>
        <v>6.272380266707317E-2</v>
      </c>
    </row>
    <row r="289" spans="2:40" ht="12" hidden="1" customHeight="1" outlineLevel="2">
      <c r="B289" s="245"/>
      <c r="C289" s="250" t="s">
        <v>774</v>
      </c>
      <c r="D289" s="250"/>
      <c r="E289" s="213"/>
      <c r="F289" s="213"/>
      <c r="G289" s="213"/>
      <c r="H289" s="213"/>
      <c r="I289" s="213"/>
      <c r="J289" s="213"/>
      <c r="K289" s="213"/>
      <c r="L289" s="213"/>
      <c r="M289" s="213"/>
      <c r="N289" s="213"/>
      <c r="O289" s="213"/>
      <c r="P289" s="213"/>
      <c r="Q289" s="213"/>
      <c r="R289" s="213"/>
      <c r="S289" s="213"/>
      <c r="T289" s="213"/>
      <c r="U289" s="213"/>
      <c r="V289" s="213"/>
      <c r="W289" s="213"/>
      <c r="X289" s="213"/>
      <c r="Y289" s="213"/>
      <c r="Z289" s="211">
        <f>INDEX($C$199:$AN$221,MATCH("New Customers 1MS",$C$199:$C$221,0),MATCH($C289,$C$199:$AN$199,0))</f>
        <v>3.6475809878502652</v>
      </c>
      <c r="AA289" s="211">
        <f t="shared" ref="AA289:AN289" si="197">$Z$289*(E266)</f>
        <v>0.25533066914951857</v>
      </c>
      <c r="AB289" s="211">
        <f t="shared" si="197"/>
        <v>0.25533066914951857</v>
      </c>
      <c r="AC289" s="211">
        <f t="shared" si="197"/>
        <v>0.25533066914951857</v>
      </c>
      <c r="AD289" s="211">
        <f t="shared" si="197"/>
        <v>0.21885485927101592</v>
      </c>
      <c r="AE289" s="211">
        <f t="shared" si="197"/>
        <v>0.21885485927101592</v>
      </c>
      <c r="AF289" s="211">
        <f t="shared" si="197"/>
        <v>0.21885485927101592</v>
      </c>
      <c r="AG289" s="211">
        <f t="shared" si="197"/>
        <v>0.18237904939251326</v>
      </c>
      <c r="AH289" s="211">
        <f t="shared" si="197"/>
        <v>0.18237904939251326</v>
      </c>
      <c r="AI289" s="211">
        <f t="shared" si="197"/>
        <v>0.18237904939251326</v>
      </c>
      <c r="AJ289" s="211">
        <f t="shared" si="197"/>
        <v>0.1459032395140106</v>
      </c>
      <c r="AK289" s="211">
        <f t="shared" si="197"/>
        <v>0.1459032395140106</v>
      </c>
      <c r="AL289" s="211">
        <f t="shared" si="197"/>
        <v>0.1459032395140106</v>
      </c>
      <c r="AM289" s="211">
        <f t="shared" si="197"/>
        <v>0.10942742963550796</v>
      </c>
      <c r="AN289" s="211">
        <f t="shared" si="197"/>
        <v>0.10942742963550796</v>
      </c>
    </row>
    <row r="290" spans="2:40" ht="12" hidden="1" customHeight="1" outlineLevel="2">
      <c r="B290" s="245"/>
      <c r="C290" s="250" t="s">
        <v>775</v>
      </c>
      <c r="D290" s="250"/>
      <c r="E290" s="213"/>
      <c r="F290" s="213"/>
      <c r="G290" s="213"/>
      <c r="H290" s="213"/>
      <c r="I290" s="213"/>
      <c r="J290" s="213"/>
      <c r="K290" s="213"/>
      <c r="L290" s="213"/>
      <c r="M290" s="213"/>
      <c r="N290" s="213"/>
      <c r="O290" s="213"/>
      <c r="P290" s="213"/>
      <c r="Q290" s="213"/>
      <c r="R290" s="213"/>
      <c r="S290" s="213"/>
      <c r="T290" s="213"/>
      <c r="U290" s="213"/>
      <c r="V290" s="213"/>
      <c r="W290" s="213"/>
      <c r="X290" s="213"/>
      <c r="Y290" s="213"/>
      <c r="Z290" s="213"/>
      <c r="AA290" s="211">
        <f>INDEX($C$199:$AN$221,MATCH("New Customers 1MS",$C$199:$C$221,0),MATCH($C290,$C$199:$AN$199,0))</f>
        <v>2.1885485927101591</v>
      </c>
      <c r="AB290" s="211">
        <f t="shared" ref="AB290:AN290" si="198">$AA$290*(E266)</f>
        <v>0.15319840148971114</v>
      </c>
      <c r="AC290" s="211">
        <f t="shared" si="198"/>
        <v>0.15319840148971114</v>
      </c>
      <c r="AD290" s="211">
        <f t="shared" si="198"/>
        <v>0.15319840148971114</v>
      </c>
      <c r="AE290" s="211">
        <f t="shared" si="198"/>
        <v>0.13131291556260954</v>
      </c>
      <c r="AF290" s="211">
        <f t="shared" si="198"/>
        <v>0.13131291556260954</v>
      </c>
      <c r="AG290" s="211">
        <f t="shared" si="198"/>
        <v>0.13131291556260954</v>
      </c>
      <c r="AH290" s="211">
        <f t="shared" si="198"/>
        <v>0.10942742963550796</v>
      </c>
      <c r="AI290" s="211">
        <f t="shared" si="198"/>
        <v>0.10942742963550796</v>
      </c>
      <c r="AJ290" s="211">
        <f t="shared" si="198"/>
        <v>0.10942742963550796</v>
      </c>
      <c r="AK290" s="211">
        <f t="shared" si="198"/>
        <v>8.7541943708406372E-2</v>
      </c>
      <c r="AL290" s="211">
        <f t="shared" si="198"/>
        <v>8.7541943708406372E-2</v>
      </c>
      <c r="AM290" s="211">
        <f t="shared" si="198"/>
        <v>8.7541943708406372E-2</v>
      </c>
      <c r="AN290" s="211">
        <f t="shared" si="198"/>
        <v>6.5656457781304772E-2</v>
      </c>
    </row>
    <row r="291" spans="2:40" ht="12" hidden="1" customHeight="1" outlineLevel="2">
      <c r="B291" s="245"/>
      <c r="C291" s="250" t="s">
        <v>776</v>
      </c>
      <c r="D291" s="250"/>
      <c r="E291" s="213"/>
      <c r="F291" s="213"/>
      <c r="G291" s="213"/>
      <c r="H291" s="213"/>
      <c r="I291" s="213"/>
      <c r="J291" s="213"/>
      <c r="K291" s="213"/>
      <c r="L291" s="213"/>
      <c r="M291" s="213"/>
      <c r="N291" s="213"/>
      <c r="O291" s="213"/>
      <c r="P291" s="213"/>
      <c r="Q291" s="213"/>
      <c r="R291" s="213"/>
      <c r="S291" s="213"/>
      <c r="T291" s="213"/>
      <c r="U291" s="213"/>
      <c r="V291" s="213"/>
      <c r="W291" s="213"/>
      <c r="X291" s="213"/>
      <c r="Y291" s="213"/>
      <c r="Z291" s="213"/>
      <c r="AA291" s="213"/>
      <c r="AB291" s="211">
        <f>INDEX($C$199:$AN$221,MATCH("New Customers 1MS",$C$199:$C$221,0),MATCH($C291,$C$199:$AN$199,0))</f>
        <v>1.4590323951401061</v>
      </c>
      <c r="AC291" s="211">
        <f t="shared" ref="AC291:AN291" si="199">$AB$291*(E266)</f>
        <v>0.10213226765980743</v>
      </c>
      <c r="AD291" s="211">
        <f t="shared" si="199"/>
        <v>0.10213226765980743</v>
      </c>
      <c r="AE291" s="211">
        <f t="shared" si="199"/>
        <v>0.10213226765980743</v>
      </c>
      <c r="AF291" s="211">
        <f t="shared" si="199"/>
        <v>8.7541943708406358E-2</v>
      </c>
      <c r="AG291" s="211">
        <f t="shared" si="199"/>
        <v>8.7541943708406358E-2</v>
      </c>
      <c r="AH291" s="211">
        <f t="shared" si="199"/>
        <v>8.7541943708406358E-2</v>
      </c>
      <c r="AI291" s="211">
        <f t="shared" si="199"/>
        <v>7.2951619757005301E-2</v>
      </c>
      <c r="AJ291" s="211">
        <f t="shared" si="199"/>
        <v>7.2951619757005301E-2</v>
      </c>
      <c r="AK291" s="211">
        <f t="shared" si="199"/>
        <v>7.2951619757005301E-2</v>
      </c>
      <c r="AL291" s="211">
        <f t="shared" si="199"/>
        <v>5.8361295805604244E-2</v>
      </c>
      <c r="AM291" s="211">
        <f t="shared" si="199"/>
        <v>5.8361295805604244E-2</v>
      </c>
      <c r="AN291" s="211">
        <f t="shared" si="199"/>
        <v>5.8361295805604244E-2</v>
      </c>
    </row>
    <row r="292" spans="2:40" ht="12" hidden="1" customHeight="1" outlineLevel="2">
      <c r="B292" s="245"/>
      <c r="C292" s="250" t="s">
        <v>777</v>
      </c>
      <c r="D292" s="250"/>
      <c r="E292" s="213"/>
      <c r="F292" s="213"/>
      <c r="G292" s="213"/>
      <c r="H292" s="213"/>
      <c r="I292" s="213"/>
      <c r="J292" s="213"/>
      <c r="K292" s="213"/>
      <c r="L292" s="213"/>
      <c r="M292" s="213"/>
      <c r="N292" s="213"/>
      <c r="O292" s="213"/>
      <c r="P292" s="213"/>
      <c r="Q292" s="213"/>
      <c r="R292" s="213"/>
      <c r="S292" s="213"/>
      <c r="T292" s="213"/>
      <c r="U292" s="213"/>
      <c r="V292" s="213"/>
      <c r="W292" s="213"/>
      <c r="X292" s="213"/>
      <c r="Y292" s="213"/>
      <c r="Z292" s="213"/>
      <c r="AA292" s="213"/>
      <c r="AB292" s="211"/>
      <c r="AC292" s="211">
        <f>INDEX($C$199:$AN$221,MATCH("New Customers 1MS",$C$199:$C$221,0),MATCH($C292,$C$199:$AN$199,0))</f>
        <v>2.9764260860858163</v>
      </c>
      <c r="AD292" s="211">
        <f t="shared" ref="AD292:AN292" si="200">$AC$292*(E266)</f>
        <v>0.20834982602600716</v>
      </c>
      <c r="AE292" s="211">
        <f t="shared" si="200"/>
        <v>0.20834982602600716</v>
      </c>
      <c r="AF292" s="211">
        <f t="shared" si="200"/>
        <v>0.20834982602600716</v>
      </c>
      <c r="AG292" s="211">
        <f t="shared" si="200"/>
        <v>0.17858556516514898</v>
      </c>
      <c r="AH292" s="211">
        <f t="shared" si="200"/>
        <v>0.17858556516514898</v>
      </c>
      <c r="AI292" s="211">
        <f t="shared" si="200"/>
        <v>0.17858556516514898</v>
      </c>
      <c r="AJ292" s="211">
        <f t="shared" si="200"/>
        <v>0.14882130430429083</v>
      </c>
      <c r="AK292" s="211">
        <f t="shared" si="200"/>
        <v>0.14882130430429083</v>
      </c>
      <c r="AL292" s="211">
        <f t="shared" si="200"/>
        <v>0.14882130430429083</v>
      </c>
      <c r="AM292" s="211">
        <f t="shared" si="200"/>
        <v>0.11905704344343265</v>
      </c>
      <c r="AN292" s="211">
        <f t="shared" si="200"/>
        <v>0.11905704344343265</v>
      </c>
    </row>
    <row r="293" spans="2:40" ht="12" hidden="1" customHeight="1" outlineLevel="2">
      <c r="B293" s="245"/>
      <c r="C293" s="250" t="s">
        <v>778</v>
      </c>
      <c r="D293" s="250"/>
      <c r="E293" s="213"/>
      <c r="F293" s="213"/>
      <c r="G293" s="213"/>
      <c r="H293" s="213"/>
      <c r="I293" s="213"/>
      <c r="J293" s="213"/>
      <c r="K293" s="213"/>
      <c r="L293" s="213"/>
      <c r="M293" s="213"/>
      <c r="N293" s="213"/>
      <c r="O293" s="213"/>
      <c r="P293" s="213"/>
      <c r="Q293" s="213"/>
      <c r="R293" s="213"/>
      <c r="S293" s="213"/>
      <c r="T293" s="213"/>
      <c r="U293" s="213"/>
      <c r="V293" s="213"/>
      <c r="W293" s="213"/>
      <c r="X293" s="213"/>
      <c r="Y293" s="213"/>
      <c r="Z293" s="213"/>
      <c r="AA293" s="213"/>
      <c r="AB293" s="211"/>
      <c r="AC293" s="211"/>
      <c r="AD293" s="211">
        <f>INDEX($C$199:$AN$221,MATCH("New Customers 1MS",$C$199:$C$221,0),MATCH($C293,$C$199:$AN$199,0))</f>
        <v>3.0359546078075335</v>
      </c>
      <c r="AE293" s="211">
        <f t="shared" ref="AE293:AN293" si="201">$AD$293*(E266)</f>
        <v>0.21251682254652737</v>
      </c>
      <c r="AF293" s="211">
        <f t="shared" si="201"/>
        <v>0.21251682254652737</v>
      </c>
      <c r="AG293" s="211">
        <f t="shared" si="201"/>
        <v>0.21251682254652737</v>
      </c>
      <c r="AH293" s="211">
        <f t="shared" si="201"/>
        <v>0.18215727646845201</v>
      </c>
      <c r="AI293" s="211">
        <f t="shared" si="201"/>
        <v>0.18215727646845201</v>
      </c>
      <c r="AJ293" s="211">
        <f t="shared" si="201"/>
        <v>0.18215727646845201</v>
      </c>
      <c r="AK293" s="211">
        <f t="shared" si="201"/>
        <v>0.1517977303903767</v>
      </c>
      <c r="AL293" s="211">
        <f t="shared" si="201"/>
        <v>0.1517977303903767</v>
      </c>
      <c r="AM293" s="211">
        <f t="shared" si="201"/>
        <v>0.1517977303903767</v>
      </c>
      <c r="AN293" s="211">
        <f t="shared" si="201"/>
        <v>0.12143818431230134</v>
      </c>
    </row>
    <row r="294" spans="2:40" ht="12" hidden="1" customHeight="1" outlineLevel="2">
      <c r="B294" s="245"/>
      <c r="C294" s="250" t="s">
        <v>779</v>
      </c>
      <c r="D294" s="250"/>
      <c r="E294" s="213"/>
      <c r="F294" s="213"/>
      <c r="G294" s="213"/>
      <c r="H294" s="213"/>
      <c r="I294" s="213"/>
      <c r="J294" s="213"/>
      <c r="K294" s="213"/>
      <c r="L294" s="213"/>
      <c r="M294" s="213"/>
      <c r="N294" s="213"/>
      <c r="O294" s="213"/>
      <c r="P294" s="213"/>
      <c r="Q294" s="213"/>
      <c r="R294" s="213"/>
      <c r="S294" s="213"/>
      <c r="T294" s="213"/>
      <c r="U294" s="213"/>
      <c r="V294" s="213"/>
      <c r="W294" s="213"/>
      <c r="X294" s="213"/>
      <c r="Y294" s="213"/>
      <c r="Z294" s="213"/>
      <c r="AA294" s="213"/>
      <c r="AB294" s="211"/>
      <c r="AC294" s="211"/>
      <c r="AD294" s="211"/>
      <c r="AE294" s="211">
        <f>INDEX($C$199:$AN$221,MATCH("New Customers 1MS",$C$199:$C$221,0),MATCH($C294,$C$199:$AN$199,0))</f>
        <v>3.0966736999636839</v>
      </c>
      <c r="AF294" s="211">
        <f t="shared" ref="AF294:AN294" si="202">$AE$294*(E266)</f>
        <v>0.21676715899745788</v>
      </c>
      <c r="AG294" s="211">
        <f t="shared" si="202"/>
        <v>0.21676715899745788</v>
      </c>
      <c r="AH294" s="211">
        <f t="shared" si="202"/>
        <v>0.21676715899745788</v>
      </c>
      <c r="AI294" s="211">
        <f t="shared" si="202"/>
        <v>0.18580042199782104</v>
      </c>
      <c r="AJ294" s="211">
        <f t="shared" si="202"/>
        <v>0.18580042199782104</v>
      </c>
      <c r="AK294" s="211">
        <f t="shared" si="202"/>
        <v>0.18580042199782104</v>
      </c>
      <c r="AL294" s="211">
        <f t="shared" si="202"/>
        <v>0.1548336849981842</v>
      </c>
      <c r="AM294" s="211">
        <f t="shared" si="202"/>
        <v>0.1548336849981842</v>
      </c>
      <c r="AN294" s="211">
        <f t="shared" si="202"/>
        <v>0.1548336849981842</v>
      </c>
    </row>
    <row r="295" spans="2:40" ht="12" hidden="1" customHeight="1" outlineLevel="2">
      <c r="B295" s="245"/>
      <c r="C295" s="250" t="s">
        <v>780</v>
      </c>
      <c r="D295" s="250"/>
      <c r="E295" s="213"/>
      <c r="F295" s="213"/>
      <c r="G295" s="213"/>
      <c r="H295" s="213"/>
      <c r="I295" s="213"/>
      <c r="J295" s="213"/>
      <c r="K295" s="213"/>
      <c r="L295" s="213"/>
      <c r="M295" s="213"/>
      <c r="N295" s="213"/>
      <c r="O295" s="213"/>
      <c r="P295" s="213"/>
      <c r="Q295" s="213"/>
      <c r="R295" s="213"/>
      <c r="S295" s="213"/>
      <c r="T295" s="213"/>
      <c r="U295" s="213"/>
      <c r="V295" s="213"/>
      <c r="W295" s="213"/>
      <c r="X295" s="213"/>
      <c r="Y295" s="213"/>
      <c r="Z295" s="213"/>
      <c r="AA295" s="213"/>
      <c r="AB295" s="211"/>
      <c r="AC295" s="211"/>
      <c r="AD295" s="211"/>
      <c r="AE295" s="211"/>
      <c r="AF295" s="211">
        <f>INDEX($C$199:$AN$221,MATCH("New Customers 1MS",$C$199:$C$221,0),MATCH($C295,$C$199:$AN$199,0))</f>
        <v>3.1586071739629578</v>
      </c>
      <c r="AG295" s="211">
        <f t="shared" ref="AG295:AN295" si="203">$AF$295*(E266)</f>
        <v>0.22110250217740707</v>
      </c>
      <c r="AH295" s="211">
        <f t="shared" si="203"/>
        <v>0.22110250217740707</v>
      </c>
      <c r="AI295" s="211">
        <f t="shared" si="203"/>
        <v>0.22110250217740707</v>
      </c>
      <c r="AJ295" s="211">
        <f t="shared" si="203"/>
        <v>0.18951643043777747</v>
      </c>
      <c r="AK295" s="211">
        <f t="shared" si="203"/>
        <v>0.18951643043777747</v>
      </c>
      <c r="AL295" s="211">
        <f t="shared" si="203"/>
        <v>0.18951643043777747</v>
      </c>
      <c r="AM295" s="211">
        <f t="shared" si="203"/>
        <v>0.15793035869814789</v>
      </c>
      <c r="AN295" s="211">
        <f t="shared" si="203"/>
        <v>0.15793035869814789</v>
      </c>
    </row>
    <row r="296" spans="2:40" ht="12" hidden="1" customHeight="1" outlineLevel="2">
      <c r="B296" s="245"/>
      <c r="C296" s="250" t="s">
        <v>781</v>
      </c>
      <c r="D296" s="250"/>
      <c r="E296" s="213"/>
      <c r="F296" s="213"/>
      <c r="G296" s="213"/>
      <c r="H296" s="213"/>
      <c r="I296" s="213"/>
      <c r="J296" s="213"/>
      <c r="K296" s="213"/>
      <c r="L296" s="213"/>
      <c r="M296" s="213"/>
      <c r="N296" s="213"/>
      <c r="O296" s="213"/>
      <c r="P296" s="213"/>
      <c r="Q296" s="213"/>
      <c r="R296" s="213"/>
      <c r="S296" s="213"/>
      <c r="T296" s="213"/>
      <c r="U296" s="213"/>
      <c r="V296" s="213"/>
      <c r="W296" s="213"/>
      <c r="X296" s="213"/>
      <c r="Y296" s="213"/>
      <c r="Z296" s="213"/>
      <c r="AA296" s="213"/>
      <c r="AB296" s="211"/>
      <c r="AC296" s="211"/>
      <c r="AD296" s="211"/>
      <c r="AE296" s="211"/>
      <c r="AF296" s="211"/>
      <c r="AG296" s="211">
        <f>INDEX($C$199:$AN$221,MATCH("New Customers 1MS",$C$199:$C$221,0),MATCH($C296,$C$199:$AN$199,0))</f>
        <v>3.2217793174422162</v>
      </c>
      <c r="AH296" s="211">
        <f t="shared" ref="AH296:AN296" si="204">$AG$296*(E266)</f>
        <v>0.22552455222095516</v>
      </c>
      <c r="AI296" s="211">
        <f t="shared" si="204"/>
        <v>0.22552455222095516</v>
      </c>
      <c r="AJ296" s="211">
        <f t="shared" si="204"/>
        <v>0.22552455222095516</v>
      </c>
      <c r="AK296" s="211">
        <f t="shared" si="204"/>
        <v>0.19330675904653297</v>
      </c>
      <c r="AL296" s="211">
        <f t="shared" si="204"/>
        <v>0.19330675904653297</v>
      </c>
      <c r="AM296" s="211">
        <f t="shared" si="204"/>
        <v>0.19330675904653297</v>
      </c>
      <c r="AN296" s="211">
        <f t="shared" si="204"/>
        <v>0.16108896587211083</v>
      </c>
    </row>
    <row r="297" spans="2:40" ht="12" hidden="1" customHeight="1" outlineLevel="2">
      <c r="B297" s="245"/>
      <c r="C297" s="250" t="s">
        <v>782</v>
      </c>
      <c r="D297" s="250"/>
      <c r="E297" s="213"/>
      <c r="F297" s="213"/>
      <c r="G297" s="213"/>
      <c r="H297" s="213"/>
      <c r="I297" s="213"/>
      <c r="J297" s="213"/>
      <c r="K297" s="213"/>
      <c r="L297" s="213"/>
      <c r="M297" s="213"/>
      <c r="N297" s="213"/>
      <c r="O297" s="213"/>
      <c r="P297" s="213"/>
      <c r="Q297" s="213"/>
      <c r="R297" s="213"/>
      <c r="S297" s="213"/>
      <c r="T297" s="213"/>
      <c r="U297" s="213"/>
      <c r="V297" s="213"/>
      <c r="W297" s="213"/>
      <c r="X297" s="213"/>
      <c r="Y297" s="213"/>
      <c r="Z297" s="213"/>
      <c r="AA297" s="213"/>
      <c r="AB297" s="211"/>
      <c r="AC297" s="211"/>
      <c r="AD297" s="211"/>
      <c r="AE297" s="211"/>
      <c r="AF297" s="211"/>
      <c r="AG297" s="211"/>
      <c r="AH297" s="211">
        <f>INDEX($C$199:$AN$221,MATCH("New Customers 1MS",$C$199:$C$221,0),MATCH($C297,$C$199:$AN$199,0))</f>
        <v>3.28621490379106</v>
      </c>
      <c r="AI297" s="211">
        <f t="shared" ref="AI297:AN297" si="205">$AH$297*(E266)</f>
        <v>0.23003504326537422</v>
      </c>
      <c r="AJ297" s="211">
        <f t="shared" si="205"/>
        <v>0.23003504326537422</v>
      </c>
      <c r="AK297" s="211">
        <f t="shared" si="205"/>
        <v>0.23003504326537422</v>
      </c>
      <c r="AL297" s="211">
        <f t="shared" si="205"/>
        <v>0.19717289422746359</v>
      </c>
      <c r="AM297" s="211">
        <f t="shared" si="205"/>
        <v>0.19717289422746359</v>
      </c>
      <c r="AN297" s="211">
        <f t="shared" si="205"/>
        <v>0.19717289422746359</v>
      </c>
    </row>
    <row r="298" spans="2:40" ht="12" hidden="1" customHeight="1" outlineLevel="2">
      <c r="B298" s="245"/>
      <c r="C298" s="250" t="s">
        <v>783</v>
      </c>
      <c r="D298" s="250"/>
      <c r="E298" s="213"/>
      <c r="F298" s="213"/>
      <c r="G298" s="213"/>
      <c r="H298" s="213"/>
      <c r="I298" s="213"/>
      <c r="J298" s="213"/>
      <c r="K298" s="213"/>
      <c r="L298" s="213"/>
      <c r="M298" s="213"/>
      <c r="N298" s="213"/>
      <c r="O298" s="213"/>
      <c r="P298" s="213"/>
      <c r="Q298" s="213"/>
      <c r="R298" s="213"/>
      <c r="S298" s="213"/>
      <c r="T298" s="213"/>
      <c r="U298" s="213"/>
      <c r="V298" s="213"/>
      <c r="W298" s="213"/>
      <c r="X298" s="213"/>
      <c r="Y298" s="213"/>
      <c r="Z298" s="213"/>
      <c r="AA298" s="213"/>
      <c r="AB298" s="211"/>
      <c r="AC298" s="211"/>
      <c r="AD298" s="211"/>
      <c r="AE298" s="211"/>
      <c r="AF298" s="211"/>
      <c r="AG298" s="211"/>
      <c r="AH298" s="211"/>
      <c r="AI298" s="211">
        <f>INDEX($C$199:$AN$221,MATCH("New Customers 1MS",$C$199:$C$221,0),MATCH($C298,$C$199:$AN$199,0))</f>
        <v>3.3519392018668817</v>
      </c>
      <c r="AJ298" s="211">
        <f>$AI$298*(E266)</f>
        <v>0.23463574413068175</v>
      </c>
      <c r="AK298" s="211">
        <f>$AI$298*(F266)</f>
        <v>0.23463574413068175</v>
      </c>
      <c r="AL298" s="211">
        <f>$AI$298*(G266)</f>
        <v>0.23463574413068175</v>
      </c>
      <c r="AM298" s="211">
        <f>$AI$298*(H266)</f>
        <v>0.2011163521120129</v>
      </c>
      <c r="AN298" s="211">
        <f>$AI$298*(I266)</f>
        <v>0.2011163521120129</v>
      </c>
    </row>
    <row r="299" spans="2:40" ht="12" hidden="1" customHeight="1" outlineLevel="2">
      <c r="B299" s="245"/>
      <c r="C299" s="250" t="s">
        <v>784</v>
      </c>
      <c r="D299" s="250"/>
      <c r="E299" s="213"/>
      <c r="F299" s="213"/>
      <c r="G299" s="213"/>
      <c r="H299" s="213"/>
      <c r="I299" s="213"/>
      <c r="J299" s="213"/>
      <c r="K299" s="213"/>
      <c r="L299" s="213"/>
      <c r="M299" s="213"/>
      <c r="N299" s="213"/>
      <c r="O299" s="213"/>
      <c r="P299" s="213"/>
      <c r="Q299" s="213"/>
      <c r="R299" s="213"/>
      <c r="S299" s="213"/>
      <c r="T299" s="213"/>
      <c r="U299" s="213"/>
      <c r="V299" s="213"/>
      <c r="W299" s="213"/>
      <c r="X299" s="213"/>
      <c r="Y299" s="213"/>
      <c r="Z299" s="213"/>
      <c r="AA299" s="213"/>
      <c r="AB299" s="211"/>
      <c r="AC299" s="211"/>
      <c r="AD299" s="211"/>
      <c r="AE299" s="211"/>
      <c r="AF299" s="211"/>
      <c r="AG299" s="211"/>
      <c r="AH299" s="211"/>
      <c r="AI299" s="211"/>
      <c r="AJ299" s="211">
        <f>INDEX($C$199:$AN$221,MATCH("New Customers 1MS",$C$199:$C$221,0),MATCH($C299,$C$199:$AN$199,0))</f>
        <v>3.41897798590422</v>
      </c>
      <c r="AK299" s="211">
        <f>$AJ$299*(E266)</f>
        <v>0.23932845901329541</v>
      </c>
      <c r="AL299" s="211">
        <f>$AJ$299*(F266)</f>
        <v>0.23932845901329541</v>
      </c>
      <c r="AM299" s="211">
        <f>$AJ$299*(G266)</f>
        <v>0.23932845901329541</v>
      </c>
      <c r="AN299" s="211">
        <f>$AJ$299*(H266)</f>
        <v>0.20513867915425318</v>
      </c>
    </row>
    <row r="300" spans="2:40" ht="12" hidden="1" customHeight="1" outlineLevel="2">
      <c r="B300" s="245"/>
      <c r="C300" s="250" t="s">
        <v>785</v>
      </c>
      <c r="D300" s="250"/>
      <c r="E300" s="213"/>
      <c r="F300" s="213"/>
      <c r="G300" s="213"/>
      <c r="H300" s="213"/>
      <c r="I300" s="213"/>
      <c r="J300" s="213"/>
      <c r="K300" s="213"/>
      <c r="L300" s="213"/>
      <c r="M300" s="213"/>
      <c r="N300" s="213"/>
      <c r="O300" s="213"/>
      <c r="P300" s="213"/>
      <c r="Q300" s="213"/>
      <c r="R300" s="213"/>
      <c r="S300" s="213"/>
      <c r="T300" s="213"/>
      <c r="U300" s="213"/>
      <c r="V300" s="213"/>
      <c r="W300" s="213"/>
      <c r="X300" s="213"/>
      <c r="Y300" s="213"/>
      <c r="Z300" s="213"/>
      <c r="AA300" s="213"/>
      <c r="AB300" s="211"/>
      <c r="AC300" s="211"/>
      <c r="AD300" s="211"/>
      <c r="AE300" s="211"/>
      <c r="AF300" s="211"/>
      <c r="AG300" s="211"/>
      <c r="AH300" s="211"/>
      <c r="AI300" s="211"/>
      <c r="AJ300" s="211"/>
      <c r="AK300" s="211">
        <f>INDEX($C$199:$AN$221,MATCH("New Customers 1MS",$C$199:$C$221,0),MATCH($C300,$C$199:$AN$199,0))</f>
        <v>3.487357545622304</v>
      </c>
      <c r="AL300" s="211">
        <f>$AK$300*(E266)</f>
        <v>0.24411502819356132</v>
      </c>
      <c r="AM300" s="211">
        <f>$AK$300*(F266)</f>
        <v>0.24411502819356132</v>
      </c>
      <c r="AN300" s="211">
        <f>$AK$300*(G266)</f>
        <v>0.24411502819356132</v>
      </c>
    </row>
    <row r="301" spans="2:40" ht="12" hidden="1" customHeight="1" outlineLevel="2">
      <c r="B301" s="245"/>
      <c r="C301" s="250" t="s">
        <v>786</v>
      </c>
      <c r="D301" s="250"/>
      <c r="E301" s="213"/>
      <c r="F301" s="213"/>
      <c r="G301" s="213"/>
      <c r="H301" s="213"/>
      <c r="I301" s="213"/>
      <c r="J301" s="213"/>
      <c r="K301" s="213"/>
      <c r="L301" s="213"/>
      <c r="M301" s="213"/>
      <c r="N301" s="213"/>
      <c r="O301" s="213"/>
      <c r="P301" s="213"/>
      <c r="Q301" s="213"/>
      <c r="R301" s="213"/>
      <c r="S301" s="213"/>
      <c r="T301" s="213"/>
      <c r="U301" s="213"/>
      <c r="V301" s="213"/>
      <c r="W301" s="213"/>
      <c r="X301" s="213"/>
      <c r="Y301" s="213"/>
      <c r="Z301" s="213"/>
      <c r="AA301" s="213"/>
      <c r="AB301" s="211"/>
      <c r="AC301" s="211"/>
      <c r="AD301" s="211"/>
      <c r="AE301" s="211"/>
      <c r="AF301" s="211"/>
      <c r="AG301" s="211"/>
      <c r="AH301" s="211"/>
      <c r="AI301" s="211"/>
      <c r="AJ301" s="211"/>
      <c r="AK301" s="211"/>
      <c r="AL301" s="211">
        <f>INDEX($C$199:$AN$221,MATCH("New Customers 1MS",$C$199:$C$221,0),MATCH($C301,$C$199:$AN$199,0))</f>
        <v>3.557104696534751</v>
      </c>
      <c r="AM301" s="211">
        <f>$AL$301*(E266)</f>
        <v>0.24899732875743261</v>
      </c>
      <c r="AN301" s="211">
        <f>$AL$301*(F266)</f>
        <v>0.24899732875743261</v>
      </c>
    </row>
    <row r="302" spans="2:40" ht="12" hidden="1" customHeight="1" outlineLevel="2">
      <c r="B302" s="245"/>
      <c r="C302" s="250" t="s">
        <v>787</v>
      </c>
      <c r="D302" s="250"/>
      <c r="E302" s="213"/>
      <c r="F302" s="213"/>
      <c r="G302" s="213"/>
      <c r="H302" s="213"/>
      <c r="I302" s="213"/>
      <c r="J302" s="213"/>
      <c r="K302" s="213"/>
      <c r="L302" s="213"/>
      <c r="M302" s="213"/>
      <c r="N302" s="213"/>
      <c r="O302" s="213"/>
      <c r="P302" s="213"/>
      <c r="Q302" s="213"/>
      <c r="R302" s="213"/>
      <c r="S302" s="213"/>
      <c r="T302" s="213"/>
      <c r="U302" s="213"/>
      <c r="V302" s="213"/>
      <c r="W302" s="213"/>
      <c r="X302" s="213"/>
      <c r="Y302" s="213"/>
      <c r="Z302" s="213"/>
      <c r="AA302" s="213"/>
      <c r="AB302" s="211"/>
      <c r="AC302" s="211"/>
      <c r="AD302" s="211"/>
      <c r="AE302" s="211"/>
      <c r="AF302" s="211"/>
      <c r="AG302" s="211"/>
      <c r="AH302" s="211"/>
      <c r="AI302" s="211"/>
      <c r="AJ302" s="211"/>
      <c r="AK302" s="211"/>
      <c r="AL302" s="211"/>
      <c r="AM302" s="211">
        <f>INDEX($C$199:$AN$221,MATCH("New Customers 1MS",$C$199:$C$221,0),MATCH($C302,$C$199:$AN$199,0))</f>
        <v>3.6282467904654458</v>
      </c>
      <c r="AN302" s="211">
        <f>$AM$302*(E266)</f>
        <v>0.25397727533258124</v>
      </c>
    </row>
    <row r="303" spans="2:40" ht="12" hidden="1" customHeight="1" outlineLevel="2">
      <c r="B303" s="245"/>
      <c r="C303" s="250" t="s">
        <v>788</v>
      </c>
      <c r="D303" s="250"/>
      <c r="E303" s="213"/>
      <c r="F303" s="213"/>
      <c r="G303" s="213"/>
      <c r="H303" s="213"/>
      <c r="I303" s="213"/>
      <c r="J303" s="213"/>
      <c r="K303" s="213"/>
      <c r="L303" s="213"/>
      <c r="M303" s="213"/>
      <c r="N303" s="213"/>
      <c r="O303" s="213"/>
      <c r="P303" s="213"/>
      <c r="Q303" s="213"/>
      <c r="R303" s="213"/>
      <c r="S303" s="213"/>
      <c r="T303" s="213"/>
      <c r="U303" s="213"/>
      <c r="V303" s="213"/>
      <c r="W303" s="213"/>
      <c r="X303" s="213"/>
      <c r="Y303" s="213"/>
      <c r="Z303" s="213"/>
      <c r="AA303" s="213"/>
      <c r="AB303" s="211"/>
      <c r="AC303" s="211"/>
      <c r="AD303" s="211"/>
      <c r="AE303" s="211"/>
      <c r="AF303" s="211"/>
      <c r="AG303" s="211"/>
      <c r="AH303" s="211"/>
      <c r="AI303" s="211"/>
      <c r="AJ303" s="211"/>
      <c r="AK303" s="211"/>
      <c r="AL303" s="211"/>
      <c r="AM303" s="211"/>
      <c r="AN303" s="211">
        <f>INDEX($C$199:$AN$221,MATCH("New Customers 1MS",$C$199:$C$221,0),MATCH($C303,$C$199:$AN$199,0))</f>
        <v>3.7008117262747549</v>
      </c>
    </row>
    <row r="304" spans="2:40" ht="12" hidden="1" customHeight="1" outlineLevel="2">
      <c r="B304" s="245"/>
      <c r="C304" s="250"/>
      <c r="D304" s="250"/>
      <c r="E304" s="213"/>
      <c r="F304" s="213"/>
      <c r="G304" s="213"/>
      <c r="H304" s="213"/>
      <c r="I304" s="213"/>
      <c r="J304" s="213"/>
      <c r="K304" s="213"/>
      <c r="L304" s="213"/>
      <c r="M304" s="213"/>
      <c r="N304" s="213"/>
      <c r="O304" s="213"/>
      <c r="P304" s="213"/>
      <c r="Q304" s="213"/>
      <c r="R304" s="213"/>
      <c r="S304" s="213"/>
      <c r="T304" s="213"/>
      <c r="U304" s="213"/>
      <c r="V304" s="213"/>
      <c r="W304" s="213"/>
      <c r="X304" s="213"/>
      <c r="Y304" s="213"/>
      <c r="Z304" s="213"/>
      <c r="AA304" s="213"/>
      <c r="AB304" s="211"/>
      <c r="AC304" s="211"/>
      <c r="AD304" s="211"/>
      <c r="AE304" s="211"/>
      <c r="AF304" s="211"/>
      <c r="AG304" s="211"/>
      <c r="AH304" s="211"/>
      <c r="AI304" s="211"/>
      <c r="AJ304" s="211"/>
      <c r="AK304" s="211"/>
      <c r="AL304" s="211"/>
      <c r="AM304" s="211"/>
      <c r="AN304" s="211"/>
    </row>
    <row r="305" spans="2:40 16380:16380" ht="12" hidden="1" customHeight="1" outlineLevel="2">
      <c r="B305" s="245"/>
      <c r="C305" s="249" t="s">
        <v>854</v>
      </c>
      <c r="D305" s="250"/>
      <c r="E305" s="213"/>
      <c r="F305" s="213"/>
      <c r="G305" s="213"/>
      <c r="H305" s="213"/>
      <c r="I305" s="213"/>
      <c r="J305" s="213"/>
      <c r="K305" s="213"/>
      <c r="L305" s="213"/>
      <c r="M305" s="213"/>
      <c r="N305" s="213"/>
      <c r="O305" s="213"/>
      <c r="P305" s="213"/>
      <c r="Q305" s="213"/>
      <c r="R305" s="213"/>
      <c r="S305" s="213"/>
      <c r="T305" s="213"/>
      <c r="U305" s="213"/>
      <c r="V305" s="213"/>
      <c r="W305" s="213"/>
      <c r="X305" s="213"/>
      <c r="Y305" s="213"/>
      <c r="Z305" s="213"/>
      <c r="AA305" s="213"/>
      <c r="AB305" s="213"/>
      <c r="AC305" s="211"/>
    </row>
    <row r="306" spans="2:40 16380:16380" ht="12" hidden="1" customHeight="1" outlineLevel="3">
      <c r="B306" s="239"/>
      <c r="C306" s="212" t="s">
        <v>850</v>
      </c>
      <c r="D306" s="212"/>
      <c r="E306" s="196" t="s">
        <v>753</v>
      </c>
      <c r="F306" s="196" t="s">
        <v>754</v>
      </c>
      <c r="G306" s="196" t="s">
        <v>755</v>
      </c>
      <c r="H306" s="196" t="s">
        <v>756</v>
      </c>
      <c r="I306" s="196" t="s">
        <v>757</v>
      </c>
      <c r="J306" s="196" t="s">
        <v>758</v>
      </c>
      <c r="K306" s="196" t="s">
        <v>759</v>
      </c>
      <c r="L306" s="196" t="s">
        <v>760</v>
      </c>
      <c r="M306" s="196" t="s">
        <v>761</v>
      </c>
      <c r="N306" s="196" t="s">
        <v>762</v>
      </c>
      <c r="O306" s="196" t="s">
        <v>763</v>
      </c>
      <c r="P306" s="196" t="s">
        <v>764</v>
      </c>
      <c r="Q306" s="196" t="s">
        <v>765</v>
      </c>
      <c r="R306" s="196" t="s">
        <v>766</v>
      </c>
      <c r="S306" s="196" t="s">
        <v>767</v>
      </c>
      <c r="T306" s="196" t="s">
        <v>768</v>
      </c>
      <c r="U306" s="196" t="s">
        <v>769</v>
      </c>
      <c r="V306" s="196" t="s">
        <v>770</v>
      </c>
      <c r="W306" s="196" t="s">
        <v>771</v>
      </c>
      <c r="X306" s="196" t="s">
        <v>772</v>
      </c>
      <c r="Y306" s="196" t="s">
        <v>773</v>
      </c>
      <c r="Z306" s="196" t="s">
        <v>774</v>
      </c>
      <c r="AA306" s="196" t="s">
        <v>775</v>
      </c>
      <c r="AB306" s="196" t="s">
        <v>776</v>
      </c>
      <c r="AC306" s="196" t="s">
        <v>777</v>
      </c>
      <c r="AD306" s="196" t="s">
        <v>778</v>
      </c>
      <c r="AE306" s="196" t="s">
        <v>779</v>
      </c>
      <c r="AF306" s="196" t="s">
        <v>780</v>
      </c>
      <c r="AG306" s="196" t="s">
        <v>781</v>
      </c>
      <c r="AH306" s="196" t="s">
        <v>782</v>
      </c>
      <c r="AI306" s="196" t="s">
        <v>783</v>
      </c>
      <c r="AJ306" s="196" t="s">
        <v>784</v>
      </c>
      <c r="AK306" s="196" t="s">
        <v>785</v>
      </c>
      <c r="AL306" s="196" t="s">
        <v>786</v>
      </c>
      <c r="AM306" s="196" t="s">
        <v>787</v>
      </c>
      <c r="AN306" s="196" t="s">
        <v>788</v>
      </c>
    </row>
    <row r="307" spans="2:40 16380:16380" ht="12" hidden="1" customHeight="1" outlineLevel="3">
      <c r="B307" s="239"/>
      <c r="C307" s="247" t="s">
        <v>851</v>
      </c>
      <c r="D307" s="212"/>
      <c r="E307" s="193">
        <v>0.86</v>
      </c>
      <c r="F307" s="192"/>
      <c r="G307" s="192"/>
      <c r="H307" s="193">
        <v>0.42</v>
      </c>
      <c r="I307" s="192"/>
      <c r="J307" s="192"/>
      <c r="K307" s="193">
        <v>0.26</v>
      </c>
      <c r="L307" s="192"/>
      <c r="M307" s="192"/>
      <c r="N307" s="193">
        <v>0.16</v>
      </c>
      <c r="O307" s="192"/>
      <c r="P307" s="192"/>
      <c r="Q307" s="193">
        <v>0.1</v>
      </c>
      <c r="R307" s="192"/>
      <c r="S307" s="192"/>
      <c r="T307" s="193">
        <v>0.06</v>
      </c>
      <c r="U307" s="192"/>
      <c r="V307" s="192"/>
      <c r="W307" s="193">
        <v>0.03</v>
      </c>
      <c r="X307" s="192"/>
      <c r="Y307" s="192"/>
      <c r="Z307" s="193">
        <v>0.01</v>
      </c>
      <c r="AA307" s="192"/>
      <c r="AB307" s="192"/>
      <c r="AC307" s="193">
        <v>0.01</v>
      </c>
      <c r="AD307" s="192"/>
      <c r="AE307" s="192"/>
      <c r="AF307" s="193">
        <v>0.01</v>
      </c>
      <c r="AG307" s="192"/>
      <c r="AH307" s="192"/>
      <c r="AI307" s="193">
        <v>0.01</v>
      </c>
      <c r="AJ307" s="192"/>
      <c r="AK307" s="192"/>
      <c r="AL307" s="193">
        <v>0.01</v>
      </c>
      <c r="AM307" s="192"/>
      <c r="AN307" s="192"/>
    </row>
    <row r="308" spans="2:40 16380:16380" ht="12" hidden="1" customHeight="1" outlineLevel="3">
      <c r="B308" s="245"/>
      <c r="C308" s="250" t="s">
        <v>753</v>
      </c>
      <c r="D308" s="250"/>
      <c r="E308" s="211">
        <f>INDEX($C$199:$AN$221, MATCH("New Customers 3MS", $C$199:$C$221, 0), MATCH($C308, $C$199:$AN$199, 0))</f>
        <v>0</v>
      </c>
      <c r="F308" s="211"/>
      <c r="G308" s="211"/>
      <c r="H308" s="211">
        <f>E308*(1-E307)</f>
        <v>0</v>
      </c>
      <c r="I308" s="211"/>
      <c r="J308" s="211"/>
      <c r="K308" s="211">
        <f>E308*(1-H307)</f>
        <v>0</v>
      </c>
      <c r="L308" s="211"/>
      <c r="M308" s="211"/>
      <c r="N308" s="211">
        <f>E308*(1-K307)</f>
        <v>0</v>
      </c>
      <c r="O308" s="211"/>
      <c r="P308" s="211"/>
      <c r="Q308" s="211">
        <f>E308*(1-N307)</f>
        <v>0</v>
      </c>
      <c r="R308" s="211"/>
      <c r="S308" s="211"/>
      <c r="T308" s="211">
        <f>E308*(1-Q307)</f>
        <v>0</v>
      </c>
      <c r="U308" s="211"/>
      <c r="V308" s="211"/>
      <c r="W308" s="211">
        <f>E308*(1-T307)</f>
        <v>0</v>
      </c>
      <c r="X308" s="211"/>
      <c r="Y308" s="211"/>
      <c r="Z308" s="211">
        <f>E308*(1-W307)</f>
        <v>0</v>
      </c>
      <c r="AA308" s="211"/>
      <c r="AB308" s="211"/>
      <c r="AC308" s="211">
        <f>E308*(1-Z307)</f>
        <v>0</v>
      </c>
      <c r="AD308" s="211"/>
      <c r="AE308" s="211"/>
      <c r="AF308" s="211">
        <f>E308*(1-AC307)</f>
        <v>0</v>
      </c>
      <c r="AG308" s="211"/>
      <c r="AH308" s="211"/>
      <c r="AI308" s="211">
        <f>E308*(1-AF307)</f>
        <v>0</v>
      </c>
      <c r="AJ308" s="211"/>
      <c r="AK308" s="211"/>
      <c r="AL308" s="211">
        <f>E308*(1-AI307)</f>
        <v>0</v>
      </c>
      <c r="AM308" s="211"/>
      <c r="AN308" s="211"/>
    </row>
    <row r="309" spans="2:40 16380:16380" ht="12" hidden="1" customHeight="1" outlineLevel="3">
      <c r="B309" s="245"/>
      <c r="C309" s="250" t="s">
        <v>754</v>
      </c>
      <c r="D309" s="250"/>
      <c r="E309" s="213"/>
      <c r="F309" s="211">
        <f>INDEX($C$199:$AN$221, MATCH("New Customers 3MS", $C$199:$C$221, 0), MATCH($C309, $C$199:$AN$199, 0))</f>
        <v>0</v>
      </c>
      <c r="G309" s="211"/>
      <c r="H309" s="211"/>
      <c r="I309" s="211">
        <f>F309*(E307)</f>
        <v>0</v>
      </c>
      <c r="J309" s="211"/>
      <c r="K309" s="211"/>
      <c r="L309" s="211">
        <f>F309*(H307)</f>
        <v>0</v>
      </c>
      <c r="M309" s="211"/>
      <c r="N309" s="211"/>
      <c r="O309" s="211">
        <f>F309*(K307)</f>
        <v>0</v>
      </c>
      <c r="P309" s="211"/>
      <c r="Q309" s="211"/>
      <c r="R309" s="211">
        <f>F309*(N307)</f>
        <v>0</v>
      </c>
      <c r="S309" s="211"/>
      <c r="T309" s="211"/>
      <c r="U309" s="211">
        <f>F309*(Q307)</f>
        <v>0</v>
      </c>
      <c r="V309" s="211"/>
      <c r="W309" s="211"/>
      <c r="X309" s="211">
        <f>F309*(T307)</f>
        <v>0</v>
      </c>
      <c r="Y309" s="211"/>
      <c r="Z309" s="211"/>
      <c r="AA309" s="211">
        <f>F309*(W307)</f>
        <v>0</v>
      </c>
      <c r="AB309" s="211"/>
      <c r="AC309" s="211"/>
      <c r="AD309" s="211">
        <f>F309*(Z307)</f>
        <v>0</v>
      </c>
      <c r="AE309" s="211"/>
      <c r="AF309" s="211"/>
      <c r="AG309" s="211">
        <f>F309*(AC307)</f>
        <v>0</v>
      </c>
      <c r="AH309" s="211"/>
      <c r="AI309" s="211"/>
      <c r="AJ309" s="211">
        <f>F309*(AF307)</f>
        <v>0</v>
      </c>
      <c r="AK309" s="211"/>
      <c r="AL309" s="211"/>
      <c r="AM309" s="211">
        <f>F309*(AI307)</f>
        <v>0</v>
      </c>
      <c r="AN309" s="211"/>
      <c r="XEZ309" s="211"/>
    </row>
    <row r="310" spans="2:40 16380:16380" ht="12" hidden="1" customHeight="1" outlineLevel="3">
      <c r="B310" s="245"/>
      <c r="C310" s="250" t="s">
        <v>755</v>
      </c>
      <c r="D310" s="250"/>
      <c r="E310" s="213"/>
      <c r="F310" s="213"/>
      <c r="G310" s="211">
        <f>INDEX($C$199:$AN$221, MATCH("New Customers 3MS", $C$199:$C$221, 0), MATCH($C310, $C$199:$AN$199, 0))</f>
        <v>0</v>
      </c>
      <c r="H310" s="211"/>
      <c r="I310" s="211"/>
      <c r="J310" s="211">
        <f>G310*(E307)</f>
        <v>0</v>
      </c>
      <c r="K310" s="211"/>
      <c r="L310" s="211"/>
      <c r="M310" s="211">
        <f>G310*(H307)</f>
        <v>0</v>
      </c>
      <c r="N310" s="211"/>
      <c r="O310" s="211"/>
      <c r="P310" s="211">
        <f>G310*(K307)</f>
        <v>0</v>
      </c>
      <c r="Q310" s="211"/>
      <c r="R310" s="211"/>
      <c r="S310" s="211">
        <f>G310*(N307)</f>
        <v>0</v>
      </c>
      <c r="T310" s="211"/>
      <c r="U310" s="211"/>
      <c r="V310" s="211">
        <f>G310*(Q307)</f>
        <v>0</v>
      </c>
      <c r="W310" s="211"/>
      <c r="X310" s="211"/>
      <c r="Y310" s="211">
        <f>G310*(T307)</f>
        <v>0</v>
      </c>
      <c r="Z310" s="211"/>
      <c r="AA310" s="211"/>
      <c r="AB310" s="211">
        <f>G310*(W307)</f>
        <v>0</v>
      </c>
      <c r="AC310" s="211"/>
      <c r="AD310" s="211"/>
      <c r="AE310" s="211">
        <f>G310*(Z307)</f>
        <v>0</v>
      </c>
      <c r="AF310" s="211"/>
      <c r="AG310" s="211"/>
      <c r="AH310" s="211">
        <f>G310*(AC307)</f>
        <v>0</v>
      </c>
      <c r="AI310" s="211"/>
      <c r="AJ310" s="211"/>
      <c r="AK310" s="211">
        <f>G310*(AF307)</f>
        <v>0</v>
      </c>
      <c r="AL310" s="211"/>
      <c r="AM310" s="211"/>
      <c r="AN310" s="211">
        <f>G310*(AI307)</f>
        <v>0</v>
      </c>
    </row>
    <row r="311" spans="2:40 16380:16380" ht="12" hidden="1" customHeight="1" outlineLevel="3">
      <c r="B311" s="245"/>
      <c r="C311" s="250" t="s">
        <v>756</v>
      </c>
      <c r="D311" s="250"/>
      <c r="E311" s="213"/>
      <c r="F311" s="213"/>
      <c r="G311" s="213"/>
      <c r="H311" s="211">
        <f>INDEX($C$199:$AN$221, MATCH("New Customers 3MS", $C$199:$C$221, 0), MATCH($C311, $C$199:$AN$199, 0))</f>
        <v>0</v>
      </c>
      <c r="I311" s="211"/>
      <c r="J311" s="211"/>
      <c r="K311" s="211">
        <f>H311*(E307)</f>
        <v>0</v>
      </c>
      <c r="L311" s="211"/>
      <c r="M311" s="211"/>
      <c r="N311" s="211">
        <f>H311*(H307)</f>
        <v>0</v>
      </c>
      <c r="O311" s="211"/>
      <c r="P311" s="211"/>
      <c r="Q311" s="211">
        <f>H311*(K307)</f>
        <v>0</v>
      </c>
      <c r="R311" s="211"/>
      <c r="S311" s="211"/>
      <c r="T311" s="211">
        <f>H311*(N307)</f>
        <v>0</v>
      </c>
      <c r="U311" s="211"/>
      <c r="V311" s="211"/>
      <c r="W311" s="211">
        <f>H311*(Q307)</f>
        <v>0</v>
      </c>
      <c r="X311" s="211"/>
      <c r="Y311" s="211"/>
      <c r="Z311" s="211">
        <f>H311*(T307)</f>
        <v>0</v>
      </c>
      <c r="AA311" s="211"/>
      <c r="AB311" s="211"/>
      <c r="AC311" s="211">
        <f>H311*(W307)</f>
        <v>0</v>
      </c>
      <c r="AD311" s="211"/>
      <c r="AE311" s="211"/>
      <c r="AF311" s="211">
        <f>H311*(Z307)</f>
        <v>0</v>
      </c>
      <c r="AG311" s="211"/>
      <c r="AH311" s="211"/>
      <c r="AI311" s="211">
        <f>H311*(AC307)</f>
        <v>0</v>
      </c>
      <c r="AJ311" s="211"/>
      <c r="AK311" s="211"/>
      <c r="AL311" s="211">
        <f>H311*(AF307)</f>
        <v>0</v>
      </c>
      <c r="AM311" s="211"/>
      <c r="AN311" s="211"/>
    </row>
    <row r="312" spans="2:40 16380:16380" ht="12" hidden="1" customHeight="1" outlineLevel="3">
      <c r="B312" s="245"/>
      <c r="C312" s="250" t="s">
        <v>757</v>
      </c>
      <c r="D312" s="250"/>
      <c r="E312" s="213"/>
      <c r="F312" s="213"/>
      <c r="G312" s="213"/>
      <c r="H312" s="213"/>
      <c r="I312" s="211">
        <f>INDEX($C$199:$AN$221, MATCH("New Customers 3MS", $C$199:$C$221, 0), MATCH($C312, $C$199:$AN$199, 0))</f>
        <v>0</v>
      </c>
      <c r="J312" s="211"/>
      <c r="K312" s="211"/>
      <c r="L312" s="211">
        <f>I312*(E307)</f>
        <v>0</v>
      </c>
      <c r="M312" s="211"/>
      <c r="N312" s="211"/>
      <c r="O312" s="211">
        <f>I312*(H307)</f>
        <v>0</v>
      </c>
      <c r="P312" s="211"/>
      <c r="Q312" s="211"/>
      <c r="R312" s="211">
        <f>I312*(K307)</f>
        <v>0</v>
      </c>
      <c r="S312" s="211"/>
      <c r="T312" s="211"/>
      <c r="U312" s="211">
        <f>I312*(N307)</f>
        <v>0</v>
      </c>
      <c r="V312" s="211"/>
      <c r="W312" s="211"/>
      <c r="X312" s="211">
        <f>I312*(Q307)</f>
        <v>0</v>
      </c>
      <c r="Y312" s="211"/>
      <c r="Z312" s="211"/>
      <c r="AA312" s="211">
        <f>I312*(T307)</f>
        <v>0</v>
      </c>
      <c r="AB312" s="211"/>
      <c r="AC312" s="211"/>
      <c r="AD312" s="211">
        <f>I312*(W307)</f>
        <v>0</v>
      </c>
      <c r="AE312" s="211"/>
      <c r="AF312" s="211"/>
      <c r="AG312" s="211">
        <f>I312*(Z307)</f>
        <v>0</v>
      </c>
      <c r="AH312" s="211"/>
      <c r="AI312" s="211"/>
      <c r="AJ312" s="211">
        <f>I312*(AC307)</f>
        <v>0</v>
      </c>
      <c r="AK312" s="211"/>
      <c r="AL312" s="211"/>
      <c r="AM312" s="211">
        <f>I312*(AF307)</f>
        <v>0</v>
      </c>
      <c r="AN312" s="211"/>
    </row>
    <row r="313" spans="2:40 16380:16380" ht="12" hidden="1" customHeight="1" outlineLevel="3">
      <c r="B313" s="245"/>
      <c r="C313" s="250" t="s">
        <v>758</v>
      </c>
      <c r="D313" s="250"/>
      <c r="E313" s="213"/>
      <c r="F313" s="213"/>
      <c r="G313" s="213"/>
      <c r="H313" s="213"/>
      <c r="I313" s="213"/>
      <c r="J313" s="211">
        <f>INDEX($C$199:$AN$221, MATCH("New Customers 3MS", $C$199:$C$221, 0), MATCH($C313, $C$199:$AN$199, 0))</f>
        <v>0</v>
      </c>
      <c r="K313" s="211"/>
      <c r="L313" s="211"/>
      <c r="M313" s="211">
        <f>J313*(E307)</f>
        <v>0</v>
      </c>
      <c r="N313" s="211"/>
      <c r="O313" s="211"/>
      <c r="P313" s="211">
        <f>J313*(H307)</f>
        <v>0</v>
      </c>
      <c r="Q313" s="211"/>
      <c r="R313" s="211"/>
      <c r="S313" s="211">
        <f>J313*(K307)</f>
        <v>0</v>
      </c>
      <c r="T313" s="211"/>
      <c r="U313" s="211"/>
      <c r="V313" s="211">
        <f>J313*(N307)</f>
        <v>0</v>
      </c>
      <c r="W313" s="211"/>
      <c r="X313" s="211"/>
      <c r="Y313" s="211">
        <f>J313*(Q307)</f>
        <v>0</v>
      </c>
      <c r="Z313" s="211"/>
      <c r="AA313" s="211"/>
      <c r="AB313" s="211">
        <f>J313*(T307)</f>
        <v>0</v>
      </c>
      <c r="AC313" s="211"/>
      <c r="AD313" s="211"/>
      <c r="AE313" s="211">
        <f>J313*(W307)</f>
        <v>0</v>
      </c>
      <c r="AF313" s="211"/>
      <c r="AG313" s="211"/>
      <c r="AH313" s="211">
        <f>J313*(Z307)</f>
        <v>0</v>
      </c>
      <c r="AI313" s="211"/>
      <c r="AJ313" s="211"/>
      <c r="AK313" s="211">
        <f>J313*(AC307)</f>
        <v>0</v>
      </c>
      <c r="AL313" s="211"/>
      <c r="AM313" s="211"/>
      <c r="AN313" s="211">
        <f>J313*(AF307)</f>
        <v>0</v>
      </c>
    </row>
    <row r="314" spans="2:40 16380:16380" ht="12" hidden="1" customHeight="1" outlineLevel="3">
      <c r="B314" s="245"/>
      <c r="C314" s="250" t="s">
        <v>759</v>
      </c>
      <c r="D314" s="250"/>
      <c r="E314" s="213"/>
      <c r="F314" s="213"/>
      <c r="G314" s="213"/>
      <c r="H314" s="213"/>
      <c r="I314" s="213"/>
      <c r="J314" s="213"/>
      <c r="K314" s="211">
        <f>INDEX($C$199:$AN$221, MATCH("New Customers 3MS", $C$199:$C$221, 0), MATCH($C314, $C$199:$AN$199, 0))</f>
        <v>0</v>
      </c>
      <c r="L314" s="211"/>
      <c r="M314" s="211"/>
      <c r="N314" s="211">
        <f>K314*(E307)</f>
        <v>0</v>
      </c>
      <c r="O314" s="211"/>
      <c r="P314" s="211"/>
      <c r="Q314" s="211">
        <f>K314*(H307)</f>
        <v>0</v>
      </c>
      <c r="R314" s="211"/>
      <c r="S314" s="211"/>
      <c r="T314" s="211">
        <f>K314*(K307)</f>
        <v>0</v>
      </c>
      <c r="U314" s="211"/>
      <c r="V314" s="211"/>
      <c r="W314" s="211">
        <f>K314*(N307)</f>
        <v>0</v>
      </c>
      <c r="X314" s="211"/>
      <c r="Y314" s="211"/>
      <c r="Z314" s="211">
        <f>K314*(Q307)</f>
        <v>0</v>
      </c>
      <c r="AA314" s="211"/>
      <c r="AB314" s="211"/>
      <c r="AC314" s="211">
        <f>K314*(T307)</f>
        <v>0</v>
      </c>
      <c r="AD314" s="211"/>
      <c r="AE314" s="211"/>
      <c r="AF314" s="211">
        <f>K314*(W307)</f>
        <v>0</v>
      </c>
      <c r="AG314" s="211"/>
      <c r="AH314" s="211"/>
      <c r="AI314" s="211">
        <f>K314*(Z307)</f>
        <v>0</v>
      </c>
      <c r="AJ314" s="211"/>
      <c r="AK314" s="211"/>
      <c r="AL314" s="211">
        <f>K314*(AC307)</f>
        <v>0</v>
      </c>
      <c r="AM314" s="211"/>
      <c r="AN314" s="211"/>
      <c r="XEZ314" s="211"/>
    </row>
    <row r="315" spans="2:40 16380:16380" ht="12" hidden="1" customHeight="1" outlineLevel="3">
      <c r="B315" s="245"/>
      <c r="C315" s="250" t="s">
        <v>760</v>
      </c>
      <c r="D315" s="250"/>
      <c r="E315" s="213"/>
      <c r="F315" s="213"/>
      <c r="G315" s="213"/>
      <c r="H315" s="213"/>
      <c r="I315" s="213"/>
      <c r="J315" s="213"/>
      <c r="K315" s="213"/>
      <c r="L315" s="211">
        <f>INDEX($C$199:$AN$221, MATCH("New Customers 3MS", $C$199:$C$221, 0), MATCH($C315, $C$199:$AN$199, 0))</f>
        <v>0</v>
      </c>
      <c r="M315" s="211"/>
      <c r="N315" s="211"/>
      <c r="O315" s="211">
        <f>L315*(E307)</f>
        <v>0</v>
      </c>
      <c r="P315" s="211"/>
      <c r="Q315" s="211"/>
      <c r="R315" s="211">
        <f>L315*(H307)</f>
        <v>0</v>
      </c>
      <c r="S315" s="211"/>
      <c r="T315" s="211"/>
      <c r="U315" s="211">
        <f>L315*(K307)</f>
        <v>0</v>
      </c>
      <c r="V315" s="211"/>
      <c r="W315" s="211"/>
      <c r="X315" s="211">
        <f>L315*(N307)</f>
        <v>0</v>
      </c>
      <c r="Y315" s="211"/>
      <c r="Z315" s="211"/>
      <c r="AA315" s="211">
        <f>L315*(Q307)</f>
        <v>0</v>
      </c>
      <c r="AB315" s="211"/>
      <c r="AC315" s="211"/>
      <c r="AD315" s="211">
        <f>L315*(T307)</f>
        <v>0</v>
      </c>
      <c r="AE315" s="211"/>
      <c r="AF315" s="211"/>
      <c r="AG315" s="211">
        <f>L315*(W307)</f>
        <v>0</v>
      </c>
      <c r="AH315" s="211"/>
      <c r="AI315" s="211"/>
      <c r="AJ315" s="211">
        <f>L315*(Z307)</f>
        <v>0</v>
      </c>
      <c r="AK315" s="211"/>
      <c r="AL315" s="211"/>
      <c r="AM315" s="211">
        <f>L315*(AC307)</f>
        <v>0</v>
      </c>
      <c r="AN315" s="211"/>
      <c r="XEZ315" s="211"/>
    </row>
    <row r="316" spans="2:40 16380:16380" ht="12" hidden="1" customHeight="1" outlineLevel="3">
      <c r="B316" s="245"/>
      <c r="C316" s="250" t="s">
        <v>761</v>
      </c>
      <c r="D316" s="250"/>
      <c r="E316" s="213"/>
      <c r="F316" s="213"/>
      <c r="G316" s="213"/>
      <c r="H316" s="213"/>
      <c r="I316" s="213"/>
      <c r="J316" s="213"/>
      <c r="K316" s="213"/>
      <c r="L316" s="213"/>
      <c r="M316" s="211">
        <f>INDEX($C$199:$AN$221, MATCH("New Customers 3MS", $C$199:$C$221, 0), MATCH($C316, $C$199:$AN$199, 0))</f>
        <v>0</v>
      </c>
      <c r="N316" s="211"/>
      <c r="O316" s="211"/>
      <c r="P316" s="211">
        <f>M316*(E307)</f>
        <v>0</v>
      </c>
      <c r="Q316" s="211"/>
      <c r="R316" s="211"/>
      <c r="S316" s="211">
        <f>M316*(H307)</f>
        <v>0</v>
      </c>
      <c r="T316" s="211"/>
      <c r="U316" s="211"/>
      <c r="V316" s="211">
        <f>M316*(K307)</f>
        <v>0</v>
      </c>
      <c r="W316" s="211"/>
      <c r="X316" s="211"/>
      <c r="Y316" s="211">
        <f>M316*(N307)</f>
        <v>0</v>
      </c>
      <c r="Z316" s="211"/>
      <c r="AA316" s="211"/>
      <c r="AB316" s="211">
        <f>M316*(Q307)</f>
        <v>0</v>
      </c>
      <c r="AC316" s="211"/>
      <c r="AD316" s="211"/>
      <c r="AE316" s="211">
        <f>M316*(T307)</f>
        <v>0</v>
      </c>
      <c r="AF316" s="211"/>
      <c r="AG316" s="211"/>
      <c r="AH316" s="211">
        <f>M316*(W307)</f>
        <v>0</v>
      </c>
      <c r="AI316" s="211"/>
      <c r="AJ316" s="211"/>
      <c r="AK316" s="211">
        <f>M316*(Z307)</f>
        <v>0</v>
      </c>
      <c r="AL316" s="211"/>
      <c r="AM316" s="211"/>
      <c r="AN316" s="211">
        <f>M316*(AC307)</f>
        <v>0</v>
      </c>
    </row>
    <row r="317" spans="2:40 16380:16380" ht="12" hidden="1" customHeight="1" outlineLevel="3">
      <c r="B317" s="245"/>
      <c r="C317" s="250" t="s">
        <v>762</v>
      </c>
      <c r="D317" s="250"/>
      <c r="E317" s="213"/>
      <c r="F317" s="213"/>
      <c r="G317" s="213"/>
      <c r="H317" s="213"/>
      <c r="I317" s="213"/>
      <c r="J317" s="213"/>
      <c r="K317" s="213"/>
      <c r="L317" s="213"/>
      <c r="M317" s="213"/>
      <c r="N317" s="211">
        <f>INDEX($C$199:$AN$221, MATCH("New Customers 3MS", $C$199:$C$221, 0), MATCH($C317, $C$199:$AN$199, 0))</f>
        <v>0</v>
      </c>
      <c r="O317" s="211"/>
      <c r="P317" s="211"/>
      <c r="Q317" s="211">
        <f>N317*(E307)</f>
        <v>0</v>
      </c>
      <c r="R317" s="211"/>
      <c r="S317" s="211"/>
      <c r="T317" s="211">
        <f>N317*(H307)</f>
        <v>0</v>
      </c>
      <c r="U317" s="211"/>
      <c r="V317" s="211"/>
      <c r="W317" s="211">
        <f>N317*(K307)</f>
        <v>0</v>
      </c>
      <c r="X317" s="211"/>
      <c r="Y317" s="211"/>
      <c r="Z317" s="211">
        <f>N317*(N307)</f>
        <v>0</v>
      </c>
      <c r="AA317" s="211"/>
      <c r="AB317" s="211"/>
      <c r="AC317" s="211">
        <f>N317*(Q307)</f>
        <v>0</v>
      </c>
      <c r="AD317" s="211"/>
      <c r="AE317" s="211"/>
      <c r="AF317" s="211">
        <f>N317*(T307)</f>
        <v>0</v>
      </c>
      <c r="AG317" s="211"/>
      <c r="AH317" s="211"/>
      <c r="AI317" s="211">
        <f>N317*(W307)</f>
        <v>0</v>
      </c>
      <c r="AJ317" s="211"/>
      <c r="AK317" s="211"/>
      <c r="AL317" s="211">
        <f>N317*(Z307)</f>
        <v>0</v>
      </c>
      <c r="AM317" s="211"/>
      <c r="AN317" s="211"/>
      <c r="XEZ317" s="211"/>
    </row>
    <row r="318" spans="2:40 16380:16380" ht="12" hidden="1" customHeight="1" outlineLevel="3">
      <c r="B318" s="245"/>
      <c r="C318" s="250" t="s">
        <v>763</v>
      </c>
      <c r="D318" s="250"/>
      <c r="E318" s="213"/>
      <c r="F318" s="213"/>
      <c r="G318" s="213"/>
      <c r="H318" s="213"/>
      <c r="I318" s="213"/>
      <c r="J318" s="213"/>
      <c r="K318" s="213"/>
      <c r="L318" s="213"/>
      <c r="M318" s="213"/>
      <c r="N318" s="213"/>
      <c r="O318" s="211">
        <f>INDEX($C$199:$AN$221, MATCH("New Customers 3MS", $C$199:$C$221, 0), MATCH($C318, $C$199:$AN$199, 0))</f>
        <v>0</v>
      </c>
      <c r="P318" s="211"/>
      <c r="Q318" s="211"/>
      <c r="R318" s="211">
        <f>O318*(E307)</f>
        <v>0</v>
      </c>
      <c r="S318" s="211"/>
      <c r="T318" s="211"/>
      <c r="U318" s="211">
        <f>O318*(H307)</f>
        <v>0</v>
      </c>
      <c r="V318" s="211"/>
      <c r="W318" s="211"/>
      <c r="X318" s="211">
        <f>O318*(K307)</f>
        <v>0</v>
      </c>
      <c r="Y318" s="211"/>
      <c r="Z318" s="211"/>
      <c r="AA318" s="211">
        <f>O318*(N307)</f>
        <v>0</v>
      </c>
      <c r="AB318" s="211"/>
      <c r="AC318" s="211"/>
      <c r="AD318" s="211">
        <f>O318*(Q307)</f>
        <v>0</v>
      </c>
      <c r="AE318" s="211"/>
      <c r="AF318" s="211"/>
      <c r="AG318" s="211">
        <f>O318*(T307)</f>
        <v>0</v>
      </c>
      <c r="AH318" s="211"/>
      <c r="AI318" s="211"/>
      <c r="AJ318" s="211">
        <f>O318*(W307)</f>
        <v>0</v>
      </c>
      <c r="AK318" s="211"/>
      <c r="AL318" s="211"/>
      <c r="AM318" s="211">
        <f>O318*(Z307)</f>
        <v>0</v>
      </c>
      <c r="AN318" s="211"/>
    </row>
    <row r="319" spans="2:40 16380:16380" ht="12" hidden="1" customHeight="1" outlineLevel="3">
      <c r="B319" s="245"/>
      <c r="C319" s="250" t="s">
        <v>764</v>
      </c>
      <c r="D319" s="250"/>
      <c r="E319" s="213"/>
      <c r="F319" s="213"/>
      <c r="G319" s="213"/>
      <c r="H319" s="213"/>
      <c r="I319" s="213"/>
      <c r="J319" s="213"/>
      <c r="K319" s="213"/>
      <c r="L319" s="213"/>
      <c r="M319" s="213"/>
      <c r="N319" s="213"/>
      <c r="O319" s="213"/>
      <c r="P319" s="211">
        <f>INDEX($C$199:$AN$221, MATCH("New Customers 3MS", $C$199:$C$221, 0), MATCH($C319, $C$199:$AN$199, 0))</f>
        <v>0</v>
      </c>
      <c r="Q319" s="211"/>
      <c r="R319" s="211"/>
      <c r="S319" s="211">
        <f>P319*(E307)</f>
        <v>0</v>
      </c>
      <c r="T319" s="211"/>
      <c r="U319" s="211"/>
      <c r="V319" s="211">
        <f>P319*(H307)</f>
        <v>0</v>
      </c>
      <c r="W319" s="211"/>
      <c r="X319" s="211"/>
      <c r="Y319" s="211">
        <f>P319*(K307)</f>
        <v>0</v>
      </c>
      <c r="Z319" s="211"/>
      <c r="AA319" s="211"/>
      <c r="AB319" s="211">
        <f>P319*(N307)</f>
        <v>0</v>
      </c>
      <c r="AC319" s="211"/>
      <c r="AD319" s="211"/>
      <c r="AE319" s="211">
        <f>P319*(Q307)</f>
        <v>0</v>
      </c>
      <c r="AF319" s="211"/>
      <c r="AG319" s="211"/>
      <c r="AH319" s="211">
        <f>P319*(T307)</f>
        <v>0</v>
      </c>
      <c r="AI319" s="211"/>
      <c r="AJ319" s="211"/>
      <c r="AK319" s="211">
        <f>P319*(W307)</f>
        <v>0</v>
      </c>
      <c r="AL319" s="211"/>
      <c r="AM319" s="211"/>
      <c r="AN319" s="211">
        <f>P319*(Z307)</f>
        <v>0</v>
      </c>
    </row>
    <row r="320" spans="2:40 16380:16380" ht="12" hidden="1" customHeight="1" outlineLevel="3">
      <c r="B320" s="245"/>
      <c r="C320" s="250" t="s">
        <v>765</v>
      </c>
      <c r="D320" s="250"/>
      <c r="E320" s="213"/>
      <c r="F320" s="213"/>
      <c r="G320" s="213"/>
      <c r="H320" s="213"/>
      <c r="I320" s="213"/>
      <c r="J320" s="213"/>
      <c r="K320" s="213"/>
      <c r="L320" s="213"/>
      <c r="M320" s="213"/>
      <c r="N320" s="213"/>
      <c r="O320" s="213"/>
      <c r="P320" s="213"/>
      <c r="Q320" s="211">
        <f>INDEX($C$199:$AN$221, MATCH("New Customers 3MS", $C$199:$C$221, 0), MATCH($C320, $C$199:$AN$199, 0))</f>
        <v>0</v>
      </c>
      <c r="R320" s="211"/>
      <c r="S320" s="211"/>
      <c r="T320" s="211">
        <f>Q320*(E307)</f>
        <v>0</v>
      </c>
      <c r="U320" s="211"/>
      <c r="V320" s="211"/>
      <c r="W320" s="211">
        <f>Q320*(H307)</f>
        <v>0</v>
      </c>
      <c r="X320" s="211"/>
      <c r="Y320" s="211"/>
      <c r="Z320" s="211">
        <f>Q320*(K307)</f>
        <v>0</v>
      </c>
      <c r="AA320" s="211"/>
      <c r="AB320" s="211"/>
      <c r="AC320" s="211">
        <f>Q320*(N307)</f>
        <v>0</v>
      </c>
      <c r="AD320" s="211"/>
      <c r="AE320" s="211"/>
      <c r="AF320" s="211">
        <f>Q320*(Q307)</f>
        <v>0</v>
      </c>
      <c r="AG320" s="211"/>
      <c r="AH320" s="211"/>
      <c r="AI320" s="211">
        <f>Q320*(T307)</f>
        <v>0</v>
      </c>
      <c r="AJ320" s="211"/>
      <c r="AK320" s="211"/>
      <c r="AL320" s="211">
        <f>Q320*(W307)</f>
        <v>0</v>
      </c>
      <c r="AM320" s="211"/>
      <c r="AN320" s="211"/>
    </row>
    <row r="321" spans="2:40 16380:16380" ht="12" hidden="1" customHeight="1" outlineLevel="3">
      <c r="B321" s="245"/>
      <c r="C321" s="250" t="s">
        <v>766</v>
      </c>
      <c r="D321" s="250"/>
      <c r="E321" s="213"/>
      <c r="F321" s="213"/>
      <c r="G321" s="213"/>
      <c r="H321" s="213"/>
      <c r="I321" s="213"/>
      <c r="J321" s="213"/>
      <c r="K321" s="213"/>
      <c r="L321" s="213"/>
      <c r="M321" s="213"/>
      <c r="N321" s="213"/>
      <c r="O321" s="213"/>
      <c r="P321" s="213"/>
      <c r="Q321" s="213"/>
      <c r="R321" s="211">
        <f>INDEX($C$199:$AN$221, MATCH("New Customers 3MS", $C$199:$C$221, 0), MATCH($C321, $C$199:$AN$199, 0))</f>
        <v>0</v>
      </c>
      <c r="S321" s="211"/>
      <c r="T321" s="211"/>
      <c r="U321" s="211">
        <f>R321*(E307)</f>
        <v>0</v>
      </c>
      <c r="V321" s="211"/>
      <c r="W321" s="211"/>
      <c r="X321" s="211">
        <f>R321*(H307)</f>
        <v>0</v>
      </c>
      <c r="Y321" s="211"/>
      <c r="Z321" s="211"/>
      <c r="AA321" s="211">
        <f>R321*(K307)</f>
        <v>0</v>
      </c>
      <c r="AB321" s="211"/>
      <c r="AC321" s="211"/>
      <c r="AD321" s="211">
        <f>R321*(N307)</f>
        <v>0</v>
      </c>
      <c r="AE321" s="211"/>
      <c r="AF321" s="211"/>
      <c r="AG321" s="211">
        <f>R321*(Q307)</f>
        <v>0</v>
      </c>
      <c r="AH321" s="211"/>
      <c r="AI321" s="211"/>
      <c r="AJ321" s="211">
        <f>R321*(T307)</f>
        <v>0</v>
      </c>
      <c r="AK321" s="211"/>
      <c r="AL321" s="211"/>
      <c r="AM321" s="211">
        <f>R321*(W307)</f>
        <v>0</v>
      </c>
      <c r="AN321" s="211"/>
      <c r="XEZ321" s="211"/>
    </row>
    <row r="322" spans="2:40 16380:16380" ht="12" hidden="1" customHeight="1" outlineLevel="3">
      <c r="B322" s="245"/>
      <c r="C322" s="250" t="s">
        <v>767</v>
      </c>
      <c r="D322" s="250"/>
      <c r="E322" s="213"/>
      <c r="F322" s="213"/>
      <c r="G322" s="213"/>
      <c r="H322" s="213"/>
      <c r="I322" s="213"/>
      <c r="J322" s="213"/>
      <c r="K322" s="213"/>
      <c r="L322" s="213"/>
      <c r="M322" s="213"/>
      <c r="N322" s="213"/>
      <c r="O322" s="213"/>
      <c r="P322" s="213"/>
      <c r="Q322" s="213"/>
      <c r="R322" s="213"/>
      <c r="S322" s="211">
        <f>INDEX($C$199:$AN$221, MATCH("New Customers 3MS", $C$199:$C$221, 0), MATCH($C322, $C$199:$AN$199, 0))</f>
        <v>0</v>
      </c>
      <c r="T322" s="211"/>
      <c r="U322" s="211"/>
      <c r="V322" s="211">
        <f>S322*(E307)</f>
        <v>0</v>
      </c>
      <c r="W322" s="211"/>
      <c r="X322" s="211"/>
      <c r="Y322" s="211">
        <f>S322*(H307)</f>
        <v>0</v>
      </c>
      <c r="Z322" s="211"/>
      <c r="AA322" s="211"/>
      <c r="AB322" s="211">
        <f>S322*(K307)</f>
        <v>0</v>
      </c>
      <c r="AC322" s="211"/>
      <c r="AD322" s="211"/>
      <c r="AE322" s="211">
        <f>S322*(N307)</f>
        <v>0</v>
      </c>
      <c r="AF322" s="211"/>
      <c r="AG322" s="211"/>
      <c r="AH322" s="211">
        <f>S322*(Q307)</f>
        <v>0</v>
      </c>
      <c r="AI322" s="211"/>
      <c r="AJ322" s="211"/>
      <c r="AK322" s="211">
        <f>S322*(T307)</f>
        <v>0</v>
      </c>
      <c r="AL322" s="211"/>
      <c r="AM322" s="211"/>
      <c r="AN322" s="211">
        <f>S322*(W307)</f>
        <v>0</v>
      </c>
    </row>
    <row r="323" spans="2:40 16380:16380" ht="12" hidden="1" customHeight="1" outlineLevel="3">
      <c r="B323" s="245"/>
      <c r="C323" s="250" t="s">
        <v>768</v>
      </c>
      <c r="D323" s="250"/>
      <c r="E323" s="213"/>
      <c r="F323" s="213"/>
      <c r="G323" s="213"/>
      <c r="H323" s="213"/>
      <c r="I323" s="213"/>
      <c r="J323" s="213"/>
      <c r="K323" s="213"/>
      <c r="L323" s="213"/>
      <c r="M323" s="213"/>
      <c r="N323" s="213"/>
      <c r="O323" s="213"/>
      <c r="P323" s="213"/>
      <c r="Q323" s="213"/>
      <c r="R323" s="213"/>
      <c r="S323" s="213"/>
      <c r="T323" s="211">
        <f>INDEX($C$199:$AN$221, MATCH("New Customers 3MS", $C$199:$C$221, 0), MATCH($C323, $C$199:$AN$199, 0))</f>
        <v>0</v>
      </c>
      <c r="U323" s="211"/>
      <c r="V323" s="211"/>
      <c r="W323" s="211">
        <f>T323*(E307)</f>
        <v>0</v>
      </c>
      <c r="X323" s="211"/>
      <c r="Y323" s="211"/>
      <c r="Z323" s="211">
        <f>T323*(H307)</f>
        <v>0</v>
      </c>
      <c r="AA323" s="211"/>
      <c r="AB323" s="211"/>
      <c r="AC323" s="211">
        <f>T323*(K307)</f>
        <v>0</v>
      </c>
      <c r="AD323" s="211"/>
      <c r="AE323" s="211"/>
      <c r="AF323" s="211">
        <f>T323*(N307)</f>
        <v>0</v>
      </c>
      <c r="AG323" s="211"/>
      <c r="AH323" s="211"/>
      <c r="AI323" s="211">
        <f>T323*(Q307)</f>
        <v>0</v>
      </c>
      <c r="AJ323" s="211"/>
      <c r="AK323" s="211"/>
      <c r="AL323" s="211">
        <f>T323*(T307)</f>
        <v>0</v>
      </c>
      <c r="AM323" s="211"/>
      <c r="AN323" s="211"/>
    </row>
    <row r="324" spans="2:40 16380:16380" ht="12" hidden="1" customHeight="1" outlineLevel="3">
      <c r="B324" s="245"/>
      <c r="C324" s="250" t="s">
        <v>769</v>
      </c>
      <c r="D324" s="250"/>
      <c r="E324" s="213"/>
      <c r="F324" s="213"/>
      <c r="G324" s="213"/>
      <c r="H324" s="213"/>
      <c r="I324" s="213"/>
      <c r="J324" s="213"/>
      <c r="K324" s="213"/>
      <c r="L324" s="213"/>
      <c r="M324" s="213"/>
      <c r="N324" s="213"/>
      <c r="O324" s="213"/>
      <c r="P324" s="213"/>
      <c r="Q324" s="213"/>
      <c r="R324" s="213"/>
      <c r="S324" s="213"/>
      <c r="T324" s="213"/>
      <c r="U324" s="211">
        <f>INDEX($C$199:$AN$221, MATCH("New Customers 3MS", $C$199:$C$221, 0), MATCH($C324, $C$199:$AN$199, 0))</f>
        <v>0</v>
      </c>
      <c r="V324" s="211"/>
      <c r="W324" s="211"/>
      <c r="X324" s="211">
        <f>U324*(E307)</f>
        <v>0</v>
      </c>
      <c r="Y324" s="211"/>
      <c r="Z324" s="211"/>
      <c r="AA324" s="211">
        <f>U324*(H307)</f>
        <v>0</v>
      </c>
      <c r="AB324" s="211"/>
      <c r="AC324" s="211"/>
      <c r="AD324" s="211">
        <f>U324*(K307)</f>
        <v>0</v>
      </c>
      <c r="AE324" s="211"/>
      <c r="AF324" s="211"/>
      <c r="AG324" s="211">
        <f>U324*(N307)</f>
        <v>0</v>
      </c>
      <c r="AH324" s="211"/>
      <c r="AI324" s="211"/>
      <c r="AJ324" s="211">
        <f>U324*(Q307)</f>
        <v>0</v>
      </c>
      <c r="AK324" s="211"/>
      <c r="AL324" s="211"/>
      <c r="AM324" s="211">
        <f>U324*(T307)</f>
        <v>0</v>
      </c>
      <c r="AN324" s="211"/>
    </row>
    <row r="325" spans="2:40 16380:16380" ht="12" hidden="1" customHeight="1" outlineLevel="3">
      <c r="B325" s="245"/>
      <c r="C325" s="250" t="s">
        <v>770</v>
      </c>
      <c r="D325" s="250"/>
      <c r="E325" s="213"/>
      <c r="F325" s="213"/>
      <c r="G325" s="213"/>
      <c r="H325" s="213"/>
      <c r="I325" s="213"/>
      <c r="J325" s="213"/>
      <c r="K325" s="213"/>
      <c r="L325" s="213"/>
      <c r="M325" s="213"/>
      <c r="N325" s="213"/>
      <c r="O325" s="213"/>
      <c r="P325" s="213"/>
      <c r="Q325" s="213"/>
      <c r="R325" s="213"/>
      <c r="S325" s="213"/>
      <c r="T325" s="213"/>
      <c r="U325" s="213"/>
      <c r="V325" s="211">
        <f>INDEX($C$199:$AN$221, MATCH("New Customers 3MS", $C$199:$C$221, 0), MATCH($C325, $C$199:$AN$199, 0))</f>
        <v>0</v>
      </c>
      <c r="W325" s="211"/>
      <c r="X325" s="211"/>
      <c r="Y325" s="211">
        <f>V325*(E307)</f>
        <v>0</v>
      </c>
      <c r="Z325" s="211"/>
      <c r="AA325" s="211"/>
      <c r="AB325" s="211">
        <f>V325*(H307)</f>
        <v>0</v>
      </c>
      <c r="AC325" s="211"/>
      <c r="AD325" s="211"/>
      <c r="AE325" s="211">
        <f>V325*(K307)</f>
        <v>0</v>
      </c>
      <c r="AF325" s="211"/>
      <c r="AG325" s="211"/>
      <c r="AH325" s="211">
        <f>V325*(N307)</f>
        <v>0</v>
      </c>
      <c r="AI325" s="211"/>
      <c r="AJ325" s="211"/>
      <c r="AK325" s="211">
        <f>V325*(Q307)</f>
        <v>0</v>
      </c>
      <c r="AL325" s="211"/>
      <c r="AM325" s="211"/>
      <c r="AN325" s="211">
        <f>V325*(T307)</f>
        <v>0</v>
      </c>
    </row>
    <row r="326" spans="2:40 16380:16380" ht="12" hidden="1" customHeight="1" outlineLevel="3">
      <c r="B326" s="245"/>
      <c r="C326" s="250" t="s">
        <v>771</v>
      </c>
      <c r="D326" s="250"/>
      <c r="E326" s="213"/>
      <c r="F326" s="213"/>
      <c r="G326" s="213"/>
      <c r="H326" s="213"/>
      <c r="I326" s="213"/>
      <c r="J326" s="213"/>
      <c r="K326" s="213"/>
      <c r="L326" s="213"/>
      <c r="M326" s="213"/>
      <c r="N326" s="213"/>
      <c r="O326" s="213"/>
      <c r="P326" s="213"/>
      <c r="Q326" s="213"/>
      <c r="R326" s="213"/>
      <c r="S326" s="213"/>
      <c r="T326" s="213"/>
      <c r="U326" s="213"/>
      <c r="V326" s="213"/>
      <c r="W326" s="211">
        <f>INDEX($C$199:$AN$221, MATCH("New Customers 3MS", $C$199:$C$221, 0), MATCH($C326, $C$199:$AN$199, 0))</f>
        <v>0</v>
      </c>
      <c r="X326" s="211"/>
      <c r="Y326" s="211"/>
      <c r="Z326" s="211">
        <f>W326*(E307)</f>
        <v>0</v>
      </c>
      <c r="AA326" s="211"/>
      <c r="AB326" s="211"/>
      <c r="AC326" s="211">
        <f>W326*(H307)</f>
        <v>0</v>
      </c>
      <c r="AD326" s="211"/>
      <c r="AE326" s="211"/>
      <c r="AF326" s="211">
        <f>W326*(K307)</f>
        <v>0</v>
      </c>
      <c r="AG326" s="211"/>
      <c r="AH326" s="211"/>
      <c r="AI326" s="211">
        <f>W326*(N307)</f>
        <v>0</v>
      </c>
      <c r="AJ326" s="211"/>
      <c r="AK326" s="211"/>
      <c r="AL326" s="211">
        <f>W326*(Q307)</f>
        <v>0</v>
      </c>
      <c r="AM326" s="211"/>
      <c r="AN326" s="211"/>
    </row>
    <row r="327" spans="2:40 16380:16380" ht="12" hidden="1" customHeight="1" outlineLevel="3">
      <c r="B327" s="245"/>
      <c r="C327" s="250" t="s">
        <v>772</v>
      </c>
      <c r="D327" s="250"/>
      <c r="E327" s="213"/>
      <c r="F327" s="213"/>
      <c r="G327" s="213"/>
      <c r="H327" s="213"/>
      <c r="I327" s="213"/>
      <c r="J327" s="213"/>
      <c r="K327" s="213"/>
      <c r="L327" s="213"/>
      <c r="M327" s="213"/>
      <c r="N327" s="213"/>
      <c r="O327" s="213"/>
      <c r="P327" s="213"/>
      <c r="Q327" s="213"/>
      <c r="R327" s="213"/>
      <c r="S327" s="213"/>
      <c r="T327" s="213"/>
      <c r="U327" s="213"/>
      <c r="V327" s="213"/>
      <c r="W327" s="213"/>
      <c r="X327" s="211">
        <f>INDEX($C$199:$AN$221, MATCH("New Customers 3MS", $C$199:$C$221, 0), MATCH($C327, $C$199:$AN$199, 0))</f>
        <v>0</v>
      </c>
      <c r="Y327" s="211"/>
      <c r="Z327" s="211"/>
      <c r="AA327" s="211">
        <f>X327*(E307)</f>
        <v>0</v>
      </c>
      <c r="AB327" s="211"/>
      <c r="AC327" s="211"/>
      <c r="AD327" s="211">
        <f>X327*(H307)</f>
        <v>0</v>
      </c>
      <c r="AE327" s="211"/>
      <c r="AF327" s="211"/>
      <c r="AG327" s="211">
        <f>X327*(K307)</f>
        <v>0</v>
      </c>
      <c r="AH327" s="211"/>
      <c r="AI327" s="211"/>
      <c r="AJ327" s="211">
        <f>X327*(N307)</f>
        <v>0</v>
      </c>
      <c r="AK327" s="211"/>
      <c r="AL327" s="211"/>
      <c r="AM327" s="211">
        <f>X327*(Q307)</f>
        <v>0</v>
      </c>
      <c r="AN327" s="211"/>
    </row>
    <row r="328" spans="2:40 16380:16380" ht="12" hidden="1" customHeight="1" outlineLevel="3">
      <c r="B328" s="245"/>
      <c r="C328" s="250" t="s">
        <v>773</v>
      </c>
      <c r="D328" s="250"/>
      <c r="E328" s="213"/>
      <c r="F328" s="213"/>
      <c r="G328" s="213"/>
      <c r="H328" s="213"/>
      <c r="I328" s="213"/>
      <c r="J328" s="213"/>
      <c r="K328" s="213"/>
      <c r="L328" s="213"/>
      <c r="M328" s="213"/>
      <c r="N328" s="213"/>
      <c r="O328" s="213"/>
      <c r="P328" s="213"/>
      <c r="Q328" s="213"/>
      <c r="R328" s="213"/>
      <c r="S328" s="213"/>
      <c r="T328" s="213"/>
      <c r="U328" s="213"/>
      <c r="V328" s="213"/>
      <c r="W328" s="213"/>
      <c r="X328" s="213"/>
      <c r="Y328" s="211">
        <f>INDEX($C$199:$AN$221, MATCH("New Customers 3MS", $C$199:$C$221, 0), MATCH($C328, $C$199:$AN$199, 0))</f>
        <v>0</v>
      </c>
      <c r="Z328" s="211"/>
      <c r="AA328" s="211"/>
      <c r="AB328" s="211">
        <f>Y328*(E307)</f>
        <v>0</v>
      </c>
      <c r="AC328" s="211"/>
      <c r="AD328" s="211"/>
      <c r="AE328" s="211">
        <f>Y328*(H307)</f>
        <v>0</v>
      </c>
      <c r="AF328" s="211"/>
      <c r="AG328" s="211"/>
      <c r="AH328" s="211">
        <f>Y328*(K307)</f>
        <v>0</v>
      </c>
      <c r="AI328" s="211"/>
      <c r="AJ328" s="211"/>
      <c r="AK328" s="211">
        <f>Y328*(N307)</f>
        <v>0</v>
      </c>
      <c r="AL328" s="211"/>
      <c r="AM328" s="211"/>
      <c r="AN328" s="211">
        <f>Y328*(Q307)</f>
        <v>0</v>
      </c>
    </row>
    <row r="329" spans="2:40 16380:16380" ht="12" hidden="1" customHeight="1" outlineLevel="3">
      <c r="B329" s="245"/>
      <c r="C329" s="250" t="s">
        <v>774</v>
      </c>
      <c r="D329" s="250"/>
      <c r="E329" s="213"/>
      <c r="F329" s="213"/>
      <c r="G329" s="213"/>
      <c r="H329" s="213"/>
      <c r="I329" s="213"/>
      <c r="J329" s="213"/>
      <c r="K329" s="213"/>
      <c r="L329" s="213"/>
      <c r="M329" s="213"/>
      <c r="N329" s="213"/>
      <c r="O329" s="213"/>
      <c r="P329" s="213"/>
      <c r="Q329" s="213"/>
      <c r="R329" s="213"/>
      <c r="S329" s="213"/>
      <c r="T329" s="213"/>
      <c r="U329" s="213"/>
      <c r="V329" s="213"/>
      <c r="W329" s="213"/>
      <c r="X329" s="213"/>
      <c r="Y329" s="213"/>
      <c r="Z329" s="211">
        <f>INDEX($C$199:$AN$221, MATCH("New Customers 3MS", $C$199:$C$221, 0), MATCH($C329, $C$199:$AN$199, 0))</f>
        <v>0</v>
      </c>
      <c r="AA329" s="211"/>
      <c r="AB329" s="211"/>
      <c r="AC329" s="211">
        <f>Z329*(E307)</f>
        <v>0</v>
      </c>
      <c r="AD329" s="211"/>
      <c r="AE329" s="211"/>
      <c r="AF329" s="211">
        <f>Z329*(H307)</f>
        <v>0</v>
      </c>
      <c r="AG329" s="211"/>
      <c r="AH329" s="211"/>
      <c r="AI329" s="211">
        <f>Z329*(K307)</f>
        <v>0</v>
      </c>
      <c r="AJ329" s="211"/>
      <c r="AK329" s="211"/>
      <c r="AL329" s="211">
        <f>Z329*(N307)</f>
        <v>0</v>
      </c>
      <c r="AM329" s="211"/>
      <c r="AN329" s="211"/>
    </row>
    <row r="330" spans="2:40 16380:16380" ht="12" hidden="1" customHeight="1" outlineLevel="3">
      <c r="B330" s="245"/>
      <c r="C330" s="250" t="s">
        <v>775</v>
      </c>
      <c r="D330" s="250"/>
      <c r="E330" s="213"/>
      <c r="F330" s="213"/>
      <c r="G330" s="213"/>
      <c r="H330" s="213"/>
      <c r="I330" s="213"/>
      <c r="J330" s="213"/>
      <c r="K330" s="213"/>
      <c r="L330" s="213"/>
      <c r="M330" s="213"/>
      <c r="N330" s="213"/>
      <c r="O330" s="213"/>
      <c r="P330" s="213"/>
      <c r="Q330" s="213"/>
      <c r="R330" s="213"/>
      <c r="S330" s="213"/>
      <c r="T330" s="213"/>
      <c r="U330" s="213"/>
      <c r="V330" s="213"/>
      <c r="W330" s="213"/>
      <c r="X330" s="213"/>
      <c r="Y330" s="213"/>
      <c r="Z330" s="213"/>
      <c r="AA330" s="211">
        <f>INDEX($C$199:$AN$221, MATCH("New Customers 3MS", $C$199:$C$221, 0), MATCH($C330, $C$199:$AN$199, 0))</f>
        <v>0</v>
      </c>
      <c r="AB330" s="211"/>
      <c r="AC330" s="211"/>
      <c r="AD330" s="211">
        <f>AA330*(E307)</f>
        <v>0</v>
      </c>
      <c r="AE330" s="211"/>
      <c r="AF330" s="211"/>
      <c r="AG330" s="211">
        <f>AA330*(H307)</f>
        <v>0</v>
      </c>
      <c r="AH330" s="211"/>
      <c r="AI330" s="211"/>
      <c r="AJ330" s="211">
        <f>AA330*(K307)</f>
        <v>0</v>
      </c>
      <c r="AK330" s="211"/>
      <c r="AL330" s="211"/>
      <c r="AM330" s="211">
        <f>AA330*(N307)</f>
        <v>0</v>
      </c>
      <c r="AN330" s="211"/>
    </row>
    <row r="331" spans="2:40 16380:16380" ht="12" hidden="1" customHeight="1" outlineLevel="3">
      <c r="B331" s="245"/>
      <c r="C331" s="250" t="s">
        <v>776</v>
      </c>
      <c r="D331" s="250"/>
      <c r="E331" s="213"/>
      <c r="F331" s="213"/>
      <c r="G331" s="213"/>
      <c r="H331" s="213"/>
      <c r="I331" s="213"/>
      <c r="J331" s="213"/>
      <c r="K331" s="213"/>
      <c r="L331" s="213"/>
      <c r="M331" s="213"/>
      <c r="N331" s="213"/>
      <c r="O331" s="213"/>
      <c r="P331" s="213"/>
      <c r="Q331" s="213"/>
      <c r="R331" s="213"/>
      <c r="S331" s="213"/>
      <c r="T331" s="213"/>
      <c r="U331" s="213"/>
      <c r="V331" s="213"/>
      <c r="W331" s="213"/>
      <c r="X331" s="213"/>
      <c r="Y331" s="213"/>
      <c r="Z331" s="213"/>
      <c r="AA331" s="213"/>
      <c r="AB331" s="211">
        <f>INDEX($C$199:$AN$221, MATCH("New Customers 3MS", $C$199:$C$221, 0), MATCH($C331, $C$199:$AN$199, 0))</f>
        <v>0</v>
      </c>
      <c r="AC331" s="211"/>
      <c r="AD331" s="211"/>
      <c r="AE331" s="211">
        <f>AB331*(E307)</f>
        <v>0</v>
      </c>
      <c r="AF331" s="211"/>
      <c r="AG331" s="211"/>
      <c r="AH331" s="211">
        <f>AB331*(H307)</f>
        <v>0</v>
      </c>
      <c r="AI331" s="211"/>
      <c r="AJ331" s="211"/>
      <c r="AK331" s="211">
        <f>AB331*($K$153)</f>
        <v>0</v>
      </c>
      <c r="AL331" s="211"/>
      <c r="AM331" s="211"/>
      <c r="AN331" s="211">
        <f>AB331*(N307)</f>
        <v>0</v>
      </c>
    </row>
    <row r="332" spans="2:40 16380:16380" ht="12" hidden="1" customHeight="1" outlineLevel="3">
      <c r="B332" s="245"/>
      <c r="C332" s="250" t="s">
        <v>777</v>
      </c>
      <c r="D332" s="250"/>
      <c r="E332" s="213"/>
      <c r="F332" s="213"/>
      <c r="G332" s="213"/>
      <c r="H332" s="213"/>
      <c r="I332" s="213"/>
      <c r="J332" s="213"/>
      <c r="K332" s="213"/>
      <c r="L332" s="213"/>
      <c r="M332" s="213"/>
      <c r="N332" s="213"/>
      <c r="O332" s="213"/>
      <c r="P332" s="213"/>
      <c r="Q332" s="213"/>
      <c r="R332" s="213"/>
      <c r="S332" s="213"/>
      <c r="T332" s="213"/>
      <c r="U332" s="213"/>
      <c r="V332" s="213"/>
      <c r="W332" s="213"/>
      <c r="X332" s="213"/>
      <c r="Y332" s="213"/>
      <c r="Z332" s="213"/>
      <c r="AA332" s="213"/>
      <c r="AB332" s="211"/>
      <c r="AC332" s="211">
        <f>INDEX($C$199:$AN$221, MATCH("New Customers 3MS", $C$199:$C$221, 0), MATCH($C332, $C$199:$AN$199, 0))</f>
        <v>0</v>
      </c>
      <c r="AD332" s="211"/>
      <c r="AE332" s="211"/>
      <c r="AF332" s="211">
        <f>AC332*($E$153)</f>
        <v>0</v>
      </c>
      <c r="AG332" s="211"/>
      <c r="AH332" s="211"/>
      <c r="AI332" s="211">
        <f>AB331*($H$153)</f>
        <v>0</v>
      </c>
      <c r="AJ332" s="211"/>
      <c r="AK332" s="211"/>
      <c r="AL332" s="211">
        <f>AC332*($K$153)</f>
        <v>0</v>
      </c>
      <c r="AM332" s="211"/>
      <c r="AN332" s="211"/>
    </row>
    <row r="333" spans="2:40 16380:16380" ht="12" hidden="1" customHeight="1" outlineLevel="3">
      <c r="B333" s="245"/>
      <c r="C333" s="250" t="s">
        <v>778</v>
      </c>
      <c r="D333" s="250"/>
      <c r="E333" s="213"/>
      <c r="F333" s="213"/>
      <c r="G333" s="213"/>
      <c r="H333" s="213"/>
      <c r="I333" s="213"/>
      <c r="J333" s="213"/>
      <c r="K333" s="213"/>
      <c r="L333" s="213"/>
      <c r="M333" s="213"/>
      <c r="N333" s="213"/>
      <c r="O333" s="213"/>
      <c r="P333" s="213"/>
      <c r="Q333" s="213"/>
      <c r="R333" s="213"/>
      <c r="S333" s="213"/>
      <c r="T333" s="213"/>
      <c r="U333" s="213"/>
      <c r="V333" s="213"/>
      <c r="W333" s="213"/>
      <c r="X333" s="213"/>
      <c r="Y333" s="213"/>
      <c r="Z333" s="213"/>
      <c r="AA333" s="213"/>
      <c r="AB333" s="211"/>
      <c r="AC333" s="211"/>
      <c r="AD333" s="211">
        <f>INDEX($C$199:$AN$221, MATCH("New Customers 3MS", $C$199:$C$221, 0), MATCH($C333, $C$199:$AN$199, 0))</f>
        <v>0</v>
      </c>
      <c r="AE333" s="211"/>
      <c r="AF333" s="211"/>
      <c r="AG333" s="211">
        <f>AD333*($E$153)</f>
        <v>0</v>
      </c>
      <c r="AH333" s="211"/>
      <c r="AI333" s="211"/>
      <c r="AJ333" s="211">
        <f>AB331*($H$153)</f>
        <v>0</v>
      </c>
      <c r="AK333" s="211"/>
      <c r="AL333" s="211"/>
      <c r="AM333" s="211">
        <f>AD333*($K$153)</f>
        <v>0</v>
      </c>
      <c r="AN333" s="211"/>
    </row>
    <row r="334" spans="2:40 16380:16380" ht="12" hidden="1" customHeight="1" outlineLevel="3">
      <c r="B334" s="245"/>
      <c r="C334" s="250" t="s">
        <v>779</v>
      </c>
      <c r="D334" s="250"/>
      <c r="E334" s="213"/>
      <c r="F334" s="213"/>
      <c r="G334" s="213"/>
      <c r="H334" s="213"/>
      <c r="I334" s="213"/>
      <c r="J334" s="213"/>
      <c r="K334" s="213"/>
      <c r="L334" s="213"/>
      <c r="M334" s="213"/>
      <c r="N334" s="213"/>
      <c r="O334" s="213"/>
      <c r="P334" s="213"/>
      <c r="Q334" s="213"/>
      <c r="R334" s="213"/>
      <c r="S334" s="213"/>
      <c r="T334" s="213"/>
      <c r="U334" s="213"/>
      <c r="V334" s="213"/>
      <c r="W334" s="213"/>
      <c r="X334" s="213"/>
      <c r="Y334" s="213"/>
      <c r="Z334" s="213"/>
      <c r="AA334" s="213"/>
      <c r="AB334" s="211"/>
      <c r="AC334" s="211"/>
      <c r="AD334" s="211"/>
      <c r="AE334" s="211">
        <f>INDEX($C$199:$AN$221, MATCH("New Customers 3MS", $C$199:$C$221, 0), MATCH($C334, $C$199:$AN$199, 0))</f>
        <v>0</v>
      </c>
      <c r="AF334" s="211"/>
      <c r="AG334" s="211"/>
      <c r="AH334" s="211">
        <f>AE334*($E$153)</f>
        <v>0</v>
      </c>
      <c r="AI334" s="211"/>
      <c r="AJ334" s="211"/>
      <c r="AK334" s="211">
        <f>AB331*($H$153)</f>
        <v>0</v>
      </c>
      <c r="AL334" s="211"/>
      <c r="AM334" s="211"/>
      <c r="AN334" s="211">
        <f>AE334*($K$153)</f>
        <v>0</v>
      </c>
    </row>
    <row r="335" spans="2:40 16380:16380" ht="12" hidden="1" customHeight="1" outlineLevel="3">
      <c r="B335" s="245"/>
      <c r="C335" s="250" t="s">
        <v>780</v>
      </c>
      <c r="D335" s="250"/>
      <c r="E335" s="213"/>
      <c r="F335" s="213"/>
      <c r="G335" s="213"/>
      <c r="H335" s="213"/>
      <c r="I335" s="213"/>
      <c r="J335" s="213"/>
      <c r="K335" s="213"/>
      <c r="L335" s="213"/>
      <c r="M335" s="213"/>
      <c r="N335" s="213"/>
      <c r="O335" s="213"/>
      <c r="P335" s="213"/>
      <c r="Q335" s="213"/>
      <c r="R335" s="213"/>
      <c r="S335" s="213"/>
      <c r="T335" s="213"/>
      <c r="U335" s="213"/>
      <c r="V335" s="213"/>
      <c r="W335" s="213"/>
      <c r="X335" s="213"/>
      <c r="Y335" s="213"/>
      <c r="Z335" s="213"/>
      <c r="AA335" s="213"/>
      <c r="AB335" s="211"/>
      <c r="AC335" s="211"/>
      <c r="AD335" s="211"/>
      <c r="AE335" s="211"/>
      <c r="AF335" s="211">
        <f>INDEX($C$199:$AN$221, MATCH("New Customers 3MS", $C$199:$C$221, 0), MATCH($C335, $C$199:$AN$199, 0))</f>
        <v>0</v>
      </c>
      <c r="AG335" s="211"/>
      <c r="AH335" s="211"/>
      <c r="AI335" s="211">
        <f>AF335*($E$153)</f>
        <v>0</v>
      </c>
      <c r="AJ335" s="211"/>
      <c r="AK335" s="211"/>
      <c r="AL335" s="211">
        <f>AB331*($H$153)</f>
        <v>0</v>
      </c>
      <c r="AM335" s="211"/>
      <c r="AN335" s="211"/>
    </row>
    <row r="336" spans="2:40 16380:16380" ht="12" hidden="1" customHeight="1" outlineLevel="3">
      <c r="B336" s="245"/>
      <c r="C336" s="250" t="s">
        <v>781</v>
      </c>
      <c r="D336" s="250"/>
      <c r="E336" s="213"/>
      <c r="F336" s="213"/>
      <c r="G336" s="213"/>
      <c r="H336" s="213"/>
      <c r="I336" s="213"/>
      <c r="J336" s="213"/>
      <c r="K336" s="213"/>
      <c r="L336" s="213"/>
      <c r="M336" s="213"/>
      <c r="N336" s="213"/>
      <c r="O336" s="213"/>
      <c r="P336" s="213"/>
      <c r="Q336" s="213"/>
      <c r="R336" s="213"/>
      <c r="S336" s="213"/>
      <c r="T336" s="213"/>
      <c r="U336" s="213"/>
      <c r="V336" s="213"/>
      <c r="W336" s="213"/>
      <c r="X336" s="213"/>
      <c r="Y336" s="213"/>
      <c r="Z336" s="213"/>
      <c r="AA336" s="213"/>
      <c r="AB336" s="211"/>
      <c r="AC336" s="211"/>
      <c r="AD336" s="211"/>
      <c r="AE336" s="211"/>
      <c r="AF336" s="211"/>
      <c r="AG336" s="211">
        <f>INDEX($C$199:$AN$221, MATCH("New Customers 3MS", $C$199:$C$221, 0), MATCH($C336, $C$199:$AN$199, 0))</f>
        <v>0</v>
      </c>
      <c r="AH336" s="211"/>
      <c r="AI336" s="211"/>
      <c r="AJ336" s="211">
        <f>AG336*($E$153)</f>
        <v>0</v>
      </c>
      <c r="AK336" s="211"/>
      <c r="AL336" s="211"/>
      <c r="AM336" s="211">
        <f>AB331*($H$153)</f>
        <v>0</v>
      </c>
      <c r="AN336" s="211"/>
    </row>
    <row r="337" spans="2:40" ht="12" hidden="1" customHeight="1" outlineLevel="3">
      <c r="B337" s="245"/>
      <c r="C337" s="250" t="s">
        <v>782</v>
      </c>
      <c r="D337" s="250"/>
      <c r="E337" s="213"/>
      <c r="F337" s="213"/>
      <c r="G337" s="213"/>
      <c r="H337" s="213"/>
      <c r="I337" s="213"/>
      <c r="J337" s="213"/>
      <c r="K337" s="213"/>
      <c r="L337" s="213"/>
      <c r="M337" s="213"/>
      <c r="N337" s="213"/>
      <c r="O337" s="213"/>
      <c r="P337" s="213"/>
      <c r="Q337" s="213"/>
      <c r="R337" s="213"/>
      <c r="S337" s="213"/>
      <c r="T337" s="213"/>
      <c r="U337" s="213"/>
      <c r="V337" s="213"/>
      <c r="W337" s="213"/>
      <c r="X337" s="213"/>
      <c r="Y337" s="213"/>
      <c r="Z337" s="213"/>
      <c r="AA337" s="213"/>
      <c r="AB337" s="211"/>
      <c r="AC337" s="211"/>
      <c r="AD337" s="211"/>
      <c r="AE337" s="211"/>
      <c r="AF337" s="211"/>
      <c r="AG337" s="211"/>
      <c r="AH337" s="211">
        <f>INDEX($C$199:$AN$221, MATCH("New Customers 3MS", $C$199:$C$221, 0), MATCH($C337, $C$199:$AN$199, 0))</f>
        <v>0</v>
      </c>
      <c r="AI337" s="211"/>
      <c r="AJ337" s="211"/>
      <c r="AK337" s="211">
        <f>AH337*($E$153)</f>
        <v>0</v>
      </c>
      <c r="AL337" s="211"/>
      <c r="AM337" s="211"/>
      <c r="AN337" s="211">
        <f>AB331*($H$153)</f>
        <v>0</v>
      </c>
    </row>
    <row r="338" spans="2:40" ht="12" hidden="1" customHeight="1" outlineLevel="3">
      <c r="B338" s="245"/>
      <c r="C338" s="250" t="s">
        <v>783</v>
      </c>
      <c r="D338" s="250"/>
      <c r="E338" s="213"/>
      <c r="F338" s="213"/>
      <c r="G338" s="213"/>
      <c r="H338" s="213"/>
      <c r="I338" s="213"/>
      <c r="J338" s="213"/>
      <c r="K338" s="213"/>
      <c r="L338" s="213"/>
      <c r="M338" s="213"/>
      <c r="N338" s="213"/>
      <c r="O338" s="213"/>
      <c r="P338" s="213"/>
      <c r="Q338" s="213"/>
      <c r="R338" s="213"/>
      <c r="S338" s="213"/>
      <c r="T338" s="213"/>
      <c r="U338" s="213"/>
      <c r="V338" s="213"/>
      <c r="W338" s="213"/>
      <c r="X338" s="213"/>
      <c r="Y338" s="213"/>
      <c r="Z338" s="213"/>
      <c r="AA338" s="213"/>
      <c r="AB338" s="211"/>
      <c r="AC338" s="211"/>
      <c r="AD338" s="211"/>
      <c r="AE338" s="211"/>
      <c r="AF338" s="211"/>
      <c r="AG338" s="211"/>
      <c r="AH338" s="211"/>
      <c r="AI338" s="211">
        <f>INDEX($C$199:$AN$221, MATCH("New Customers 3MS", $C$199:$C$221, 0), MATCH($C338, $C$199:$AN$199, 0))</f>
        <v>0</v>
      </c>
      <c r="AJ338" s="211"/>
      <c r="AK338" s="211"/>
      <c r="AL338" s="211">
        <f>AI338*($E$153)</f>
        <v>0</v>
      </c>
      <c r="AM338" s="211"/>
      <c r="AN338" s="211"/>
    </row>
    <row r="339" spans="2:40" ht="12" hidden="1" customHeight="1" outlineLevel="3">
      <c r="B339" s="245"/>
      <c r="C339" s="250" t="s">
        <v>784</v>
      </c>
      <c r="D339" s="250"/>
      <c r="E339" s="213"/>
      <c r="F339" s="213"/>
      <c r="G339" s="213"/>
      <c r="H339" s="213"/>
      <c r="I339" s="213"/>
      <c r="J339" s="213"/>
      <c r="K339" s="213"/>
      <c r="L339" s="213"/>
      <c r="M339" s="213"/>
      <c r="N339" s="213"/>
      <c r="O339" s="213"/>
      <c r="P339" s="213"/>
      <c r="Q339" s="213"/>
      <c r="R339" s="213"/>
      <c r="S339" s="213"/>
      <c r="T339" s="213"/>
      <c r="U339" s="213"/>
      <c r="V339" s="213"/>
      <c r="W339" s="213"/>
      <c r="X339" s="213"/>
      <c r="Y339" s="213"/>
      <c r="Z339" s="213"/>
      <c r="AA339" s="213"/>
      <c r="AB339" s="211"/>
      <c r="AC339" s="211"/>
      <c r="AD339" s="211"/>
      <c r="AE339" s="211"/>
      <c r="AF339" s="211"/>
      <c r="AG339" s="211"/>
      <c r="AH339" s="211"/>
      <c r="AI339" s="211"/>
      <c r="AJ339" s="211">
        <f>INDEX($C$199:$AN$221, MATCH("New Customers 3MS", $C$199:$C$221, 0), MATCH($C339, $C$199:$AN$199, 0))</f>
        <v>0</v>
      </c>
      <c r="AK339" s="211"/>
      <c r="AL339" s="211"/>
      <c r="AM339" s="211">
        <f>AJ339*($E$153)</f>
        <v>0</v>
      </c>
      <c r="AN339" s="211"/>
    </row>
    <row r="340" spans="2:40" ht="12" hidden="1" customHeight="1" outlineLevel="3">
      <c r="B340" s="245"/>
      <c r="C340" s="250" t="s">
        <v>785</v>
      </c>
      <c r="D340" s="250"/>
      <c r="E340" s="213"/>
      <c r="F340" s="213"/>
      <c r="G340" s="213"/>
      <c r="H340" s="213"/>
      <c r="I340" s="213"/>
      <c r="J340" s="213"/>
      <c r="K340" s="213"/>
      <c r="L340" s="213"/>
      <c r="M340" s="213"/>
      <c r="N340" s="213"/>
      <c r="O340" s="213"/>
      <c r="P340" s="213"/>
      <c r="Q340" s="213"/>
      <c r="R340" s="213"/>
      <c r="S340" s="213"/>
      <c r="T340" s="213"/>
      <c r="U340" s="213"/>
      <c r="V340" s="213"/>
      <c r="W340" s="213"/>
      <c r="X340" s="213"/>
      <c r="Y340" s="213"/>
      <c r="Z340" s="213"/>
      <c r="AA340" s="213"/>
      <c r="AB340" s="211"/>
      <c r="AC340" s="211"/>
      <c r="AD340" s="211"/>
      <c r="AE340" s="211"/>
      <c r="AF340" s="211"/>
      <c r="AG340" s="211"/>
      <c r="AH340" s="211"/>
      <c r="AI340" s="211"/>
      <c r="AJ340" s="211"/>
      <c r="AK340" s="211">
        <f>INDEX($C$199:$AN$221, MATCH("New Customers 3MS", $C$199:$C$221, 0), MATCH($C340, $C$199:$AN$199, 0))</f>
        <v>0</v>
      </c>
      <c r="AL340" s="211"/>
      <c r="AM340" s="211"/>
      <c r="AN340" s="211">
        <f>AK340*($E$153)</f>
        <v>0</v>
      </c>
    </row>
    <row r="341" spans="2:40" ht="12" hidden="1" customHeight="1" outlineLevel="3">
      <c r="B341" s="245"/>
      <c r="C341" s="250" t="s">
        <v>786</v>
      </c>
      <c r="D341" s="250"/>
      <c r="E341" s="213"/>
      <c r="F341" s="213"/>
      <c r="G341" s="213"/>
      <c r="H341" s="213"/>
      <c r="I341" s="213"/>
      <c r="J341" s="213"/>
      <c r="K341" s="213"/>
      <c r="L341" s="213"/>
      <c r="M341" s="213"/>
      <c r="N341" s="213"/>
      <c r="O341" s="213"/>
      <c r="P341" s="213"/>
      <c r="Q341" s="213"/>
      <c r="R341" s="213"/>
      <c r="S341" s="213"/>
      <c r="T341" s="213"/>
      <c r="U341" s="213"/>
      <c r="V341" s="213"/>
      <c r="W341" s="213"/>
      <c r="X341" s="213"/>
      <c r="Y341" s="213"/>
      <c r="Z341" s="213"/>
      <c r="AA341" s="213"/>
      <c r="AB341" s="211"/>
      <c r="AC341" s="211"/>
      <c r="AD341" s="211"/>
      <c r="AE341" s="211"/>
      <c r="AF341" s="211"/>
      <c r="AG341" s="211"/>
      <c r="AH341" s="211"/>
      <c r="AI341" s="211"/>
      <c r="AJ341" s="211"/>
      <c r="AK341" s="211"/>
      <c r="AL341" s="211">
        <f>INDEX($C$199:$AN$221, MATCH("New Customers 3MS", $C$199:$C$221, 0), MATCH($C341, $C$199:$AN$199, 0))</f>
        <v>0</v>
      </c>
      <c r="AM341" s="211"/>
      <c r="AN341" s="211"/>
    </row>
    <row r="342" spans="2:40" ht="12" hidden="1" customHeight="1" outlineLevel="3">
      <c r="B342" s="245"/>
      <c r="C342" s="250" t="s">
        <v>787</v>
      </c>
      <c r="D342" s="250"/>
      <c r="E342" s="213"/>
      <c r="F342" s="213"/>
      <c r="G342" s="213"/>
      <c r="H342" s="213"/>
      <c r="I342" s="213"/>
      <c r="J342" s="213"/>
      <c r="K342" s="213"/>
      <c r="L342" s="213"/>
      <c r="M342" s="213"/>
      <c r="N342" s="213"/>
      <c r="O342" s="213"/>
      <c r="P342" s="213"/>
      <c r="Q342" s="213"/>
      <c r="R342" s="213"/>
      <c r="S342" s="213"/>
      <c r="T342" s="213"/>
      <c r="U342" s="213"/>
      <c r="V342" s="213"/>
      <c r="W342" s="213"/>
      <c r="X342" s="213"/>
      <c r="Y342" s="213"/>
      <c r="Z342" s="213"/>
      <c r="AA342" s="213"/>
      <c r="AB342" s="211"/>
      <c r="AC342" s="211"/>
      <c r="AD342" s="211"/>
      <c r="AE342" s="211"/>
      <c r="AF342" s="211"/>
      <c r="AG342" s="211"/>
      <c r="AH342" s="211"/>
      <c r="AI342" s="211"/>
      <c r="AJ342" s="211"/>
      <c r="AK342" s="211"/>
      <c r="AL342" s="211"/>
      <c r="AM342" s="211">
        <f>INDEX($C$199:$AN$221, MATCH("New Customers 3MS", $C$199:$C$221, 0), MATCH($C342, $C$199:$AN$199, 0))</f>
        <v>0</v>
      </c>
      <c r="AN342" s="211"/>
    </row>
    <row r="343" spans="2:40" ht="12" hidden="1" customHeight="1" outlineLevel="3">
      <c r="B343" s="245"/>
      <c r="C343" s="250" t="s">
        <v>788</v>
      </c>
      <c r="D343" s="250"/>
      <c r="E343" s="213"/>
      <c r="F343" s="213"/>
      <c r="G343" s="213"/>
      <c r="H343" s="213"/>
      <c r="I343" s="213"/>
      <c r="J343" s="213"/>
      <c r="K343" s="213"/>
      <c r="L343" s="213"/>
      <c r="M343" s="213"/>
      <c r="N343" s="213"/>
      <c r="O343" s="213"/>
      <c r="P343" s="213"/>
      <c r="Q343" s="213"/>
      <c r="R343" s="213"/>
      <c r="S343" s="213"/>
      <c r="T343" s="213"/>
      <c r="U343" s="213"/>
      <c r="V343" s="213"/>
      <c r="W343" s="213"/>
      <c r="X343" s="213"/>
      <c r="Y343" s="213"/>
      <c r="Z343" s="213"/>
      <c r="AA343" s="213"/>
      <c r="AB343" s="211"/>
      <c r="AC343" s="211"/>
      <c r="AD343" s="211"/>
      <c r="AE343" s="211"/>
      <c r="AF343" s="211"/>
      <c r="AG343" s="211"/>
      <c r="AH343" s="211"/>
      <c r="AI343" s="211"/>
      <c r="AJ343" s="211"/>
      <c r="AK343" s="211"/>
      <c r="AL343" s="211"/>
      <c r="AM343" s="211"/>
      <c r="AN343" s="211">
        <f>INDEX($C$199:$AN$221, MATCH("New Customers 3MS", $C$199:$C$221, 0), MATCH($C343, $C$199:$AN$199, 0))</f>
        <v>0</v>
      </c>
    </row>
    <row r="344" spans="2:40" ht="12" hidden="1" customHeight="1" outlineLevel="2">
      <c r="B344" s="245"/>
      <c r="C344" s="250"/>
      <c r="D344" s="250"/>
      <c r="E344" s="213"/>
      <c r="F344" s="213"/>
      <c r="G344" s="213"/>
      <c r="H344" s="213"/>
      <c r="I344" s="213"/>
      <c r="J344" s="213"/>
      <c r="K344" s="213"/>
      <c r="L344" s="213"/>
      <c r="M344" s="213"/>
      <c r="N344" s="213"/>
      <c r="O344" s="213"/>
      <c r="P344" s="213"/>
      <c r="Q344" s="213"/>
      <c r="R344" s="213"/>
      <c r="S344" s="213"/>
      <c r="T344" s="213"/>
      <c r="U344" s="213"/>
      <c r="V344" s="213"/>
      <c r="W344" s="213"/>
      <c r="X344" s="213"/>
      <c r="Y344" s="213"/>
      <c r="Z344" s="213"/>
      <c r="AA344" s="213"/>
      <c r="AB344" s="211"/>
      <c r="AC344" s="211"/>
      <c r="AD344" s="211"/>
      <c r="AE344" s="211"/>
      <c r="AF344" s="211"/>
      <c r="AG344" s="211"/>
      <c r="AH344" s="211"/>
      <c r="AI344" s="211"/>
      <c r="AJ344" s="211"/>
      <c r="AK344" s="211"/>
      <c r="AL344" s="211"/>
      <c r="AM344" s="211"/>
      <c r="AN344" s="211"/>
    </row>
    <row r="345" spans="2:40" ht="12" customHeight="1" outlineLevel="1" collapsed="1">
      <c r="B345" s="239"/>
      <c r="C345" s="243" t="s">
        <v>855</v>
      </c>
      <c r="D345" s="212"/>
      <c r="E345" s="214"/>
      <c r="F345" s="214"/>
      <c r="G345" s="214"/>
      <c r="H345" s="214"/>
      <c r="I345" s="214"/>
      <c r="J345" s="214"/>
      <c r="K345" s="214"/>
      <c r="L345" s="214"/>
      <c r="M345" s="214"/>
      <c r="N345" s="214"/>
      <c r="O345" s="214"/>
      <c r="P345" s="214"/>
      <c r="Q345" s="214"/>
      <c r="R345" s="214"/>
      <c r="S345" s="214"/>
      <c r="T345" s="214"/>
      <c r="U345" s="214"/>
      <c r="V345" s="214"/>
      <c r="W345" s="214"/>
      <c r="X345" s="214"/>
      <c r="Y345" s="214"/>
      <c r="Z345" s="214"/>
      <c r="AA345" s="214"/>
      <c r="AB345" s="214"/>
      <c r="AC345" s="215"/>
    </row>
    <row r="346" spans="2:40" ht="12" customHeight="1" outlineLevel="1">
      <c r="B346" s="239"/>
      <c r="C346" s="214"/>
      <c r="D346" s="212"/>
      <c r="E346" s="214"/>
      <c r="F346" s="214"/>
      <c r="G346" s="214"/>
      <c r="H346" s="214"/>
      <c r="I346" s="214"/>
      <c r="J346" s="214"/>
      <c r="K346" s="214"/>
      <c r="L346" s="214"/>
      <c r="M346" s="214"/>
      <c r="N346" s="214"/>
      <c r="O346" s="214"/>
      <c r="P346" s="214"/>
      <c r="Q346" s="214"/>
      <c r="R346" s="214"/>
      <c r="S346" s="214"/>
      <c r="T346" s="214"/>
      <c r="U346" s="214"/>
      <c r="V346" s="214"/>
      <c r="W346" s="214"/>
      <c r="X346" s="214"/>
      <c r="Y346" s="214"/>
      <c r="Z346" s="214"/>
      <c r="AA346" s="214"/>
      <c r="AB346" s="214"/>
      <c r="AC346" s="214"/>
    </row>
    <row r="347" spans="2:40" outlineLevel="1">
      <c r="C347" s="10"/>
      <c r="D347" s="10"/>
    </row>
    <row r="348" spans="2:40" s="207" customFormat="1">
      <c r="C348" s="248" t="s">
        <v>862</v>
      </c>
    </row>
    <row r="349" spans="2:40" ht="12" customHeight="1" outlineLevel="1">
      <c r="B349" s="237"/>
      <c r="C349" s="208"/>
      <c r="D349" s="208"/>
      <c r="E349" s="196" t="s">
        <v>753</v>
      </c>
      <c r="F349" s="196" t="s">
        <v>754</v>
      </c>
      <c r="G349" s="196" t="s">
        <v>755</v>
      </c>
      <c r="H349" s="196" t="s">
        <v>756</v>
      </c>
      <c r="I349" s="196" t="s">
        <v>757</v>
      </c>
      <c r="J349" s="196" t="s">
        <v>758</v>
      </c>
      <c r="K349" s="196" t="s">
        <v>759</v>
      </c>
      <c r="L349" s="196" t="s">
        <v>760</v>
      </c>
      <c r="M349" s="196" t="s">
        <v>761</v>
      </c>
      <c r="N349" s="196" t="s">
        <v>762</v>
      </c>
      <c r="O349" s="196" t="s">
        <v>763</v>
      </c>
      <c r="P349" s="196" t="s">
        <v>764</v>
      </c>
      <c r="Q349" s="196" t="s">
        <v>765</v>
      </c>
      <c r="R349" s="196" t="s">
        <v>766</v>
      </c>
      <c r="S349" s="196" t="s">
        <v>767</v>
      </c>
      <c r="T349" s="196" t="s">
        <v>768</v>
      </c>
      <c r="U349" s="196" t="s">
        <v>769</v>
      </c>
      <c r="V349" s="196" t="s">
        <v>770</v>
      </c>
      <c r="W349" s="196" t="s">
        <v>771</v>
      </c>
      <c r="X349" s="196" t="s">
        <v>772</v>
      </c>
      <c r="Y349" s="196" t="s">
        <v>773</v>
      </c>
      <c r="Z349" s="196" t="s">
        <v>774</v>
      </c>
      <c r="AA349" s="196" t="s">
        <v>775</v>
      </c>
      <c r="AB349" s="196" t="s">
        <v>776</v>
      </c>
      <c r="AC349" s="196" t="s">
        <v>777</v>
      </c>
      <c r="AD349" s="196" t="s">
        <v>778</v>
      </c>
      <c r="AE349" s="196" t="s">
        <v>779</v>
      </c>
      <c r="AF349" s="196" t="s">
        <v>780</v>
      </c>
      <c r="AG349" s="196" t="s">
        <v>781</v>
      </c>
      <c r="AH349" s="196" t="s">
        <v>782</v>
      </c>
      <c r="AI349" s="196" t="s">
        <v>783</v>
      </c>
      <c r="AJ349" s="196" t="s">
        <v>784</v>
      </c>
      <c r="AK349" s="196" t="s">
        <v>785</v>
      </c>
      <c r="AL349" s="196" t="s">
        <v>786</v>
      </c>
      <c r="AM349" s="196" t="s">
        <v>787</v>
      </c>
      <c r="AN349" s="196" t="s">
        <v>788</v>
      </c>
    </row>
    <row r="350" spans="2:40" ht="12" customHeight="1" outlineLevel="1">
      <c r="B350" s="239"/>
      <c r="C350" s="214" t="s">
        <v>821</v>
      </c>
      <c r="D350" s="214"/>
      <c r="E350" s="188"/>
      <c r="F350" s="188"/>
      <c r="G350" s="188"/>
      <c r="H350" s="188"/>
      <c r="I350" s="188"/>
      <c r="J350" s="188">
        <f t="shared" ref="J350:AN350" si="206">J36*J41</f>
        <v>0</v>
      </c>
      <c r="K350" s="188">
        <f t="shared" si="206"/>
        <v>0</v>
      </c>
      <c r="L350" s="188">
        <f t="shared" si="206"/>
        <v>0</v>
      </c>
      <c r="M350" s="188">
        <f t="shared" si="206"/>
        <v>1074.75</v>
      </c>
      <c r="N350" s="188">
        <f t="shared" si="206"/>
        <v>15000</v>
      </c>
      <c r="O350" s="188">
        <f t="shared" si="206"/>
        <v>15000</v>
      </c>
      <c r="P350" s="188">
        <f t="shared" si="206"/>
        <v>7500</v>
      </c>
      <c r="Q350" s="188">
        <f t="shared" si="206"/>
        <v>852.75</v>
      </c>
      <c r="R350" s="188">
        <f t="shared" si="206"/>
        <v>1692</v>
      </c>
      <c r="S350" s="188">
        <f t="shared" si="206"/>
        <v>1732.5</v>
      </c>
      <c r="T350" s="188">
        <f t="shared" si="206"/>
        <v>1023.48</v>
      </c>
      <c r="U350" s="188">
        <f t="shared" si="206"/>
        <v>947.4</v>
      </c>
      <c r="V350" s="188">
        <f t="shared" si="206"/>
        <v>1119.5999999999999</v>
      </c>
      <c r="W350" s="188">
        <f t="shared" si="206"/>
        <v>1447.2</v>
      </c>
      <c r="X350" s="188">
        <f t="shared" si="206"/>
        <v>859.8</v>
      </c>
      <c r="Y350" s="188">
        <f t="shared" si="206"/>
        <v>3439.2</v>
      </c>
      <c r="Z350" s="188">
        <f t="shared" si="206"/>
        <v>6000</v>
      </c>
      <c r="AA350" s="188">
        <f t="shared" si="206"/>
        <v>3600</v>
      </c>
      <c r="AB350" s="188">
        <f t="shared" si="206"/>
        <v>2400</v>
      </c>
      <c r="AC350" s="188">
        <f t="shared" si="206"/>
        <v>3060</v>
      </c>
      <c r="AD350" s="188">
        <f t="shared" si="206"/>
        <v>3121.2000000000003</v>
      </c>
      <c r="AE350" s="188">
        <f t="shared" si="206"/>
        <v>3183.6240000000003</v>
      </c>
      <c r="AF350" s="188">
        <f t="shared" si="206"/>
        <v>3247.29648</v>
      </c>
      <c r="AG350" s="188">
        <f t="shared" si="206"/>
        <v>3312.2424096</v>
      </c>
      <c r="AH350" s="188">
        <f t="shared" si="206"/>
        <v>3378.4872577919996</v>
      </c>
      <c r="AI350" s="188">
        <f t="shared" si="206"/>
        <v>3446.0570029478404</v>
      </c>
      <c r="AJ350" s="188">
        <f t="shared" si="206"/>
        <v>3514.9781430067969</v>
      </c>
      <c r="AK350" s="188">
        <f t="shared" si="206"/>
        <v>3585.2777058669335</v>
      </c>
      <c r="AL350" s="188">
        <f t="shared" si="206"/>
        <v>3656.9832599842721</v>
      </c>
      <c r="AM350" s="188">
        <f t="shared" si="206"/>
        <v>3730.1229251839577</v>
      </c>
      <c r="AN350" s="188">
        <f t="shared" si="206"/>
        <v>3804.7253836876371</v>
      </c>
    </row>
    <row r="351" spans="2:40" ht="12" customHeight="1" outlineLevel="1">
      <c r="B351" s="239"/>
      <c r="C351" s="214" t="s">
        <v>827</v>
      </c>
      <c r="D351" s="214"/>
      <c r="E351" s="234"/>
      <c r="F351" s="234"/>
      <c r="G351" s="234"/>
      <c r="H351" s="234"/>
      <c r="I351" s="234"/>
      <c r="J351" s="234"/>
      <c r="K351" s="234"/>
      <c r="L351" s="234"/>
      <c r="M351" s="189">
        <v>30</v>
      </c>
      <c r="N351" s="189">
        <v>30</v>
      </c>
      <c r="O351" s="189">
        <v>30</v>
      </c>
      <c r="P351" s="189">
        <v>30</v>
      </c>
      <c r="Q351" s="189">
        <v>30</v>
      </c>
      <c r="R351" s="189">
        <v>30</v>
      </c>
      <c r="S351" s="189">
        <v>30</v>
      </c>
      <c r="T351" s="189">
        <v>30</v>
      </c>
      <c r="U351" s="189">
        <v>30</v>
      </c>
      <c r="V351" s="189">
        <v>30</v>
      </c>
      <c r="W351" s="189">
        <v>30</v>
      </c>
      <c r="X351" s="189">
        <v>30</v>
      </c>
      <c r="Y351" s="189">
        <v>30</v>
      </c>
      <c r="Z351" s="189">
        <v>30</v>
      </c>
      <c r="AA351" s="189">
        <v>30</v>
      </c>
      <c r="AB351" s="189">
        <v>30</v>
      </c>
      <c r="AC351" s="189">
        <v>30</v>
      </c>
      <c r="AD351" s="189">
        <v>30</v>
      </c>
      <c r="AE351" s="189">
        <v>30</v>
      </c>
      <c r="AF351" s="189">
        <v>30</v>
      </c>
      <c r="AG351" s="189">
        <v>30</v>
      </c>
      <c r="AH351" s="189">
        <v>30</v>
      </c>
      <c r="AI351" s="189">
        <v>30</v>
      </c>
      <c r="AJ351" s="189">
        <v>30</v>
      </c>
      <c r="AK351" s="189">
        <v>30</v>
      </c>
      <c r="AL351" s="189">
        <v>30</v>
      </c>
      <c r="AM351" s="189">
        <v>30</v>
      </c>
      <c r="AN351" s="189">
        <v>30</v>
      </c>
    </row>
    <row r="352" spans="2:40" ht="12" customHeight="1" outlineLevel="1">
      <c r="B352" s="239"/>
      <c r="C352" s="214" t="s">
        <v>829</v>
      </c>
      <c r="D352" s="214"/>
      <c r="E352" s="232"/>
      <c r="F352" s="232"/>
      <c r="G352" s="232"/>
      <c r="H352" s="232"/>
      <c r="I352" s="232"/>
      <c r="J352" s="232"/>
      <c r="K352" s="232"/>
      <c r="L352" s="232"/>
      <c r="M352" s="205">
        <f t="shared" ref="M352:AN352" si="207">M350/M351</f>
        <v>35.825000000000003</v>
      </c>
      <c r="N352" s="205">
        <f t="shared" si="207"/>
        <v>500</v>
      </c>
      <c r="O352" s="205">
        <f t="shared" si="207"/>
        <v>500</v>
      </c>
      <c r="P352" s="205">
        <f t="shared" si="207"/>
        <v>250</v>
      </c>
      <c r="Q352" s="205">
        <f t="shared" si="207"/>
        <v>28.425000000000001</v>
      </c>
      <c r="R352" s="205">
        <f t="shared" si="207"/>
        <v>56.4</v>
      </c>
      <c r="S352" s="205">
        <f t="shared" si="207"/>
        <v>57.75</v>
      </c>
      <c r="T352" s="205">
        <f t="shared" si="207"/>
        <v>34.116</v>
      </c>
      <c r="U352" s="205">
        <f t="shared" si="207"/>
        <v>31.58</v>
      </c>
      <c r="V352" s="205">
        <f t="shared" si="207"/>
        <v>37.32</v>
      </c>
      <c r="W352" s="205">
        <f t="shared" si="207"/>
        <v>48.24</v>
      </c>
      <c r="X352" s="205">
        <f t="shared" si="207"/>
        <v>28.66</v>
      </c>
      <c r="Y352" s="205">
        <f t="shared" si="207"/>
        <v>114.64</v>
      </c>
      <c r="Z352" s="205">
        <f t="shared" si="207"/>
        <v>200</v>
      </c>
      <c r="AA352" s="205">
        <f t="shared" si="207"/>
        <v>120</v>
      </c>
      <c r="AB352" s="205">
        <f t="shared" si="207"/>
        <v>80</v>
      </c>
      <c r="AC352" s="205">
        <f t="shared" si="207"/>
        <v>102</v>
      </c>
      <c r="AD352" s="205">
        <f t="shared" si="207"/>
        <v>104.04</v>
      </c>
      <c r="AE352" s="205">
        <f t="shared" si="207"/>
        <v>106.1208</v>
      </c>
      <c r="AF352" s="205">
        <f t="shared" si="207"/>
        <v>108.243216</v>
      </c>
      <c r="AG352" s="205">
        <f t="shared" si="207"/>
        <v>110.40808032</v>
      </c>
      <c r="AH352" s="205">
        <f t="shared" si="207"/>
        <v>112.61624192639998</v>
      </c>
      <c r="AI352" s="205">
        <f t="shared" si="207"/>
        <v>114.86856676492802</v>
      </c>
      <c r="AJ352" s="205">
        <f t="shared" si="207"/>
        <v>117.16593810022657</v>
      </c>
      <c r="AK352" s="205">
        <f t="shared" si="207"/>
        <v>119.50925686223111</v>
      </c>
      <c r="AL352" s="205">
        <f t="shared" si="207"/>
        <v>121.89944199947574</v>
      </c>
      <c r="AM352" s="205">
        <f t="shared" si="207"/>
        <v>124.33743083946526</v>
      </c>
      <c r="AN352" s="205">
        <f t="shared" si="207"/>
        <v>126.82417945625457</v>
      </c>
    </row>
    <row r="353" spans="2:40" ht="12" customHeight="1" outlineLevel="1">
      <c r="B353" s="239"/>
      <c r="C353" s="214" t="s">
        <v>830</v>
      </c>
      <c r="D353" s="214"/>
      <c r="E353" s="256">
        <v>0</v>
      </c>
      <c r="F353" s="256">
        <v>0</v>
      </c>
      <c r="G353" s="256">
        <v>0</v>
      </c>
      <c r="H353" s="256">
        <v>0</v>
      </c>
      <c r="I353" s="256">
        <v>0</v>
      </c>
      <c r="J353" s="256">
        <v>0</v>
      </c>
      <c r="K353" s="256">
        <v>0</v>
      </c>
      <c r="L353" s="256">
        <v>0</v>
      </c>
      <c r="M353" s="190">
        <v>0.02</v>
      </c>
      <c r="N353" s="190">
        <v>0.02</v>
      </c>
      <c r="O353" s="190">
        <v>0.02</v>
      </c>
      <c r="P353" s="190">
        <v>0.02</v>
      </c>
      <c r="Q353" s="190">
        <v>0.02</v>
      </c>
      <c r="R353" s="190">
        <v>0.02</v>
      </c>
      <c r="S353" s="190">
        <v>0.02</v>
      </c>
      <c r="T353" s="190">
        <v>0.02</v>
      </c>
      <c r="U353" s="190">
        <v>0.02</v>
      </c>
      <c r="V353" s="190">
        <v>0.02</v>
      </c>
      <c r="W353" s="190">
        <v>0.02</v>
      </c>
      <c r="X353" s="190">
        <v>0.02</v>
      </c>
      <c r="Y353" s="190">
        <v>0.02</v>
      </c>
      <c r="Z353" s="190">
        <v>0.02</v>
      </c>
      <c r="AA353" s="190">
        <v>0.02</v>
      </c>
      <c r="AB353" s="190">
        <v>0.02</v>
      </c>
      <c r="AC353" s="190">
        <v>0.02</v>
      </c>
      <c r="AD353" s="190">
        <v>0.02</v>
      </c>
      <c r="AE353" s="190">
        <v>0.02</v>
      </c>
      <c r="AF353" s="190">
        <v>0.02</v>
      </c>
      <c r="AG353" s="190">
        <v>0.02</v>
      </c>
      <c r="AH353" s="190">
        <v>0.02</v>
      </c>
      <c r="AI353" s="190">
        <v>0.02</v>
      </c>
      <c r="AJ353" s="190">
        <v>0.02</v>
      </c>
      <c r="AK353" s="190">
        <v>0.02</v>
      </c>
      <c r="AL353" s="190">
        <v>0.02</v>
      </c>
      <c r="AM353" s="190">
        <v>0.02</v>
      </c>
      <c r="AN353" s="190">
        <v>0.02</v>
      </c>
    </row>
    <row r="354" spans="2:40" ht="12" customHeight="1" outlineLevel="1">
      <c r="B354" s="239"/>
      <c r="C354" s="214" t="s">
        <v>831</v>
      </c>
      <c r="D354" s="214"/>
      <c r="E354" s="232">
        <f t="shared" ref="E354:L354" si="208">E352*E353</f>
        <v>0</v>
      </c>
      <c r="F354" s="232">
        <f t="shared" si="208"/>
        <v>0</v>
      </c>
      <c r="G354" s="232">
        <f t="shared" si="208"/>
        <v>0</v>
      </c>
      <c r="H354" s="232">
        <f t="shared" si="208"/>
        <v>0</v>
      </c>
      <c r="I354" s="232">
        <f t="shared" si="208"/>
        <v>0</v>
      </c>
      <c r="J354" s="232">
        <f t="shared" si="208"/>
        <v>0</v>
      </c>
      <c r="K354" s="232">
        <f t="shared" si="208"/>
        <v>0</v>
      </c>
      <c r="L354" s="232">
        <f t="shared" si="208"/>
        <v>0</v>
      </c>
      <c r="M354" s="205">
        <f t="shared" ref="M354:AN354" si="209">M352*M353</f>
        <v>0.71650000000000003</v>
      </c>
      <c r="N354" s="205">
        <f t="shared" si="209"/>
        <v>10</v>
      </c>
      <c r="O354" s="205">
        <f t="shared" si="209"/>
        <v>10</v>
      </c>
      <c r="P354" s="205">
        <f t="shared" si="209"/>
        <v>5</v>
      </c>
      <c r="Q354" s="205">
        <f t="shared" si="209"/>
        <v>0.56850000000000001</v>
      </c>
      <c r="R354" s="205">
        <f t="shared" si="209"/>
        <v>1.1279999999999999</v>
      </c>
      <c r="S354" s="205">
        <f t="shared" si="209"/>
        <v>1.155</v>
      </c>
      <c r="T354" s="205">
        <f t="shared" si="209"/>
        <v>0.68232000000000004</v>
      </c>
      <c r="U354" s="205">
        <f t="shared" si="209"/>
        <v>0.63159999999999994</v>
      </c>
      <c r="V354" s="205">
        <f t="shared" si="209"/>
        <v>0.74640000000000006</v>
      </c>
      <c r="W354" s="205">
        <f t="shared" si="209"/>
        <v>0.9648000000000001</v>
      </c>
      <c r="X354" s="205">
        <f t="shared" si="209"/>
        <v>0.57320000000000004</v>
      </c>
      <c r="Y354" s="205">
        <f t="shared" si="209"/>
        <v>2.2928000000000002</v>
      </c>
      <c r="Z354" s="205">
        <f t="shared" si="209"/>
        <v>4</v>
      </c>
      <c r="AA354" s="205">
        <f t="shared" si="209"/>
        <v>2.4</v>
      </c>
      <c r="AB354" s="205">
        <f t="shared" si="209"/>
        <v>1.6</v>
      </c>
      <c r="AC354" s="205">
        <f t="shared" si="209"/>
        <v>2.04</v>
      </c>
      <c r="AD354" s="205">
        <f t="shared" si="209"/>
        <v>2.0808</v>
      </c>
      <c r="AE354" s="205">
        <f t="shared" si="209"/>
        <v>2.1224160000000003</v>
      </c>
      <c r="AF354" s="205">
        <f t="shared" si="209"/>
        <v>2.16486432</v>
      </c>
      <c r="AG354" s="205">
        <f t="shared" si="209"/>
        <v>2.2081616064</v>
      </c>
      <c r="AH354" s="205">
        <f t="shared" si="209"/>
        <v>2.2523248385279997</v>
      </c>
      <c r="AI354" s="205">
        <f t="shared" si="209"/>
        <v>2.2973713352985605</v>
      </c>
      <c r="AJ354" s="205">
        <f t="shared" si="209"/>
        <v>2.3433187620045315</v>
      </c>
      <c r="AK354" s="205">
        <f t="shared" si="209"/>
        <v>2.3901851372446221</v>
      </c>
      <c r="AL354" s="205">
        <f t="shared" si="209"/>
        <v>2.4379888399895147</v>
      </c>
      <c r="AM354" s="205">
        <f t="shared" si="209"/>
        <v>2.4867486167893054</v>
      </c>
      <c r="AN354" s="205">
        <f t="shared" si="209"/>
        <v>2.5364835891250914</v>
      </c>
    </row>
    <row r="355" spans="2:40" ht="12" customHeight="1" outlineLevel="1">
      <c r="B355" s="239"/>
      <c r="C355" s="214" t="s">
        <v>833</v>
      </c>
      <c r="D355" s="214"/>
      <c r="E355" s="232">
        <f>96+13</f>
        <v>109</v>
      </c>
      <c r="F355" s="232">
        <f>102+22</f>
        <v>124</v>
      </c>
      <c r="G355" s="232">
        <f>93+11</f>
        <v>104</v>
      </c>
      <c r="H355" s="232">
        <f>422+9</f>
        <v>431</v>
      </c>
      <c r="I355" s="232">
        <f>133+7</f>
        <v>140</v>
      </c>
      <c r="J355" s="232">
        <f>147+12</f>
        <v>159</v>
      </c>
      <c r="K355" s="232">
        <f>164+19</f>
        <v>183</v>
      </c>
      <c r="L355" s="232">
        <f>28+15</f>
        <v>43</v>
      </c>
      <c r="M355" s="205">
        <f t="shared" ref="M355:AN355" si="210">M352+M354</f>
        <v>36.541500000000006</v>
      </c>
      <c r="N355" s="205">
        <f t="shared" si="210"/>
        <v>510</v>
      </c>
      <c r="O355" s="205">
        <f t="shared" si="210"/>
        <v>510</v>
      </c>
      <c r="P355" s="205">
        <f t="shared" si="210"/>
        <v>255</v>
      </c>
      <c r="Q355" s="205">
        <f t="shared" si="210"/>
        <v>28.993500000000001</v>
      </c>
      <c r="R355" s="205">
        <f t="shared" si="210"/>
        <v>57.527999999999999</v>
      </c>
      <c r="S355" s="205">
        <f t="shared" si="210"/>
        <v>58.905000000000001</v>
      </c>
      <c r="T355" s="205">
        <f t="shared" si="210"/>
        <v>34.798319999999997</v>
      </c>
      <c r="U355" s="205">
        <f t="shared" si="210"/>
        <v>32.211599999999997</v>
      </c>
      <c r="V355" s="205">
        <f t="shared" si="210"/>
        <v>38.066400000000002</v>
      </c>
      <c r="W355" s="205">
        <f t="shared" si="210"/>
        <v>49.204799999999999</v>
      </c>
      <c r="X355" s="205">
        <f t="shared" si="210"/>
        <v>29.2332</v>
      </c>
      <c r="Y355" s="205">
        <f t="shared" si="210"/>
        <v>116.9328</v>
      </c>
      <c r="Z355" s="205">
        <f t="shared" si="210"/>
        <v>204</v>
      </c>
      <c r="AA355" s="205">
        <f t="shared" si="210"/>
        <v>122.4</v>
      </c>
      <c r="AB355" s="205">
        <f t="shared" si="210"/>
        <v>81.599999999999994</v>
      </c>
      <c r="AC355" s="205">
        <f t="shared" si="210"/>
        <v>104.04</v>
      </c>
      <c r="AD355" s="205">
        <f t="shared" si="210"/>
        <v>106.1208</v>
      </c>
      <c r="AE355" s="205">
        <f t="shared" si="210"/>
        <v>108.243216</v>
      </c>
      <c r="AF355" s="205">
        <f t="shared" si="210"/>
        <v>110.40808032000001</v>
      </c>
      <c r="AG355" s="205">
        <f t="shared" si="210"/>
        <v>112.61624192639999</v>
      </c>
      <c r="AH355" s="205">
        <f t="shared" si="210"/>
        <v>114.86856676492798</v>
      </c>
      <c r="AI355" s="205">
        <f t="shared" si="210"/>
        <v>117.16593810022658</v>
      </c>
      <c r="AJ355" s="205">
        <f t="shared" si="210"/>
        <v>119.5092568622311</v>
      </c>
      <c r="AK355" s="205">
        <f t="shared" si="210"/>
        <v>121.89944199947574</v>
      </c>
      <c r="AL355" s="205">
        <f t="shared" si="210"/>
        <v>124.33743083946526</v>
      </c>
      <c r="AM355" s="205">
        <f t="shared" si="210"/>
        <v>126.82417945625456</v>
      </c>
      <c r="AN355" s="205">
        <f t="shared" si="210"/>
        <v>129.36066304537965</v>
      </c>
    </row>
    <row r="356" spans="2:40" ht="12" customHeight="1" outlineLevel="1">
      <c r="B356" s="239"/>
      <c r="C356" s="214" t="s">
        <v>834</v>
      </c>
      <c r="D356" s="214"/>
      <c r="E356" s="232">
        <v>13</v>
      </c>
      <c r="F356" s="232">
        <v>22</v>
      </c>
      <c r="G356" s="232">
        <v>11</v>
      </c>
      <c r="H356" s="232">
        <v>9</v>
      </c>
      <c r="I356" s="232">
        <v>7</v>
      </c>
      <c r="J356" s="232">
        <v>12</v>
      </c>
      <c r="K356" s="232">
        <v>19</v>
      </c>
      <c r="L356" s="232">
        <v>15</v>
      </c>
      <c r="M356" s="205">
        <f t="shared" ref="M356:AN356" si="211">M364+M365</f>
        <v>10.962450000000004</v>
      </c>
      <c r="N356" s="205">
        <f t="shared" si="211"/>
        <v>153.00000000000003</v>
      </c>
      <c r="O356" s="205">
        <f t="shared" si="211"/>
        <v>153.00000000000003</v>
      </c>
      <c r="P356" s="205">
        <f t="shared" si="211"/>
        <v>76.500000000000014</v>
      </c>
      <c r="Q356" s="205">
        <f t="shared" si="211"/>
        <v>8.6980500000000021</v>
      </c>
      <c r="R356" s="205">
        <f t="shared" si="211"/>
        <v>17.258400000000002</v>
      </c>
      <c r="S356" s="205">
        <f t="shared" si="211"/>
        <v>17.671500000000002</v>
      </c>
      <c r="T356" s="205">
        <f t="shared" si="211"/>
        <v>10.439496</v>
      </c>
      <c r="U356" s="205">
        <f t="shared" si="211"/>
        <v>9.6634799999999998</v>
      </c>
      <c r="V356" s="205">
        <f t="shared" si="211"/>
        <v>11.419920000000003</v>
      </c>
      <c r="W356" s="205">
        <f t="shared" si="211"/>
        <v>14.761440000000002</v>
      </c>
      <c r="X356" s="205">
        <f t="shared" si="211"/>
        <v>8.7699600000000011</v>
      </c>
      <c r="Y356" s="205">
        <f t="shared" si="211"/>
        <v>35.079840000000004</v>
      </c>
      <c r="Z356" s="205">
        <f t="shared" si="211"/>
        <v>61.20000000000001</v>
      </c>
      <c r="AA356" s="205">
        <f t="shared" si="211"/>
        <v>36.720000000000006</v>
      </c>
      <c r="AB356" s="205">
        <f t="shared" si="211"/>
        <v>24.48</v>
      </c>
      <c r="AC356" s="205">
        <f t="shared" si="211"/>
        <v>31.212000000000007</v>
      </c>
      <c r="AD356" s="205">
        <f t="shared" si="211"/>
        <v>31.836240000000007</v>
      </c>
      <c r="AE356" s="205">
        <f t="shared" si="211"/>
        <v>32.472964800000007</v>
      </c>
      <c r="AF356" s="205">
        <f t="shared" si="211"/>
        <v>33.12242409600001</v>
      </c>
      <c r="AG356" s="205">
        <f t="shared" si="211"/>
        <v>33.784872577920005</v>
      </c>
      <c r="AH356" s="205">
        <f t="shared" si="211"/>
        <v>34.460570029478397</v>
      </c>
      <c r="AI356" s="205">
        <f t="shared" si="211"/>
        <v>35.149781430067982</v>
      </c>
      <c r="AJ356" s="205">
        <f t="shared" si="211"/>
        <v>35.852777058669332</v>
      </c>
      <c r="AK356" s="205">
        <f t="shared" si="211"/>
        <v>36.569832599842726</v>
      </c>
      <c r="AL356" s="205">
        <f t="shared" si="211"/>
        <v>37.30122925183958</v>
      </c>
      <c r="AM356" s="205">
        <f t="shared" si="211"/>
        <v>38.047253836876372</v>
      </c>
      <c r="AN356" s="205">
        <f t="shared" si="211"/>
        <v>38.8081989136139</v>
      </c>
    </row>
    <row r="357" spans="2:40" ht="12" customHeight="1" outlineLevel="1">
      <c r="B357" s="239"/>
      <c r="C357" s="214" t="s">
        <v>835</v>
      </c>
      <c r="D357" s="214"/>
      <c r="E357" s="232"/>
      <c r="F357" s="232"/>
      <c r="G357" s="232"/>
      <c r="H357" s="232"/>
      <c r="I357" s="232"/>
      <c r="J357" s="232"/>
      <c r="K357" s="232"/>
      <c r="L357" s="232"/>
      <c r="M357" s="205"/>
      <c r="N357" s="205"/>
      <c r="O357" s="205"/>
      <c r="P357" s="205"/>
      <c r="Q357" s="205"/>
      <c r="R357" s="205"/>
      <c r="S357" s="205"/>
      <c r="T357" s="205"/>
      <c r="U357" s="205"/>
      <c r="V357" s="205"/>
      <c r="W357" s="205"/>
      <c r="X357" s="205"/>
      <c r="Y357" s="205"/>
      <c r="Z357" s="205"/>
      <c r="AA357" s="205"/>
      <c r="AB357" s="205"/>
      <c r="AC357" s="205"/>
      <c r="AD357" s="205"/>
      <c r="AE357" s="205"/>
      <c r="AF357" s="205"/>
      <c r="AG357" s="205"/>
      <c r="AH357" s="205"/>
      <c r="AI357" s="205"/>
      <c r="AJ357" s="205"/>
      <c r="AK357" s="205"/>
      <c r="AL357" s="205"/>
      <c r="AM357" s="205"/>
      <c r="AN357" s="205"/>
    </row>
    <row r="358" spans="2:40" ht="12" customHeight="1" outlineLevel="1">
      <c r="B358" s="239"/>
      <c r="C358" s="214" t="s">
        <v>836</v>
      </c>
      <c r="D358" s="214"/>
      <c r="E358" s="232"/>
      <c r="F358" s="232"/>
      <c r="G358" s="232"/>
      <c r="H358" s="232"/>
      <c r="I358" s="232"/>
      <c r="J358" s="232"/>
      <c r="K358" s="232"/>
      <c r="L358" s="232"/>
      <c r="M358" s="205"/>
      <c r="N358" s="205"/>
      <c r="O358" s="205"/>
      <c r="P358" s="205"/>
      <c r="Q358" s="205"/>
      <c r="R358" s="205"/>
      <c r="S358" s="205"/>
      <c r="T358" s="205"/>
      <c r="U358" s="205"/>
      <c r="V358" s="205"/>
      <c r="W358" s="205"/>
      <c r="X358" s="205"/>
      <c r="Y358" s="205"/>
      <c r="Z358" s="205"/>
      <c r="AA358" s="205"/>
      <c r="AB358" s="205"/>
      <c r="AC358" s="205"/>
      <c r="AD358" s="205"/>
      <c r="AE358" s="205"/>
      <c r="AF358" s="205"/>
      <c r="AG358" s="205"/>
      <c r="AH358" s="205"/>
      <c r="AI358" s="205"/>
      <c r="AJ358" s="205"/>
      <c r="AK358" s="205"/>
      <c r="AL358" s="205"/>
      <c r="AM358" s="205"/>
      <c r="AN358" s="205"/>
    </row>
    <row r="359" spans="2:40" ht="12" customHeight="1" outlineLevel="1">
      <c r="B359" s="239" t="s">
        <v>922</v>
      </c>
      <c r="C359" s="214" t="s">
        <v>837</v>
      </c>
      <c r="D359" s="214"/>
      <c r="E359" s="8">
        <f>(E355-E356)/E355</f>
        <v>0.88073394495412849</v>
      </c>
      <c r="F359" s="8">
        <f t="shared" ref="F359:L359" si="212">(F355-F356)/F355</f>
        <v>0.82258064516129037</v>
      </c>
      <c r="G359" s="8">
        <f t="shared" si="212"/>
        <v>0.89423076923076927</v>
      </c>
      <c r="H359" s="8">
        <f t="shared" si="212"/>
        <v>0.97911832946635735</v>
      </c>
      <c r="I359" s="8">
        <f t="shared" si="212"/>
        <v>0.95</v>
      </c>
      <c r="J359" s="8">
        <f t="shared" si="212"/>
        <v>0.92452830188679247</v>
      </c>
      <c r="K359" s="8">
        <f t="shared" si="212"/>
        <v>0.89617486338797814</v>
      </c>
      <c r="L359" s="8">
        <f t="shared" si="212"/>
        <v>0.65116279069767447</v>
      </c>
      <c r="M359" s="9">
        <v>0.7</v>
      </c>
      <c r="N359" s="9">
        <v>0.7</v>
      </c>
      <c r="O359" s="9">
        <v>0.7</v>
      </c>
      <c r="P359" s="9">
        <v>0.7</v>
      </c>
      <c r="Q359" s="9">
        <v>0.7</v>
      </c>
      <c r="R359" s="9">
        <v>0.7</v>
      </c>
      <c r="S359" s="9">
        <v>0.7</v>
      </c>
      <c r="T359" s="9">
        <v>0.7</v>
      </c>
      <c r="U359" s="9">
        <v>0.7</v>
      </c>
      <c r="V359" s="9">
        <v>0.7</v>
      </c>
      <c r="W359" s="9">
        <v>0.7</v>
      </c>
      <c r="X359" s="9">
        <v>0.7</v>
      </c>
      <c r="Y359" s="9">
        <v>0.7</v>
      </c>
      <c r="Z359" s="9">
        <v>0.7</v>
      </c>
      <c r="AA359" s="9">
        <v>0.7</v>
      </c>
      <c r="AB359" s="9">
        <v>0.7</v>
      </c>
      <c r="AC359" s="9">
        <v>0.7</v>
      </c>
      <c r="AD359" s="9">
        <v>0.7</v>
      </c>
      <c r="AE359" s="9">
        <v>0.7</v>
      </c>
      <c r="AF359" s="9">
        <v>0.7</v>
      </c>
      <c r="AG359" s="9">
        <v>0.7</v>
      </c>
      <c r="AH359" s="9">
        <v>0.7</v>
      </c>
      <c r="AI359" s="9">
        <v>0.7</v>
      </c>
      <c r="AJ359" s="9">
        <v>0.7</v>
      </c>
      <c r="AK359" s="9">
        <v>0.7</v>
      </c>
      <c r="AL359" s="9">
        <v>0.7</v>
      </c>
      <c r="AM359" s="9">
        <v>0.7</v>
      </c>
      <c r="AN359" s="9">
        <v>0.7</v>
      </c>
    </row>
    <row r="360" spans="2:40" ht="12" customHeight="1" outlineLevel="1">
      <c r="B360" s="239"/>
      <c r="C360" s="214" t="s">
        <v>839</v>
      </c>
      <c r="D360" s="214"/>
      <c r="E360" s="8">
        <f>1-E359</f>
        <v>0.11926605504587151</v>
      </c>
      <c r="F360" s="8">
        <f t="shared" ref="F360" si="213">1-F359</f>
        <v>0.17741935483870963</v>
      </c>
      <c r="G360" s="8">
        <f t="shared" ref="G360" si="214">1-G359</f>
        <v>0.10576923076923073</v>
      </c>
      <c r="H360" s="8">
        <f t="shared" ref="H360" si="215">1-H359</f>
        <v>2.0881670533642649E-2</v>
      </c>
      <c r="I360" s="8">
        <f t="shared" ref="I360" si="216">1-I359</f>
        <v>5.0000000000000044E-2</v>
      </c>
      <c r="J360" s="8">
        <f t="shared" ref="J360" si="217">1-J359</f>
        <v>7.547169811320753E-2</v>
      </c>
      <c r="K360" s="8">
        <f t="shared" ref="K360" si="218">1-K359</f>
        <v>0.10382513661202186</v>
      </c>
      <c r="L360" s="8">
        <f t="shared" ref="L360" si="219">1-L359</f>
        <v>0.34883720930232553</v>
      </c>
      <c r="M360" s="9">
        <f t="shared" ref="M360:AN360" si="220">1-M359</f>
        <v>0.30000000000000004</v>
      </c>
      <c r="N360" s="9">
        <f t="shared" si="220"/>
        <v>0.30000000000000004</v>
      </c>
      <c r="O360" s="9">
        <f t="shared" si="220"/>
        <v>0.30000000000000004</v>
      </c>
      <c r="P360" s="9">
        <f t="shared" si="220"/>
        <v>0.30000000000000004</v>
      </c>
      <c r="Q360" s="9">
        <f t="shared" si="220"/>
        <v>0.30000000000000004</v>
      </c>
      <c r="R360" s="9">
        <f t="shared" si="220"/>
        <v>0.30000000000000004</v>
      </c>
      <c r="S360" s="9">
        <f t="shared" si="220"/>
        <v>0.30000000000000004</v>
      </c>
      <c r="T360" s="9">
        <f t="shared" si="220"/>
        <v>0.30000000000000004</v>
      </c>
      <c r="U360" s="9">
        <f t="shared" si="220"/>
        <v>0.30000000000000004</v>
      </c>
      <c r="V360" s="9">
        <f t="shared" si="220"/>
        <v>0.30000000000000004</v>
      </c>
      <c r="W360" s="9">
        <f t="shared" si="220"/>
        <v>0.30000000000000004</v>
      </c>
      <c r="X360" s="9">
        <f t="shared" si="220"/>
        <v>0.30000000000000004</v>
      </c>
      <c r="Y360" s="9">
        <f t="shared" si="220"/>
        <v>0.30000000000000004</v>
      </c>
      <c r="Z360" s="9">
        <f t="shared" si="220"/>
        <v>0.30000000000000004</v>
      </c>
      <c r="AA360" s="9">
        <f t="shared" si="220"/>
        <v>0.30000000000000004</v>
      </c>
      <c r="AB360" s="9">
        <f t="shared" si="220"/>
        <v>0.30000000000000004</v>
      </c>
      <c r="AC360" s="9">
        <f t="shared" si="220"/>
        <v>0.30000000000000004</v>
      </c>
      <c r="AD360" s="9">
        <f t="shared" si="220"/>
        <v>0.30000000000000004</v>
      </c>
      <c r="AE360" s="9">
        <f t="shared" si="220"/>
        <v>0.30000000000000004</v>
      </c>
      <c r="AF360" s="9">
        <f t="shared" si="220"/>
        <v>0.30000000000000004</v>
      </c>
      <c r="AG360" s="9">
        <f t="shared" si="220"/>
        <v>0.30000000000000004</v>
      </c>
      <c r="AH360" s="9">
        <f t="shared" si="220"/>
        <v>0.30000000000000004</v>
      </c>
      <c r="AI360" s="9">
        <f t="shared" si="220"/>
        <v>0.30000000000000004</v>
      </c>
      <c r="AJ360" s="9">
        <f t="shared" si="220"/>
        <v>0.30000000000000004</v>
      </c>
      <c r="AK360" s="9">
        <f t="shared" si="220"/>
        <v>0.30000000000000004</v>
      </c>
      <c r="AL360" s="9">
        <f t="shared" si="220"/>
        <v>0.30000000000000004</v>
      </c>
      <c r="AM360" s="9">
        <f t="shared" si="220"/>
        <v>0.30000000000000004</v>
      </c>
      <c r="AN360" s="9">
        <f t="shared" si="220"/>
        <v>0.30000000000000004</v>
      </c>
    </row>
    <row r="361" spans="2:40" ht="12" customHeight="1" outlineLevel="1">
      <c r="B361" s="239"/>
      <c r="C361" s="214" t="s">
        <v>840</v>
      </c>
      <c r="D361" s="214"/>
      <c r="E361" s="8">
        <v>0</v>
      </c>
      <c r="F361" s="8">
        <v>0</v>
      </c>
      <c r="G361" s="8">
        <v>0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  <c r="M361" s="9">
        <v>0</v>
      </c>
      <c r="N361" s="9">
        <v>0</v>
      </c>
      <c r="O361" s="9">
        <v>0</v>
      </c>
      <c r="P361" s="9">
        <v>0</v>
      </c>
      <c r="Q361" s="9">
        <v>0</v>
      </c>
      <c r="R361" s="9">
        <v>0</v>
      </c>
      <c r="S361" s="9">
        <v>0</v>
      </c>
      <c r="T361" s="9">
        <v>0</v>
      </c>
      <c r="U361" s="9">
        <v>0</v>
      </c>
      <c r="V361" s="9">
        <v>0</v>
      </c>
      <c r="W361" s="9">
        <v>0</v>
      </c>
      <c r="X361" s="9">
        <v>0</v>
      </c>
      <c r="Y361" s="9">
        <v>0</v>
      </c>
      <c r="Z361" s="9">
        <v>0</v>
      </c>
      <c r="AA361" s="9">
        <v>0</v>
      </c>
      <c r="AB361" s="9">
        <v>0</v>
      </c>
      <c r="AC361" s="9">
        <v>0</v>
      </c>
      <c r="AD361" s="9">
        <v>0</v>
      </c>
      <c r="AE361" s="9">
        <v>0</v>
      </c>
      <c r="AF361" s="9">
        <v>0</v>
      </c>
      <c r="AG361" s="9">
        <v>0</v>
      </c>
      <c r="AH361" s="9">
        <v>0</v>
      </c>
      <c r="AI361" s="9">
        <v>0</v>
      </c>
      <c r="AJ361" s="9">
        <v>0</v>
      </c>
      <c r="AK361" s="9">
        <v>0</v>
      </c>
      <c r="AL361" s="9">
        <v>0</v>
      </c>
      <c r="AM361" s="9">
        <v>0</v>
      </c>
      <c r="AN361" s="9">
        <v>0</v>
      </c>
    </row>
    <row r="362" spans="2:40" ht="12" customHeight="1" outlineLevel="1">
      <c r="B362" s="237"/>
      <c r="C362" s="208"/>
      <c r="D362" s="208"/>
      <c r="E362" s="216"/>
      <c r="F362" s="216"/>
      <c r="G362" s="216"/>
      <c r="H362" s="216"/>
      <c r="I362" s="216"/>
      <c r="J362" s="216"/>
      <c r="K362" s="216"/>
      <c r="L362" s="216"/>
      <c r="M362" s="216"/>
      <c r="N362" s="216"/>
      <c r="O362" s="216"/>
      <c r="P362" s="216"/>
      <c r="Q362" s="216"/>
      <c r="R362" s="216"/>
      <c r="S362" s="216"/>
      <c r="T362" s="216"/>
      <c r="U362" s="216"/>
      <c r="V362" s="216"/>
      <c r="W362" s="216"/>
      <c r="X362" s="216"/>
      <c r="Y362" s="216"/>
      <c r="Z362" s="216"/>
      <c r="AA362" s="216"/>
      <c r="AB362" s="216"/>
      <c r="AC362" s="216"/>
      <c r="AD362" s="216"/>
      <c r="AE362" s="216"/>
      <c r="AF362" s="216"/>
      <c r="AG362" s="216"/>
      <c r="AH362" s="216"/>
      <c r="AI362" s="216"/>
      <c r="AJ362" s="216"/>
      <c r="AK362" s="216"/>
      <c r="AL362" s="216"/>
      <c r="AM362" s="216"/>
      <c r="AN362" s="216"/>
    </row>
    <row r="363" spans="2:40" ht="12" customHeight="1" outlineLevel="1">
      <c r="B363" s="239"/>
      <c r="C363" s="214" t="s">
        <v>841</v>
      </c>
      <c r="D363" s="214"/>
      <c r="E363" s="209">
        <f>E355*E359</f>
        <v>96</v>
      </c>
      <c r="F363" s="209">
        <f>F355*F359</f>
        <v>102</v>
      </c>
      <c r="G363" s="209">
        <f t="shared" ref="G363:AN363" si="221">G355*G359</f>
        <v>93</v>
      </c>
      <c r="H363" s="209">
        <f>H355*H359</f>
        <v>422</v>
      </c>
      <c r="I363" s="209">
        <f t="shared" si="221"/>
        <v>133</v>
      </c>
      <c r="J363" s="209">
        <f t="shared" si="221"/>
        <v>147</v>
      </c>
      <c r="K363" s="209">
        <f t="shared" si="221"/>
        <v>164</v>
      </c>
      <c r="L363" s="209">
        <f t="shared" si="221"/>
        <v>28.000000000000004</v>
      </c>
      <c r="M363" s="209">
        <f t="shared" si="221"/>
        <v>25.579050000000002</v>
      </c>
      <c r="N363" s="209">
        <f t="shared" si="221"/>
        <v>357</v>
      </c>
      <c r="O363" s="209">
        <f t="shared" si="221"/>
        <v>357</v>
      </c>
      <c r="P363" s="209">
        <f t="shared" si="221"/>
        <v>178.5</v>
      </c>
      <c r="Q363" s="209">
        <f t="shared" si="221"/>
        <v>20.295449999999999</v>
      </c>
      <c r="R363" s="209">
        <f t="shared" si="221"/>
        <v>40.269599999999997</v>
      </c>
      <c r="S363" s="209">
        <f t="shared" si="221"/>
        <v>41.233499999999999</v>
      </c>
      <c r="T363" s="209">
        <f t="shared" si="221"/>
        <v>24.358823999999995</v>
      </c>
      <c r="U363" s="209">
        <f t="shared" si="221"/>
        <v>22.548119999999997</v>
      </c>
      <c r="V363" s="209">
        <f t="shared" si="221"/>
        <v>26.64648</v>
      </c>
      <c r="W363" s="209">
        <f t="shared" si="221"/>
        <v>34.443359999999998</v>
      </c>
      <c r="X363" s="209">
        <f t="shared" si="221"/>
        <v>20.463239999999999</v>
      </c>
      <c r="Y363" s="209">
        <f t="shared" si="221"/>
        <v>81.852959999999996</v>
      </c>
      <c r="Z363" s="209">
        <f t="shared" si="221"/>
        <v>142.79999999999998</v>
      </c>
      <c r="AA363" s="209">
        <f t="shared" si="221"/>
        <v>85.679999999999993</v>
      </c>
      <c r="AB363" s="209">
        <f t="shared" si="221"/>
        <v>57.11999999999999</v>
      </c>
      <c r="AC363" s="209">
        <f t="shared" si="221"/>
        <v>72.828000000000003</v>
      </c>
      <c r="AD363" s="209">
        <f t="shared" si="221"/>
        <v>74.284559999999999</v>
      </c>
      <c r="AE363" s="209">
        <f t="shared" si="221"/>
        <v>75.770251200000004</v>
      </c>
      <c r="AF363" s="209">
        <f t="shared" si="221"/>
        <v>77.285656224000007</v>
      </c>
      <c r="AG363" s="209">
        <f t="shared" si="221"/>
        <v>78.831369348479996</v>
      </c>
      <c r="AH363" s="209">
        <f t="shared" si="221"/>
        <v>80.407996735449572</v>
      </c>
      <c r="AI363" s="209">
        <f t="shared" si="221"/>
        <v>82.016156670158608</v>
      </c>
      <c r="AJ363" s="209">
        <f t="shared" si="221"/>
        <v>83.656479803561766</v>
      </c>
      <c r="AK363" s="209">
        <f t="shared" si="221"/>
        <v>85.329609399633014</v>
      </c>
      <c r="AL363" s="209">
        <f t="shared" si="221"/>
        <v>87.036201587625669</v>
      </c>
      <c r="AM363" s="209">
        <f t="shared" si="221"/>
        <v>88.77692561937819</v>
      </c>
      <c r="AN363" s="209">
        <f t="shared" si="221"/>
        <v>90.552464131765745</v>
      </c>
    </row>
    <row r="364" spans="2:40" ht="12" customHeight="1" outlineLevel="1">
      <c r="B364" s="239"/>
      <c r="C364" s="214" t="s">
        <v>842</v>
      </c>
      <c r="D364" s="214"/>
      <c r="E364" s="209">
        <f>E355*E360</f>
        <v>12.999999999999995</v>
      </c>
      <c r="F364" s="209">
        <f t="shared" ref="F364:AN364" si="222">F355*F360</f>
        <v>21.999999999999993</v>
      </c>
      <c r="G364" s="209">
        <f t="shared" si="222"/>
        <v>10.999999999999996</v>
      </c>
      <c r="H364" s="209">
        <f t="shared" si="222"/>
        <v>8.9999999999999822</v>
      </c>
      <c r="I364" s="209">
        <f t="shared" si="222"/>
        <v>7.0000000000000062</v>
      </c>
      <c r="J364" s="209">
        <f t="shared" si="222"/>
        <v>11.999999999999996</v>
      </c>
      <c r="K364" s="209">
        <f t="shared" si="222"/>
        <v>19</v>
      </c>
      <c r="L364" s="209">
        <f t="shared" si="222"/>
        <v>14.999999999999998</v>
      </c>
      <c r="M364" s="209">
        <f t="shared" si="222"/>
        <v>10.962450000000004</v>
      </c>
      <c r="N364" s="209">
        <f t="shared" si="222"/>
        <v>153.00000000000003</v>
      </c>
      <c r="O364" s="209">
        <f t="shared" si="222"/>
        <v>153.00000000000003</v>
      </c>
      <c r="P364" s="209">
        <f t="shared" si="222"/>
        <v>76.500000000000014</v>
      </c>
      <c r="Q364" s="209">
        <f t="shared" si="222"/>
        <v>8.6980500000000021</v>
      </c>
      <c r="R364" s="209">
        <f t="shared" si="222"/>
        <v>17.258400000000002</v>
      </c>
      <c r="S364" s="209">
        <f t="shared" si="222"/>
        <v>17.671500000000002</v>
      </c>
      <c r="T364" s="209">
        <f t="shared" si="222"/>
        <v>10.439496</v>
      </c>
      <c r="U364" s="209">
        <f t="shared" si="222"/>
        <v>9.6634799999999998</v>
      </c>
      <c r="V364" s="209">
        <f t="shared" si="222"/>
        <v>11.419920000000003</v>
      </c>
      <c r="W364" s="209">
        <f t="shared" si="222"/>
        <v>14.761440000000002</v>
      </c>
      <c r="X364" s="209">
        <f t="shared" si="222"/>
        <v>8.7699600000000011</v>
      </c>
      <c r="Y364" s="209">
        <f t="shared" si="222"/>
        <v>35.079840000000004</v>
      </c>
      <c r="Z364" s="209">
        <f t="shared" si="222"/>
        <v>61.20000000000001</v>
      </c>
      <c r="AA364" s="209">
        <f t="shared" si="222"/>
        <v>36.720000000000006</v>
      </c>
      <c r="AB364" s="209">
        <f t="shared" si="222"/>
        <v>24.48</v>
      </c>
      <c r="AC364" s="209">
        <f t="shared" si="222"/>
        <v>31.212000000000007</v>
      </c>
      <c r="AD364" s="209">
        <f t="shared" si="222"/>
        <v>31.836240000000007</v>
      </c>
      <c r="AE364" s="209">
        <f t="shared" si="222"/>
        <v>32.472964800000007</v>
      </c>
      <c r="AF364" s="209">
        <f t="shared" si="222"/>
        <v>33.12242409600001</v>
      </c>
      <c r="AG364" s="209">
        <f t="shared" si="222"/>
        <v>33.784872577920005</v>
      </c>
      <c r="AH364" s="209">
        <f t="shared" si="222"/>
        <v>34.460570029478397</v>
      </c>
      <c r="AI364" s="209">
        <f t="shared" si="222"/>
        <v>35.149781430067982</v>
      </c>
      <c r="AJ364" s="209">
        <f t="shared" si="222"/>
        <v>35.852777058669332</v>
      </c>
      <c r="AK364" s="209">
        <f t="shared" si="222"/>
        <v>36.569832599842726</v>
      </c>
      <c r="AL364" s="209">
        <f t="shared" si="222"/>
        <v>37.30122925183958</v>
      </c>
      <c r="AM364" s="209">
        <f t="shared" si="222"/>
        <v>38.047253836876372</v>
      </c>
      <c r="AN364" s="209">
        <f t="shared" si="222"/>
        <v>38.8081989136139</v>
      </c>
    </row>
    <row r="365" spans="2:40" ht="12" customHeight="1" outlineLevel="1">
      <c r="B365" s="239"/>
      <c r="C365" s="214" t="s">
        <v>843</v>
      </c>
      <c r="D365" s="214"/>
      <c r="E365" s="209">
        <f>E355*E361</f>
        <v>0</v>
      </c>
      <c r="F365" s="209">
        <f t="shared" ref="F365:AN365" si="223">F355*F361</f>
        <v>0</v>
      </c>
      <c r="G365" s="209">
        <f t="shared" si="223"/>
        <v>0</v>
      </c>
      <c r="H365" s="209">
        <f t="shared" si="223"/>
        <v>0</v>
      </c>
      <c r="I365" s="209">
        <f t="shared" si="223"/>
        <v>0</v>
      </c>
      <c r="J365" s="209">
        <f t="shared" si="223"/>
        <v>0</v>
      </c>
      <c r="K365" s="209">
        <f t="shared" si="223"/>
        <v>0</v>
      </c>
      <c r="L365" s="209">
        <f t="shared" si="223"/>
        <v>0</v>
      </c>
      <c r="M365" s="209">
        <f t="shared" si="223"/>
        <v>0</v>
      </c>
      <c r="N365" s="209">
        <f t="shared" si="223"/>
        <v>0</v>
      </c>
      <c r="O365" s="209">
        <f t="shared" si="223"/>
        <v>0</v>
      </c>
      <c r="P365" s="209">
        <f t="shared" si="223"/>
        <v>0</v>
      </c>
      <c r="Q365" s="209">
        <f t="shared" si="223"/>
        <v>0</v>
      </c>
      <c r="R365" s="209">
        <f t="shared" si="223"/>
        <v>0</v>
      </c>
      <c r="S365" s="209">
        <f t="shared" si="223"/>
        <v>0</v>
      </c>
      <c r="T365" s="209">
        <f t="shared" si="223"/>
        <v>0</v>
      </c>
      <c r="U365" s="209">
        <f t="shared" si="223"/>
        <v>0</v>
      </c>
      <c r="V365" s="209">
        <f t="shared" si="223"/>
        <v>0</v>
      </c>
      <c r="W365" s="209">
        <f t="shared" si="223"/>
        <v>0</v>
      </c>
      <c r="X365" s="209">
        <f t="shared" si="223"/>
        <v>0</v>
      </c>
      <c r="Y365" s="209">
        <f t="shared" si="223"/>
        <v>0</v>
      </c>
      <c r="Z365" s="209">
        <f t="shared" si="223"/>
        <v>0</v>
      </c>
      <c r="AA365" s="209">
        <f t="shared" si="223"/>
        <v>0</v>
      </c>
      <c r="AB365" s="209">
        <f t="shared" si="223"/>
        <v>0</v>
      </c>
      <c r="AC365" s="209">
        <f t="shared" si="223"/>
        <v>0</v>
      </c>
      <c r="AD365" s="209">
        <f t="shared" si="223"/>
        <v>0</v>
      </c>
      <c r="AE365" s="209">
        <f t="shared" si="223"/>
        <v>0</v>
      </c>
      <c r="AF365" s="209">
        <f t="shared" si="223"/>
        <v>0</v>
      </c>
      <c r="AG365" s="209">
        <f t="shared" si="223"/>
        <v>0</v>
      </c>
      <c r="AH365" s="209">
        <f t="shared" si="223"/>
        <v>0</v>
      </c>
      <c r="AI365" s="209">
        <f t="shared" si="223"/>
        <v>0</v>
      </c>
      <c r="AJ365" s="209">
        <f t="shared" si="223"/>
        <v>0</v>
      </c>
      <c r="AK365" s="209">
        <f t="shared" si="223"/>
        <v>0</v>
      </c>
      <c r="AL365" s="209">
        <f t="shared" si="223"/>
        <v>0</v>
      </c>
      <c r="AM365" s="209">
        <f t="shared" si="223"/>
        <v>0</v>
      </c>
      <c r="AN365" s="209">
        <f t="shared" si="223"/>
        <v>0</v>
      </c>
    </row>
    <row r="366" spans="2:40" ht="12" customHeight="1" outlineLevel="1">
      <c r="B366" s="239"/>
      <c r="C366" s="214" t="s">
        <v>844</v>
      </c>
      <c r="D366" s="214"/>
      <c r="E366" s="209">
        <f>IF((SUM(E376:E412)-E363)&lt;2,ROUNDUP(SUM(E376:E412),0)-E363,ROUNDDOWN(SUM(E376:E412),0)-E363)</f>
        <v>418</v>
      </c>
      <c r="F366" s="209">
        <f t="shared" ref="F366:AN366" si="224">IF((SUM(F376:F412)-F363)&lt;2,ROUNDUP(SUM(F376:F412),0)-F363,ROUNDDOWN(SUM(F376:F412),0)-F363)</f>
        <v>520</v>
      </c>
      <c r="G366" s="209">
        <f t="shared" si="224"/>
        <v>1498</v>
      </c>
      <c r="H366" s="209">
        <f>IF((SUM(H376:H412)-H363)&lt;2,ROUNDUP(SUM(H376:H412),0)-H363,ROUNDDOWN(SUM(H376:H412),0)-H363)</f>
        <v>3097</v>
      </c>
      <c r="I366" s="209">
        <f t="shared" si="224"/>
        <v>303</v>
      </c>
      <c r="J366" s="209">
        <f t="shared" si="224"/>
        <v>272</v>
      </c>
      <c r="K366" s="209">
        <f t="shared" si="224"/>
        <v>245</v>
      </c>
      <c r="L366" s="209">
        <f t="shared" si="224"/>
        <v>220</v>
      </c>
      <c r="M366" s="209">
        <f t="shared" si="224"/>
        <v>198.42095</v>
      </c>
      <c r="N366" s="209">
        <f t="shared" si="224"/>
        <v>178</v>
      </c>
      <c r="O366" s="209">
        <f t="shared" si="224"/>
        <v>161</v>
      </c>
      <c r="P366" s="209">
        <f t="shared" si="224"/>
        <v>144.5</v>
      </c>
      <c r="Q366" s="209">
        <f t="shared" si="224"/>
        <v>129.70455000000001</v>
      </c>
      <c r="R366" s="209">
        <f t="shared" si="224"/>
        <v>116.7304</v>
      </c>
      <c r="S366" s="209">
        <f t="shared" si="224"/>
        <v>104.76650000000001</v>
      </c>
      <c r="T366" s="209">
        <f t="shared" si="224"/>
        <v>94.641176000000002</v>
      </c>
      <c r="U366" s="209">
        <f t="shared" si="224"/>
        <v>85.451880000000003</v>
      </c>
      <c r="V366" s="209">
        <f t="shared" si="224"/>
        <v>76.353520000000003</v>
      </c>
      <c r="W366" s="209">
        <f t="shared" si="224"/>
        <v>68.556640000000002</v>
      </c>
      <c r="X366" s="209">
        <f t="shared" si="224"/>
        <v>61.536760000000001</v>
      </c>
      <c r="Y366" s="209">
        <f t="shared" si="224"/>
        <v>55.147040000000004</v>
      </c>
      <c r="Z366" s="209">
        <f t="shared" si="224"/>
        <v>50.200000000000017</v>
      </c>
      <c r="AA366" s="209">
        <f t="shared" si="224"/>
        <v>45.320000000000007</v>
      </c>
      <c r="AB366" s="209">
        <f t="shared" si="224"/>
        <v>40.88000000000001</v>
      </c>
      <c r="AC366" s="209">
        <f t="shared" si="224"/>
        <v>36.171999999999997</v>
      </c>
      <c r="AD366" s="209">
        <f t="shared" si="224"/>
        <v>32.715440000000001</v>
      </c>
      <c r="AE366" s="209">
        <f t="shared" si="224"/>
        <v>29.229748799999996</v>
      </c>
      <c r="AF366" s="209">
        <f t="shared" si="224"/>
        <v>26.714343775999993</v>
      </c>
      <c r="AG366" s="209">
        <f t="shared" si="224"/>
        <v>24.168630651520004</v>
      </c>
      <c r="AH366" s="209">
        <f t="shared" si="224"/>
        <v>21.592003264550428</v>
      </c>
      <c r="AI366" s="209">
        <f t="shared" si="224"/>
        <v>18.983843329841392</v>
      </c>
      <c r="AJ366" s="209">
        <f t="shared" si="224"/>
        <v>17.343520196438234</v>
      </c>
      <c r="AK366" s="209">
        <f t="shared" si="224"/>
        <v>15.670390600366986</v>
      </c>
      <c r="AL366" s="209">
        <f t="shared" si="224"/>
        <v>13.963798412374331</v>
      </c>
      <c r="AM366" s="209">
        <f t="shared" si="224"/>
        <v>12.22307438062181</v>
      </c>
      <c r="AN366" s="209">
        <f t="shared" si="224"/>
        <v>11.447535868234255</v>
      </c>
    </row>
    <row r="367" spans="2:40" ht="12" customHeight="1" outlineLevel="1">
      <c r="B367" s="239"/>
      <c r="C367" s="214" t="s">
        <v>845</v>
      </c>
      <c r="D367" s="214"/>
      <c r="E367" s="209">
        <f>IF((SUM(E417:E453)-E364)&lt;2,ROUNDUP(SUM(E417:E453),0)-E364,ROUNDDOWN(SUM(E417:E453),0)-E364)</f>
        <v>322</v>
      </c>
      <c r="F367" s="209">
        <f t="shared" ref="F367:I367" si="225">IF((SUM(F417:F453)-F364)&lt;2,ROUNDUP(SUM(F417:F453),0)-F364,ROUNDDOWN(SUM(F417:F453),0)-F364)</f>
        <v>379</v>
      </c>
      <c r="G367" s="209">
        <f t="shared" si="225"/>
        <v>481</v>
      </c>
      <c r="H367" s="209">
        <f t="shared" si="225"/>
        <v>364</v>
      </c>
      <c r="I367" s="209">
        <f t="shared" si="225"/>
        <v>307</v>
      </c>
      <c r="J367" s="209">
        <f t="shared" ref="J367:AN367" si="226">IF((SUM(J417:J453)-J364)&lt;2,ROUNDUP(SUM(J417:J453),0)-J364,ROUNDDOWN(SUM(J417:J453),0)-J364)</f>
        <v>276</v>
      </c>
      <c r="K367" s="209">
        <f t="shared" si="226"/>
        <v>249</v>
      </c>
      <c r="L367" s="209">
        <f t="shared" si="226"/>
        <v>225</v>
      </c>
      <c r="M367" s="209">
        <f t="shared" si="226"/>
        <v>203.03755000000001</v>
      </c>
      <c r="N367" s="209">
        <f t="shared" si="226"/>
        <v>183.99999999999997</v>
      </c>
      <c r="O367" s="209">
        <f t="shared" si="226"/>
        <v>170.99999999999997</v>
      </c>
      <c r="P367" s="209">
        <f t="shared" si="226"/>
        <v>160.5</v>
      </c>
      <c r="Q367" s="209">
        <f t="shared" si="226"/>
        <v>149.30195000000001</v>
      </c>
      <c r="R367" s="209">
        <f t="shared" si="226"/>
        <v>136.74160000000001</v>
      </c>
      <c r="S367" s="209">
        <f t="shared" si="226"/>
        <v>123.32849999999999</v>
      </c>
      <c r="T367" s="209">
        <f t="shared" si="226"/>
        <v>111.56050399999999</v>
      </c>
      <c r="U367" s="209">
        <f t="shared" si="226"/>
        <v>101.33652000000001</v>
      </c>
      <c r="V367" s="209">
        <f t="shared" si="226"/>
        <v>92.580079999999995</v>
      </c>
      <c r="W367" s="209">
        <f t="shared" si="226"/>
        <v>84.238559999999993</v>
      </c>
      <c r="X367" s="209">
        <f t="shared" si="226"/>
        <v>76.230040000000002</v>
      </c>
      <c r="Y367" s="209">
        <f t="shared" si="226"/>
        <v>68.920159999999996</v>
      </c>
      <c r="Z367" s="209">
        <f t="shared" si="226"/>
        <v>65.799999999999983</v>
      </c>
      <c r="AA367" s="209">
        <f t="shared" si="226"/>
        <v>64.28</v>
      </c>
      <c r="AB367" s="209">
        <f t="shared" si="226"/>
        <v>58.519999999999996</v>
      </c>
      <c r="AC367" s="209">
        <f t="shared" si="226"/>
        <v>51.787999999999997</v>
      </c>
      <c r="AD367" s="209">
        <f t="shared" si="226"/>
        <v>48.163759999999996</v>
      </c>
      <c r="AE367" s="209">
        <f t="shared" si="226"/>
        <v>43.527035199999993</v>
      </c>
      <c r="AF367" s="209">
        <f t="shared" si="226"/>
        <v>39.87757590399999</v>
      </c>
      <c r="AG367" s="209">
        <f t="shared" si="226"/>
        <v>36.215127422079995</v>
      </c>
      <c r="AH367" s="209">
        <f t="shared" si="226"/>
        <v>33.539429970521603</v>
      </c>
      <c r="AI367" s="209">
        <f t="shared" si="226"/>
        <v>30.850218569932018</v>
      </c>
      <c r="AJ367" s="209">
        <f t="shared" si="226"/>
        <v>28.147222941330668</v>
      </c>
      <c r="AK367" s="209">
        <f t="shared" si="226"/>
        <v>26.430167400157274</v>
      </c>
      <c r="AL367" s="209">
        <f t="shared" si="226"/>
        <v>25.69877074816042</v>
      </c>
      <c r="AM367" s="209">
        <f t="shared" si="226"/>
        <v>23.952746163123628</v>
      </c>
      <c r="AN367" s="209">
        <f t="shared" si="226"/>
        <v>22.1918010863861</v>
      </c>
    </row>
    <row r="368" spans="2:40" ht="12" customHeight="1" outlineLevel="1">
      <c r="B368" s="239"/>
      <c r="C368" s="214" t="s">
        <v>846</v>
      </c>
      <c r="D368" s="214"/>
      <c r="E368" s="209">
        <f t="shared" ref="E368:AN368" si="227">IF((SUM(E458:E481)-E365)&lt;1,ROUNDUP(SUM(E458:E481),0)-E365,ROUNDDOWN(SUM(E458:E481),0)-E365)</f>
        <v>0</v>
      </c>
      <c r="F368" s="209">
        <f t="shared" si="227"/>
        <v>0</v>
      </c>
      <c r="G368" s="209">
        <f t="shared" si="227"/>
        <v>0</v>
      </c>
      <c r="H368" s="209">
        <f t="shared" si="227"/>
        <v>0</v>
      </c>
      <c r="I368" s="209">
        <f t="shared" si="227"/>
        <v>0</v>
      </c>
      <c r="J368" s="209">
        <f t="shared" si="227"/>
        <v>0</v>
      </c>
      <c r="K368" s="209">
        <f t="shared" si="227"/>
        <v>0</v>
      </c>
      <c r="L368" s="209">
        <f t="shared" si="227"/>
        <v>0</v>
      </c>
      <c r="M368" s="209">
        <f t="shared" si="227"/>
        <v>0</v>
      </c>
      <c r="N368" s="209">
        <f t="shared" si="227"/>
        <v>0</v>
      </c>
      <c r="O368" s="209">
        <f t="shared" si="227"/>
        <v>0</v>
      </c>
      <c r="P368" s="209">
        <f t="shared" si="227"/>
        <v>0</v>
      </c>
      <c r="Q368" s="209">
        <f t="shared" si="227"/>
        <v>0</v>
      </c>
      <c r="R368" s="209">
        <f t="shared" si="227"/>
        <v>0</v>
      </c>
      <c r="S368" s="209">
        <f t="shared" si="227"/>
        <v>0</v>
      </c>
      <c r="T368" s="209">
        <f t="shared" si="227"/>
        <v>0</v>
      </c>
      <c r="U368" s="209">
        <f t="shared" si="227"/>
        <v>0</v>
      </c>
      <c r="V368" s="209">
        <f t="shared" si="227"/>
        <v>0</v>
      </c>
      <c r="W368" s="209">
        <f t="shared" si="227"/>
        <v>0</v>
      </c>
      <c r="X368" s="209">
        <f t="shared" si="227"/>
        <v>0</v>
      </c>
      <c r="Y368" s="209">
        <f t="shared" si="227"/>
        <v>0</v>
      </c>
      <c r="Z368" s="209">
        <f t="shared" si="227"/>
        <v>0</v>
      </c>
      <c r="AA368" s="209">
        <f t="shared" si="227"/>
        <v>0</v>
      </c>
      <c r="AB368" s="209">
        <f t="shared" si="227"/>
        <v>0</v>
      </c>
      <c r="AC368" s="209">
        <f t="shared" si="227"/>
        <v>0</v>
      </c>
      <c r="AD368" s="209">
        <f t="shared" si="227"/>
        <v>0</v>
      </c>
      <c r="AE368" s="209">
        <f t="shared" si="227"/>
        <v>0</v>
      </c>
      <c r="AF368" s="209">
        <f t="shared" si="227"/>
        <v>0</v>
      </c>
      <c r="AG368" s="209">
        <f t="shared" si="227"/>
        <v>0</v>
      </c>
      <c r="AH368" s="209">
        <f t="shared" si="227"/>
        <v>0</v>
      </c>
      <c r="AI368" s="209">
        <f t="shared" si="227"/>
        <v>0</v>
      </c>
      <c r="AJ368" s="209">
        <f t="shared" si="227"/>
        <v>0</v>
      </c>
      <c r="AK368" s="209">
        <f t="shared" si="227"/>
        <v>0</v>
      </c>
      <c r="AL368" s="209">
        <f t="shared" si="227"/>
        <v>0</v>
      </c>
      <c r="AM368" s="209">
        <f t="shared" si="227"/>
        <v>0</v>
      </c>
      <c r="AN368" s="209">
        <f t="shared" si="227"/>
        <v>0</v>
      </c>
    </row>
    <row r="369" spans="2:40" ht="12" customHeight="1" outlineLevel="1">
      <c r="B369" s="237"/>
      <c r="C369" s="214" t="s">
        <v>833</v>
      </c>
      <c r="D369" s="214"/>
      <c r="E369" s="210">
        <f>SUM(E363:E365)</f>
        <v>109</v>
      </c>
      <c r="F369" s="210">
        <f>SUM(F363:F365)</f>
        <v>124</v>
      </c>
      <c r="G369" s="210">
        <f t="shared" ref="G369:AN369" si="228">SUM(G363:G365)</f>
        <v>104</v>
      </c>
      <c r="H369" s="210">
        <f t="shared" si="228"/>
        <v>431</v>
      </c>
      <c r="I369" s="210">
        <f t="shared" si="228"/>
        <v>140</v>
      </c>
      <c r="J369" s="210">
        <f t="shared" si="228"/>
        <v>159</v>
      </c>
      <c r="K369" s="210">
        <f t="shared" si="228"/>
        <v>183</v>
      </c>
      <c r="L369" s="210">
        <f t="shared" si="228"/>
        <v>43</v>
      </c>
      <c r="M369" s="210">
        <f t="shared" si="228"/>
        <v>36.541500000000006</v>
      </c>
      <c r="N369" s="210">
        <f t="shared" si="228"/>
        <v>510</v>
      </c>
      <c r="O369" s="210">
        <f t="shared" si="228"/>
        <v>510</v>
      </c>
      <c r="P369" s="210">
        <f t="shared" si="228"/>
        <v>255</v>
      </c>
      <c r="Q369" s="210">
        <f t="shared" si="228"/>
        <v>28.993500000000001</v>
      </c>
      <c r="R369" s="210">
        <f t="shared" si="228"/>
        <v>57.527999999999999</v>
      </c>
      <c r="S369" s="210">
        <f t="shared" si="228"/>
        <v>58.905000000000001</v>
      </c>
      <c r="T369" s="210">
        <f t="shared" si="228"/>
        <v>34.798319999999997</v>
      </c>
      <c r="U369" s="210">
        <f t="shared" si="228"/>
        <v>32.211599999999997</v>
      </c>
      <c r="V369" s="210">
        <f t="shared" si="228"/>
        <v>38.066400000000002</v>
      </c>
      <c r="W369" s="210">
        <f t="shared" si="228"/>
        <v>49.204799999999999</v>
      </c>
      <c r="X369" s="210">
        <f t="shared" si="228"/>
        <v>29.2332</v>
      </c>
      <c r="Y369" s="210">
        <f t="shared" si="228"/>
        <v>116.9328</v>
      </c>
      <c r="Z369" s="210">
        <f t="shared" si="228"/>
        <v>204</v>
      </c>
      <c r="AA369" s="210">
        <f t="shared" si="228"/>
        <v>122.4</v>
      </c>
      <c r="AB369" s="210">
        <f t="shared" si="228"/>
        <v>81.599999999999994</v>
      </c>
      <c r="AC369" s="210">
        <f t="shared" si="228"/>
        <v>104.04</v>
      </c>
      <c r="AD369" s="210">
        <f t="shared" si="228"/>
        <v>106.1208</v>
      </c>
      <c r="AE369" s="210">
        <f t="shared" si="228"/>
        <v>108.24321600000002</v>
      </c>
      <c r="AF369" s="210">
        <f t="shared" si="228"/>
        <v>110.40808032000001</v>
      </c>
      <c r="AG369" s="210">
        <f t="shared" si="228"/>
        <v>112.61624192639999</v>
      </c>
      <c r="AH369" s="210">
        <f t="shared" si="228"/>
        <v>114.86856676492798</v>
      </c>
      <c r="AI369" s="210">
        <f t="shared" si="228"/>
        <v>117.16593810022658</v>
      </c>
      <c r="AJ369" s="210">
        <f t="shared" si="228"/>
        <v>119.5092568622311</v>
      </c>
      <c r="AK369" s="210">
        <f t="shared" si="228"/>
        <v>121.89944199947574</v>
      </c>
      <c r="AL369" s="210">
        <f t="shared" si="228"/>
        <v>124.33743083946524</v>
      </c>
      <c r="AM369" s="210">
        <f t="shared" si="228"/>
        <v>126.82417945625457</v>
      </c>
      <c r="AN369" s="210">
        <f t="shared" si="228"/>
        <v>129.36066304537965</v>
      </c>
    </row>
    <row r="370" spans="2:40" ht="12" customHeight="1" outlineLevel="1">
      <c r="B370" s="237"/>
      <c r="C370" s="214" t="s">
        <v>847</v>
      </c>
      <c r="D370" s="214"/>
      <c r="E370" s="210">
        <f t="shared" ref="E370:AN370" si="229">SUM(E366:E368)</f>
        <v>740</v>
      </c>
      <c r="F370" s="210">
        <f t="shared" si="229"/>
        <v>899</v>
      </c>
      <c r="G370" s="210">
        <f t="shared" si="229"/>
        <v>1979</v>
      </c>
      <c r="H370" s="210">
        <f t="shared" si="229"/>
        <v>3461</v>
      </c>
      <c r="I370" s="210">
        <f t="shared" si="229"/>
        <v>610</v>
      </c>
      <c r="J370" s="210">
        <f t="shared" si="229"/>
        <v>548</v>
      </c>
      <c r="K370" s="210">
        <f t="shared" si="229"/>
        <v>494</v>
      </c>
      <c r="L370" s="210">
        <f t="shared" si="229"/>
        <v>445</v>
      </c>
      <c r="M370" s="210">
        <f t="shared" si="229"/>
        <v>401.45850000000002</v>
      </c>
      <c r="N370" s="210">
        <f t="shared" si="229"/>
        <v>362</v>
      </c>
      <c r="O370" s="210">
        <f t="shared" si="229"/>
        <v>332</v>
      </c>
      <c r="P370" s="210">
        <f t="shared" si="229"/>
        <v>305</v>
      </c>
      <c r="Q370" s="210">
        <f t="shared" si="229"/>
        <v>279.00650000000002</v>
      </c>
      <c r="R370" s="210">
        <f t="shared" si="229"/>
        <v>253.47200000000001</v>
      </c>
      <c r="S370" s="210">
        <f t="shared" si="229"/>
        <v>228.095</v>
      </c>
      <c r="T370" s="210">
        <f t="shared" si="229"/>
        <v>206.20168000000001</v>
      </c>
      <c r="U370" s="210">
        <f t="shared" si="229"/>
        <v>186.78840000000002</v>
      </c>
      <c r="V370" s="210">
        <f t="shared" si="229"/>
        <v>168.93360000000001</v>
      </c>
      <c r="W370" s="210">
        <f t="shared" si="229"/>
        <v>152.79519999999999</v>
      </c>
      <c r="X370" s="210">
        <f t="shared" si="229"/>
        <v>137.76679999999999</v>
      </c>
      <c r="Y370" s="210">
        <f t="shared" si="229"/>
        <v>124.0672</v>
      </c>
      <c r="Z370" s="210">
        <f t="shared" si="229"/>
        <v>116</v>
      </c>
      <c r="AA370" s="210">
        <f t="shared" si="229"/>
        <v>109.60000000000001</v>
      </c>
      <c r="AB370" s="210">
        <f t="shared" si="229"/>
        <v>99.4</v>
      </c>
      <c r="AC370" s="210">
        <f t="shared" si="229"/>
        <v>87.96</v>
      </c>
      <c r="AD370" s="210">
        <f t="shared" si="229"/>
        <v>80.879199999999997</v>
      </c>
      <c r="AE370" s="210">
        <f t="shared" si="229"/>
        <v>72.756783999999982</v>
      </c>
      <c r="AF370" s="210">
        <f t="shared" si="229"/>
        <v>66.59191967999999</v>
      </c>
      <c r="AG370" s="210">
        <f t="shared" si="229"/>
        <v>60.383758073599999</v>
      </c>
      <c r="AH370" s="210">
        <f t="shared" si="229"/>
        <v>55.131433235072031</v>
      </c>
      <c r="AI370" s="210">
        <f t="shared" si="229"/>
        <v>49.83406189977341</v>
      </c>
      <c r="AJ370" s="210">
        <f t="shared" si="229"/>
        <v>45.490743137768902</v>
      </c>
      <c r="AK370" s="210">
        <f t="shared" si="229"/>
        <v>42.100558000524259</v>
      </c>
      <c r="AL370" s="210">
        <f t="shared" si="229"/>
        <v>39.662569160534751</v>
      </c>
      <c r="AM370" s="210">
        <f t="shared" si="229"/>
        <v>36.175820543745438</v>
      </c>
      <c r="AN370" s="210">
        <f t="shared" si="229"/>
        <v>33.639336954620354</v>
      </c>
    </row>
    <row r="371" spans="2:40" ht="12" customHeight="1" outlineLevel="1">
      <c r="B371" s="237"/>
      <c r="C371" s="252" t="s">
        <v>848</v>
      </c>
      <c r="D371" s="214"/>
      <c r="E371" s="205">
        <f>SUM(E369:E370)</f>
        <v>849</v>
      </c>
      <c r="F371" s="205">
        <f t="shared" ref="F371:AN371" si="230">SUM(F369:F370)</f>
        <v>1023</v>
      </c>
      <c r="G371" s="205">
        <f t="shared" si="230"/>
        <v>2083</v>
      </c>
      <c r="H371" s="205">
        <f t="shared" si="230"/>
        <v>3892</v>
      </c>
      <c r="I371" s="205">
        <f t="shared" si="230"/>
        <v>750</v>
      </c>
      <c r="J371" s="205">
        <f t="shared" si="230"/>
        <v>707</v>
      </c>
      <c r="K371" s="205">
        <f t="shared" si="230"/>
        <v>677</v>
      </c>
      <c r="L371" s="205">
        <f t="shared" si="230"/>
        <v>488</v>
      </c>
      <c r="M371" s="205">
        <f t="shared" si="230"/>
        <v>438</v>
      </c>
      <c r="N371" s="205">
        <f t="shared" si="230"/>
        <v>872</v>
      </c>
      <c r="O371" s="205">
        <f t="shared" si="230"/>
        <v>842</v>
      </c>
      <c r="P371" s="205">
        <f t="shared" si="230"/>
        <v>560</v>
      </c>
      <c r="Q371" s="205">
        <f t="shared" si="230"/>
        <v>308</v>
      </c>
      <c r="R371" s="205">
        <f t="shared" si="230"/>
        <v>311</v>
      </c>
      <c r="S371" s="205">
        <f t="shared" si="230"/>
        <v>287</v>
      </c>
      <c r="T371" s="205">
        <f t="shared" si="230"/>
        <v>241</v>
      </c>
      <c r="U371" s="205">
        <f t="shared" si="230"/>
        <v>219.00000000000003</v>
      </c>
      <c r="V371" s="205">
        <f t="shared" si="230"/>
        <v>207</v>
      </c>
      <c r="W371" s="205">
        <f t="shared" si="230"/>
        <v>202</v>
      </c>
      <c r="X371" s="205">
        <f t="shared" si="230"/>
        <v>167</v>
      </c>
      <c r="Y371" s="205">
        <f t="shared" si="230"/>
        <v>241</v>
      </c>
      <c r="Z371" s="205">
        <f t="shared" si="230"/>
        <v>320</v>
      </c>
      <c r="AA371" s="205">
        <f t="shared" si="230"/>
        <v>232</v>
      </c>
      <c r="AB371" s="205">
        <f t="shared" si="230"/>
        <v>181</v>
      </c>
      <c r="AC371" s="205">
        <f t="shared" si="230"/>
        <v>192</v>
      </c>
      <c r="AD371" s="205">
        <f t="shared" si="230"/>
        <v>187</v>
      </c>
      <c r="AE371" s="205">
        <f t="shared" si="230"/>
        <v>181</v>
      </c>
      <c r="AF371" s="205">
        <f t="shared" si="230"/>
        <v>177</v>
      </c>
      <c r="AG371" s="205">
        <f t="shared" si="230"/>
        <v>173</v>
      </c>
      <c r="AH371" s="205">
        <f t="shared" si="230"/>
        <v>170</v>
      </c>
      <c r="AI371" s="205">
        <f t="shared" si="230"/>
        <v>167</v>
      </c>
      <c r="AJ371" s="205">
        <f t="shared" si="230"/>
        <v>165</v>
      </c>
      <c r="AK371" s="205">
        <f t="shared" si="230"/>
        <v>164</v>
      </c>
      <c r="AL371" s="205">
        <f t="shared" si="230"/>
        <v>164</v>
      </c>
      <c r="AM371" s="205">
        <f t="shared" si="230"/>
        <v>163</v>
      </c>
      <c r="AN371" s="205">
        <f t="shared" si="230"/>
        <v>163</v>
      </c>
    </row>
    <row r="372" spans="2:40" ht="12" customHeight="1" outlineLevel="1">
      <c r="B372" s="239"/>
      <c r="C372" s="214"/>
      <c r="D372" s="214"/>
      <c r="E372" s="211"/>
      <c r="F372" s="211"/>
      <c r="G372" s="211"/>
      <c r="H372" s="211"/>
      <c r="I372" s="211"/>
      <c r="J372" s="211"/>
      <c r="K372" s="211"/>
      <c r="L372" s="211"/>
      <c r="M372" s="211"/>
      <c r="N372" s="211"/>
      <c r="O372" s="211"/>
      <c r="P372" s="211"/>
      <c r="Q372" s="211"/>
      <c r="R372" s="211"/>
      <c r="S372" s="211"/>
      <c r="T372" s="211"/>
      <c r="U372" s="211"/>
      <c r="V372" s="211"/>
      <c r="W372" s="211"/>
      <c r="X372" s="211"/>
      <c r="Y372" s="211"/>
      <c r="Z372" s="211"/>
      <c r="AA372" s="211"/>
      <c r="AB372" s="211"/>
      <c r="AC372" s="211"/>
      <c r="AD372" s="211"/>
      <c r="AE372" s="211"/>
      <c r="AF372" s="211"/>
      <c r="AG372" s="211"/>
      <c r="AH372" s="211"/>
      <c r="AI372" s="211"/>
      <c r="AJ372" s="211"/>
      <c r="AK372" s="211"/>
      <c r="AL372" s="211"/>
      <c r="AM372" s="211"/>
      <c r="AN372" s="211"/>
    </row>
    <row r="373" spans="2:40" ht="12" hidden="1" customHeight="1" outlineLevel="2">
      <c r="B373" s="239"/>
      <c r="C373" s="243" t="s">
        <v>849</v>
      </c>
      <c r="D373" s="214"/>
      <c r="O373" s="212"/>
      <c r="P373" s="212"/>
      <c r="Q373" s="212"/>
      <c r="R373" s="212"/>
      <c r="S373" s="212"/>
      <c r="T373" s="212"/>
      <c r="U373" s="212"/>
      <c r="V373" s="212"/>
      <c r="W373" s="212"/>
      <c r="X373" s="212"/>
      <c r="Y373" s="212"/>
      <c r="Z373" s="212"/>
      <c r="AA373" s="212"/>
      <c r="AB373" s="212"/>
      <c r="AC373" s="212"/>
      <c r="AD373" s="212"/>
      <c r="AE373" s="212"/>
      <c r="AF373" s="212"/>
      <c r="AG373" s="212"/>
      <c r="AH373" s="212"/>
      <c r="AI373" s="212"/>
      <c r="AJ373" s="212"/>
      <c r="AK373" s="212"/>
      <c r="AL373" s="212"/>
      <c r="AM373" s="212"/>
      <c r="AN373" s="212"/>
    </row>
    <row r="374" spans="2:40" ht="12" hidden="1" customHeight="1" outlineLevel="2">
      <c r="B374" s="239"/>
      <c r="C374" s="214" t="s">
        <v>850</v>
      </c>
      <c r="D374" s="214"/>
      <c r="E374" s="196" t="s">
        <v>753</v>
      </c>
      <c r="F374" s="196" t="s">
        <v>754</v>
      </c>
      <c r="G374" s="196" t="s">
        <v>755</v>
      </c>
      <c r="H374" s="196" t="s">
        <v>756</v>
      </c>
      <c r="I374" s="196" t="s">
        <v>757</v>
      </c>
      <c r="J374" s="196" t="s">
        <v>758</v>
      </c>
      <c r="K374" s="196" t="s">
        <v>759</v>
      </c>
      <c r="L374" s="196" t="s">
        <v>760</v>
      </c>
      <c r="M374" s="196" t="s">
        <v>761</v>
      </c>
      <c r="N374" s="196" t="s">
        <v>762</v>
      </c>
      <c r="O374" s="196" t="s">
        <v>763</v>
      </c>
      <c r="P374" s="196" t="s">
        <v>764</v>
      </c>
      <c r="Q374" s="196" t="s">
        <v>765</v>
      </c>
      <c r="R374" s="196" t="s">
        <v>766</v>
      </c>
      <c r="S374" s="196" t="s">
        <v>767</v>
      </c>
      <c r="T374" s="196" t="s">
        <v>768</v>
      </c>
      <c r="U374" s="196" t="s">
        <v>769</v>
      </c>
      <c r="V374" s="196" t="s">
        <v>770</v>
      </c>
      <c r="W374" s="196" t="s">
        <v>771</v>
      </c>
      <c r="X374" s="196" t="s">
        <v>772</v>
      </c>
      <c r="Y374" s="196" t="s">
        <v>773</v>
      </c>
      <c r="Z374" s="196" t="s">
        <v>774</v>
      </c>
      <c r="AA374" s="196" t="s">
        <v>775</v>
      </c>
      <c r="AB374" s="196" t="s">
        <v>776</v>
      </c>
      <c r="AC374" s="196" t="s">
        <v>777</v>
      </c>
      <c r="AD374" s="196" t="s">
        <v>778</v>
      </c>
      <c r="AE374" s="196" t="s">
        <v>779</v>
      </c>
      <c r="AF374" s="196" t="s">
        <v>780</v>
      </c>
      <c r="AG374" s="196" t="s">
        <v>781</v>
      </c>
      <c r="AH374" s="196" t="s">
        <v>782</v>
      </c>
      <c r="AI374" s="196" t="s">
        <v>783</v>
      </c>
      <c r="AJ374" s="196" t="s">
        <v>784</v>
      </c>
      <c r="AK374" s="196" t="s">
        <v>785</v>
      </c>
      <c r="AL374" s="196" t="s">
        <v>786</v>
      </c>
      <c r="AM374" s="196" t="s">
        <v>787</v>
      </c>
      <c r="AN374" s="196" t="s">
        <v>788</v>
      </c>
    </row>
    <row r="375" spans="2:40" ht="12" hidden="1" customHeight="1" outlineLevel="2">
      <c r="B375" s="239"/>
      <c r="C375" s="212" t="s">
        <v>851</v>
      </c>
      <c r="D375" s="212"/>
      <c r="E375" s="191">
        <v>0</v>
      </c>
      <c r="F375" s="191">
        <v>0</v>
      </c>
      <c r="G375" s="191">
        <v>0</v>
      </c>
      <c r="H375" s="191">
        <v>0</v>
      </c>
      <c r="I375" s="191">
        <v>0</v>
      </c>
      <c r="J375" s="191">
        <v>0</v>
      </c>
      <c r="K375" s="191">
        <v>0</v>
      </c>
      <c r="L375" s="191">
        <v>0</v>
      </c>
      <c r="M375" s="191">
        <v>0</v>
      </c>
      <c r="N375" s="191">
        <v>0</v>
      </c>
      <c r="O375" s="191">
        <v>0</v>
      </c>
      <c r="P375" s="191">
        <v>0</v>
      </c>
      <c r="Q375" s="191">
        <v>0</v>
      </c>
      <c r="R375" s="191">
        <v>0</v>
      </c>
      <c r="S375" s="191">
        <v>0</v>
      </c>
      <c r="T375" s="191">
        <v>0</v>
      </c>
      <c r="U375" s="191">
        <v>0</v>
      </c>
      <c r="V375" s="191">
        <v>0</v>
      </c>
      <c r="W375" s="191">
        <v>0</v>
      </c>
      <c r="X375" s="191">
        <v>0</v>
      </c>
      <c r="Y375" s="191">
        <v>0</v>
      </c>
      <c r="Z375" s="191">
        <v>0</v>
      </c>
      <c r="AA375" s="191">
        <v>0</v>
      </c>
      <c r="AB375" s="191">
        <v>0</v>
      </c>
      <c r="AC375" s="191">
        <v>0</v>
      </c>
      <c r="AD375" s="191">
        <v>0</v>
      </c>
      <c r="AE375" s="191">
        <v>0</v>
      </c>
      <c r="AF375" s="191">
        <v>0</v>
      </c>
      <c r="AG375" s="191">
        <v>0</v>
      </c>
      <c r="AH375" s="191">
        <v>0</v>
      </c>
      <c r="AI375" s="191">
        <v>0</v>
      </c>
      <c r="AJ375" s="191">
        <v>0</v>
      </c>
      <c r="AK375" s="191">
        <v>0</v>
      </c>
      <c r="AL375" s="191">
        <v>0</v>
      </c>
      <c r="AM375" s="191">
        <v>0</v>
      </c>
      <c r="AN375" s="191">
        <v>0</v>
      </c>
    </row>
    <row r="376" spans="2:40" ht="12" hidden="1" customHeight="1" outlineLevel="2">
      <c r="B376" s="239"/>
      <c r="C376" s="213" t="s">
        <v>861</v>
      </c>
      <c r="D376" s="214"/>
      <c r="E376" s="211">
        <v>418</v>
      </c>
      <c r="F376" s="211">
        <v>520</v>
      </c>
      <c r="G376" s="211">
        <v>1498</v>
      </c>
      <c r="H376" s="211">
        <v>3097</v>
      </c>
      <c r="I376" s="211">
        <v>303</v>
      </c>
      <c r="J376" s="211">
        <f t="shared" ref="J376:AN376" si="231">I376*90%</f>
        <v>272.7</v>
      </c>
      <c r="K376" s="211">
        <f t="shared" si="231"/>
        <v>245.43</v>
      </c>
      <c r="L376" s="211">
        <f t="shared" si="231"/>
        <v>220.887</v>
      </c>
      <c r="M376" s="211">
        <f t="shared" si="231"/>
        <v>198.79830000000001</v>
      </c>
      <c r="N376" s="211">
        <f t="shared" si="231"/>
        <v>178.91847000000001</v>
      </c>
      <c r="O376" s="211">
        <f t="shared" si="231"/>
        <v>161.02662300000003</v>
      </c>
      <c r="P376" s="211">
        <f t="shared" si="231"/>
        <v>144.92396070000004</v>
      </c>
      <c r="Q376" s="211">
        <f t="shared" si="231"/>
        <v>130.43156463000003</v>
      </c>
      <c r="R376" s="211">
        <f t="shared" si="231"/>
        <v>117.38840816700002</v>
      </c>
      <c r="S376" s="211">
        <f t="shared" si="231"/>
        <v>105.64956735030002</v>
      </c>
      <c r="T376" s="211">
        <f t="shared" si="231"/>
        <v>95.084610615270023</v>
      </c>
      <c r="U376" s="211">
        <f t="shared" si="231"/>
        <v>85.576149553743022</v>
      </c>
      <c r="V376" s="211">
        <f t="shared" si="231"/>
        <v>77.018534598368717</v>
      </c>
      <c r="W376" s="211">
        <f t="shared" si="231"/>
        <v>69.316681138531848</v>
      </c>
      <c r="X376" s="211">
        <f t="shared" si="231"/>
        <v>62.385013024678663</v>
      </c>
      <c r="Y376" s="211">
        <f t="shared" si="231"/>
        <v>56.146511722210796</v>
      </c>
      <c r="Z376" s="211">
        <f t="shared" si="231"/>
        <v>50.531860549989716</v>
      </c>
      <c r="AA376" s="211">
        <f t="shared" si="231"/>
        <v>45.478674494990749</v>
      </c>
      <c r="AB376" s="211">
        <f t="shared" si="231"/>
        <v>40.930807045491676</v>
      </c>
      <c r="AC376" s="211">
        <f t="shared" si="231"/>
        <v>36.83772634094251</v>
      </c>
      <c r="AD376" s="211">
        <f t="shared" si="231"/>
        <v>33.153953706848263</v>
      </c>
      <c r="AE376" s="211">
        <f t="shared" si="231"/>
        <v>29.838558336163437</v>
      </c>
      <c r="AF376" s="211">
        <f t="shared" si="231"/>
        <v>26.854702502547095</v>
      </c>
      <c r="AG376" s="211">
        <f t="shared" si="231"/>
        <v>24.169232252292385</v>
      </c>
      <c r="AH376" s="211">
        <f t="shared" si="231"/>
        <v>21.752309027063149</v>
      </c>
      <c r="AI376" s="211">
        <f t="shared" si="231"/>
        <v>19.577078124356834</v>
      </c>
      <c r="AJ376" s="211">
        <f t="shared" si="231"/>
        <v>17.619370311921152</v>
      </c>
      <c r="AK376" s="211">
        <f t="shared" si="231"/>
        <v>15.857433280729037</v>
      </c>
      <c r="AL376" s="211">
        <f t="shared" si="231"/>
        <v>14.271689952656134</v>
      </c>
      <c r="AM376" s="211">
        <f t="shared" si="231"/>
        <v>12.84452095739052</v>
      </c>
      <c r="AN376" s="211">
        <f t="shared" si="231"/>
        <v>11.560068861651468</v>
      </c>
    </row>
    <row r="377" spans="2:40" ht="12" hidden="1" customHeight="1" outlineLevel="2">
      <c r="B377" s="245"/>
      <c r="C377" s="213" t="s">
        <v>753</v>
      </c>
      <c r="D377" s="213"/>
      <c r="E377" s="211">
        <f>INDEX($C$349:$AN$371,MATCH("New Customers One-Time",$C$349:$C$371,0),MATCH($C377,$C$349:$AN$349,0))</f>
        <v>96</v>
      </c>
      <c r="F377" s="211">
        <f t="shared" ref="F377:AN377" si="232">$E377*(E375)</f>
        <v>0</v>
      </c>
      <c r="G377" s="211">
        <f t="shared" si="232"/>
        <v>0</v>
      </c>
      <c r="H377" s="211">
        <f t="shared" si="232"/>
        <v>0</v>
      </c>
      <c r="I377" s="211">
        <f t="shared" si="232"/>
        <v>0</v>
      </c>
      <c r="J377" s="211">
        <f t="shared" si="232"/>
        <v>0</v>
      </c>
      <c r="K377" s="211">
        <f t="shared" si="232"/>
        <v>0</v>
      </c>
      <c r="L377" s="211">
        <f t="shared" si="232"/>
        <v>0</v>
      </c>
      <c r="M377" s="211">
        <f t="shared" si="232"/>
        <v>0</v>
      </c>
      <c r="N377" s="211">
        <f t="shared" si="232"/>
        <v>0</v>
      </c>
      <c r="O377" s="211">
        <f t="shared" si="232"/>
        <v>0</v>
      </c>
      <c r="P377" s="211">
        <f t="shared" si="232"/>
        <v>0</v>
      </c>
      <c r="Q377" s="211">
        <f t="shared" si="232"/>
        <v>0</v>
      </c>
      <c r="R377" s="211">
        <f t="shared" si="232"/>
        <v>0</v>
      </c>
      <c r="S377" s="211">
        <f t="shared" si="232"/>
        <v>0</v>
      </c>
      <c r="T377" s="211">
        <f t="shared" si="232"/>
        <v>0</v>
      </c>
      <c r="U377" s="211">
        <f t="shared" si="232"/>
        <v>0</v>
      </c>
      <c r="V377" s="211">
        <f t="shared" si="232"/>
        <v>0</v>
      </c>
      <c r="W377" s="211">
        <f t="shared" si="232"/>
        <v>0</v>
      </c>
      <c r="X377" s="211">
        <f t="shared" si="232"/>
        <v>0</v>
      </c>
      <c r="Y377" s="211">
        <f t="shared" si="232"/>
        <v>0</v>
      </c>
      <c r="Z377" s="211">
        <f t="shared" si="232"/>
        <v>0</v>
      </c>
      <c r="AA377" s="211">
        <f t="shared" si="232"/>
        <v>0</v>
      </c>
      <c r="AB377" s="211">
        <f t="shared" si="232"/>
        <v>0</v>
      </c>
      <c r="AC377" s="211">
        <f t="shared" si="232"/>
        <v>0</v>
      </c>
      <c r="AD377" s="211">
        <f t="shared" si="232"/>
        <v>0</v>
      </c>
      <c r="AE377" s="211">
        <f t="shared" si="232"/>
        <v>0</v>
      </c>
      <c r="AF377" s="211">
        <f t="shared" si="232"/>
        <v>0</v>
      </c>
      <c r="AG377" s="211">
        <f t="shared" si="232"/>
        <v>0</v>
      </c>
      <c r="AH377" s="211">
        <f t="shared" si="232"/>
        <v>0</v>
      </c>
      <c r="AI377" s="211">
        <f t="shared" si="232"/>
        <v>0</v>
      </c>
      <c r="AJ377" s="211">
        <f t="shared" si="232"/>
        <v>0</v>
      </c>
      <c r="AK377" s="211">
        <f t="shared" si="232"/>
        <v>0</v>
      </c>
      <c r="AL377" s="211">
        <f t="shared" si="232"/>
        <v>0</v>
      </c>
      <c r="AM377" s="211">
        <f t="shared" si="232"/>
        <v>0</v>
      </c>
      <c r="AN377" s="211">
        <f t="shared" si="232"/>
        <v>0</v>
      </c>
    </row>
    <row r="378" spans="2:40" ht="12" hidden="1" customHeight="1" outlineLevel="2">
      <c r="B378" s="245"/>
      <c r="C378" s="213" t="s">
        <v>754</v>
      </c>
      <c r="D378" s="213"/>
      <c r="E378" s="213"/>
      <c r="F378" s="211">
        <f>INDEX($C$349:$AN$371,MATCH("New Customers One-Time",$C$349:$C$371,0),MATCH($C378,$C$349:$AN$349,0))</f>
        <v>102</v>
      </c>
      <c r="G378" s="211">
        <f t="shared" ref="G378:AN378" si="233">$F378*(E375)</f>
        <v>0</v>
      </c>
      <c r="H378" s="211">
        <f t="shared" si="233"/>
        <v>0</v>
      </c>
      <c r="I378" s="211">
        <f t="shared" si="233"/>
        <v>0</v>
      </c>
      <c r="J378" s="211">
        <f t="shared" si="233"/>
        <v>0</v>
      </c>
      <c r="K378" s="211">
        <f t="shared" si="233"/>
        <v>0</v>
      </c>
      <c r="L378" s="211">
        <f t="shared" si="233"/>
        <v>0</v>
      </c>
      <c r="M378" s="211">
        <f t="shared" si="233"/>
        <v>0</v>
      </c>
      <c r="N378" s="211">
        <f t="shared" si="233"/>
        <v>0</v>
      </c>
      <c r="O378" s="211">
        <f t="shared" si="233"/>
        <v>0</v>
      </c>
      <c r="P378" s="211">
        <f t="shared" si="233"/>
        <v>0</v>
      </c>
      <c r="Q378" s="211">
        <f t="shared" si="233"/>
        <v>0</v>
      </c>
      <c r="R378" s="211">
        <f t="shared" si="233"/>
        <v>0</v>
      </c>
      <c r="S378" s="211">
        <f t="shared" si="233"/>
        <v>0</v>
      </c>
      <c r="T378" s="211">
        <f t="shared" si="233"/>
        <v>0</v>
      </c>
      <c r="U378" s="211">
        <f t="shared" si="233"/>
        <v>0</v>
      </c>
      <c r="V378" s="211">
        <f t="shared" si="233"/>
        <v>0</v>
      </c>
      <c r="W378" s="211">
        <f t="shared" si="233"/>
        <v>0</v>
      </c>
      <c r="X378" s="211">
        <f t="shared" si="233"/>
        <v>0</v>
      </c>
      <c r="Y378" s="211">
        <f t="shared" si="233"/>
        <v>0</v>
      </c>
      <c r="Z378" s="211">
        <f t="shared" si="233"/>
        <v>0</v>
      </c>
      <c r="AA378" s="211">
        <f t="shared" si="233"/>
        <v>0</v>
      </c>
      <c r="AB378" s="211">
        <f t="shared" si="233"/>
        <v>0</v>
      </c>
      <c r="AC378" s="211">
        <f t="shared" si="233"/>
        <v>0</v>
      </c>
      <c r="AD378" s="211">
        <f t="shared" si="233"/>
        <v>0</v>
      </c>
      <c r="AE378" s="211">
        <f t="shared" si="233"/>
        <v>0</v>
      </c>
      <c r="AF378" s="211">
        <f t="shared" si="233"/>
        <v>0</v>
      </c>
      <c r="AG378" s="211">
        <f t="shared" si="233"/>
        <v>0</v>
      </c>
      <c r="AH378" s="211">
        <f t="shared" si="233"/>
        <v>0</v>
      </c>
      <c r="AI378" s="211">
        <f t="shared" si="233"/>
        <v>0</v>
      </c>
      <c r="AJ378" s="211">
        <f t="shared" si="233"/>
        <v>0</v>
      </c>
      <c r="AK378" s="211">
        <f t="shared" si="233"/>
        <v>0</v>
      </c>
      <c r="AL378" s="211">
        <f t="shared" si="233"/>
        <v>0</v>
      </c>
      <c r="AM378" s="211">
        <f t="shared" si="233"/>
        <v>0</v>
      </c>
      <c r="AN378" s="211">
        <f t="shared" si="233"/>
        <v>0</v>
      </c>
    </row>
    <row r="379" spans="2:40" ht="12" hidden="1" customHeight="1" outlineLevel="2">
      <c r="B379" s="245"/>
      <c r="C379" s="213" t="s">
        <v>755</v>
      </c>
      <c r="D379" s="213"/>
      <c r="E379" s="213"/>
      <c r="G379" s="211">
        <f>INDEX($C$349:$AN$371,MATCH("New Customers One-Time",$C$349:$C$371,0),MATCH($C379,$C$349:$AN$349,0))</f>
        <v>93</v>
      </c>
      <c r="H379" s="211">
        <f t="shared" ref="H379:AN379" si="234">$G379*(E375)</f>
        <v>0</v>
      </c>
      <c r="I379" s="211">
        <f t="shared" si="234"/>
        <v>0</v>
      </c>
      <c r="J379" s="211">
        <f t="shared" si="234"/>
        <v>0</v>
      </c>
      <c r="K379" s="211">
        <f t="shared" si="234"/>
        <v>0</v>
      </c>
      <c r="L379" s="211">
        <f t="shared" si="234"/>
        <v>0</v>
      </c>
      <c r="M379" s="211">
        <f t="shared" si="234"/>
        <v>0</v>
      </c>
      <c r="N379" s="211">
        <f t="shared" si="234"/>
        <v>0</v>
      </c>
      <c r="O379" s="211">
        <f t="shared" si="234"/>
        <v>0</v>
      </c>
      <c r="P379" s="211">
        <f t="shared" si="234"/>
        <v>0</v>
      </c>
      <c r="Q379" s="211">
        <f t="shared" si="234"/>
        <v>0</v>
      </c>
      <c r="R379" s="211">
        <f t="shared" si="234"/>
        <v>0</v>
      </c>
      <c r="S379" s="211">
        <f t="shared" si="234"/>
        <v>0</v>
      </c>
      <c r="T379" s="211">
        <f t="shared" si="234"/>
        <v>0</v>
      </c>
      <c r="U379" s="211">
        <f t="shared" si="234"/>
        <v>0</v>
      </c>
      <c r="V379" s="211">
        <f t="shared" si="234"/>
        <v>0</v>
      </c>
      <c r="W379" s="211">
        <f t="shared" si="234"/>
        <v>0</v>
      </c>
      <c r="X379" s="211">
        <f t="shared" si="234"/>
        <v>0</v>
      </c>
      <c r="Y379" s="211">
        <f t="shared" si="234"/>
        <v>0</v>
      </c>
      <c r="Z379" s="211">
        <f t="shared" si="234"/>
        <v>0</v>
      </c>
      <c r="AA379" s="211">
        <f t="shared" si="234"/>
        <v>0</v>
      </c>
      <c r="AB379" s="211">
        <f t="shared" si="234"/>
        <v>0</v>
      </c>
      <c r="AC379" s="211">
        <f t="shared" si="234"/>
        <v>0</v>
      </c>
      <c r="AD379" s="211">
        <f t="shared" si="234"/>
        <v>0</v>
      </c>
      <c r="AE379" s="211">
        <f t="shared" si="234"/>
        <v>0</v>
      </c>
      <c r="AF379" s="211">
        <f t="shared" si="234"/>
        <v>0</v>
      </c>
      <c r="AG379" s="211">
        <f t="shared" si="234"/>
        <v>0</v>
      </c>
      <c r="AH379" s="211">
        <f t="shared" si="234"/>
        <v>0</v>
      </c>
      <c r="AI379" s="211">
        <f t="shared" si="234"/>
        <v>0</v>
      </c>
      <c r="AJ379" s="211">
        <f t="shared" si="234"/>
        <v>0</v>
      </c>
      <c r="AK379" s="211">
        <f t="shared" si="234"/>
        <v>0</v>
      </c>
      <c r="AL379" s="211">
        <f t="shared" si="234"/>
        <v>0</v>
      </c>
      <c r="AM379" s="211">
        <f t="shared" si="234"/>
        <v>0</v>
      </c>
      <c r="AN379" s="211">
        <f t="shared" si="234"/>
        <v>0</v>
      </c>
    </row>
    <row r="380" spans="2:40" ht="12" hidden="1" customHeight="1" outlineLevel="2">
      <c r="B380" s="245"/>
      <c r="C380" s="213" t="s">
        <v>756</v>
      </c>
      <c r="D380" s="213"/>
      <c r="E380" s="213"/>
      <c r="F380" s="213"/>
      <c r="G380" s="213"/>
      <c r="H380" s="211">
        <f>INDEX($C$349:$AN$371,MATCH("New Customers One-Time",$C$349:$C$371,0),MATCH($C380,$C$349:$AN$349,0))</f>
        <v>422</v>
      </c>
      <c r="I380" s="211">
        <f t="shared" ref="I380:AN380" si="235">$H380*(E375)</f>
        <v>0</v>
      </c>
      <c r="J380" s="211">
        <f t="shared" si="235"/>
        <v>0</v>
      </c>
      <c r="K380" s="211">
        <f t="shared" si="235"/>
        <v>0</v>
      </c>
      <c r="L380" s="211">
        <f t="shared" si="235"/>
        <v>0</v>
      </c>
      <c r="M380" s="211">
        <f t="shared" si="235"/>
        <v>0</v>
      </c>
      <c r="N380" s="211">
        <f t="shared" si="235"/>
        <v>0</v>
      </c>
      <c r="O380" s="211">
        <f t="shared" si="235"/>
        <v>0</v>
      </c>
      <c r="P380" s="211">
        <f t="shared" si="235"/>
        <v>0</v>
      </c>
      <c r="Q380" s="211">
        <f t="shared" si="235"/>
        <v>0</v>
      </c>
      <c r="R380" s="211">
        <f t="shared" si="235"/>
        <v>0</v>
      </c>
      <c r="S380" s="211">
        <f t="shared" si="235"/>
        <v>0</v>
      </c>
      <c r="T380" s="211">
        <f t="shared" si="235"/>
        <v>0</v>
      </c>
      <c r="U380" s="211">
        <f t="shared" si="235"/>
        <v>0</v>
      </c>
      <c r="V380" s="211">
        <f t="shared" si="235"/>
        <v>0</v>
      </c>
      <c r="W380" s="211">
        <f t="shared" si="235"/>
        <v>0</v>
      </c>
      <c r="X380" s="211">
        <f t="shared" si="235"/>
        <v>0</v>
      </c>
      <c r="Y380" s="211">
        <f t="shared" si="235"/>
        <v>0</v>
      </c>
      <c r="Z380" s="211">
        <f t="shared" si="235"/>
        <v>0</v>
      </c>
      <c r="AA380" s="211">
        <f t="shared" si="235"/>
        <v>0</v>
      </c>
      <c r="AB380" s="211">
        <f t="shared" si="235"/>
        <v>0</v>
      </c>
      <c r="AC380" s="211">
        <f t="shared" si="235"/>
        <v>0</v>
      </c>
      <c r="AD380" s="211">
        <f t="shared" si="235"/>
        <v>0</v>
      </c>
      <c r="AE380" s="211">
        <f t="shared" si="235"/>
        <v>0</v>
      </c>
      <c r="AF380" s="211">
        <f t="shared" si="235"/>
        <v>0</v>
      </c>
      <c r="AG380" s="211">
        <f t="shared" si="235"/>
        <v>0</v>
      </c>
      <c r="AH380" s="211">
        <f t="shared" si="235"/>
        <v>0</v>
      </c>
      <c r="AI380" s="211">
        <f t="shared" si="235"/>
        <v>0</v>
      </c>
      <c r="AJ380" s="211">
        <f t="shared" si="235"/>
        <v>0</v>
      </c>
      <c r="AK380" s="211">
        <f t="shared" si="235"/>
        <v>0</v>
      </c>
      <c r="AL380" s="211">
        <f t="shared" si="235"/>
        <v>0</v>
      </c>
      <c r="AM380" s="211">
        <f t="shared" si="235"/>
        <v>0</v>
      </c>
      <c r="AN380" s="211">
        <f t="shared" si="235"/>
        <v>0</v>
      </c>
    </row>
    <row r="381" spans="2:40" ht="12" hidden="1" customHeight="1" outlineLevel="2">
      <c r="B381" s="245"/>
      <c r="C381" s="213" t="s">
        <v>757</v>
      </c>
      <c r="D381" s="213"/>
      <c r="E381" s="213"/>
      <c r="F381" s="213"/>
      <c r="G381" s="213"/>
      <c r="H381" s="213"/>
      <c r="I381" s="211">
        <f>INDEX($C$349:$AN$371,MATCH("New Customers One-Time",$C$349:$C$371,0),MATCH($C381,$C$349:$AN$349,0))</f>
        <v>133</v>
      </c>
      <c r="J381" s="211">
        <f t="shared" ref="J381:AN381" si="236">$I381*(E375)</f>
        <v>0</v>
      </c>
      <c r="K381" s="211">
        <f t="shared" si="236"/>
        <v>0</v>
      </c>
      <c r="L381" s="211">
        <f t="shared" si="236"/>
        <v>0</v>
      </c>
      <c r="M381" s="211">
        <f t="shared" si="236"/>
        <v>0</v>
      </c>
      <c r="N381" s="211">
        <f t="shared" si="236"/>
        <v>0</v>
      </c>
      <c r="O381" s="211">
        <f t="shared" si="236"/>
        <v>0</v>
      </c>
      <c r="P381" s="211">
        <f t="shared" si="236"/>
        <v>0</v>
      </c>
      <c r="Q381" s="211">
        <f t="shared" si="236"/>
        <v>0</v>
      </c>
      <c r="R381" s="211">
        <f t="shared" si="236"/>
        <v>0</v>
      </c>
      <c r="S381" s="211">
        <f t="shared" si="236"/>
        <v>0</v>
      </c>
      <c r="T381" s="211">
        <f t="shared" si="236"/>
        <v>0</v>
      </c>
      <c r="U381" s="211">
        <f t="shared" si="236"/>
        <v>0</v>
      </c>
      <c r="V381" s="211">
        <f t="shared" si="236"/>
        <v>0</v>
      </c>
      <c r="W381" s="211">
        <f t="shared" si="236"/>
        <v>0</v>
      </c>
      <c r="X381" s="211">
        <f t="shared" si="236"/>
        <v>0</v>
      </c>
      <c r="Y381" s="211">
        <f t="shared" si="236"/>
        <v>0</v>
      </c>
      <c r="Z381" s="211">
        <f t="shared" si="236"/>
        <v>0</v>
      </c>
      <c r="AA381" s="211">
        <f t="shared" si="236"/>
        <v>0</v>
      </c>
      <c r="AB381" s="211">
        <f t="shared" si="236"/>
        <v>0</v>
      </c>
      <c r="AC381" s="211">
        <f t="shared" si="236"/>
        <v>0</v>
      </c>
      <c r="AD381" s="211">
        <f t="shared" si="236"/>
        <v>0</v>
      </c>
      <c r="AE381" s="211">
        <f t="shared" si="236"/>
        <v>0</v>
      </c>
      <c r="AF381" s="211">
        <f t="shared" si="236"/>
        <v>0</v>
      </c>
      <c r="AG381" s="211">
        <f t="shared" si="236"/>
        <v>0</v>
      </c>
      <c r="AH381" s="211">
        <f t="shared" si="236"/>
        <v>0</v>
      </c>
      <c r="AI381" s="211">
        <f t="shared" si="236"/>
        <v>0</v>
      </c>
      <c r="AJ381" s="211">
        <f t="shared" si="236"/>
        <v>0</v>
      </c>
      <c r="AK381" s="211">
        <f t="shared" si="236"/>
        <v>0</v>
      </c>
      <c r="AL381" s="211">
        <f t="shared" si="236"/>
        <v>0</v>
      </c>
      <c r="AM381" s="211">
        <f t="shared" si="236"/>
        <v>0</v>
      </c>
      <c r="AN381" s="211">
        <f t="shared" si="236"/>
        <v>0</v>
      </c>
    </row>
    <row r="382" spans="2:40" ht="12" hidden="1" customHeight="1" outlineLevel="2">
      <c r="B382" s="245"/>
      <c r="C382" s="213" t="s">
        <v>758</v>
      </c>
      <c r="D382" s="213"/>
      <c r="E382" s="213"/>
      <c r="F382" s="213"/>
      <c r="G382" s="213"/>
      <c r="H382" s="213"/>
      <c r="I382" s="213"/>
      <c r="J382" s="211">
        <f>INDEX($C$349:$AN$371,MATCH("New Customers One-Time",$C$349:$C$371,0),MATCH($C382,$C$349:$AN$349,0))</f>
        <v>147</v>
      </c>
      <c r="K382" s="211">
        <f t="shared" ref="K382:AN382" si="237">$J382*(E375)</f>
        <v>0</v>
      </c>
      <c r="L382" s="211">
        <f t="shared" si="237"/>
        <v>0</v>
      </c>
      <c r="M382" s="211">
        <f t="shared" si="237"/>
        <v>0</v>
      </c>
      <c r="N382" s="211">
        <f t="shared" si="237"/>
        <v>0</v>
      </c>
      <c r="O382" s="211">
        <f t="shared" si="237"/>
        <v>0</v>
      </c>
      <c r="P382" s="211">
        <f t="shared" si="237"/>
        <v>0</v>
      </c>
      <c r="Q382" s="211">
        <f t="shared" si="237"/>
        <v>0</v>
      </c>
      <c r="R382" s="211">
        <f t="shared" si="237"/>
        <v>0</v>
      </c>
      <c r="S382" s="211">
        <f t="shared" si="237"/>
        <v>0</v>
      </c>
      <c r="T382" s="211">
        <f t="shared" si="237"/>
        <v>0</v>
      </c>
      <c r="U382" s="211">
        <f t="shared" si="237"/>
        <v>0</v>
      </c>
      <c r="V382" s="211">
        <f t="shared" si="237"/>
        <v>0</v>
      </c>
      <c r="W382" s="211">
        <f t="shared" si="237"/>
        <v>0</v>
      </c>
      <c r="X382" s="211">
        <f t="shared" si="237"/>
        <v>0</v>
      </c>
      <c r="Y382" s="211">
        <f t="shared" si="237"/>
        <v>0</v>
      </c>
      <c r="Z382" s="211">
        <f t="shared" si="237"/>
        <v>0</v>
      </c>
      <c r="AA382" s="211">
        <f t="shared" si="237"/>
        <v>0</v>
      </c>
      <c r="AB382" s="211">
        <f t="shared" si="237"/>
        <v>0</v>
      </c>
      <c r="AC382" s="211">
        <f t="shared" si="237"/>
        <v>0</v>
      </c>
      <c r="AD382" s="211">
        <f t="shared" si="237"/>
        <v>0</v>
      </c>
      <c r="AE382" s="211">
        <f t="shared" si="237"/>
        <v>0</v>
      </c>
      <c r="AF382" s="211">
        <f t="shared" si="237"/>
        <v>0</v>
      </c>
      <c r="AG382" s="211">
        <f t="shared" si="237"/>
        <v>0</v>
      </c>
      <c r="AH382" s="211">
        <f t="shared" si="237"/>
        <v>0</v>
      </c>
      <c r="AI382" s="211">
        <f t="shared" si="237"/>
        <v>0</v>
      </c>
      <c r="AJ382" s="211">
        <f t="shared" si="237"/>
        <v>0</v>
      </c>
      <c r="AK382" s="211">
        <f t="shared" si="237"/>
        <v>0</v>
      </c>
      <c r="AL382" s="211">
        <f t="shared" si="237"/>
        <v>0</v>
      </c>
      <c r="AM382" s="211">
        <f t="shared" si="237"/>
        <v>0</v>
      </c>
      <c r="AN382" s="211">
        <f t="shared" si="237"/>
        <v>0</v>
      </c>
    </row>
    <row r="383" spans="2:40" ht="12" hidden="1" customHeight="1" outlineLevel="2">
      <c r="B383" s="245"/>
      <c r="C383" s="213" t="s">
        <v>759</v>
      </c>
      <c r="D383" s="213"/>
      <c r="E383" s="213"/>
      <c r="F383" s="213"/>
      <c r="G383" s="213"/>
      <c r="H383" s="213"/>
      <c r="I383" s="213"/>
      <c r="J383" s="213"/>
      <c r="K383" s="211">
        <f>INDEX($C$349:$AN$371,MATCH("New Customers One-Time",$C$349:$C$371,0),MATCH($C383,$C$349:$AN$349,0))</f>
        <v>164</v>
      </c>
      <c r="L383" s="211">
        <f t="shared" ref="L383:AN383" si="238">$K383*(E375)</f>
        <v>0</v>
      </c>
      <c r="M383" s="211">
        <f t="shared" si="238"/>
        <v>0</v>
      </c>
      <c r="N383" s="211">
        <f t="shared" si="238"/>
        <v>0</v>
      </c>
      <c r="O383" s="211">
        <f t="shared" si="238"/>
        <v>0</v>
      </c>
      <c r="P383" s="211">
        <f t="shared" si="238"/>
        <v>0</v>
      </c>
      <c r="Q383" s="211">
        <f t="shared" si="238"/>
        <v>0</v>
      </c>
      <c r="R383" s="211">
        <f t="shared" si="238"/>
        <v>0</v>
      </c>
      <c r="S383" s="211">
        <f t="shared" si="238"/>
        <v>0</v>
      </c>
      <c r="T383" s="211">
        <f t="shared" si="238"/>
        <v>0</v>
      </c>
      <c r="U383" s="211">
        <f t="shared" si="238"/>
        <v>0</v>
      </c>
      <c r="V383" s="211">
        <f t="shared" si="238"/>
        <v>0</v>
      </c>
      <c r="W383" s="211">
        <f t="shared" si="238"/>
        <v>0</v>
      </c>
      <c r="X383" s="211">
        <f t="shared" si="238"/>
        <v>0</v>
      </c>
      <c r="Y383" s="211">
        <f t="shared" si="238"/>
        <v>0</v>
      </c>
      <c r="Z383" s="211">
        <f t="shared" si="238"/>
        <v>0</v>
      </c>
      <c r="AA383" s="211">
        <f t="shared" si="238"/>
        <v>0</v>
      </c>
      <c r="AB383" s="211">
        <f t="shared" si="238"/>
        <v>0</v>
      </c>
      <c r="AC383" s="211">
        <f t="shared" si="238"/>
        <v>0</v>
      </c>
      <c r="AD383" s="211">
        <f t="shared" si="238"/>
        <v>0</v>
      </c>
      <c r="AE383" s="211">
        <f t="shared" si="238"/>
        <v>0</v>
      </c>
      <c r="AF383" s="211">
        <f t="shared" si="238"/>
        <v>0</v>
      </c>
      <c r="AG383" s="211">
        <f t="shared" si="238"/>
        <v>0</v>
      </c>
      <c r="AH383" s="211">
        <f t="shared" si="238"/>
        <v>0</v>
      </c>
      <c r="AI383" s="211">
        <f t="shared" si="238"/>
        <v>0</v>
      </c>
      <c r="AJ383" s="211">
        <f t="shared" si="238"/>
        <v>0</v>
      </c>
      <c r="AK383" s="211">
        <f t="shared" si="238"/>
        <v>0</v>
      </c>
      <c r="AL383" s="211">
        <f t="shared" si="238"/>
        <v>0</v>
      </c>
      <c r="AM383" s="211">
        <f t="shared" si="238"/>
        <v>0</v>
      </c>
      <c r="AN383" s="211">
        <f t="shared" si="238"/>
        <v>0</v>
      </c>
    </row>
    <row r="384" spans="2:40" ht="12" hidden="1" customHeight="1" outlineLevel="2">
      <c r="B384" s="245"/>
      <c r="C384" s="213" t="s">
        <v>760</v>
      </c>
      <c r="D384" s="213"/>
      <c r="E384" s="213"/>
      <c r="F384" s="213"/>
      <c r="G384" s="213"/>
      <c r="H384" s="213"/>
      <c r="I384" s="213"/>
      <c r="J384" s="213"/>
      <c r="K384" s="213"/>
      <c r="L384" s="211">
        <f>INDEX($C$349:$AN$371,MATCH("New Customers One-Time",$C$349:$C$371,0),MATCH($C384,$C$349:$AN$349,0))</f>
        <v>28.000000000000004</v>
      </c>
      <c r="M384" s="211">
        <f t="shared" ref="M384:AN384" si="239">$L384*(E375)</f>
        <v>0</v>
      </c>
      <c r="N384" s="211">
        <f t="shared" si="239"/>
        <v>0</v>
      </c>
      <c r="O384" s="211">
        <f t="shared" si="239"/>
        <v>0</v>
      </c>
      <c r="P384" s="211">
        <f t="shared" si="239"/>
        <v>0</v>
      </c>
      <c r="Q384" s="211">
        <f t="shared" si="239"/>
        <v>0</v>
      </c>
      <c r="R384" s="211">
        <f t="shared" si="239"/>
        <v>0</v>
      </c>
      <c r="S384" s="211">
        <f t="shared" si="239"/>
        <v>0</v>
      </c>
      <c r="T384" s="211">
        <f t="shared" si="239"/>
        <v>0</v>
      </c>
      <c r="U384" s="211">
        <f t="shared" si="239"/>
        <v>0</v>
      </c>
      <c r="V384" s="211">
        <f t="shared" si="239"/>
        <v>0</v>
      </c>
      <c r="W384" s="211">
        <f t="shared" si="239"/>
        <v>0</v>
      </c>
      <c r="X384" s="211">
        <f t="shared" si="239"/>
        <v>0</v>
      </c>
      <c r="Y384" s="211">
        <f t="shared" si="239"/>
        <v>0</v>
      </c>
      <c r="Z384" s="211">
        <f t="shared" si="239"/>
        <v>0</v>
      </c>
      <c r="AA384" s="211">
        <f t="shared" si="239"/>
        <v>0</v>
      </c>
      <c r="AB384" s="211">
        <f t="shared" si="239"/>
        <v>0</v>
      </c>
      <c r="AC384" s="211">
        <f t="shared" si="239"/>
        <v>0</v>
      </c>
      <c r="AD384" s="211">
        <f t="shared" si="239"/>
        <v>0</v>
      </c>
      <c r="AE384" s="211">
        <f t="shared" si="239"/>
        <v>0</v>
      </c>
      <c r="AF384" s="211">
        <f t="shared" si="239"/>
        <v>0</v>
      </c>
      <c r="AG384" s="211">
        <f t="shared" si="239"/>
        <v>0</v>
      </c>
      <c r="AH384" s="211">
        <f t="shared" si="239"/>
        <v>0</v>
      </c>
      <c r="AI384" s="211">
        <f t="shared" si="239"/>
        <v>0</v>
      </c>
      <c r="AJ384" s="211">
        <f t="shared" si="239"/>
        <v>0</v>
      </c>
      <c r="AK384" s="211">
        <f t="shared" si="239"/>
        <v>0</v>
      </c>
      <c r="AL384" s="211">
        <f t="shared" si="239"/>
        <v>0</v>
      </c>
      <c r="AM384" s="211">
        <f t="shared" si="239"/>
        <v>0</v>
      </c>
      <c r="AN384" s="211">
        <f t="shared" si="239"/>
        <v>0</v>
      </c>
    </row>
    <row r="385" spans="2:40" ht="12" hidden="1" customHeight="1" outlineLevel="2">
      <c r="B385" s="245"/>
      <c r="C385" s="213" t="s">
        <v>761</v>
      </c>
      <c r="D385" s="213"/>
      <c r="E385" s="213"/>
      <c r="F385" s="213"/>
      <c r="G385" s="213"/>
      <c r="H385" s="213"/>
      <c r="I385" s="213"/>
      <c r="J385" s="213"/>
      <c r="K385" s="213"/>
      <c r="L385" s="213"/>
      <c r="M385" s="211">
        <f>INDEX($C$349:$AN$371,MATCH("New Customers One-Time",$C$349:$C$371,0),MATCH($C385,$C$349:$AN$349,0))</f>
        <v>25.579050000000002</v>
      </c>
      <c r="N385" s="211">
        <f t="shared" ref="N385:AN385" si="240">$M385*(E375)</f>
        <v>0</v>
      </c>
      <c r="O385" s="211">
        <f t="shared" si="240"/>
        <v>0</v>
      </c>
      <c r="P385" s="211">
        <f t="shared" si="240"/>
        <v>0</v>
      </c>
      <c r="Q385" s="211">
        <f t="shared" si="240"/>
        <v>0</v>
      </c>
      <c r="R385" s="211">
        <f t="shared" si="240"/>
        <v>0</v>
      </c>
      <c r="S385" s="211">
        <f t="shared" si="240"/>
        <v>0</v>
      </c>
      <c r="T385" s="211">
        <f t="shared" si="240"/>
        <v>0</v>
      </c>
      <c r="U385" s="211">
        <f t="shared" si="240"/>
        <v>0</v>
      </c>
      <c r="V385" s="211">
        <f t="shared" si="240"/>
        <v>0</v>
      </c>
      <c r="W385" s="211">
        <f t="shared" si="240"/>
        <v>0</v>
      </c>
      <c r="X385" s="211">
        <f t="shared" si="240"/>
        <v>0</v>
      </c>
      <c r="Y385" s="211">
        <f t="shared" si="240"/>
        <v>0</v>
      </c>
      <c r="Z385" s="211">
        <f t="shared" si="240"/>
        <v>0</v>
      </c>
      <c r="AA385" s="211">
        <f t="shared" si="240"/>
        <v>0</v>
      </c>
      <c r="AB385" s="211">
        <f t="shared" si="240"/>
        <v>0</v>
      </c>
      <c r="AC385" s="211">
        <f t="shared" si="240"/>
        <v>0</v>
      </c>
      <c r="AD385" s="211">
        <f t="shared" si="240"/>
        <v>0</v>
      </c>
      <c r="AE385" s="211">
        <f t="shared" si="240"/>
        <v>0</v>
      </c>
      <c r="AF385" s="211">
        <f t="shared" si="240"/>
        <v>0</v>
      </c>
      <c r="AG385" s="211">
        <f t="shared" si="240"/>
        <v>0</v>
      </c>
      <c r="AH385" s="211">
        <f t="shared" si="240"/>
        <v>0</v>
      </c>
      <c r="AI385" s="211">
        <f t="shared" si="240"/>
        <v>0</v>
      </c>
      <c r="AJ385" s="211">
        <f t="shared" si="240"/>
        <v>0</v>
      </c>
      <c r="AK385" s="211">
        <f t="shared" si="240"/>
        <v>0</v>
      </c>
      <c r="AL385" s="211">
        <f t="shared" si="240"/>
        <v>0</v>
      </c>
      <c r="AM385" s="211">
        <f t="shared" si="240"/>
        <v>0</v>
      </c>
      <c r="AN385" s="211">
        <f t="shared" si="240"/>
        <v>0</v>
      </c>
    </row>
    <row r="386" spans="2:40" ht="12" hidden="1" customHeight="1" outlineLevel="2">
      <c r="B386" s="245"/>
      <c r="C386" s="213" t="s">
        <v>762</v>
      </c>
      <c r="D386" s="213"/>
      <c r="E386" s="213"/>
      <c r="F386" s="213"/>
      <c r="G386" s="213"/>
      <c r="H386" s="213"/>
      <c r="I386" s="213"/>
      <c r="J386" s="213"/>
      <c r="K386" s="213"/>
      <c r="L386" s="213"/>
      <c r="M386" s="213"/>
      <c r="N386" s="211">
        <f>INDEX($C$349:$AN$371,MATCH("New Customers One-Time",$C$349:$C$371,0),MATCH($C386,$C$349:$AN$349,0))</f>
        <v>357</v>
      </c>
      <c r="O386" s="211">
        <f t="shared" ref="O386:AN386" si="241">$N386*(E375)</f>
        <v>0</v>
      </c>
      <c r="P386" s="211">
        <f t="shared" si="241"/>
        <v>0</v>
      </c>
      <c r="Q386" s="211">
        <f t="shared" si="241"/>
        <v>0</v>
      </c>
      <c r="R386" s="211">
        <f t="shared" si="241"/>
        <v>0</v>
      </c>
      <c r="S386" s="211">
        <f t="shared" si="241"/>
        <v>0</v>
      </c>
      <c r="T386" s="211">
        <f t="shared" si="241"/>
        <v>0</v>
      </c>
      <c r="U386" s="211">
        <f t="shared" si="241"/>
        <v>0</v>
      </c>
      <c r="V386" s="211">
        <f t="shared" si="241"/>
        <v>0</v>
      </c>
      <c r="W386" s="211">
        <f t="shared" si="241"/>
        <v>0</v>
      </c>
      <c r="X386" s="211">
        <f t="shared" si="241"/>
        <v>0</v>
      </c>
      <c r="Y386" s="211">
        <f t="shared" si="241"/>
        <v>0</v>
      </c>
      <c r="Z386" s="211">
        <f t="shared" si="241"/>
        <v>0</v>
      </c>
      <c r="AA386" s="211">
        <f t="shared" si="241"/>
        <v>0</v>
      </c>
      <c r="AB386" s="211">
        <f t="shared" si="241"/>
        <v>0</v>
      </c>
      <c r="AC386" s="211">
        <f t="shared" si="241"/>
        <v>0</v>
      </c>
      <c r="AD386" s="211">
        <f t="shared" si="241"/>
        <v>0</v>
      </c>
      <c r="AE386" s="211">
        <f t="shared" si="241"/>
        <v>0</v>
      </c>
      <c r="AF386" s="211">
        <f t="shared" si="241"/>
        <v>0</v>
      </c>
      <c r="AG386" s="211">
        <f t="shared" si="241"/>
        <v>0</v>
      </c>
      <c r="AH386" s="211">
        <f t="shared" si="241"/>
        <v>0</v>
      </c>
      <c r="AI386" s="211">
        <f t="shared" si="241"/>
        <v>0</v>
      </c>
      <c r="AJ386" s="211">
        <f t="shared" si="241"/>
        <v>0</v>
      </c>
      <c r="AK386" s="211">
        <f t="shared" si="241"/>
        <v>0</v>
      </c>
      <c r="AL386" s="211">
        <f t="shared" si="241"/>
        <v>0</v>
      </c>
      <c r="AM386" s="211">
        <f t="shared" si="241"/>
        <v>0</v>
      </c>
      <c r="AN386" s="211">
        <f t="shared" si="241"/>
        <v>0</v>
      </c>
    </row>
    <row r="387" spans="2:40" ht="12" hidden="1" customHeight="1" outlineLevel="2">
      <c r="B387" s="245"/>
      <c r="C387" s="213" t="s">
        <v>763</v>
      </c>
      <c r="D387" s="213"/>
      <c r="E387" s="213"/>
      <c r="F387" s="213"/>
      <c r="G387" s="213"/>
      <c r="H387" s="213"/>
      <c r="I387" s="213"/>
      <c r="J387" s="213"/>
      <c r="K387" s="213"/>
      <c r="L387" s="213"/>
      <c r="M387" s="213"/>
      <c r="N387" s="213"/>
      <c r="O387" s="211">
        <f>INDEX($C$349:$AN$371,MATCH("New Customers One-Time",$C$349:$C$371,0),MATCH($C387,$C$349:$AN$349,0))</f>
        <v>357</v>
      </c>
      <c r="P387" s="211">
        <f t="shared" ref="P387:AN387" si="242">$O387*(E375)</f>
        <v>0</v>
      </c>
      <c r="Q387" s="211">
        <f t="shared" si="242"/>
        <v>0</v>
      </c>
      <c r="R387" s="211">
        <f t="shared" si="242"/>
        <v>0</v>
      </c>
      <c r="S387" s="211">
        <f t="shared" si="242"/>
        <v>0</v>
      </c>
      <c r="T387" s="211">
        <f t="shared" si="242"/>
        <v>0</v>
      </c>
      <c r="U387" s="211">
        <f t="shared" si="242"/>
        <v>0</v>
      </c>
      <c r="V387" s="211">
        <f t="shared" si="242"/>
        <v>0</v>
      </c>
      <c r="W387" s="211">
        <f t="shared" si="242"/>
        <v>0</v>
      </c>
      <c r="X387" s="211">
        <f t="shared" si="242"/>
        <v>0</v>
      </c>
      <c r="Y387" s="211">
        <f t="shared" si="242"/>
        <v>0</v>
      </c>
      <c r="Z387" s="211">
        <f t="shared" si="242"/>
        <v>0</v>
      </c>
      <c r="AA387" s="211">
        <f t="shared" si="242"/>
        <v>0</v>
      </c>
      <c r="AB387" s="211">
        <f t="shared" si="242"/>
        <v>0</v>
      </c>
      <c r="AC387" s="211">
        <f t="shared" si="242"/>
        <v>0</v>
      </c>
      <c r="AD387" s="211">
        <f t="shared" si="242"/>
        <v>0</v>
      </c>
      <c r="AE387" s="211">
        <f t="shared" si="242"/>
        <v>0</v>
      </c>
      <c r="AF387" s="211">
        <f t="shared" si="242"/>
        <v>0</v>
      </c>
      <c r="AG387" s="211">
        <f t="shared" si="242"/>
        <v>0</v>
      </c>
      <c r="AH387" s="211">
        <f t="shared" si="242"/>
        <v>0</v>
      </c>
      <c r="AI387" s="211">
        <f t="shared" si="242"/>
        <v>0</v>
      </c>
      <c r="AJ387" s="211">
        <f t="shared" si="242"/>
        <v>0</v>
      </c>
      <c r="AK387" s="211">
        <f t="shared" si="242"/>
        <v>0</v>
      </c>
      <c r="AL387" s="211">
        <f t="shared" si="242"/>
        <v>0</v>
      </c>
      <c r="AM387" s="211">
        <f t="shared" si="242"/>
        <v>0</v>
      </c>
      <c r="AN387" s="211">
        <f t="shared" si="242"/>
        <v>0</v>
      </c>
    </row>
    <row r="388" spans="2:40" ht="12" hidden="1" customHeight="1" outlineLevel="2">
      <c r="B388" s="245"/>
      <c r="C388" s="213" t="s">
        <v>764</v>
      </c>
      <c r="D388" s="213"/>
      <c r="E388" s="213"/>
      <c r="F388" s="213"/>
      <c r="G388" s="213"/>
      <c r="H388" s="213"/>
      <c r="I388" s="213"/>
      <c r="J388" s="213"/>
      <c r="K388" s="213"/>
      <c r="L388" s="213"/>
      <c r="M388" s="213"/>
      <c r="N388" s="213"/>
      <c r="O388" s="213"/>
      <c r="P388" s="211">
        <f>INDEX($C$349:$AN$371,MATCH("New Customers One-Time",$C$349:$C$371,0),MATCH($C388,$C$349:$AN$349,0))</f>
        <v>178.5</v>
      </c>
      <c r="Q388" s="211">
        <f t="shared" ref="Q388:AN388" si="243">$P388*(E375)</f>
        <v>0</v>
      </c>
      <c r="R388" s="211">
        <f t="shared" si="243"/>
        <v>0</v>
      </c>
      <c r="S388" s="211">
        <f t="shared" si="243"/>
        <v>0</v>
      </c>
      <c r="T388" s="211">
        <f t="shared" si="243"/>
        <v>0</v>
      </c>
      <c r="U388" s="211">
        <f t="shared" si="243"/>
        <v>0</v>
      </c>
      <c r="V388" s="211">
        <f t="shared" si="243"/>
        <v>0</v>
      </c>
      <c r="W388" s="211">
        <f t="shared" si="243"/>
        <v>0</v>
      </c>
      <c r="X388" s="211">
        <f t="shared" si="243"/>
        <v>0</v>
      </c>
      <c r="Y388" s="211">
        <f t="shared" si="243"/>
        <v>0</v>
      </c>
      <c r="Z388" s="211">
        <f t="shared" si="243"/>
        <v>0</v>
      </c>
      <c r="AA388" s="211">
        <f t="shared" si="243"/>
        <v>0</v>
      </c>
      <c r="AB388" s="211">
        <f t="shared" si="243"/>
        <v>0</v>
      </c>
      <c r="AC388" s="211">
        <f t="shared" si="243"/>
        <v>0</v>
      </c>
      <c r="AD388" s="211">
        <f t="shared" si="243"/>
        <v>0</v>
      </c>
      <c r="AE388" s="211">
        <f t="shared" si="243"/>
        <v>0</v>
      </c>
      <c r="AF388" s="211">
        <f t="shared" si="243"/>
        <v>0</v>
      </c>
      <c r="AG388" s="211">
        <f t="shared" si="243"/>
        <v>0</v>
      </c>
      <c r="AH388" s="211">
        <f t="shared" si="243"/>
        <v>0</v>
      </c>
      <c r="AI388" s="211">
        <f t="shared" si="243"/>
        <v>0</v>
      </c>
      <c r="AJ388" s="211">
        <f t="shared" si="243"/>
        <v>0</v>
      </c>
      <c r="AK388" s="211">
        <f t="shared" si="243"/>
        <v>0</v>
      </c>
      <c r="AL388" s="211">
        <f t="shared" si="243"/>
        <v>0</v>
      </c>
      <c r="AM388" s="211">
        <f t="shared" si="243"/>
        <v>0</v>
      </c>
      <c r="AN388" s="211">
        <f t="shared" si="243"/>
        <v>0</v>
      </c>
    </row>
    <row r="389" spans="2:40" ht="12" hidden="1" customHeight="1" outlineLevel="2">
      <c r="B389" s="245"/>
      <c r="C389" s="213" t="s">
        <v>765</v>
      </c>
      <c r="D389" s="213"/>
      <c r="E389" s="213"/>
      <c r="F389" s="213"/>
      <c r="G389" s="213"/>
      <c r="H389" s="213"/>
      <c r="I389" s="213"/>
      <c r="J389" s="213"/>
      <c r="K389" s="213"/>
      <c r="L389" s="213"/>
      <c r="M389" s="213"/>
      <c r="N389" s="213"/>
      <c r="O389" s="213"/>
      <c r="P389" s="213"/>
      <c r="Q389" s="211">
        <f>INDEX($C$349:$AN$371,MATCH("New Customers One-Time",$C$349:$C$371,0),MATCH($C389,$C$349:$AN$349,0))</f>
        <v>20.295449999999999</v>
      </c>
      <c r="R389" s="211">
        <f t="shared" ref="R389:AN389" si="244">$Q389*(E375)</f>
        <v>0</v>
      </c>
      <c r="S389" s="211">
        <f t="shared" si="244"/>
        <v>0</v>
      </c>
      <c r="T389" s="211">
        <f t="shared" si="244"/>
        <v>0</v>
      </c>
      <c r="U389" s="211">
        <f t="shared" si="244"/>
        <v>0</v>
      </c>
      <c r="V389" s="211">
        <f t="shared" si="244"/>
        <v>0</v>
      </c>
      <c r="W389" s="211">
        <f t="shared" si="244"/>
        <v>0</v>
      </c>
      <c r="X389" s="211">
        <f t="shared" si="244"/>
        <v>0</v>
      </c>
      <c r="Y389" s="211">
        <f t="shared" si="244"/>
        <v>0</v>
      </c>
      <c r="Z389" s="211">
        <f t="shared" si="244"/>
        <v>0</v>
      </c>
      <c r="AA389" s="211">
        <f t="shared" si="244"/>
        <v>0</v>
      </c>
      <c r="AB389" s="211">
        <f t="shared" si="244"/>
        <v>0</v>
      </c>
      <c r="AC389" s="211">
        <f t="shared" si="244"/>
        <v>0</v>
      </c>
      <c r="AD389" s="211">
        <f t="shared" si="244"/>
        <v>0</v>
      </c>
      <c r="AE389" s="211">
        <f t="shared" si="244"/>
        <v>0</v>
      </c>
      <c r="AF389" s="211">
        <f t="shared" si="244"/>
        <v>0</v>
      </c>
      <c r="AG389" s="211">
        <f t="shared" si="244"/>
        <v>0</v>
      </c>
      <c r="AH389" s="211">
        <f t="shared" si="244"/>
        <v>0</v>
      </c>
      <c r="AI389" s="211">
        <f t="shared" si="244"/>
        <v>0</v>
      </c>
      <c r="AJ389" s="211">
        <f t="shared" si="244"/>
        <v>0</v>
      </c>
      <c r="AK389" s="211">
        <f t="shared" si="244"/>
        <v>0</v>
      </c>
      <c r="AL389" s="211">
        <f t="shared" si="244"/>
        <v>0</v>
      </c>
      <c r="AM389" s="211">
        <f t="shared" si="244"/>
        <v>0</v>
      </c>
      <c r="AN389" s="211">
        <f t="shared" si="244"/>
        <v>0</v>
      </c>
    </row>
    <row r="390" spans="2:40" ht="12" hidden="1" customHeight="1" outlineLevel="2">
      <c r="B390" s="245"/>
      <c r="C390" s="213" t="s">
        <v>766</v>
      </c>
      <c r="D390" s="213"/>
      <c r="E390" s="213"/>
      <c r="F390" s="213"/>
      <c r="G390" s="213"/>
      <c r="H390" s="213"/>
      <c r="I390" s="213"/>
      <c r="J390" s="213"/>
      <c r="K390" s="213"/>
      <c r="L390" s="213"/>
      <c r="M390" s="213"/>
      <c r="N390" s="213"/>
      <c r="O390" s="213"/>
      <c r="P390" s="213"/>
      <c r="Q390" s="213"/>
      <c r="R390" s="211">
        <f>INDEX($C$349:$AN$371,MATCH("New Customers One-Time",$C$349:$C$371,0),MATCH($C390,$C$349:$AN$349,0))</f>
        <v>40.269599999999997</v>
      </c>
      <c r="S390" s="211">
        <f t="shared" ref="S390:AN390" si="245">$R390*(E375)</f>
        <v>0</v>
      </c>
      <c r="T390" s="211">
        <f t="shared" si="245"/>
        <v>0</v>
      </c>
      <c r="U390" s="211">
        <f t="shared" si="245"/>
        <v>0</v>
      </c>
      <c r="V390" s="211">
        <f t="shared" si="245"/>
        <v>0</v>
      </c>
      <c r="W390" s="211">
        <f t="shared" si="245"/>
        <v>0</v>
      </c>
      <c r="X390" s="211">
        <f t="shared" si="245"/>
        <v>0</v>
      </c>
      <c r="Y390" s="211">
        <f t="shared" si="245"/>
        <v>0</v>
      </c>
      <c r="Z390" s="211">
        <f t="shared" si="245"/>
        <v>0</v>
      </c>
      <c r="AA390" s="211">
        <f t="shared" si="245"/>
        <v>0</v>
      </c>
      <c r="AB390" s="211">
        <f t="shared" si="245"/>
        <v>0</v>
      </c>
      <c r="AC390" s="211">
        <f t="shared" si="245"/>
        <v>0</v>
      </c>
      <c r="AD390" s="211">
        <f t="shared" si="245"/>
        <v>0</v>
      </c>
      <c r="AE390" s="211">
        <f t="shared" si="245"/>
        <v>0</v>
      </c>
      <c r="AF390" s="211">
        <f t="shared" si="245"/>
        <v>0</v>
      </c>
      <c r="AG390" s="211">
        <f t="shared" si="245"/>
        <v>0</v>
      </c>
      <c r="AH390" s="211">
        <f t="shared" si="245"/>
        <v>0</v>
      </c>
      <c r="AI390" s="211">
        <f t="shared" si="245"/>
        <v>0</v>
      </c>
      <c r="AJ390" s="211">
        <f t="shared" si="245"/>
        <v>0</v>
      </c>
      <c r="AK390" s="211">
        <f t="shared" si="245"/>
        <v>0</v>
      </c>
      <c r="AL390" s="211">
        <f t="shared" si="245"/>
        <v>0</v>
      </c>
      <c r="AM390" s="211">
        <f t="shared" si="245"/>
        <v>0</v>
      </c>
      <c r="AN390" s="211">
        <f t="shared" si="245"/>
        <v>0</v>
      </c>
    </row>
    <row r="391" spans="2:40" ht="12" hidden="1" customHeight="1" outlineLevel="2">
      <c r="B391" s="245"/>
      <c r="C391" s="213" t="s">
        <v>767</v>
      </c>
      <c r="D391" s="213"/>
      <c r="E391" s="213"/>
      <c r="F391" s="213"/>
      <c r="G391" s="213"/>
      <c r="H391" s="213"/>
      <c r="I391" s="213"/>
      <c r="J391" s="213"/>
      <c r="K391" s="213"/>
      <c r="L391" s="213"/>
      <c r="M391" s="213"/>
      <c r="N391" s="213"/>
      <c r="O391" s="213"/>
      <c r="P391" s="213"/>
      <c r="Q391" s="213"/>
      <c r="R391" s="213"/>
      <c r="S391" s="211">
        <f>INDEX($C$349:$AN$371,MATCH("New Customers One-Time",$C$349:$C$371,0),MATCH($C391,$C$349:$AN$349,0))</f>
        <v>41.233499999999999</v>
      </c>
      <c r="T391" s="211">
        <f t="shared" ref="T391:AN391" si="246">$S391*(E375)</f>
        <v>0</v>
      </c>
      <c r="U391" s="211">
        <f t="shared" si="246"/>
        <v>0</v>
      </c>
      <c r="V391" s="211">
        <f t="shared" si="246"/>
        <v>0</v>
      </c>
      <c r="W391" s="211">
        <f t="shared" si="246"/>
        <v>0</v>
      </c>
      <c r="X391" s="211">
        <f t="shared" si="246"/>
        <v>0</v>
      </c>
      <c r="Y391" s="211">
        <f t="shared" si="246"/>
        <v>0</v>
      </c>
      <c r="Z391" s="211">
        <f t="shared" si="246"/>
        <v>0</v>
      </c>
      <c r="AA391" s="211">
        <f t="shared" si="246"/>
        <v>0</v>
      </c>
      <c r="AB391" s="211">
        <f t="shared" si="246"/>
        <v>0</v>
      </c>
      <c r="AC391" s="211">
        <f t="shared" si="246"/>
        <v>0</v>
      </c>
      <c r="AD391" s="211">
        <f t="shared" si="246"/>
        <v>0</v>
      </c>
      <c r="AE391" s="211">
        <f t="shared" si="246"/>
        <v>0</v>
      </c>
      <c r="AF391" s="211">
        <f t="shared" si="246"/>
        <v>0</v>
      </c>
      <c r="AG391" s="211">
        <f t="shared" si="246"/>
        <v>0</v>
      </c>
      <c r="AH391" s="211">
        <f t="shared" si="246"/>
        <v>0</v>
      </c>
      <c r="AI391" s="211">
        <f t="shared" si="246"/>
        <v>0</v>
      </c>
      <c r="AJ391" s="211">
        <f t="shared" si="246"/>
        <v>0</v>
      </c>
      <c r="AK391" s="211">
        <f t="shared" si="246"/>
        <v>0</v>
      </c>
      <c r="AL391" s="211">
        <f t="shared" si="246"/>
        <v>0</v>
      </c>
      <c r="AM391" s="211">
        <f t="shared" si="246"/>
        <v>0</v>
      </c>
      <c r="AN391" s="211">
        <f t="shared" si="246"/>
        <v>0</v>
      </c>
    </row>
    <row r="392" spans="2:40" ht="12" hidden="1" customHeight="1" outlineLevel="2">
      <c r="B392" s="245"/>
      <c r="C392" s="213" t="s">
        <v>768</v>
      </c>
      <c r="D392" s="213"/>
      <c r="E392" s="213"/>
      <c r="F392" s="213"/>
      <c r="G392" s="213"/>
      <c r="H392" s="213"/>
      <c r="I392" s="213"/>
      <c r="J392" s="213"/>
      <c r="K392" s="213"/>
      <c r="L392" s="213"/>
      <c r="M392" s="213"/>
      <c r="N392" s="213"/>
      <c r="O392" s="213"/>
      <c r="P392" s="213"/>
      <c r="Q392" s="213"/>
      <c r="R392" s="213"/>
      <c r="S392" s="213"/>
      <c r="T392" s="211">
        <f>INDEX($C$349:$AN$371,MATCH("New Customers One-Time",$C$349:$C$371,0),MATCH($C392,$C$349:$AN$349,0))</f>
        <v>24.358823999999995</v>
      </c>
      <c r="U392" s="211">
        <f t="shared" ref="U392:AN392" si="247">$T392*(E375)</f>
        <v>0</v>
      </c>
      <c r="V392" s="211">
        <f t="shared" si="247"/>
        <v>0</v>
      </c>
      <c r="W392" s="211">
        <f t="shared" si="247"/>
        <v>0</v>
      </c>
      <c r="X392" s="211">
        <f t="shared" si="247"/>
        <v>0</v>
      </c>
      <c r="Y392" s="211">
        <f t="shared" si="247"/>
        <v>0</v>
      </c>
      <c r="Z392" s="211">
        <f t="shared" si="247"/>
        <v>0</v>
      </c>
      <c r="AA392" s="211">
        <f t="shared" si="247"/>
        <v>0</v>
      </c>
      <c r="AB392" s="211">
        <f t="shared" si="247"/>
        <v>0</v>
      </c>
      <c r="AC392" s="211">
        <f t="shared" si="247"/>
        <v>0</v>
      </c>
      <c r="AD392" s="211">
        <f t="shared" si="247"/>
        <v>0</v>
      </c>
      <c r="AE392" s="211">
        <f t="shared" si="247"/>
        <v>0</v>
      </c>
      <c r="AF392" s="211">
        <f t="shared" si="247"/>
        <v>0</v>
      </c>
      <c r="AG392" s="211">
        <f t="shared" si="247"/>
        <v>0</v>
      </c>
      <c r="AH392" s="211">
        <f t="shared" si="247"/>
        <v>0</v>
      </c>
      <c r="AI392" s="211">
        <f t="shared" si="247"/>
        <v>0</v>
      </c>
      <c r="AJ392" s="211">
        <f t="shared" si="247"/>
        <v>0</v>
      </c>
      <c r="AK392" s="211">
        <f t="shared" si="247"/>
        <v>0</v>
      </c>
      <c r="AL392" s="211">
        <f t="shared" si="247"/>
        <v>0</v>
      </c>
      <c r="AM392" s="211">
        <f t="shared" si="247"/>
        <v>0</v>
      </c>
      <c r="AN392" s="211">
        <f t="shared" si="247"/>
        <v>0</v>
      </c>
    </row>
    <row r="393" spans="2:40" ht="12" hidden="1" customHeight="1" outlineLevel="2">
      <c r="B393" s="245"/>
      <c r="C393" s="213" t="s">
        <v>769</v>
      </c>
      <c r="D393" s="213"/>
      <c r="E393" s="213"/>
      <c r="F393" s="213"/>
      <c r="G393" s="213"/>
      <c r="H393" s="213"/>
      <c r="I393" s="213"/>
      <c r="J393" s="213"/>
      <c r="K393" s="213"/>
      <c r="L393" s="213"/>
      <c r="M393" s="213"/>
      <c r="N393" s="213"/>
      <c r="O393" s="213"/>
      <c r="P393" s="213"/>
      <c r="Q393" s="213"/>
      <c r="R393" s="213"/>
      <c r="S393" s="213"/>
      <c r="T393" s="213"/>
      <c r="U393" s="211">
        <f>INDEX($C$349:$AN$371,MATCH("New Customers One-Time",$C$349:$C$371,0),MATCH($C393,$C$349:$AN$349,0))</f>
        <v>22.548119999999997</v>
      </c>
      <c r="V393" s="211">
        <f t="shared" ref="V393:AN393" si="248">$U393*(E375)</f>
        <v>0</v>
      </c>
      <c r="W393" s="211">
        <f t="shared" si="248"/>
        <v>0</v>
      </c>
      <c r="X393" s="211">
        <f t="shared" si="248"/>
        <v>0</v>
      </c>
      <c r="Y393" s="211">
        <f t="shared" si="248"/>
        <v>0</v>
      </c>
      <c r="Z393" s="211">
        <f t="shared" si="248"/>
        <v>0</v>
      </c>
      <c r="AA393" s="211">
        <f t="shared" si="248"/>
        <v>0</v>
      </c>
      <c r="AB393" s="211">
        <f t="shared" si="248"/>
        <v>0</v>
      </c>
      <c r="AC393" s="211">
        <f t="shared" si="248"/>
        <v>0</v>
      </c>
      <c r="AD393" s="211">
        <f t="shared" si="248"/>
        <v>0</v>
      </c>
      <c r="AE393" s="211">
        <f t="shared" si="248"/>
        <v>0</v>
      </c>
      <c r="AF393" s="211">
        <f t="shared" si="248"/>
        <v>0</v>
      </c>
      <c r="AG393" s="211">
        <f t="shared" si="248"/>
        <v>0</v>
      </c>
      <c r="AH393" s="211">
        <f t="shared" si="248"/>
        <v>0</v>
      </c>
      <c r="AI393" s="211">
        <f t="shared" si="248"/>
        <v>0</v>
      </c>
      <c r="AJ393" s="211">
        <f t="shared" si="248"/>
        <v>0</v>
      </c>
      <c r="AK393" s="211">
        <f t="shared" si="248"/>
        <v>0</v>
      </c>
      <c r="AL393" s="211">
        <f t="shared" si="248"/>
        <v>0</v>
      </c>
      <c r="AM393" s="211">
        <f t="shared" si="248"/>
        <v>0</v>
      </c>
      <c r="AN393" s="211">
        <f t="shared" si="248"/>
        <v>0</v>
      </c>
    </row>
    <row r="394" spans="2:40" ht="12" hidden="1" customHeight="1" outlineLevel="2">
      <c r="B394" s="245"/>
      <c r="C394" s="213" t="s">
        <v>770</v>
      </c>
      <c r="D394" s="213"/>
      <c r="E394" s="213"/>
      <c r="F394" s="213"/>
      <c r="G394" s="213"/>
      <c r="H394" s="213"/>
      <c r="I394" s="213"/>
      <c r="J394" s="213"/>
      <c r="K394" s="213"/>
      <c r="L394" s="213"/>
      <c r="M394" s="213"/>
      <c r="N394" s="213"/>
      <c r="O394" s="213"/>
      <c r="P394" s="213"/>
      <c r="Q394" s="213"/>
      <c r="R394" s="213"/>
      <c r="S394" s="213"/>
      <c r="T394" s="213"/>
      <c r="U394" s="213"/>
      <c r="V394" s="211">
        <f>INDEX($C$349:$AN$371,MATCH("New Customers One-Time",$C$349:$C$371,0),MATCH($C394,$C$349:$AN$349,0))</f>
        <v>26.64648</v>
      </c>
      <c r="W394" s="211">
        <f t="shared" ref="W394:AN394" si="249">$V394*(E375)</f>
        <v>0</v>
      </c>
      <c r="X394" s="211">
        <f t="shared" si="249"/>
        <v>0</v>
      </c>
      <c r="Y394" s="211">
        <f t="shared" si="249"/>
        <v>0</v>
      </c>
      <c r="Z394" s="211">
        <f t="shared" si="249"/>
        <v>0</v>
      </c>
      <c r="AA394" s="211">
        <f t="shared" si="249"/>
        <v>0</v>
      </c>
      <c r="AB394" s="211">
        <f t="shared" si="249"/>
        <v>0</v>
      </c>
      <c r="AC394" s="211">
        <f t="shared" si="249"/>
        <v>0</v>
      </c>
      <c r="AD394" s="211">
        <f t="shared" si="249"/>
        <v>0</v>
      </c>
      <c r="AE394" s="211">
        <f t="shared" si="249"/>
        <v>0</v>
      </c>
      <c r="AF394" s="211">
        <f t="shared" si="249"/>
        <v>0</v>
      </c>
      <c r="AG394" s="211">
        <f t="shared" si="249"/>
        <v>0</v>
      </c>
      <c r="AH394" s="211">
        <f t="shared" si="249"/>
        <v>0</v>
      </c>
      <c r="AI394" s="211">
        <f t="shared" si="249"/>
        <v>0</v>
      </c>
      <c r="AJ394" s="211">
        <f t="shared" si="249"/>
        <v>0</v>
      </c>
      <c r="AK394" s="211">
        <f t="shared" si="249"/>
        <v>0</v>
      </c>
      <c r="AL394" s="211">
        <f t="shared" si="249"/>
        <v>0</v>
      </c>
      <c r="AM394" s="211">
        <f t="shared" si="249"/>
        <v>0</v>
      </c>
      <c r="AN394" s="211">
        <f t="shared" si="249"/>
        <v>0</v>
      </c>
    </row>
    <row r="395" spans="2:40" ht="12" hidden="1" customHeight="1" outlineLevel="2">
      <c r="B395" s="245"/>
      <c r="C395" s="213" t="s">
        <v>771</v>
      </c>
      <c r="D395" s="213"/>
      <c r="E395" s="213"/>
      <c r="F395" s="213"/>
      <c r="G395" s="213"/>
      <c r="H395" s="213"/>
      <c r="I395" s="213"/>
      <c r="J395" s="213"/>
      <c r="K395" s="213"/>
      <c r="L395" s="213"/>
      <c r="M395" s="213"/>
      <c r="N395" s="213"/>
      <c r="O395" s="213"/>
      <c r="P395" s="213"/>
      <c r="Q395" s="213"/>
      <c r="R395" s="213"/>
      <c r="S395" s="213"/>
      <c r="T395" s="213"/>
      <c r="U395" s="213"/>
      <c r="V395" s="213"/>
      <c r="W395" s="211">
        <f>INDEX($C$349:$AN$371,MATCH("New Customers One-Time",$C$349:$C$371,0),MATCH($C395,$C$349:$AN$349,0))</f>
        <v>34.443359999999998</v>
      </c>
      <c r="X395" s="211">
        <f t="shared" ref="X395:AN395" si="250">$W395*(E375)</f>
        <v>0</v>
      </c>
      <c r="Y395" s="211">
        <f t="shared" si="250"/>
        <v>0</v>
      </c>
      <c r="Z395" s="211">
        <f t="shared" si="250"/>
        <v>0</v>
      </c>
      <c r="AA395" s="211">
        <f t="shared" si="250"/>
        <v>0</v>
      </c>
      <c r="AB395" s="211">
        <f t="shared" si="250"/>
        <v>0</v>
      </c>
      <c r="AC395" s="211">
        <f t="shared" si="250"/>
        <v>0</v>
      </c>
      <c r="AD395" s="211">
        <f t="shared" si="250"/>
        <v>0</v>
      </c>
      <c r="AE395" s="211">
        <f t="shared" si="250"/>
        <v>0</v>
      </c>
      <c r="AF395" s="211">
        <f t="shared" si="250"/>
        <v>0</v>
      </c>
      <c r="AG395" s="211">
        <f t="shared" si="250"/>
        <v>0</v>
      </c>
      <c r="AH395" s="211">
        <f t="shared" si="250"/>
        <v>0</v>
      </c>
      <c r="AI395" s="211">
        <f t="shared" si="250"/>
        <v>0</v>
      </c>
      <c r="AJ395" s="211">
        <f t="shared" si="250"/>
        <v>0</v>
      </c>
      <c r="AK395" s="211">
        <f t="shared" si="250"/>
        <v>0</v>
      </c>
      <c r="AL395" s="211">
        <f t="shared" si="250"/>
        <v>0</v>
      </c>
      <c r="AM395" s="211">
        <f t="shared" si="250"/>
        <v>0</v>
      </c>
      <c r="AN395" s="211">
        <f t="shared" si="250"/>
        <v>0</v>
      </c>
    </row>
    <row r="396" spans="2:40" ht="12" hidden="1" customHeight="1" outlineLevel="2">
      <c r="B396" s="245"/>
      <c r="C396" s="213" t="s">
        <v>772</v>
      </c>
      <c r="D396" s="213"/>
      <c r="E396" s="213"/>
      <c r="F396" s="213"/>
      <c r="G396" s="213"/>
      <c r="H396" s="213"/>
      <c r="I396" s="213"/>
      <c r="J396" s="213"/>
      <c r="K396" s="213"/>
      <c r="L396" s="213"/>
      <c r="M396" s="213"/>
      <c r="N396" s="213"/>
      <c r="O396" s="213"/>
      <c r="P396" s="213"/>
      <c r="Q396" s="213"/>
      <c r="R396" s="213"/>
      <c r="S396" s="213"/>
      <c r="T396" s="213"/>
      <c r="U396" s="213"/>
      <c r="V396" s="213"/>
      <c r="W396" s="213"/>
      <c r="X396" s="211">
        <f>INDEX($C$349:$AN$371,MATCH("New Customers One-Time",$C$349:$C$371,0),MATCH($C396,$C$349:$AN$349,0))</f>
        <v>20.463239999999999</v>
      </c>
      <c r="Y396" s="211">
        <f t="shared" ref="Y396:AN396" si="251">$X396*(E375)</f>
        <v>0</v>
      </c>
      <c r="Z396" s="211">
        <f t="shared" si="251"/>
        <v>0</v>
      </c>
      <c r="AA396" s="211">
        <f t="shared" si="251"/>
        <v>0</v>
      </c>
      <c r="AB396" s="211">
        <f t="shared" si="251"/>
        <v>0</v>
      </c>
      <c r="AC396" s="211">
        <f t="shared" si="251"/>
        <v>0</v>
      </c>
      <c r="AD396" s="211">
        <f t="shared" si="251"/>
        <v>0</v>
      </c>
      <c r="AE396" s="211">
        <f t="shared" si="251"/>
        <v>0</v>
      </c>
      <c r="AF396" s="211">
        <f t="shared" si="251"/>
        <v>0</v>
      </c>
      <c r="AG396" s="211">
        <f t="shared" si="251"/>
        <v>0</v>
      </c>
      <c r="AH396" s="211">
        <f t="shared" si="251"/>
        <v>0</v>
      </c>
      <c r="AI396" s="211">
        <f t="shared" si="251"/>
        <v>0</v>
      </c>
      <c r="AJ396" s="211">
        <f t="shared" si="251"/>
        <v>0</v>
      </c>
      <c r="AK396" s="211">
        <f t="shared" si="251"/>
        <v>0</v>
      </c>
      <c r="AL396" s="211">
        <f t="shared" si="251"/>
        <v>0</v>
      </c>
      <c r="AM396" s="211">
        <f t="shared" si="251"/>
        <v>0</v>
      </c>
      <c r="AN396" s="211">
        <f t="shared" si="251"/>
        <v>0</v>
      </c>
    </row>
    <row r="397" spans="2:40" ht="12" hidden="1" customHeight="1" outlineLevel="2">
      <c r="B397" s="245"/>
      <c r="C397" s="213" t="s">
        <v>773</v>
      </c>
      <c r="D397" s="213"/>
      <c r="E397" s="213"/>
      <c r="F397" s="213"/>
      <c r="G397" s="213"/>
      <c r="H397" s="213"/>
      <c r="I397" s="213"/>
      <c r="J397" s="213"/>
      <c r="K397" s="213"/>
      <c r="L397" s="213"/>
      <c r="M397" s="213"/>
      <c r="N397" s="213"/>
      <c r="O397" s="213"/>
      <c r="P397" s="213"/>
      <c r="Q397" s="213"/>
      <c r="R397" s="213"/>
      <c r="S397" s="213"/>
      <c r="T397" s="213"/>
      <c r="U397" s="213"/>
      <c r="V397" s="213"/>
      <c r="W397" s="213"/>
      <c r="X397" s="213"/>
      <c r="Y397" s="211">
        <f>INDEX($C$349:$AN$371,MATCH("New Customers One-Time",$C$349:$C$371,0),MATCH($C397,$C$349:$AN$349,0))</f>
        <v>81.852959999999996</v>
      </c>
      <c r="Z397" s="211">
        <f t="shared" ref="Z397:AN397" si="252">$Y397*(E375)</f>
        <v>0</v>
      </c>
      <c r="AA397" s="211">
        <f t="shared" si="252"/>
        <v>0</v>
      </c>
      <c r="AB397" s="211">
        <f t="shared" si="252"/>
        <v>0</v>
      </c>
      <c r="AC397" s="211">
        <f t="shared" si="252"/>
        <v>0</v>
      </c>
      <c r="AD397" s="211">
        <f t="shared" si="252"/>
        <v>0</v>
      </c>
      <c r="AE397" s="211">
        <f t="shared" si="252"/>
        <v>0</v>
      </c>
      <c r="AF397" s="211">
        <f t="shared" si="252"/>
        <v>0</v>
      </c>
      <c r="AG397" s="211">
        <f t="shared" si="252"/>
        <v>0</v>
      </c>
      <c r="AH397" s="211">
        <f t="shared" si="252"/>
        <v>0</v>
      </c>
      <c r="AI397" s="211">
        <f t="shared" si="252"/>
        <v>0</v>
      </c>
      <c r="AJ397" s="211">
        <f t="shared" si="252"/>
        <v>0</v>
      </c>
      <c r="AK397" s="211">
        <f t="shared" si="252"/>
        <v>0</v>
      </c>
      <c r="AL397" s="211">
        <f t="shared" si="252"/>
        <v>0</v>
      </c>
      <c r="AM397" s="211">
        <f t="shared" si="252"/>
        <v>0</v>
      </c>
      <c r="AN397" s="211">
        <f t="shared" si="252"/>
        <v>0</v>
      </c>
    </row>
    <row r="398" spans="2:40" ht="12" hidden="1" customHeight="1" outlineLevel="2">
      <c r="B398" s="245"/>
      <c r="C398" s="213" t="s">
        <v>774</v>
      </c>
      <c r="D398" s="213"/>
      <c r="E398" s="213"/>
      <c r="F398" s="213"/>
      <c r="G398" s="213"/>
      <c r="H398" s="213"/>
      <c r="I398" s="213"/>
      <c r="J398" s="213"/>
      <c r="K398" s="213"/>
      <c r="L398" s="213"/>
      <c r="M398" s="213"/>
      <c r="N398" s="213"/>
      <c r="O398" s="213"/>
      <c r="P398" s="213"/>
      <c r="Q398" s="213"/>
      <c r="R398" s="213"/>
      <c r="S398" s="213"/>
      <c r="T398" s="213"/>
      <c r="U398" s="213"/>
      <c r="V398" s="213"/>
      <c r="W398" s="213"/>
      <c r="X398" s="213"/>
      <c r="Y398" s="213"/>
      <c r="Z398" s="211">
        <f>INDEX($C$349:$AN$371,MATCH("New Customers One-Time",$C$349:$C$371,0),MATCH($C398,$C$349:$AN$349,0))</f>
        <v>142.79999999999998</v>
      </c>
      <c r="AA398" s="211">
        <f t="shared" ref="AA398:AN398" si="253">$Z398*(E375)</f>
        <v>0</v>
      </c>
      <c r="AB398" s="211">
        <f t="shared" si="253"/>
        <v>0</v>
      </c>
      <c r="AC398" s="211">
        <f t="shared" si="253"/>
        <v>0</v>
      </c>
      <c r="AD398" s="211">
        <f t="shared" si="253"/>
        <v>0</v>
      </c>
      <c r="AE398" s="211">
        <f t="shared" si="253"/>
        <v>0</v>
      </c>
      <c r="AF398" s="211">
        <f t="shared" si="253"/>
        <v>0</v>
      </c>
      <c r="AG398" s="211">
        <f t="shared" si="253"/>
        <v>0</v>
      </c>
      <c r="AH398" s="211">
        <f t="shared" si="253"/>
        <v>0</v>
      </c>
      <c r="AI398" s="211">
        <f t="shared" si="253"/>
        <v>0</v>
      </c>
      <c r="AJ398" s="211">
        <f t="shared" si="253"/>
        <v>0</v>
      </c>
      <c r="AK398" s="211">
        <f t="shared" si="253"/>
        <v>0</v>
      </c>
      <c r="AL398" s="211">
        <f t="shared" si="253"/>
        <v>0</v>
      </c>
      <c r="AM398" s="211">
        <f t="shared" si="253"/>
        <v>0</v>
      </c>
      <c r="AN398" s="211">
        <f t="shared" si="253"/>
        <v>0</v>
      </c>
    </row>
    <row r="399" spans="2:40" ht="12" hidden="1" customHeight="1" outlineLevel="2">
      <c r="B399" s="245"/>
      <c r="C399" s="213" t="s">
        <v>775</v>
      </c>
      <c r="D399" s="213"/>
      <c r="E399" s="213"/>
      <c r="F399" s="213"/>
      <c r="G399" s="213"/>
      <c r="H399" s="213"/>
      <c r="I399" s="213"/>
      <c r="J399" s="213"/>
      <c r="K399" s="213"/>
      <c r="L399" s="213"/>
      <c r="M399" s="213"/>
      <c r="N399" s="213"/>
      <c r="O399" s="213"/>
      <c r="P399" s="213"/>
      <c r="Q399" s="213"/>
      <c r="R399" s="213"/>
      <c r="S399" s="213"/>
      <c r="T399" s="213"/>
      <c r="U399" s="213"/>
      <c r="V399" s="213"/>
      <c r="W399" s="213"/>
      <c r="X399" s="213"/>
      <c r="Y399" s="213"/>
      <c r="Z399" s="213"/>
      <c r="AA399" s="211">
        <f>INDEX($C$349:$AN$371,MATCH("New Customers One-Time",$C$349:$C$371,0),MATCH($C399,$C$349:$AN$349,0))</f>
        <v>85.679999999999993</v>
      </c>
      <c r="AB399" s="211">
        <f t="shared" ref="AB399:AN399" si="254">$AA399*(E375)</f>
        <v>0</v>
      </c>
      <c r="AC399" s="211">
        <f t="shared" si="254"/>
        <v>0</v>
      </c>
      <c r="AD399" s="211">
        <f t="shared" si="254"/>
        <v>0</v>
      </c>
      <c r="AE399" s="211">
        <f t="shared" si="254"/>
        <v>0</v>
      </c>
      <c r="AF399" s="211">
        <f t="shared" si="254"/>
        <v>0</v>
      </c>
      <c r="AG399" s="211">
        <f t="shared" si="254"/>
        <v>0</v>
      </c>
      <c r="AH399" s="211">
        <f t="shared" si="254"/>
        <v>0</v>
      </c>
      <c r="AI399" s="211">
        <f t="shared" si="254"/>
        <v>0</v>
      </c>
      <c r="AJ399" s="211">
        <f t="shared" si="254"/>
        <v>0</v>
      </c>
      <c r="AK399" s="211">
        <f t="shared" si="254"/>
        <v>0</v>
      </c>
      <c r="AL399" s="211">
        <f t="shared" si="254"/>
        <v>0</v>
      </c>
      <c r="AM399" s="211">
        <f t="shared" si="254"/>
        <v>0</v>
      </c>
      <c r="AN399" s="211">
        <f t="shared" si="254"/>
        <v>0</v>
      </c>
    </row>
    <row r="400" spans="2:40" ht="12" hidden="1" customHeight="1" outlineLevel="2">
      <c r="B400" s="245"/>
      <c r="C400" s="213" t="s">
        <v>776</v>
      </c>
      <c r="D400" s="213"/>
      <c r="E400" s="213"/>
      <c r="F400" s="213"/>
      <c r="G400" s="213"/>
      <c r="H400" s="213"/>
      <c r="I400" s="213"/>
      <c r="J400" s="213"/>
      <c r="K400" s="213"/>
      <c r="L400" s="213"/>
      <c r="M400" s="213"/>
      <c r="N400" s="213"/>
      <c r="O400" s="213"/>
      <c r="P400" s="213"/>
      <c r="Q400" s="213"/>
      <c r="R400" s="213"/>
      <c r="S400" s="213"/>
      <c r="T400" s="213"/>
      <c r="U400" s="213"/>
      <c r="V400" s="213"/>
      <c r="W400" s="213"/>
      <c r="X400" s="213"/>
      <c r="Y400" s="213"/>
      <c r="Z400" s="213"/>
      <c r="AA400" s="213"/>
      <c r="AB400" s="211">
        <f>INDEX($C$349:$AN$371,MATCH("New Customers One-Time",$C$349:$C$371,0),MATCH($C400,$C$349:$AN$349,0))</f>
        <v>57.11999999999999</v>
      </c>
      <c r="AC400" s="211">
        <f t="shared" ref="AC400:AN400" si="255">$AB400*(E375)</f>
        <v>0</v>
      </c>
      <c r="AD400" s="211">
        <f t="shared" si="255"/>
        <v>0</v>
      </c>
      <c r="AE400" s="211">
        <f t="shared" si="255"/>
        <v>0</v>
      </c>
      <c r="AF400" s="211">
        <f t="shared" si="255"/>
        <v>0</v>
      </c>
      <c r="AG400" s="211">
        <f t="shared" si="255"/>
        <v>0</v>
      </c>
      <c r="AH400" s="211">
        <f t="shared" si="255"/>
        <v>0</v>
      </c>
      <c r="AI400" s="211">
        <f t="shared" si="255"/>
        <v>0</v>
      </c>
      <c r="AJ400" s="211">
        <f t="shared" si="255"/>
        <v>0</v>
      </c>
      <c r="AK400" s="211">
        <f t="shared" si="255"/>
        <v>0</v>
      </c>
      <c r="AL400" s="211">
        <f t="shared" si="255"/>
        <v>0</v>
      </c>
      <c r="AM400" s="211">
        <f t="shared" si="255"/>
        <v>0</v>
      </c>
      <c r="AN400" s="211">
        <f t="shared" si="255"/>
        <v>0</v>
      </c>
    </row>
    <row r="401" spans="2:40" ht="12" hidden="1" customHeight="1" outlineLevel="2">
      <c r="B401" s="245"/>
      <c r="C401" s="213" t="s">
        <v>777</v>
      </c>
      <c r="D401" s="213"/>
      <c r="E401" s="213"/>
      <c r="F401" s="213"/>
      <c r="G401" s="213"/>
      <c r="H401" s="213"/>
      <c r="I401" s="213"/>
      <c r="J401" s="213"/>
      <c r="K401" s="213"/>
      <c r="L401" s="213"/>
      <c r="M401" s="213"/>
      <c r="N401" s="213"/>
      <c r="O401" s="213"/>
      <c r="P401" s="213"/>
      <c r="Q401" s="213"/>
      <c r="R401" s="213"/>
      <c r="S401" s="213"/>
      <c r="T401" s="213"/>
      <c r="U401" s="213"/>
      <c r="V401" s="213"/>
      <c r="W401" s="213"/>
      <c r="X401" s="213"/>
      <c r="Y401" s="213"/>
      <c r="Z401" s="213"/>
      <c r="AA401" s="213"/>
      <c r="AB401" s="211"/>
      <c r="AC401" s="211">
        <f>INDEX($C$349:$AN$371,MATCH("New Customers One-Time",$C$349:$C$371,0),MATCH($C401,$C$349:$AN$349,0))</f>
        <v>72.828000000000003</v>
      </c>
      <c r="AD401" s="211">
        <f t="shared" ref="AD401:AN401" si="256">$AC401*(E375)</f>
        <v>0</v>
      </c>
      <c r="AE401" s="211">
        <f t="shared" si="256"/>
        <v>0</v>
      </c>
      <c r="AF401" s="211">
        <f t="shared" si="256"/>
        <v>0</v>
      </c>
      <c r="AG401" s="211">
        <f t="shared" si="256"/>
        <v>0</v>
      </c>
      <c r="AH401" s="211">
        <f t="shared" si="256"/>
        <v>0</v>
      </c>
      <c r="AI401" s="211">
        <f t="shared" si="256"/>
        <v>0</v>
      </c>
      <c r="AJ401" s="211">
        <f t="shared" si="256"/>
        <v>0</v>
      </c>
      <c r="AK401" s="211">
        <f t="shared" si="256"/>
        <v>0</v>
      </c>
      <c r="AL401" s="211">
        <f t="shared" si="256"/>
        <v>0</v>
      </c>
      <c r="AM401" s="211">
        <f t="shared" si="256"/>
        <v>0</v>
      </c>
      <c r="AN401" s="211">
        <f t="shared" si="256"/>
        <v>0</v>
      </c>
    </row>
    <row r="402" spans="2:40" ht="12" hidden="1" customHeight="1" outlineLevel="2">
      <c r="B402" s="245"/>
      <c r="C402" s="213" t="s">
        <v>778</v>
      </c>
      <c r="D402" s="213"/>
      <c r="E402" s="213"/>
      <c r="F402" s="213"/>
      <c r="G402" s="213"/>
      <c r="H402" s="213"/>
      <c r="I402" s="213"/>
      <c r="J402" s="213"/>
      <c r="K402" s="213"/>
      <c r="L402" s="213"/>
      <c r="M402" s="213"/>
      <c r="N402" s="213"/>
      <c r="O402" s="213"/>
      <c r="P402" s="213"/>
      <c r="Q402" s="213"/>
      <c r="R402" s="213"/>
      <c r="S402" s="213"/>
      <c r="T402" s="213"/>
      <c r="U402" s="213"/>
      <c r="V402" s="213"/>
      <c r="W402" s="213"/>
      <c r="X402" s="213"/>
      <c r="Y402" s="213"/>
      <c r="Z402" s="213"/>
      <c r="AA402" s="213"/>
      <c r="AB402" s="211"/>
      <c r="AC402" s="211"/>
      <c r="AD402" s="211">
        <f>INDEX($C$349:$AN$371,MATCH("New Customers One-Time",$C$349:$C$371,0),MATCH($C402,$C$349:$AN$349,0))</f>
        <v>74.284559999999999</v>
      </c>
      <c r="AE402" s="211">
        <f t="shared" ref="AE402:AN402" si="257">$AD402*(E375)</f>
        <v>0</v>
      </c>
      <c r="AF402" s="211">
        <f t="shared" si="257"/>
        <v>0</v>
      </c>
      <c r="AG402" s="211">
        <f t="shared" si="257"/>
        <v>0</v>
      </c>
      <c r="AH402" s="211">
        <f t="shared" si="257"/>
        <v>0</v>
      </c>
      <c r="AI402" s="211">
        <f t="shared" si="257"/>
        <v>0</v>
      </c>
      <c r="AJ402" s="211">
        <f t="shared" si="257"/>
        <v>0</v>
      </c>
      <c r="AK402" s="211">
        <f t="shared" si="257"/>
        <v>0</v>
      </c>
      <c r="AL402" s="211">
        <f t="shared" si="257"/>
        <v>0</v>
      </c>
      <c r="AM402" s="211">
        <f t="shared" si="257"/>
        <v>0</v>
      </c>
      <c r="AN402" s="211">
        <f t="shared" si="257"/>
        <v>0</v>
      </c>
    </row>
    <row r="403" spans="2:40" ht="12" hidden="1" customHeight="1" outlineLevel="2">
      <c r="B403" s="245"/>
      <c r="C403" s="213" t="s">
        <v>779</v>
      </c>
      <c r="D403" s="213"/>
      <c r="E403" s="213"/>
      <c r="F403" s="213"/>
      <c r="G403" s="213"/>
      <c r="H403" s="213"/>
      <c r="I403" s="213"/>
      <c r="J403" s="213"/>
      <c r="K403" s="213"/>
      <c r="L403" s="213"/>
      <c r="M403" s="213"/>
      <c r="N403" s="213"/>
      <c r="O403" s="213"/>
      <c r="P403" s="213"/>
      <c r="Q403" s="213"/>
      <c r="R403" s="213"/>
      <c r="S403" s="213"/>
      <c r="T403" s="213"/>
      <c r="U403" s="213"/>
      <c r="V403" s="213"/>
      <c r="W403" s="213"/>
      <c r="X403" s="213"/>
      <c r="Y403" s="213"/>
      <c r="Z403" s="213"/>
      <c r="AA403" s="213"/>
      <c r="AB403" s="211"/>
      <c r="AC403" s="211"/>
      <c r="AD403" s="211"/>
      <c r="AE403" s="211">
        <f>INDEX($C$349:$AN$371,MATCH("New Customers One-Time",$C$349:$C$371,0),MATCH($C403,$C$349:$AN$349,0))</f>
        <v>75.770251200000004</v>
      </c>
      <c r="AF403" s="211">
        <f t="shared" ref="AF403:AN403" si="258">$AE403*(E375)</f>
        <v>0</v>
      </c>
      <c r="AG403" s="211">
        <f t="shared" si="258"/>
        <v>0</v>
      </c>
      <c r="AH403" s="211">
        <f t="shared" si="258"/>
        <v>0</v>
      </c>
      <c r="AI403" s="211">
        <f t="shared" si="258"/>
        <v>0</v>
      </c>
      <c r="AJ403" s="211">
        <f t="shared" si="258"/>
        <v>0</v>
      </c>
      <c r="AK403" s="211">
        <f t="shared" si="258"/>
        <v>0</v>
      </c>
      <c r="AL403" s="211">
        <f t="shared" si="258"/>
        <v>0</v>
      </c>
      <c r="AM403" s="211">
        <f t="shared" si="258"/>
        <v>0</v>
      </c>
      <c r="AN403" s="211">
        <f t="shared" si="258"/>
        <v>0</v>
      </c>
    </row>
    <row r="404" spans="2:40" ht="12" hidden="1" customHeight="1" outlineLevel="2">
      <c r="B404" s="245"/>
      <c r="C404" s="213" t="s">
        <v>780</v>
      </c>
      <c r="D404" s="213"/>
      <c r="E404" s="213"/>
      <c r="F404" s="213"/>
      <c r="G404" s="213"/>
      <c r="H404" s="213"/>
      <c r="I404" s="213"/>
      <c r="J404" s="213"/>
      <c r="K404" s="213"/>
      <c r="L404" s="213"/>
      <c r="M404" s="213"/>
      <c r="N404" s="213"/>
      <c r="O404" s="213"/>
      <c r="P404" s="213"/>
      <c r="Q404" s="213"/>
      <c r="R404" s="213"/>
      <c r="S404" s="213"/>
      <c r="T404" s="213"/>
      <c r="U404" s="213"/>
      <c r="V404" s="213"/>
      <c r="W404" s="213"/>
      <c r="X404" s="213"/>
      <c r="Y404" s="213"/>
      <c r="Z404" s="213"/>
      <c r="AA404" s="213"/>
      <c r="AB404" s="211"/>
      <c r="AC404" s="211"/>
      <c r="AD404" s="211"/>
      <c r="AE404" s="211"/>
      <c r="AF404" s="211">
        <f>INDEX($C$349:$AN$371,MATCH("New Customers One-Time",$C$349:$C$371,0),MATCH($C404,$C$349:$AN$349,0))</f>
        <v>77.285656224000007</v>
      </c>
      <c r="AG404" s="211">
        <f t="shared" ref="AG404:AN404" si="259">$AF404*(E375)</f>
        <v>0</v>
      </c>
      <c r="AH404" s="211">
        <f t="shared" si="259"/>
        <v>0</v>
      </c>
      <c r="AI404" s="211">
        <f t="shared" si="259"/>
        <v>0</v>
      </c>
      <c r="AJ404" s="211">
        <f t="shared" si="259"/>
        <v>0</v>
      </c>
      <c r="AK404" s="211">
        <f t="shared" si="259"/>
        <v>0</v>
      </c>
      <c r="AL404" s="211">
        <f t="shared" si="259"/>
        <v>0</v>
      </c>
      <c r="AM404" s="211">
        <f t="shared" si="259"/>
        <v>0</v>
      </c>
      <c r="AN404" s="211">
        <f t="shared" si="259"/>
        <v>0</v>
      </c>
    </row>
    <row r="405" spans="2:40" ht="12" hidden="1" customHeight="1" outlineLevel="2">
      <c r="B405" s="245"/>
      <c r="C405" s="213" t="s">
        <v>781</v>
      </c>
      <c r="D405" s="213"/>
      <c r="E405" s="213"/>
      <c r="F405" s="213"/>
      <c r="G405" s="213"/>
      <c r="H405" s="213"/>
      <c r="I405" s="213"/>
      <c r="J405" s="213"/>
      <c r="K405" s="213"/>
      <c r="L405" s="213"/>
      <c r="M405" s="213"/>
      <c r="N405" s="213"/>
      <c r="O405" s="213"/>
      <c r="P405" s="213"/>
      <c r="Q405" s="213"/>
      <c r="R405" s="213"/>
      <c r="S405" s="213"/>
      <c r="T405" s="213"/>
      <c r="U405" s="213"/>
      <c r="V405" s="213"/>
      <c r="W405" s="213"/>
      <c r="X405" s="213"/>
      <c r="Y405" s="213"/>
      <c r="Z405" s="213"/>
      <c r="AA405" s="213"/>
      <c r="AB405" s="211"/>
      <c r="AC405" s="211"/>
      <c r="AD405" s="211"/>
      <c r="AE405" s="211"/>
      <c r="AF405" s="211"/>
      <c r="AG405" s="211">
        <f>INDEX($C$349:$AN$371,MATCH("New Customers One-Time",$C$349:$C$371,0),MATCH($C405,$C$349:$AN$349,0))</f>
        <v>78.831369348479996</v>
      </c>
      <c r="AH405" s="211">
        <f t="shared" ref="AH405:AN405" si="260">$AG405*(E375)</f>
        <v>0</v>
      </c>
      <c r="AI405" s="211">
        <f t="shared" si="260"/>
        <v>0</v>
      </c>
      <c r="AJ405" s="211">
        <f t="shared" si="260"/>
        <v>0</v>
      </c>
      <c r="AK405" s="211">
        <f t="shared" si="260"/>
        <v>0</v>
      </c>
      <c r="AL405" s="211">
        <f t="shared" si="260"/>
        <v>0</v>
      </c>
      <c r="AM405" s="211">
        <f t="shared" si="260"/>
        <v>0</v>
      </c>
      <c r="AN405" s="211">
        <f t="shared" si="260"/>
        <v>0</v>
      </c>
    </row>
    <row r="406" spans="2:40" ht="12" hidden="1" customHeight="1" outlineLevel="2">
      <c r="B406" s="245"/>
      <c r="C406" s="213" t="s">
        <v>782</v>
      </c>
      <c r="D406" s="213"/>
      <c r="E406" s="213"/>
      <c r="F406" s="213"/>
      <c r="G406" s="213"/>
      <c r="H406" s="213"/>
      <c r="I406" s="213"/>
      <c r="J406" s="213"/>
      <c r="K406" s="213"/>
      <c r="L406" s="213"/>
      <c r="M406" s="213"/>
      <c r="N406" s="213"/>
      <c r="O406" s="213"/>
      <c r="P406" s="213"/>
      <c r="Q406" s="213"/>
      <c r="R406" s="213"/>
      <c r="S406" s="213"/>
      <c r="T406" s="213"/>
      <c r="U406" s="213"/>
      <c r="V406" s="213"/>
      <c r="W406" s="213"/>
      <c r="X406" s="213"/>
      <c r="Y406" s="213"/>
      <c r="Z406" s="213"/>
      <c r="AA406" s="213"/>
      <c r="AB406" s="211"/>
      <c r="AC406" s="211"/>
      <c r="AD406" s="211"/>
      <c r="AE406" s="211"/>
      <c r="AF406" s="211"/>
      <c r="AG406" s="211"/>
      <c r="AH406" s="211">
        <f>INDEX($C$349:$AN$371,MATCH("New Customers One-Time",$C$349:$C$371,0),MATCH($C406,$C$349:$AN$349,0))</f>
        <v>80.407996735449572</v>
      </c>
      <c r="AI406" s="211">
        <f t="shared" ref="AI406:AN406" si="261">$AH406*(E375)</f>
        <v>0</v>
      </c>
      <c r="AJ406" s="211">
        <f t="shared" si="261"/>
        <v>0</v>
      </c>
      <c r="AK406" s="211">
        <f t="shared" si="261"/>
        <v>0</v>
      </c>
      <c r="AL406" s="211">
        <f t="shared" si="261"/>
        <v>0</v>
      </c>
      <c r="AM406" s="211">
        <f t="shared" si="261"/>
        <v>0</v>
      </c>
      <c r="AN406" s="211">
        <f t="shared" si="261"/>
        <v>0</v>
      </c>
    </row>
    <row r="407" spans="2:40" ht="12" hidden="1" customHeight="1" outlineLevel="2">
      <c r="B407" s="245"/>
      <c r="C407" s="213" t="s">
        <v>783</v>
      </c>
      <c r="D407" s="213"/>
      <c r="E407" s="213"/>
      <c r="F407" s="213"/>
      <c r="G407" s="213"/>
      <c r="H407" s="213"/>
      <c r="I407" s="213"/>
      <c r="J407" s="213"/>
      <c r="K407" s="213"/>
      <c r="L407" s="213"/>
      <c r="M407" s="213"/>
      <c r="N407" s="213"/>
      <c r="O407" s="213"/>
      <c r="P407" s="213"/>
      <c r="Q407" s="213"/>
      <c r="R407" s="213"/>
      <c r="S407" s="213"/>
      <c r="T407" s="213"/>
      <c r="U407" s="213"/>
      <c r="V407" s="213"/>
      <c r="W407" s="213"/>
      <c r="X407" s="213"/>
      <c r="Y407" s="213"/>
      <c r="Z407" s="213"/>
      <c r="AA407" s="213"/>
      <c r="AB407" s="211"/>
      <c r="AC407" s="211"/>
      <c r="AD407" s="211"/>
      <c r="AE407" s="211"/>
      <c r="AF407" s="211"/>
      <c r="AG407" s="211"/>
      <c r="AH407" s="211"/>
      <c r="AI407" s="211">
        <f>INDEX($C$349:$AN$371,MATCH("New Customers One-Time",$C$349:$C$371,0),MATCH($C407,$C$349:$AN$349,0))</f>
        <v>82.016156670158608</v>
      </c>
      <c r="AJ407" s="211">
        <f>$AI407*(E375)</f>
        <v>0</v>
      </c>
      <c r="AK407" s="211">
        <f>$AI407*(F375)</f>
        <v>0</v>
      </c>
      <c r="AL407" s="211">
        <f>$AI407*(G375)</f>
        <v>0</v>
      </c>
      <c r="AM407" s="211">
        <f>$AI407*(H375)</f>
        <v>0</v>
      </c>
      <c r="AN407" s="211">
        <f>$AI407*(I375)</f>
        <v>0</v>
      </c>
    </row>
    <row r="408" spans="2:40" ht="12" hidden="1" customHeight="1" outlineLevel="2">
      <c r="B408" s="245"/>
      <c r="C408" s="213" t="s">
        <v>784</v>
      </c>
      <c r="D408" s="213"/>
      <c r="E408" s="213"/>
      <c r="F408" s="213"/>
      <c r="G408" s="213"/>
      <c r="H408" s="213"/>
      <c r="I408" s="213"/>
      <c r="J408" s="213"/>
      <c r="K408" s="213"/>
      <c r="L408" s="213"/>
      <c r="M408" s="213"/>
      <c r="N408" s="213"/>
      <c r="O408" s="213"/>
      <c r="P408" s="213"/>
      <c r="Q408" s="213"/>
      <c r="R408" s="213"/>
      <c r="S408" s="213"/>
      <c r="T408" s="213"/>
      <c r="U408" s="213"/>
      <c r="V408" s="213"/>
      <c r="W408" s="213"/>
      <c r="X408" s="213"/>
      <c r="Y408" s="213"/>
      <c r="Z408" s="213"/>
      <c r="AA408" s="213"/>
      <c r="AB408" s="211"/>
      <c r="AC408" s="211"/>
      <c r="AD408" s="211"/>
      <c r="AE408" s="211"/>
      <c r="AF408" s="211"/>
      <c r="AG408" s="211"/>
      <c r="AH408" s="211"/>
      <c r="AI408" s="211"/>
      <c r="AJ408" s="211">
        <f>INDEX($C$349:$AN$371,MATCH("New Customers One-Time",$C$349:$C$371,0),MATCH($C408,$C$349:$AN$349,0))</f>
        <v>83.656479803561766</v>
      </c>
      <c r="AK408" s="211">
        <f>$AJ408*(E375)</f>
        <v>0</v>
      </c>
      <c r="AL408" s="211">
        <f>$AJ408*(F375)</f>
        <v>0</v>
      </c>
      <c r="AM408" s="211">
        <f>$AJ408*(G375)</f>
        <v>0</v>
      </c>
      <c r="AN408" s="211">
        <f>$AJ408*(H375)</f>
        <v>0</v>
      </c>
    </row>
    <row r="409" spans="2:40" ht="12" hidden="1" customHeight="1" outlineLevel="2">
      <c r="B409" s="245"/>
      <c r="C409" s="213" t="s">
        <v>785</v>
      </c>
      <c r="D409" s="213"/>
      <c r="E409" s="213"/>
      <c r="F409" s="213"/>
      <c r="G409" s="213"/>
      <c r="H409" s="213"/>
      <c r="I409" s="213"/>
      <c r="J409" s="213"/>
      <c r="K409" s="213"/>
      <c r="L409" s="213"/>
      <c r="M409" s="213"/>
      <c r="N409" s="213"/>
      <c r="O409" s="213"/>
      <c r="P409" s="213"/>
      <c r="Q409" s="213"/>
      <c r="R409" s="213"/>
      <c r="S409" s="213"/>
      <c r="T409" s="213"/>
      <c r="U409" s="213"/>
      <c r="V409" s="213"/>
      <c r="W409" s="213"/>
      <c r="X409" s="213"/>
      <c r="Y409" s="213"/>
      <c r="Z409" s="213"/>
      <c r="AA409" s="213"/>
      <c r="AB409" s="211"/>
      <c r="AC409" s="211"/>
      <c r="AD409" s="211"/>
      <c r="AE409" s="211"/>
      <c r="AF409" s="211"/>
      <c r="AG409" s="211"/>
      <c r="AH409" s="211"/>
      <c r="AI409" s="211"/>
      <c r="AJ409" s="211"/>
      <c r="AK409" s="211">
        <f>INDEX($C$349:$AN$371,MATCH("New Customers One-Time",$C$349:$C$371,0),MATCH($C409,$C$349:$AN$349,0))</f>
        <v>85.329609399633014</v>
      </c>
      <c r="AL409" s="211">
        <f>$AK409*(E375)</f>
        <v>0</v>
      </c>
      <c r="AM409" s="211">
        <f>$AK409*(F375)</f>
        <v>0</v>
      </c>
      <c r="AN409" s="211">
        <f>$AK409*(G375)</f>
        <v>0</v>
      </c>
    </row>
    <row r="410" spans="2:40" ht="12" hidden="1" customHeight="1" outlineLevel="2">
      <c r="B410" s="245"/>
      <c r="C410" s="213" t="s">
        <v>786</v>
      </c>
      <c r="D410" s="213"/>
      <c r="E410" s="213"/>
      <c r="F410" s="213"/>
      <c r="G410" s="213"/>
      <c r="H410" s="213"/>
      <c r="I410" s="213"/>
      <c r="J410" s="213"/>
      <c r="K410" s="213"/>
      <c r="L410" s="213"/>
      <c r="M410" s="213"/>
      <c r="N410" s="213"/>
      <c r="O410" s="213"/>
      <c r="P410" s="213"/>
      <c r="Q410" s="213"/>
      <c r="R410" s="213"/>
      <c r="S410" s="213"/>
      <c r="T410" s="213"/>
      <c r="U410" s="213"/>
      <c r="V410" s="213"/>
      <c r="W410" s="213"/>
      <c r="X410" s="213"/>
      <c r="Y410" s="213"/>
      <c r="Z410" s="213"/>
      <c r="AA410" s="213"/>
      <c r="AB410" s="211"/>
      <c r="AC410" s="211"/>
      <c r="AD410" s="211"/>
      <c r="AE410" s="211"/>
      <c r="AF410" s="211"/>
      <c r="AG410" s="211"/>
      <c r="AH410" s="211"/>
      <c r="AI410" s="211"/>
      <c r="AJ410" s="211"/>
      <c r="AK410" s="211"/>
      <c r="AL410" s="211">
        <f>INDEX($C$349:$AN$371,MATCH("New Customers One-Time",$C$349:$C$371,0),MATCH($C410,$C$349:$AN$349,0))</f>
        <v>87.036201587625669</v>
      </c>
      <c r="AM410" s="211">
        <f>$AL410*(E375)</f>
        <v>0</v>
      </c>
      <c r="AN410" s="211">
        <f>$AL410*(F375)</f>
        <v>0</v>
      </c>
    </row>
    <row r="411" spans="2:40" ht="12" hidden="1" customHeight="1" outlineLevel="2">
      <c r="B411" s="245"/>
      <c r="C411" s="213" t="s">
        <v>787</v>
      </c>
      <c r="D411" s="213"/>
      <c r="E411" s="213"/>
      <c r="F411" s="213"/>
      <c r="G411" s="213"/>
      <c r="H411" s="213"/>
      <c r="I411" s="213"/>
      <c r="J411" s="213"/>
      <c r="K411" s="213"/>
      <c r="L411" s="213"/>
      <c r="M411" s="213"/>
      <c r="N411" s="213"/>
      <c r="O411" s="213"/>
      <c r="P411" s="213"/>
      <c r="Q411" s="213"/>
      <c r="R411" s="213"/>
      <c r="S411" s="213"/>
      <c r="T411" s="213"/>
      <c r="U411" s="213"/>
      <c r="V411" s="213"/>
      <c r="W411" s="213"/>
      <c r="X411" s="213"/>
      <c r="Y411" s="213"/>
      <c r="Z411" s="213"/>
      <c r="AA411" s="213"/>
      <c r="AB411" s="211"/>
      <c r="AC411" s="211"/>
      <c r="AD411" s="211"/>
      <c r="AE411" s="211"/>
      <c r="AF411" s="211"/>
      <c r="AG411" s="211"/>
      <c r="AH411" s="211"/>
      <c r="AI411" s="211"/>
      <c r="AJ411" s="211"/>
      <c r="AK411" s="211"/>
      <c r="AL411" s="211"/>
      <c r="AM411" s="211">
        <f>INDEX($C$349:$AN$371,MATCH("New Customers One-Time",$C$349:$C$371,0),MATCH($C411,$C$349:$AN$349,0))</f>
        <v>88.77692561937819</v>
      </c>
      <c r="AN411" s="211">
        <f>$AM411*(E375)</f>
        <v>0</v>
      </c>
    </row>
    <row r="412" spans="2:40" ht="12" hidden="1" customHeight="1" outlineLevel="2">
      <c r="B412" s="245"/>
      <c r="C412" s="213" t="s">
        <v>788</v>
      </c>
      <c r="D412" s="213"/>
      <c r="E412" s="213"/>
      <c r="F412" s="213"/>
      <c r="G412" s="213"/>
      <c r="H412" s="213"/>
      <c r="I412" s="213"/>
      <c r="J412" s="213"/>
      <c r="K412" s="213"/>
      <c r="L412" s="213"/>
      <c r="M412" s="213"/>
      <c r="N412" s="213"/>
      <c r="O412" s="213"/>
      <c r="P412" s="213"/>
      <c r="Q412" s="213"/>
      <c r="R412" s="213"/>
      <c r="S412" s="213"/>
      <c r="T412" s="213"/>
      <c r="U412" s="213"/>
      <c r="V412" s="213"/>
      <c r="W412" s="213"/>
      <c r="X412" s="213"/>
      <c r="Y412" s="213"/>
      <c r="Z412" s="213"/>
      <c r="AA412" s="213"/>
      <c r="AB412" s="211"/>
      <c r="AC412" s="211"/>
      <c r="AD412" s="211"/>
      <c r="AE412" s="211"/>
      <c r="AF412" s="211"/>
      <c r="AG412" s="211"/>
      <c r="AH412" s="211"/>
      <c r="AI412" s="211"/>
      <c r="AJ412" s="211"/>
      <c r="AK412" s="211"/>
      <c r="AL412" s="211"/>
      <c r="AM412" s="211"/>
      <c r="AN412" s="211">
        <f>INDEX($C$349:$AN$371,MATCH("New Customers One-Time",$C$349:$C$371,0),MATCH($C412,$C$349:$AN$349,0))</f>
        <v>90.552464131765745</v>
      </c>
    </row>
    <row r="413" spans="2:40" ht="12" hidden="1" customHeight="1" outlineLevel="2">
      <c r="B413" s="245"/>
      <c r="C413" s="213"/>
      <c r="D413" s="213"/>
      <c r="E413" s="213"/>
      <c r="F413" s="213"/>
      <c r="G413" s="213"/>
      <c r="H413" s="213"/>
      <c r="I413" s="213"/>
      <c r="J413" s="213"/>
      <c r="K413" s="213"/>
      <c r="L413" s="213"/>
      <c r="M413" s="213"/>
      <c r="N413" s="213"/>
      <c r="O413" s="213"/>
      <c r="P413" s="213"/>
      <c r="Q413" s="213"/>
      <c r="R413" s="213"/>
      <c r="S413" s="213"/>
      <c r="T413" s="213"/>
      <c r="U413" s="213"/>
      <c r="V413" s="213"/>
      <c r="W413" s="213"/>
      <c r="X413" s="213"/>
      <c r="Y413" s="213"/>
      <c r="Z413" s="213"/>
      <c r="AA413" s="213"/>
      <c r="AB413" s="211"/>
      <c r="AC413" s="211"/>
      <c r="AD413" s="211"/>
      <c r="AE413" s="211"/>
      <c r="AF413" s="211"/>
      <c r="AG413" s="211"/>
      <c r="AH413" s="211"/>
      <c r="AI413" s="211"/>
      <c r="AJ413" s="211"/>
      <c r="AK413" s="211"/>
      <c r="AL413" s="211"/>
      <c r="AM413" s="211"/>
      <c r="AN413" s="211"/>
    </row>
    <row r="414" spans="2:40" ht="12" hidden="1" customHeight="1" outlineLevel="2">
      <c r="B414" s="245"/>
      <c r="C414" s="243" t="s">
        <v>853</v>
      </c>
      <c r="D414" s="213"/>
      <c r="E414" s="213"/>
      <c r="F414" s="213"/>
      <c r="G414" s="213"/>
      <c r="H414" s="213"/>
      <c r="I414" s="213"/>
      <c r="J414" s="213"/>
      <c r="K414" s="213"/>
      <c r="L414" s="213"/>
      <c r="M414" s="213"/>
      <c r="N414" s="213"/>
      <c r="O414" s="213"/>
      <c r="P414" s="213"/>
      <c r="Q414" s="213"/>
      <c r="R414" s="213"/>
      <c r="S414" s="213"/>
      <c r="T414" s="213"/>
      <c r="U414" s="213"/>
      <c r="V414" s="213"/>
      <c r="W414" s="213"/>
      <c r="X414" s="213"/>
      <c r="Y414" s="213"/>
      <c r="Z414" s="213"/>
      <c r="AA414" s="213"/>
      <c r="AB414" s="213"/>
      <c r="AC414" s="211"/>
    </row>
    <row r="415" spans="2:40" ht="12" hidden="1" customHeight="1" outlineLevel="2">
      <c r="B415" s="239"/>
      <c r="C415" s="214" t="s">
        <v>850</v>
      </c>
      <c r="D415" s="214"/>
      <c r="E415" s="196" t="s">
        <v>753</v>
      </c>
      <c r="F415" s="196" t="s">
        <v>754</v>
      </c>
      <c r="G415" s="196" t="s">
        <v>755</v>
      </c>
      <c r="H415" s="196" t="s">
        <v>756</v>
      </c>
      <c r="I415" s="196" t="s">
        <v>757</v>
      </c>
      <c r="J415" s="196" t="s">
        <v>758</v>
      </c>
      <c r="K415" s="196" t="s">
        <v>759</v>
      </c>
      <c r="L415" s="196" t="s">
        <v>760</v>
      </c>
      <c r="M415" s="196" t="s">
        <v>761</v>
      </c>
      <c r="N415" s="196" t="s">
        <v>762</v>
      </c>
      <c r="O415" s="196" t="s">
        <v>763</v>
      </c>
      <c r="P415" s="196" t="s">
        <v>764</v>
      </c>
      <c r="Q415" s="196" t="s">
        <v>765</v>
      </c>
      <c r="R415" s="196" t="s">
        <v>766</v>
      </c>
      <c r="S415" s="196" t="s">
        <v>767</v>
      </c>
      <c r="T415" s="196" t="s">
        <v>768</v>
      </c>
      <c r="U415" s="196" t="s">
        <v>769</v>
      </c>
      <c r="V415" s="196" t="s">
        <v>770</v>
      </c>
      <c r="W415" s="196" t="s">
        <v>771</v>
      </c>
      <c r="X415" s="196" t="s">
        <v>772</v>
      </c>
      <c r="Y415" s="196" t="s">
        <v>773</v>
      </c>
      <c r="Z415" s="196" t="s">
        <v>774</v>
      </c>
      <c r="AA415" s="196" t="s">
        <v>775</v>
      </c>
      <c r="AB415" s="196" t="s">
        <v>776</v>
      </c>
      <c r="AC415" s="196" t="s">
        <v>777</v>
      </c>
      <c r="AD415" s="196" t="s">
        <v>778</v>
      </c>
      <c r="AE415" s="196" t="s">
        <v>779</v>
      </c>
      <c r="AF415" s="196" t="s">
        <v>780</v>
      </c>
      <c r="AG415" s="196" t="s">
        <v>781</v>
      </c>
      <c r="AH415" s="196" t="s">
        <v>782</v>
      </c>
      <c r="AI415" s="196" t="s">
        <v>783</v>
      </c>
      <c r="AJ415" s="196" t="s">
        <v>784</v>
      </c>
      <c r="AK415" s="196" t="s">
        <v>785</v>
      </c>
      <c r="AL415" s="196" t="s">
        <v>786</v>
      </c>
      <c r="AM415" s="196" t="s">
        <v>787</v>
      </c>
      <c r="AN415" s="196" t="s">
        <v>788</v>
      </c>
    </row>
    <row r="416" spans="2:40" ht="12" hidden="1" customHeight="1" outlineLevel="2">
      <c r="B416" s="239"/>
      <c r="C416" s="247" t="s">
        <v>851</v>
      </c>
      <c r="D416" s="214"/>
      <c r="E416" s="193">
        <v>0.04</v>
      </c>
      <c r="F416" s="193">
        <v>0.04</v>
      </c>
      <c r="G416" s="193">
        <v>0.04</v>
      </c>
      <c r="H416" s="193">
        <v>0.04</v>
      </c>
      <c r="I416" s="193">
        <v>0.03</v>
      </c>
      <c r="J416" s="193">
        <v>0.03</v>
      </c>
      <c r="K416" s="193">
        <v>0.03</v>
      </c>
      <c r="L416" s="193">
        <v>0.03</v>
      </c>
      <c r="M416" s="193">
        <v>0.02</v>
      </c>
      <c r="N416" s="193">
        <v>0.02</v>
      </c>
      <c r="O416" s="193">
        <v>0.02</v>
      </c>
      <c r="P416" s="193">
        <v>0.03</v>
      </c>
      <c r="Q416" s="193">
        <v>0.03</v>
      </c>
      <c r="R416" s="193">
        <v>0.01</v>
      </c>
      <c r="S416" s="193">
        <v>0.01</v>
      </c>
      <c r="T416" s="193">
        <v>0.01</v>
      </c>
      <c r="U416" s="193">
        <v>0.01</v>
      </c>
      <c r="V416" s="193">
        <v>0.01</v>
      </c>
      <c r="W416" s="193">
        <v>0.01</v>
      </c>
      <c r="X416" s="193">
        <v>0.01</v>
      </c>
      <c r="Y416" s="193">
        <v>0.01</v>
      </c>
      <c r="Z416" s="193">
        <v>0.01</v>
      </c>
      <c r="AA416" s="193">
        <v>0.01</v>
      </c>
      <c r="AB416" s="193">
        <v>0.01</v>
      </c>
      <c r="AC416" s="193">
        <v>0.01</v>
      </c>
      <c r="AD416" s="193">
        <v>0.01</v>
      </c>
      <c r="AE416" s="193">
        <v>0.01</v>
      </c>
      <c r="AF416" s="193">
        <v>0.01</v>
      </c>
      <c r="AG416" s="193">
        <v>0.01</v>
      </c>
      <c r="AH416" s="193">
        <v>0.01</v>
      </c>
      <c r="AI416" s="193">
        <v>0.01</v>
      </c>
      <c r="AJ416" s="193">
        <v>0.01</v>
      </c>
      <c r="AK416" s="193">
        <v>0.01</v>
      </c>
      <c r="AL416" s="193">
        <v>0.01</v>
      </c>
      <c r="AM416" s="193">
        <v>0.01</v>
      </c>
      <c r="AN416" s="193">
        <v>0.01</v>
      </c>
    </row>
    <row r="417" spans="2:40" s="214" customFormat="1" ht="12" hidden="1" customHeight="1" outlineLevel="2">
      <c r="C417" s="213" t="s">
        <v>861</v>
      </c>
      <c r="E417" s="211">
        <v>322</v>
      </c>
      <c r="F417" s="211">
        <v>379</v>
      </c>
      <c r="G417" s="211">
        <v>480</v>
      </c>
      <c r="H417" s="211">
        <v>363</v>
      </c>
      <c r="I417" s="211">
        <v>305</v>
      </c>
      <c r="J417" s="211">
        <f t="shared" ref="J417:AN417" si="262">I417*0.9</f>
        <v>274.5</v>
      </c>
      <c r="K417" s="211">
        <f t="shared" si="262"/>
        <v>247.05</v>
      </c>
      <c r="L417" s="211">
        <f t="shared" si="262"/>
        <v>222.34500000000003</v>
      </c>
      <c r="M417" s="211">
        <f t="shared" si="262"/>
        <v>200.11050000000003</v>
      </c>
      <c r="N417" s="211">
        <f t="shared" si="262"/>
        <v>180.09945000000002</v>
      </c>
      <c r="O417" s="211">
        <f t="shared" si="262"/>
        <v>162.08950500000003</v>
      </c>
      <c r="P417" s="211">
        <f t="shared" si="262"/>
        <v>145.88055450000004</v>
      </c>
      <c r="Q417" s="211">
        <f t="shared" si="262"/>
        <v>131.29249905000003</v>
      </c>
      <c r="R417" s="211">
        <f t="shared" si="262"/>
        <v>118.16324914500004</v>
      </c>
      <c r="S417" s="211">
        <f t="shared" si="262"/>
        <v>106.34692423050004</v>
      </c>
      <c r="T417" s="211">
        <f t="shared" si="262"/>
        <v>95.712231807450038</v>
      </c>
      <c r="U417" s="211">
        <f t="shared" si="262"/>
        <v>86.14100862670503</v>
      </c>
      <c r="V417" s="211">
        <f t="shared" si="262"/>
        <v>77.526907764034533</v>
      </c>
      <c r="W417" s="211">
        <f t="shared" si="262"/>
        <v>69.774216987631078</v>
      </c>
      <c r="X417" s="211">
        <f t="shared" si="262"/>
        <v>62.796795288867969</v>
      </c>
      <c r="Y417" s="211">
        <f t="shared" si="262"/>
        <v>56.517115759981174</v>
      </c>
      <c r="Z417" s="211">
        <f t="shared" si="262"/>
        <v>50.86540418398306</v>
      </c>
      <c r="AA417" s="211">
        <f t="shared" si="262"/>
        <v>45.778863765584752</v>
      </c>
      <c r="AB417" s="211">
        <f t="shared" si="262"/>
        <v>41.200977389026278</v>
      </c>
      <c r="AC417" s="211">
        <f t="shared" si="262"/>
        <v>37.080879650123649</v>
      </c>
      <c r="AD417" s="211">
        <f t="shared" si="262"/>
        <v>33.372791685111288</v>
      </c>
      <c r="AE417" s="211">
        <f t="shared" si="262"/>
        <v>30.035512516600161</v>
      </c>
      <c r="AF417" s="211">
        <f t="shared" si="262"/>
        <v>27.031961264940144</v>
      </c>
      <c r="AG417" s="211">
        <f t="shared" si="262"/>
        <v>24.32876513844613</v>
      </c>
      <c r="AH417" s="211">
        <f t="shared" si="262"/>
        <v>21.895888624601518</v>
      </c>
      <c r="AI417" s="211">
        <f t="shared" si="262"/>
        <v>19.706299762141366</v>
      </c>
      <c r="AJ417" s="211">
        <f t="shared" si="262"/>
        <v>17.735669785927229</v>
      </c>
      <c r="AK417" s="211">
        <f t="shared" si="262"/>
        <v>15.962102807334507</v>
      </c>
      <c r="AL417" s="211">
        <f t="shared" si="262"/>
        <v>14.365892526601057</v>
      </c>
      <c r="AM417" s="211">
        <f t="shared" si="262"/>
        <v>12.929303273940951</v>
      </c>
      <c r="AN417" s="211">
        <f t="shared" si="262"/>
        <v>11.636372946546857</v>
      </c>
    </row>
    <row r="418" spans="2:40" ht="12" hidden="1" customHeight="1" outlineLevel="2">
      <c r="B418" s="245"/>
      <c r="C418" s="213" t="s">
        <v>753</v>
      </c>
      <c r="D418" s="213"/>
      <c r="E418" s="211">
        <f>INDEX($C$349:$AN$371,MATCH("New Customers 1MS",$C$349:$C$371,0),MATCH($C418,$C$349:$AN$349,0))</f>
        <v>12.999999999999995</v>
      </c>
      <c r="F418" s="211">
        <f t="shared" ref="F418:AN418" si="263">$E418*(E416)</f>
        <v>0.5199999999999998</v>
      </c>
      <c r="G418" s="211">
        <f t="shared" si="263"/>
        <v>0.5199999999999998</v>
      </c>
      <c r="H418" s="211">
        <f t="shared" si="263"/>
        <v>0.5199999999999998</v>
      </c>
      <c r="I418" s="211">
        <f t="shared" si="263"/>
        <v>0.5199999999999998</v>
      </c>
      <c r="J418" s="211">
        <f t="shared" si="263"/>
        <v>0.38999999999999985</v>
      </c>
      <c r="K418" s="211">
        <f t="shared" si="263"/>
        <v>0.38999999999999985</v>
      </c>
      <c r="L418" s="211">
        <f t="shared" si="263"/>
        <v>0.38999999999999985</v>
      </c>
      <c r="M418" s="211">
        <f t="shared" si="263"/>
        <v>0.38999999999999985</v>
      </c>
      <c r="N418" s="211">
        <f t="shared" si="263"/>
        <v>0.2599999999999999</v>
      </c>
      <c r="O418" s="211">
        <f t="shared" si="263"/>
        <v>0.2599999999999999</v>
      </c>
      <c r="P418" s="211">
        <f t="shared" si="263"/>
        <v>0.2599999999999999</v>
      </c>
      <c r="Q418" s="211">
        <f t="shared" si="263"/>
        <v>0.38999999999999985</v>
      </c>
      <c r="R418" s="211">
        <f t="shared" si="263"/>
        <v>0.38999999999999985</v>
      </c>
      <c r="S418" s="211">
        <f t="shared" si="263"/>
        <v>0.12999999999999995</v>
      </c>
      <c r="T418" s="211">
        <f t="shared" si="263"/>
        <v>0.12999999999999995</v>
      </c>
      <c r="U418" s="211">
        <f t="shared" si="263"/>
        <v>0.12999999999999995</v>
      </c>
      <c r="V418" s="211">
        <f t="shared" si="263"/>
        <v>0.12999999999999995</v>
      </c>
      <c r="W418" s="211">
        <f t="shared" si="263"/>
        <v>0.12999999999999995</v>
      </c>
      <c r="X418" s="211">
        <f t="shared" si="263"/>
        <v>0.12999999999999995</v>
      </c>
      <c r="Y418" s="211">
        <f t="shared" si="263"/>
        <v>0.12999999999999995</v>
      </c>
      <c r="Z418" s="211">
        <f t="shared" si="263"/>
        <v>0.12999999999999995</v>
      </c>
      <c r="AA418" s="211">
        <f t="shared" si="263"/>
        <v>0.12999999999999995</v>
      </c>
      <c r="AB418" s="211">
        <f t="shared" si="263"/>
        <v>0.12999999999999995</v>
      </c>
      <c r="AC418" s="211">
        <f t="shared" si="263"/>
        <v>0.12999999999999995</v>
      </c>
      <c r="AD418" s="211">
        <f t="shared" si="263"/>
        <v>0.12999999999999995</v>
      </c>
      <c r="AE418" s="211">
        <f t="shared" si="263"/>
        <v>0.12999999999999995</v>
      </c>
      <c r="AF418" s="211">
        <f t="shared" si="263"/>
        <v>0.12999999999999995</v>
      </c>
      <c r="AG418" s="211">
        <f t="shared" si="263"/>
        <v>0.12999999999999995</v>
      </c>
      <c r="AH418" s="211">
        <f t="shared" si="263"/>
        <v>0.12999999999999995</v>
      </c>
      <c r="AI418" s="211">
        <f t="shared" si="263"/>
        <v>0.12999999999999995</v>
      </c>
      <c r="AJ418" s="211">
        <f t="shared" si="263"/>
        <v>0.12999999999999995</v>
      </c>
      <c r="AK418" s="211">
        <f t="shared" si="263"/>
        <v>0.12999999999999995</v>
      </c>
      <c r="AL418" s="211">
        <f t="shared" si="263"/>
        <v>0.12999999999999995</v>
      </c>
      <c r="AM418" s="211">
        <f t="shared" si="263"/>
        <v>0.12999999999999995</v>
      </c>
      <c r="AN418" s="211">
        <f t="shared" si="263"/>
        <v>0.12999999999999995</v>
      </c>
    </row>
    <row r="419" spans="2:40" ht="12" hidden="1" customHeight="1" outlineLevel="2">
      <c r="B419" s="245"/>
      <c r="C419" s="213" t="s">
        <v>754</v>
      </c>
      <c r="D419" s="213"/>
      <c r="E419" s="213"/>
      <c r="F419" s="211">
        <f>INDEX($C$349:$AN$371,MATCH("New Customers 1MS",$C$349:$C$371,0),MATCH($C419,$C$349:$AN$349,0))</f>
        <v>21.999999999999993</v>
      </c>
      <c r="G419" s="211">
        <f t="shared" ref="G419:AN419" si="264">$F419*(E416)</f>
        <v>0.87999999999999978</v>
      </c>
      <c r="H419" s="211">
        <f t="shared" si="264"/>
        <v>0.87999999999999978</v>
      </c>
      <c r="I419" s="211">
        <f t="shared" si="264"/>
        <v>0.87999999999999978</v>
      </c>
      <c r="J419" s="211">
        <f t="shared" si="264"/>
        <v>0.87999999999999978</v>
      </c>
      <c r="K419" s="211">
        <f t="shared" si="264"/>
        <v>0.65999999999999981</v>
      </c>
      <c r="L419" s="211">
        <f t="shared" si="264"/>
        <v>0.65999999999999981</v>
      </c>
      <c r="M419" s="211">
        <f t="shared" si="264"/>
        <v>0.65999999999999981</v>
      </c>
      <c r="N419" s="211">
        <f t="shared" si="264"/>
        <v>0.65999999999999981</v>
      </c>
      <c r="O419" s="211">
        <f t="shared" si="264"/>
        <v>0.43999999999999989</v>
      </c>
      <c r="P419" s="211">
        <f t="shared" si="264"/>
        <v>0.43999999999999989</v>
      </c>
      <c r="Q419" s="211">
        <f t="shared" si="264"/>
        <v>0.43999999999999989</v>
      </c>
      <c r="R419" s="211">
        <f t="shared" si="264"/>
        <v>0.65999999999999981</v>
      </c>
      <c r="S419" s="211">
        <f t="shared" si="264"/>
        <v>0.65999999999999981</v>
      </c>
      <c r="T419" s="211">
        <f t="shared" si="264"/>
        <v>0.21999999999999995</v>
      </c>
      <c r="U419" s="211">
        <f t="shared" si="264"/>
        <v>0.21999999999999995</v>
      </c>
      <c r="V419" s="211">
        <f t="shared" si="264"/>
        <v>0.21999999999999995</v>
      </c>
      <c r="W419" s="211">
        <f t="shared" si="264"/>
        <v>0.21999999999999995</v>
      </c>
      <c r="X419" s="211">
        <f t="shared" si="264"/>
        <v>0.21999999999999995</v>
      </c>
      <c r="Y419" s="211">
        <f t="shared" si="264"/>
        <v>0.21999999999999995</v>
      </c>
      <c r="Z419" s="211">
        <f t="shared" si="264"/>
        <v>0.21999999999999995</v>
      </c>
      <c r="AA419" s="211">
        <f t="shared" si="264"/>
        <v>0.21999999999999995</v>
      </c>
      <c r="AB419" s="211">
        <f t="shared" si="264"/>
        <v>0.21999999999999995</v>
      </c>
      <c r="AC419" s="211">
        <f t="shared" si="264"/>
        <v>0.21999999999999995</v>
      </c>
      <c r="AD419" s="211">
        <f t="shared" si="264"/>
        <v>0.21999999999999995</v>
      </c>
      <c r="AE419" s="211">
        <f t="shared" si="264"/>
        <v>0.21999999999999995</v>
      </c>
      <c r="AF419" s="211">
        <f t="shared" si="264"/>
        <v>0.21999999999999995</v>
      </c>
      <c r="AG419" s="211">
        <f t="shared" si="264"/>
        <v>0.21999999999999995</v>
      </c>
      <c r="AH419" s="211">
        <f t="shared" si="264"/>
        <v>0.21999999999999995</v>
      </c>
      <c r="AI419" s="211">
        <f t="shared" si="264"/>
        <v>0.21999999999999995</v>
      </c>
      <c r="AJ419" s="211">
        <f t="shared" si="264"/>
        <v>0.21999999999999995</v>
      </c>
      <c r="AK419" s="211">
        <f t="shared" si="264"/>
        <v>0.21999999999999995</v>
      </c>
      <c r="AL419" s="211">
        <f t="shared" si="264"/>
        <v>0.21999999999999995</v>
      </c>
      <c r="AM419" s="211">
        <f t="shared" si="264"/>
        <v>0.21999999999999995</v>
      </c>
      <c r="AN419" s="211">
        <f t="shared" si="264"/>
        <v>0.21999999999999995</v>
      </c>
    </row>
    <row r="420" spans="2:40" ht="12" hidden="1" customHeight="1" outlineLevel="2">
      <c r="B420" s="245"/>
      <c r="C420" s="213" t="s">
        <v>755</v>
      </c>
      <c r="D420" s="213"/>
      <c r="E420" s="213"/>
      <c r="G420" s="211">
        <f>INDEX($C$349:$AN$371,MATCH("New Customers 1MS",$C$349:$C$371,0),MATCH($C420,$C$349:$AN$349,0))</f>
        <v>10.999999999999996</v>
      </c>
      <c r="H420" s="211">
        <f>G420*(E416)</f>
        <v>0.43999999999999989</v>
      </c>
      <c r="I420" s="211">
        <f>G420*(F416)</f>
        <v>0.43999999999999989</v>
      </c>
      <c r="J420" s="211">
        <f>G420*(G416)</f>
        <v>0.43999999999999989</v>
      </c>
      <c r="K420" s="211">
        <f>G420*(H416)</f>
        <v>0.43999999999999989</v>
      </c>
      <c r="L420" s="211">
        <f>G420*(I416)</f>
        <v>0.3299999999999999</v>
      </c>
      <c r="M420" s="211">
        <f>G420*(J416)</f>
        <v>0.3299999999999999</v>
      </c>
      <c r="N420" s="211">
        <f>G420*(K416)</f>
        <v>0.3299999999999999</v>
      </c>
      <c r="O420" s="211">
        <f>G420*(L416)</f>
        <v>0.3299999999999999</v>
      </c>
      <c r="P420" s="211">
        <f>G420*(M416)</f>
        <v>0.21999999999999995</v>
      </c>
      <c r="Q420" s="211">
        <f>G420*(N416)</f>
        <v>0.21999999999999995</v>
      </c>
      <c r="R420" s="211">
        <f>G420*(O416)</f>
        <v>0.21999999999999995</v>
      </c>
      <c r="S420" s="211">
        <f>G420*(P416)</f>
        <v>0.3299999999999999</v>
      </c>
      <c r="T420" s="211">
        <f>G420*(Q416)</f>
        <v>0.3299999999999999</v>
      </c>
      <c r="U420" s="211">
        <f>G420*(R416)</f>
        <v>0.10999999999999997</v>
      </c>
      <c r="V420" s="211">
        <f>G420*(S416)</f>
        <v>0.10999999999999997</v>
      </c>
      <c r="W420" s="211">
        <f>G420*(T416)</f>
        <v>0.10999999999999997</v>
      </c>
      <c r="X420" s="211">
        <f>G420*(U416)</f>
        <v>0.10999999999999997</v>
      </c>
      <c r="Y420" s="211">
        <f>G420*(V416)</f>
        <v>0.10999999999999997</v>
      </c>
      <c r="Z420" s="211">
        <f>G420*(W416)</f>
        <v>0.10999999999999997</v>
      </c>
      <c r="AA420" s="211">
        <f>G420*(X416)</f>
        <v>0.10999999999999997</v>
      </c>
      <c r="AB420" s="211">
        <f>G420*(Y416)</f>
        <v>0.10999999999999997</v>
      </c>
      <c r="AC420" s="211">
        <f>G420*(Z416)</f>
        <v>0.10999999999999997</v>
      </c>
      <c r="AD420" s="211">
        <f>G420*(AA416)</f>
        <v>0.10999999999999997</v>
      </c>
      <c r="AE420" s="211">
        <f>G420*(AB416)</f>
        <v>0.10999999999999997</v>
      </c>
      <c r="AF420" s="211">
        <f>G420*(AC416)</f>
        <v>0.10999999999999997</v>
      </c>
      <c r="AG420" s="211">
        <f>G420*(AD416)</f>
        <v>0.10999999999999997</v>
      </c>
      <c r="AH420" s="211">
        <f>G420*(AE416)</f>
        <v>0.10999999999999997</v>
      </c>
      <c r="AI420" s="211">
        <f>G420*(AF416)</f>
        <v>0.10999999999999997</v>
      </c>
      <c r="AJ420" s="211">
        <f>G420*(AG416)</f>
        <v>0.10999999999999997</v>
      </c>
      <c r="AK420" s="211">
        <f>G420*(AH416)</f>
        <v>0.10999999999999997</v>
      </c>
      <c r="AL420" s="211">
        <f>G420*(AI416)</f>
        <v>0.10999999999999997</v>
      </c>
      <c r="AM420" s="211">
        <f>G420*(AJ416)</f>
        <v>0.10999999999999997</v>
      </c>
      <c r="AN420" s="211">
        <f>G420*(AK416)</f>
        <v>0.10999999999999997</v>
      </c>
    </row>
    <row r="421" spans="2:40" ht="12" hidden="1" customHeight="1" outlineLevel="2">
      <c r="B421" s="245"/>
      <c r="C421" s="213" t="s">
        <v>756</v>
      </c>
      <c r="D421" s="213"/>
      <c r="E421" s="213"/>
      <c r="F421" s="213"/>
      <c r="G421" s="213"/>
      <c r="H421" s="211">
        <f>INDEX($C$349:$AN$371,MATCH("New Customers 1MS",$C$349:$C$371,0),MATCH($C421,$C$349:$AN$349,0))</f>
        <v>8.9999999999999822</v>
      </c>
      <c r="I421" s="211">
        <f>H421*(E416)</f>
        <v>0.35999999999999932</v>
      </c>
      <c r="J421" s="211">
        <f>H421*(F416)</f>
        <v>0.35999999999999932</v>
      </c>
      <c r="K421" s="211">
        <f>H421*(G416)</f>
        <v>0.35999999999999932</v>
      </c>
      <c r="L421" s="211">
        <f>H421*(H416)</f>
        <v>0.35999999999999932</v>
      </c>
      <c r="M421" s="211">
        <f>H421*(I416)</f>
        <v>0.26999999999999946</v>
      </c>
      <c r="N421" s="211">
        <f>H421*(J416)</f>
        <v>0.26999999999999946</v>
      </c>
      <c r="O421" s="211">
        <f>H421*(K416)</f>
        <v>0.26999999999999946</v>
      </c>
      <c r="P421" s="211">
        <f>H421*(L416)</f>
        <v>0.26999999999999946</v>
      </c>
      <c r="Q421" s="211">
        <f>H421*(M416)</f>
        <v>0.17999999999999966</v>
      </c>
      <c r="R421" s="211">
        <f>H421*(N416)</f>
        <v>0.17999999999999966</v>
      </c>
      <c r="S421" s="211">
        <f>H421*(O416)</f>
        <v>0.17999999999999966</v>
      </c>
      <c r="T421" s="211">
        <f>H421*(P416)</f>
        <v>0.26999999999999946</v>
      </c>
      <c r="U421" s="211">
        <f>H421*(Q416)</f>
        <v>0.26999999999999946</v>
      </c>
      <c r="V421" s="211">
        <f>H421*(R416)</f>
        <v>8.999999999999983E-2</v>
      </c>
      <c r="W421" s="211">
        <f>H421*(S416)</f>
        <v>8.999999999999983E-2</v>
      </c>
      <c r="X421" s="211">
        <f>H421*(T416)</f>
        <v>8.999999999999983E-2</v>
      </c>
      <c r="Y421" s="211">
        <f>H421*(U416)</f>
        <v>8.999999999999983E-2</v>
      </c>
      <c r="Z421" s="211">
        <f>H421*(V416)</f>
        <v>8.999999999999983E-2</v>
      </c>
      <c r="AA421" s="211">
        <f>H421*(W416)</f>
        <v>8.999999999999983E-2</v>
      </c>
      <c r="AB421" s="211">
        <f>H421*(X416)</f>
        <v>8.999999999999983E-2</v>
      </c>
      <c r="AC421" s="211">
        <f>H421*(Y416)</f>
        <v>8.999999999999983E-2</v>
      </c>
      <c r="AD421" s="211">
        <f>H421*(Z416)</f>
        <v>8.999999999999983E-2</v>
      </c>
      <c r="AE421" s="211">
        <f>H421*(AA416)</f>
        <v>8.999999999999983E-2</v>
      </c>
      <c r="AF421" s="211">
        <f>H421*(AB416)</f>
        <v>8.999999999999983E-2</v>
      </c>
      <c r="AG421" s="211">
        <f>H421*(AC416)</f>
        <v>8.999999999999983E-2</v>
      </c>
      <c r="AH421" s="211">
        <f>H421*(AD416)</f>
        <v>8.999999999999983E-2</v>
      </c>
      <c r="AI421" s="211">
        <f>H421*(AE416)</f>
        <v>8.999999999999983E-2</v>
      </c>
      <c r="AJ421" s="211">
        <f>H421*(AF416)</f>
        <v>8.999999999999983E-2</v>
      </c>
      <c r="AK421" s="211">
        <f>H421*(AG416)</f>
        <v>8.999999999999983E-2</v>
      </c>
      <c r="AL421" s="211">
        <f>H421*(AH416)</f>
        <v>8.999999999999983E-2</v>
      </c>
      <c r="AM421" s="211">
        <f>H421*(AI416)</f>
        <v>8.999999999999983E-2</v>
      </c>
      <c r="AN421" s="211">
        <f>H421*(AJ416)</f>
        <v>8.999999999999983E-2</v>
      </c>
    </row>
    <row r="422" spans="2:40" ht="12" hidden="1" customHeight="1" outlineLevel="2">
      <c r="B422" s="245"/>
      <c r="C422" s="213" t="s">
        <v>757</v>
      </c>
      <c r="D422" s="213"/>
      <c r="E422" s="213"/>
      <c r="F422" s="213"/>
      <c r="G422" s="213"/>
      <c r="H422" s="213"/>
      <c r="I422" s="211">
        <f>INDEX($C$349:$AN$371,MATCH("New Customers 1MS",$C$349:$C$371,0),MATCH($C422,$C$349:$AN$349,0))</f>
        <v>7.0000000000000062</v>
      </c>
      <c r="J422" s="211">
        <f>I422*(E416)</f>
        <v>0.28000000000000025</v>
      </c>
      <c r="K422" s="211">
        <f>I422*(F416)</f>
        <v>0.28000000000000025</v>
      </c>
      <c r="L422" s="211">
        <f>I422*(G416)</f>
        <v>0.28000000000000025</v>
      </c>
      <c r="M422" s="211">
        <f>I422*(H416)</f>
        <v>0.28000000000000025</v>
      </c>
      <c r="N422" s="211">
        <f>I422*(I416)</f>
        <v>0.21000000000000019</v>
      </c>
      <c r="O422" s="211">
        <f>I422*(J416)</f>
        <v>0.21000000000000019</v>
      </c>
      <c r="P422" s="211">
        <f>I422*(K416)</f>
        <v>0.21000000000000019</v>
      </c>
      <c r="Q422" s="211">
        <f>I422*(L416)</f>
        <v>0.21000000000000019</v>
      </c>
      <c r="R422" s="211">
        <f>I422*(M416)</f>
        <v>0.14000000000000012</v>
      </c>
      <c r="S422" s="211">
        <f>I422*(N416)</f>
        <v>0.14000000000000012</v>
      </c>
      <c r="T422" s="211">
        <f>I422*(O416)</f>
        <v>0.14000000000000012</v>
      </c>
      <c r="U422" s="211">
        <f>I422*(P416)</f>
        <v>0.21000000000000019</v>
      </c>
      <c r="V422" s="211">
        <f>I422*(Q416)</f>
        <v>0.21000000000000019</v>
      </c>
      <c r="W422" s="211">
        <f>I422*(R416)</f>
        <v>7.0000000000000062E-2</v>
      </c>
      <c r="X422" s="211">
        <f>I422*(S416)</f>
        <v>7.0000000000000062E-2</v>
      </c>
      <c r="Y422" s="211">
        <f>I422*(T416)</f>
        <v>7.0000000000000062E-2</v>
      </c>
      <c r="Z422" s="211">
        <f>I422*(U416)</f>
        <v>7.0000000000000062E-2</v>
      </c>
      <c r="AA422" s="211">
        <f>I422*(V416)</f>
        <v>7.0000000000000062E-2</v>
      </c>
      <c r="AB422" s="211">
        <f>I422*(W416)</f>
        <v>7.0000000000000062E-2</v>
      </c>
      <c r="AC422" s="211">
        <f>I422*(X416)</f>
        <v>7.0000000000000062E-2</v>
      </c>
      <c r="AD422" s="211">
        <f>I422*(Y416)</f>
        <v>7.0000000000000062E-2</v>
      </c>
      <c r="AE422" s="211">
        <f>I422*(Z416)</f>
        <v>7.0000000000000062E-2</v>
      </c>
      <c r="AF422" s="211">
        <f>I422*(AA416)</f>
        <v>7.0000000000000062E-2</v>
      </c>
      <c r="AG422" s="211">
        <f>I422*(AB416)</f>
        <v>7.0000000000000062E-2</v>
      </c>
      <c r="AH422" s="211">
        <f>I422*(AC416)</f>
        <v>7.0000000000000062E-2</v>
      </c>
      <c r="AI422" s="211">
        <f>I422*(AD416)</f>
        <v>7.0000000000000062E-2</v>
      </c>
      <c r="AJ422" s="211">
        <f>I422*(AE416)</f>
        <v>7.0000000000000062E-2</v>
      </c>
      <c r="AK422" s="211">
        <f>I422*(AF416)</f>
        <v>7.0000000000000062E-2</v>
      </c>
      <c r="AL422" s="211">
        <f>I422*(AG416)</f>
        <v>7.0000000000000062E-2</v>
      </c>
      <c r="AM422" s="211">
        <f>I422*(AH416)</f>
        <v>7.0000000000000062E-2</v>
      </c>
      <c r="AN422" s="211">
        <f>I422*(AI416)</f>
        <v>7.0000000000000062E-2</v>
      </c>
    </row>
    <row r="423" spans="2:40" ht="12" hidden="1" customHeight="1" outlineLevel="2">
      <c r="B423" s="245"/>
      <c r="C423" s="213" t="s">
        <v>758</v>
      </c>
      <c r="D423" s="213"/>
      <c r="E423" s="213"/>
      <c r="F423" s="213"/>
      <c r="G423" s="213"/>
      <c r="H423" s="213"/>
      <c r="I423" s="213"/>
      <c r="J423" s="211">
        <f>INDEX($C$349:$AN$371,MATCH("New Customers 1MS",$C$349:$C$371,0),MATCH($C423,$C$349:$AN$349,0))</f>
        <v>11.999999999999996</v>
      </c>
      <c r="K423" s="211">
        <f>J423*(E416)</f>
        <v>0.47999999999999987</v>
      </c>
      <c r="L423" s="211">
        <f>J423*(F416)</f>
        <v>0.47999999999999987</v>
      </c>
      <c r="M423" s="211">
        <f>J423*(G416)</f>
        <v>0.47999999999999987</v>
      </c>
      <c r="N423" s="211">
        <f>J423*(H416)</f>
        <v>0.47999999999999987</v>
      </c>
      <c r="O423" s="211">
        <f>J423*(I416)</f>
        <v>0.35999999999999988</v>
      </c>
      <c r="P423" s="211">
        <f>J423*(J416)</f>
        <v>0.35999999999999988</v>
      </c>
      <c r="Q423" s="211">
        <f>J423*(K416)</f>
        <v>0.35999999999999988</v>
      </c>
      <c r="R423" s="211">
        <f>J423*(L416)</f>
        <v>0.35999999999999988</v>
      </c>
      <c r="S423" s="211">
        <f>J423*(M416)</f>
        <v>0.23999999999999994</v>
      </c>
      <c r="T423" s="211">
        <f>J423*(N416)</f>
        <v>0.23999999999999994</v>
      </c>
      <c r="U423" s="211">
        <f>J423*(O416)</f>
        <v>0.23999999999999994</v>
      </c>
      <c r="V423" s="211">
        <f>J423*(P416)</f>
        <v>0.35999999999999988</v>
      </c>
      <c r="W423" s="211">
        <f>J423*(Q416)</f>
        <v>0.35999999999999988</v>
      </c>
      <c r="X423" s="211">
        <f>J423*(R416)</f>
        <v>0.11999999999999997</v>
      </c>
      <c r="Y423" s="211">
        <f>J423*(S416)</f>
        <v>0.11999999999999997</v>
      </c>
      <c r="Z423" s="211">
        <f>J423*(T416)</f>
        <v>0.11999999999999997</v>
      </c>
      <c r="AA423" s="211">
        <f>J423*(U416)</f>
        <v>0.11999999999999997</v>
      </c>
      <c r="AB423" s="211">
        <f>J423*(V416)</f>
        <v>0.11999999999999997</v>
      </c>
      <c r="AC423" s="211">
        <f>J423*(W416)</f>
        <v>0.11999999999999997</v>
      </c>
      <c r="AD423" s="211">
        <f>J423*(X416)</f>
        <v>0.11999999999999997</v>
      </c>
      <c r="AE423" s="211">
        <f>J423*(Y416)</f>
        <v>0.11999999999999997</v>
      </c>
      <c r="AF423" s="211">
        <f>J423*(Z416)</f>
        <v>0.11999999999999997</v>
      </c>
      <c r="AG423" s="211">
        <f>J423*(AA416)</f>
        <v>0.11999999999999997</v>
      </c>
      <c r="AH423" s="211">
        <f>J423*(AB416)</f>
        <v>0.11999999999999997</v>
      </c>
      <c r="AI423" s="211">
        <f>J423*(AC416)</f>
        <v>0.11999999999999997</v>
      </c>
      <c r="AJ423" s="211">
        <f>J423*(AD416)</f>
        <v>0.11999999999999997</v>
      </c>
      <c r="AK423" s="211">
        <f>J423*(AE416)</f>
        <v>0.11999999999999997</v>
      </c>
      <c r="AL423" s="211">
        <f>J423*(AF416)</f>
        <v>0.11999999999999997</v>
      </c>
      <c r="AM423" s="211">
        <f>J423*(AG416)</f>
        <v>0.11999999999999997</v>
      </c>
      <c r="AN423" s="211">
        <f>J423*(AH416)</f>
        <v>0.11999999999999997</v>
      </c>
    </row>
    <row r="424" spans="2:40" ht="12" hidden="1" customHeight="1" outlineLevel="2">
      <c r="B424" s="245"/>
      <c r="C424" s="213" t="s">
        <v>759</v>
      </c>
      <c r="D424" s="213"/>
      <c r="E424" s="213"/>
      <c r="F424" s="213"/>
      <c r="G424" s="213"/>
      <c r="H424" s="213"/>
      <c r="I424" s="213"/>
      <c r="J424" s="213"/>
      <c r="K424" s="211">
        <f>INDEX($C$349:$AN$371,MATCH("New Customers 1MS",$C$349:$C$371,0),MATCH($C424,$C$349:$AN$349,0))</f>
        <v>19</v>
      </c>
      <c r="L424" s="211">
        <f>K424*(E416)</f>
        <v>0.76</v>
      </c>
      <c r="M424" s="211">
        <f>K424*(F416)</f>
        <v>0.76</v>
      </c>
      <c r="N424" s="211">
        <f>K424*(G416)</f>
        <v>0.76</v>
      </c>
      <c r="O424" s="211">
        <f>K424*(H416)</f>
        <v>0.76</v>
      </c>
      <c r="P424" s="211">
        <f>K424*(I416)</f>
        <v>0.56999999999999995</v>
      </c>
      <c r="Q424" s="211">
        <f>K424*(J416)</f>
        <v>0.56999999999999995</v>
      </c>
      <c r="R424" s="211">
        <f>K424*(K416)</f>
        <v>0.56999999999999995</v>
      </c>
      <c r="S424" s="211">
        <f>K424*(L416)</f>
        <v>0.56999999999999995</v>
      </c>
      <c r="T424" s="211">
        <f>K424*(M416)</f>
        <v>0.38</v>
      </c>
      <c r="U424" s="211">
        <f>K424*(N416)</f>
        <v>0.38</v>
      </c>
      <c r="V424" s="211">
        <f>K424*(O416)</f>
        <v>0.38</v>
      </c>
      <c r="W424" s="211">
        <f>K424*(P416)</f>
        <v>0.56999999999999995</v>
      </c>
      <c r="X424" s="211">
        <f>K424*(Q416)</f>
        <v>0.56999999999999995</v>
      </c>
      <c r="Y424" s="211">
        <f>K424*(R416)</f>
        <v>0.19</v>
      </c>
      <c r="Z424" s="211">
        <f>K424*(S416)</f>
        <v>0.19</v>
      </c>
      <c r="AA424" s="211">
        <f>K424*(T416)</f>
        <v>0.19</v>
      </c>
      <c r="AB424" s="211">
        <f>K424*(U416)</f>
        <v>0.19</v>
      </c>
      <c r="AC424" s="211">
        <f>K424*(V416)</f>
        <v>0.19</v>
      </c>
      <c r="AD424" s="211">
        <f>K424*(W416)</f>
        <v>0.19</v>
      </c>
      <c r="AE424" s="211">
        <f>K424*(X416)</f>
        <v>0.19</v>
      </c>
      <c r="AF424" s="211">
        <f>K424*(Y416)</f>
        <v>0.19</v>
      </c>
      <c r="AG424" s="211">
        <f>K424*(Z416)</f>
        <v>0.19</v>
      </c>
      <c r="AH424" s="211">
        <f>K424*(AA416)</f>
        <v>0.19</v>
      </c>
      <c r="AI424" s="211">
        <f>K424*(AB416)</f>
        <v>0.19</v>
      </c>
      <c r="AJ424" s="211">
        <f>K424*(AC416)</f>
        <v>0.19</v>
      </c>
      <c r="AK424" s="211">
        <f>K424*(AD416)</f>
        <v>0.19</v>
      </c>
      <c r="AL424" s="211">
        <f>K424*(AE416)</f>
        <v>0.19</v>
      </c>
      <c r="AM424" s="211">
        <f>K424*(AF416)</f>
        <v>0.19</v>
      </c>
      <c r="AN424" s="211">
        <f>K424*(AG416)</f>
        <v>0.19</v>
      </c>
    </row>
    <row r="425" spans="2:40" ht="12" hidden="1" customHeight="1" outlineLevel="2">
      <c r="B425" s="245"/>
      <c r="C425" s="213" t="s">
        <v>760</v>
      </c>
      <c r="D425" s="213"/>
      <c r="E425" s="213"/>
      <c r="F425" s="213"/>
      <c r="G425" s="213"/>
      <c r="H425" s="213"/>
      <c r="I425" s="213"/>
      <c r="J425" s="213"/>
      <c r="K425" s="213"/>
      <c r="L425" s="211">
        <f>INDEX($C$349:$AN$371,MATCH("New Customers 1MS",$C$349:$C$371,0),MATCH($C425,$C$349:$AN$349,0))</f>
        <v>14.999999999999998</v>
      </c>
      <c r="M425" s="211">
        <f>L425*(E416)</f>
        <v>0.6</v>
      </c>
      <c r="N425" s="211">
        <f>L425*(F416)</f>
        <v>0.6</v>
      </c>
      <c r="O425" s="211">
        <f>L425*(G416)</f>
        <v>0.6</v>
      </c>
      <c r="P425" s="211">
        <f>L425*(H416)</f>
        <v>0.6</v>
      </c>
      <c r="Q425" s="211">
        <f>L425*(I416)</f>
        <v>0.44999999999999996</v>
      </c>
      <c r="R425" s="211">
        <f>L425*(J416)</f>
        <v>0.44999999999999996</v>
      </c>
      <c r="S425" s="211">
        <f>L425*(K416)</f>
        <v>0.44999999999999996</v>
      </c>
      <c r="T425" s="211">
        <f>L425*(L416)</f>
        <v>0.44999999999999996</v>
      </c>
      <c r="U425" s="211">
        <f>L425*(M416)</f>
        <v>0.3</v>
      </c>
      <c r="V425" s="211">
        <f>L425*(N416)</f>
        <v>0.3</v>
      </c>
      <c r="W425" s="211">
        <f>L425*(O416)</f>
        <v>0.3</v>
      </c>
      <c r="X425" s="211">
        <f>L425*(P416)</f>
        <v>0.44999999999999996</v>
      </c>
      <c r="Y425" s="211">
        <f>L425*(Q416)</f>
        <v>0.44999999999999996</v>
      </c>
      <c r="Z425" s="211">
        <f>L425*(R416)</f>
        <v>0.15</v>
      </c>
      <c r="AA425" s="211">
        <f>L425*(S416)</f>
        <v>0.15</v>
      </c>
      <c r="AB425" s="211">
        <f>L425*(T416)</f>
        <v>0.15</v>
      </c>
      <c r="AC425" s="211">
        <f>L425*(U416)</f>
        <v>0.15</v>
      </c>
      <c r="AD425" s="211">
        <f>L425*(V416)</f>
        <v>0.15</v>
      </c>
      <c r="AE425" s="211">
        <f>L425*(W416)</f>
        <v>0.15</v>
      </c>
      <c r="AF425" s="211">
        <f>L425*(X416)</f>
        <v>0.15</v>
      </c>
      <c r="AG425" s="211">
        <f>L425*(Y416)</f>
        <v>0.15</v>
      </c>
      <c r="AH425" s="211">
        <f>L425*(Z416)</f>
        <v>0.15</v>
      </c>
      <c r="AI425" s="211">
        <f>L425*(AA416)</f>
        <v>0.15</v>
      </c>
      <c r="AJ425" s="211">
        <f>L425*(AB416)</f>
        <v>0.15</v>
      </c>
      <c r="AK425" s="211">
        <f>L425*(AC416)</f>
        <v>0.15</v>
      </c>
      <c r="AL425" s="211">
        <f>L425*(AD416)</f>
        <v>0.15</v>
      </c>
      <c r="AM425" s="211">
        <f>L425*(AE416)</f>
        <v>0.15</v>
      </c>
      <c r="AN425" s="211">
        <f>L425*(AF416)</f>
        <v>0.15</v>
      </c>
    </row>
    <row r="426" spans="2:40" ht="12" hidden="1" customHeight="1" outlineLevel="2">
      <c r="B426" s="245"/>
      <c r="C426" s="213" t="s">
        <v>761</v>
      </c>
      <c r="D426" s="213"/>
      <c r="E426" s="213"/>
      <c r="F426" s="213"/>
      <c r="G426" s="213"/>
      <c r="H426" s="213"/>
      <c r="I426" s="213"/>
      <c r="J426" s="213"/>
      <c r="K426" s="213"/>
      <c r="L426" s="213"/>
      <c r="M426" s="211">
        <f>INDEX($C$349:$AN$371,MATCH("New Customers 1MS",$C$349:$C$371,0),MATCH($C426,$C$349:$AN$349,0))</f>
        <v>10.962450000000004</v>
      </c>
      <c r="N426" s="211">
        <f>M426*(E416)</f>
        <v>0.43849800000000017</v>
      </c>
      <c r="O426" s="211">
        <f>M426*(F416)</f>
        <v>0.43849800000000017</v>
      </c>
      <c r="P426" s="211">
        <f>M426*(G416)</f>
        <v>0.43849800000000017</v>
      </c>
      <c r="Q426" s="211">
        <f>M426*(H416)</f>
        <v>0.43849800000000017</v>
      </c>
      <c r="R426" s="211">
        <f>M426*(I416)</f>
        <v>0.3288735000000001</v>
      </c>
      <c r="S426" s="211">
        <f>M426*(J416)</f>
        <v>0.3288735000000001</v>
      </c>
      <c r="T426" s="211">
        <f>M426*(K416)</f>
        <v>0.3288735000000001</v>
      </c>
      <c r="U426" s="211">
        <f>M426*(L416)</f>
        <v>0.3288735000000001</v>
      </c>
      <c r="V426" s="211">
        <f>M426*(M416)</f>
        <v>0.21924900000000008</v>
      </c>
      <c r="W426" s="211">
        <f>M426*(N416)</f>
        <v>0.21924900000000008</v>
      </c>
      <c r="X426" s="211">
        <f>M426*(O416)</f>
        <v>0.21924900000000008</v>
      </c>
      <c r="Y426" s="211">
        <f>M426*(P416)</f>
        <v>0.3288735000000001</v>
      </c>
      <c r="Z426" s="211">
        <f>M426*(Q416)</f>
        <v>0.3288735000000001</v>
      </c>
      <c r="AA426" s="211">
        <f>M426*(R416)</f>
        <v>0.10962450000000004</v>
      </c>
      <c r="AB426" s="211">
        <f>M426*(S416)</f>
        <v>0.10962450000000004</v>
      </c>
      <c r="AC426" s="211">
        <f>M426*(T416)</f>
        <v>0.10962450000000004</v>
      </c>
      <c r="AD426" s="211">
        <f>M426*(U416)</f>
        <v>0.10962450000000004</v>
      </c>
      <c r="AE426" s="211">
        <f>M426*(V416)</f>
        <v>0.10962450000000004</v>
      </c>
      <c r="AF426" s="211">
        <f>M426*(W416)</f>
        <v>0.10962450000000004</v>
      </c>
      <c r="AG426" s="211">
        <f>M426*(X416)</f>
        <v>0.10962450000000004</v>
      </c>
      <c r="AH426" s="211">
        <f>M426*(Y416)</f>
        <v>0.10962450000000004</v>
      </c>
      <c r="AI426" s="211">
        <f>M426*(Z416)</f>
        <v>0.10962450000000004</v>
      </c>
      <c r="AJ426" s="211">
        <f>M426*(AA416)</f>
        <v>0.10962450000000004</v>
      </c>
      <c r="AK426" s="211">
        <f>M426*(AB416)</f>
        <v>0.10962450000000004</v>
      </c>
      <c r="AL426" s="211">
        <f>M426*(AC416)</f>
        <v>0.10962450000000004</v>
      </c>
      <c r="AM426" s="211">
        <f>M426*(AD416)</f>
        <v>0.10962450000000004</v>
      </c>
      <c r="AN426" s="211">
        <f>M426*(AE416)</f>
        <v>0.10962450000000004</v>
      </c>
    </row>
    <row r="427" spans="2:40" ht="12" hidden="1" customHeight="1" outlineLevel="2">
      <c r="B427" s="245"/>
      <c r="C427" s="213" t="s">
        <v>762</v>
      </c>
      <c r="D427" s="213"/>
      <c r="E427" s="213"/>
      <c r="F427" s="213"/>
      <c r="G427" s="213"/>
      <c r="H427" s="213"/>
      <c r="I427" s="213"/>
      <c r="J427" s="213"/>
      <c r="K427" s="213"/>
      <c r="L427" s="213"/>
      <c r="M427" s="213"/>
      <c r="N427" s="211">
        <f>INDEX($C$349:$AN$371,MATCH("New Customers 1MS",$C$349:$C$371,0),MATCH($C427,$C$349:$AN$349,0))</f>
        <v>153.00000000000003</v>
      </c>
      <c r="O427" s="211">
        <f>N427*(E416)</f>
        <v>6.120000000000001</v>
      </c>
      <c r="P427" s="211">
        <f>N427*(F416)</f>
        <v>6.120000000000001</v>
      </c>
      <c r="Q427" s="211">
        <f>N427*(G416)</f>
        <v>6.120000000000001</v>
      </c>
      <c r="R427" s="211">
        <f>N427*(H416)</f>
        <v>6.120000000000001</v>
      </c>
      <c r="S427" s="211">
        <f>N427*(I416)</f>
        <v>4.5900000000000007</v>
      </c>
      <c r="T427" s="211">
        <f>N427*(J416)</f>
        <v>4.5900000000000007</v>
      </c>
      <c r="U427" s="211">
        <f>N427*(K416)</f>
        <v>4.5900000000000007</v>
      </c>
      <c r="V427" s="211">
        <f>N427*(L416)</f>
        <v>4.5900000000000007</v>
      </c>
      <c r="W427" s="211">
        <f>N427*(M416)</f>
        <v>3.0600000000000005</v>
      </c>
      <c r="X427" s="211">
        <f>N427*(N416)</f>
        <v>3.0600000000000005</v>
      </c>
      <c r="Y427" s="211">
        <f>N427*(O416)</f>
        <v>3.0600000000000005</v>
      </c>
      <c r="Z427" s="211">
        <f>N427*(P416)</f>
        <v>4.5900000000000007</v>
      </c>
      <c r="AA427" s="211">
        <f>N427*(Q416)</f>
        <v>4.5900000000000007</v>
      </c>
      <c r="AB427" s="211">
        <f>N427*(R416)</f>
        <v>1.5300000000000002</v>
      </c>
      <c r="AC427" s="211">
        <f>N427*(S416)</f>
        <v>1.5300000000000002</v>
      </c>
      <c r="AD427" s="211">
        <f>N427*(T416)</f>
        <v>1.5300000000000002</v>
      </c>
      <c r="AE427" s="211">
        <f>N427*(U416)</f>
        <v>1.5300000000000002</v>
      </c>
      <c r="AF427" s="211">
        <f>N427*(V416)</f>
        <v>1.5300000000000002</v>
      </c>
      <c r="AG427" s="211">
        <f>N427*(W416)</f>
        <v>1.5300000000000002</v>
      </c>
      <c r="AH427" s="211">
        <f>N427*(X416)</f>
        <v>1.5300000000000002</v>
      </c>
      <c r="AI427" s="211">
        <f>N427*(Y416)</f>
        <v>1.5300000000000002</v>
      </c>
      <c r="AJ427" s="211">
        <f>N427*(Z416)</f>
        <v>1.5300000000000002</v>
      </c>
      <c r="AK427" s="211">
        <f>N427*(AA416)</f>
        <v>1.5300000000000002</v>
      </c>
      <c r="AL427" s="211">
        <f>N427*(AB416)</f>
        <v>1.5300000000000002</v>
      </c>
      <c r="AM427" s="211">
        <f>N427*(AC416)</f>
        <v>1.5300000000000002</v>
      </c>
      <c r="AN427" s="211">
        <f>N427*(AD416)</f>
        <v>1.5300000000000002</v>
      </c>
    </row>
    <row r="428" spans="2:40" ht="12" hidden="1" customHeight="1" outlineLevel="2">
      <c r="B428" s="245"/>
      <c r="C428" s="213" t="s">
        <v>763</v>
      </c>
      <c r="D428" s="213"/>
      <c r="E428" s="213"/>
      <c r="F428" s="213"/>
      <c r="G428" s="213"/>
      <c r="H428" s="213"/>
      <c r="I428" s="213"/>
      <c r="J428" s="213"/>
      <c r="K428" s="213"/>
      <c r="L428" s="213"/>
      <c r="M428" s="213"/>
      <c r="N428" s="213"/>
      <c r="O428" s="211">
        <f>INDEX($C$349:$AN$371,MATCH("New Customers 1MS",$C$349:$C$371,0),MATCH($C428,$C$349:$AN$349,0))</f>
        <v>153.00000000000003</v>
      </c>
      <c r="P428" s="211">
        <f>O428*(E416)</f>
        <v>6.120000000000001</v>
      </c>
      <c r="Q428" s="211">
        <f>O428*(F416)</f>
        <v>6.120000000000001</v>
      </c>
      <c r="R428" s="211">
        <f>O428*(G416)</f>
        <v>6.120000000000001</v>
      </c>
      <c r="S428" s="211">
        <f>O428*(H416)</f>
        <v>6.120000000000001</v>
      </c>
      <c r="T428" s="211">
        <f>O428*(I416)</f>
        <v>4.5900000000000007</v>
      </c>
      <c r="U428" s="211">
        <f>O428*(J416)</f>
        <v>4.5900000000000007</v>
      </c>
      <c r="V428" s="211">
        <f>O428*(K416)</f>
        <v>4.5900000000000007</v>
      </c>
      <c r="W428" s="211">
        <f>O428*(L416)</f>
        <v>4.5900000000000007</v>
      </c>
      <c r="X428" s="211">
        <f>O428*(M416)</f>
        <v>3.0600000000000005</v>
      </c>
      <c r="Y428" s="211">
        <f>O428*(N416)</f>
        <v>3.0600000000000005</v>
      </c>
      <c r="Z428" s="211">
        <f>O428*(O416)</f>
        <v>3.0600000000000005</v>
      </c>
      <c r="AA428" s="211">
        <f>O428*(P416)</f>
        <v>4.5900000000000007</v>
      </c>
      <c r="AB428" s="211">
        <f>O428*(Q416)</f>
        <v>4.5900000000000007</v>
      </c>
      <c r="AC428" s="211">
        <f>O428*(R416)</f>
        <v>1.5300000000000002</v>
      </c>
      <c r="AD428" s="211">
        <f>O428*(S416)</f>
        <v>1.5300000000000002</v>
      </c>
      <c r="AE428" s="211">
        <f>O428*(T416)</f>
        <v>1.5300000000000002</v>
      </c>
      <c r="AF428" s="211">
        <f>O428*(U416)</f>
        <v>1.5300000000000002</v>
      </c>
      <c r="AG428" s="211">
        <f>O428*(V416)</f>
        <v>1.5300000000000002</v>
      </c>
      <c r="AH428" s="211">
        <f>O428*(W416)</f>
        <v>1.5300000000000002</v>
      </c>
      <c r="AI428" s="211">
        <f>O428*(X416)</f>
        <v>1.5300000000000002</v>
      </c>
      <c r="AJ428" s="211">
        <f>O428*(Y416)</f>
        <v>1.5300000000000002</v>
      </c>
      <c r="AK428" s="211">
        <f>O428*(Z416)</f>
        <v>1.5300000000000002</v>
      </c>
      <c r="AL428" s="211">
        <f>O428*(AA416)</f>
        <v>1.5300000000000002</v>
      </c>
      <c r="AM428" s="211">
        <f>O428*(AB416)</f>
        <v>1.5300000000000002</v>
      </c>
      <c r="AN428" s="211">
        <f>O428*(AC416)</f>
        <v>1.5300000000000002</v>
      </c>
    </row>
    <row r="429" spans="2:40" ht="12" hidden="1" customHeight="1" outlineLevel="2">
      <c r="B429" s="245"/>
      <c r="C429" s="213" t="s">
        <v>764</v>
      </c>
      <c r="D429" s="213"/>
      <c r="E429" s="213"/>
      <c r="F429" s="213"/>
      <c r="G429" s="213"/>
      <c r="H429" s="213"/>
      <c r="I429" s="213"/>
      <c r="J429" s="213"/>
      <c r="K429" s="213"/>
      <c r="L429" s="213"/>
      <c r="M429" s="213"/>
      <c r="N429" s="213"/>
      <c r="O429" s="213"/>
      <c r="P429" s="211">
        <f>INDEX($C$349:$AN$371,MATCH("New Customers 1MS",$C$349:$C$371,0),MATCH($C429,$C$349:$AN$349,0))</f>
        <v>76.500000000000014</v>
      </c>
      <c r="Q429" s="211">
        <f>P429*(E416)</f>
        <v>3.0600000000000005</v>
      </c>
      <c r="R429" s="211">
        <f>P429*(F416)</f>
        <v>3.0600000000000005</v>
      </c>
      <c r="S429" s="211">
        <f>P429*(G416)</f>
        <v>3.0600000000000005</v>
      </c>
      <c r="T429" s="211">
        <f>P429*(H416)</f>
        <v>3.0600000000000005</v>
      </c>
      <c r="U429" s="211">
        <f>P429*(I416)</f>
        <v>2.2950000000000004</v>
      </c>
      <c r="V429" s="211">
        <f>P429*(J416)</f>
        <v>2.2950000000000004</v>
      </c>
      <c r="W429" s="211">
        <f>P429*(K416)</f>
        <v>2.2950000000000004</v>
      </c>
      <c r="X429" s="211">
        <f>P429*(L416)</f>
        <v>2.2950000000000004</v>
      </c>
      <c r="Y429" s="211">
        <f>P429*(M416)</f>
        <v>1.5300000000000002</v>
      </c>
      <c r="Z429" s="211">
        <f>P429*(N416)</f>
        <v>1.5300000000000002</v>
      </c>
      <c r="AA429" s="211">
        <f>P429*(O416)</f>
        <v>1.5300000000000002</v>
      </c>
      <c r="AB429" s="211">
        <f>P429*(P416)</f>
        <v>2.2950000000000004</v>
      </c>
      <c r="AC429" s="211">
        <f>P429*(Q416)</f>
        <v>2.2950000000000004</v>
      </c>
      <c r="AD429" s="211">
        <f>P429*(R416)</f>
        <v>0.76500000000000012</v>
      </c>
      <c r="AE429" s="211">
        <f>P429*(S416)</f>
        <v>0.76500000000000012</v>
      </c>
      <c r="AF429" s="211">
        <f>P429*(T416)</f>
        <v>0.76500000000000012</v>
      </c>
      <c r="AG429" s="211">
        <f>P429*(U416)</f>
        <v>0.76500000000000012</v>
      </c>
      <c r="AH429" s="211">
        <f>P429*(V416)</f>
        <v>0.76500000000000012</v>
      </c>
      <c r="AI429" s="211">
        <f>P429*(W416)</f>
        <v>0.76500000000000012</v>
      </c>
      <c r="AJ429" s="211">
        <f>P429*(X416)</f>
        <v>0.76500000000000012</v>
      </c>
      <c r="AK429" s="211">
        <f>P429*(Y416)</f>
        <v>0.76500000000000012</v>
      </c>
      <c r="AL429" s="211">
        <f>P429*(Z416)</f>
        <v>0.76500000000000012</v>
      </c>
      <c r="AM429" s="211">
        <f>P429*(AA416)</f>
        <v>0.76500000000000012</v>
      </c>
      <c r="AN429" s="211">
        <f>P429*(AB416)</f>
        <v>0.76500000000000012</v>
      </c>
    </row>
    <row r="430" spans="2:40" ht="12" hidden="1" customHeight="1" outlineLevel="2">
      <c r="B430" s="245"/>
      <c r="C430" s="213" t="s">
        <v>765</v>
      </c>
      <c r="D430" s="213"/>
      <c r="E430" s="213"/>
      <c r="F430" s="213"/>
      <c r="G430" s="213"/>
      <c r="H430" s="213"/>
      <c r="I430" s="213"/>
      <c r="J430" s="213"/>
      <c r="K430" s="213"/>
      <c r="L430" s="213"/>
      <c r="M430" s="213"/>
      <c r="N430" s="213"/>
      <c r="O430" s="213"/>
      <c r="P430" s="213"/>
      <c r="Q430" s="211">
        <f>INDEX($C$349:$AN$371,MATCH("New Customers 1MS",$C$349:$C$371,0),MATCH($C430,$C$349:$AN$349,0))</f>
        <v>8.6980500000000021</v>
      </c>
      <c r="R430" s="211">
        <f>Q430*(E416)</f>
        <v>0.34792200000000006</v>
      </c>
      <c r="S430" s="211">
        <f>Q430*(F416)</f>
        <v>0.34792200000000006</v>
      </c>
      <c r="T430" s="211">
        <f>Q430*(G416)</f>
        <v>0.34792200000000006</v>
      </c>
      <c r="U430" s="211">
        <f>Q430*(H416)</f>
        <v>0.34792200000000006</v>
      </c>
      <c r="V430" s="211">
        <f>Q430*(I416)</f>
        <v>0.26094150000000005</v>
      </c>
      <c r="W430" s="211">
        <f>Q430*(J416)</f>
        <v>0.26094150000000005</v>
      </c>
      <c r="X430" s="211">
        <f>Q430*(K416)</f>
        <v>0.26094150000000005</v>
      </c>
      <c r="Y430" s="211">
        <f>Q430*(L416)</f>
        <v>0.26094150000000005</v>
      </c>
      <c r="Z430" s="211">
        <f>Q430*(M416)</f>
        <v>0.17396100000000003</v>
      </c>
      <c r="AA430" s="211">
        <f>Q430*(N416)</f>
        <v>0.17396100000000003</v>
      </c>
      <c r="AB430" s="211">
        <f>Q430*(O416)</f>
        <v>0.17396100000000003</v>
      </c>
      <c r="AC430" s="211">
        <f>Q430*(P416)</f>
        <v>0.26094150000000005</v>
      </c>
      <c r="AD430" s="211">
        <f>Q430*(Q416)</f>
        <v>0.26094150000000005</v>
      </c>
      <c r="AE430" s="211">
        <f>Q430*(R416)</f>
        <v>8.6980500000000016E-2</v>
      </c>
      <c r="AF430" s="211">
        <f>Q430*(S416)</f>
        <v>8.6980500000000016E-2</v>
      </c>
      <c r="AG430" s="211">
        <f>Q430*(T416)</f>
        <v>8.6980500000000016E-2</v>
      </c>
      <c r="AH430" s="211">
        <f>Q430*(U416)</f>
        <v>8.6980500000000016E-2</v>
      </c>
      <c r="AI430" s="211">
        <f>Q430*(V416)</f>
        <v>8.6980500000000016E-2</v>
      </c>
      <c r="AJ430" s="211">
        <f>Q430*(W416)</f>
        <v>8.6980500000000016E-2</v>
      </c>
      <c r="AK430" s="211">
        <f>Q430*(X416)</f>
        <v>8.6980500000000016E-2</v>
      </c>
      <c r="AL430" s="211">
        <f>Q430*(Y416)</f>
        <v>8.6980500000000016E-2</v>
      </c>
      <c r="AM430" s="211">
        <f>Q430*(Z416)</f>
        <v>8.6980500000000016E-2</v>
      </c>
      <c r="AN430" s="211">
        <f>Q430*(AA416)</f>
        <v>8.6980500000000016E-2</v>
      </c>
    </row>
    <row r="431" spans="2:40" ht="12" hidden="1" customHeight="1" outlineLevel="2">
      <c r="B431" s="245"/>
      <c r="C431" s="213" t="s">
        <v>766</v>
      </c>
      <c r="D431" s="213"/>
      <c r="E431" s="213"/>
      <c r="F431" s="213"/>
      <c r="G431" s="213"/>
      <c r="H431" s="213"/>
      <c r="I431" s="213"/>
      <c r="J431" s="213"/>
      <c r="K431" s="213"/>
      <c r="L431" s="213"/>
      <c r="M431" s="213"/>
      <c r="N431" s="213"/>
      <c r="O431" s="213"/>
      <c r="P431" s="213"/>
      <c r="Q431" s="213"/>
      <c r="R431" s="211">
        <f>INDEX($C$349:$AN$371,MATCH("New Customers 1MS",$C$349:$C$371,0),MATCH($C431,$C$349:$AN$349,0))</f>
        <v>17.258400000000002</v>
      </c>
      <c r="S431" s="211">
        <f>R431*(E416)</f>
        <v>0.69033600000000006</v>
      </c>
      <c r="T431" s="211">
        <f>R431*(F416)</f>
        <v>0.69033600000000006</v>
      </c>
      <c r="U431" s="211">
        <f>R431*(G416)</f>
        <v>0.69033600000000006</v>
      </c>
      <c r="V431" s="211">
        <f>R431*(H416)</f>
        <v>0.69033600000000006</v>
      </c>
      <c r="W431" s="211">
        <f>R431*(I416)</f>
        <v>0.51775199999999999</v>
      </c>
      <c r="X431" s="211">
        <f>R431*(J416)</f>
        <v>0.51775199999999999</v>
      </c>
      <c r="Y431" s="211">
        <f>R431*(K416)</f>
        <v>0.51775199999999999</v>
      </c>
      <c r="Z431" s="211">
        <f>R431*(L416)</f>
        <v>0.51775199999999999</v>
      </c>
      <c r="AA431" s="211">
        <f>R431*(M416)</f>
        <v>0.34516800000000003</v>
      </c>
      <c r="AB431" s="211">
        <f>R431*(N416)</f>
        <v>0.34516800000000003</v>
      </c>
      <c r="AC431" s="211">
        <f>R431*(O416)</f>
        <v>0.34516800000000003</v>
      </c>
      <c r="AD431" s="211">
        <f>R431*(P416)</f>
        <v>0.51775199999999999</v>
      </c>
      <c r="AE431" s="211">
        <f>R431*(Q416)</f>
        <v>0.51775199999999999</v>
      </c>
      <c r="AF431" s="211">
        <f>R431*(R416)</f>
        <v>0.17258400000000002</v>
      </c>
      <c r="AG431" s="211">
        <f>R431*(S416)</f>
        <v>0.17258400000000002</v>
      </c>
      <c r="AH431" s="211">
        <f>R431*(T416)</f>
        <v>0.17258400000000002</v>
      </c>
      <c r="AI431" s="211">
        <f>R431*(U416)</f>
        <v>0.17258400000000002</v>
      </c>
      <c r="AJ431" s="211">
        <f>R431*(V416)</f>
        <v>0.17258400000000002</v>
      </c>
      <c r="AK431" s="211">
        <f>R431*(W416)</f>
        <v>0.17258400000000002</v>
      </c>
      <c r="AL431" s="211">
        <f>R431*(X416)</f>
        <v>0.17258400000000002</v>
      </c>
      <c r="AM431" s="211">
        <f>R431*(Y416)</f>
        <v>0.17258400000000002</v>
      </c>
      <c r="AN431" s="211">
        <f>R431*(Z416)</f>
        <v>0.17258400000000002</v>
      </c>
    </row>
    <row r="432" spans="2:40" ht="12" hidden="1" customHeight="1" outlineLevel="2">
      <c r="B432" s="245"/>
      <c r="C432" s="213" t="s">
        <v>767</v>
      </c>
      <c r="D432" s="213"/>
      <c r="E432" s="213"/>
      <c r="F432" s="213"/>
      <c r="G432" s="213"/>
      <c r="H432" s="213"/>
      <c r="I432" s="213"/>
      <c r="J432" s="213"/>
      <c r="K432" s="213"/>
      <c r="L432" s="213"/>
      <c r="M432" s="213"/>
      <c r="N432" s="213"/>
      <c r="O432" s="213"/>
      <c r="P432" s="213"/>
      <c r="Q432" s="213"/>
      <c r="R432" s="213"/>
      <c r="S432" s="211">
        <f>INDEX($C$349:$AN$371,MATCH("New Customers 1MS",$C$349:$C$371,0),MATCH($C432,$C$349:$AN$349,0))</f>
        <v>17.671500000000002</v>
      </c>
      <c r="T432" s="211">
        <f>S432*(E416)</f>
        <v>0.70686000000000004</v>
      </c>
      <c r="U432" s="211">
        <f>S432*(F416)</f>
        <v>0.70686000000000004</v>
      </c>
      <c r="V432" s="211">
        <f>S432*(G416)</f>
        <v>0.70686000000000004</v>
      </c>
      <c r="W432" s="211">
        <f>S432*(H416)</f>
        <v>0.70686000000000004</v>
      </c>
      <c r="X432" s="211">
        <f>S432*(I416)</f>
        <v>0.53014500000000009</v>
      </c>
      <c r="Y432" s="211">
        <f>S432*(J416)</f>
        <v>0.53014500000000009</v>
      </c>
      <c r="Z432" s="211">
        <f>S432*(K416)</f>
        <v>0.53014500000000009</v>
      </c>
      <c r="AA432" s="211">
        <f>S432*(L416)</f>
        <v>0.53014500000000009</v>
      </c>
      <c r="AB432" s="211">
        <f>S432*(M416)</f>
        <v>0.35343000000000002</v>
      </c>
      <c r="AC432" s="211">
        <f>S432*(N416)</f>
        <v>0.35343000000000002</v>
      </c>
      <c r="AD432" s="211">
        <f>S432*(O416)</f>
        <v>0.35343000000000002</v>
      </c>
      <c r="AE432" s="211">
        <f>S432*(P416)</f>
        <v>0.53014500000000009</v>
      </c>
      <c r="AF432" s="211">
        <f>S432*(Q416)</f>
        <v>0.53014500000000009</v>
      </c>
      <c r="AG432" s="211">
        <f>S432*(R416)</f>
        <v>0.17671500000000001</v>
      </c>
      <c r="AH432" s="211">
        <f>S432*(S416)</f>
        <v>0.17671500000000001</v>
      </c>
      <c r="AI432" s="211">
        <f>S432*(T416)</f>
        <v>0.17671500000000001</v>
      </c>
      <c r="AJ432" s="211">
        <f>S432*(U416)</f>
        <v>0.17671500000000001</v>
      </c>
      <c r="AK432" s="211">
        <f>S432*(V416)</f>
        <v>0.17671500000000001</v>
      </c>
      <c r="AL432" s="211">
        <f>S432*(W416)</f>
        <v>0.17671500000000001</v>
      </c>
      <c r="AM432" s="211">
        <f>S432*(X416)</f>
        <v>0.17671500000000001</v>
      </c>
      <c r="AN432" s="211">
        <f>S432*(Y416)</f>
        <v>0.17671500000000001</v>
      </c>
    </row>
    <row r="433" spans="2:40" ht="12" hidden="1" customHeight="1" outlineLevel="2">
      <c r="B433" s="245"/>
      <c r="C433" s="213" t="s">
        <v>768</v>
      </c>
      <c r="D433" s="213"/>
      <c r="E433" s="213"/>
      <c r="F433" s="213"/>
      <c r="G433" s="213"/>
      <c r="H433" s="213"/>
      <c r="I433" s="213"/>
      <c r="J433" s="213"/>
      <c r="K433" s="213"/>
      <c r="L433" s="213"/>
      <c r="M433" s="213"/>
      <c r="N433" s="213"/>
      <c r="O433" s="213"/>
      <c r="P433" s="213"/>
      <c r="Q433" s="213"/>
      <c r="R433" s="213"/>
      <c r="S433" s="213"/>
      <c r="T433" s="211">
        <f>INDEX($C$349:$AN$371,MATCH("New Customers 1MS",$C$349:$C$371,0),MATCH($C433,$C$349:$AN$349,0))</f>
        <v>10.439496</v>
      </c>
      <c r="U433" s="211">
        <f>T433*(E416)</f>
        <v>0.41757984000000004</v>
      </c>
      <c r="V433" s="211">
        <f>T433*(F416)</f>
        <v>0.41757984000000004</v>
      </c>
      <c r="W433" s="211">
        <f>T433*(G416)</f>
        <v>0.41757984000000004</v>
      </c>
      <c r="X433" s="211">
        <f>T433*(H416)</f>
        <v>0.41757984000000004</v>
      </c>
      <c r="Y433" s="211">
        <f>T433*(I416)</f>
        <v>0.31318488</v>
      </c>
      <c r="Z433" s="211">
        <f>T433*(J416)</f>
        <v>0.31318488</v>
      </c>
      <c r="AA433" s="211">
        <f>T433*(K416)</f>
        <v>0.31318488</v>
      </c>
      <c r="AB433" s="211">
        <f>T433*(L416)</f>
        <v>0.31318488</v>
      </c>
      <c r="AC433" s="211">
        <f>T433*(M416)</f>
        <v>0.20878992000000002</v>
      </c>
      <c r="AD433" s="211">
        <f>T433*(N416)</f>
        <v>0.20878992000000002</v>
      </c>
      <c r="AE433" s="211">
        <f>T433*(O416)</f>
        <v>0.20878992000000002</v>
      </c>
      <c r="AF433" s="211">
        <f>T433*(P416)</f>
        <v>0.31318488</v>
      </c>
      <c r="AG433" s="211">
        <f>T433*(Q416)</f>
        <v>0.31318488</v>
      </c>
      <c r="AH433" s="211">
        <f>T433*(R416)</f>
        <v>0.10439496000000001</v>
      </c>
      <c r="AI433" s="211">
        <f>T433*(S416)</f>
        <v>0.10439496000000001</v>
      </c>
      <c r="AJ433" s="211">
        <f>T433*(T416)</f>
        <v>0.10439496000000001</v>
      </c>
      <c r="AK433" s="211">
        <f>T433*(U416)</f>
        <v>0.10439496000000001</v>
      </c>
      <c r="AL433" s="211">
        <f>T433*(V416)</f>
        <v>0.10439496000000001</v>
      </c>
      <c r="AM433" s="211">
        <f>T433*(W416)</f>
        <v>0.10439496000000001</v>
      </c>
      <c r="AN433" s="211">
        <f>T433*(X416)</f>
        <v>0.10439496000000001</v>
      </c>
    </row>
    <row r="434" spans="2:40" ht="12" hidden="1" customHeight="1" outlineLevel="2">
      <c r="B434" s="245"/>
      <c r="C434" s="213" t="s">
        <v>769</v>
      </c>
      <c r="D434" s="213"/>
      <c r="E434" s="213"/>
      <c r="F434" s="213"/>
      <c r="G434" s="213"/>
      <c r="H434" s="213"/>
      <c r="I434" s="213"/>
      <c r="J434" s="213"/>
      <c r="K434" s="213"/>
      <c r="L434" s="213"/>
      <c r="M434" s="213"/>
      <c r="N434" s="213"/>
      <c r="O434" s="213"/>
      <c r="P434" s="213"/>
      <c r="Q434" s="213"/>
      <c r="R434" s="213"/>
      <c r="S434" s="213"/>
      <c r="T434" s="213"/>
      <c r="U434" s="211">
        <f>INDEX($C$349:$AN$371,MATCH("New Customers 1MS",$C$349:$C$371,0),MATCH($C434,$C$349:$AN$349,0))</f>
        <v>9.6634799999999998</v>
      </c>
      <c r="V434" s="211">
        <f>U434*(E416)</f>
        <v>0.38653920000000003</v>
      </c>
      <c r="W434" s="211">
        <f>U434*(F416)</f>
        <v>0.38653920000000003</v>
      </c>
      <c r="X434" s="211">
        <f>U434*(G416)</f>
        <v>0.38653920000000003</v>
      </c>
      <c r="Y434" s="211">
        <f>U434*(H416)</f>
        <v>0.38653920000000003</v>
      </c>
      <c r="Z434" s="211">
        <f>U434*(I416)</f>
        <v>0.28990440000000001</v>
      </c>
      <c r="AA434" s="211">
        <f>U434*(J416)</f>
        <v>0.28990440000000001</v>
      </c>
      <c r="AB434" s="211">
        <f>U434*(K416)</f>
        <v>0.28990440000000001</v>
      </c>
      <c r="AC434" s="211">
        <f>U434*(L416)</f>
        <v>0.28990440000000001</v>
      </c>
      <c r="AD434" s="211">
        <f>U434*(M416)</f>
        <v>0.19326960000000001</v>
      </c>
      <c r="AE434" s="211">
        <f>U434*(N416)</f>
        <v>0.19326960000000001</v>
      </c>
      <c r="AF434" s="211">
        <f>U434*(O416)</f>
        <v>0.19326960000000001</v>
      </c>
      <c r="AG434" s="211">
        <f>U434*(P416)</f>
        <v>0.28990440000000001</v>
      </c>
      <c r="AH434" s="211">
        <f>U434*(Q416)</f>
        <v>0.28990440000000001</v>
      </c>
      <c r="AI434" s="211">
        <f>U434*(R416)</f>
        <v>9.6634800000000007E-2</v>
      </c>
      <c r="AJ434" s="211">
        <f>U434*(S416)</f>
        <v>9.6634800000000007E-2</v>
      </c>
      <c r="AK434" s="211">
        <f>U434*(T416)</f>
        <v>9.6634800000000007E-2</v>
      </c>
      <c r="AL434" s="211">
        <f>U434*(U416)</f>
        <v>9.6634800000000007E-2</v>
      </c>
      <c r="AM434" s="211">
        <f>U434*(V416)</f>
        <v>9.6634800000000007E-2</v>
      </c>
      <c r="AN434" s="211">
        <f>U434*(W416)</f>
        <v>9.6634800000000007E-2</v>
      </c>
    </row>
    <row r="435" spans="2:40" ht="12" hidden="1" customHeight="1" outlineLevel="2">
      <c r="B435" s="245"/>
      <c r="C435" s="213" t="s">
        <v>770</v>
      </c>
      <c r="D435" s="213"/>
      <c r="E435" s="213"/>
      <c r="F435" s="213"/>
      <c r="G435" s="213"/>
      <c r="H435" s="213"/>
      <c r="I435" s="213"/>
      <c r="J435" s="213"/>
      <c r="K435" s="213"/>
      <c r="L435" s="213"/>
      <c r="M435" s="213"/>
      <c r="N435" s="213"/>
      <c r="O435" s="213"/>
      <c r="P435" s="213"/>
      <c r="Q435" s="213"/>
      <c r="R435" s="213"/>
      <c r="S435" s="213"/>
      <c r="T435" s="213"/>
      <c r="U435" s="213"/>
      <c r="V435" s="211">
        <f>INDEX($C$349:$AN$371,MATCH("New Customers 1MS",$C$349:$C$371,0),MATCH($C435,$C$349:$AN$349,0))</f>
        <v>11.419920000000003</v>
      </c>
      <c r="W435" s="211">
        <f>V435*(E416)</f>
        <v>0.45679680000000011</v>
      </c>
      <c r="X435" s="211">
        <f>V435*(F416)</f>
        <v>0.45679680000000011</v>
      </c>
      <c r="Y435" s="211">
        <f>V435*(G416)</f>
        <v>0.45679680000000011</v>
      </c>
      <c r="Z435" s="211">
        <f>V435*(H416)</f>
        <v>0.45679680000000011</v>
      </c>
      <c r="AA435" s="211">
        <f>V435*(I416)</f>
        <v>0.34259760000000006</v>
      </c>
      <c r="AB435" s="211">
        <f>V435*(J416)</f>
        <v>0.34259760000000006</v>
      </c>
      <c r="AC435" s="211">
        <f>V435*(K416)</f>
        <v>0.34259760000000006</v>
      </c>
      <c r="AD435" s="211">
        <f>V435*(L416)</f>
        <v>0.34259760000000006</v>
      </c>
      <c r="AE435" s="211">
        <f>V435*(M416)</f>
        <v>0.22839840000000006</v>
      </c>
      <c r="AF435" s="211">
        <f>V435*(N416)</f>
        <v>0.22839840000000006</v>
      </c>
      <c r="AG435" s="211">
        <f>V435*(O416)</f>
        <v>0.22839840000000006</v>
      </c>
      <c r="AH435" s="211">
        <f>V435*(P416)</f>
        <v>0.34259760000000006</v>
      </c>
      <c r="AI435" s="211">
        <f>V435*(Q416)</f>
        <v>0.34259760000000006</v>
      </c>
      <c r="AJ435" s="211">
        <f>V435*(R416)</f>
        <v>0.11419920000000003</v>
      </c>
      <c r="AK435" s="211">
        <f>V435*(S416)</f>
        <v>0.11419920000000003</v>
      </c>
      <c r="AL435" s="211">
        <f>V435*(T416)</f>
        <v>0.11419920000000003</v>
      </c>
      <c r="AM435" s="211">
        <f>V435*(U416)</f>
        <v>0.11419920000000003</v>
      </c>
      <c r="AN435" s="211">
        <f>V435*(V416)</f>
        <v>0.11419920000000003</v>
      </c>
    </row>
    <row r="436" spans="2:40" ht="12" hidden="1" customHeight="1" outlineLevel="2">
      <c r="B436" s="245"/>
      <c r="C436" s="213" t="s">
        <v>771</v>
      </c>
      <c r="D436" s="213"/>
      <c r="E436" s="213"/>
      <c r="F436" s="213"/>
      <c r="G436" s="213"/>
      <c r="H436" s="213"/>
      <c r="I436" s="213"/>
      <c r="J436" s="213"/>
      <c r="K436" s="213"/>
      <c r="L436" s="213"/>
      <c r="M436" s="213"/>
      <c r="N436" s="213"/>
      <c r="O436" s="213"/>
      <c r="P436" s="213"/>
      <c r="Q436" s="213"/>
      <c r="R436" s="213"/>
      <c r="S436" s="213"/>
      <c r="T436" s="213"/>
      <c r="U436" s="213"/>
      <c r="V436" s="213"/>
      <c r="W436" s="211">
        <f>INDEX($C$349:$AN$371,MATCH("New Customers 1MS",$C$349:$C$371,0),MATCH($C436,$C$349:$AN$349,0))</f>
        <v>14.761440000000002</v>
      </c>
      <c r="X436" s="211">
        <f>W436*(E416)</f>
        <v>0.59045760000000014</v>
      </c>
      <c r="Y436" s="211">
        <f>W436*(F416)</f>
        <v>0.59045760000000014</v>
      </c>
      <c r="Z436" s="211">
        <f>W436*(G416)</f>
        <v>0.59045760000000014</v>
      </c>
      <c r="AA436" s="211">
        <f>W436*(H416)</f>
        <v>0.59045760000000014</v>
      </c>
      <c r="AB436" s="211">
        <f>W436*(I416)</f>
        <v>0.44284320000000005</v>
      </c>
      <c r="AC436" s="211">
        <f>W436*(J416)</f>
        <v>0.44284320000000005</v>
      </c>
      <c r="AD436" s="211">
        <f>W436*(K416)</f>
        <v>0.44284320000000005</v>
      </c>
      <c r="AE436" s="211">
        <f>W436*(L416)</f>
        <v>0.44284320000000005</v>
      </c>
      <c r="AF436" s="211">
        <f>W436*(M416)</f>
        <v>0.29522880000000007</v>
      </c>
      <c r="AG436" s="211">
        <f>W436*(N416)</f>
        <v>0.29522880000000007</v>
      </c>
      <c r="AH436" s="211">
        <f>W436*(O416)</f>
        <v>0.29522880000000007</v>
      </c>
      <c r="AI436" s="211">
        <f>W436*(P416)</f>
        <v>0.44284320000000005</v>
      </c>
      <c r="AJ436" s="211">
        <f>W436*(Q416)</f>
        <v>0.44284320000000005</v>
      </c>
      <c r="AK436" s="211">
        <f>W436*(R416)</f>
        <v>0.14761440000000003</v>
      </c>
      <c r="AL436" s="211">
        <f>W436*(S416)</f>
        <v>0.14761440000000003</v>
      </c>
      <c r="AM436" s="211">
        <f>W436*(T416)</f>
        <v>0.14761440000000003</v>
      </c>
      <c r="AN436" s="211">
        <f>W436*(U416)</f>
        <v>0.14761440000000003</v>
      </c>
    </row>
    <row r="437" spans="2:40" ht="12" hidden="1" customHeight="1" outlineLevel="2">
      <c r="B437" s="245"/>
      <c r="C437" s="213" t="s">
        <v>772</v>
      </c>
      <c r="D437" s="213"/>
      <c r="E437" s="213"/>
      <c r="F437" s="213"/>
      <c r="G437" s="213"/>
      <c r="H437" s="213"/>
      <c r="I437" s="213"/>
      <c r="J437" s="213"/>
      <c r="K437" s="213"/>
      <c r="L437" s="213"/>
      <c r="M437" s="213"/>
      <c r="N437" s="213"/>
      <c r="O437" s="213"/>
      <c r="P437" s="213"/>
      <c r="Q437" s="213"/>
      <c r="R437" s="213"/>
      <c r="S437" s="213"/>
      <c r="T437" s="213"/>
      <c r="U437" s="213"/>
      <c r="V437" s="213"/>
      <c r="W437" s="213"/>
      <c r="X437" s="211">
        <f>INDEX($C$349:$AN$371,MATCH("New Customers 1MS",$C$349:$C$371,0),MATCH($C437,$C$349:$AN$349,0))</f>
        <v>8.7699600000000011</v>
      </c>
      <c r="Y437" s="211">
        <f>X437*(E416)</f>
        <v>0.35079840000000007</v>
      </c>
      <c r="Z437" s="211">
        <f>X437*(F416)</f>
        <v>0.35079840000000007</v>
      </c>
      <c r="AA437" s="211">
        <f>X437*(G416)</f>
        <v>0.35079840000000007</v>
      </c>
      <c r="AB437" s="211">
        <f>X437*(H416)</f>
        <v>0.35079840000000007</v>
      </c>
      <c r="AC437" s="211">
        <f>X437*(I416)</f>
        <v>0.26309880000000002</v>
      </c>
      <c r="AD437" s="211">
        <f>X437*(J416)</f>
        <v>0.26309880000000002</v>
      </c>
      <c r="AE437" s="211">
        <f>X437*(K416)</f>
        <v>0.26309880000000002</v>
      </c>
      <c r="AF437" s="211">
        <f>X437*(L416)</f>
        <v>0.26309880000000002</v>
      </c>
      <c r="AG437" s="211">
        <f>X437*(M416)</f>
        <v>0.17539920000000003</v>
      </c>
      <c r="AH437" s="211">
        <f>X437*(N416)</f>
        <v>0.17539920000000003</v>
      </c>
      <c r="AI437" s="211">
        <f>X437*(O416)</f>
        <v>0.17539920000000003</v>
      </c>
      <c r="AJ437" s="211">
        <f>X437*(P416)</f>
        <v>0.26309880000000002</v>
      </c>
      <c r="AK437" s="211">
        <f>X437*(Q416)</f>
        <v>0.26309880000000002</v>
      </c>
      <c r="AL437" s="211">
        <f>X437*(R416)</f>
        <v>8.7699600000000016E-2</v>
      </c>
      <c r="AM437" s="211">
        <f>X437*(S416)</f>
        <v>8.7699600000000016E-2</v>
      </c>
      <c r="AN437" s="211">
        <f>X437*(T416)</f>
        <v>8.7699600000000016E-2</v>
      </c>
    </row>
    <row r="438" spans="2:40" ht="12" hidden="1" customHeight="1" outlineLevel="2">
      <c r="B438" s="245"/>
      <c r="C438" s="213" t="s">
        <v>773</v>
      </c>
      <c r="D438" s="213"/>
      <c r="E438" s="213"/>
      <c r="F438" s="213"/>
      <c r="G438" s="213"/>
      <c r="H438" s="213"/>
      <c r="I438" s="213"/>
      <c r="J438" s="213"/>
      <c r="K438" s="213"/>
      <c r="L438" s="213"/>
      <c r="M438" s="213"/>
      <c r="N438" s="213"/>
      <c r="O438" s="213"/>
      <c r="P438" s="213"/>
      <c r="Q438" s="213"/>
      <c r="R438" s="213"/>
      <c r="S438" s="213"/>
      <c r="T438" s="213"/>
      <c r="U438" s="213"/>
      <c r="V438" s="213"/>
      <c r="W438" s="213"/>
      <c r="X438" s="213"/>
      <c r="Y438" s="211">
        <f>INDEX($C$349:$AN$371,MATCH("New Customers 1MS",$C$349:$C$371,0),MATCH($C438,$C$349:$AN$349,0))</f>
        <v>35.079840000000004</v>
      </c>
      <c r="Z438" s="211">
        <f>Y438*(E416)</f>
        <v>1.4031936000000003</v>
      </c>
      <c r="AA438" s="211">
        <f>Y438*(F416)</f>
        <v>1.4031936000000003</v>
      </c>
      <c r="AB438" s="211">
        <f>Y438*(G416)</f>
        <v>1.4031936000000003</v>
      </c>
      <c r="AC438" s="211">
        <f>Y438*(H416)</f>
        <v>1.4031936000000003</v>
      </c>
      <c r="AD438" s="211">
        <f>Y438*(I416)</f>
        <v>1.0523952000000001</v>
      </c>
      <c r="AE438" s="211">
        <f>Y438*(J416)</f>
        <v>1.0523952000000001</v>
      </c>
      <c r="AF438" s="211">
        <f>Y438*(K416)</f>
        <v>1.0523952000000001</v>
      </c>
      <c r="AG438" s="211">
        <f>Y438*(L416)</f>
        <v>1.0523952000000001</v>
      </c>
      <c r="AH438" s="211">
        <f>Y438*(M416)</f>
        <v>0.70159680000000013</v>
      </c>
      <c r="AI438" s="211">
        <f>Y438*(N416)</f>
        <v>0.70159680000000013</v>
      </c>
      <c r="AJ438" s="211">
        <f>Y438*(O416)</f>
        <v>0.70159680000000013</v>
      </c>
      <c r="AK438" s="211">
        <f>Y438*(P416)</f>
        <v>1.0523952000000001</v>
      </c>
      <c r="AL438" s="211">
        <f>Y438*(Q416)</f>
        <v>1.0523952000000001</v>
      </c>
      <c r="AM438" s="211">
        <f>Y438*(R416)</f>
        <v>0.35079840000000007</v>
      </c>
      <c r="AN438" s="211">
        <f>Y438*(S416)</f>
        <v>0.35079840000000007</v>
      </c>
    </row>
    <row r="439" spans="2:40" ht="12" hidden="1" customHeight="1" outlineLevel="2">
      <c r="B439" s="245"/>
      <c r="C439" s="213" t="s">
        <v>774</v>
      </c>
      <c r="D439" s="213"/>
      <c r="E439" s="213"/>
      <c r="F439" s="213"/>
      <c r="G439" s="213"/>
      <c r="H439" s="213"/>
      <c r="I439" s="213"/>
      <c r="J439" s="213"/>
      <c r="K439" s="213"/>
      <c r="L439" s="213"/>
      <c r="M439" s="213"/>
      <c r="N439" s="213"/>
      <c r="O439" s="213"/>
      <c r="P439" s="213"/>
      <c r="Q439" s="213"/>
      <c r="R439" s="213"/>
      <c r="S439" s="213"/>
      <c r="T439" s="213"/>
      <c r="U439" s="213"/>
      <c r="V439" s="213"/>
      <c r="W439" s="213"/>
      <c r="X439" s="213"/>
      <c r="Y439" s="213"/>
      <c r="Z439" s="211">
        <f>INDEX($C$349:$AN$371,MATCH("New Customers 1MS",$C$349:$C$371,0),MATCH($C439,$C$349:$AN$349,0))</f>
        <v>61.20000000000001</v>
      </c>
      <c r="AA439" s="211">
        <f>Z439*(E416)</f>
        <v>2.4480000000000004</v>
      </c>
      <c r="AB439" s="211">
        <f>Z439*(F416)</f>
        <v>2.4480000000000004</v>
      </c>
      <c r="AC439" s="211">
        <f>Z439*(G416)</f>
        <v>2.4480000000000004</v>
      </c>
      <c r="AD439" s="211">
        <f>Z439*(H416)</f>
        <v>2.4480000000000004</v>
      </c>
      <c r="AE439" s="211">
        <f>Z439*(I416)</f>
        <v>1.8360000000000003</v>
      </c>
      <c r="AF439" s="211">
        <f>Z439*(J416)</f>
        <v>1.8360000000000003</v>
      </c>
      <c r="AG439" s="211">
        <f>Z439*(K416)</f>
        <v>1.8360000000000003</v>
      </c>
      <c r="AH439" s="211">
        <f>Z439*(L416)</f>
        <v>1.8360000000000003</v>
      </c>
      <c r="AI439" s="211">
        <f>Z439*(M416)</f>
        <v>1.2240000000000002</v>
      </c>
      <c r="AJ439" s="211">
        <f>Z439*(N416)</f>
        <v>1.2240000000000002</v>
      </c>
      <c r="AK439" s="211">
        <f>Z439*(O416)</f>
        <v>1.2240000000000002</v>
      </c>
      <c r="AL439" s="211">
        <f>Z439*(P416)</f>
        <v>1.8360000000000003</v>
      </c>
      <c r="AM439" s="211">
        <f>Z439*(Q416)</f>
        <v>1.8360000000000003</v>
      </c>
      <c r="AN439" s="211">
        <f>Z439*(R416)</f>
        <v>0.6120000000000001</v>
      </c>
    </row>
    <row r="440" spans="2:40" ht="12" hidden="1" customHeight="1" outlineLevel="2">
      <c r="B440" s="245"/>
      <c r="C440" s="213" t="s">
        <v>775</v>
      </c>
      <c r="D440" s="213"/>
      <c r="E440" s="213"/>
      <c r="F440" s="213"/>
      <c r="G440" s="213"/>
      <c r="H440" s="213"/>
      <c r="I440" s="213"/>
      <c r="J440" s="213"/>
      <c r="K440" s="213"/>
      <c r="L440" s="213"/>
      <c r="M440" s="213"/>
      <c r="N440" s="213"/>
      <c r="O440" s="213"/>
      <c r="P440" s="213"/>
      <c r="Q440" s="213"/>
      <c r="R440" s="213"/>
      <c r="S440" s="213"/>
      <c r="T440" s="213"/>
      <c r="U440" s="213"/>
      <c r="V440" s="213"/>
      <c r="W440" s="213"/>
      <c r="X440" s="213"/>
      <c r="Y440" s="213"/>
      <c r="Z440" s="213"/>
      <c r="AA440" s="211">
        <f>INDEX($C$349:$AN$371,MATCH("New Customers 1MS",$C$349:$C$371,0),MATCH($C440,$C$349:$AN$349,0))</f>
        <v>36.720000000000006</v>
      </c>
      <c r="AB440" s="211">
        <f>AA440*(E416)</f>
        <v>1.4688000000000003</v>
      </c>
      <c r="AC440" s="211">
        <f>AA440*(F416)</f>
        <v>1.4688000000000003</v>
      </c>
      <c r="AD440" s="211">
        <f>AA440*(G416)</f>
        <v>1.4688000000000003</v>
      </c>
      <c r="AE440" s="211">
        <f>AA440*(H416)</f>
        <v>1.4688000000000003</v>
      </c>
      <c r="AF440" s="211">
        <f>AA440*(I416)</f>
        <v>1.1016000000000001</v>
      </c>
      <c r="AG440" s="211">
        <f>AA440*(J416)</f>
        <v>1.1016000000000001</v>
      </c>
      <c r="AH440" s="211">
        <f>AA440*(K416)</f>
        <v>1.1016000000000001</v>
      </c>
      <c r="AI440" s="211">
        <f>AA440*(L416)</f>
        <v>1.1016000000000001</v>
      </c>
      <c r="AJ440" s="211">
        <f>AA440*(M416)</f>
        <v>0.73440000000000016</v>
      </c>
      <c r="AK440" s="211">
        <f>AA440*(N416)</f>
        <v>0.73440000000000016</v>
      </c>
      <c r="AL440" s="211">
        <f>AA440*(O416)</f>
        <v>0.73440000000000016</v>
      </c>
      <c r="AM440" s="211">
        <f>AA440*(P416)</f>
        <v>1.1016000000000001</v>
      </c>
      <c r="AN440" s="211">
        <f>AA440*(Q416)</f>
        <v>1.1016000000000001</v>
      </c>
    </row>
    <row r="441" spans="2:40" ht="12" hidden="1" customHeight="1" outlineLevel="2">
      <c r="B441" s="245"/>
      <c r="C441" s="213" t="s">
        <v>776</v>
      </c>
      <c r="D441" s="213"/>
      <c r="E441" s="213"/>
      <c r="F441" s="213"/>
      <c r="G441" s="213"/>
      <c r="H441" s="213"/>
      <c r="I441" s="213"/>
      <c r="J441" s="213"/>
      <c r="K441" s="213"/>
      <c r="L441" s="213"/>
      <c r="M441" s="213"/>
      <c r="N441" s="213"/>
      <c r="O441" s="213"/>
      <c r="P441" s="213"/>
      <c r="Q441" s="213"/>
      <c r="R441" s="213"/>
      <c r="S441" s="213"/>
      <c r="T441" s="213"/>
      <c r="U441" s="213"/>
      <c r="V441" s="213"/>
      <c r="W441" s="213"/>
      <c r="X441" s="213"/>
      <c r="Y441" s="213"/>
      <c r="Z441" s="213"/>
      <c r="AA441" s="213"/>
      <c r="AB441" s="211">
        <f>INDEX($C$349:$AN$371,MATCH("New Customers 1MS",$C$349:$C$371,0),MATCH($C441,$C$349:$AN$349,0))</f>
        <v>24.48</v>
      </c>
      <c r="AC441" s="211">
        <f>AB441*(E416)</f>
        <v>0.97920000000000007</v>
      </c>
      <c r="AD441" s="211">
        <f>AB441*(F416)</f>
        <v>0.97920000000000007</v>
      </c>
      <c r="AE441" s="211">
        <f>AB441*(G416)</f>
        <v>0.97920000000000007</v>
      </c>
      <c r="AF441" s="211">
        <f>AB441*(H416)</f>
        <v>0.97920000000000007</v>
      </c>
      <c r="AG441" s="211">
        <f>AB441*(I416)</f>
        <v>0.73439999999999994</v>
      </c>
      <c r="AH441" s="211">
        <f>AB441*(J416)</f>
        <v>0.73439999999999994</v>
      </c>
      <c r="AI441" s="211">
        <f>AB441*(K416)</f>
        <v>0.73439999999999994</v>
      </c>
      <c r="AJ441" s="211">
        <f>AB441*(L416)</f>
        <v>0.73439999999999994</v>
      </c>
      <c r="AK441" s="211">
        <f>AB441*(M416)</f>
        <v>0.48960000000000004</v>
      </c>
      <c r="AL441" s="211">
        <f>AB441*(N416)</f>
        <v>0.48960000000000004</v>
      </c>
      <c r="AM441" s="211">
        <f>AB441*(O416)</f>
        <v>0.48960000000000004</v>
      </c>
      <c r="AN441" s="211">
        <f>AB441*(P416)</f>
        <v>0.73439999999999994</v>
      </c>
    </row>
    <row r="442" spans="2:40" ht="12" hidden="1" customHeight="1" outlineLevel="2">
      <c r="B442" s="245"/>
      <c r="C442" s="213" t="s">
        <v>777</v>
      </c>
      <c r="D442" s="213"/>
      <c r="E442" s="213"/>
      <c r="F442" s="213"/>
      <c r="G442" s="213"/>
      <c r="H442" s="213"/>
      <c r="I442" s="213"/>
      <c r="J442" s="213"/>
      <c r="K442" s="213"/>
      <c r="L442" s="213"/>
      <c r="M442" s="213"/>
      <c r="N442" s="213"/>
      <c r="O442" s="213"/>
      <c r="P442" s="213"/>
      <c r="Q442" s="213"/>
      <c r="R442" s="213"/>
      <c r="S442" s="213"/>
      <c r="T442" s="213"/>
      <c r="U442" s="213"/>
      <c r="V442" s="213"/>
      <c r="W442" s="213"/>
      <c r="X442" s="213"/>
      <c r="Y442" s="213"/>
      <c r="Z442" s="213"/>
      <c r="AA442" s="213"/>
      <c r="AB442" s="211"/>
      <c r="AC442" s="211">
        <f>INDEX($C$349:$AN$371,MATCH("New Customers 1MS",$C$349:$C$371,0),MATCH($C442,$C$349:$AN$349,0))</f>
        <v>31.212000000000007</v>
      </c>
      <c r="AD442" s="211">
        <f>AC442*(E416)</f>
        <v>1.2484800000000003</v>
      </c>
      <c r="AE442" s="211">
        <f>AC442*($F$70)</f>
        <v>0</v>
      </c>
      <c r="AF442" s="211">
        <f>AC442*($G$70)</f>
        <v>0</v>
      </c>
      <c r="AG442" s="211">
        <f>AC442*($H$70)</f>
        <v>0</v>
      </c>
      <c r="AH442" s="211">
        <f>AC442*($I$70)</f>
        <v>0</v>
      </c>
      <c r="AI442" s="211">
        <f>AC442*($J$70)</f>
        <v>0</v>
      </c>
      <c r="AJ442" s="211">
        <f>AC442*($K$70)</f>
        <v>0</v>
      </c>
      <c r="AK442" s="211">
        <f>AC442*($L$70)</f>
        <v>0</v>
      </c>
      <c r="AL442" s="211">
        <f>AC442*($M$70)</f>
        <v>0</v>
      </c>
      <c r="AM442" s="211">
        <f>AC442*($N$70)</f>
        <v>0</v>
      </c>
      <c r="AN442" s="211">
        <f>AC442*(O416)</f>
        <v>0.62424000000000013</v>
      </c>
    </row>
    <row r="443" spans="2:40" ht="12" hidden="1" customHeight="1" outlineLevel="2">
      <c r="B443" s="245"/>
      <c r="C443" s="213" t="s">
        <v>778</v>
      </c>
      <c r="D443" s="213"/>
      <c r="E443" s="213"/>
      <c r="F443" s="213"/>
      <c r="G443" s="213"/>
      <c r="H443" s="213"/>
      <c r="I443" s="213"/>
      <c r="J443" s="213"/>
      <c r="K443" s="213"/>
      <c r="L443" s="213"/>
      <c r="M443" s="213"/>
      <c r="N443" s="213"/>
      <c r="O443" s="213"/>
      <c r="P443" s="213"/>
      <c r="Q443" s="213"/>
      <c r="R443" s="213"/>
      <c r="S443" s="213"/>
      <c r="T443" s="213"/>
      <c r="U443" s="213"/>
      <c r="V443" s="213"/>
      <c r="W443" s="213"/>
      <c r="X443" s="213"/>
      <c r="Y443" s="213"/>
      <c r="Z443" s="213"/>
      <c r="AA443" s="213"/>
      <c r="AB443" s="211"/>
      <c r="AC443" s="211"/>
      <c r="AD443" s="211">
        <f>INDEX($C$349:$AN$371,MATCH("New Customers 1MS",$C$349:$C$371,0),MATCH($C443,$C$349:$AN$349,0))</f>
        <v>31.836240000000007</v>
      </c>
      <c r="AE443" s="211">
        <f>AD443*(E416)</f>
        <v>1.2734496000000004</v>
      </c>
      <c r="AF443" s="211">
        <f>AD443*($F$70)</f>
        <v>0</v>
      </c>
      <c r="AG443" s="211">
        <f>AD443*($G$70)</f>
        <v>0</v>
      </c>
      <c r="AH443" s="211">
        <f>AD443*($H$70)</f>
        <v>0</v>
      </c>
      <c r="AI443" s="211">
        <f>AD443*($I$70)</f>
        <v>0</v>
      </c>
      <c r="AJ443" s="211">
        <f>AD443*($J$70)</f>
        <v>0</v>
      </c>
      <c r="AK443" s="211">
        <f>AD443*($K$70)</f>
        <v>0</v>
      </c>
      <c r="AL443" s="211">
        <f>AD443*($L$70)</f>
        <v>0</v>
      </c>
      <c r="AM443" s="211">
        <f>AD443*($M$70)</f>
        <v>0</v>
      </c>
      <c r="AN443" s="211">
        <f>AD443*($N$70)</f>
        <v>0</v>
      </c>
    </row>
    <row r="444" spans="2:40" ht="12" hidden="1" customHeight="1" outlineLevel="2">
      <c r="B444" s="245"/>
      <c r="C444" s="213" t="s">
        <v>779</v>
      </c>
      <c r="D444" s="213"/>
      <c r="E444" s="213"/>
      <c r="F444" s="213"/>
      <c r="G444" s="213"/>
      <c r="H444" s="213"/>
      <c r="I444" s="213"/>
      <c r="J444" s="213"/>
      <c r="K444" s="213"/>
      <c r="L444" s="213"/>
      <c r="M444" s="213"/>
      <c r="N444" s="213"/>
      <c r="O444" s="213"/>
      <c r="P444" s="213"/>
      <c r="Q444" s="213"/>
      <c r="R444" s="213"/>
      <c r="S444" s="213"/>
      <c r="T444" s="213"/>
      <c r="U444" s="213"/>
      <c r="V444" s="213"/>
      <c r="W444" s="213"/>
      <c r="X444" s="213"/>
      <c r="Y444" s="213"/>
      <c r="Z444" s="213"/>
      <c r="AA444" s="213"/>
      <c r="AB444" s="211"/>
      <c r="AC444" s="211"/>
      <c r="AD444" s="211"/>
      <c r="AE444" s="211">
        <f>INDEX($C$349:$AN$371,MATCH("New Customers 1MS",$C$349:$C$371,0),MATCH($C444,$C$349:$AN$349,0))</f>
        <v>32.472964800000007</v>
      </c>
      <c r="AF444" s="211">
        <f>AE444*(E416)</f>
        <v>1.2989185920000004</v>
      </c>
      <c r="AG444" s="211">
        <f>AE444*($F$70)</f>
        <v>0</v>
      </c>
      <c r="AH444" s="211">
        <f>AE444*($G$70)</f>
        <v>0</v>
      </c>
      <c r="AI444" s="211">
        <f>AE444*($H$70)</f>
        <v>0</v>
      </c>
      <c r="AJ444" s="211">
        <f>AE444*($I$70)</f>
        <v>0</v>
      </c>
      <c r="AK444" s="211">
        <f>AE444*($J$70)</f>
        <v>0</v>
      </c>
      <c r="AL444" s="211">
        <f>AE444*($K$70)</f>
        <v>0</v>
      </c>
      <c r="AM444" s="211">
        <f>AE444*($L$70)</f>
        <v>0</v>
      </c>
      <c r="AN444" s="211">
        <f>AE444*($M$70)</f>
        <v>0</v>
      </c>
    </row>
    <row r="445" spans="2:40" ht="12" hidden="1" customHeight="1" outlineLevel="2">
      <c r="B445" s="245"/>
      <c r="C445" s="213" t="s">
        <v>780</v>
      </c>
      <c r="D445" s="213"/>
      <c r="E445" s="213"/>
      <c r="F445" s="213"/>
      <c r="G445" s="213"/>
      <c r="H445" s="213"/>
      <c r="I445" s="213"/>
      <c r="J445" s="213"/>
      <c r="K445" s="213"/>
      <c r="L445" s="213"/>
      <c r="M445" s="213"/>
      <c r="N445" s="213"/>
      <c r="O445" s="213"/>
      <c r="P445" s="213"/>
      <c r="Q445" s="213"/>
      <c r="R445" s="213"/>
      <c r="S445" s="213"/>
      <c r="T445" s="213"/>
      <c r="U445" s="213"/>
      <c r="V445" s="213"/>
      <c r="W445" s="213"/>
      <c r="X445" s="213"/>
      <c r="Y445" s="213"/>
      <c r="Z445" s="213"/>
      <c r="AA445" s="213"/>
      <c r="AB445" s="211"/>
      <c r="AC445" s="211"/>
      <c r="AD445" s="211"/>
      <c r="AE445" s="211"/>
      <c r="AF445" s="211">
        <f>INDEX($C$349:$AN$371,MATCH("New Customers 1MS",$C$349:$C$371,0),MATCH($C445,$C$349:$AN$349,0))</f>
        <v>33.12242409600001</v>
      </c>
      <c r="AG445" s="211">
        <f>AF445*(E416)</f>
        <v>1.3248969638400003</v>
      </c>
      <c r="AH445" s="211">
        <f>AF445*($F$70)</f>
        <v>0</v>
      </c>
      <c r="AI445" s="211">
        <f>AF445*($G$70)</f>
        <v>0</v>
      </c>
      <c r="AJ445" s="211">
        <f>AF445*($H$70)</f>
        <v>0</v>
      </c>
      <c r="AK445" s="211">
        <f>AF445*($I$70)</f>
        <v>0</v>
      </c>
      <c r="AL445" s="211">
        <f>AF445*($J$70)</f>
        <v>0</v>
      </c>
      <c r="AM445" s="211">
        <f>AF445*($K$70)</f>
        <v>0</v>
      </c>
      <c r="AN445" s="211">
        <f>AF445*($L$70)</f>
        <v>0</v>
      </c>
    </row>
    <row r="446" spans="2:40" ht="12" hidden="1" customHeight="1" outlineLevel="2">
      <c r="B446" s="245"/>
      <c r="C446" s="213" t="s">
        <v>781</v>
      </c>
      <c r="D446" s="213"/>
      <c r="E446" s="213"/>
      <c r="F446" s="213"/>
      <c r="G446" s="213"/>
      <c r="H446" s="213"/>
      <c r="I446" s="213"/>
      <c r="J446" s="213"/>
      <c r="K446" s="213"/>
      <c r="L446" s="213"/>
      <c r="M446" s="213"/>
      <c r="N446" s="213"/>
      <c r="O446" s="213"/>
      <c r="P446" s="213"/>
      <c r="Q446" s="213"/>
      <c r="R446" s="213"/>
      <c r="S446" s="213"/>
      <c r="T446" s="213"/>
      <c r="U446" s="213"/>
      <c r="V446" s="213"/>
      <c r="W446" s="213"/>
      <c r="X446" s="213"/>
      <c r="Y446" s="213"/>
      <c r="Z446" s="213"/>
      <c r="AA446" s="213"/>
      <c r="AB446" s="211"/>
      <c r="AC446" s="211"/>
      <c r="AD446" s="211"/>
      <c r="AE446" s="211"/>
      <c r="AF446" s="211"/>
      <c r="AG446" s="211">
        <f>INDEX($C$349:$AN$371,MATCH("New Customers 1MS",$C$349:$C$371,0),MATCH($C446,$C$349:$AN$349,0))</f>
        <v>33.784872577920005</v>
      </c>
      <c r="AH446" s="211">
        <f>AG446*(E416)</f>
        <v>1.3513949031168002</v>
      </c>
      <c r="AI446" s="211">
        <f>AG446*($F$70)</f>
        <v>0</v>
      </c>
      <c r="AJ446" s="211">
        <f>AG446*($G$70)</f>
        <v>0</v>
      </c>
      <c r="AK446" s="211">
        <f>AG446*($H$70)</f>
        <v>0</v>
      </c>
      <c r="AL446" s="211">
        <f>AG446*($I$70)</f>
        <v>0</v>
      </c>
      <c r="AM446" s="211">
        <f>AG446*($J$70)</f>
        <v>0</v>
      </c>
      <c r="AN446" s="211">
        <f>AG446*($K$70)</f>
        <v>0</v>
      </c>
    </row>
    <row r="447" spans="2:40" ht="12" hidden="1" customHeight="1" outlineLevel="2">
      <c r="B447" s="245"/>
      <c r="C447" s="213" t="s">
        <v>782</v>
      </c>
      <c r="D447" s="213"/>
      <c r="E447" s="213"/>
      <c r="F447" s="213"/>
      <c r="G447" s="213"/>
      <c r="H447" s="213"/>
      <c r="I447" s="213"/>
      <c r="J447" s="213"/>
      <c r="K447" s="213"/>
      <c r="L447" s="213"/>
      <c r="M447" s="213"/>
      <c r="N447" s="213"/>
      <c r="O447" s="213"/>
      <c r="P447" s="213"/>
      <c r="Q447" s="213"/>
      <c r="R447" s="213"/>
      <c r="S447" s="213"/>
      <c r="T447" s="213"/>
      <c r="U447" s="213"/>
      <c r="V447" s="213"/>
      <c r="W447" s="213"/>
      <c r="X447" s="213"/>
      <c r="Y447" s="213"/>
      <c r="Z447" s="213"/>
      <c r="AA447" s="213"/>
      <c r="AB447" s="211"/>
      <c r="AC447" s="211"/>
      <c r="AD447" s="211"/>
      <c r="AE447" s="211"/>
      <c r="AF447" s="211"/>
      <c r="AG447" s="211"/>
      <c r="AH447" s="211">
        <f>INDEX($C$349:$AN$371,MATCH("New Customers 1MS",$C$349:$C$371,0),MATCH($C447,$C$349:$AN$349,0))</f>
        <v>34.460570029478397</v>
      </c>
      <c r="AI447" s="211">
        <f>AH447*(E416)</f>
        <v>1.378422801179136</v>
      </c>
      <c r="AJ447" s="211">
        <f>AH447*($F$70)</f>
        <v>0</v>
      </c>
      <c r="AK447" s="211">
        <f>AH447*($G$70)</f>
        <v>0</v>
      </c>
      <c r="AL447" s="211">
        <f>AH447*($H$70)</f>
        <v>0</v>
      </c>
      <c r="AM447" s="211">
        <f>AH447*($I$70)</f>
        <v>0</v>
      </c>
      <c r="AN447" s="211">
        <f>AH447*($J$70)</f>
        <v>0</v>
      </c>
    </row>
    <row r="448" spans="2:40" ht="12" hidden="1" customHeight="1" outlineLevel="2">
      <c r="B448" s="245"/>
      <c r="C448" s="213" t="s">
        <v>783</v>
      </c>
      <c r="D448" s="213"/>
      <c r="E448" s="213"/>
      <c r="F448" s="213"/>
      <c r="G448" s="213"/>
      <c r="H448" s="213"/>
      <c r="I448" s="213"/>
      <c r="J448" s="213"/>
      <c r="K448" s="213"/>
      <c r="L448" s="213"/>
      <c r="M448" s="213"/>
      <c r="N448" s="213"/>
      <c r="O448" s="213"/>
      <c r="P448" s="213"/>
      <c r="Q448" s="213"/>
      <c r="R448" s="213"/>
      <c r="S448" s="213"/>
      <c r="T448" s="213"/>
      <c r="U448" s="213"/>
      <c r="V448" s="213"/>
      <c r="W448" s="213"/>
      <c r="X448" s="213"/>
      <c r="Y448" s="213"/>
      <c r="Z448" s="213"/>
      <c r="AA448" s="213"/>
      <c r="AB448" s="211"/>
      <c r="AC448" s="211"/>
      <c r="AD448" s="211"/>
      <c r="AE448" s="211"/>
      <c r="AF448" s="211"/>
      <c r="AG448" s="211"/>
      <c r="AH448" s="211"/>
      <c r="AI448" s="211">
        <f>INDEX($C$349:$AN$371,MATCH("New Customers 1MS",$C$349:$C$371,0),MATCH($C448,$C$349:$AN$349,0))</f>
        <v>35.149781430067982</v>
      </c>
      <c r="AJ448" s="211">
        <f>AI448*(E416)</f>
        <v>1.4059912572027193</v>
      </c>
      <c r="AK448" s="211">
        <f>AI448*($F$70)</f>
        <v>0</v>
      </c>
      <c r="AL448" s="211">
        <f>AI448*($G$70)</f>
        <v>0</v>
      </c>
      <c r="AM448" s="211">
        <f>AI448*($H$70)</f>
        <v>0</v>
      </c>
      <c r="AN448" s="211">
        <f>AI448*($I$70)</f>
        <v>0</v>
      </c>
    </row>
    <row r="449" spans="2:40" ht="12" hidden="1" customHeight="1" outlineLevel="2">
      <c r="B449" s="245"/>
      <c r="C449" s="213" t="s">
        <v>784</v>
      </c>
      <c r="D449" s="213"/>
      <c r="E449" s="213"/>
      <c r="F449" s="213"/>
      <c r="G449" s="213"/>
      <c r="H449" s="213"/>
      <c r="I449" s="213"/>
      <c r="J449" s="213"/>
      <c r="K449" s="213"/>
      <c r="L449" s="213"/>
      <c r="M449" s="213"/>
      <c r="N449" s="213"/>
      <c r="O449" s="213"/>
      <c r="P449" s="213"/>
      <c r="Q449" s="213"/>
      <c r="R449" s="213"/>
      <c r="S449" s="213"/>
      <c r="T449" s="213"/>
      <c r="U449" s="213"/>
      <c r="V449" s="213"/>
      <c r="W449" s="213"/>
      <c r="X449" s="213"/>
      <c r="Y449" s="213"/>
      <c r="Z449" s="213"/>
      <c r="AA449" s="213"/>
      <c r="AB449" s="211"/>
      <c r="AC449" s="211"/>
      <c r="AD449" s="211"/>
      <c r="AE449" s="211"/>
      <c r="AF449" s="211"/>
      <c r="AG449" s="211"/>
      <c r="AH449" s="211"/>
      <c r="AI449" s="211"/>
      <c r="AJ449" s="211">
        <f>INDEX($C$349:$AN$371,MATCH("New Customers 1MS",$C$349:$C$371,0),MATCH($C449,$C$349:$AN$349,0))</f>
        <v>35.852777058669332</v>
      </c>
      <c r="AK449" s="211">
        <f>AJ449*(E416)</f>
        <v>1.4341110823467733</v>
      </c>
      <c r="AL449" s="211">
        <f>AJ449*($F$70)</f>
        <v>0</v>
      </c>
      <c r="AM449" s="211">
        <f>AJ449*($G$70)</f>
        <v>0</v>
      </c>
      <c r="AN449" s="211">
        <f>AJ449*($H$70)</f>
        <v>0</v>
      </c>
    </row>
    <row r="450" spans="2:40" ht="12" hidden="1" customHeight="1" outlineLevel="2">
      <c r="B450" s="245"/>
      <c r="C450" s="213" t="s">
        <v>785</v>
      </c>
      <c r="D450" s="213"/>
      <c r="E450" s="213"/>
      <c r="F450" s="213"/>
      <c r="G450" s="213"/>
      <c r="H450" s="213"/>
      <c r="I450" s="213"/>
      <c r="J450" s="213"/>
      <c r="K450" s="213"/>
      <c r="L450" s="213"/>
      <c r="M450" s="213"/>
      <c r="N450" s="213"/>
      <c r="O450" s="213"/>
      <c r="P450" s="213"/>
      <c r="Q450" s="213"/>
      <c r="R450" s="213"/>
      <c r="S450" s="213"/>
      <c r="T450" s="213"/>
      <c r="U450" s="213"/>
      <c r="V450" s="213"/>
      <c r="W450" s="213"/>
      <c r="X450" s="213"/>
      <c r="Y450" s="213"/>
      <c r="Z450" s="213"/>
      <c r="AA450" s="213"/>
      <c r="AB450" s="211"/>
      <c r="AC450" s="211"/>
      <c r="AD450" s="211"/>
      <c r="AE450" s="211"/>
      <c r="AF450" s="211"/>
      <c r="AG450" s="211"/>
      <c r="AH450" s="211"/>
      <c r="AI450" s="211"/>
      <c r="AJ450" s="211"/>
      <c r="AK450" s="211">
        <f>INDEX($C$349:$AN$371,MATCH("New Customers 1MS",$C$349:$C$371,0),MATCH($C450,$C$349:$AN$349,0))</f>
        <v>36.569832599842726</v>
      </c>
      <c r="AL450" s="211">
        <f>AK450*(E416)</f>
        <v>1.4627933039937091</v>
      </c>
      <c r="AM450" s="211">
        <f>AK450*($F$70)</f>
        <v>0</v>
      </c>
      <c r="AN450" s="211">
        <f>AK450*($G$70)</f>
        <v>0</v>
      </c>
    </row>
    <row r="451" spans="2:40" ht="12" hidden="1" customHeight="1" outlineLevel="2">
      <c r="B451" s="245"/>
      <c r="C451" s="213" t="s">
        <v>786</v>
      </c>
      <c r="D451" s="213"/>
      <c r="E451" s="213"/>
      <c r="F451" s="213"/>
      <c r="G451" s="213"/>
      <c r="H451" s="213"/>
      <c r="I451" s="213"/>
      <c r="J451" s="213"/>
      <c r="K451" s="213"/>
      <c r="L451" s="213"/>
      <c r="M451" s="213"/>
      <c r="N451" s="213"/>
      <c r="O451" s="213"/>
      <c r="P451" s="213"/>
      <c r="Q451" s="213"/>
      <c r="R451" s="213"/>
      <c r="S451" s="213"/>
      <c r="T451" s="213"/>
      <c r="U451" s="213"/>
      <c r="V451" s="213"/>
      <c r="W451" s="213"/>
      <c r="X451" s="213"/>
      <c r="Y451" s="213"/>
      <c r="Z451" s="213"/>
      <c r="AA451" s="213"/>
      <c r="AB451" s="211"/>
      <c r="AC451" s="211"/>
      <c r="AD451" s="211"/>
      <c r="AE451" s="211"/>
      <c r="AF451" s="211"/>
      <c r="AG451" s="211"/>
      <c r="AH451" s="211"/>
      <c r="AI451" s="211"/>
      <c r="AJ451" s="211"/>
      <c r="AK451" s="211"/>
      <c r="AL451" s="211">
        <f>INDEX($C$349:$AN$371,MATCH("New Customers 1MS",$C$349:$C$371,0),MATCH($C451,$C$349:$AN$349,0))</f>
        <v>37.30122925183958</v>
      </c>
      <c r="AM451" s="211">
        <f>AL451*(E416)</f>
        <v>1.4920491700735832</v>
      </c>
      <c r="AN451" s="211">
        <f>AL451*($F$70)</f>
        <v>0</v>
      </c>
    </row>
    <row r="452" spans="2:40" ht="12" hidden="1" customHeight="1" outlineLevel="2">
      <c r="B452" s="245"/>
      <c r="C452" s="213" t="s">
        <v>787</v>
      </c>
      <c r="D452" s="213"/>
      <c r="E452" s="213"/>
      <c r="F452" s="213"/>
      <c r="G452" s="213"/>
      <c r="H452" s="213"/>
      <c r="I452" s="213"/>
      <c r="J452" s="213"/>
      <c r="K452" s="213"/>
      <c r="L452" s="213"/>
      <c r="M452" s="213"/>
      <c r="N452" s="213"/>
      <c r="O452" s="213"/>
      <c r="P452" s="213"/>
      <c r="Q452" s="213"/>
      <c r="R452" s="213"/>
      <c r="S452" s="213"/>
      <c r="T452" s="213"/>
      <c r="U452" s="213"/>
      <c r="V452" s="213"/>
      <c r="W452" s="213"/>
      <c r="X452" s="213"/>
      <c r="Y452" s="213"/>
      <c r="Z452" s="213"/>
      <c r="AA452" s="213"/>
      <c r="AB452" s="211"/>
      <c r="AC452" s="211"/>
      <c r="AD452" s="211"/>
      <c r="AE452" s="211"/>
      <c r="AF452" s="211"/>
      <c r="AG452" s="211"/>
      <c r="AH452" s="211"/>
      <c r="AI452" s="211"/>
      <c r="AJ452" s="211"/>
      <c r="AK452" s="211"/>
      <c r="AL452" s="211"/>
      <c r="AM452" s="211">
        <f>INDEX($C$349:$AN$371,MATCH("New Customers 1MS",$C$349:$C$371,0),MATCH($C452,$C$349:$AN$349,0))</f>
        <v>38.047253836876372</v>
      </c>
      <c r="AN452" s="211">
        <f>AM452*(E416)</f>
        <v>1.5218901534750549</v>
      </c>
    </row>
    <row r="453" spans="2:40" ht="12" hidden="1" customHeight="1" outlineLevel="2">
      <c r="B453" s="245"/>
      <c r="C453" s="213" t="s">
        <v>788</v>
      </c>
      <c r="D453" s="213"/>
      <c r="E453" s="213"/>
      <c r="F453" s="213"/>
      <c r="G453" s="213"/>
      <c r="H453" s="213"/>
      <c r="I453" s="213"/>
      <c r="J453" s="213"/>
      <c r="K453" s="213"/>
      <c r="L453" s="213"/>
      <c r="M453" s="213"/>
      <c r="N453" s="213"/>
      <c r="O453" s="213"/>
      <c r="P453" s="213"/>
      <c r="Q453" s="213"/>
      <c r="R453" s="213"/>
      <c r="S453" s="213"/>
      <c r="T453" s="213"/>
      <c r="U453" s="213"/>
      <c r="V453" s="213"/>
      <c r="W453" s="213"/>
      <c r="X453" s="213"/>
      <c r="Y453" s="213"/>
      <c r="Z453" s="213"/>
      <c r="AA453" s="213"/>
      <c r="AB453" s="211"/>
      <c r="AC453" s="211"/>
      <c r="AD453" s="211"/>
      <c r="AE453" s="211"/>
      <c r="AF453" s="211"/>
      <c r="AG453" s="211"/>
      <c r="AH453" s="211"/>
      <c r="AI453" s="211"/>
      <c r="AJ453" s="211"/>
      <c r="AK453" s="211"/>
      <c r="AL453" s="211"/>
      <c r="AM453" s="211"/>
      <c r="AN453" s="211">
        <f>INDEX($C$349:$AN$371,MATCH("New Customers 1MS",$C$349:$C$371,0),MATCH($C453,$C$349:$AN$349,0))</f>
        <v>38.8081989136139</v>
      </c>
    </row>
    <row r="454" spans="2:40" ht="12" hidden="1" customHeight="1" outlineLevel="2">
      <c r="B454" s="245"/>
      <c r="C454" s="213"/>
      <c r="D454" s="213"/>
      <c r="E454" s="213"/>
      <c r="F454" s="213"/>
      <c r="G454" s="213"/>
      <c r="H454" s="213"/>
      <c r="I454" s="213"/>
      <c r="J454" s="213"/>
      <c r="K454" s="213"/>
      <c r="L454" s="213"/>
      <c r="M454" s="213"/>
      <c r="N454" s="213"/>
      <c r="O454" s="213"/>
      <c r="P454" s="213"/>
      <c r="Q454" s="213"/>
      <c r="R454" s="213"/>
      <c r="S454" s="213"/>
      <c r="T454" s="213"/>
      <c r="U454" s="213"/>
      <c r="V454" s="213"/>
      <c r="W454" s="213"/>
      <c r="X454" s="213"/>
      <c r="Y454" s="213"/>
      <c r="Z454" s="213"/>
      <c r="AA454" s="213"/>
      <c r="AB454" s="211"/>
      <c r="AC454" s="211"/>
      <c r="AD454" s="211"/>
      <c r="AE454" s="211"/>
      <c r="AF454" s="211"/>
      <c r="AG454" s="211"/>
      <c r="AH454" s="211"/>
      <c r="AI454" s="211"/>
      <c r="AJ454" s="211"/>
      <c r="AK454" s="211"/>
      <c r="AL454" s="211"/>
      <c r="AM454" s="211"/>
      <c r="AN454" s="211"/>
    </row>
    <row r="455" spans="2:40" ht="12" hidden="1" customHeight="1" outlineLevel="3">
      <c r="B455" s="245"/>
      <c r="C455" s="243" t="s">
        <v>854</v>
      </c>
      <c r="D455" s="213"/>
      <c r="E455" s="213"/>
      <c r="F455" s="213"/>
      <c r="G455" s="213"/>
      <c r="H455" s="213"/>
      <c r="I455" s="213"/>
      <c r="J455" s="213"/>
      <c r="K455" s="213"/>
      <c r="L455" s="213"/>
      <c r="M455" s="213"/>
      <c r="N455" s="213"/>
      <c r="O455" s="213"/>
      <c r="P455" s="213"/>
      <c r="Q455" s="213"/>
      <c r="R455" s="213"/>
      <c r="S455" s="213"/>
      <c r="T455" s="213"/>
      <c r="U455" s="213"/>
      <c r="V455" s="213"/>
      <c r="W455" s="213"/>
      <c r="X455" s="213"/>
      <c r="Y455" s="213"/>
      <c r="Z455" s="213"/>
      <c r="AA455" s="213"/>
      <c r="AB455" s="213"/>
      <c r="AC455" s="211"/>
    </row>
    <row r="456" spans="2:40" ht="12" hidden="1" customHeight="1" outlineLevel="3">
      <c r="B456" s="239"/>
      <c r="C456" s="214" t="s">
        <v>850</v>
      </c>
      <c r="D456" s="214"/>
      <c r="E456" s="196" t="s">
        <v>753</v>
      </c>
      <c r="F456" s="196" t="s">
        <v>754</v>
      </c>
      <c r="G456" s="196" t="s">
        <v>755</v>
      </c>
      <c r="H456" s="196" t="s">
        <v>756</v>
      </c>
      <c r="I456" s="196" t="s">
        <v>757</v>
      </c>
      <c r="J456" s="196" t="s">
        <v>758</v>
      </c>
      <c r="K456" s="196" t="s">
        <v>759</v>
      </c>
      <c r="L456" s="196" t="s">
        <v>760</v>
      </c>
      <c r="M456" s="196" t="s">
        <v>761</v>
      </c>
      <c r="N456" s="196" t="s">
        <v>762</v>
      </c>
      <c r="O456" s="196" t="s">
        <v>763</v>
      </c>
      <c r="P456" s="196" t="s">
        <v>764</v>
      </c>
      <c r="Q456" s="196" t="s">
        <v>765</v>
      </c>
      <c r="R456" s="196" t="s">
        <v>766</v>
      </c>
      <c r="S456" s="196" t="s">
        <v>767</v>
      </c>
      <c r="T456" s="196" t="s">
        <v>768</v>
      </c>
      <c r="U456" s="196" t="s">
        <v>769</v>
      </c>
      <c r="V456" s="196" t="s">
        <v>770</v>
      </c>
      <c r="W456" s="196" t="s">
        <v>771</v>
      </c>
      <c r="X456" s="196" t="s">
        <v>772</v>
      </c>
      <c r="Y456" s="196" t="s">
        <v>773</v>
      </c>
      <c r="Z456" s="196" t="s">
        <v>774</v>
      </c>
      <c r="AA456" s="196" t="s">
        <v>775</v>
      </c>
      <c r="AB456" s="196" t="s">
        <v>776</v>
      </c>
      <c r="AC456" s="196" t="s">
        <v>777</v>
      </c>
      <c r="AD456" s="196" t="s">
        <v>778</v>
      </c>
      <c r="AE456" s="196" t="s">
        <v>779</v>
      </c>
      <c r="AF456" s="196" t="s">
        <v>780</v>
      </c>
      <c r="AG456" s="196" t="s">
        <v>781</v>
      </c>
      <c r="AH456" s="196" t="s">
        <v>782</v>
      </c>
      <c r="AI456" s="196" t="s">
        <v>783</v>
      </c>
      <c r="AJ456" s="196" t="s">
        <v>784</v>
      </c>
      <c r="AK456" s="196" t="s">
        <v>785</v>
      </c>
      <c r="AL456" s="196" t="s">
        <v>786</v>
      </c>
      <c r="AM456" s="196" t="s">
        <v>787</v>
      </c>
      <c r="AN456" s="196" t="s">
        <v>788</v>
      </c>
    </row>
    <row r="457" spans="2:40" ht="12" hidden="1" customHeight="1" outlineLevel="3">
      <c r="B457" s="239"/>
      <c r="C457" s="247" t="s">
        <v>851</v>
      </c>
      <c r="D457" s="214"/>
      <c r="E457" s="193">
        <v>0.86</v>
      </c>
      <c r="F457" s="192"/>
      <c r="G457" s="192"/>
      <c r="H457" s="193">
        <v>0.42</v>
      </c>
      <c r="I457" s="192"/>
      <c r="J457" s="192"/>
      <c r="K457" s="193">
        <v>0.26</v>
      </c>
      <c r="L457" s="192"/>
      <c r="M457" s="192"/>
      <c r="N457" s="193">
        <v>0.16</v>
      </c>
      <c r="O457" s="192"/>
      <c r="P457" s="192"/>
      <c r="Q457" s="193">
        <v>0.1</v>
      </c>
      <c r="R457" s="192"/>
      <c r="S457" s="192"/>
      <c r="T457" s="193">
        <v>0.06</v>
      </c>
      <c r="U457" s="192"/>
      <c r="V457" s="192"/>
      <c r="W457" s="193">
        <v>0.03</v>
      </c>
      <c r="X457" s="192"/>
      <c r="Y457" s="192"/>
      <c r="Z457" s="193">
        <v>0.01</v>
      </c>
      <c r="AA457" s="192"/>
      <c r="AB457" s="192"/>
      <c r="AC457" s="193">
        <v>0.01</v>
      </c>
      <c r="AD457" s="192"/>
      <c r="AE457" s="192"/>
      <c r="AF457" s="193">
        <v>0.01</v>
      </c>
      <c r="AG457" s="192"/>
      <c r="AH457" s="192"/>
      <c r="AI457" s="193">
        <v>0.01</v>
      </c>
      <c r="AJ457" s="192"/>
      <c r="AK457" s="192"/>
      <c r="AL457" s="193">
        <v>0.01</v>
      </c>
      <c r="AM457" s="192"/>
      <c r="AN457" s="192"/>
    </row>
    <row r="458" spans="2:40" ht="12" hidden="1" customHeight="1" outlineLevel="3">
      <c r="B458" s="245"/>
      <c r="C458" s="213" t="s">
        <v>753</v>
      </c>
      <c r="D458" s="213"/>
      <c r="E458" s="211">
        <f>INDEX($C$349:$AN$371, MATCH("New Customers 3MS", $C$349:$C$371, 0), MATCH($C458, $C$349:$AN$349, 0))</f>
        <v>0</v>
      </c>
      <c r="F458" s="211"/>
      <c r="G458" s="211"/>
      <c r="H458" s="211">
        <f>E458*(1-E457)</f>
        <v>0</v>
      </c>
      <c r="I458" s="211"/>
      <c r="J458" s="211"/>
      <c r="K458" s="211">
        <f>E458*(1-H457)</f>
        <v>0</v>
      </c>
      <c r="L458" s="211"/>
      <c r="M458" s="211"/>
      <c r="N458" s="211">
        <f>E458*(1-K457)</f>
        <v>0</v>
      </c>
      <c r="O458" s="211"/>
      <c r="P458" s="211"/>
      <c r="Q458" s="211">
        <f>E458*(1-N457)</f>
        <v>0</v>
      </c>
      <c r="R458" s="211"/>
      <c r="S458" s="211"/>
      <c r="T458" s="211">
        <f>E458*(1-Q457)</f>
        <v>0</v>
      </c>
      <c r="U458" s="211"/>
      <c r="V458" s="211"/>
      <c r="W458" s="211">
        <f>E458*(1-T457)</f>
        <v>0</v>
      </c>
      <c r="X458" s="211"/>
      <c r="Y458" s="211"/>
      <c r="Z458" s="211">
        <f>E458*(1-W457)</f>
        <v>0</v>
      </c>
      <c r="AA458" s="211"/>
      <c r="AB458" s="211"/>
      <c r="AC458" s="211">
        <f>E458*(1-Z457)</f>
        <v>0</v>
      </c>
      <c r="AD458" s="211"/>
      <c r="AE458" s="211"/>
      <c r="AF458" s="211">
        <f>E458*(1-AC457)</f>
        <v>0</v>
      </c>
      <c r="AG458" s="211"/>
      <c r="AH458" s="211"/>
      <c r="AI458" s="211">
        <f>E458*(1-AF457)</f>
        <v>0</v>
      </c>
      <c r="AJ458" s="211"/>
      <c r="AK458" s="211"/>
      <c r="AL458" s="211">
        <f>E458*(1-AI457)</f>
        <v>0</v>
      </c>
      <c r="AM458" s="211"/>
      <c r="AN458" s="211"/>
    </row>
    <row r="459" spans="2:40" ht="12" hidden="1" customHeight="1" outlineLevel="3">
      <c r="B459" s="245"/>
      <c r="C459" s="213" t="s">
        <v>754</v>
      </c>
      <c r="D459" s="213"/>
      <c r="E459" s="213"/>
      <c r="F459" s="211">
        <f>INDEX($C$349:$AN$371, MATCH("New Customers 3MS", $C$349:$C$371, 0), MATCH($C459, $C$349:$AN$349, 0))</f>
        <v>0</v>
      </c>
      <c r="G459" s="211"/>
      <c r="H459" s="211"/>
      <c r="I459" s="211">
        <f>F459*(E457)</f>
        <v>0</v>
      </c>
      <c r="J459" s="211"/>
      <c r="K459" s="211"/>
      <c r="L459" s="211">
        <f>F459*(H457)</f>
        <v>0</v>
      </c>
      <c r="M459" s="211"/>
      <c r="N459" s="211"/>
      <c r="O459" s="211">
        <f>F459*(K457)</f>
        <v>0</v>
      </c>
      <c r="P459" s="211"/>
      <c r="Q459" s="211"/>
      <c r="R459" s="211">
        <f>F459*(N457)</f>
        <v>0</v>
      </c>
      <c r="S459" s="211"/>
      <c r="T459" s="211"/>
      <c r="U459" s="211">
        <f>F459*(Q457)</f>
        <v>0</v>
      </c>
      <c r="V459" s="211"/>
      <c r="W459" s="211"/>
      <c r="X459" s="211">
        <f>F459*(T457)</f>
        <v>0</v>
      </c>
      <c r="Y459" s="211"/>
      <c r="Z459" s="211"/>
      <c r="AA459" s="211">
        <f>F459*(W457)</f>
        <v>0</v>
      </c>
      <c r="AB459" s="211"/>
      <c r="AC459" s="211"/>
      <c r="AD459" s="211">
        <f>F459*(Z457)</f>
        <v>0</v>
      </c>
      <c r="AE459" s="211"/>
      <c r="AF459" s="211"/>
      <c r="AG459" s="211">
        <f>F459*(AC457)</f>
        <v>0</v>
      </c>
      <c r="AH459" s="211"/>
      <c r="AI459" s="211"/>
      <c r="AJ459" s="211">
        <f>F459*(AF457)</f>
        <v>0</v>
      </c>
      <c r="AK459" s="211"/>
      <c r="AL459" s="211"/>
      <c r="AM459" s="211">
        <f>F459*(AI457)</f>
        <v>0</v>
      </c>
      <c r="AN459" s="211"/>
    </row>
    <row r="460" spans="2:40" ht="12" hidden="1" customHeight="1" outlineLevel="3">
      <c r="B460" s="245"/>
      <c r="C460" s="213" t="s">
        <v>755</v>
      </c>
      <c r="D460" s="213"/>
      <c r="E460" s="213"/>
      <c r="F460" s="213"/>
      <c r="G460" s="211">
        <f>INDEX($C$349:$AN$371, MATCH("New Customers 3MS", $C$349:$C$371, 0), MATCH($C460, $C$349:$AN$349, 0))</f>
        <v>0</v>
      </c>
      <c r="H460" s="211"/>
      <c r="I460" s="211"/>
      <c r="J460" s="211">
        <f>G460*(E457)</f>
        <v>0</v>
      </c>
      <c r="K460" s="211"/>
      <c r="L460" s="211"/>
      <c r="M460" s="211">
        <f>G460*(H457)</f>
        <v>0</v>
      </c>
      <c r="N460" s="211"/>
      <c r="O460" s="211"/>
      <c r="P460" s="211">
        <f>G460*(K457)</f>
        <v>0</v>
      </c>
      <c r="Q460" s="211"/>
      <c r="R460" s="211"/>
      <c r="S460" s="211">
        <f>G460*(N457)</f>
        <v>0</v>
      </c>
      <c r="T460" s="211"/>
      <c r="U460" s="211"/>
      <c r="V460" s="211">
        <f>G460*(Q457)</f>
        <v>0</v>
      </c>
      <c r="W460" s="211"/>
      <c r="X460" s="211"/>
      <c r="Y460" s="211">
        <f>G460*(T457)</f>
        <v>0</v>
      </c>
      <c r="Z460" s="211"/>
      <c r="AA460" s="211"/>
      <c r="AB460" s="211">
        <f>G460*(W457)</f>
        <v>0</v>
      </c>
      <c r="AC460" s="211"/>
      <c r="AD460" s="211"/>
      <c r="AE460" s="211">
        <f>G460*(Z457)</f>
        <v>0</v>
      </c>
      <c r="AF460" s="211"/>
      <c r="AG460" s="211"/>
      <c r="AH460" s="211">
        <f>G460*(AC457)</f>
        <v>0</v>
      </c>
      <c r="AI460" s="211"/>
      <c r="AJ460" s="211"/>
      <c r="AK460" s="211">
        <f>G460*(AF457)</f>
        <v>0</v>
      </c>
      <c r="AL460" s="211"/>
      <c r="AM460" s="211"/>
      <c r="AN460" s="211">
        <f>G460*(AI457)</f>
        <v>0</v>
      </c>
    </row>
    <row r="461" spans="2:40" ht="12" hidden="1" customHeight="1" outlineLevel="3">
      <c r="B461" s="245"/>
      <c r="C461" s="213" t="s">
        <v>756</v>
      </c>
      <c r="D461" s="213"/>
      <c r="E461" s="213"/>
      <c r="F461" s="213"/>
      <c r="G461" s="213"/>
      <c r="H461" s="211">
        <f>INDEX($C$349:$AN$371, MATCH("New Customers 3MS", $C$349:$C$371, 0), MATCH($C461, $C$349:$AN$349, 0))</f>
        <v>0</v>
      </c>
      <c r="I461" s="211"/>
      <c r="J461" s="211"/>
      <c r="K461" s="211">
        <f>H461*(E457)</f>
        <v>0</v>
      </c>
      <c r="L461" s="211"/>
      <c r="M461" s="211"/>
      <c r="N461" s="211">
        <f>H461*(H457)</f>
        <v>0</v>
      </c>
      <c r="O461" s="211"/>
      <c r="P461" s="211"/>
      <c r="Q461" s="211">
        <f>H461*(K457)</f>
        <v>0</v>
      </c>
      <c r="R461" s="211"/>
      <c r="S461" s="211"/>
      <c r="T461" s="211">
        <f>H461*(N457)</f>
        <v>0</v>
      </c>
      <c r="U461" s="211"/>
      <c r="V461" s="211"/>
      <c r="W461" s="211">
        <f>H461*(Q457)</f>
        <v>0</v>
      </c>
      <c r="X461" s="211"/>
      <c r="Y461" s="211"/>
      <c r="Z461" s="211">
        <f>H461*(T457)</f>
        <v>0</v>
      </c>
      <c r="AA461" s="211"/>
      <c r="AB461" s="211"/>
      <c r="AC461" s="211">
        <f>H461*(W457)</f>
        <v>0</v>
      </c>
      <c r="AD461" s="211"/>
      <c r="AE461" s="211"/>
      <c r="AF461" s="211">
        <f>H461*(Z457)</f>
        <v>0</v>
      </c>
      <c r="AG461" s="211"/>
      <c r="AH461" s="211"/>
      <c r="AI461" s="211">
        <f>H461*(AC457)</f>
        <v>0</v>
      </c>
      <c r="AJ461" s="211"/>
      <c r="AK461" s="211"/>
      <c r="AL461" s="211">
        <f>H461*(AF457)</f>
        <v>0</v>
      </c>
      <c r="AM461" s="211"/>
      <c r="AN461" s="211"/>
    </row>
    <row r="462" spans="2:40" ht="12" hidden="1" customHeight="1" outlineLevel="3">
      <c r="B462" s="245"/>
      <c r="C462" s="213" t="s">
        <v>757</v>
      </c>
      <c r="D462" s="213"/>
      <c r="E462" s="213"/>
      <c r="F462" s="213"/>
      <c r="G462" s="213"/>
      <c r="H462" s="213"/>
      <c r="I462" s="211">
        <f>INDEX($C$349:$AN$371, MATCH("New Customers 3MS", $C$349:$C$371, 0), MATCH($C462, $C$349:$AN$349, 0))</f>
        <v>0</v>
      </c>
      <c r="J462" s="211"/>
      <c r="K462" s="211"/>
      <c r="L462" s="211">
        <f>I462*(E457)</f>
        <v>0</v>
      </c>
      <c r="M462" s="211"/>
      <c r="N462" s="211"/>
      <c r="O462" s="211">
        <f>I462*(H457)</f>
        <v>0</v>
      </c>
      <c r="P462" s="211"/>
      <c r="Q462" s="211"/>
      <c r="R462" s="211">
        <f>I462*(K457)</f>
        <v>0</v>
      </c>
      <c r="S462" s="211"/>
      <c r="T462" s="211"/>
      <c r="U462" s="211">
        <f>I462*(N457)</f>
        <v>0</v>
      </c>
      <c r="V462" s="211"/>
      <c r="W462" s="211"/>
      <c r="X462" s="211">
        <f>I462*(Q457)</f>
        <v>0</v>
      </c>
      <c r="Y462" s="211"/>
      <c r="Z462" s="211"/>
      <c r="AA462" s="211">
        <f>I462*(T457)</f>
        <v>0</v>
      </c>
      <c r="AB462" s="211"/>
      <c r="AC462" s="211"/>
      <c r="AD462" s="211">
        <f>I462*(W457)</f>
        <v>0</v>
      </c>
      <c r="AE462" s="211"/>
      <c r="AF462" s="211"/>
      <c r="AG462" s="211">
        <f>I462*(Z457)</f>
        <v>0</v>
      </c>
      <c r="AH462" s="211"/>
      <c r="AI462" s="211"/>
      <c r="AJ462" s="211">
        <f>I462*(AC457)</f>
        <v>0</v>
      </c>
      <c r="AK462" s="211"/>
      <c r="AL462" s="211"/>
      <c r="AM462" s="211">
        <f>I462*(AF457)</f>
        <v>0</v>
      </c>
      <c r="AN462" s="211"/>
    </row>
    <row r="463" spans="2:40" ht="12" hidden="1" customHeight="1" outlineLevel="3">
      <c r="B463" s="245"/>
      <c r="C463" s="213" t="s">
        <v>758</v>
      </c>
      <c r="D463" s="213"/>
      <c r="E463" s="213"/>
      <c r="F463" s="213"/>
      <c r="G463" s="213"/>
      <c r="H463" s="213"/>
      <c r="I463" s="213"/>
      <c r="J463" s="211">
        <f>INDEX($C$349:$AN$371, MATCH("New Customers 3MS", $C$349:$C$371, 0), MATCH($C463, $C$349:$AN$349, 0))</f>
        <v>0</v>
      </c>
      <c r="K463" s="211"/>
      <c r="L463" s="211"/>
      <c r="M463" s="211">
        <f>J463*(E457)</f>
        <v>0</v>
      </c>
      <c r="N463" s="211"/>
      <c r="O463" s="211"/>
      <c r="P463" s="211">
        <f>J463*(H457)</f>
        <v>0</v>
      </c>
      <c r="Q463" s="211"/>
      <c r="R463" s="211"/>
      <c r="S463" s="211">
        <f>J463*(K457)</f>
        <v>0</v>
      </c>
      <c r="T463" s="211"/>
      <c r="U463" s="211"/>
      <c r="V463" s="211">
        <f>J463*(N457)</f>
        <v>0</v>
      </c>
      <c r="W463" s="211"/>
      <c r="X463" s="211"/>
      <c r="Y463" s="211">
        <f>J463*(Q457)</f>
        <v>0</v>
      </c>
      <c r="Z463" s="211"/>
      <c r="AA463" s="211"/>
      <c r="AB463" s="211">
        <f>J463*(T457)</f>
        <v>0</v>
      </c>
      <c r="AC463" s="211"/>
      <c r="AD463" s="211"/>
      <c r="AE463" s="211">
        <f>J463*(W457)</f>
        <v>0</v>
      </c>
      <c r="AF463" s="211"/>
      <c r="AG463" s="211"/>
      <c r="AH463" s="211">
        <f>J463*(Z457)</f>
        <v>0</v>
      </c>
      <c r="AI463" s="211"/>
      <c r="AJ463" s="211"/>
      <c r="AK463" s="211">
        <f>J463*(AC457)</f>
        <v>0</v>
      </c>
      <c r="AL463" s="211"/>
      <c r="AM463" s="211"/>
      <c r="AN463" s="211">
        <f>J463*(AF457)</f>
        <v>0</v>
      </c>
    </row>
    <row r="464" spans="2:40" ht="12" hidden="1" customHeight="1" outlineLevel="3">
      <c r="B464" s="245"/>
      <c r="C464" s="213" t="s">
        <v>759</v>
      </c>
      <c r="D464" s="213"/>
      <c r="E464" s="213"/>
      <c r="F464" s="213"/>
      <c r="G464" s="213"/>
      <c r="H464" s="213"/>
      <c r="I464" s="213"/>
      <c r="J464" s="213"/>
      <c r="K464" s="211">
        <f>INDEX($C$349:$AN$371, MATCH("New Customers 3MS", $C$349:$C$371, 0), MATCH($C464, $C$349:$AN$349, 0))</f>
        <v>0</v>
      </c>
      <c r="L464" s="211"/>
      <c r="M464" s="211"/>
      <c r="N464" s="211">
        <f>K464*(E457)</f>
        <v>0</v>
      </c>
      <c r="O464" s="211"/>
      <c r="P464" s="211"/>
      <c r="Q464" s="211">
        <f>K464*(H457)</f>
        <v>0</v>
      </c>
      <c r="R464" s="211"/>
      <c r="S464" s="211"/>
      <c r="T464" s="211">
        <f>K464*(K457)</f>
        <v>0</v>
      </c>
      <c r="U464" s="211"/>
      <c r="V464" s="211"/>
      <c r="W464" s="211">
        <f>K464*(N457)</f>
        <v>0</v>
      </c>
      <c r="X464" s="211"/>
      <c r="Y464" s="211"/>
      <c r="Z464" s="211">
        <f>K464*(Q457)</f>
        <v>0</v>
      </c>
      <c r="AA464" s="211"/>
      <c r="AB464" s="211"/>
      <c r="AC464" s="211">
        <f>K464*(T457)</f>
        <v>0</v>
      </c>
      <c r="AD464" s="211"/>
      <c r="AE464" s="211"/>
      <c r="AF464" s="211">
        <f>K464*(W457)</f>
        <v>0</v>
      </c>
      <c r="AG464" s="211"/>
      <c r="AH464" s="211"/>
      <c r="AI464" s="211">
        <f>K464*(Z457)</f>
        <v>0</v>
      </c>
      <c r="AJ464" s="211"/>
      <c r="AK464" s="211"/>
      <c r="AL464" s="211">
        <f>K464*(AC457)</f>
        <v>0</v>
      </c>
      <c r="AM464" s="211"/>
      <c r="AN464" s="211"/>
    </row>
    <row r="465" spans="2:40" ht="12" hidden="1" customHeight="1" outlineLevel="3">
      <c r="B465" s="245"/>
      <c r="C465" s="213" t="s">
        <v>760</v>
      </c>
      <c r="D465" s="213"/>
      <c r="E465" s="213"/>
      <c r="F465" s="213"/>
      <c r="G465" s="213"/>
      <c r="H465" s="213"/>
      <c r="I465" s="213"/>
      <c r="J465" s="213"/>
      <c r="K465" s="213"/>
      <c r="L465" s="211">
        <f>INDEX($C$349:$AN$371, MATCH("New Customers 3MS", $C$349:$C$371, 0), MATCH($C465, $C$349:$AN$349, 0))</f>
        <v>0</v>
      </c>
      <c r="M465" s="211"/>
      <c r="N465" s="211"/>
      <c r="O465" s="211">
        <f>L465*(E457)</f>
        <v>0</v>
      </c>
      <c r="P465" s="211"/>
      <c r="Q465" s="211"/>
      <c r="R465" s="211">
        <f>L465*(H457)</f>
        <v>0</v>
      </c>
      <c r="S465" s="211"/>
      <c r="T465" s="211"/>
      <c r="U465" s="211">
        <f>L465*(K457)</f>
        <v>0</v>
      </c>
      <c r="V465" s="211"/>
      <c r="W465" s="211"/>
      <c r="X465" s="211">
        <f>L465*(N457)</f>
        <v>0</v>
      </c>
      <c r="Y465" s="211"/>
      <c r="Z465" s="211"/>
      <c r="AA465" s="211">
        <f>L465*(Q457)</f>
        <v>0</v>
      </c>
      <c r="AB465" s="211"/>
      <c r="AC465" s="211"/>
      <c r="AD465" s="211">
        <f>L465*(T457)</f>
        <v>0</v>
      </c>
      <c r="AE465" s="211"/>
      <c r="AF465" s="211"/>
      <c r="AG465" s="211">
        <f>L465*(W457)</f>
        <v>0</v>
      </c>
      <c r="AH465" s="211"/>
      <c r="AI465" s="211"/>
      <c r="AJ465" s="211">
        <f>L465*(Z457)</f>
        <v>0</v>
      </c>
      <c r="AK465" s="211"/>
      <c r="AL465" s="211"/>
      <c r="AM465" s="211">
        <f>L465*(AC457)</f>
        <v>0</v>
      </c>
      <c r="AN465" s="211"/>
    </row>
    <row r="466" spans="2:40" ht="12" hidden="1" customHeight="1" outlineLevel="3">
      <c r="B466" s="245"/>
      <c r="C466" s="213" t="s">
        <v>761</v>
      </c>
      <c r="D466" s="213"/>
      <c r="E466" s="213"/>
      <c r="F466" s="213"/>
      <c r="G466" s="213"/>
      <c r="H466" s="213"/>
      <c r="I466" s="213"/>
      <c r="J466" s="213"/>
      <c r="K466" s="213"/>
      <c r="L466" s="213"/>
      <c r="M466" s="211">
        <f>INDEX($C$349:$AN$371, MATCH("New Customers 3MS", $C$349:$C$371, 0), MATCH($C466, $C$349:$AN$349, 0))</f>
        <v>0</v>
      </c>
      <c r="N466" s="211"/>
      <c r="O466" s="211"/>
      <c r="P466" s="211">
        <f>M466*(E457)</f>
        <v>0</v>
      </c>
      <c r="Q466" s="211"/>
      <c r="R466" s="211"/>
      <c r="S466" s="211">
        <f>M466*(H457)</f>
        <v>0</v>
      </c>
      <c r="T466" s="211"/>
      <c r="U466" s="211"/>
      <c r="V466" s="211">
        <f>M466*(K457)</f>
        <v>0</v>
      </c>
      <c r="W466" s="211"/>
      <c r="X466" s="211"/>
      <c r="Y466" s="211">
        <f>M466*(N457)</f>
        <v>0</v>
      </c>
      <c r="Z466" s="211"/>
      <c r="AA466" s="211"/>
      <c r="AB466" s="211">
        <f>M466*(Q457)</f>
        <v>0</v>
      </c>
      <c r="AC466" s="211"/>
      <c r="AD466" s="211"/>
      <c r="AE466" s="211">
        <f>M466*(T457)</f>
        <v>0</v>
      </c>
      <c r="AF466" s="211"/>
      <c r="AG466" s="211"/>
      <c r="AH466" s="211">
        <f>M466*(W457)</f>
        <v>0</v>
      </c>
      <c r="AI466" s="211"/>
      <c r="AJ466" s="211"/>
      <c r="AK466" s="211">
        <f>M466*(Z457)</f>
        <v>0</v>
      </c>
      <c r="AL466" s="211"/>
      <c r="AM466" s="211"/>
      <c r="AN466" s="211">
        <f>M466*(AC457)</f>
        <v>0</v>
      </c>
    </row>
    <row r="467" spans="2:40" ht="12" hidden="1" customHeight="1" outlineLevel="3">
      <c r="B467" s="245"/>
      <c r="C467" s="213" t="s">
        <v>762</v>
      </c>
      <c r="D467" s="213"/>
      <c r="E467" s="213"/>
      <c r="F467" s="213"/>
      <c r="G467" s="213"/>
      <c r="H467" s="213"/>
      <c r="I467" s="213"/>
      <c r="J467" s="213"/>
      <c r="K467" s="213"/>
      <c r="L467" s="213"/>
      <c r="M467" s="213"/>
      <c r="N467" s="211">
        <f>INDEX($C$349:$AN$371, MATCH("New Customers 3MS", $C$349:$C$371, 0), MATCH($C467, $C$349:$AN$349, 0))</f>
        <v>0</v>
      </c>
      <c r="O467" s="211"/>
      <c r="P467" s="211"/>
      <c r="Q467" s="211">
        <f>N467*(E457)</f>
        <v>0</v>
      </c>
      <c r="R467" s="211"/>
      <c r="S467" s="211"/>
      <c r="T467" s="211">
        <f>N467*(H457)</f>
        <v>0</v>
      </c>
      <c r="U467" s="211"/>
      <c r="V467" s="211"/>
      <c r="W467" s="211">
        <f>N467*(K457)</f>
        <v>0</v>
      </c>
      <c r="X467" s="211"/>
      <c r="Y467" s="211"/>
      <c r="Z467" s="211">
        <f>N467*(N457)</f>
        <v>0</v>
      </c>
      <c r="AA467" s="211"/>
      <c r="AB467" s="211"/>
      <c r="AC467" s="211">
        <f>N467*(Q457)</f>
        <v>0</v>
      </c>
      <c r="AD467" s="211"/>
      <c r="AE467" s="211"/>
      <c r="AF467" s="211">
        <f>N467*(T457)</f>
        <v>0</v>
      </c>
      <c r="AG467" s="211"/>
      <c r="AH467" s="211"/>
      <c r="AI467" s="211">
        <f>N467*(W457)</f>
        <v>0</v>
      </c>
      <c r="AJ467" s="211"/>
      <c r="AK467" s="211"/>
      <c r="AL467" s="211">
        <f>N467*(Z457)</f>
        <v>0</v>
      </c>
      <c r="AM467" s="211"/>
      <c r="AN467" s="211"/>
    </row>
    <row r="468" spans="2:40" ht="12" hidden="1" customHeight="1" outlineLevel="3">
      <c r="B468" s="245"/>
      <c r="C468" s="213" t="s">
        <v>763</v>
      </c>
      <c r="D468" s="213"/>
      <c r="E468" s="213"/>
      <c r="F468" s="213"/>
      <c r="G468" s="213"/>
      <c r="H468" s="213"/>
      <c r="I468" s="213"/>
      <c r="J468" s="213"/>
      <c r="K468" s="213"/>
      <c r="L468" s="213"/>
      <c r="M468" s="213"/>
      <c r="N468" s="213"/>
      <c r="O468" s="211">
        <f>INDEX($C$349:$AN$371, MATCH("New Customers 3MS", $C$349:$C$371, 0), MATCH($C468, $C$349:$AN$349, 0))</f>
        <v>0</v>
      </c>
      <c r="P468" s="211"/>
      <c r="Q468" s="211"/>
      <c r="R468" s="211">
        <f>O468*(E457)</f>
        <v>0</v>
      </c>
      <c r="S468" s="211"/>
      <c r="T468" s="211"/>
      <c r="U468" s="211">
        <f>O468*(H457)</f>
        <v>0</v>
      </c>
      <c r="V468" s="211"/>
      <c r="W468" s="211"/>
      <c r="X468" s="211">
        <f>O468*(K457)</f>
        <v>0</v>
      </c>
      <c r="Y468" s="211"/>
      <c r="Z468" s="211"/>
      <c r="AA468" s="211">
        <f>O468*(N457)</f>
        <v>0</v>
      </c>
      <c r="AB468" s="211"/>
      <c r="AC468" s="211"/>
      <c r="AD468" s="211">
        <f>O468*(Q457)</f>
        <v>0</v>
      </c>
      <c r="AE468" s="211"/>
      <c r="AF468" s="211"/>
      <c r="AG468" s="211">
        <f>O468*(T457)</f>
        <v>0</v>
      </c>
      <c r="AH468" s="211"/>
      <c r="AI468" s="211"/>
      <c r="AJ468" s="211">
        <f>O468*(W457)</f>
        <v>0</v>
      </c>
      <c r="AK468" s="211"/>
      <c r="AL468" s="211"/>
      <c r="AM468" s="211">
        <f>O468*(Z457)</f>
        <v>0</v>
      </c>
      <c r="AN468" s="211"/>
    </row>
    <row r="469" spans="2:40" ht="12" hidden="1" customHeight="1" outlineLevel="3">
      <c r="B469" s="245"/>
      <c r="C469" s="213" t="s">
        <v>764</v>
      </c>
      <c r="D469" s="213"/>
      <c r="E469" s="213"/>
      <c r="F469" s="213"/>
      <c r="G469" s="213"/>
      <c r="H469" s="213"/>
      <c r="I469" s="213"/>
      <c r="J469" s="213"/>
      <c r="K469" s="213"/>
      <c r="L469" s="213"/>
      <c r="M469" s="213"/>
      <c r="N469" s="213"/>
      <c r="O469" s="213"/>
      <c r="P469" s="211">
        <f>INDEX($C$349:$AN$371, MATCH("New Customers 3MS", $C$349:$C$371, 0), MATCH($C469, $C$349:$AN$349, 0))</f>
        <v>0</v>
      </c>
      <c r="Q469" s="211"/>
      <c r="R469" s="211"/>
      <c r="S469" s="211">
        <f>P469*(E457)</f>
        <v>0</v>
      </c>
      <c r="T469" s="211"/>
      <c r="U469" s="211"/>
      <c r="V469" s="211">
        <f>P469*(H457)</f>
        <v>0</v>
      </c>
      <c r="W469" s="211"/>
      <c r="X469" s="211"/>
      <c r="Y469" s="211">
        <f>P469*(K457)</f>
        <v>0</v>
      </c>
      <c r="Z469" s="211"/>
      <c r="AA469" s="211"/>
      <c r="AB469" s="211">
        <f>P469*(N457)</f>
        <v>0</v>
      </c>
      <c r="AC469" s="211"/>
      <c r="AD469" s="211"/>
      <c r="AE469" s="211">
        <f>P469*(Q457)</f>
        <v>0</v>
      </c>
      <c r="AF469" s="211"/>
      <c r="AG469" s="211"/>
      <c r="AH469" s="211">
        <f>P469*(T457)</f>
        <v>0</v>
      </c>
      <c r="AI469" s="211"/>
      <c r="AJ469" s="211"/>
      <c r="AK469" s="211">
        <f>P469*(W457)</f>
        <v>0</v>
      </c>
      <c r="AL469" s="211"/>
      <c r="AM469" s="211"/>
      <c r="AN469" s="211">
        <f>P469*(Z457)</f>
        <v>0</v>
      </c>
    </row>
    <row r="470" spans="2:40" ht="12" hidden="1" customHeight="1" outlineLevel="3">
      <c r="B470" s="245"/>
      <c r="C470" s="213" t="s">
        <v>765</v>
      </c>
      <c r="D470" s="213"/>
      <c r="E470" s="213"/>
      <c r="F470" s="213"/>
      <c r="G470" s="213"/>
      <c r="H470" s="213"/>
      <c r="I470" s="213"/>
      <c r="J470" s="213"/>
      <c r="K470" s="213"/>
      <c r="L470" s="213"/>
      <c r="M470" s="213"/>
      <c r="N470" s="213"/>
      <c r="O470" s="213"/>
      <c r="P470" s="213"/>
      <c r="Q470" s="211">
        <f>INDEX($C$349:$AN$371, MATCH("New Customers 3MS", $C$349:$C$371, 0), MATCH($C470, $C$349:$AN$349, 0))</f>
        <v>0</v>
      </c>
      <c r="R470" s="211"/>
      <c r="S470" s="211"/>
      <c r="T470" s="211">
        <f>Q470*(E457)</f>
        <v>0</v>
      </c>
      <c r="U470" s="211"/>
      <c r="V470" s="211"/>
      <c r="W470" s="211">
        <f>Q470*(H457)</f>
        <v>0</v>
      </c>
      <c r="X470" s="211"/>
      <c r="Y470" s="211"/>
      <c r="Z470" s="211">
        <f>Q470*(K457)</f>
        <v>0</v>
      </c>
      <c r="AA470" s="211"/>
      <c r="AB470" s="211"/>
      <c r="AC470" s="211">
        <f>Q470*(N457)</f>
        <v>0</v>
      </c>
      <c r="AD470" s="211"/>
      <c r="AE470" s="211"/>
      <c r="AF470" s="211">
        <f>Q470*(Q457)</f>
        <v>0</v>
      </c>
      <c r="AG470" s="211"/>
      <c r="AH470" s="211"/>
      <c r="AI470" s="211">
        <f>Q470*(T457)</f>
        <v>0</v>
      </c>
      <c r="AJ470" s="211"/>
      <c r="AK470" s="211"/>
      <c r="AL470" s="211">
        <f>Q470*(W457)</f>
        <v>0</v>
      </c>
      <c r="AM470" s="211"/>
      <c r="AN470" s="211"/>
    </row>
    <row r="471" spans="2:40" ht="12" hidden="1" customHeight="1" outlineLevel="3">
      <c r="B471" s="245"/>
      <c r="C471" s="213" t="s">
        <v>766</v>
      </c>
      <c r="D471" s="213"/>
      <c r="E471" s="213"/>
      <c r="F471" s="213"/>
      <c r="G471" s="213"/>
      <c r="H471" s="213"/>
      <c r="I471" s="213"/>
      <c r="J471" s="213"/>
      <c r="K471" s="213"/>
      <c r="L471" s="213"/>
      <c r="M471" s="213"/>
      <c r="N471" s="213"/>
      <c r="O471" s="213"/>
      <c r="P471" s="213"/>
      <c r="Q471" s="213"/>
      <c r="R471" s="211">
        <f>INDEX($C$349:$AN$371, MATCH("New Customers 3MS", $C$349:$C$371, 0), MATCH($C471, $C$349:$AN$349, 0))</f>
        <v>0</v>
      </c>
      <c r="S471" s="211"/>
      <c r="T471" s="211"/>
      <c r="U471" s="211">
        <f>R471*(E457)</f>
        <v>0</v>
      </c>
      <c r="V471" s="211"/>
      <c r="W471" s="211"/>
      <c r="X471" s="211">
        <f>R471*(H457)</f>
        <v>0</v>
      </c>
      <c r="Y471" s="211"/>
      <c r="Z471" s="211"/>
      <c r="AA471" s="211">
        <f>R471*(K457)</f>
        <v>0</v>
      </c>
      <c r="AB471" s="211"/>
      <c r="AC471" s="211"/>
      <c r="AD471" s="211">
        <f>R471*(N457)</f>
        <v>0</v>
      </c>
      <c r="AE471" s="211"/>
      <c r="AF471" s="211"/>
      <c r="AG471" s="211">
        <f>R471*(Q457)</f>
        <v>0</v>
      </c>
      <c r="AH471" s="211"/>
      <c r="AI471" s="211"/>
      <c r="AJ471" s="211">
        <f>R471*(T457)</f>
        <v>0</v>
      </c>
      <c r="AK471" s="211"/>
      <c r="AL471" s="211"/>
      <c r="AM471" s="211">
        <f>R471*(W457)</f>
        <v>0</v>
      </c>
      <c r="AN471" s="211"/>
    </row>
    <row r="472" spans="2:40" ht="12" hidden="1" customHeight="1" outlineLevel="3">
      <c r="B472" s="245"/>
      <c r="C472" s="213" t="s">
        <v>767</v>
      </c>
      <c r="D472" s="213"/>
      <c r="E472" s="213"/>
      <c r="F472" s="213"/>
      <c r="G472" s="213"/>
      <c r="H472" s="213"/>
      <c r="I472" s="213"/>
      <c r="J472" s="213"/>
      <c r="K472" s="213"/>
      <c r="L472" s="213"/>
      <c r="M472" s="213"/>
      <c r="N472" s="213"/>
      <c r="O472" s="213"/>
      <c r="P472" s="213"/>
      <c r="Q472" s="213"/>
      <c r="R472" s="213"/>
      <c r="S472" s="211">
        <f>INDEX($C$349:$AN$371, MATCH("New Customers 3MS", $C$349:$C$371, 0), MATCH($C472, $C$349:$AN$349, 0))</f>
        <v>0</v>
      </c>
      <c r="T472" s="211"/>
      <c r="U472" s="211"/>
      <c r="V472" s="211">
        <f>S472*(E457)</f>
        <v>0</v>
      </c>
      <c r="W472" s="211"/>
      <c r="X472" s="211"/>
      <c r="Y472" s="211">
        <f>S472*(H457)</f>
        <v>0</v>
      </c>
      <c r="Z472" s="211"/>
      <c r="AA472" s="211"/>
      <c r="AB472" s="211">
        <f>S472*(K457)</f>
        <v>0</v>
      </c>
      <c r="AC472" s="211"/>
      <c r="AD472" s="211"/>
      <c r="AE472" s="211">
        <f>S472*(N457)</f>
        <v>0</v>
      </c>
      <c r="AF472" s="211"/>
      <c r="AG472" s="211"/>
      <c r="AH472" s="211">
        <f>S472*(Q457)</f>
        <v>0</v>
      </c>
      <c r="AI472" s="211"/>
      <c r="AJ472" s="211"/>
      <c r="AK472" s="211">
        <f>S472*(T457)</f>
        <v>0</v>
      </c>
      <c r="AL472" s="211"/>
      <c r="AM472" s="211"/>
      <c r="AN472" s="211">
        <f>S472*(W457)</f>
        <v>0</v>
      </c>
    </row>
    <row r="473" spans="2:40" ht="12" hidden="1" customHeight="1" outlineLevel="3">
      <c r="B473" s="245"/>
      <c r="C473" s="213" t="s">
        <v>768</v>
      </c>
      <c r="D473" s="213"/>
      <c r="E473" s="213"/>
      <c r="F473" s="213"/>
      <c r="G473" s="213"/>
      <c r="H473" s="213"/>
      <c r="I473" s="213"/>
      <c r="J473" s="213"/>
      <c r="K473" s="213"/>
      <c r="L473" s="213"/>
      <c r="M473" s="213"/>
      <c r="N473" s="213"/>
      <c r="O473" s="213"/>
      <c r="P473" s="213"/>
      <c r="Q473" s="213"/>
      <c r="R473" s="213"/>
      <c r="S473" s="213"/>
      <c r="T473" s="211">
        <f>INDEX($C$349:$AN$371, MATCH("New Customers 3MS", $C$349:$C$371, 0), MATCH($C473, $C$349:$AN$349, 0))</f>
        <v>0</v>
      </c>
      <c r="U473" s="211"/>
      <c r="V473" s="211"/>
      <c r="W473" s="211">
        <f>T473*(E457)</f>
        <v>0</v>
      </c>
      <c r="X473" s="211"/>
      <c r="Y473" s="211"/>
      <c r="Z473" s="211">
        <f>T473*(H457)</f>
        <v>0</v>
      </c>
      <c r="AA473" s="211"/>
      <c r="AB473" s="211"/>
      <c r="AC473" s="211">
        <f>T473*(K457)</f>
        <v>0</v>
      </c>
      <c r="AD473" s="211"/>
      <c r="AE473" s="211"/>
      <c r="AF473" s="211">
        <f>T473*(N457)</f>
        <v>0</v>
      </c>
      <c r="AG473" s="211"/>
      <c r="AH473" s="211"/>
      <c r="AI473" s="211">
        <f>T473*(Q457)</f>
        <v>0</v>
      </c>
      <c r="AJ473" s="211"/>
      <c r="AK473" s="211"/>
      <c r="AL473" s="211">
        <f>T473*(T457)</f>
        <v>0</v>
      </c>
      <c r="AM473" s="211"/>
      <c r="AN473" s="211"/>
    </row>
    <row r="474" spans="2:40" ht="12" hidden="1" customHeight="1" outlineLevel="3">
      <c r="B474" s="245"/>
      <c r="C474" s="213" t="s">
        <v>769</v>
      </c>
      <c r="D474" s="213"/>
      <c r="E474" s="213"/>
      <c r="F474" s="213"/>
      <c r="G474" s="213"/>
      <c r="H474" s="213"/>
      <c r="I474" s="213"/>
      <c r="J474" s="213"/>
      <c r="K474" s="213"/>
      <c r="L474" s="213"/>
      <c r="M474" s="213"/>
      <c r="N474" s="213"/>
      <c r="O474" s="213"/>
      <c r="P474" s="213"/>
      <c r="Q474" s="213"/>
      <c r="R474" s="213"/>
      <c r="S474" s="213"/>
      <c r="T474" s="213"/>
      <c r="U474" s="211">
        <f>INDEX($C$349:$AN$371, MATCH("New Customers 3MS", $C$349:$C$371, 0), MATCH($C474, $C$349:$AN$349, 0))</f>
        <v>0</v>
      </c>
      <c r="V474" s="211"/>
      <c r="W474" s="211"/>
      <c r="X474" s="211">
        <f>U474*(E457)</f>
        <v>0</v>
      </c>
      <c r="Y474" s="211"/>
      <c r="Z474" s="211"/>
      <c r="AA474" s="211">
        <f>U474*(H457)</f>
        <v>0</v>
      </c>
      <c r="AB474" s="211"/>
      <c r="AC474" s="211"/>
      <c r="AD474" s="211">
        <f>U474*(K457)</f>
        <v>0</v>
      </c>
      <c r="AE474" s="211"/>
      <c r="AF474" s="211"/>
      <c r="AG474" s="211">
        <f>U474*(N457)</f>
        <v>0</v>
      </c>
      <c r="AH474" s="211"/>
      <c r="AI474" s="211"/>
      <c r="AJ474" s="211">
        <f>U474*(Q457)</f>
        <v>0</v>
      </c>
      <c r="AK474" s="211"/>
      <c r="AL474" s="211"/>
      <c r="AM474" s="211">
        <f>U474*(T457)</f>
        <v>0</v>
      </c>
      <c r="AN474" s="211"/>
    </row>
    <row r="475" spans="2:40" ht="12" hidden="1" customHeight="1" outlineLevel="3">
      <c r="B475" s="245"/>
      <c r="C475" s="213" t="s">
        <v>770</v>
      </c>
      <c r="D475" s="213"/>
      <c r="E475" s="213"/>
      <c r="F475" s="213"/>
      <c r="G475" s="213"/>
      <c r="H475" s="213"/>
      <c r="I475" s="213"/>
      <c r="J475" s="213"/>
      <c r="K475" s="213"/>
      <c r="L475" s="213"/>
      <c r="M475" s="213"/>
      <c r="N475" s="213"/>
      <c r="O475" s="213"/>
      <c r="P475" s="213"/>
      <c r="Q475" s="213"/>
      <c r="R475" s="213"/>
      <c r="S475" s="213"/>
      <c r="T475" s="213"/>
      <c r="U475" s="213"/>
      <c r="V475" s="211">
        <f>INDEX($C$349:$AN$371, MATCH("New Customers 3MS", $C$349:$C$371, 0), MATCH($C475, $C$349:$AN$349, 0))</f>
        <v>0</v>
      </c>
      <c r="W475" s="211"/>
      <c r="X475" s="211"/>
      <c r="Y475" s="211">
        <f>V475*(E457)</f>
        <v>0</v>
      </c>
      <c r="Z475" s="211"/>
      <c r="AA475" s="211"/>
      <c r="AB475" s="211">
        <f>V475*(H457)</f>
        <v>0</v>
      </c>
      <c r="AC475" s="211"/>
      <c r="AD475" s="211"/>
      <c r="AE475" s="211">
        <f>V475*(K457)</f>
        <v>0</v>
      </c>
      <c r="AF475" s="211"/>
      <c r="AG475" s="211"/>
      <c r="AH475" s="211">
        <f>V475*(N457)</f>
        <v>0</v>
      </c>
      <c r="AI475" s="211"/>
      <c r="AJ475" s="211"/>
      <c r="AK475" s="211">
        <f>V475*(Q457)</f>
        <v>0</v>
      </c>
      <c r="AL475" s="211"/>
      <c r="AM475" s="211"/>
      <c r="AN475" s="211">
        <f>V475*(T457)</f>
        <v>0</v>
      </c>
    </row>
    <row r="476" spans="2:40" ht="12" hidden="1" customHeight="1" outlineLevel="3">
      <c r="B476" s="245"/>
      <c r="C476" s="213" t="s">
        <v>771</v>
      </c>
      <c r="D476" s="213"/>
      <c r="E476" s="213"/>
      <c r="F476" s="213"/>
      <c r="G476" s="213"/>
      <c r="H476" s="213"/>
      <c r="I476" s="213"/>
      <c r="J476" s="213"/>
      <c r="K476" s="213"/>
      <c r="L476" s="213"/>
      <c r="M476" s="213"/>
      <c r="N476" s="213"/>
      <c r="O476" s="213"/>
      <c r="P476" s="213"/>
      <c r="Q476" s="213"/>
      <c r="R476" s="213"/>
      <c r="S476" s="213"/>
      <c r="T476" s="213"/>
      <c r="U476" s="213"/>
      <c r="V476" s="213"/>
      <c r="W476" s="211">
        <f>INDEX($C$349:$AN$371, MATCH("New Customers 3MS", $C$349:$C$371, 0), MATCH($C476, $C$349:$AN$349, 0))</f>
        <v>0</v>
      </c>
      <c r="X476" s="211"/>
      <c r="Y476" s="211"/>
      <c r="Z476" s="211">
        <f>W476*(E457)</f>
        <v>0</v>
      </c>
      <c r="AA476" s="211"/>
      <c r="AB476" s="211"/>
      <c r="AC476" s="211">
        <f>W476*(H457)</f>
        <v>0</v>
      </c>
      <c r="AD476" s="211"/>
      <c r="AE476" s="211"/>
      <c r="AF476" s="211">
        <f>W476*(K457)</f>
        <v>0</v>
      </c>
      <c r="AG476" s="211"/>
      <c r="AH476" s="211"/>
      <c r="AI476" s="211">
        <f>W476*(N457)</f>
        <v>0</v>
      </c>
      <c r="AJ476" s="211"/>
      <c r="AK476" s="211"/>
      <c r="AL476" s="211">
        <f>W476*(Q457)</f>
        <v>0</v>
      </c>
      <c r="AM476" s="211"/>
      <c r="AN476" s="211"/>
    </row>
    <row r="477" spans="2:40" ht="12" hidden="1" customHeight="1" outlineLevel="3">
      <c r="B477" s="245"/>
      <c r="C477" s="213" t="s">
        <v>772</v>
      </c>
      <c r="D477" s="213"/>
      <c r="E477" s="213"/>
      <c r="F477" s="213"/>
      <c r="G477" s="213"/>
      <c r="H477" s="213"/>
      <c r="I477" s="213"/>
      <c r="J477" s="213"/>
      <c r="K477" s="213"/>
      <c r="L477" s="213"/>
      <c r="M477" s="213"/>
      <c r="N477" s="213"/>
      <c r="O477" s="213"/>
      <c r="P477" s="213"/>
      <c r="Q477" s="213"/>
      <c r="R477" s="213"/>
      <c r="S477" s="213"/>
      <c r="T477" s="213"/>
      <c r="U477" s="213"/>
      <c r="V477" s="213"/>
      <c r="W477" s="213"/>
      <c r="X477" s="211">
        <f>INDEX($C$349:$AN$371, MATCH("New Customers 3MS", $C$349:$C$371, 0), MATCH($C477, $C$349:$AN$349, 0))</f>
        <v>0</v>
      </c>
      <c r="Y477" s="211"/>
      <c r="Z477" s="211"/>
      <c r="AA477" s="211">
        <f>X477*(E457)</f>
        <v>0</v>
      </c>
      <c r="AB477" s="211"/>
      <c r="AC477" s="211"/>
      <c r="AD477" s="211">
        <f>X477*(H457)</f>
        <v>0</v>
      </c>
      <c r="AE477" s="211"/>
      <c r="AF477" s="211"/>
      <c r="AG477" s="211">
        <f>X477*(K457)</f>
        <v>0</v>
      </c>
      <c r="AH477" s="211"/>
      <c r="AI477" s="211"/>
      <c r="AJ477" s="211">
        <f>X477*(N457)</f>
        <v>0</v>
      </c>
      <c r="AK477" s="211"/>
      <c r="AL477" s="211"/>
      <c r="AM477" s="211">
        <f>X477*(Q457)</f>
        <v>0</v>
      </c>
      <c r="AN477" s="211"/>
    </row>
    <row r="478" spans="2:40" ht="12" hidden="1" customHeight="1" outlineLevel="3">
      <c r="B478" s="245"/>
      <c r="C478" s="213" t="s">
        <v>773</v>
      </c>
      <c r="D478" s="213"/>
      <c r="E478" s="213"/>
      <c r="F478" s="213"/>
      <c r="G478" s="213"/>
      <c r="H478" s="213"/>
      <c r="I478" s="213"/>
      <c r="J478" s="213"/>
      <c r="K478" s="213"/>
      <c r="L478" s="213"/>
      <c r="M478" s="213"/>
      <c r="N478" s="213"/>
      <c r="O478" s="213"/>
      <c r="P478" s="213"/>
      <c r="Q478" s="213"/>
      <c r="R478" s="213"/>
      <c r="S478" s="213"/>
      <c r="T478" s="213"/>
      <c r="U478" s="213"/>
      <c r="V478" s="213"/>
      <c r="W478" s="213"/>
      <c r="X478" s="213"/>
      <c r="Y478" s="211">
        <f>INDEX($C$349:$AN$371, MATCH("New Customers 3MS", $C$349:$C$371, 0), MATCH($C478, $C$349:$AN$349, 0))</f>
        <v>0</v>
      </c>
      <c r="Z478" s="211"/>
      <c r="AA478" s="211"/>
      <c r="AB478" s="211">
        <f>Y478*(E457)</f>
        <v>0</v>
      </c>
      <c r="AC478" s="211"/>
      <c r="AD478" s="211"/>
      <c r="AE478" s="211">
        <f>Y478*(H457)</f>
        <v>0</v>
      </c>
      <c r="AF478" s="211"/>
      <c r="AG478" s="211"/>
      <c r="AH478" s="211">
        <f>Y478*(K457)</f>
        <v>0</v>
      </c>
      <c r="AI478" s="211"/>
      <c r="AJ478" s="211"/>
      <c r="AK478" s="211">
        <f>Y478*(N457)</f>
        <v>0</v>
      </c>
      <c r="AL478" s="211"/>
      <c r="AM478" s="211"/>
      <c r="AN478" s="211">
        <f>Y478*(Q457)</f>
        <v>0</v>
      </c>
    </row>
    <row r="479" spans="2:40" ht="12" hidden="1" customHeight="1" outlineLevel="3">
      <c r="B479" s="245"/>
      <c r="C479" s="213" t="s">
        <v>774</v>
      </c>
      <c r="D479" s="213"/>
      <c r="E479" s="213"/>
      <c r="F479" s="213"/>
      <c r="G479" s="213"/>
      <c r="H479" s="213"/>
      <c r="I479" s="213"/>
      <c r="J479" s="213"/>
      <c r="K479" s="213"/>
      <c r="L479" s="213"/>
      <c r="M479" s="213"/>
      <c r="N479" s="213"/>
      <c r="O479" s="213"/>
      <c r="P479" s="213"/>
      <c r="Q479" s="213"/>
      <c r="R479" s="213"/>
      <c r="S479" s="213"/>
      <c r="T479" s="213"/>
      <c r="U479" s="213"/>
      <c r="V479" s="213"/>
      <c r="W479" s="213"/>
      <c r="X479" s="213"/>
      <c r="Y479" s="213"/>
      <c r="Z479" s="211">
        <f>INDEX($C$349:$AN$371, MATCH("New Customers 3MS", $C$349:$C$371, 0), MATCH($C479, $C$349:$AN$349, 0))</f>
        <v>0</v>
      </c>
      <c r="AA479" s="211"/>
      <c r="AB479" s="211"/>
      <c r="AC479" s="211">
        <f>Z479*(E457)</f>
        <v>0</v>
      </c>
      <c r="AD479" s="211"/>
      <c r="AE479" s="211"/>
      <c r="AF479" s="211">
        <f>Z479*(H457)</f>
        <v>0</v>
      </c>
      <c r="AG479" s="211"/>
      <c r="AH479" s="211"/>
      <c r="AI479" s="211">
        <f>Z479*(K457)</f>
        <v>0</v>
      </c>
      <c r="AJ479" s="211"/>
      <c r="AK479" s="211"/>
      <c r="AL479" s="211">
        <f>Z479*(N457)</f>
        <v>0</v>
      </c>
      <c r="AM479" s="211"/>
      <c r="AN479" s="211"/>
    </row>
    <row r="480" spans="2:40" ht="12" hidden="1" customHeight="1" outlineLevel="3">
      <c r="B480" s="245"/>
      <c r="C480" s="213" t="s">
        <v>775</v>
      </c>
      <c r="D480" s="213"/>
      <c r="E480" s="213"/>
      <c r="F480" s="213"/>
      <c r="G480" s="213"/>
      <c r="H480" s="213"/>
      <c r="I480" s="213"/>
      <c r="J480" s="213"/>
      <c r="K480" s="213"/>
      <c r="L480" s="213"/>
      <c r="M480" s="213"/>
      <c r="N480" s="213"/>
      <c r="O480" s="213"/>
      <c r="P480" s="213"/>
      <c r="Q480" s="213"/>
      <c r="R480" s="213"/>
      <c r="S480" s="213"/>
      <c r="T480" s="213"/>
      <c r="U480" s="213"/>
      <c r="V480" s="213"/>
      <c r="W480" s="213"/>
      <c r="X480" s="213"/>
      <c r="Y480" s="213"/>
      <c r="Z480" s="213"/>
      <c r="AA480" s="211">
        <f>INDEX($C$349:$AN$371, MATCH("New Customers 3MS", $C$349:$C$371, 0), MATCH($C480, $C$349:$AN$349, 0))</f>
        <v>0</v>
      </c>
      <c r="AB480" s="211"/>
      <c r="AC480" s="211"/>
      <c r="AD480" s="211">
        <f>AA480*(E457)</f>
        <v>0</v>
      </c>
      <c r="AE480" s="211"/>
      <c r="AF480" s="211"/>
      <c r="AG480" s="211">
        <f>AA480*(H457)</f>
        <v>0</v>
      </c>
      <c r="AH480" s="211"/>
      <c r="AI480" s="211"/>
      <c r="AJ480" s="211">
        <f>AA480*(K457)</f>
        <v>0</v>
      </c>
      <c r="AK480" s="211"/>
      <c r="AL480" s="211"/>
      <c r="AM480" s="211">
        <f>AA480*(N457)</f>
        <v>0</v>
      </c>
      <c r="AN480" s="211"/>
    </row>
    <row r="481" spans="2:40" ht="12" hidden="1" customHeight="1" outlineLevel="3">
      <c r="B481" s="245"/>
      <c r="C481" s="213" t="s">
        <v>776</v>
      </c>
      <c r="D481" s="213"/>
      <c r="E481" s="213"/>
      <c r="F481" s="213"/>
      <c r="G481" s="213"/>
      <c r="H481" s="213"/>
      <c r="I481" s="213"/>
      <c r="J481" s="213"/>
      <c r="K481" s="213"/>
      <c r="L481" s="213"/>
      <c r="M481" s="213"/>
      <c r="N481" s="213"/>
      <c r="O481" s="213"/>
      <c r="P481" s="213"/>
      <c r="Q481" s="213"/>
      <c r="R481" s="213"/>
      <c r="S481" s="213"/>
      <c r="T481" s="213"/>
      <c r="U481" s="213"/>
      <c r="V481" s="213"/>
      <c r="W481" s="213"/>
      <c r="X481" s="213"/>
      <c r="Y481" s="213"/>
      <c r="Z481" s="213"/>
      <c r="AA481" s="213"/>
      <c r="AB481" s="211">
        <f>INDEX($C$349:$AN$371, MATCH("New Customers 3MS", $C$349:$C$371, 0), MATCH($C481, $C$349:$AN$349, 0))</f>
        <v>0</v>
      </c>
      <c r="AC481" s="211"/>
      <c r="AD481" s="211"/>
      <c r="AE481" s="211">
        <f>AB481*(E457)</f>
        <v>0</v>
      </c>
      <c r="AF481" s="211"/>
      <c r="AG481" s="211"/>
      <c r="AH481" s="211">
        <f>AB481*(H457)</f>
        <v>0</v>
      </c>
      <c r="AI481" s="211"/>
      <c r="AJ481" s="211"/>
      <c r="AK481" s="211">
        <f>AB481*($K$153)</f>
        <v>0</v>
      </c>
      <c r="AL481" s="211"/>
      <c r="AM481" s="211"/>
      <c r="AN481" s="211">
        <f>AB481*(N457)</f>
        <v>0</v>
      </c>
    </row>
    <row r="482" spans="2:40" ht="12" hidden="1" customHeight="1" outlineLevel="3">
      <c r="B482" s="245"/>
      <c r="C482" s="213" t="s">
        <v>777</v>
      </c>
      <c r="D482" s="213"/>
      <c r="E482" s="213"/>
      <c r="F482" s="213"/>
      <c r="G482" s="213"/>
      <c r="H482" s="213"/>
      <c r="I482" s="213"/>
      <c r="J482" s="213"/>
      <c r="K482" s="213"/>
      <c r="L482" s="213"/>
      <c r="M482" s="213"/>
      <c r="N482" s="213"/>
      <c r="O482" s="213"/>
      <c r="P482" s="213"/>
      <c r="Q482" s="213"/>
      <c r="R482" s="213"/>
      <c r="S482" s="213"/>
      <c r="T482" s="213"/>
      <c r="U482" s="213"/>
      <c r="V482" s="213"/>
      <c r="W482" s="213"/>
      <c r="X482" s="213"/>
      <c r="Y482" s="213"/>
      <c r="Z482" s="213"/>
      <c r="AA482" s="213"/>
      <c r="AB482" s="211"/>
      <c r="AC482" s="211">
        <f>INDEX($C$349:$AN$371, MATCH("New Customers 3MS", $C$349:$C$371, 0), MATCH($C482, $C$349:$AN$349, 0))</f>
        <v>0</v>
      </c>
      <c r="AD482" s="211"/>
      <c r="AE482" s="211"/>
      <c r="AF482" s="211">
        <f>AC482*($E$153)</f>
        <v>0</v>
      </c>
      <c r="AG482" s="211"/>
      <c r="AH482" s="211"/>
      <c r="AI482" s="211">
        <f>AB481*($H$153)</f>
        <v>0</v>
      </c>
      <c r="AJ482" s="211"/>
      <c r="AK482" s="211"/>
      <c r="AL482" s="211">
        <f>AC482*($K$153)</f>
        <v>0</v>
      </c>
      <c r="AM482" s="211"/>
      <c r="AN482" s="211"/>
    </row>
    <row r="483" spans="2:40" ht="12" hidden="1" customHeight="1" outlineLevel="3">
      <c r="B483" s="245"/>
      <c r="C483" s="213" t="s">
        <v>778</v>
      </c>
      <c r="D483" s="213"/>
      <c r="E483" s="213"/>
      <c r="F483" s="213"/>
      <c r="G483" s="213"/>
      <c r="H483" s="213"/>
      <c r="I483" s="213"/>
      <c r="J483" s="213"/>
      <c r="K483" s="213"/>
      <c r="L483" s="213"/>
      <c r="M483" s="213"/>
      <c r="N483" s="213"/>
      <c r="O483" s="213"/>
      <c r="P483" s="213"/>
      <c r="Q483" s="213"/>
      <c r="R483" s="213"/>
      <c r="S483" s="213"/>
      <c r="T483" s="213"/>
      <c r="U483" s="213"/>
      <c r="V483" s="213"/>
      <c r="W483" s="213"/>
      <c r="X483" s="213"/>
      <c r="Y483" s="213"/>
      <c r="Z483" s="213"/>
      <c r="AA483" s="213"/>
      <c r="AB483" s="211"/>
      <c r="AC483" s="211"/>
      <c r="AD483" s="211">
        <f>INDEX($C$349:$AN$371, MATCH("New Customers 3MS", $C$349:$C$371, 0), MATCH($C483, $C$349:$AN$349, 0))</f>
        <v>0</v>
      </c>
      <c r="AE483" s="211"/>
      <c r="AF483" s="211"/>
      <c r="AG483" s="211">
        <f>AD483*($E$153)</f>
        <v>0</v>
      </c>
      <c r="AH483" s="211"/>
      <c r="AI483" s="211"/>
      <c r="AJ483" s="211">
        <f>AB481*($H$153)</f>
        <v>0</v>
      </c>
      <c r="AK483" s="211"/>
      <c r="AL483" s="211"/>
      <c r="AM483" s="211">
        <f>AD483*($K$153)</f>
        <v>0</v>
      </c>
      <c r="AN483" s="211"/>
    </row>
    <row r="484" spans="2:40" ht="12" hidden="1" customHeight="1" outlineLevel="3">
      <c r="B484" s="245"/>
      <c r="C484" s="213" t="s">
        <v>779</v>
      </c>
      <c r="D484" s="213"/>
      <c r="E484" s="213"/>
      <c r="F484" s="213"/>
      <c r="G484" s="213"/>
      <c r="H484" s="213"/>
      <c r="I484" s="213"/>
      <c r="J484" s="213"/>
      <c r="K484" s="213"/>
      <c r="L484" s="213"/>
      <c r="M484" s="213"/>
      <c r="N484" s="213"/>
      <c r="O484" s="213"/>
      <c r="P484" s="213"/>
      <c r="Q484" s="213"/>
      <c r="R484" s="213"/>
      <c r="S484" s="213"/>
      <c r="T484" s="213"/>
      <c r="U484" s="213"/>
      <c r="V484" s="213"/>
      <c r="W484" s="213"/>
      <c r="X484" s="213"/>
      <c r="Y484" s="213"/>
      <c r="Z484" s="213"/>
      <c r="AA484" s="213"/>
      <c r="AB484" s="211"/>
      <c r="AC484" s="211"/>
      <c r="AD484" s="211"/>
      <c r="AE484" s="211">
        <f>INDEX($C$349:$AN$371, MATCH("New Customers 3MS", $C$349:$C$371, 0), MATCH($C484, $C$349:$AN$349, 0))</f>
        <v>0</v>
      </c>
      <c r="AF484" s="211"/>
      <c r="AG484" s="211"/>
      <c r="AH484" s="211">
        <f>AE484*($E$153)</f>
        <v>0</v>
      </c>
      <c r="AI484" s="211"/>
      <c r="AJ484" s="211"/>
      <c r="AK484" s="211">
        <f>AB481*($H$153)</f>
        <v>0</v>
      </c>
      <c r="AL484" s="211"/>
      <c r="AM484" s="211"/>
      <c r="AN484" s="211">
        <f>AE484*($K$153)</f>
        <v>0</v>
      </c>
    </row>
    <row r="485" spans="2:40" ht="12" hidden="1" customHeight="1" outlineLevel="3">
      <c r="B485" s="245"/>
      <c r="C485" s="213" t="s">
        <v>780</v>
      </c>
      <c r="D485" s="213"/>
      <c r="E485" s="213"/>
      <c r="F485" s="213"/>
      <c r="G485" s="213"/>
      <c r="H485" s="213"/>
      <c r="I485" s="213"/>
      <c r="J485" s="213"/>
      <c r="K485" s="213"/>
      <c r="L485" s="213"/>
      <c r="M485" s="213"/>
      <c r="N485" s="213"/>
      <c r="O485" s="213"/>
      <c r="P485" s="213"/>
      <c r="Q485" s="213"/>
      <c r="R485" s="213"/>
      <c r="S485" s="213"/>
      <c r="T485" s="213"/>
      <c r="U485" s="213"/>
      <c r="V485" s="213"/>
      <c r="W485" s="213"/>
      <c r="X485" s="213"/>
      <c r="Y485" s="213"/>
      <c r="Z485" s="213"/>
      <c r="AA485" s="213"/>
      <c r="AB485" s="211"/>
      <c r="AC485" s="211"/>
      <c r="AD485" s="211"/>
      <c r="AE485" s="211"/>
      <c r="AF485" s="211">
        <f>INDEX($C$349:$AN$371, MATCH("New Customers 3MS", $C$349:$C$371, 0), MATCH($C485, $C$349:$AN$349, 0))</f>
        <v>0</v>
      </c>
      <c r="AG485" s="211"/>
      <c r="AH485" s="211"/>
      <c r="AI485" s="211">
        <f>AF485*($E$153)</f>
        <v>0</v>
      </c>
      <c r="AJ485" s="211"/>
      <c r="AK485" s="211"/>
      <c r="AL485" s="211">
        <f>AB481*($H$153)</f>
        <v>0</v>
      </c>
      <c r="AM485" s="211"/>
      <c r="AN485" s="211"/>
    </row>
    <row r="486" spans="2:40" ht="12" hidden="1" customHeight="1" outlineLevel="3">
      <c r="B486" s="245"/>
      <c r="C486" s="213" t="s">
        <v>781</v>
      </c>
      <c r="D486" s="213"/>
      <c r="E486" s="213"/>
      <c r="F486" s="213"/>
      <c r="G486" s="213"/>
      <c r="H486" s="213"/>
      <c r="I486" s="213"/>
      <c r="J486" s="213"/>
      <c r="K486" s="213"/>
      <c r="L486" s="213"/>
      <c r="M486" s="213"/>
      <c r="N486" s="213"/>
      <c r="O486" s="213"/>
      <c r="P486" s="213"/>
      <c r="Q486" s="213"/>
      <c r="R486" s="213"/>
      <c r="S486" s="213"/>
      <c r="T486" s="213"/>
      <c r="U486" s="213"/>
      <c r="V486" s="213"/>
      <c r="W486" s="213"/>
      <c r="X486" s="213"/>
      <c r="Y486" s="213"/>
      <c r="Z486" s="213"/>
      <c r="AA486" s="213"/>
      <c r="AB486" s="211"/>
      <c r="AC486" s="211"/>
      <c r="AD486" s="211"/>
      <c r="AE486" s="211"/>
      <c r="AF486" s="211"/>
      <c r="AG486" s="211">
        <f>INDEX($C$349:$AN$371, MATCH("New Customers 3MS", $C$349:$C$371, 0), MATCH($C486, $C$349:$AN$349, 0))</f>
        <v>0</v>
      </c>
      <c r="AH486" s="211"/>
      <c r="AI486" s="211"/>
      <c r="AJ486" s="211">
        <f>AG486*($E$153)</f>
        <v>0</v>
      </c>
      <c r="AK486" s="211"/>
      <c r="AL486" s="211"/>
      <c r="AM486" s="211">
        <f>AB481*($H$153)</f>
        <v>0</v>
      </c>
      <c r="AN486" s="211"/>
    </row>
    <row r="487" spans="2:40" ht="12" hidden="1" customHeight="1" outlineLevel="3">
      <c r="B487" s="245"/>
      <c r="C487" s="213" t="s">
        <v>782</v>
      </c>
      <c r="D487" s="213"/>
      <c r="E487" s="213"/>
      <c r="F487" s="213"/>
      <c r="G487" s="213"/>
      <c r="H487" s="213"/>
      <c r="I487" s="213"/>
      <c r="J487" s="213"/>
      <c r="K487" s="213"/>
      <c r="L487" s="213"/>
      <c r="M487" s="213"/>
      <c r="N487" s="213"/>
      <c r="O487" s="213"/>
      <c r="P487" s="213"/>
      <c r="Q487" s="213"/>
      <c r="R487" s="213"/>
      <c r="S487" s="213"/>
      <c r="T487" s="213"/>
      <c r="U487" s="213"/>
      <c r="V487" s="213"/>
      <c r="W487" s="213"/>
      <c r="X487" s="213"/>
      <c r="Y487" s="213"/>
      <c r="Z487" s="213"/>
      <c r="AA487" s="213"/>
      <c r="AB487" s="211"/>
      <c r="AC487" s="211"/>
      <c r="AD487" s="211"/>
      <c r="AE487" s="211"/>
      <c r="AF487" s="211"/>
      <c r="AG487" s="211"/>
      <c r="AH487" s="211">
        <f>INDEX($C$349:$AN$371, MATCH("New Customers 3MS", $C$349:$C$371, 0), MATCH($C487, $C$349:$AN$349, 0))</f>
        <v>0</v>
      </c>
      <c r="AI487" s="211"/>
      <c r="AJ487" s="211"/>
      <c r="AK487" s="211">
        <f>AH487*($E$153)</f>
        <v>0</v>
      </c>
      <c r="AL487" s="211"/>
      <c r="AM487" s="211"/>
      <c r="AN487" s="211">
        <f>AB481*($H$153)</f>
        <v>0</v>
      </c>
    </row>
    <row r="488" spans="2:40" ht="12" hidden="1" customHeight="1" outlineLevel="3">
      <c r="B488" s="245"/>
      <c r="C488" s="213" t="s">
        <v>783</v>
      </c>
      <c r="D488" s="213"/>
      <c r="E488" s="213"/>
      <c r="F488" s="213"/>
      <c r="G488" s="213"/>
      <c r="H488" s="213"/>
      <c r="I488" s="213"/>
      <c r="J488" s="213"/>
      <c r="K488" s="213"/>
      <c r="L488" s="213"/>
      <c r="M488" s="213"/>
      <c r="N488" s="213"/>
      <c r="O488" s="213"/>
      <c r="P488" s="213"/>
      <c r="Q488" s="213"/>
      <c r="R488" s="213"/>
      <c r="S488" s="213"/>
      <c r="T488" s="213"/>
      <c r="U488" s="213"/>
      <c r="V488" s="213"/>
      <c r="W488" s="213"/>
      <c r="X488" s="213"/>
      <c r="Y488" s="213"/>
      <c r="Z488" s="213"/>
      <c r="AA488" s="213"/>
      <c r="AB488" s="211"/>
      <c r="AC488" s="211"/>
      <c r="AD488" s="211"/>
      <c r="AE488" s="211"/>
      <c r="AF488" s="211"/>
      <c r="AG488" s="211"/>
      <c r="AH488" s="211"/>
      <c r="AI488" s="211">
        <f>INDEX($C$349:$AN$371, MATCH("New Customers 3MS", $C$349:$C$371, 0), MATCH($C488, $C$349:$AN$349, 0))</f>
        <v>0</v>
      </c>
      <c r="AJ488" s="211"/>
      <c r="AK488" s="211"/>
      <c r="AL488" s="211">
        <f>AI488*($E$153)</f>
        <v>0</v>
      </c>
      <c r="AM488" s="211"/>
      <c r="AN488" s="211"/>
    </row>
    <row r="489" spans="2:40" ht="12" hidden="1" customHeight="1" outlineLevel="3">
      <c r="B489" s="245"/>
      <c r="C489" s="213" t="s">
        <v>784</v>
      </c>
      <c r="D489" s="213"/>
      <c r="E489" s="213"/>
      <c r="F489" s="213"/>
      <c r="G489" s="213"/>
      <c r="H489" s="213"/>
      <c r="I489" s="213"/>
      <c r="J489" s="213"/>
      <c r="K489" s="213"/>
      <c r="L489" s="213"/>
      <c r="M489" s="213"/>
      <c r="N489" s="213"/>
      <c r="O489" s="213"/>
      <c r="P489" s="213"/>
      <c r="Q489" s="213"/>
      <c r="R489" s="213"/>
      <c r="S489" s="213"/>
      <c r="T489" s="213"/>
      <c r="U489" s="213"/>
      <c r="V489" s="213"/>
      <c r="W489" s="213"/>
      <c r="X489" s="213"/>
      <c r="Y489" s="213"/>
      <c r="Z489" s="213"/>
      <c r="AA489" s="213"/>
      <c r="AB489" s="211"/>
      <c r="AC489" s="211"/>
      <c r="AD489" s="211"/>
      <c r="AE489" s="211"/>
      <c r="AF489" s="211"/>
      <c r="AG489" s="211"/>
      <c r="AH489" s="211"/>
      <c r="AI489" s="211"/>
      <c r="AJ489" s="211">
        <f>INDEX($C$349:$AN$371, MATCH("New Customers 3MS", $C$349:$C$371, 0), MATCH($C489, $C$349:$AN$349, 0))</f>
        <v>0</v>
      </c>
      <c r="AK489" s="211"/>
      <c r="AL489" s="211"/>
      <c r="AM489" s="211">
        <f>AJ489*($E$153)</f>
        <v>0</v>
      </c>
      <c r="AN489" s="211"/>
    </row>
    <row r="490" spans="2:40" ht="12" hidden="1" customHeight="1" outlineLevel="3">
      <c r="B490" s="245"/>
      <c r="C490" s="213" t="s">
        <v>785</v>
      </c>
      <c r="D490" s="213"/>
      <c r="E490" s="213"/>
      <c r="F490" s="213"/>
      <c r="G490" s="213"/>
      <c r="H490" s="213"/>
      <c r="I490" s="213"/>
      <c r="J490" s="213"/>
      <c r="K490" s="213"/>
      <c r="L490" s="213"/>
      <c r="M490" s="213"/>
      <c r="N490" s="213"/>
      <c r="O490" s="213"/>
      <c r="P490" s="213"/>
      <c r="Q490" s="213"/>
      <c r="R490" s="213"/>
      <c r="S490" s="213"/>
      <c r="T490" s="213"/>
      <c r="U490" s="213"/>
      <c r="V490" s="213"/>
      <c r="W490" s="213"/>
      <c r="X490" s="213"/>
      <c r="Y490" s="213"/>
      <c r="Z490" s="213"/>
      <c r="AA490" s="213"/>
      <c r="AB490" s="211"/>
      <c r="AC490" s="211"/>
      <c r="AD490" s="211"/>
      <c r="AE490" s="211"/>
      <c r="AF490" s="211"/>
      <c r="AG490" s="211"/>
      <c r="AH490" s="211"/>
      <c r="AI490" s="211"/>
      <c r="AJ490" s="211"/>
      <c r="AK490" s="211">
        <f>INDEX($C$349:$AN$371, MATCH("New Customers 3MS", $C$349:$C$371, 0), MATCH($C490, $C$349:$AN$349, 0))</f>
        <v>0</v>
      </c>
      <c r="AL490" s="211"/>
      <c r="AM490" s="211"/>
      <c r="AN490" s="211">
        <f>AK490*($E$153)</f>
        <v>0</v>
      </c>
    </row>
    <row r="491" spans="2:40" ht="12" hidden="1" customHeight="1" outlineLevel="3">
      <c r="B491" s="245"/>
      <c r="C491" s="213" t="s">
        <v>786</v>
      </c>
      <c r="D491" s="213"/>
      <c r="E491" s="213"/>
      <c r="F491" s="213"/>
      <c r="G491" s="213"/>
      <c r="H491" s="213"/>
      <c r="I491" s="213"/>
      <c r="J491" s="213"/>
      <c r="K491" s="213"/>
      <c r="L491" s="213"/>
      <c r="M491" s="213"/>
      <c r="N491" s="213"/>
      <c r="O491" s="213"/>
      <c r="P491" s="213"/>
      <c r="Q491" s="213"/>
      <c r="R491" s="213"/>
      <c r="S491" s="213"/>
      <c r="T491" s="213"/>
      <c r="U491" s="213"/>
      <c r="V491" s="213"/>
      <c r="W491" s="213"/>
      <c r="X491" s="213"/>
      <c r="Y491" s="213"/>
      <c r="Z491" s="213"/>
      <c r="AA491" s="213"/>
      <c r="AB491" s="211"/>
      <c r="AC491" s="211"/>
      <c r="AD491" s="211"/>
      <c r="AE491" s="211"/>
      <c r="AF491" s="211"/>
      <c r="AG491" s="211"/>
      <c r="AH491" s="211"/>
      <c r="AI491" s="211"/>
      <c r="AJ491" s="211"/>
      <c r="AK491" s="211"/>
      <c r="AL491" s="211">
        <f>INDEX($C$349:$AN$371, MATCH("New Customers 3MS", $C$349:$C$371, 0), MATCH($C491, $C$349:$AN$349, 0))</f>
        <v>0</v>
      </c>
      <c r="AM491" s="211"/>
      <c r="AN491" s="211"/>
    </row>
    <row r="492" spans="2:40" ht="12" hidden="1" customHeight="1" outlineLevel="3">
      <c r="B492" s="245"/>
      <c r="C492" s="213" t="s">
        <v>787</v>
      </c>
      <c r="D492" s="213"/>
      <c r="E492" s="213"/>
      <c r="F492" s="213"/>
      <c r="G492" s="213"/>
      <c r="H492" s="213"/>
      <c r="I492" s="213"/>
      <c r="J492" s="213"/>
      <c r="K492" s="213"/>
      <c r="L492" s="213"/>
      <c r="M492" s="213"/>
      <c r="N492" s="213"/>
      <c r="O492" s="213"/>
      <c r="P492" s="213"/>
      <c r="Q492" s="213"/>
      <c r="R492" s="213"/>
      <c r="S492" s="213"/>
      <c r="T492" s="213"/>
      <c r="U492" s="213"/>
      <c r="V492" s="213"/>
      <c r="W492" s="213"/>
      <c r="X492" s="213"/>
      <c r="Y492" s="213"/>
      <c r="Z492" s="213"/>
      <c r="AA492" s="213"/>
      <c r="AB492" s="211"/>
      <c r="AC492" s="211"/>
      <c r="AD492" s="211"/>
      <c r="AE492" s="211"/>
      <c r="AF492" s="211"/>
      <c r="AG492" s="211"/>
      <c r="AH492" s="211"/>
      <c r="AI492" s="211"/>
      <c r="AJ492" s="211"/>
      <c r="AK492" s="211"/>
      <c r="AL492" s="211"/>
      <c r="AM492" s="211">
        <f>INDEX($C$349:$AN$371, MATCH("New Customers 3MS", $C$349:$C$371, 0), MATCH($C492, $C$349:$AN$349, 0))</f>
        <v>0</v>
      </c>
      <c r="AN492" s="211"/>
    </row>
    <row r="493" spans="2:40" ht="12" hidden="1" customHeight="1" outlineLevel="3">
      <c r="B493" s="245"/>
      <c r="C493" s="213" t="s">
        <v>788</v>
      </c>
      <c r="D493" s="213"/>
      <c r="E493" s="213"/>
      <c r="F493" s="213"/>
      <c r="G493" s="213"/>
      <c r="H493" s="213"/>
      <c r="I493" s="213"/>
      <c r="J493" s="213"/>
      <c r="K493" s="213"/>
      <c r="L493" s="213"/>
      <c r="M493" s="213"/>
      <c r="N493" s="213"/>
      <c r="O493" s="213"/>
      <c r="P493" s="213"/>
      <c r="Q493" s="213"/>
      <c r="R493" s="213"/>
      <c r="S493" s="213"/>
      <c r="T493" s="213"/>
      <c r="U493" s="213"/>
      <c r="V493" s="213"/>
      <c r="W493" s="213"/>
      <c r="X493" s="213"/>
      <c r="Y493" s="213"/>
      <c r="Z493" s="213"/>
      <c r="AA493" s="213"/>
      <c r="AB493" s="211"/>
      <c r="AC493" s="211"/>
      <c r="AD493" s="211"/>
      <c r="AE493" s="211"/>
      <c r="AF493" s="211"/>
      <c r="AG493" s="211"/>
      <c r="AH493" s="211"/>
      <c r="AI493" s="211"/>
      <c r="AJ493" s="211"/>
      <c r="AK493" s="211"/>
      <c r="AL493" s="211"/>
      <c r="AM493" s="211"/>
      <c r="AN493" s="211">
        <f>INDEX($C$349:$AN$371, MATCH("New Customers 3MS", $C$349:$C$371, 0), MATCH($C493, $C$349:$AN$349, 0))</f>
        <v>0</v>
      </c>
    </row>
    <row r="494" spans="2:40" ht="12" hidden="1" customHeight="1" outlineLevel="2">
      <c r="B494" s="239"/>
      <c r="C494" s="214"/>
      <c r="D494" s="214"/>
      <c r="E494" s="214"/>
      <c r="F494" s="214"/>
      <c r="G494" s="214"/>
      <c r="H494" s="214"/>
      <c r="I494" s="214"/>
      <c r="J494" s="214"/>
      <c r="K494" s="214"/>
      <c r="L494" s="214"/>
      <c r="M494" s="214"/>
      <c r="N494" s="214"/>
      <c r="O494" s="214"/>
      <c r="P494" s="214"/>
      <c r="Q494" s="214"/>
      <c r="R494" s="214"/>
      <c r="S494" s="214"/>
      <c r="T494" s="214"/>
      <c r="U494" s="214"/>
      <c r="V494" s="214"/>
      <c r="W494" s="214"/>
      <c r="X494" s="214"/>
      <c r="Y494" s="214"/>
      <c r="Z494" s="214"/>
      <c r="AA494" s="214"/>
      <c r="AB494" s="214"/>
      <c r="AC494" s="212"/>
    </row>
    <row r="495" spans="2:40" ht="12" customHeight="1" outlineLevel="1" collapsed="1">
      <c r="B495" s="239"/>
      <c r="C495" s="243" t="s">
        <v>855</v>
      </c>
      <c r="D495" s="214"/>
      <c r="E495" s="214"/>
      <c r="F495" s="214"/>
      <c r="G495" s="214"/>
      <c r="H495" s="214"/>
      <c r="I495" s="214"/>
      <c r="J495" s="214"/>
      <c r="K495" s="214"/>
      <c r="L495" s="214"/>
      <c r="M495" s="214"/>
      <c r="N495" s="214"/>
      <c r="O495" s="214"/>
      <c r="P495" s="214"/>
      <c r="Q495" s="214"/>
      <c r="R495" s="214"/>
      <c r="S495" s="214"/>
      <c r="T495" s="214"/>
      <c r="U495" s="214"/>
      <c r="V495" s="214"/>
      <c r="W495" s="214"/>
      <c r="X495" s="214"/>
      <c r="Y495" s="214"/>
      <c r="Z495" s="214"/>
      <c r="AA495" s="214"/>
      <c r="AB495" s="214"/>
      <c r="AC495" s="214"/>
    </row>
    <row r="496" spans="2:40" ht="12" customHeight="1" outlineLevel="1">
      <c r="B496" s="239"/>
      <c r="C496" s="243"/>
      <c r="D496" s="214"/>
      <c r="E496" s="214"/>
      <c r="F496" s="214"/>
      <c r="G496" s="214"/>
      <c r="H496" s="214"/>
      <c r="I496" s="214"/>
      <c r="J496" s="214"/>
      <c r="K496" s="214"/>
      <c r="L496" s="214"/>
      <c r="M496" s="214"/>
      <c r="N496" s="214"/>
      <c r="O496" s="214"/>
      <c r="P496" s="214"/>
      <c r="Q496" s="214"/>
      <c r="R496" s="214"/>
      <c r="S496" s="214"/>
      <c r="T496" s="214"/>
      <c r="U496" s="214"/>
      <c r="V496" s="214"/>
      <c r="W496" s="214"/>
      <c r="X496" s="214"/>
      <c r="Y496" s="214"/>
      <c r="Z496" s="214"/>
      <c r="AA496" s="214"/>
      <c r="AB496" s="214"/>
      <c r="AC496" s="214"/>
    </row>
    <row r="497" outlineLevel="1"/>
  </sheetData>
  <sheetProtection sheet="1" objects="1" scenarios="1"/>
  <pageMargins left="0.7" right="0.7" top="0.75" bottom="0.75" header="0.3" footer="0.3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08C1C-7B09-CD47-BA0B-560D894C6C52}">
  <dimension ref="A1:AX293"/>
  <sheetViews>
    <sheetView topLeftCell="A221" zoomScaleNormal="100" workbookViewId="0">
      <pane xSplit="1" topLeftCell="M1" activePane="topRight" state="frozen"/>
      <selection pane="topRight" activeCell="W249" sqref="W249:Z255"/>
    </sheetView>
  </sheetViews>
  <sheetFormatPr baseColWidth="10" defaultColWidth="8.5" defaultRowHeight="12" outlineLevelRow="1" outlineLevelCol="2"/>
  <cols>
    <col min="1" max="1" width="48.83203125" style="477" bestFit="1" customWidth="1"/>
    <col min="2" max="2" width="11.5" style="477" bestFit="1" customWidth="1"/>
    <col min="3" max="3" width="8.5" style="477" bestFit="1" customWidth="1"/>
    <col min="4" max="4" width="11" style="477" customWidth="1"/>
    <col min="5" max="5" width="12" style="477" customWidth="1"/>
    <col min="6" max="13" width="10.5" style="477" customWidth="1" outlineLevel="2"/>
    <col min="14" max="14" width="12.5" style="477" customWidth="1" outlineLevel="1"/>
    <col min="15" max="16" width="11.83203125" style="477" customWidth="1" outlineLevel="1"/>
    <col min="17" max="17" width="11.5" style="477" customWidth="1" outlineLevel="1"/>
    <col min="18" max="18" width="12" style="477" customWidth="1"/>
    <col min="19" max="19" width="7" style="477" customWidth="1" outlineLevel="1"/>
    <col min="20" max="20" width="13.1640625" style="477" customWidth="1" outlineLevel="1"/>
    <col min="21" max="21" width="8.33203125" style="477" customWidth="1"/>
    <col min="22" max="24" width="10.5" style="477" customWidth="1" outlineLevel="1"/>
    <col min="25" max="25" width="14" style="477" customWidth="1" outlineLevel="1"/>
    <col min="26" max="26" width="11.1640625" style="477" bestFit="1" customWidth="1" outlineLevel="1"/>
    <col min="27" max="33" width="12.5" style="477" customWidth="1" outlineLevel="1"/>
    <col min="34" max="34" width="12.5" style="477" customWidth="1"/>
    <col min="35" max="36" width="8.5" style="477" bestFit="1" customWidth="1"/>
    <col min="37" max="43" width="10.5" style="477" bestFit="1" customWidth="1"/>
    <col min="44" max="44" width="11.83203125" style="477" bestFit="1" customWidth="1"/>
    <col min="45" max="45" width="13" style="477" customWidth="1"/>
    <col min="46" max="46" width="11.83203125" style="477" bestFit="1" customWidth="1"/>
    <col min="47" max="48" width="10.5" style="477" bestFit="1" customWidth="1"/>
    <col min="49" max="49" width="11.83203125" style="477" bestFit="1" customWidth="1"/>
    <col min="50" max="16384" width="8.5" style="477"/>
  </cols>
  <sheetData>
    <row r="1" spans="1:49" outlineLevel="1">
      <c r="A1" s="37"/>
      <c r="B1" s="41"/>
      <c r="C1" s="41"/>
      <c r="D1" s="37"/>
      <c r="E1" s="40"/>
      <c r="F1" s="38">
        <f>'Combined P&amp;L'!F8</f>
        <v>289271</v>
      </c>
      <c r="G1" s="38">
        <f>'Combined P&amp;L'!G8</f>
        <v>509722</v>
      </c>
      <c r="H1" s="38">
        <f>'Combined P&amp;L'!H8</f>
        <v>591785</v>
      </c>
      <c r="I1" s="38">
        <f>'Combined P&amp;L'!I8</f>
        <v>418370</v>
      </c>
      <c r="J1" s="38">
        <f>'Combined P&amp;L'!J8</f>
        <v>329766</v>
      </c>
      <c r="K1" s="38">
        <f>'Combined P&amp;L'!K8</f>
        <v>506223</v>
      </c>
      <c r="L1" s="38">
        <f>'Combined P&amp;L'!L8</f>
        <v>705912</v>
      </c>
      <c r="M1" s="38">
        <f>'Combined P&amp;L'!M8</f>
        <v>764505</v>
      </c>
      <c r="N1" s="39">
        <f>'Combined P&amp;L'!N8</f>
        <v>767320</v>
      </c>
      <c r="O1" s="39">
        <f>'Combined P&amp;L'!O8</f>
        <v>569633</v>
      </c>
      <c r="P1" s="39">
        <f>'Combined P&amp;L'!P8</f>
        <v>0</v>
      </c>
      <c r="Q1" s="39">
        <f>'Combined P&amp;L'!Q8</f>
        <v>6628963</v>
      </c>
      <c r="R1" s="39"/>
      <c r="S1" s="39"/>
      <c r="T1" s="40"/>
      <c r="U1" s="40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45"/>
      <c r="AI1" s="13"/>
      <c r="AJ1" s="13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45"/>
    </row>
    <row r="2" spans="1:49">
      <c r="A2" s="13"/>
      <c r="B2" s="13"/>
      <c r="C2" s="13"/>
      <c r="D2" s="13"/>
      <c r="E2" s="13"/>
      <c r="F2" s="31" t="s">
        <v>180</v>
      </c>
      <c r="G2" s="31" t="s">
        <v>180</v>
      </c>
      <c r="H2" s="31" t="s">
        <v>180</v>
      </c>
      <c r="I2" s="31" t="s">
        <v>180</v>
      </c>
      <c r="J2" s="31" t="s">
        <v>180</v>
      </c>
      <c r="K2" s="31" t="s">
        <v>180</v>
      </c>
      <c r="L2" s="31" t="s">
        <v>180</v>
      </c>
      <c r="M2" s="31" t="s">
        <v>180</v>
      </c>
      <c r="N2" s="177" t="s">
        <v>42</v>
      </c>
      <c r="O2" s="177" t="s">
        <v>42</v>
      </c>
      <c r="P2" s="177" t="s">
        <v>42</v>
      </c>
      <c r="Q2" s="177" t="s">
        <v>42</v>
      </c>
      <c r="R2" s="178"/>
      <c r="S2" s="13"/>
      <c r="T2" s="178"/>
      <c r="U2" s="13"/>
      <c r="V2" s="177" t="s">
        <v>42</v>
      </c>
      <c r="W2" s="177" t="s">
        <v>42</v>
      </c>
      <c r="X2" s="177" t="s">
        <v>42</v>
      </c>
      <c r="Y2" s="177" t="s">
        <v>42</v>
      </c>
      <c r="Z2" s="177" t="s">
        <v>42</v>
      </c>
      <c r="AA2" s="177" t="s">
        <v>42</v>
      </c>
      <c r="AB2" s="177" t="s">
        <v>42</v>
      </c>
      <c r="AC2" s="177" t="s">
        <v>42</v>
      </c>
      <c r="AD2" s="177" t="s">
        <v>42</v>
      </c>
      <c r="AE2" s="177" t="s">
        <v>42</v>
      </c>
      <c r="AF2" s="177" t="s">
        <v>42</v>
      </c>
      <c r="AG2" s="177" t="s">
        <v>42</v>
      </c>
      <c r="AH2" s="178"/>
      <c r="AI2" s="13"/>
      <c r="AJ2" s="13"/>
      <c r="AK2" s="177" t="s">
        <v>42</v>
      </c>
      <c r="AL2" s="177" t="s">
        <v>42</v>
      </c>
      <c r="AM2" s="177" t="s">
        <v>42</v>
      </c>
      <c r="AN2" s="177" t="s">
        <v>42</v>
      </c>
      <c r="AO2" s="177" t="s">
        <v>42</v>
      </c>
      <c r="AP2" s="177" t="s">
        <v>42</v>
      </c>
      <c r="AQ2" s="177" t="s">
        <v>42</v>
      </c>
      <c r="AR2" s="177" t="s">
        <v>42</v>
      </c>
      <c r="AS2" s="177" t="s">
        <v>42</v>
      </c>
      <c r="AT2" s="177" t="s">
        <v>42</v>
      </c>
      <c r="AU2" s="177" t="s">
        <v>42</v>
      </c>
      <c r="AV2" s="177" t="s">
        <v>42</v>
      </c>
      <c r="AW2" s="178"/>
    </row>
    <row r="3" spans="1:49" s="478" customFormat="1" ht="26">
      <c r="A3" s="32" t="s">
        <v>217</v>
      </c>
      <c r="B3" s="32" t="s">
        <v>218</v>
      </c>
      <c r="C3" s="32" t="s">
        <v>219</v>
      </c>
      <c r="D3" s="32" t="s">
        <v>220</v>
      </c>
      <c r="E3" s="35" t="s">
        <v>221</v>
      </c>
      <c r="F3" s="33">
        <v>45689</v>
      </c>
      <c r="G3" s="33">
        <v>45717</v>
      </c>
      <c r="H3" s="33">
        <v>45748</v>
      </c>
      <c r="I3" s="33">
        <v>45808</v>
      </c>
      <c r="J3" s="33">
        <v>45838</v>
      </c>
      <c r="K3" s="33">
        <v>45869</v>
      </c>
      <c r="L3" s="33">
        <v>45900</v>
      </c>
      <c r="M3" s="33">
        <v>45930</v>
      </c>
      <c r="N3" s="179">
        <v>45961</v>
      </c>
      <c r="O3" s="179">
        <v>45991</v>
      </c>
      <c r="P3" s="179">
        <v>46022</v>
      </c>
      <c r="Q3" s="179">
        <v>46053</v>
      </c>
      <c r="R3" s="179" t="s">
        <v>222</v>
      </c>
      <c r="S3" s="34"/>
      <c r="T3" s="179" t="s">
        <v>223</v>
      </c>
      <c r="U3" s="34"/>
      <c r="V3" s="179">
        <v>46054</v>
      </c>
      <c r="W3" s="179">
        <v>46082</v>
      </c>
      <c r="X3" s="179">
        <v>46113</v>
      </c>
      <c r="Y3" s="179">
        <v>46143</v>
      </c>
      <c r="Z3" s="179">
        <v>46174</v>
      </c>
      <c r="AA3" s="179">
        <v>46204</v>
      </c>
      <c r="AB3" s="179">
        <v>46235</v>
      </c>
      <c r="AC3" s="179">
        <v>46266</v>
      </c>
      <c r="AD3" s="179">
        <v>46296</v>
      </c>
      <c r="AE3" s="179">
        <v>46327</v>
      </c>
      <c r="AF3" s="179">
        <v>46357</v>
      </c>
      <c r="AG3" s="179">
        <v>46388</v>
      </c>
      <c r="AH3" s="179" t="s">
        <v>224</v>
      </c>
      <c r="AI3" s="34"/>
      <c r="AJ3" s="34"/>
      <c r="AK3" s="179">
        <v>46419</v>
      </c>
      <c r="AL3" s="179">
        <v>46447</v>
      </c>
      <c r="AM3" s="179">
        <v>46478</v>
      </c>
      <c r="AN3" s="179">
        <v>46508</v>
      </c>
      <c r="AO3" s="179">
        <v>46539</v>
      </c>
      <c r="AP3" s="179">
        <v>46569</v>
      </c>
      <c r="AQ3" s="179">
        <v>46600</v>
      </c>
      <c r="AR3" s="179">
        <v>46631</v>
      </c>
      <c r="AS3" s="179">
        <v>46661</v>
      </c>
      <c r="AT3" s="179">
        <v>46692</v>
      </c>
      <c r="AU3" s="179">
        <v>46722</v>
      </c>
      <c r="AV3" s="179">
        <v>46753</v>
      </c>
      <c r="AW3" s="179" t="s">
        <v>225</v>
      </c>
    </row>
    <row r="4" spans="1:49" outlineLevel="1">
      <c r="A4" s="37" t="s">
        <v>226</v>
      </c>
      <c r="B4" s="41" t="s">
        <v>227</v>
      </c>
      <c r="C4" s="41" t="s">
        <v>67</v>
      </c>
      <c r="D4" s="37"/>
      <c r="E4" s="40">
        <v>41841.599999999999</v>
      </c>
      <c r="F4" s="420">
        <v>0</v>
      </c>
      <c r="G4" s="420">
        <v>0</v>
      </c>
      <c r="H4" s="420">
        <v>0</v>
      </c>
      <c r="I4" s="420">
        <v>0</v>
      </c>
      <c r="J4" s="420">
        <v>0</v>
      </c>
      <c r="K4" s="420">
        <v>0</v>
      </c>
      <c r="L4" s="420">
        <v>0</v>
      </c>
      <c r="M4" s="420">
        <v>0</v>
      </c>
      <c r="N4" s="39">
        <v>0</v>
      </c>
      <c r="O4" s="39">
        <v>0</v>
      </c>
      <c r="P4" s="39">
        <v>20000</v>
      </c>
      <c r="Q4" s="39">
        <v>0</v>
      </c>
      <c r="R4" s="39">
        <f t="shared" ref="R4:R35" si="0">SUM(F4:Q4)</f>
        <v>20000</v>
      </c>
      <c r="S4" s="39"/>
      <c r="T4" s="40">
        <v>38117.839999999997</v>
      </c>
      <c r="U4" s="40"/>
      <c r="V4" s="39">
        <v>0</v>
      </c>
      <c r="W4" s="39">
        <v>0</v>
      </c>
      <c r="X4" s="39">
        <v>0</v>
      </c>
      <c r="Y4" s="39">
        <v>0</v>
      </c>
      <c r="Z4" s="39">
        <v>20000</v>
      </c>
      <c r="AA4" s="39">
        <v>0</v>
      </c>
      <c r="AB4" s="39">
        <v>0</v>
      </c>
      <c r="AC4" s="39">
        <v>0</v>
      </c>
      <c r="AD4" s="39">
        <v>20000</v>
      </c>
      <c r="AE4" s="39">
        <v>0</v>
      </c>
      <c r="AF4" s="39">
        <v>0</v>
      </c>
      <c r="AG4" s="39">
        <v>0</v>
      </c>
      <c r="AH4" s="45">
        <f t="shared" ref="AH4:AH35" si="1">SUM(V4:AG4)</f>
        <v>40000</v>
      </c>
      <c r="AI4" s="13"/>
      <c r="AJ4" s="13"/>
      <c r="AK4" s="39">
        <v>0</v>
      </c>
      <c r="AL4" s="39">
        <v>0</v>
      </c>
      <c r="AM4" s="39">
        <v>0</v>
      </c>
      <c r="AN4" s="39">
        <v>0</v>
      </c>
      <c r="AO4" s="39">
        <v>0</v>
      </c>
      <c r="AP4" s="39">
        <v>0</v>
      </c>
      <c r="AQ4" s="39">
        <v>0</v>
      </c>
      <c r="AR4" s="39">
        <v>0</v>
      </c>
      <c r="AS4" s="39">
        <v>5612.1862968185997</v>
      </c>
      <c r="AT4" s="39">
        <v>6474.1913319096766</v>
      </c>
      <c r="AU4" s="39">
        <v>5838.9478115224383</v>
      </c>
      <c r="AV4" s="39">
        <v>4675.1934423406556</v>
      </c>
      <c r="AW4" s="45">
        <f t="shared" ref="AW4:AW35" si="2">SUM(AK4:AV4)</f>
        <v>22600.518882591372</v>
      </c>
    </row>
    <row r="5" spans="1:49" outlineLevel="1">
      <c r="A5" s="37" t="s">
        <v>228</v>
      </c>
      <c r="B5" s="41" t="s">
        <v>229</v>
      </c>
      <c r="C5" s="41" t="s">
        <v>67</v>
      </c>
      <c r="D5" s="37"/>
      <c r="E5" s="40">
        <v>158929.26</v>
      </c>
      <c r="F5" s="420">
        <v>54858.6</v>
      </c>
      <c r="G5" s="420">
        <v>0</v>
      </c>
      <c r="H5" s="420">
        <v>0</v>
      </c>
      <c r="I5" s="420">
        <v>0</v>
      </c>
      <c r="J5" s="420">
        <v>0</v>
      </c>
      <c r="K5" s="420">
        <v>0</v>
      </c>
      <c r="L5" s="420">
        <v>0</v>
      </c>
      <c r="M5" s="420">
        <v>0</v>
      </c>
      <c r="N5" s="39">
        <v>0</v>
      </c>
      <c r="O5" s="39">
        <v>0</v>
      </c>
      <c r="P5" s="39">
        <v>148000</v>
      </c>
      <c r="Q5" s="39">
        <v>0</v>
      </c>
      <c r="R5" s="39">
        <f t="shared" si="0"/>
        <v>202858.6</v>
      </c>
      <c r="S5" s="39"/>
      <c r="T5" s="40">
        <v>155713.32500000001</v>
      </c>
      <c r="U5" s="40"/>
      <c r="V5" s="39">
        <v>0</v>
      </c>
      <c r="W5" s="39">
        <v>0</v>
      </c>
      <c r="X5" s="39">
        <v>0</v>
      </c>
      <c r="Y5" s="39">
        <v>50000</v>
      </c>
      <c r="Z5" s="39">
        <v>0</v>
      </c>
      <c r="AA5" s="39">
        <v>0</v>
      </c>
      <c r="AB5" s="39">
        <v>0</v>
      </c>
      <c r="AC5" s="39">
        <v>0</v>
      </c>
      <c r="AD5" s="39">
        <v>40000</v>
      </c>
      <c r="AE5" s="39">
        <v>0</v>
      </c>
      <c r="AF5" s="39">
        <v>0</v>
      </c>
      <c r="AG5" s="39">
        <v>0</v>
      </c>
      <c r="AH5" s="45">
        <f t="shared" si="1"/>
        <v>90000</v>
      </c>
      <c r="AI5" s="13"/>
      <c r="AJ5" s="13"/>
      <c r="AK5" s="39">
        <v>54858.6</v>
      </c>
      <c r="AL5" s="39">
        <v>0</v>
      </c>
      <c r="AM5" s="39">
        <v>0</v>
      </c>
      <c r="AN5" s="39">
        <v>0</v>
      </c>
      <c r="AO5" s="39">
        <v>0</v>
      </c>
      <c r="AP5" s="39">
        <v>0</v>
      </c>
      <c r="AQ5" s="39">
        <v>0</v>
      </c>
      <c r="AR5" s="39">
        <v>0</v>
      </c>
      <c r="AS5" s="39">
        <v>14849.097053096615</v>
      </c>
      <c r="AT5" s="39">
        <v>17129.847503875724</v>
      </c>
      <c r="AU5" s="39">
        <v>15449.077802426566</v>
      </c>
      <c r="AV5" s="39">
        <v>12369.938825208099</v>
      </c>
      <c r="AW5" s="45">
        <f t="shared" si="2"/>
        <v>114656.561184607</v>
      </c>
    </row>
    <row r="6" spans="1:49" s="479" customFormat="1" outlineLevel="1">
      <c r="A6" s="401" t="s">
        <v>230</v>
      </c>
      <c r="B6" s="402" t="s">
        <v>231</v>
      </c>
      <c r="C6" s="402" t="s">
        <v>67</v>
      </c>
      <c r="D6" s="37"/>
      <c r="E6" s="481">
        <v>48136.380000000005</v>
      </c>
      <c r="F6" s="421">
        <v>0</v>
      </c>
      <c r="G6" s="421">
        <v>0</v>
      </c>
      <c r="H6" s="421">
        <v>0</v>
      </c>
      <c r="I6" s="421">
        <v>0</v>
      </c>
      <c r="J6" s="420">
        <v>0</v>
      </c>
      <c r="K6" s="421">
        <v>0</v>
      </c>
      <c r="L6" s="421">
        <v>0</v>
      </c>
      <c r="M6" s="421">
        <v>0</v>
      </c>
      <c r="N6" s="39">
        <v>0</v>
      </c>
      <c r="O6" s="39">
        <v>0</v>
      </c>
      <c r="P6" s="39">
        <v>0</v>
      </c>
      <c r="Q6" s="39">
        <v>0</v>
      </c>
      <c r="R6" s="404">
        <f t="shared" si="0"/>
        <v>0</v>
      </c>
      <c r="S6" s="39"/>
      <c r="T6" s="481">
        <v>45356.837</v>
      </c>
      <c r="U6" s="40"/>
      <c r="V6" s="39">
        <v>0</v>
      </c>
      <c r="W6" s="39">
        <v>0</v>
      </c>
      <c r="X6" s="39">
        <v>0</v>
      </c>
      <c r="Y6" s="39">
        <v>0</v>
      </c>
      <c r="Z6" s="39">
        <v>0</v>
      </c>
      <c r="AA6" s="39">
        <v>0</v>
      </c>
      <c r="AB6" s="39">
        <v>0</v>
      </c>
      <c r="AC6" s="39">
        <v>0</v>
      </c>
      <c r="AD6" s="39">
        <v>0</v>
      </c>
      <c r="AE6" s="39">
        <v>0</v>
      </c>
      <c r="AF6" s="39">
        <v>0</v>
      </c>
      <c r="AG6" s="39">
        <v>0</v>
      </c>
      <c r="AH6" s="405">
        <f t="shared" si="1"/>
        <v>0</v>
      </c>
      <c r="AI6" s="181"/>
      <c r="AJ6" s="181"/>
      <c r="AK6" s="404">
        <v>0</v>
      </c>
      <c r="AL6" s="404">
        <v>0</v>
      </c>
      <c r="AM6" s="404">
        <v>0</v>
      </c>
      <c r="AN6" s="404">
        <v>0</v>
      </c>
      <c r="AO6" s="404">
        <v>0</v>
      </c>
      <c r="AP6" s="404">
        <v>0</v>
      </c>
      <c r="AQ6" s="404">
        <v>0</v>
      </c>
      <c r="AR6" s="404">
        <v>0</v>
      </c>
      <c r="AS6" s="404">
        <v>6678.0021921083371</v>
      </c>
      <c r="AT6" s="404">
        <v>7703.7114628803756</v>
      </c>
      <c r="AU6" s="404">
        <v>6947.8282121633847</v>
      </c>
      <c r="AV6" s="404">
        <v>5563.0640904026577</v>
      </c>
      <c r="AW6" s="405">
        <f t="shared" si="2"/>
        <v>26892.605957554755</v>
      </c>
    </row>
    <row r="7" spans="1:49" s="479" customFormat="1" outlineLevel="1">
      <c r="A7" s="401" t="s">
        <v>232</v>
      </c>
      <c r="B7" s="402" t="s">
        <v>233</v>
      </c>
      <c r="C7" s="402" t="s">
        <v>66</v>
      </c>
      <c r="D7" s="37"/>
      <c r="E7" s="481">
        <v>16076.550000000001</v>
      </c>
      <c r="F7" s="421">
        <v>0</v>
      </c>
      <c r="G7" s="421">
        <v>0</v>
      </c>
      <c r="H7" s="421">
        <v>0</v>
      </c>
      <c r="I7" s="421">
        <v>0</v>
      </c>
      <c r="J7" s="420">
        <v>-981</v>
      </c>
      <c r="K7" s="421">
        <v>0</v>
      </c>
      <c r="L7" s="421">
        <v>0</v>
      </c>
      <c r="M7" s="421">
        <v>0</v>
      </c>
      <c r="N7" s="39">
        <v>0</v>
      </c>
      <c r="O7" s="39">
        <v>0</v>
      </c>
      <c r="P7" s="39">
        <v>0</v>
      </c>
      <c r="Q7" s="39">
        <v>0</v>
      </c>
      <c r="R7" s="404">
        <f t="shared" si="0"/>
        <v>-981</v>
      </c>
      <c r="S7" s="39"/>
      <c r="T7" s="481">
        <v>18488.032499999998</v>
      </c>
      <c r="U7" s="40"/>
      <c r="V7" s="39">
        <v>0</v>
      </c>
      <c r="W7" s="39">
        <v>0</v>
      </c>
      <c r="X7" s="39">
        <v>0</v>
      </c>
      <c r="Y7" s="39">
        <v>0</v>
      </c>
      <c r="Z7" s="39">
        <v>0</v>
      </c>
      <c r="AA7" s="39">
        <v>0</v>
      </c>
      <c r="AB7" s="39">
        <v>0</v>
      </c>
      <c r="AC7" s="39">
        <v>0</v>
      </c>
      <c r="AD7" s="39">
        <v>0</v>
      </c>
      <c r="AE7" s="39">
        <v>0</v>
      </c>
      <c r="AF7" s="39">
        <v>0</v>
      </c>
      <c r="AG7" s="39">
        <v>0</v>
      </c>
      <c r="AH7" s="405">
        <f t="shared" si="1"/>
        <v>0</v>
      </c>
      <c r="AI7" s="181"/>
      <c r="AJ7" s="181"/>
      <c r="AK7" s="404">
        <v>0</v>
      </c>
      <c r="AL7" s="404">
        <v>0</v>
      </c>
      <c r="AM7" s="404">
        <v>0</v>
      </c>
      <c r="AN7" s="404">
        <v>0</v>
      </c>
      <c r="AO7" s="404">
        <v>0</v>
      </c>
      <c r="AP7" s="404">
        <v>0</v>
      </c>
      <c r="AQ7" s="404">
        <v>0</v>
      </c>
      <c r="AR7" s="404">
        <v>0</v>
      </c>
      <c r="AS7" s="404">
        <v>0</v>
      </c>
      <c r="AT7" s="404">
        <v>0</v>
      </c>
      <c r="AU7" s="404">
        <v>0</v>
      </c>
      <c r="AV7" s="404">
        <v>0</v>
      </c>
      <c r="AW7" s="405">
        <f t="shared" si="2"/>
        <v>0</v>
      </c>
    </row>
    <row r="8" spans="1:49" outlineLevel="1">
      <c r="A8" s="37" t="s">
        <v>234</v>
      </c>
      <c r="B8" s="41" t="s">
        <v>64</v>
      </c>
      <c r="C8" s="41" t="s">
        <v>64</v>
      </c>
      <c r="D8" s="37"/>
      <c r="E8" s="40">
        <v>87627.180000000022</v>
      </c>
      <c r="F8" s="420">
        <v>6505.6200000000008</v>
      </c>
      <c r="G8" s="420">
        <v>8602.86</v>
      </c>
      <c r="H8" s="420">
        <v>4624.32</v>
      </c>
      <c r="I8" s="420">
        <v>6294.420000000001</v>
      </c>
      <c r="J8" s="420">
        <v>0</v>
      </c>
      <c r="K8" s="420">
        <v>340.08</v>
      </c>
      <c r="L8" s="420">
        <v>0</v>
      </c>
      <c r="M8" s="420">
        <v>10675.740000000002</v>
      </c>
      <c r="N8" s="39">
        <v>5042.2199999999993</v>
      </c>
      <c r="O8" s="39">
        <v>4000</v>
      </c>
      <c r="P8" s="39">
        <v>2500</v>
      </c>
      <c r="Q8" s="39">
        <v>0</v>
      </c>
      <c r="R8" s="39">
        <f t="shared" si="0"/>
        <v>48585.260000000009</v>
      </c>
      <c r="S8" s="39"/>
      <c r="T8" s="39"/>
      <c r="U8" s="40"/>
      <c r="V8" s="39">
        <v>6505.6200000000008</v>
      </c>
      <c r="W8" s="39">
        <v>8602.86</v>
      </c>
      <c r="X8" s="39">
        <v>4624.32</v>
      </c>
      <c r="Y8" s="39">
        <v>6294.420000000001</v>
      </c>
      <c r="Z8" s="39">
        <v>0</v>
      </c>
      <c r="AA8" s="39">
        <v>340.08</v>
      </c>
      <c r="AB8" s="39">
        <v>2000</v>
      </c>
      <c r="AC8" s="39">
        <v>11209.527000000002</v>
      </c>
      <c r="AD8" s="39">
        <v>5294.3309999999992</v>
      </c>
      <c r="AE8" s="39">
        <v>4200</v>
      </c>
      <c r="AF8" s="39">
        <v>2625</v>
      </c>
      <c r="AG8" s="39">
        <v>125</v>
      </c>
      <c r="AH8" s="45">
        <f t="shared" si="1"/>
        <v>51821.158000000003</v>
      </c>
      <c r="AI8" s="13"/>
      <c r="AJ8" s="13"/>
      <c r="AK8" s="39">
        <v>6505.6200000000008</v>
      </c>
      <c r="AL8" s="39">
        <v>8602.86</v>
      </c>
      <c r="AM8" s="39">
        <v>4624.32</v>
      </c>
      <c r="AN8" s="39">
        <v>6294.420000000001</v>
      </c>
      <c r="AO8" s="39">
        <v>0</v>
      </c>
      <c r="AP8" s="39">
        <v>340.08</v>
      </c>
      <c r="AQ8" s="39">
        <v>0</v>
      </c>
      <c r="AR8" s="39">
        <v>10675.740000000002</v>
      </c>
      <c r="AS8" s="39">
        <v>0</v>
      </c>
      <c r="AT8" s="39">
        <v>0</v>
      </c>
      <c r="AU8" s="39">
        <v>0</v>
      </c>
      <c r="AV8" s="39">
        <v>0</v>
      </c>
      <c r="AW8" s="45">
        <f t="shared" si="2"/>
        <v>37043.040000000008</v>
      </c>
    </row>
    <row r="9" spans="1:49" outlineLevel="1">
      <c r="A9" s="37" t="s">
        <v>235</v>
      </c>
      <c r="B9" s="41" t="s">
        <v>236</v>
      </c>
      <c r="C9" s="41" t="s">
        <v>65</v>
      </c>
      <c r="D9" s="37"/>
      <c r="E9" s="40"/>
      <c r="F9" s="420">
        <v>0</v>
      </c>
      <c r="G9" s="420">
        <v>0</v>
      </c>
      <c r="H9" s="420">
        <v>0</v>
      </c>
      <c r="I9" s="420">
        <v>0</v>
      </c>
      <c r="J9" s="420">
        <v>0</v>
      </c>
      <c r="K9" s="420">
        <v>2691.12</v>
      </c>
      <c r="L9" s="420">
        <v>0</v>
      </c>
      <c r="M9" s="420">
        <v>0</v>
      </c>
      <c r="N9" s="39">
        <v>0</v>
      </c>
      <c r="O9" s="39">
        <v>0</v>
      </c>
      <c r="P9" s="39">
        <v>5000</v>
      </c>
      <c r="Q9" s="39">
        <v>0</v>
      </c>
      <c r="R9" s="39">
        <f t="shared" si="0"/>
        <v>7691.12</v>
      </c>
      <c r="S9" s="39"/>
      <c r="T9" s="40"/>
      <c r="U9" s="40"/>
      <c r="V9" s="39">
        <v>0</v>
      </c>
      <c r="W9" s="39">
        <v>0</v>
      </c>
      <c r="X9" s="39">
        <v>0</v>
      </c>
      <c r="Y9" s="39">
        <v>0</v>
      </c>
      <c r="Z9" s="39">
        <v>0</v>
      </c>
      <c r="AA9" s="39">
        <v>0</v>
      </c>
      <c r="AB9" s="39">
        <v>0</v>
      </c>
      <c r="AC9" s="39">
        <v>0</v>
      </c>
      <c r="AD9" s="39">
        <v>0</v>
      </c>
      <c r="AE9" s="39">
        <v>0</v>
      </c>
      <c r="AF9" s="39">
        <v>0</v>
      </c>
      <c r="AG9" s="39">
        <v>0</v>
      </c>
      <c r="AH9" s="45">
        <f t="shared" si="1"/>
        <v>0</v>
      </c>
      <c r="AI9" s="13"/>
      <c r="AJ9" s="13"/>
      <c r="AK9" s="39">
        <v>0</v>
      </c>
      <c r="AL9" s="39">
        <v>0</v>
      </c>
      <c r="AM9" s="39">
        <v>0</v>
      </c>
      <c r="AN9" s="39">
        <v>0</v>
      </c>
      <c r="AO9" s="39">
        <v>0</v>
      </c>
      <c r="AP9" s="39">
        <v>2691.12</v>
      </c>
      <c r="AQ9" s="39">
        <v>0</v>
      </c>
      <c r="AR9" s="39">
        <v>0</v>
      </c>
      <c r="AS9" s="39">
        <v>0</v>
      </c>
      <c r="AT9" s="39">
        <v>0</v>
      </c>
      <c r="AU9" s="39">
        <v>0</v>
      </c>
      <c r="AV9" s="39">
        <v>0</v>
      </c>
      <c r="AW9" s="45">
        <f t="shared" si="2"/>
        <v>2691.12</v>
      </c>
    </row>
    <row r="10" spans="1:49" outlineLevel="1">
      <c r="A10" s="37" t="s">
        <v>237</v>
      </c>
      <c r="B10" s="41" t="s">
        <v>238</v>
      </c>
      <c r="C10" s="41" t="s">
        <v>67</v>
      </c>
      <c r="D10" s="37"/>
      <c r="E10" s="40"/>
      <c r="F10" s="420">
        <v>0</v>
      </c>
      <c r="G10" s="420">
        <v>0</v>
      </c>
      <c r="H10" s="420">
        <v>0</v>
      </c>
      <c r="I10" s="420">
        <v>0</v>
      </c>
      <c r="J10" s="420">
        <v>0</v>
      </c>
      <c r="K10" s="420">
        <v>0</v>
      </c>
      <c r="L10" s="420">
        <v>0</v>
      </c>
      <c r="M10" s="420">
        <v>92940</v>
      </c>
      <c r="N10" s="39">
        <v>0</v>
      </c>
      <c r="O10" s="39">
        <v>0</v>
      </c>
      <c r="P10" s="39">
        <v>0</v>
      </c>
      <c r="Q10" s="39">
        <v>0</v>
      </c>
      <c r="R10" s="39">
        <f t="shared" si="0"/>
        <v>92940</v>
      </c>
      <c r="S10" s="39"/>
      <c r="T10" s="40"/>
      <c r="U10" s="40"/>
      <c r="V10" s="39">
        <v>0</v>
      </c>
      <c r="W10" s="39">
        <v>0</v>
      </c>
      <c r="X10" s="39">
        <v>0</v>
      </c>
      <c r="Y10" s="39">
        <v>50000</v>
      </c>
      <c r="Z10" s="39">
        <v>0</v>
      </c>
      <c r="AA10" s="39">
        <v>0</v>
      </c>
      <c r="AB10" s="39">
        <v>50000</v>
      </c>
      <c r="AC10" s="39">
        <v>0</v>
      </c>
      <c r="AD10" s="39">
        <v>0</v>
      </c>
      <c r="AE10" s="39">
        <v>0</v>
      </c>
      <c r="AF10" s="39">
        <v>0</v>
      </c>
      <c r="AG10" s="39">
        <v>0</v>
      </c>
      <c r="AH10" s="45">
        <f t="shared" si="1"/>
        <v>100000</v>
      </c>
      <c r="AI10" s="13"/>
      <c r="AJ10" s="13"/>
      <c r="AK10" s="39">
        <v>0</v>
      </c>
      <c r="AL10" s="39">
        <v>0</v>
      </c>
      <c r="AM10" s="39">
        <v>0</v>
      </c>
      <c r="AN10" s="39">
        <v>0</v>
      </c>
      <c r="AO10" s="39">
        <v>0</v>
      </c>
      <c r="AP10" s="39">
        <v>0</v>
      </c>
      <c r="AQ10" s="39">
        <v>0</v>
      </c>
      <c r="AR10" s="39">
        <v>92940</v>
      </c>
      <c r="AS10" s="39">
        <v>0</v>
      </c>
      <c r="AT10" s="39">
        <v>0</v>
      </c>
      <c r="AU10" s="39">
        <v>0</v>
      </c>
      <c r="AV10" s="39">
        <v>0</v>
      </c>
      <c r="AW10" s="45">
        <f t="shared" si="2"/>
        <v>92940</v>
      </c>
    </row>
    <row r="11" spans="1:49" outlineLevel="1">
      <c r="A11" s="13" t="s">
        <v>239</v>
      </c>
      <c r="B11" s="41" t="s">
        <v>64</v>
      </c>
      <c r="C11" s="41" t="s">
        <v>64</v>
      </c>
      <c r="D11" s="37"/>
      <c r="E11" s="40">
        <v>51676.290000000008</v>
      </c>
      <c r="F11" s="420">
        <v>0</v>
      </c>
      <c r="G11" s="420">
        <v>2554.92</v>
      </c>
      <c r="H11" s="420">
        <v>0</v>
      </c>
      <c r="I11" s="420">
        <v>3820.5000000000009</v>
      </c>
      <c r="J11" s="420">
        <v>2239.2599999999998</v>
      </c>
      <c r="K11" s="420">
        <v>0</v>
      </c>
      <c r="L11" s="420">
        <v>1571.6399999999999</v>
      </c>
      <c r="M11" s="420">
        <v>0</v>
      </c>
      <c r="N11" s="39">
        <v>0</v>
      </c>
      <c r="O11" s="39">
        <v>0</v>
      </c>
      <c r="P11" s="39">
        <v>0</v>
      </c>
      <c r="Q11" s="39">
        <v>0</v>
      </c>
      <c r="R11" s="39">
        <f t="shared" si="0"/>
        <v>10186.32</v>
      </c>
      <c r="S11" s="39"/>
      <c r="T11" s="39"/>
      <c r="U11" s="40"/>
      <c r="V11" s="39">
        <v>0</v>
      </c>
      <c r="W11" s="39">
        <v>0</v>
      </c>
      <c r="X11" s="39">
        <v>0</v>
      </c>
      <c r="Y11" s="39">
        <v>0</v>
      </c>
      <c r="Z11" s="39">
        <v>0</v>
      </c>
      <c r="AA11" s="39">
        <v>0</v>
      </c>
      <c r="AB11" s="39">
        <v>0</v>
      </c>
      <c r="AC11" s="39">
        <v>0</v>
      </c>
      <c r="AD11" s="39">
        <v>0</v>
      </c>
      <c r="AE11" s="39">
        <v>0</v>
      </c>
      <c r="AF11" s="39">
        <v>0</v>
      </c>
      <c r="AG11" s="39">
        <v>0</v>
      </c>
      <c r="AH11" s="45">
        <f t="shared" si="1"/>
        <v>0</v>
      </c>
      <c r="AI11" s="13"/>
      <c r="AJ11" s="13"/>
      <c r="AK11" s="39">
        <v>0</v>
      </c>
      <c r="AL11" s="39">
        <v>2554.92</v>
      </c>
      <c r="AM11" s="39">
        <v>0</v>
      </c>
      <c r="AN11" s="39">
        <v>3820.5000000000009</v>
      </c>
      <c r="AO11" s="39">
        <v>2318.94</v>
      </c>
      <c r="AP11" s="39">
        <v>0</v>
      </c>
      <c r="AQ11" s="39">
        <v>1571.6399999999999</v>
      </c>
      <c r="AR11" s="39">
        <v>0</v>
      </c>
      <c r="AS11" s="39">
        <v>0</v>
      </c>
      <c r="AT11" s="39">
        <v>0</v>
      </c>
      <c r="AU11" s="39">
        <v>0</v>
      </c>
      <c r="AV11" s="39">
        <v>0</v>
      </c>
      <c r="AW11" s="45">
        <f t="shared" si="2"/>
        <v>10266</v>
      </c>
    </row>
    <row r="12" spans="1:49" outlineLevel="1">
      <c r="A12" s="13" t="s">
        <v>240</v>
      </c>
      <c r="B12" s="41" t="s">
        <v>64</v>
      </c>
      <c r="C12" s="41" t="s">
        <v>64</v>
      </c>
      <c r="D12" s="37"/>
      <c r="E12" s="40"/>
      <c r="F12" s="420">
        <v>0</v>
      </c>
      <c r="G12" s="420">
        <v>0</v>
      </c>
      <c r="H12" s="420">
        <v>2809.7999999999997</v>
      </c>
      <c r="I12" s="420">
        <v>1899.0000000000002</v>
      </c>
      <c r="J12" s="420">
        <v>188.1</v>
      </c>
      <c r="K12" s="420">
        <v>0</v>
      </c>
      <c r="L12" s="420">
        <v>0</v>
      </c>
      <c r="M12" s="420">
        <v>0</v>
      </c>
      <c r="N12" s="39">
        <v>0</v>
      </c>
      <c r="O12" s="39">
        <v>0</v>
      </c>
      <c r="P12" s="39">
        <v>0</v>
      </c>
      <c r="Q12" s="39">
        <v>0</v>
      </c>
      <c r="R12" s="39">
        <f t="shared" si="0"/>
        <v>4896.9000000000005</v>
      </c>
      <c r="S12" s="39"/>
      <c r="T12" s="40"/>
      <c r="U12" s="40"/>
      <c r="V12" s="39">
        <v>0</v>
      </c>
      <c r="W12" s="39">
        <v>0</v>
      </c>
      <c r="X12" s="39">
        <v>0</v>
      </c>
      <c r="Y12" s="39">
        <v>0</v>
      </c>
      <c r="Z12" s="39">
        <v>0</v>
      </c>
      <c r="AA12" s="39">
        <v>0</v>
      </c>
      <c r="AB12" s="39">
        <v>0</v>
      </c>
      <c r="AC12" s="39">
        <v>0</v>
      </c>
      <c r="AD12" s="39">
        <v>0</v>
      </c>
      <c r="AE12" s="39">
        <v>0</v>
      </c>
      <c r="AF12" s="39">
        <v>0</v>
      </c>
      <c r="AG12" s="39">
        <v>0</v>
      </c>
      <c r="AH12" s="45">
        <f t="shared" si="1"/>
        <v>0</v>
      </c>
      <c r="AI12" s="13"/>
      <c r="AJ12" s="13"/>
      <c r="AK12" s="39">
        <v>0</v>
      </c>
      <c r="AL12" s="39">
        <v>0</v>
      </c>
      <c r="AM12" s="39">
        <v>2809.7999999999997</v>
      </c>
      <c r="AN12" s="39">
        <v>1899.0000000000002</v>
      </c>
      <c r="AO12" s="39">
        <v>188.1</v>
      </c>
      <c r="AP12" s="39">
        <v>0</v>
      </c>
      <c r="AQ12" s="39">
        <v>0</v>
      </c>
      <c r="AR12" s="39">
        <v>0</v>
      </c>
      <c r="AS12" s="39">
        <v>0</v>
      </c>
      <c r="AT12" s="39">
        <v>0</v>
      </c>
      <c r="AU12" s="39">
        <v>0</v>
      </c>
      <c r="AV12" s="39">
        <v>0</v>
      </c>
      <c r="AW12" s="45">
        <f t="shared" si="2"/>
        <v>4896.9000000000005</v>
      </c>
    </row>
    <row r="13" spans="1:49" outlineLevel="1">
      <c r="A13" s="13" t="s">
        <v>241</v>
      </c>
      <c r="B13" s="41" t="s">
        <v>242</v>
      </c>
      <c r="C13" s="41" t="s">
        <v>67</v>
      </c>
      <c r="D13" s="37"/>
      <c r="E13" s="40"/>
      <c r="F13" s="420">
        <v>0</v>
      </c>
      <c r="G13" s="420">
        <v>39927.300000000003</v>
      </c>
      <c r="H13" s="420">
        <v>0</v>
      </c>
      <c r="I13" s="420">
        <v>0</v>
      </c>
      <c r="J13" s="420">
        <v>0</v>
      </c>
      <c r="K13" s="420">
        <v>0</v>
      </c>
      <c r="L13" s="420">
        <v>0</v>
      </c>
      <c r="M13" s="420">
        <v>23850.12</v>
      </c>
      <c r="N13" s="39">
        <v>0</v>
      </c>
      <c r="O13" s="39">
        <v>0</v>
      </c>
      <c r="P13" s="39">
        <v>0</v>
      </c>
      <c r="Q13" s="39">
        <v>0</v>
      </c>
      <c r="R13" s="39">
        <f t="shared" si="0"/>
        <v>63777.42</v>
      </c>
      <c r="S13" s="39"/>
      <c r="T13" s="40"/>
      <c r="U13" s="40"/>
      <c r="V13" s="39">
        <v>0</v>
      </c>
      <c r="W13" s="39">
        <v>39927.300000000003</v>
      </c>
      <c r="X13" s="39">
        <v>0</v>
      </c>
      <c r="Y13" s="39">
        <v>0</v>
      </c>
      <c r="Z13" s="39">
        <v>0</v>
      </c>
      <c r="AA13" s="39">
        <v>0</v>
      </c>
      <c r="AB13" s="39">
        <v>0</v>
      </c>
      <c r="AC13" s="39">
        <v>23850.12</v>
      </c>
      <c r="AD13" s="39">
        <v>0</v>
      </c>
      <c r="AE13" s="39">
        <v>0</v>
      </c>
      <c r="AF13" s="39">
        <v>0</v>
      </c>
      <c r="AG13" s="39">
        <v>0</v>
      </c>
      <c r="AH13" s="45">
        <f t="shared" si="1"/>
        <v>63777.42</v>
      </c>
      <c r="AI13" s="13"/>
      <c r="AJ13" s="13"/>
      <c r="AK13" s="39">
        <v>0</v>
      </c>
      <c r="AL13" s="39">
        <v>39927.300000000003</v>
      </c>
      <c r="AM13" s="39">
        <v>0</v>
      </c>
      <c r="AN13" s="39">
        <v>0</v>
      </c>
      <c r="AO13" s="39">
        <v>0</v>
      </c>
      <c r="AP13" s="39">
        <v>0</v>
      </c>
      <c r="AQ13" s="39">
        <v>0</v>
      </c>
      <c r="AR13" s="39">
        <v>23850.12</v>
      </c>
      <c r="AS13" s="39">
        <v>0</v>
      </c>
      <c r="AT13" s="39">
        <v>0</v>
      </c>
      <c r="AU13" s="39">
        <v>0</v>
      </c>
      <c r="AV13" s="39">
        <v>0</v>
      </c>
      <c r="AW13" s="45">
        <f t="shared" si="2"/>
        <v>63777.42</v>
      </c>
    </row>
    <row r="14" spans="1:49" outlineLevel="1">
      <c r="A14" s="13" t="s">
        <v>243</v>
      </c>
      <c r="B14" s="41" t="s">
        <v>64</v>
      </c>
      <c r="C14" s="41" t="s">
        <v>64</v>
      </c>
      <c r="D14" s="37"/>
      <c r="E14" s="40">
        <v>42153.359999999993</v>
      </c>
      <c r="F14" s="420">
        <v>3526.04</v>
      </c>
      <c r="G14" s="420">
        <v>2494.7599999999998</v>
      </c>
      <c r="H14" s="420">
        <v>4227.84</v>
      </c>
      <c r="I14" s="420">
        <v>3011.1699999999996</v>
      </c>
      <c r="J14" s="420">
        <v>3377.64</v>
      </c>
      <c r="K14" s="420">
        <v>2867.64</v>
      </c>
      <c r="L14" s="420">
        <v>5044.6000000000004</v>
      </c>
      <c r="M14" s="420">
        <v>2260.3200000000002</v>
      </c>
      <c r="N14" s="39">
        <v>2531.6999999999998</v>
      </c>
      <c r="O14" s="39">
        <v>3117.5787500000001</v>
      </c>
      <c r="P14" s="39">
        <v>3195.4310937499999</v>
      </c>
      <c r="Q14" s="39">
        <v>3066.3799804687501</v>
      </c>
      <c r="R14" s="39">
        <f t="shared" si="0"/>
        <v>38721.099824218756</v>
      </c>
      <c r="S14" s="39"/>
      <c r="T14" s="39"/>
      <c r="U14" s="40"/>
      <c r="V14" s="39">
        <v>2800</v>
      </c>
      <c r="W14" s="39">
        <v>2800</v>
      </c>
      <c r="X14" s="39">
        <v>3800</v>
      </c>
      <c r="Y14" s="39">
        <v>3800</v>
      </c>
      <c r="Z14" s="39">
        <v>2800</v>
      </c>
      <c r="AA14" s="39">
        <v>3800</v>
      </c>
      <c r="AB14" s="39">
        <v>3800</v>
      </c>
      <c r="AC14" s="39">
        <v>2800</v>
      </c>
      <c r="AD14" s="39">
        <v>4300</v>
      </c>
      <c r="AE14" s="39">
        <v>4300</v>
      </c>
      <c r="AF14" s="39">
        <v>2800</v>
      </c>
      <c r="AG14" s="39">
        <v>2800</v>
      </c>
      <c r="AH14" s="45">
        <f t="shared" si="1"/>
        <v>40600</v>
      </c>
      <c r="AI14" s="13"/>
      <c r="AJ14" s="13"/>
      <c r="AK14" s="39">
        <v>3526.04</v>
      </c>
      <c r="AL14" s="39">
        <v>2494.7599999999998</v>
      </c>
      <c r="AM14" s="39">
        <v>4227.84</v>
      </c>
      <c r="AN14" s="39">
        <v>3011.1699999999996</v>
      </c>
      <c r="AO14" s="39">
        <v>2502.6</v>
      </c>
      <c r="AP14" s="39">
        <v>2867.64</v>
      </c>
      <c r="AQ14" s="39">
        <v>5044.6000000000004</v>
      </c>
      <c r="AR14" s="39">
        <v>2260.3200000000002</v>
      </c>
      <c r="AS14" s="39">
        <v>0</v>
      </c>
      <c r="AT14" s="39">
        <v>0</v>
      </c>
      <c r="AU14" s="39">
        <v>0</v>
      </c>
      <c r="AV14" s="39">
        <v>0</v>
      </c>
      <c r="AW14" s="45">
        <f t="shared" si="2"/>
        <v>25934.97</v>
      </c>
    </row>
    <row r="15" spans="1:49" outlineLevel="1">
      <c r="A15" s="13" t="s">
        <v>244</v>
      </c>
      <c r="B15" s="41" t="s">
        <v>245</v>
      </c>
      <c r="C15" s="41" t="s">
        <v>65</v>
      </c>
      <c r="D15" s="37"/>
      <c r="E15" s="40"/>
      <c r="F15" s="420">
        <v>0</v>
      </c>
      <c r="G15" s="420">
        <v>0</v>
      </c>
      <c r="H15" s="420">
        <v>3800.4699999999993</v>
      </c>
      <c r="I15" s="420">
        <v>0</v>
      </c>
      <c r="J15" s="420">
        <v>0</v>
      </c>
      <c r="K15" s="420">
        <v>2848.8799999999997</v>
      </c>
      <c r="L15" s="420">
        <v>434.61999999999989</v>
      </c>
      <c r="M15" s="420">
        <v>0</v>
      </c>
      <c r="N15" s="39">
        <v>0</v>
      </c>
      <c r="O15" s="39">
        <v>5000</v>
      </c>
      <c r="P15" s="39">
        <v>0</v>
      </c>
      <c r="Q15" s="39">
        <v>0</v>
      </c>
      <c r="R15" s="39">
        <f t="shared" si="0"/>
        <v>12083.969999999998</v>
      </c>
      <c r="S15" s="39"/>
      <c r="T15" s="40"/>
      <c r="U15" s="40"/>
      <c r="V15" s="39">
        <v>0</v>
      </c>
      <c r="W15" s="39">
        <v>0</v>
      </c>
      <c r="X15" s="39">
        <v>2000</v>
      </c>
      <c r="Y15" s="39">
        <v>0</v>
      </c>
      <c r="Z15" s="39">
        <v>0</v>
      </c>
      <c r="AA15" s="39">
        <v>2000</v>
      </c>
      <c r="AB15" s="39">
        <v>0</v>
      </c>
      <c r="AC15" s="39">
        <v>0</v>
      </c>
      <c r="AD15" s="39">
        <v>2000</v>
      </c>
      <c r="AE15" s="39">
        <v>0</v>
      </c>
      <c r="AF15" s="39">
        <v>0</v>
      </c>
      <c r="AG15" s="39">
        <v>2000</v>
      </c>
      <c r="AH15" s="45">
        <f t="shared" si="1"/>
        <v>8000</v>
      </c>
      <c r="AI15" s="13"/>
      <c r="AJ15" s="13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45">
        <f t="shared" si="2"/>
        <v>0</v>
      </c>
    </row>
    <row r="16" spans="1:49" outlineLevel="1">
      <c r="A16" s="37" t="s">
        <v>246</v>
      </c>
      <c r="B16" s="41" t="s">
        <v>247</v>
      </c>
      <c r="C16" s="41" t="s">
        <v>65</v>
      </c>
      <c r="D16" s="37"/>
      <c r="E16" s="40">
        <v>18095.309999999998</v>
      </c>
      <c r="F16" s="420">
        <v>2965.3200000000006</v>
      </c>
      <c r="G16" s="420">
        <v>0</v>
      </c>
      <c r="H16" s="420">
        <v>0</v>
      </c>
      <c r="I16" s="420">
        <v>9368.82</v>
      </c>
      <c r="J16" s="420">
        <v>0</v>
      </c>
      <c r="K16" s="420">
        <v>0</v>
      </c>
      <c r="L16" s="420">
        <v>0</v>
      </c>
      <c r="M16" s="420">
        <v>0</v>
      </c>
      <c r="N16" s="39">
        <v>0</v>
      </c>
      <c r="O16" s="39">
        <v>2058.358609943195</v>
      </c>
      <c r="P16" s="39">
        <v>1856.3937771840724</v>
      </c>
      <c r="Q16" s="39">
        <v>1486.3979425138975</v>
      </c>
      <c r="R16" s="39">
        <f t="shared" si="0"/>
        <v>17735.290329641164</v>
      </c>
      <c r="S16" s="39"/>
      <c r="T16" s="40">
        <v>20809.606499999994</v>
      </c>
      <c r="U16" s="40"/>
      <c r="V16" s="39">
        <v>1500</v>
      </c>
      <c r="W16" s="39">
        <v>1500</v>
      </c>
      <c r="X16" s="39">
        <v>1500</v>
      </c>
      <c r="Y16" s="39">
        <v>1500</v>
      </c>
      <c r="Z16" s="39">
        <v>1500</v>
      </c>
      <c r="AA16" s="39">
        <v>1500</v>
      </c>
      <c r="AB16" s="39">
        <v>1500</v>
      </c>
      <c r="AC16" s="39">
        <v>1500</v>
      </c>
      <c r="AD16" s="39">
        <v>1500</v>
      </c>
      <c r="AE16" s="39">
        <v>1500</v>
      </c>
      <c r="AF16" s="39">
        <v>1500</v>
      </c>
      <c r="AG16" s="39">
        <v>1500</v>
      </c>
      <c r="AH16" s="45">
        <f t="shared" si="1"/>
        <v>18000</v>
      </c>
      <c r="AI16" s="13"/>
      <c r="AJ16" s="13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45">
        <f t="shared" si="2"/>
        <v>0</v>
      </c>
    </row>
    <row r="17" spans="1:49" outlineLevel="1">
      <c r="A17" s="37" t="s">
        <v>248</v>
      </c>
      <c r="B17" s="41" t="s">
        <v>64</v>
      </c>
      <c r="C17" s="41" t="s">
        <v>64</v>
      </c>
      <c r="D17" s="37"/>
      <c r="E17" s="40">
        <v>954811.47999999986</v>
      </c>
      <c r="F17" s="420">
        <v>62109.889999999992</v>
      </c>
      <c r="G17" s="420">
        <v>34881.200000000004</v>
      </c>
      <c r="H17" s="420">
        <v>65462.32</v>
      </c>
      <c r="I17" s="420">
        <v>56611.38</v>
      </c>
      <c r="J17" s="420">
        <v>41852.039999999994</v>
      </c>
      <c r="K17" s="420">
        <v>52025.279999999999</v>
      </c>
      <c r="L17" s="420">
        <v>55500.08</v>
      </c>
      <c r="M17" s="420">
        <v>53579.94</v>
      </c>
      <c r="N17" s="39">
        <v>71597.51999999999</v>
      </c>
      <c r="O17" s="39">
        <v>85389.5345967045</v>
      </c>
      <c r="P17" s="39">
        <v>99992.361590475004</v>
      </c>
      <c r="Q17" s="39">
        <v>64440.877585813003</v>
      </c>
      <c r="R17" s="39">
        <f t="shared" si="0"/>
        <v>743442.42377299257</v>
      </c>
      <c r="S17" s="39"/>
      <c r="T17" s="39">
        <v>1100005.3665411538</v>
      </c>
      <c r="U17" s="40"/>
      <c r="V17" s="39">
        <v>59004.395499999991</v>
      </c>
      <c r="W17" s="39">
        <v>33137.14</v>
      </c>
      <c r="X17" s="39">
        <v>62189.203999999998</v>
      </c>
      <c r="Y17" s="39">
        <v>53780.810999999994</v>
      </c>
      <c r="Z17" s="39">
        <v>41852.039999999994</v>
      </c>
      <c r="AA17" s="39">
        <v>52025.279999999999</v>
      </c>
      <c r="AB17" s="39">
        <v>155500.08000000002</v>
      </c>
      <c r="AC17" s="39">
        <v>153579.94</v>
      </c>
      <c r="AD17" s="39">
        <v>57278.015999999996</v>
      </c>
      <c r="AE17" s="39">
        <v>68311.627677363605</v>
      </c>
      <c r="AF17" s="39">
        <v>79993.889272380009</v>
      </c>
      <c r="AG17" s="39">
        <v>51552.702068650404</v>
      </c>
      <c r="AH17" s="45">
        <f t="shared" si="1"/>
        <v>868205.12551839394</v>
      </c>
      <c r="AI17" s="13"/>
      <c r="AJ17" s="13"/>
      <c r="AK17" s="39">
        <v>62109.889999999992</v>
      </c>
      <c r="AL17" s="39">
        <v>34881.200000000004</v>
      </c>
      <c r="AM17" s="39">
        <v>65462.32</v>
      </c>
      <c r="AN17" s="39">
        <v>56611.38</v>
      </c>
      <c r="AO17" s="39"/>
      <c r="AP17" s="39">
        <v>52025.279999999999</v>
      </c>
      <c r="AQ17" s="39">
        <v>55500.08</v>
      </c>
      <c r="AR17" s="39">
        <v>53579.94</v>
      </c>
      <c r="AS17" s="39">
        <v>130703.61726932625</v>
      </c>
      <c r="AT17" s="39">
        <v>150779.06919340874</v>
      </c>
      <c r="AU17" s="39">
        <v>135984.72318095012</v>
      </c>
      <c r="AV17" s="39">
        <v>108881.75517162598</v>
      </c>
      <c r="AW17" s="45">
        <f t="shared" si="2"/>
        <v>906519.25481531117</v>
      </c>
    </row>
    <row r="18" spans="1:49" outlineLevel="1">
      <c r="A18" s="13" t="s">
        <v>249</v>
      </c>
      <c r="B18" s="41" t="s">
        <v>245</v>
      </c>
      <c r="C18" s="41" t="s">
        <v>65</v>
      </c>
      <c r="D18" s="37"/>
      <c r="E18" s="40"/>
      <c r="F18" s="420">
        <v>0</v>
      </c>
      <c r="G18" s="420">
        <v>3756.6799999999994</v>
      </c>
      <c r="H18" s="420">
        <v>-3756.6799999999994</v>
      </c>
      <c r="I18" s="420">
        <v>0</v>
      </c>
      <c r="J18" s="420">
        <v>0</v>
      </c>
      <c r="K18" s="420">
        <v>0</v>
      </c>
      <c r="L18" s="420">
        <v>0</v>
      </c>
      <c r="M18" s="420">
        <v>0</v>
      </c>
      <c r="N18" s="39">
        <v>0</v>
      </c>
      <c r="O18" s="39">
        <v>0</v>
      </c>
      <c r="P18" s="39">
        <v>0</v>
      </c>
      <c r="Q18" s="39">
        <v>0</v>
      </c>
      <c r="R18" s="39">
        <f t="shared" si="0"/>
        <v>0</v>
      </c>
      <c r="S18" s="39"/>
      <c r="T18" s="40"/>
      <c r="U18" s="40"/>
      <c r="V18" s="39">
        <v>0</v>
      </c>
      <c r="W18" s="39">
        <v>0</v>
      </c>
      <c r="X18" s="39">
        <v>0</v>
      </c>
      <c r="Y18" s="39">
        <v>0</v>
      </c>
      <c r="Z18" s="39">
        <v>0</v>
      </c>
      <c r="AA18" s="39">
        <v>0</v>
      </c>
      <c r="AB18" s="39">
        <v>0</v>
      </c>
      <c r="AC18" s="39">
        <v>0</v>
      </c>
      <c r="AD18" s="39">
        <v>0</v>
      </c>
      <c r="AE18" s="39">
        <v>0</v>
      </c>
      <c r="AF18" s="39">
        <v>0</v>
      </c>
      <c r="AG18" s="39">
        <v>0</v>
      </c>
      <c r="AH18" s="45">
        <f t="shared" si="1"/>
        <v>0</v>
      </c>
      <c r="AI18" s="13"/>
      <c r="AJ18" s="13"/>
      <c r="AK18" s="39">
        <v>0</v>
      </c>
      <c r="AL18" s="39"/>
      <c r="AM18" s="39"/>
      <c r="AN18" s="39">
        <v>0</v>
      </c>
      <c r="AO18" s="39">
        <v>0</v>
      </c>
      <c r="AP18" s="39">
        <v>0</v>
      </c>
      <c r="AQ18" s="39">
        <v>0</v>
      </c>
      <c r="AR18" s="39">
        <v>0</v>
      </c>
      <c r="AS18" s="39">
        <v>0</v>
      </c>
      <c r="AT18" s="39">
        <v>0</v>
      </c>
      <c r="AU18" s="39">
        <v>0</v>
      </c>
      <c r="AV18" s="39">
        <v>0</v>
      </c>
      <c r="AW18" s="45">
        <f t="shared" si="2"/>
        <v>0</v>
      </c>
    </row>
    <row r="19" spans="1:49" outlineLevel="1">
      <c r="A19" s="13" t="s">
        <v>250</v>
      </c>
      <c r="B19" s="41" t="s">
        <v>251</v>
      </c>
      <c r="C19" s="41" t="s">
        <v>65</v>
      </c>
      <c r="D19" s="37"/>
      <c r="E19" s="40"/>
      <c r="F19" s="420">
        <v>2359.1899999999996</v>
      </c>
      <c r="G19" s="420">
        <v>3946.66</v>
      </c>
      <c r="H19" s="420">
        <v>1109.07</v>
      </c>
      <c r="I19" s="420">
        <v>3231.1200000000003</v>
      </c>
      <c r="J19" s="420">
        <v>2233.6499999999996</v>
      </c>
      <c r="K19" s="420">
        <v>1401.2899999999997</v>
      </c>
      <c r="L19" s="420">
        <v>1400.9800000000002</v>
      </c>
      <c r="M19" s="420">
        <v>1672.2599999999995</v>
      </c>
      <c r="N19" s="39">
        <v>3847.1799999999994</v>
      </c>
      <c r="O19" s="39">
        <v>2315.0362499999997</v>
      </c>
      <c r="P19" s="39">
        <v>2111.0832812500003</v>
      </c>
      <c r="Q19" s="39">
        <v>2236.33494140625</v>
      </c>
      <c r="R19" s="39">
        <f t="shared" si="0"/>
        <v>27863.85447265625</v>
      </c>
      <c r="S19" s="39"/>
      <c r="T19" s="40"/>
      <c r="U19" s="40"/>
      <c r="V19" s="39">
        <v>2359.1899999999996</v>
      </c>
      <c r="W19" s="39">
        <v>3946.66</v>
      </c>
      <c r="X19" s="39">
        <v>1109.07</v>
      </c>
      <c r="Y19" s="39">
        <v>3231.1200000000003</v>
      </c>
      <c r="Z19" s="39">
        <v>2233.6499999999996</v>
      </c>
      <c r="AA19" s="39">
        <v>1401.2899999999997</v>
      </c>
      <c r="AB19" s="39">
        <v>1400.9800000000002</v>
      </c>
      <c r="AC19" s="39">
        <v>1672.2599999999995</v>
      </c>
      <c r="AD19" s="39">
        <v>3847.1799999999994</v>
      </c>
      <c r="AE19" s="39">
        <v>2315.0362499999997</v>
      </c>
      <c r="AF19" s="39">
        <v>2111.0832812500003</v>
      </c>
      <c r="AG19" s="39">
        <v>2236.33494140625</v>
      </c>
      <c r="AH19" s="45">
        <f t="shared" si="1"/>
        <v>27863.85447265625</v>
      </c>
      <c r="AI19" s="13"/>
      <c r="AJ19" s="13"/>
      <c r="AK19" s="39">
        <v>2359.1899999999996</v>
      </c>
      <c r="AL19" s="39">
        <v>3946.66</v>
      </c>
      <c r="AM19" s="39">
        <v>1109.07</v>
      </c>
      <c r="AN19" s="39">
        <v>3231.1200000000003</v>
      </c>
      <c r="AO19" s="39">
        <v>1911.7299999999998</v>
      </c>
      <c r="AP19" s="39">
        <v>1401.2899999999997</v>
      </c>
      <c r="AQ19" s="39">
        <v>1400.9800000000002</v>
      </c>
      <c r="AR19" s="39">
        <v>1672.2599999999995</v>
      </c>
      <c r="AS19" s="39">
        <v>0</v>
      </c>
      <c r="AT19" s="39">
        <v>0</v>
      </c>
      <c r="AU19" s="39">
        <v>0</v>
      </c>
      <c r="AV19" s="39">
        <v>0</v>
      </c>
      <c r="AW19" s="45">
        <f t="shared" si="2"/>
        <v>17032.299999999996</v>
      </c>
    </row>
    <row r="20" spans="1:49" outlineLevel="1">
      <c r="A20" s="13" t="s">
        <v>252</v>
      </c>
      <c r="B20" s="41" t="s">
        <v>64</v>
      </c>
      <c r="C20" s="41" t="s">
        <v>64</v>
      </c>
      <c r="D20" s="37"/>
      <c r="E20" s="40">
        <v>4400.76</v>
      </c>
      <c r="F20" s="420">
        <v>2958.36</v>
      </c>
      <c r="G20" s="420">
        <v>0</v>
      </c>
      <c r="H20" s="420">
        <v>0</v>
      </c>
      <c r="I20" s="420">
        <v>0</v>
      </c>
      <c r="J20" s="420">
        <v>0</v>
      </c>
      <c r="K20" s="420">
        <v>0</v>
      </c>
      <c r="L20" s="420">
        <v>0</v>
      </c>
      <c r="M20" s="420">
        <v>1116.24</v>
      </c>
      <c r="N20" s="39">
        <v>742.68</v>
      </c>
      <c r="O20" s="39">
        <v>0</v>
      </c>
      <c r="P20" s="39">
        <v>0</v>
      </c>
      <c r="Q20" s="39">
        <v>0</v>
      </c>
      <c r="R20" s="39">
        <f t="shared" si="0"/>
        <v>4817.2800000000007</v>
      </c>
      <c r="S20" s="39"/>
      <c r="T20" s="39"/>
      <c r="U20" s="40"/>
      <c r="V20" s="39">
        <v>0</v>
      </c>
      <c r="W20" s="39">
        <v>0</v>
      </c>
      <c r="X20" s="39">
        <v>0</v>
      </c>
      <c r="Y20" s="39">
        <v>0</v>
      </c>
      <c r="Z20" s="39">
        <v>0</v>
      </c>
      <c r="AA20" s="39">
        <v>0</v>
      </c>
      <c r="AB20" s="39">
        <v>0</v>
      </c>
      <c r="AC20" s="39">
        <v>0</v>
      </c>
      <c r="AD20" s="39">
        <v>0</v>
      </c>
      <c r="AE20" s="39">
        <v>0</v>
      </c>
      <c r="AF20" s="39">
        <v>0</v>
      </c>
      <c r="AG20" s="39">
        <v>0</v>
      </c>
      <c r="AH20" s="45">
        <f t="shared" si="1"/>
        <v>0</v>
      </c>
      <c r="AI20" s="13"/>
      <c r="AJ20" s="13"/>
      <c r="AK20" s="39">
        <v>2958.36</v>
      </c>
      <c r="AL20" s="39">
        <v>0</v>
      </c>
      <c r="AM20" s="39">
        <v>0</v>
      </c>
      <c r="AN20" s="39">
        <v>0</v>
      </c>
      <c r="AO20" s="39">
        <v>0</v>
      </c>
      <c r="AP20" s="39">
        <v>0</v>
      </c>
      <c r="AQ20" s="39">
        <v>0</v>
      </c>
      <c r="AR20" s="39">
        <v>1116.24</v>
      </c>
      <c r="AS20" s="39">
        <v>0</v>
      </c>
      <c r="AT20" s="39">
        <v>0</v>
      </c>
      <c r="AU20" s="39">
        <v>0</v>
      </c>
      <c r="AV20" s="39">
        <v>0</v>
      </c>
      <c r="AW20" s="45">
        <f t="shared" si="2"/>
        <v>4074.6000000000004</v>
      </c>
    </row>
    <row r="21" spans="1:49" outlineLevel="1">
      <c r="A21" s="13" t="s">
        <v>253</v>
      </c>
      <c r="B21" s="41" t="s">
        <v>236</v>
      </c>
      <c r="C21" s="41" t="s">
        <v>65</v>
      </c>
      <c r="D21" s="37"/>
      <c r="E21" s="40"/>
      <c r="F21" s="420">
        <v>0</v>
      </c>
      <c r="G21" s="420">
        <v>1622.2</v>
      </c>
      <c r="H21" s="420">
        <v>0</v>
      </c>
      <c r="I21" s="420">
        <v>0</v>
      </c>
      <c r="J21" s="420">
        <v>0</v>
      </c>
      <c r="K21" s="420">
        <v>1943.4900000000002</v>
      </c>
      <c r="L21" s="420">
        <v>282.53999999999974</v>
      </c>
      <c r="M21" s="420">
        <v>0</v>
      </c>
      <c r="N21" s="39">
        <v>0</v>
      </c>
      <c r="O21" s="39">
        <v>5000</v>
      </c>
      <c r="P21" s="39">
        <v>0</v>
      </c>
      <c r="Q21" s="39">
        <v>0</v>
      </c>
      <c r="R21" s="39">
        <f t="shared" si="0"/>
        <v>8848.23</v>
      </c>
      <c r="S21" s="39"/>
      <c r="T21" s="40"/>
      <c r="U21" s="40"/>
      <c r="V21" s="39">
        <v>0</v>
      </c>
      <c r="W21" s="39">
        <v>2000</v>
      </c>
      <c r="X21" s="39">
        <v>0</v>
      </c>
      <c r="Y21" s="39">
        <v>0</v>
      </c>
      <c r="Z21" s="39">
        <v>2000</v>
      </c>
      <c r="AA21" s="39">
        <v>0</v>
      </c>
      <c r="AB21" s="39">
        <v>0</v>
      </c>
      <c r="AC21" s="39">
        <v>0</v>
      </c>
      <c r="AD21" s="39">
        <v>2000</v>
      </c>
      <c r="AE21" s="39">
        <v>0</v>
      </c>
      <c r="AF21" s="39">
        <v>0</v>
      </c>
      <c r="AG21" s="39">
        <v>0</v>
      </c>
      <c r="AH21" s="45">
        <f t="shared" si="1"/>
        <v>6000</v>
      </c>
      <c r="AI21" s="13"/>
      <c r="AJ21" s="13"/>
      <c r="AK21" s="39">
        <v>0</v>
      </c>
      <c r="AL21" s="39">
        <v>1622.2</v>
      </c>
      <c r="AM21" s="39">
        <v>0</v>
      </c>
      <c r="AN21" s="39">
        <v>0</v>
      </c>
      <c r="AO21" s="39">
        <v>0</v>
      </c>
      <c r="AP21" s="39">
        <v>1943.4900000000002</v>
      </c>
      <c r="AQ21" s="39">
        <v>282.53999999999974</v>
      </c>
      <c r="AR21" s="39">
        <v>0</v>
      </c>
      <c r="AS21" s="39">
        <v>0</v>
      </c>
      <c r="AT21" s="39">
        <v>0</v>
      </c>
      <c r="AU21" s="39">
        <v>0</v>
      </c>
      <c r="AV21" s="39">
        <v>0</v>
      </c>
      <c r="AW21" s="45">
        <f t="shared" si="2"/>
        <v>3848.2300000000005</v>
      </c>
    </row>
    <row r="22" spans="1:49" outlineLevel="1">
      <c r="A22" s="13" t="s">
        <v>254</v>
      </c>
      <c r="B22" s="41" t="s">
        <v>255</v>
      </c>
      <c r="C22" s="41" t="s">
        <v>66</v>
      </c>
      <c r="D22" s="37"/>
      <c r="E22" s="40"/>
      <c r="F22" s="420">
        <v>0</v>
      </c>
      <c r="G22" s="420">
        <v>571.32000000000005</v>
      </c>
      <c r="H22" s="420">
        <v>0</v>
      </c>
      <c r="I22" s="420">
        <v>450.58000000000004</v>
      </c>
      <c r="J22" s="420">
        <v>0</v>
      </c>
      <c r="K22" s="420">
        <v>520.41999999999996</v>
      </c>
      <c r="L22" s="420">
        <v>0</v>
      </c>
      <c r="M22" s="420">
        <v>0</v>
      </c>
      <c r="N22" s="39">
        <v>0</v>
      </c>
      <c r="O22" s="39">
        <v>0</v>
      </c>
      <c r="P22" s="39">
        <v>0</v>
      </c>
      <c r="Q22" s="39">
        <v>0</v>
      </c>
      <c r="R22" s="39">
        <f t="shared" si="0"/>
        <v>1542.3200000000002</v>
      </c>
      <c r="S22" s="39"/>
      <c r="T22" s="40"/>
      <c r="U22" s="40"/>
      <c r="V22" s="39">
        <v>0</v>
      </c>
      <c r="W22" s="39">
        <v>0</v>
      </c>
      <c r="X22" s="39">
        <v>0</v>
      </c>
      <c r="Y22" s="39">
        <v>0</v>
      </c>
      <c r="Z22" s="39">
        <v>0</v>
      </c>
      <c r="AA22" s="39">
        <v>0</v>
      </c>
      <c r="AB22" s="39">
        <v>0</v>
      </c>
      <c r="AC22" s="39">
        <v>0</v>
      </c>
      <c r="AD22" s="39">
        <v>0</v>
      </c>
      <c r="AE22" s="39">
        <v>0</v>
      </c>
      <c r="AF22" s="39">
        <v>0</v>
      </c>
      <c r="AG22" s="39">
        <v>0</v>
      </c>
      <c r="AH22" s="45">
        <f t="shared" si="1"/>
        <v>0</v>
      </c>
      <c r="AI22" s="13"/>
      <c r="AJ22" s="13"/>
      <c r="AK22" s="39">
        <v>0</v>
      </c>
      <c r="AL22" s="39">
        <v>571.32000000000005</v>
      </c>
      <c r="AM22" s="39">
        <v>0</v>
      </c>
      <c r="AN22" s="39">
        <v>450.58000000000004</v>
      </c>
      <c r="AO22" s="39">
        <v>0</v>
      </c>
      <c r="AP22" s="39">
        <v>520.41999999999996</v>
      </c>
      <c r="AQ22" s="39">
        <v>0</v>
      </c>
      <c r="AR22" s="39">
        <v>0</v>
      </c>
      <c r="AS22" s="39">
        <v>0</v>
      </c>
      <c r="AT22" s="39">
        <v>0</v>
      </c>
      <c r="AU22" s="39">
        <v>0</v>
      </c>
      <c r="AV22" s="39">
        <v>0</v>
      </c>
      <c r="AW22" s="45">
        <f t="shared" si="2"/>
        <v>1542.3200000000002</v>
      </c>
    </row>
    <row r="23" spans="1:49" outlineLevel="1">
      <c r="A23" s="37" t="s">
        <v>256</v>
      </c>
      <c r="B23" s="41" t="s">
        <v>257</v>
      </c>
      <c r="C23" s="41" t="s">
        <v>65</v>
      </c>
      <c r="D23" s="37"/>
      <c r="E23" s="40">
        <v>19777.700000000004</v>
      </c>
      <c r="F23" s="420">
        <v>0</v>
      </c>
      <c r="G23" s="420">
        <v>0</v>
      </c>
      <c r="H23" s="420">
        <v>0</v>
      </c>
      <c r="I23" s="420">
        <v>0</v>
      </c>
      <c r="J23" s="420">
        <v>0</v>
      </c>
      <c r="K23" s="420">
        <v>0</v>
      </c>
      <c r="L23" s="420">
        <v>0</v>
      </c>
      <c r="M23" s="420">
        <v>0</v>
      </c>
      <c r="N23" s="39">
        <v>3207.2400000000007</v>
      </c>
      <c r="O23" s="39">
        <v>0</v>
      </c>
      <c r="P23" s="39">
        <v>0</v>
      </c>
      <c r="Q23" s="39">
        <v>0</v>
      </c>
      <c r="R23" s="39">
        <f t="shared" si="0"/>
        <v>3207.2400000000007</v>
      </c>
      <c r="S23" s="39"/>
      <c r="T23" s="40">
        <v>16614.532999999996</v>
      </c>
      <c r="U23" s="40"/>
      <c r="V23" s="39">
        <v>0</v>
      </c>
      <c r="W23" s="39">
        <v>0</v>
      </c>
      <c r="X23" s="39">
        <v>3000</v>
      </c>
      <c r="Y23" s="39">
        <v>0</v>
      </c>
      <c r="Z23" s="39">
        <v>0</v>
      </c>
      <c r="AA23" s="39">
        <v>0</v>
      </c>
      <c r="AB23" s="39">
        <v>0</v>
      </c>
      <c r="AC23" s="39">
        <v>0</v>
      </c>
      <c r="AD23" s="39">
        <v>3000</v>
      </c>
      <c r="AE23" s="39">
        <v>0</v>
      </c>
      <c r="AF23" s="39">
        <v>0</v>
      </c>
      <c r="AG23" s="39">
        <v>0</v>
      </c>
      <c r="AH23" s="45">
        <f t="shared" si="1"/>
        <v>6000</v>
      </c>
      <c r="AI23" s="13"/>
      <c r="AJ23" s="13"/>
      <c r="AK23" s="39">
        <v>0</v>
      </c>
      <c r="AL23" s="39">
        <v>0</v>
      </c>
      <c r="AM23" s="39">
        <v>0</v>
      </c>
      <c r="AN23" s="39">
        <v>0</v>
      </c>
      <c r="AO23" s="39">
        <v>0</v>
      </c>
      <c r="AP23" s="39">
        <v>0</v>
      </c>
      <c r="AQ23" s="39">
        <v>0</v>
      </c>
      <c r="AR23" s="39">
        <v>0</v>
      </c>
      <c r="AS23" s="39">
        <v>2446.1998484342344</v>
      </c>
      <c r="AT23" s="39">
        <v>2821.9244724340952</v>
      </c>
      <c r="AU23" s="39">
        <v>2545.0390447049808</v>
      </c>
      <c r="AV23" s="39">
        <v>2037.790067043474</v>
      </c>
      <c r="AW23" s="45">
        <f t="shared" si="2"/>
        <v>9850.953432616785</v>
      </c>
    </row>
    <row r="24" spans="1:49" outlineLevel="1">
      <c r="A24" s="37" t="s">
        <v>258</v>
      </c>
      <c r="B24" s="41" t="s">
        <v>251</v>
      </c>
      <c r="C24" s="41" t="s">
        <v>65</v>
      </c>
      <c r="D24" s="37"/>
      <c r="E24" s="40">
        <v>14915.29</v>
      </c>
      <c r="F24" s="420">
        <v>5629.73</v>
      </c>
      <c r="G24" s="420">
        <v>-1265.96</v>
      </c>
      <c r="H24" s="420">
        <v>3837.5999999999995</v>
      </c>
      <c r="I24" s="420">
        <v>-138.58000000000001</v>
      </c>
      <c r="J24" s="420">
        <v>0</v>
      </c>
      <c r="K24" s="420">
        <v>2188.15</v>
      </c>
      <c r="L24" s="420">
        <v>0</v>
      </c>
      <c r="M24" s="420">
        <v>3374.3199999999997</v>
      </c>
      <c r="N24" s="39">
        <v>0</v>
      </c>
      <c r="O24" s="39">
        <v>1125.3126092828784</v>
      </c>
      <c r="P24" s="39">
        <v>1014.8976544554392</v>
      </c>
      <c r="Q24" s="39">
        <v>812.61950130700336</v>
      </c>
      <c r="R24" s="39">
        <f t="shared" si="0"/>
        <v>16578.089765045319</v>
      </c>
      <c r="S24" s="39"/>
      <c r="T24" s="40">
        <v>14688.248499999996</v>
      </c>
      <c r="U24" s="40"/>
      <c r="V24" s="39">
        <v>1000</v>
      </c>
      <c r="W24" s="39">
        <v>1000</v>
      </c>
      <c r="X24" s="39">
        <v>2500</v>
      </c>
      <c r="Y24" s="39">
        <v>1000</v>
      </c>
      <c r="Z24" s="39">
        <v>1000</v>
      </c>
      <c r="AA24" s="39">
        <v>2500</v>
      </c>
      <c r="AB24" s="39">
        <v>1000</v>
      </c>
      <c r="AC24" s="39">
        <v>1000</v>
      </c>
      <c r="AD24" s="39">
        <v>2500</v>
      </c>
      <c r="AE24" s="39">
        <v>1000</v>
      </c>
      <c r="AF24" s="39">
        <v>1000</v>
      </c>
      <c r="AG24" s="39">
        <v>1000</v>
      </c>
      <c r="AH24" s="45">
        <f t="shared" si="1"/>
        <v>16500</v>
      </c>
      <c r="AI24" s="13"/>
      <c r="AJ24" s="13"/>
      <c r="AK24" s="39">
        <v>5629.73</v>
      </c>
      <c r="AL24" s="39">
        <v>-1265.96</v>
      </c>
      <c r="AM24" s="39">
        <v>3837.5999999999995</v>
      </c>
      <c r="AN24" s="39">
        <v>-138.58000000000001</v>
      </c>
      <c r="AO24" s="39">
        <v>0</v>
      </c>
      <c r="AP24" s="39">
        <v>2188.15</v>
      </c>
      <c r="AQ24" s="39">
        <v>0</v>
      </c>
      <c r="AR24" s="39">
        <v>3374.3199999999997</v>
      </c>
      <c r="AS24" s="39">
        <v>975.48306524819611</v>
      </c>
      <c r="AT24" s="39">
        <v>1125.3126092828784</v>
      </c>
      <c r="AU24" s="39">
        <v>1014.8976544554392</v>
      </c>
      <c r="AV24" s="39">
        <v>812.61950130700336</v>
      </c>
      <c r="AW24" s="45">
        <f t="shared" si="2"/>
        <v>17553.572830293517</v>
      </c>
    </row>
    <row r="25" spans="1:49" s="479" customFormat="1" outlineLevel="1">
      <c r="A25" s="401" t="s">
        <v>259</v>
      </c>
      <c r="B25" s="402" t="s">
        <v>260</v>
      </c>
      <c r="C25" s="402" t="s">
        <v>66</v>
      </c>
      <c r="D25" s="37"/>
      <c r="E25" s="481">
        <v>23461.119999999995</v>
      </c>
      <c r="F25" s="421">
        <v>0</v>
      </c>
      <c r="G25" s="421">
        <v>0</v>
      </c>
      <c r="H25" s="421">
        <v>0</v>
      </c>
      <c r="I25" s="421">
        <v>0</v>
      </c>
      <c r="J25" s="420">
        <v>0</v>
      </c>
      <c r="K25" s="421">
        <v>0</v>
      </c>
      <c r="L25" s="421">
        <v>0</v>
      </c>
      <c r="M25" s="421">
        <v>0</v>
      </c>
      <c r="N25" s="39">
        <v>0</v>
      </c>
      <c r="O25" s="39">
        <v>0</v>
      </c>
      <c r="P25" s="39">
        <v>0</v>
      </c>
      <c r="Q25" s="39">
        <v>0</v>
      </c>
      <c r="R25" s="404">
        <f t="shared" si="0"/>
        <v>0</v>
      </c>
      <c r="S25" s="39"/>
      <c r="T25" s="481">
        <v>26980.287999999997</v>
      </c>
      <c r="U25" s="40"/>
      <c r="V25" s="39">
        <v>0</v>
      </c>
      <c r="W25" s="39">
        <v>0</v>
      </c>
      <c r="X25" s="39">
        <v>0</v>
      </c>
      <c r="Y25" s="39">
        <v>0</v>
      </c>
      <c r="Z25" s="39">
        <v>0</v>
      </c>
      <c r="AA25" s="39">
        <v>0</v>
      </c>
      <c r="AB25" s="39">
        <v>0</v>
      </c>
      <c r="AC25" s="39">
        <v>0</v>
      </c>
      <c r="AD25" s="39">
        <v>0</v>
      </c>
      <c r="AE25" s="39">
        <v>0</v>
      </c>
      <c r="AF25" s="39">
        <v>0</v>
      </c>
      <c r="AG25" s="39">
        <v>0</v>
      </c>
      <c r="AH25" s="405">
        <f t="shared" si="1"/>
        <v>0</v>
      </c>
      <c r="AI25" s="181"/>
      <c r="AJ25" s="181"/>
      <c r="AK25" s="404">
        <v>0</v>
      </c>
      <c r="AL25" s="404">
        <v>0</v>
      </c>
      <c r="AM25" s="404">
        <v>0</v>
      </c>
      <c r="AN25" s="404">
        <v>0</v>
      </c>
      <c r="AO25" s="404">
        <v>0</v>
      </c>
      <c r="AP25" s="404">
        <v>0</v>
      </c>
      <c r="AQ25" s="404">
        <v>0</v>
      </c>
      <c r="AR25" s="404">
        <v>0</v>
      </c>
      <c r="AS25" s="404">
        <v>0</v>
      </c>
      <c r="AT25" s="404">
        <v>0</v>
      </c>
      <c r="AU25" s="404">
        <v>0</v>
      </c>
      <c r="AV25" s="404">
        <v>0</v>
      </c>
      <c r="AW25" s="405">
        <f t="shared" si="2"/>
        <v>0</v>
      </c>
    </row>
    <row r="26" spans="1:49" outlineLevel="1">
      <c r="A26" s="37" t="s">
        <v>261</v>
      </c>
      <c r="B26" s="41" t="s">
        <v>260</v>
      </c>
      <c r="C26" s="41" t="s">
        <v>66</v>
      </c>
      <c r="D26" s="37"/>
      <c r="E26" s="40"/>
      <c r="F26" s="420">
        <v>0</v>
      </c>
      <c r="G26" s="420">
        <v>0</v>
      </c>
      <c r="H26" s="420">
        <v>0</v>
      </c>
      <c r="I26" s="420">
        <v>0</v>
      </c>
      <c r="J26" s="420">
        <v>0</v>
      </c>
      <c r="K26" s="420">
        <v>426.42</v>
      </c>
      <c r="L26" s="420">
        <v>0</v>
      </c>
      <c r="M26" s="420">
        <v>0</v>
      </c>
      <c r="N26" s="39">
        <v>0</v>
      </c>
      <c r="O26" s="39">
        <v>0</v>
      </c>
      <c r="P26" s="39">
        <v>0</v>
      </c>
      <c r="Q26" s="39">
        <v>0</v>
      </c>
      <c r="R26" s="39">
        <f t="shared" si="0"/>
        <v>426.42</v>
      </c>
      <c r="S26" s="39"/>
      <c r="T26" s="40"/>
      <c r="U26" s="40"/>
      <c r="V26" s="39">
        <v>0</v>
      </c>
      <c r="W26" s="39">
        <v>0</v>
      </c>
      <c r="X26" s="39">
        <v>0</v>
      </c>
      <c r="Y26" s="39">
        <v>0</v>
      </c>
      <c r="Z26" s="39">
        <v>0</v>
      </c>
      <c r="AA26" s="39">
        <v>0</v>
      </c>
      <c r="AB26" s="39">
        <v>0</v>
      </c>
      <c r="AC26" s="39">
        <v>0</v>
      </c>
      <c r="AD26" s="39">
        <v>0</v>
      </c>
      <c r="AE26" s="39">
        <v>0</v>
      </c>
      <c r="AF26" s="39">
        <v>0</v>
      </c>
      <c r="AG26" s="39">
        <v>0</v>
      </c>
      <c r="AH26" s="45">
        <f t="shared" si="1"/>
        <v>0</v>
      </c>
      <c r="AI26" s="13"/>
      <c r="AJ26" s="13"/>
      <c r="AK26" s="39">
        <v>0</v>
      </c>
      <c r="AL26" s="39">
        <v>0</v>
      </c>
      <c r="AM26" s="39">
        <v>0</v>
      </c>
      <c r="AN26" s="39">
        <v>0</v>
      </c>
      <c r="AO26" s="39">
        <v>0</v>
      </c>
      <c r="AP26" s="39">
        <v>426.42</v>
      </c>
      <c r="AQ26" s="39">
        <v>0</v>
      </c>
      <c r="AR26" s="39">
        <v>0</v>
      </c>
      <c r="AS26" s="39">
        <v>0</v>
      </c>
      <c r="AT26" s="39">
        <v>0</v>
      </c>
      <c r="AU26" s="39">
        <v>0</v>
      </c>
      <c r="AV26" s="39">
        <v>0</v>
      </c>
      <c r="AW26" s="45">
        <f t="shared" si="2"/>
        <v>426.42</v>
      </c>
    </row>
    <row r="27" spans="1:49" outlineLevel="1">
      <c r="A27" s="37" t="s">
        <v>262</v>
      </c>
      <c r="B27" s="41" t="s">
        <v>263</v>
      </c>
      <c r="C27" s="41" t="s">
        <v>65</v>
      </c>
      <c r="D27" s="37"/>
      <c r="E27" s="40">
        <v>12527.330000000005</v>
      </c>
      <c r="F27" s="420">
        <v>2331.6099999999997</v>
      </c>
      <c r="G27" s="420">
        <v>414.28999999999996</v>
      </c>
      <c r="H27" s="420">
        <v>429.25</v>
      </c>
      <c r="I27" s="420">
        <v>0</v>
      </c>
      <c r="J27" s="420">
        <v>2352.56</v>
      </c>
      <c r="K27" s="420">
        <v>406.69</v>
      </c>
      <c r="L27" s="420">
        <v>0</v>
      </c>
      <c r="M27" s="420">
        <v>0</v>
      </c>
      <c r="N27" s="39">
        <v>0</v>
      </c>
      <c r="O27" s="39">
        <v>1578.698472856358</v>
      </c>
      <c r="P27" s="39">
        <v>1423.7975865349433</v>
      </c>
      <c r="Q27" s="39">
        <v>1140.0220304508948</v>
      </c>
      <c r="R27" s="39">
        <f t="shared" si="0"/>
        <v>10076.918089842195</v>
      </c>
      <c r="S27" s="39"/>
      <c r="T27" s="40">
        <v>12469.990499999998</v>
      </c>
      <c r="U27" s="40"/>
      <c r="V27" s="39">
        <v>2331.6099999999997</v>
      </c>
      <c r="W27" s="39">
        <v>414.28999999999996</v>
      </c>
      <c r="X27" s="39">
        <v>429.25</v>
      </c>
      <c r="Y27" s="39">
        <v>0</v>
      </c>
      <c r="Z27" s="39">
        <v>2352.56</v>
      </c>
      <c r="AA27" s="39">
        <v>406.69</v>
      </c>
      <c r="AB27" s="39">
        <v>0</v>
      </c>
      <c r="AC27" s="39">
        <v>0</v>
      </c>
      <c r="AD27" s="39">
        <v>0</v>
      </c>
      <c r="AE27" s="39">
        <v>1578.698472856358</v>
      </c>
      <c r="AF27" s="39">
        <v>1423.7975865349433</v>
      </c>
      <c r="AG27" s="39">
        <v>1140.0220304508948</v>
      </c>
      <c r="AH27" s="39">
        <f t="shared" si="1"/>
        <v>10076.918089842195</v>
      </c>
      <c r="AI27" s="39"/>
      <c r="AJ27" s="39"/>
      <c r="AK27" s="39">
        <v>2331.6099999999997</v>
      </c>
      <c r="AL27" s="39">
        <v>414.28999999999996</v>
      </c>
      <c r="AM27" s="39">
        <v>429.25</v>
      </c>
      <c r="AN27" s="39">
        <v>0</v>
      </c>
      <c r="AO27" s="39">
        <v>1348.71</v>
      </c>
      <c r="AP27" s="39">
        <v>406.69</v>
      </c>
      <c r="AQ27" s="39">
        <v>0</v>
      </c>
      <c r="AR27" s="39">
        <v>0</v>
      </c>
      <c r="AS27" s="39">
        <v>1368.502949936684</v>
      </c>
      <c r="AT27" s="39">
        <v>1578.698472856358</v>
      </c>
      <c r="AU27" s="39">
        <v>1423.7975865349433</v>
      </c>
      <c r="AV27" s="39">
        <v>1140.0220304508948</v>
      </c>
      <c r="AW27" s="39">
        <f t="shared" si="2"/>
        <v>10441.571039778879</v>
      </c>
    </row>
    <row r="28" spans="1:49" outlineLevel="1">
      <c r="A28" s="37" t="s">
        <v>264</v>
      </c>
      <c r="B28" s="41" t="s">
        <v>265</v>
      </c>
      <c r="C28" s="41" t="s">
        <v>65</v>
      </c>
      <c r="D28" s="37"/>
      <c r="E28" s="40">
        <v>720640.37000000046</v>
      </c>
      <c r="F28" s="420">
        <v>69841.83</v>
      </c>
      <c r="G28" s="420">
        <v>48931.65</v>
      </c>
      <c r="H28" s="420">
        <v>0</v>
      </c>
      <c r="I28" s="420">
        <v>67066.38</v>
      </c>
      <c r="J28" s="420">
        <v>58821.040000000008</v>
      </c>
      <c r="K28" s="420">
        <v>34460.04</v>
      </c>
      <c r="L28" s="420">
        <v>45130.49</v>
      </c>
      <c r="M28" s="420">
        <v>-840.39</v>
      </c>
      <c r="N28" s="39">
        <v>0</v>
      </c>
      <c r="O28" s="39">
        <v>114000</v>
      </c>
      <c r="P28" s="39">
        <v>40000</v>
      </c>
      <c r="Q28" s="39">
        <v>40406.176320486535</v>
      </c>
      <c r="R28" s="39">
        <f t="shared" si="0"/>
        <v>517817.21632048651</v>
      </c>
      <c r="S28" s="39"/>
      <c r="T28" s="40">
        <v>850000</v>
      </c>
      <c r="U28" s="40"/>
      <c r="V28" s="39">
        <v>30000</v>
      </c>
      <c r="W28" s="39">
        <v>50000</v>
      </c>
      <c r="X28" s="39">
        <v>46000</v>
      </c>
      <c r="Y28" s="39">
        <v>45000</v>
      </c>
      <c r="Z28" s="39">
        <v>54000</v>
      </c>
      <c r="AA28" s="39">
        <v>27000</v>
      </c>
      <c r="AB28" s="39">
        <v>36000</v>
      </c>
      <c r="AC28" s="39">
        <v>18000</v>
      </c>
      <c r="AD28" s="39">
        <v>46000</v>
      </c>
      <c r="AE28" s="39">
        <v>54000</v>
      </c>
      <c r="AF28" s="39">
        <v>36000</v>
      </c>
      <c r="AG28" s="39">
        <v>36000</v>
      </c>
      <c r="AH28" s="39">
        <f t="shared" si="1"/>
        <v>478000</v>
      </c>
      <c r="AI28" s="39"/>
      <c r="AJ28" s="39"/>
      <c r="AK28" s="39">
        <v>69841.83</v>
      </c>
      <c r="AL28" s="39">
        <v>48931.65</v>
      </c>
      <c r="AM28" s="39">
        <v>0</v>
      </c>
      <c r="AN28" s="39">
        <v>67066.38</v>
      </c>
      <c r="AO28" s="39">
        <v>58821.040000000008</v>
      </c>
      <c r="AP28" s="39">
        <v>34460.04</v>
      </c>
      <c r="AQ28" s="39">
        <v>45130.49</v>
      </c>
      <c r="AR28" s="39">
        <v>0</v>
      </c>
      <c r="AS28" s="39">
        <v>72756.451208724335</v>
      </c>
      <c r="AT28" s="39">
        <v>83931.494936839881</v>
      </c>
      <c r="AU28" s="39">
        <v>75696.190235192291</v>
      </c>
      <c r="AV28" s="39">
        <v>60609.264480729777</v>
      </c>
      <c r="AW28" s="39">
        <f t="shared" si="2"/>
        <v>617244.83086148638</v>
      </c>
    </row>
    <row r="29" spans="1:49" outlineLevel="1">
      <c r="A29" s="37" t="s">
        <v>266</v>
      </c>
      <c r="B29" s="41" t="s">
        <v>267</v>
      </c>
      <c r="C29" s="41" t="s">
        <v>67</v>
      </c>
      <c r="D29" s="37"/>
      <c r="E29" s="40">
        <v>148468.67999999996</v>
      </c>
      <c r="F29" s="420">
        <v>113218.10000000002</v>
      </c>
      <c r="G29" s="420">
        <v>0</v>
      </c>
      <c r="H29" s="420">
        <v>0</v>
      </c>
      <c r="I29" s="420">
        <v>0</v>
      </c>
      <c r="J29" s="420">
        <v>0</v>
      </c>
      <c r="K29" s="420">
        <v>67965.600000000006</v>
      </c>
      <c r="L29" s="420">
        <v>0</v>
      </c>
      <c r="M29" s="420">
        <v>0</v>
      </c>
      <c r="N29" s="39">
        <v>-3209.6</v>
      </c>
      <c r="O29" s="39">
        <v>0</v>
      </c>
      <c r="P29" s="39">
        <v>50000</v>
      </c>
      <c r="Q29" s="39">
        <v>0</v>
      </c>
      <c r="R29" s="39">
        <f t="shared" si="0"/>
        <v>227974.1</v>
      </c>
      <c r="S29" s="39"/>
      <c r="T29" s="40">
        <v>207913.68700000001</v>
      </c>
      <c r="U29" s="40"/>
      <c r="V29" s="39">
        <v>0</v>
      </c>
      <c r="W29" s="39">
        <v>0</v>
      </c>
      <c r="X29" s="39">
        <v>50000</v>
      </c>
      <c r="Y29" s="39">
        <v>0</v>
      </c>
      <c r="Z29" s="39">
        <v>50000</v>
      </c>
      <c r="AA29" s="39">
        <v>0</v>
      </c>
      <c r="AB29" s="39">
        <v>0</v>
      </c>
      <c r="AC29" s="39">
        <v>0</v>
      </c>
      <c r="AD29" s="39">
        <v>0</v>
      </c>
      <c r="AE29" s="39">
        <v>0</v>
      </c>
      <c r="AF29" s="39">
        <v>0</v>
      </c>
      <c r="AG29" s="39">
        <v>0</v>
      </c>
      <c r="AH29" s="39">
        <f t="shared" si="1"/>
        <v>100000</v>
      </c>
      <c r="AI29" s="39"/>
      <c r="AJ29" s="39"/>
      <c r="AK29" s="39">
        <v>113218.10000000002</v>
      </c>
      <c r="AL29" s="39">
        <v>0</v>
      </c>
      <c r="AM29" s="39">
        <v>0</v>
      </c>
      <c r="AN29" s="39">
        <v>0</v>
      </c>
      <c r="AO29" s="39">
        <v>0</v>
      </c>
      <c r="AP29" s="39">
        <v>67965.600000000006</v>
      </c>
      <c r="AQ29" s="39">
        <v>0</v>
      </c>
      <c r="AR29" s="39">
        <v>0</v>
      </c>
      <c r="AS29" s="39">
        <v>20064.60347047681</v>
      </c>
      <c r="AT29" s="39">
        <v>23146.430819733094</v>
      </c>
      <c r="AU29" s="39">
        <v>20875.31780429649</v>
      </c>
      <c r="AV29" s="39">
        <v>16714.680804789899</v>
      </c>
      <c r="AW29" s="39">
        <f t="shared" si="2"/>
        <v>261984.73289929633</v>
      </c>
    </row>
    <row r="30" spans="1:49" outlineLevel="1">
      <c r="A30" s="13" t="s">
        <v>268</v>
      </c>
      <c r="B30" s="41" t="s">
        <v>64</v>
      </c>
      <c r="C30" s="41" t="s">
        <v>64</v>
      </c>
      <c r="D30" s="37"/>
      <c r="E30" s="40">
        <v>24378.69</v>
      </c>
      <c r="F30" s="420">
        <v>0</v>
      </c>
      <c r="G30" s="420">
        <v>1907.96</v>
      </c>
      <c r="H30" s="420">
        <v>1212.18</v>
      </c>
      <c r="I30" s="420">
        <v>2147.6999999999998</v>
      </c>
      <c r="J30" s="420">
        <v>1855.53</v>
      </c>
      <c r="K30" s="420">
        <v>495</v>
      </c>
      <c r="L30" s="420">
        <v>165</v>
      </c>
      <c r="M30" s="420">
        <v>1723.6799999999998</v>
      </c>
      <c r="N30" s="39">
        <v>2213.64</v>
      </c>
      <c r="O30" s="39">
        <v>1465.0862499999998</v>
      </c>
      <c r="P30" s="39">
        <v>1409.72703125</v>
      </c>
      <c r="Q30" s="39">
        <v>1434.42041015625</v>
      </c>
      <c r="R30" s="39">
        <f t="shared" si="0"/>
        <v>16029.923691406249</v>
      </c>
      <c r="S30" s="39"/>
      <c r="T30" s="39"/>
      <c r="U30" s="40"/>
      <c r="V30" s="39">
        <v>1500</v>
      </c>
      <c r="W30" s="39">
        <v>1500</v>
      </c>
      <c r="X30" s="39">
        <v>1500</v>
      </c>
      <c r="Y30" s="39">
        <v>1500</v>
      </c>
      <c r="Z30" s="39">
        <v>1500</v>
      </c>
      <c r="AA30" s="39">
        <v>1500</v>
      </c>
      <c r="AB30" s="39">
        <v>1500</v>
      </c>
      <c r="AC30" s="39">
        <v>1500</v>
      </c>
      <c r="AD30" s="39">
        <v>1500</v>
      </c>
      <c r="AE30" s="39">
        <v>1500</v>
      </c>
      <c r="AF30" s="39">
        <v>1500</v>
      </c>
      <c r="AG30" s="39">
        <v>1500</v>
      </c>
      <c r="AH30" s="39">
        <f t="shared" si="1"/>
        <v>18000</v>
      </c>
      <c r="AI30" s="39"/>
      <c r="AJ30" s="39"/>
      <c r="AK30" s="39">
        <v>0</v>
      </c>
      <c r="AL30" s="39">
        <v>1907.96</v>
      </c>
      <c r="AM30" s="39">
        <v>1212.18</v>
      </c>
      <c r="AN30" s="39">
        <v>2147.6999999999998</v>
      </c>
      <c r="AO30" s="39">
        <v>1855.53</v>
      </c>
      <c r="AP30" s="39">
        <v>495</v>
      </c>
      <c r="AQ30" s="39">
        <v>165</v>
      </c>
      <c r="AR30" s="39">
        <v>1723.6799999999998</v>
      </c>
      <c r="AS30" s="39">
        <v>0</v>
      </c>
      <c r="AT30" s="39">
        <v>0</v>
      </c>
      <c r="AU30" s="39">
        <v>0</v>
      </c>
      <c r="AV30" s="39">
        <v>0</v>
      </c>
      <c r="AW30" s="39">
        <f t="shared" si="2"/>
        <v>9507.0499999999993</v>
      </c>
    </row>
    <row r="31" spans="1:49" outlineLevel="1">
      <c r="A31" s="13" t="s">
        <v>269</v>
      </c>
      <c r="B31" s="41" t="s">
        <v>64</v>
      </c>
      <c r="C31" s="41" t="s">
        <v>64</v>
      </c>
      <c r="D31" s="37"/>
      <c r="E31" s="40">
        <v>18437.640000000003</v>
      </c>
      <c r="F31" s="420">
        <v>0</v>
      </c>
      <c r="G31" s="420">
        <v>2241.1800000000003</v>
      </c>
      <c r="H31" s="420">
        <v>6243.5399999999991</v>
      </c>
      <c r="I31" s="420">
        <v>1948.74</v>
      </c>
      <c r="J31" s="420">
        <v>1762.7999999999997</v>
      </c>
      <c r="K31" s="420">
        <v>777.9</v>
      </c>
      <c r="L31" s="420">
        <v>1326.84</v>
      </c>
      <c r="M31" s="420">
        <v>4085.5200000000004</v>
      </c>
      <c r="N31" s="39">
        <v>544.91999999999996</v>
      </c>
      <c r="O31" s="39">
        <v>1082.8250195570299</v>
      </c>
      <c r="P31" s="39">
        <v>976.57891990957216</v>
      </c>
      <c r="Q31" s="39">
        <v>781.93803227347223</v>
      </c>
      <c r="R31" s="39">
        <f t="shared" si="0"/>
        <v>21772.781971740067</v>
      </c>
      <c r="S31" s="39"/>
      <c r="T31" s="39">
        <v>15840.606000000002</v>
      </c>
      <c r="U31" s="40"/>
      <c r="V31" s="39">
        <v>1000</v>
      </c>
      <c r="W31" s="39">
        <v>1000</v>
      </c>
      <c r="X31" s="39">
        <v>3500</v>
      </c>
      <c r="Y31" s="39">
        <v>3500</v>
      </c>
      <c r="Z31" s="39">
        <v>1000</v>
      </c>
      <c r="AA31" s="39">
        <v>1000</v>
      </c>
      <c r="AB31" s="39">
        <v>1000</v>
      </c>
      <c r="AC31" s="39">
        <v>1000</v>
      </c>
      <c r="AD31" s="39">
        <v>1000</v>
      </c>
      <c r="AE31" s="39">
        <v>1000</v>
      </c>
      <c r="AF31" s="39">
        <v>1000</v>
      </c>
      <c r="AG31" s="39">
        <v>1000</v>
      </c>
      <c r="AH31" s="45">
        <f t="shared" si="1"/>
        <v>17000</v>
      </c>
      <c r="AI31" s="13"/>
      <c r="AJ31" s="13"/>
      <c r="AK31" s="39">
        <v>0</v>
      </c>
      <c r="AL31" s="39">
        <v>2241.1800000000003</v>
      </c>
      <c r="AM31" s="39">
        <v>6243.5399999999991</v>
      </c>
      <c r="AN31" s="39">
        <v>1948.74</v>
      </c>
      <c r="AO31" s="39">
        <v>1146.1199999999999</v>
      </c>
      <c r="AP31" s="39">
        <v>777.9</v>
      </c>
      <c r="AQ31" s="39">
        <v>1326.84</v>
      </c>
      <c r="AR31" s="39">
        <v>4085.5200000000004</v>
      </c>
      <c r="AS31" s="39">
        <v>938.65247797948189</v>
      </c>
      <c r="AT31" s="39">
        <v>1082.8250195570308</v>
      </c>
      <c r="AU31" s="39">
        <v>976.57891990957216</v>
      </c>
      <c r="AV31" s="39">
        <v>781.93803227347223</v>
      </c>
      <c r="AW31" s="45">
        <f t="shared" si="2"/>
        <v>21549.834449719554</v>
      </c>
    </row>
    <row r="32" spans="1:49" outlineLevel="1">
      <c r="A32" s="13" t="s">
        <v>270</v>
      </c>
      <c r="B32" s="41" t="s">
        <v>64</v>
      </c>
      <c r="C32" s="41" t="s">
        <v>64</v>
      </c>
      <c r="D32" s="37"/>
      <c r="E32" s="40"/>
      <c r="F32" s="420">
        <v>0</v>
      </c>
      <c r="G32" s="420">
        <v>0</v>
      </c>
      <c r="H32" s="420">
        <v>0</v>
      </c>
      <c r="I32" s="420">
        <v>0</v>
      </c>
      <c r="J32" s="420">
        <v>8553</v>
      </c>
      <c r="K32" s="420">
        <v>0</v>
      </c>
      <c r="L32" s="420">
        <v>0</v>
      </c>
      <c r="M32" s="420">
        <v>0</v>
      </c>
      <c r="N32" s="39">
        <v>0</v>
      </c>
      <c r="O32" s="39">
        <v>0</v>
      </c>
      <c r="P32" s="39">
        <v>0</v>
      </c>
      <c r="Q32" s="39">
        <v>10000</v>
      </c>
      <c r="R32" s="39">
        <f t="shared" si="0"/>
        <v>18553</v>
      </c>
      <c r="S32" s="39"/>
      <c r="T32" s="40"/>
      <c r="U32" s="40"/>
      <c r="V32" s="39">
        <v>0</v>
      </c>
      <c r="W32" s="39">
        <v>0</v>
      </c>
      <c r="X32" s="39">
        <v>0</v>
      </c>
      <c r="Y32" s="39">
        <v>0</v>
      </c>
      <c r="Z32" s="39">
        <v>0</v>
      </c>
      <c r="AA32" s="39">
        <v>0</v>
      </c>
      <c r="AB32" s="39">
        <v>0</v>
      </c>
      <c r="AC32" s="39">
        <v>0</v>
      </c>
      <c r="AD32" s="39">
        <v>0</v>
      </c>
      <c r="AE32" s="39">
        <v>0</v>
      </c>
      <c r="AF32" s="39">
        <v>0</v>
      </c>
      <c r="AG32" s="39">
        <v>0</v>
      </c>
      <c r="AH32" s="45">
        <f t="shared" si="1"/>
        <v>0</v>
      </c>
      <c r="AI32" s="13"/>
      <c r="AJ32" s="13"/>
      <c r="AK32" s="39">
        <v>0</v>
      </c>
      <c r="AL32" s="39">
        <v>0</v>
      </c>
      <c r="AM32" s="39">
        <v>0</v>
      </c>
      <c r="AN32" s="39">
        <v>0</v>
      </c>
      <c r="AO32" s="39">
        <v>8553</v>
      </c>
      <c r="AP32" s="39">
        <v>0</v>
      </c>
      <c r="AQ32" s="39">
        <v>0</v>
      </c>
      <c r="AR32" s="39">
        <v>0</v>
      </c>
      <c r="AS32" s="39">
        <v>0</v>
      </c>
      <c r="AT32" s="39">
        <v>0</v>
      </c>
      <c r="AU32" s="39">
        <v>0</v>
      </c>
      <c r="AV32" s="39">
        <v>0</v>
      </c>
      <c r="AW32" s="45">
        <f t="shared" si="2"/>
        <v>8553</v>
      </c>
    </row>
    <row r="33" spans="1:49" outlineLevel="1">
      <c r="A33" s="37" t="s">
        <v>271</v>
      </c>
      <c r="B33" s="41" t="s">
        <v>272</v>
      </c>
      <c r="C33" s="41" t="s">
        <v>67</v>
      </c>
      <c r="D33" s="37"/>
      <c r="E33" s="40">
        <v>146564.1</v>
      </c>
      <c r="F33" s="420">
        <v>0</v>
      </c>
      <c r="G33" s="420">
        <v>0</v>
      </c>
      <c r="H33" s="420">
        <v>0</v>
      </c>
      <c r="I33" s="420">
        <v>0</v>
      </c>
      <c r="J33" s="420">
        <v>0</v>
      </c>
      <c r="K33" s="420">
        <v>0</v>
      </c>
      <c r="L33" s="420">
        <v>0</v>
      </c>
      <c r="M33" s="420">
        <v>0</v>
      </c>
      <c r="N33" s="39">
        <v>0</v>
      </c>
      <c r="O33" s="39">
        <v>0</v>
      </c>
      <c r="P33" s="39">
        <v>0</v>
      </c>
      <c r="Q33" s="39">
        <v>0</v>
      </c>
      <c r="R33" s="39">
        <f t="shared" si="0"/>
        <v>0</v>
      </c>
      <c r="S33" s="39"/>
      <c r="T33" s="40">
        <v>186490.78499999997</v>
      </c>
      <c r="U33" s="40"/>
      <c r="V33" s="39">
        <v>0</v>
      </c>
      <c r="W33" s="39">
        <v>0</v>
      </c>
      <c r="X33" s="39">
        <v>0</v>
      </c>
      <c r="Y33" s="39">
        <v>0</v>
      </c>
      <c r="Z33" s="39">
        <v>0</v>
      </c>
      <c r="AA33" s="39">
        <v>0</v>
      </c>
      <c r="AB33" s="39">
        <v>0</v>
      </c>
      <c r="AC33" s="39">
        <v>0</v>
      </c>
      <c r="AD33" s="39">
        <v>0</v>
      </c>
      <c r="AE33" s="39">
        <v>0</v>
      </c>
      <c r="AF33" s="39">
        <v>0</v>
      </c>
      <c r="AG33" s="39">
        <v>0</v>
      </c>
      <c r="AH33" s="45">
        <f t="shared" si="1"/>
        <v>0</v>
      </c>
      <c r="AI33" s="13"/>
      <c r="AJ33" s="13"/>
      <c r="AK33" s="39">
        <v>0</v>
      </c>
      <c r="AL33" s="39">
        <v>0</v>
      </c>
      <c r="AM33" s="39">
        <v>0</v>
      </c>
      <c r="AN33" s="39">
        <v>0</v>
      </c>
      <c r="AO33" s="39">
        <v>0</v>
      </c>
      <c r="AP33" s="39">
        <v>0</v>
      </c>
      <c r="AQ33" s="39">
        <v>0</v>
      </c>
      <c r="AR33" s="39">
        <v>0</v>
      </c>
      <c r="AS33" s="39">
        <v>19220.258011523227</v>
      </c>
      <c r="AT33" s="39">
        <v>22172.397927312297</v>
      </c>
      <c r="AU33" s="39">
        <v>19996.856397461033</v>
      </c>
      <c r="AV33" s="39">
        <v>16011.304590246267</v>
      </c>
      <c r="AW33" s="45">
        <f t="shared" si="2"/>
        <v>77400.816926542815</v>
      </c>
    </row>
    <row r="34" spans="1:49" outlineLevel="1">
      <c r="A34" s="37" t="s">
        <v>273</v>
      </c>
      <c r="B34" s="41" t="s">
        <v>274</v>
      </c>
      <c r="C34" s="41" t="s">
        <v>66</v>
      </c>
      <c r="D34" s="37"/>
      <c r="E34" s="40">
        <v>334442.17</v>
      </c>
      <c r="F34" s="420">
        <v>0</v>
      </c>
      <c r="G34" s="420">
        <v>23819.399999999998</v>
      </c>
      <c r="H34" s="420">
        <v>30338.6</v>
      </c>
      <c r="I34" s="420">
        <v>25227.000000000004</v>
      </c>
      <c r="J34" s="420">
        <v>0</v>
      </c>
      <c r="K34" s="420">
        <v>15042.6</v>
      </c>
      <c r="L34" s="420">
        <v>23948.800000000003</v>
      </c>
      <c r="M34" s="420">
        <v>0</v>
      </c>
      <c r="N34" s="39">
        <v>26124.100000000002</v>
      </c>
      <c r="O34" s="39">
        <v>70000</v>
      </c>
      <c r="P34" s="39">
        <v>20000</v>
      </c>
      <c r="Q34" s="39">
        <v>30000</v>
      </c>
      <c r="R34" s="39">
        <f t="shared" si="0"/>
        <v>264500.5</v>
      </c>
      <c r="S34" s="39"/>
      <c r="T34" s="40">
        <v>301608.49550000002</v>
      </c>
      <c r="U34" s="40"/>
      <c r="V34" s="39">
        <v>0</v>
      </c>
      <c r="W34" s="39">
        <v>23819.399999999998</v>
      </c>
      <c r="X34" s="39">
        <v>30338.6</v>
      </c>
      <c r="Y34" s="39">
        <v>25227.000000000004</v>
      </c>
      <c r="Z34" s="39">
        <v>10000</v>
      </c>
      <c r="AA34" s="39">
        <v>15042.6</v>
      </c>
      <c r="AB34" s="39">
        <v>23948.800000000003</v>
      </c>
      <c r="AC34" s="39">
        <v>0</v>
      </c>
      <c r="AD34" s="39">
        <v>26124.100000000002</v>
      </c>
      <c r="AE34" s="39">
        <v>30000</v>
      </c>
      <c r="AF34" s="39">
        <v>10000</v>
      </c>
      <c r="AG34" s="39">
        <v>31727.401217727871</v>
      </c>
      <c r="AH34" s="45">
        <f t="shared" si="1"/>
        <v>226227.90121772786</v>
      </c>
      <c r="AI34" s="13"/>
      <c r="AJ34" s="13"/>
      <c r="AK34" s="39">
        <v>0</v>
      </c>
      <c r="AL34" s="39">
        <v>23819.399999999998</v>
      </c>
      <c r="AM34" s="39">
        <v>30338.6</v>
      </c>
      <c r="AN34" s="39">
        <v>25227.000000000004</v>
      </c>
      <c r="AO34" s="39">
        <v>0</v>
      </c>
      <c r="AP34" s="39">
        <v>15042.6</v>
      </c>
      <c r="AQ34" s="39">
        <v>23948.800000000003</v>
      </c>
      <c r="AR34" s="39">
        <v>0</v>
      </c>
      <c r="AS34" s="39">
        <v>36432.76429058081</v>
      </c>
      <c r="AT34" s="39">
        <v>42028.663036595324</v>
      </c>
      <c r="AU34" s="39">
        <v>37904.837450387226</v>
      </c>
      <c r="AV34" s="39">
        <v>30350.065320216101</v>
      </c>
      <c r="AW34" s="45">
        <f t="shared" si="2"/>
        <v>265092.73009777948</v>
      </c>
    </row>
    <row r="35" spans="1:49" s="479" customFormat="1" outlineLevel="1">
      <c r="A35" s="401" t="s">
        <v>275</v>
      </c>
      <c r="B35" s="402" t="s">
        <v>265</v>
      </c>
      <c r="C35" s="402" t="s">
        <v>65</v>
      </c>
      <c r="D35" s="37"/>
      <c r="E35" s="481">
        <v>28578.950000000004</v>
      </c>
      <c r="F35" s="421">
        <v>0</v>
      </c>
      <c r="G35" s="421">
        <v>0</v>
      </c>
      <c r="H35" s="421">
        <v>0</v>
      </c>
      <c r="I35" s="421">
        <v>925.81</v>
      </c>
      <c r="J35" s="420">
        <v>0</v>
      </c>
      <c r="K35" s="421">
        <v>0</v>
      </c>
      <c r="L35" s="421">
        <v>0</v>
      </c>
      <c r="M35" s="421">
        <v>0</v>
      </c>
      <c r="N35" s="39">
        <v>0</v>
      </c>
      <c r="O35" s="39">
        <v>0</v>
      </c>
      <c r="P35" s="39">
        <v>0</v>
      </c>
      <c r="Q35" s="39">
        <v>0</v>
      </c>
      <c r="R35" s="404">
        <f t="shared" si="0"/>
        <v>925.81</v>
      </c>
      <c r="S35" s="39"/>
      <c r="T35" s="481">
        <v>15890</v>
      </c>
      <c r="U35" s="40"/>
      <c r="V35" s="39">
        <v>0</v>
      </c>
      <c r="W35" s="39">
        <v>0</v>
      </c>
      <c r="X35" s="39">
        <v>0</v>
      </c>
      <c r="Y35" s="39">
        <v>0</v>
      </c>
      <c r="Z35" s="39">
        <v>0</v>
      </c>
      <c r="AA35" s="39">
        <v>0</v>
      </c>
      <c r="AB35" s="39">
        <v>0</v>
      </c>
      <c r="AC35" s="39">
        <v>0</v>
      </c>
      <c r="AD35" s="39">
        <v>0</v>
      </c>
      <c r="AE35" s="39">
        <v>0</v>
      </c>
      <c r="AF35" s="39">
        <v>0</v>
      </c>
      <c r="AG35" s="39">
        <v>0</v>
      </c>
      <c r="AH35" s="405">
        <f t="shared" si="1"/>
        <v>0</v>
      </c>
      <c r="AI35" s="181"/>
      <c r="AJ35" s="181"/>
      <c r="AK35" s="404"/>
      <c r="AL35" s="404"/>
      <c r="AM35" s="404"/>
      <c r="AN35" s="404"/>
      <c r="AO35" s="404"/>
      <c r="AP35" s="404"/>
      <c r="AQ35" s="404"/>
      <c r="AR35" s="404"/>
      <c r="AS35" s="404"/>
      <c r="AT35" s="404"/>
      <c r="AU35" s="404"/>
      <c r="AV35" s="404"/>
      <c r="AW35" s="405">
        <f t="shared" si="2"/>
        <v>0</v>
      </c>
    </row>
    <row r="36" spans="1:49" outlineLevel="1">
      <c r="A36" s="37" t="s">
        <v>276</v>
      </c>
      <c r="B36" s="41" t="s">
        <v>263</v>
      </c>
      <c r="C36" s="41" t="s">
        <v>65</v>
      </c>
      <c r="D36" s="37"/>
      <c r="E36" s="40"/>
      <c r="F36" s="420">
        <v>0</v>
      </c>
      <c r="G36" s="420">
        <v>0</v>
      </c>
      <c r="H36" s="420">
        <v>0</v>
      </c>
      <c r="I36" s="420">
        <v>0</v>
      </c>
      <c r="J36" s="420">
        <v>0</v>
      </c>
      <c r="K36" s="420">
        <v>16268.579999999998</v>
      </c>
      <c r="L36" s="420">
        <v>0</v>
      </c>
      <c r="M36" s="420">
        <v>0</v>
      </c>
      <c r="N36" s="39">
        <v>0</v>
      </c>
      <c r="O36" s="39">
        <v>0</v>
      </c>
      <c r="P36" s="39">
        <v>0</v>
      </c>
      <c r="Q36" s="39">
        <v>10000</v>
      </c>
      <c r="R36" s="39">
        <f t="shared" ref="R36:R67" si="3">SUM(F36:Q36)</f>
        <v>26268.579999999998</v>
      </c>
      <c r="S36" s="39"/>
      <c r="T36" s="40"/>
      <c r="U36" s="40"/>
      <c r="V36" s="39">
        <v>0</v>
      </c>
      <c r="W36" s="39">
        <v>0</v>
      </c>
      <c r="X36" s="39">
        <v>15000</v>
      </c>
      <c r="Y36" s="39">
        <v>0</v>
      </c>
      <c r="Z36" s="39">
        <v>0</v>
      </c>
      <c r="AA36" s="39">
        <v>0</v>
      </c>
      <c r="AB36" s="39">
        <v>0</v>
      </c>
      <c r="AC36" s="39">
        <v>15000</v>
      </c>
      <c r="AD36" s="39">
        <v>0</v>
      </c>
      <c r="AE36" s="39">
        <v>0</v>
      </c>
      <c r="AF36" s="39">
        <v>0</v>
      </c>
      <c r="AG36" s="39">
        <v>0</v>
      </c>
      <c r="AH36" s="45">
        <f t="shared" ref="AH36:AH67" si="4">SUM(V36:AG36)</f>
        <v>30000</v>
      </c>
      <c r="AI36" s="13"/>
      <c r="AJ36" s="13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45">
        <f t="shared" ref="AW36:AW67" si="5">SUM(AK36:AV36)</f>
        <v>0</v>
      </c>
    </row>
    <row r="37" spans="1:49" outlineLevel="1">
      <c r="A37" s="37" t="s">
        <v>277</v>
      </c>
      <c r="B37" s="41" t="s">
        <v>64</v>
      </c>
      <c r="C37" s="41" t="s">
        <v>64</v>
      </c>
      <c r="D37" s="37"/>
      <c r="E37" s="40">
        <v>2176137.2600000002</v>
      </c>
      <c r="F37" s="420">
        <v>190148.34000000003</v>
      </c>
      <c r="G37" s="420">
        <v>103455.44</v>
      </c>
      <c r="H37" s="420">
        <v>73647.419999999984</v>
      </c>
      <c r="I37" s="420">
        <v>167069.18</v>
      </c>
      <c r="J37" s="420">
        <v>307927</v>
      </c>
      <c r="K37" s="420">
        <v>114295.98999999999</v>
      </c>
      <c r="L37" s="420">
        <v>19059.36</v>
      </c>
      <c r="M37" s="420">
        <v>128435.87999999999</v>
      </c>
      <c r="N37" s="39">
        <v>354805.07999999996</v>
      </c>
      <c r="O37" s="39">
        <v>222519.604587668</v>
      </c>
      <c r="P37" s="39">
        <v>143347.23074372619</v>
      </c>
      <c r="Q37" s="39">
        <v>210687.58904807299</v>
      </c>
      <c r="R37" s="39">
        <f t="shared" si="3"/>
        <v>2035398.1143794672</v>
      </c>
      <c r="S37" s="39"/>
      <c r="T37" s="39">
        <v>2499500</v>
      </c>
      <c r="U37" s="40"/>
      <c r="V37" s="39">
        <v>216463.06640000001</v>
      </c>
      <c r="W37" s="39">
        <v>124861.7824</v>
      </c>
      <c r="X37" s="39">
        <v>86092.103199999998</v>
      </c>
      <c r="Y37" s="39">
        <v>123317.2328</v>
      </c>
      <c r="Z37" s="39">
        <v>192682.91999999998</v>
      </c>
      <c r="AA37" s="39">
        <v>117428.16039999999</v>
      </c>
      <c r="AB37" s="39">
        <v>101060.6256</v>
      </c>
      <c r="AC37" s="39">
        <v>138562.56479999999</v>
      </c>
      <c r="AD37" s="39">
        <v>366163.79680000001</v>
      </c>
      <c r="AE37" s="39">
        <v>198636.21581649326</v>
      </c>
      <c r="AF37" s="39">
        <v>208318.11077025096</v>
      </c>
      <c r="AG37" s="39">
        <v>206498.49643807707</v>
      </c>
      <c r="AH37" s="45">
        <f t="shared" si="4"/>
        <v>2080085.0754248211</v>
      </c>
      <c r="AI37" s="13"/>
      <c r="AJ37" s="13"/>
      <c r="AK37" s="39">
        <v>190148.34000000003</v>
      </c>
      <c r="AL37" s="39">
        <v>103455.44</v>
      </c>
      <c r="AM37" s="39">
        <v>73647.419999999984</v>
      </c>
      <c r="AN37" s="39">
        <v>167069.18</v>
      </c>
      <c r="AO37" s="39"/>
      <c r="AP37" s="39">
        <v>114295.98999999999</v>
      </c>
      <c r="AQ37" s="39">
        <v>19059.36</v>
      </c>
      <c r="AR37" s="39">
        <v>128435.87999999999</v>
      </c>
      <c r="AS37" s="39">
        <v>289338.40806154592</v>
      </c>
      <c r="AT37" s="39">
        <v>333779.40688150201</v>
      </c>
      <c r="AU37" s="39">
        <v>301029.18456182472</v>
      </c>
      <c r="AV37" s="39">
        <v>241031.38357211012</v>
      </c>
      <c r="AW37" s="45">
        <f t="shared" si="5"/>
        <v>1961289.9930769829</v>
      </c>
    </row>
    <row r="38" spans="1:49" outlineLevel="1">
      <c r="A38" s="13" t="s">
        <v>278</v>
      </c>
      <c r="B38" s="41" t="s">
        <v>64</v>
      </c>
      <c r="C38" s="41" t="s">
        <v>64</v>
      </c>
      <c r="D38" s="37"/>
      <c r="E38" s="40"/>
      <c r="F38" s="420"/>
      <c r="G38" s="420"/>
      <c r="H38" s="420"/>
      <c r="I38" s="420">
        <v>2319.1099999999997</v>
      </c>
      <c r="J38" s="420">
        <v>0</v>
      </c>
      <c r="K38" s="420">
        <v>0</v>
      </c>
      <c r="L38" s="420">
        <v>0</v>
      </c>
      <c r="M38" s="420">
        <v>0</v>
      </c>
      <c r="N38" s="39">
        <v>0</v>
      </c>
      <c r="O38" s="39">
        <v>0</v>
      </c>
      <c r="P38" s="39">
        <v>0</v>
      </c>
      <c r="Q38" s="39">
        <v>0</v>
      </c>
      <c r="R38" s="39">
        <f t="shared" si="3"/>
        <v>2319.1099999999997</v>
      </c>
      <c r="S38" s="39"/>
      <c r="T38" s="40"/>
      <c r="U38" s="40"/>
      <c r="V38" s="39">
        <v>0</v>
      </c>
      <c r="W38" s="39">
        <v>0</v>
      </c>
      <c r="X38" s="39">
        <v>0</v>
      </c>
      <c r="Y38" s="39">
        <v>0</v>
      </c>
      <c r="Z38" s="39">
        <v>0</v>
      </c>
      <c r="AA38" s="39">
        <v>0</v>
      </c>
      <c r="AB38" s="39">
        <v>0</v>
      </c>
      <c r="AC38" s="39">
        <v>0</v>
      </c>
      <c r="AD38" s="39">
        <v>0</v>
      </c>
      <c r="AE38" s="39">
        <v>0</v>
      </c>
      <c r="AF38" s="39">
        <v>0</v>
      </c>
      <c r="AG38" s="39">
        <v>0</v>
      </c>
      <c r="AH38" s="45">
        <f t="shared" si="4"/>
        <v>0</v>
      </c>
      <c r="AI38" s="13"/>
      <c r="AJ38" s="13"/>
      <c r="AK38" s="39"/>
      <c r="AL38" s="39"/>
      <c r="AM38" s="39"/>
      <c r="AN38" s="39">
        <v>2319.1099999999997</v>
      </c>
      <c r="AO38" s="39"/>
      <c r="AP38" s="39">
        <v>0</v>
      </c>
      <c r="AQ38" s="39">
        <v>0</v>
      </c>
      <c r="AR38" s="39">
        <v>0</v>
      </c>
      <c r="AS38" s="39">
        <v>0</v>
      </c>
      <c r="AT38" s="39">
        <v>0</v>
      </c>
      <c r="AU38" s="39">
        <v>0</v>
      </c>
      <c r="AV38" s="39">
        <v>0</v>
      </c>
      <c r="AW38" s="45">
        <f t="shared" si="5"/>
        <v>2319.1099999999997</v>
      </c>
    </row>
    <row r="39" spans="1:49" outlineLevel="1">
      <c r="A39" s="13" t="s">
        <v>279</v>
      </c>
      <c r="B39" s="41" t="s">
        <v>280</v>
      </c>
      <c r="C39" s="41" t="s">
        <v>67</v>
      </c>
      <c r="D39" s="37"/>
      <c r="E39" s="40"/>
      <c r="F39" s="420">
        <v>0</v>
      </c>
      <c r="G39" s="420">
        <v>11632.479999999998</v>
      </c>
      <c r="H39" s="420">
        <v>0</v>
      </c>
      <c r="I39" s="420">
        <v>4117.6799999999994</v>
      </c>
      <c r="J39" s="420">
        <v>0</v>
      </c>
      <c r="K39" s="420">
        <v>0</v>
      </c>
      <c r="L39" s="420">
        <v>0</v>
      </c>
      <c r="M39" s="420">
        <v>0</v>
      </c>
      <c r="N39" s="39">
        <v>0</v>
      </c>
      <c r="O39" s="39">
        <v>0</v>
      </c>
      <c r="P39" s="39">
        <v>0</v>
      </c>
      <c r="Q39" s="39">
        <v>5000</v>
      </c>
      <c r="R39" s="39">
        <f t="shared" si="3"/>
        <v>20750.159999999996</v>
      </c>
      <c r="S39" s="39"/>
      <c r="T39" s="40"/>
      <c r="U39" s="40"/>
      <c r="V39" s="39">
        <v>0</v>
      </c>
      <c r="W39" s="39">
        <v>0</v>
      </c>
      <c r="X39" s="39">
        <v>0</v>
      </c>
      <c r="Y39" s="39">
        <v>5000</v>
      </c>
      <c r="Z39" s="39">
        <v>0</v>
      </c>
      <c r="AA39" s="39">
        <v>0</v>
      </c>
      <c r="AB39" s="39">
        <v>0</v>
      </c>
      <c r="AC39" s="39">
        <v>0</v>
      </c>
      <c r="AD39" s="39">
        <v>5000</v>
      </c>
      <c r="AE39" s="39">
        <v>0</v>
      </c>
      <c r="AF39" s="39">
        <v>0</v>
      </c>
      <c r="AG39" s="39">
        <v>0</v>
      </c>
      <c r="AH39" s="45">
        <f t="shared" si="4"/>
        <v>10000</v>
      </c>
      <c r="AI39" s="13"/>
      <c r="AJ39" s="13"/>
      <c r="AK39" s="39">
        <v>0</v>
      </c>
      <c r="AL39" s="39">
        <v>11632.479999999998</v>
      </c>
      <c r="AM39" s="39">
        <v>0</v>
      </c>
      <c r="AN39" s="39">
        <v>4117.6799999999994</v>
      </c>
      <c r="AO39" s="39">
        <v>0</v>
      </c>
      <c r="AP39" s="39">
        <v>0</v>
      </c>
      <c r="AQ39" s="39">
        <v>0</v>
      </c>
      <c r="AR39" s="39">
        <v>0</v>
      </c>
      <c r="AS39" s="39">
        <v>0</v>
      </c>
      <c r="AT39" s="39">
        <v>0</v>
      </c>
      <c r="AU39" s="39">
        <v>0</v>
      </c>
      <c r="AV39" s="39">
        <v>0</v>
      </c>
      <c r="AW39" s="45">
        <f t="shared" si="5"/>
        <v>15750.159999999996</v>
      </c>
    </row>
    <row r="40" spans="1:49" outlineLevel="1">
      <c r="A40" s="37" t="s">
        <v>281</v>
      </c>
      <c r="B40" s="41" t="s">
        <v>282</v>
      </c>
      <c r="C40" s="41" t="s">
        <v>67</v>
      </c>
      <c r="D40" s="37"/>
      <c r="E40" s="40">
        <v>18454.750000000004</v>
      </c>
      <c r="F40" s="420">
        <v>0</v>
      </c>
      <c r="G40" s="420">
        <v>0</v>
      </c>
      <c r="H40" s="420">
        <v>0</v>
      </c>
      <c r="I40" s="420">
        <v>28956.77</v>
      </c>
      <c r="J40" s="420">
        <v>0</v>
      </c>
      <c r="K40" s="420">
        <v>0</v>
      </c>
      <c r="L40" s="420">
        <v>0</v>
      </c>
      <c r="M40" s="420">
        <v>0</v>
      </c>
      <c r="N40" s="39">
        <v>0</v>
      </c>
      <c r="O40" s="39">
        <v>0</v>
      </c>
      <c r="P40" s="39">
        <v>0</v>
      </c>
      <c r="Q40" s="39">
        <v>10000</v>
      </c>
      <c r="R40" s="39">
        <f t="shared" si="3"/>
        <v>38956.770000000004</v>
      </c>
      <c r="S40" s="39"/>
      <c r="T40" s="40">
        <v>21416.702999999994</v>
      </c>
      <c r="U40" s="40"/>
      <c r="V40" s="39">
        <v>0</v>
      </c>
      <c r="W40" s="39">
        <v>0</v>
      </c>
      <c r="X40" s="39">
        <v>30000</v>
      </c>
      <c r="Y40" s="39">
        <v>0</v>
      </c>
      <c r="Z40" s="39">
        <v>0</v>
      </c>
      <c r="AA40" s="39">
        <v>0</v>
      </c>
      <c r="AB40" s="39">
        <v>0</v>
      </c>
      <c r="AC40" s="39">
        <v>0</v>
      </c>
      <c r="AD40" s="39">
        <v>10000</v>
      </c>
      <c r="AE40" s="39">
        <v>0</v>
      </c>
      <c r="AF40" s="39">
        <v>0</v>
      </c>
      <c r="AG40" s="39">
        <v>0</v>
      </c>
      <c r="AH40" s="45">
        <f t="shared" si="4"/>
        <v>40000</v>
      </c>
      <c r="AI40" s="13"/>
      <c r="AJ40" s="13"/>
      <c r="AK40" s="39">
        <v>0</v>
      </c>
      <c r="AL40" s="39">
        <v>0</v>
      </c>
      <c r="AM40" s="39">
        <v>0</v>
      </c>
      <c r="AN40" s="39">
        <v>28956.77</v>
      </c>
      <c r="AO40" s="39">
        <v>0</v>
      </c>
      <c r="AP40" s="39">
        <v>0</v>
      </c>
      <c r="AQ40" s="39">
        <v>0</v>
      </c>
      <c r="AR40" s="39">
        <v>0</v>
      </c>
      <c r="AS40" s="39">
        <v>3157.9808264051749</v>
      </c>
      <c r="AT40" s="39">
        <v>3643.0316121614283</v>
      </c>
      <c r="AU40" s="39">
        <v>3285.5796760740213</v>
      </c>
      <c r="AV40" s="39">
        <v>2630.7343466157595</v>
      </c>
      <c r="AW40" s="45">
        <f t="shared" si="5"/>
        <v>41674.096461256384</v>
      </c>
    </row>
    <row r="41" spans="1:49" outlineLevel="1">
      <c r="A41" s="13" t="s">
        <v>283</v>
      </c>
      <c r="B41" s="41" t="s">
        <v>64</v>
      </c>
      <c r="C41" s="41" t="s">
        <v>64</v>
      </c>
      <c r="D41" s="37"/>
      <c r="E41" s="40">
        <v>37449.85</v>
      </c>
      <c r="F41" s="420">
        <v>0</v>
      </c>
      <c r="G41" s="420">
        <v>1610.8999999999999</v>
      </c>
      <c r="H41" s="420">
        <v>2121.48</v>
      </c>
      <c r="I41" s="420">
        <v>1570.4599999999998</v>
      </c>
      <c r="J41" s="420">
        <v>7092</v>
      </c>
      <c r="K41" s="420">
        <v>5815.8</v>
      </c>
      <c r="L41" s="420">
        <v>2924.7000000000003</v>
      </c>
      <c r="M41" s="420">
        <v>655.6</v>
      </c>
      <c r="N41" s="39">
        <v>3045.3599999999997</v>
      </c>
      <c r="O41" s="39">
        <v>3000</v>
      </c>
      <c r="P41" s="39">
        <v>1500</v>
      </c>
      <c r="Q41" s="39">
        <v>1500</v>
      </c>
      <c r="R41" s="39">
        <f t="shared" si="3"/>
        <v>30836.3</v>
      </c>
      <c r="S41" s="39"/>
      <c r="T41" s="39"/>
      <c r="U41" s="40"/>
      <c r="V41" s="39">
        <v>0</v>
      </c>
      <c r="W41" s="39">
        <v>1610.8999999999999</v>
      </c>
      <c r="X41" s="39">
        <v>2121.48</v>
      </c>
      <c r="Y41" s="39">
        <v>1570.4599999999998</v>
      </c>
      <c r="Z41" s="39">
        <v>7092</v>
      </c>
      <c r="AA41" s="39">
        <v>5815.8</v>
      </c>
      <c r="AB41" s="39">
        <v>2924.7000000000003</v>
      </c>
      <c r="AC41" s="39">
        <v>655.6</v>
      </c>
      <c r="AD41" s="39">
        <v>3045.3599999999997</v>
      </c>
      <c r="AE41" s="39">
        <v>3000</v>
      </c>
      <c r="AF41" s="39">
        <v>1500</v>
      </c>
      <c r="AG41" s="39">
        <v>1500</v>
      </c>
      <c r="AH41" s="45">
        <f t="shared" si="4"/>
        <v>30836.3</v>
      </c>
      <c r="AI41" s="13"/>
      <c r="AJ41" s="13"/>
      <c r="AK41" s="39">
        <v>0</v>
      </c>
      <c r="AL41" s="39">
        <v>1610.8999999999999</v>
      </c>
      <c r="AM41" s="39">
        <v>2121.48</v>
      </c>
      <c r="AN41" s="39">
        <v>1570.4599999999998</v>
      </c>
      <c r="AO41" s="39">
        <v>7092</v>
      </c>
      <c r="AP41" s="39">
        <v>5815.8</v>
      </c>
      <c r="AQ41" s="39">
        <v>2924.7000000000003</v>
      </c>
      <c r="AR41" s="39">
        <v>655.6</v>
      </c>
      <c r="AS41" s="39">
        <v>0</v>
      </c>
      <c r="AT41" s="39">
        <v>0</v>
      </c>
      <c r="AU41" s="39">
        <v>0</v>
      </c>
      <c r="AV41" s="39">
        <v>0</v>
      </c>
      <c r="AW41" s="45">
        <f t="shared" si="5"/>
        <v>21790.94</v>
      </c>
    </row>
    <row r="42" spans="1:49" outlineLevel="1">
      <c r="A42" s="13" t="s">
        <v>284</v>
      </c>
      <c r="B42" s="41" t="s">
        <v>64</v>
      </c>
      <c r="C42" s="41" t="s">
        <v>64</v>
      </c>
      <c r="D42" s="37"/>
      <c r="E42" s="40">
        <v>26445.07</v>
      </c>
      <c r="F42" s="420">
        <v>0</v>
      </c>
      <c r="G42" s="420">
        <v>963.65999999999985</v>
      </c>
      <c r="H42" s="420">
        <v>5418.1799999999994</v>
      </c>
      <c r="I42" s="420">
        <v>593.4</v>
      </c>
      <c r="J42" s="420">
        <v>590.4</v>
      </c>
      <c r="K42" s="420">
        <v>1535.9399999999998</v>
      </c>
      <c r="L42" s="420">
        <v>1639.14</v>
      </c>
      <c r="M42" s="420">
        <v>2721.7799999999997</v>
      </c>
      <c r="N42" s="39">
        <v>3128.22</v>
      </c>
      <c r="O42" s="39">
        <v>3175.410467653729</v>
      </c>
      <c r="P42" s="39">
        <v>2863.8412197378129</v>
      </c>
      <c r="Q42" s="39">
        <v>2293.052125590425</v>
      </c>
      <c r="R42" s="39">
        <f t="shared" si="3"/>
        <v>24923.023812981963</v>
      </c>
      <c r="S42" s="39"/>
      <c r="T42" s="39">
        <v>25670.978499999997</v>
      </c>
      <c r="U42" s="40"/>
      <c r="V42" s="39">
        <v>2000</v>
      </c>
      <c r="W42" s="39">
        <v>2000</v>
      </c>
      <c r="X42" s="39">
        <v>2000</v>
      </c>
      <c r="Y42" s="39">
        <v>2000</v>
      </c>
      <c r="Z42" s="39">
        <v>2000</v>
      </c>
      <c r="AA42" s="39">
        <v>2000</v>
      </c>
      <c r="AB42" s="39">
        <v>2000</v>
      </c>
      <c r="AC42" s="39">
        <v>2000</v>
      </c>
      <c r="AD42" s="39">
        <v>2000</v>
      </c>
      <c r="AE42" s="39">
        <v>2000</v>
      </c>
      <c r="AF42" s="39">
        <v>2000</v>
      </c>
      <c r="AG42" s="39">
        <v>2000</v>
      </c>
      <c r="AH42" s="45">
        <f t="shared" si="4"/>
        <v>24000</v>
      </c>
      <c r="AI42" s="13"/>
      <c r="AJ42" s="13"/>
      <c r="AK42" s="39">
        <v>0</v>
      </c>
      <c r="AL42" s="39">
        <v>963.65999999999985</v>
      </c>
      <c r="AM42" s="39">
        <v>5418.1799999999994</v>
      </c>
      <c r="AN42" s="39">
        <v>593.4</v>
      </c>
      <c r="AO42" s="39">
        <v>590.4</v>
      </c>
      <c r="AP42" s="39">
        <v>1535.9399999999998</v>
      </c>
      <c r="AQ42" s="39">
        <v>1639.14</v>
      </c>
      <c r="AR42" s="39">
        <v>2721.7799999999997</v>
      </c>
      <c r="AS42" s="39">
        <v>2752.6210146903372</v>
      </c>
      <c r="AT42" s="39">
        <v>3175.410467653729</v>
      </c>
      <c r="AU42" s="39">
        <v>2863.8412197378129</v>
      </c>
      <c r="AV42" s="39">
        <v>2293.052125590425</v>
      </c>
      <c r="AW42" s="45">
        <f t="shared" si="5"/>
        <v>24547.424827672301</v>
      </c>
    </row>
    <row r="43" spans="1:49" outlineLevel="1">
      <c r="A43" s="37" t="s">
        <v>285</v>
      </c>
      <c r="B43" s="41" t="s">
        <v>236</v>
      </c>
      <c r="C43" s="41" t="s">
        <v>65</v>
      </c>
      <c r="D43" s="37"/>
      <c r="E43" s="40"/>
      <c r="F43" s="420">
        <v>0</v>
      </c>
      <c r="G43" s="420">
        <v>0</v>
      </c>
      <c r="H43" s="420">
        <v>0</v>
      </c>
      <c r="I43" s="420">
        <v>0</v>
      </c>
      <c r="J43" s="420">
        <v>0</v>
      </c>
      <c r="K43" s="420">
        <v>0</v>
      </c>
      <c r="L43" s="420">
        <v>0</v>
      </c>
      <c r="M43" s="420">
        <v>6558.84</v>
      </c>
      <c r="N43" s="39">
        <v>0</v>
      </c>
      <c r="O43" s="39">
        <v>0</v>
      </c>
      <c r="P43" s="39">
        <v>5000</v>
      </c>
      <c r="Q43" s="39">
        <v>0</v>
      </c>
      <c r="R43" s="39">
        <f t="shared" si="3"/>
        <v>11558.84</v>
      </c>
      <c r="S43" s="39"/>
      <c r="T43" s="40"/>
      <c r="U43" s="40"/>
      <c r="V43" s="39">
        <v>0</v>
      </c>
      <c r="W43" s="39">
        <v>2000</v>
      </c>
      <c r="X43" s="39">
        <v>2000</v>
      </c>
      <c r="Y43" s="39">
        <v>0</v>
      </c>
      <c r="Z43" s="39">
        <v>2000</v>
      </c>
      <c r="AA43" s="39">
        <v>2000</v>
      </c>
      <c r="AB43" s="39">
        <v>0</v>
      </c>
      <c r="AC43" s="39">
        <v>2000</v>
      </c>
      <c r="AD43" s="39">
        <v>2000</v>
      </c>
      <c r="AE43" s="39">
        <v>0</v>
      </c>
      <c r="AF43" s="39">
        <v>2000</v>
      </c>
      <c r="AG43" s="39">
        <v>2000</v>
      </c>
      <c r="AH43" s="45">
        <f t="shared" si="4"/>
        <v>16000</v>
      </c>
      <c r="AI43" s="13"/>
      <c r="AJ43" s="13"/>
      <c r="AK43" s="39">
        <v>0</v>
      </c>
      <c r="AL43" s="39">
        <v>0</v>
      </c>
      <c r="AM43" s="39">
        <v>0</v>
      </c>
      <c r="AN43" s="39">
        <v>0</v>
      </c>
      <c r="AO43" s="39">
        <v>0</v>
      </c>
      <c r="AP43" s="39">
        <v>0</v>
      </c>
      <c r="AQ43" s="39">
        <v>0</v>
      </c>
      <c r="AR43" s="39">
        <v>6558.84</v>
      </c>
      <c r="AS43" s="39">
        <v>0</v>
      </c>
      <c r="AT43" s="39">
        <v>0</v>
      </c>
      <c r="AU43" s="39">
        <v>0</v>
      </c>
      <c r="AV43" s="39">
        <v>0</v>
      </c>
      <c r="AW43" s="45">
        <f t="shared" si="5"/>
        <v>6558.84</v>
      </c>
    </row>
    <row r="44" spans="1:49" outlineLevel="1">
      <c r="A44" s="13" t="s">
        <v>286</v>
      </c>
      <c r="B44" s="41" t="s">
        <v>287</v>
      </c>
      <c r="C44" s="41" t="s">
        <v>67</v>
      </c>
      <c r="D44" s="37"/>
      <c r="E44" s="40"/>
      <c r="F44" s="420">
        <v>0</v>
      </c>
      <c r="G44" s="420">
        <v>0</v>
      </c>
      <c r="H44" s="420">
        <v>0</v>
      </c>
      <c r="I44" s="420">
        <v>1008.7</v>
      </c>
      <c r="J44" s="420">
        <v>0</v>
      </c>
      <c r="K44" s="420">
        <v>0</v>
      </c>
      <c r="L44" s="420">
        <v>0</v>
      </c>
      <c r="M44" s="420">
        <v>0</v>
      </c>
      <c r="N44" s="39">
        <v>0</v>
      </c>
      <c r="O44" s="39">
        <v>0</v>
      </c>
      <c r="P44" s="39">
        <v>0</v>
      </c>
      <c r="Q44" s="39">
        <v>0</v>
      </c>
      <c r="R44" s="39">
        <f t="shared" si="3"/>
        <v>1008.7</v>
      </c>
      <c r="S44" s="39"/>
      <c r="T44" s="40"/>
      <c r="U44" s="40"/>
      <c r="V44" s="39">
        <v>0</v>
      </c>
      <c r="W44" s="39">
        <v>0</v>
      </c>
      <c r="X44" s="39">
        <v>0</v>
      </c>
      <c r="Y44" s="39">
        <v>0</v>
      </c>
      <c r="Z44" s="39">
        <v>0</v>
      </c>
      <c r="AA44" s="39">
        <v>0</v>
      </c>
      <c r="AB44" s="39">
        <v>0</v>
      </c>
      <c r="AC44" s="39">
        <v>0</v>
      </c>
      <c r="AD44" s="39">
        <v>0</v>
      </c>
      <c r="AE44" s="39">
        <v>0</v>
      </c>
      <c r="AF44" s="39">
        <v>0</v>
      </c>
      <c r="AG44" s="39">
        <v>0</v>
      </c>
      <c r="AH44" s="45">
        <f t="shared" si="4"/>
        <v>0</v>
      </c>
      <c r="AI44" s="13"/>
      <c r="AJ44" s="13"/>
      <c r="AK44" s="39">
        <v>0</v>
      </c>
      <c r="AL44" s="39">
        <v>0</v>
      </c>
      <c r="AM44" s="39">
        <v>0</v>
      </c>
      <c r="AN44" s="39">
        <v>1008.7</v>
      </c>
      <c r="AO44" s="39">
        <v>0</v>
      </c>
      <c r="AP44" s="39">
        <v>0</v>
      </c>
      <c r="AQ44" s="39">
        <v>0</v>
      </c>
      <c r="AR44" s="39">
        <v>0</v>
      </c>
      <c r="AS44" s="39">
        <v>0</v>
      </c>
      <c r="AT44" s="39">
        <v>0</v>
      </c>
      <c r="AU44" s="39">
        <v>0</v>
      </c>
      <c r="AV44" s="39">
        <v>0</v>
      </c>
      <c r="AW44" s="45">
        <f t="shared" si="5"/>
        <v>1008.7</v>
      </c>
    </row>
    <row r="45" spans="1:49" s="479" customFormat="1" outlineLevel="1">
      <c r="A45" s="401" t="s">
        <v>288</v>
      </c>
      <c r="B45" s="402" t="s">
        <v>255</v>
      </c>
      <c r="C45" s="402" t="s">
        <v>66</v>
      </c>
      <c r="D45" s="37"/>
      <c r="E45" s="481">
        <v>20150.689999999999</v>
      </c>
      <c r="F45" s="421">
        <v>2131.69</v>
      </c>
      <c r="G45" s="421">
        <v>1012.26</v>
      </c>
      <c r="H45" s="421">
        <v>2348.8799999999997</v>
      </c>
      <c r="I45" s="421">
        <v>6589.9900000000007</v>
      </c>
      <c r="J45" s="420">
        <v>0</v>
      </c>
      <c r="K45" s="421">
        <v>0</v>
      </c>
      <c r="L45" s="421">
        <v>1115.9999999999998</v>
      </c>
      <c r="M45" s="421">
        <v>961.67</v>
      </c>
      <c r="N45" s="39">
        <v>2056.7799999999997</v>
      </c>
      <c r="O45" s="39">
        <v>1028.7702715301675</v>
      </c>
      <c r="P45" s="39">
        <v>927.82798925075406</v>
      </c>
      <c r="Q45" s="39">
        <v>742.90359684414045</v>
      </c>
      <c r="R45" s="404">
        <f t="shared" si="3"/>
        <v>18916.771857625063</v>
      </c>
      <c r="S45" s="39"/>
      <c r="T45" s="481">
        <v>16941.569999999996</v>
      </c>
      <c r="U45" s="40"/>
      <c r="V45" s="39">
        <v>1500</v>
      </c>
      <c r="W45" s="39">
        <v>1500</v>
      </c>
      <c r="X45" s="39">
        <v>1500</v>
      </c>
      <c r="Y45" s="39">
        <v>1500</v>
      </c>
      <c r="Z45" s="39">
        <v>1500</v>
      </c>
      <c r="AA45" s="39">
        <v>1500</v>
      </c>
      <c r="AB45" s="39">
        <v>1500</v>
      </c>
      <c r="AC45" s="39">
        <v>1500</v>
      </c>
      <c r="AD45" s="39">
        <v>1500</v>
      </c>
      <c r="AE45" s="39">
        <v>1500</v>
      </c>
      <c r="AF45" s="39">
        <v>1500</v>
      </c>
      <c r="AG45" s="39">
        <v>1500</v>
      </c>
      <c r="AH45" s="405">
        <f t="shared" si="4"/>
        <v>18000</v>
      </c>
      <c r="AI45" s="181"/>
      <c r="AJ45" s="181"/>
      <c r="AK45" s="404">
        <v>2131.69</v>
      </c>
      <c r="AL45" s="404">
        <v>1012.26</v>
      </c>
      <c r="AM45" s="404">
        <v>2348.8799999999997</v>
      </c>
      <c r="AN45" s="404">
        <v>6589.9900000000007</v>
      </c>
      <c r="AO45" s="404">
        <v>0</v>
      </c>
      <c r="AP45" s="404">
        <v>0</v>
      </c>
      <c r="AQ45" s="404">
        <v>1115.9999999999998</v>
      </c>
      <c r="AR45" s="404">
        <v>961.67</v>
      </c>
      <c r="AS45" s="404">
        <v>891.79483961171661</v>
      </c>
      <c r="AT45" s="404">
        <v>1028.7702715301675</v>
      </c>
      <c r="AU45" s="404">
        <v>927.82798925075406</v>
      </c>
      <c r="AV45" s="404">
        <v>742.90359684414045</v>
      </c>
      <c r="AW45" s="405">
        <f t="shared" si="5"/>
        <v>17751.786697236781</v>
      </c>
    </row>
    <row r="46" spans="1:49" outlineLevel="1">
      <c r="A46" s="37" t="s">
        <v>289</v>
      </c>
      <c r="B46" s="41" t="s">
        <v>290</v>
      </c>
      <c r="C46" s="41" t="s">
        <v>66</v>
      </c>
      <c r="D46" s="37"/>
      <c r="E46" s="40">
        <v>14389.159999999994</v>
      </c>
      <c r="F46" s="420">
        <v>0</v>
      </c>
      <c r="G46" s="420">
        <v>0</v>
      </c>
      <c r="H46" s="420">
        <v>0</v>
      </c>
      <c r="I46" s="420">
        <v>0</v>
      </c>
      <c r="J46" s="420">
        <v>0</v>
      </c>
      <c r="K46" s="420">
        <v>0</v>
      </c>
      <c r="L46" s="420">
        <v>0</v>
      </c>
      <c r="M46" s="420">
        <v>0</v>
      </c>
      <c r="N46" s="39">
        <v>0</v>
      </c>
      <c r="O46" s="39">
        <v>0</v>
      </c>
      <c r="P46" s="39">
        <v>0</v>
      </c>
      <c r="Q46" s="39">
        <v>0</v>
      </c>
      <c r="R46" s="39">
        <f t="shared" si="3"/>
        <v>0</v>
      </c>
      <c r="S46" s="39"/>
      <c r="T46" s="40">
        <v>16547.534</v>
      </c>
      <c r="U46" s="40"/>
      <c r="V46" s="39">
        <v>0</v>
      </c>
      <c r="W46" s="39">
        <v>0</v>
      </c>
      <c r="X46" s="39">
        <v>0</v>
      </c>
      <c r="Y46" s="39">
        <v>0</v>
      </c>
      <c r="Z46" s="39">
        <v>0</v>
      </c>
      <c r="AA46" s="39">
        <v>0</v>
      </c>
      <c r="AB46" s="39">
        <v>0</v>
      </c>
      <c r="AC46" s="39">
        <v>0</v>
      </c>
      <c r="AD46" s="39">
        <v>0</v>
      </c>
      <c r="AE46" s="39">
        <v>0</v>
      </c>
      <c r="AF46" s="39">
        <v>0</v>
      </c>
      <c r="AG46" s="39">
        <v>0</v>
      </c>
      <c r="AH46" s="45">
        <f t="shared" si="4"/>
        <v>0</v>
      </c>
      <c r="AI46" s="13"/>
      <c r="AJ46" s="13"/>
      <c r="AK46" s="39">
        <v>0</v>
      </c>
      <c r="AL46" s="39">
        <v>0</v>
      </c>
      <c r="AM46" s="39">
        <v>0</v>
      </c>
      <c r="AN46" s="39">
        <v>0</v>
      </c>
      <c r="AO46" s="39">
        <v>0</v>
      </c>
      <c r="AP46" s="39">
        <v>0</v>
      </c>
      <c r="AQ46" s="39">
        <v>0</v>
      </c>
      <c r="AR46" s="39">
        <v>0</v>
      </c>
      <c r="AS46" s="39">
        <v>2436.3354156725532</v>
      </c>
      <c r="AT46" s="39">
        <v>2810.544909871091</v>
      </c>
      <c r="AU46" s="39">
        <v>2534.7760375559878</v>
      </c>
      <c r="AV46" s="39">
        <v>2029.5725687423276</v>
      </c>
      <c r="AW46" s="45">
        <f t="shared" si="5"/>
        <v>9811.2289318419589</v>
      </c>
    </row>
    <row r="47" spans="1:49" outlineLevel="1">
      <c r="A47" s="37" t="s">
        <v>291</v>
      </c>
      <c r="B47" s="41" t="s">
        <v>292</v>
      </c>
      <c r="C47" s="41" t="s">
        <v>66</v>
      </c>
      <c r="D47" s="37"/>
      <c r="E47" s="40">
        <v>182259.50000000003</v>
      </c>
      <c r="F47" s="420">
        <v>4582.5</v>
      </c>
      <c r="G47" s="420">
        <v>0</v>
      </c>
      <c r="H47" s="420">
        <v>0</v>
      </c>
      <c r="I47" s="420">
        <v>10071.599999999999</v>
      </c>
      <c r="J47" s="420">
        <v>12198.36</v>
      </c>
      <c r="K47" s="420">
        <v>10277.700000000001</v>
      </c>
      <c r="L47" s="420">
        <v>0</v>
      </c>
      <c r="M47" s="420">
        <v>0</v>
      </c>
      <c r="N47" s="39">
        <v>25055.5</v>
      </c>
      <c r="O47" s="39">
        <v>40000</v>
      </c>
      <c r="P47" s="39">
        <v>15000</v>
      </c>
      <c r="Q47" s="39">
        <v>15000</v>
      </c>
      <c r="R47" s="39">
        <f t="shared" si="3"/>
        <v>132185.66</v>
      </c>
      <c r="S47" s="39"/>
      <c r="T47" s="40">
        <v>170629.27549999999</v>
      </c>
      <c r="U47" s="40"/>
      <c r="V47" s="39">
        <v>10000</v>
      </c>
      <c r="W47" s="39">
        <v>0</v>
      </c>
      <c r="X47" s="39">
        <v>0</v>
      </c>
      <c r="Y47" s="39">
        <v>10000</v>
      </c>
      <c r="Z47" s="39">
        <v>0</v>
      </c>
      <c r="AA47" s="39">
        <v>10000</v>
      </c>
      <c r="AB47" s="39">
        <v>0</v>
      </c>
      <c r="AC47" s="39">
        <v>0</v>
      </c>
      <c r="AD47" s="39">
        <v>30000</v>
      </c>
      <c r="AE47" s="39">
        <v>20000</v>
      </c>
      <c r="AF47" s="39">
        <v>0</v>
      </c>
      <c r="AG47" s="39">
        <v>10000</v>
      </c>
      <c r="AH47" s="45">
        <f t="shared" si="4"/>
        <v>90000</v>
      </c>
      <c r="AI47" s="13"/>
      <c r="AJ47" s="13"/>
      <c r="AK47" s="39">
        <v>4582.5</v>
      </c>
      <c r="AL47" s="39">
        <v>0</v>
      </c>
      <c r="AM47" s="39">
        <v>0</v>
      </c>
      <c r="AN47" s="39">
        <v>10071.599999999999</v>
      </c>
      <c r="AO47" s="39">
        <v>12198.36</v>
      </c>
      <c r="AP47" s="39">
        <v>10277.700000000001</v>
      </c>
      <c r="AQ47" s="39">
        <v>0</v>
      </c>
      <c r="AR47" s="39">
        <v>0</v>
      </c>
      <c r="AS47" s="39">
        <v>22964.620833315217</v>
      </c>
      <c r="AT47" s="39">
        <v>26491.877011267967</v>
      </c>
      <c r="AU47" s="39">
        <v>23892.510951238401</v>
      </c>
      <c r="AV47" s="39">
        <v>19130.520450936699</v>
      </c>
      <c r="AW47" s="45">
        <f t="shared" si="5"/>
        <v>129609.68924675828</v>
      </c>
    </row>
    <row r="48" spans="1:49" outlineLevel="1">
      <c r="A48" s="37" t="s">
        <v>293</v>
      </c>
      <c r="B48" s="41" t="s">
        <v>260</v>
      </c>
      <c r="C48" s="41" t="s">
        <v>66</v>
      </c>
      <c r="D48" s="37"/>
      <c r="E48" s="40">
        <v>30435.330000000005</v>
      </c>
      <c r="F48" s="420">
        <v>14359.529999999999</v>
      </c>
      <c r="G48" s="420">
        <v>0</v>
      </c>
      <c r="H48" s="420">
        <v>0</v>
      </c>
      <c r="I48" s="420">
        <v>9898.7999999999993</v>
      </c>
      <c r="J48" s="420">
        <v>-36.6</v>
      </c>
      <c r="K48" s="420">
        <v>0</v>
      </c>
      <c r="L48" s="420">
        <v>0</v>
      </c>
      <c r="M48" s="420">
        <v>8925.4499999999989</v>
      </c>
      <c r="N48" s="39">
        <v>0</v>
      </c>
      <c r="O48" s="39">
        <v>4372.1390504519504</v>
      </c>
      <c r="P48" s="39">
        <v>0</v>
      </c>
      <c r="Q48" s="39">
        <v>3157.2430856233514</v>
      </c>
      <c r="R48" s="39">
        <f t="shared" si="3"/>
        <v>40676.562136075299</v>
      </c>
      <c r="S48" s="39"/>
      <c r="T48" s="40">
        <v>25000</v>
      </c>
      <c r="U48" s="40"/>
      <c r="V48" s="39">
        <v>4000</v>
      </c>
      <c r="W48" s="39">
        <v>4000</v>
      </c>
      <c r="X48" s="39">
        <v>4000</v>
      </c>
      <c r="Y48" s="39">
        <v>4000</v>
      </c>
      <c r="Z48" s="39">
        <v>4000</v>
      </c>
      <c r="AA48" s="39">
        <v>4000</v>
      </c>
      <c r="AB48" s="39">
        <v>4000</v>
      </c>
      <c r="AC48" s="39">
        <v>5500</v>
      </c>
      <c r="AD48" s="39">
        <v>5500</v>
      </c>
      <c r="AE48" s="39">
        <v>5500</v>
      </c>
      <c r="AF48" s="39">
        <v>4000</v>
      </c>
      <c r="AG48" s="39">
        <v>4000</v>
      </c>
      <c r="AH48" s="45">
        <f t="shared" si="4"/>
        <v>52500</v>
      </c>
      <c r="AI48" s="13"/>
      <c r="AJ48" s="13"/>
      <c r="AK48" s="39">
        <v>14359.529999999999</v>
      </c>
      <c r="AL48" s="39">
        <v>0</v>
      </c>
      <c r="AM48" s="39">
        <v>0</v>
      </c>
      <c r="AN48" s="39">
        <v>9898.7999999999993</v>
      </c>
      <c r="AO48" s="39">
        <v>-36.6</v>
      </c>
      <c r="AP48" s="39">
        <v>0</v>
      </c>
      <c r="AQ48" s="39">
        <v>0</v>
      </c>
      <c r="AR48" s="39">
        <v>8925.4499999999989</v>
      </c>
      <c r="AS48" s="39">
        <v>3790.011386564046</v>
      </c>
      <c r="AT48" s="39">
        <v>4372.1390504519504</v>
      </c>
      <c r="AU48" s="39">
        <v>3943.1475579789626</v>
      </c>
      <c r="AV48" s="39">
        <v>3157.2430856233514</v>
      </c>
      <c r="AW48" s="45">
        <f t="shared" si="5"/>
        <v>48409.721080618314</v>
      </c>
    </row>
    <row r="49" spans="1:49" outlineLevel="1">
      <c r="A49" s="37" t="s">
        <v>294</v>
      </c>
      <c r="B49" s="41" t="s">
        <v>295</v>
      </c>
      <c r="C49" s="41" t="s">
        <v>67</v>
      </c>
      <c r="D49" s="37"/>
      <c r="E49" s="40">
        <v>43102.920000000006</v>
      </c>
      <c r="F49" s="420">
        <v>0</v>
      </c>
      <c r="G49" s="420">
        <v>0</v>
      </c>
      <c r="H49" s="420">
        <v>0</v>
      </c>
      <c r="I49" s="420">
        <v>0</v>
      </c>
      <c r="J49" s="420">
        <v>0</v>
      </c>
      <c r="K49" s="420">
        <v>38881.600000000006</v>
      </c>
      <c r="L49" s="420">
        <v>0</v>
      </c>
      <c r="M49" s="420">
        <v>0</v>
      </c>
      <c r="N49" s="39">
        <v>0</v>
      </c>
      <c r="O49" s="39">
        <v>0</v>
      </c>
      <c r="P49" s="39">
        <v>30000</v>
      </c>
      <c r="Q49" s="39">
        <v>0</v>
      </c>
      <c r="R49" s="39">
        <f t="shared" si="3"/>
        <v>68881.600000000006</v>
      </c>
      <c r="S49" s="39"/>
      <c r="T49" s="40">
        <v>77560.277999999991</v>
      </c>
      <c r="U49" s="40"/>
      <c r="V49" s="39">
        <v>0</v>
      </c>
      <c r="W49" s="39">
        <v>0</v>
      </c>
      <c r="X49" s="39">
        <v>0</v>
      </c>
      <c r="Y49" s="39">
        <v>0</v>
      </c>
      <c r="Z49" s="39">
        <v>0</v>
      </c>
      <c r="AA49" s="39">
        <v>0</v>
      </c>
      <c r="AB49" s="39">
        <v>0</v>
      </c>
      <c r="AC49" s="39">
        <v>0</v>
      </c>
      <c r="AD49" s="39">
        <v>0</v>
      </c>
      <c r="AE49" s="39">
        <v>0</v>
      </c>
      <c r="AF49" s="39">
        <v>0</v>
      </c>
      <c r="AG49" s="39">
        <v>0</v>
      </c>
      <c r="AH49" s="45">
        <f t="shared" si="4"/>
        <v>0</v>
      </c>
      <c r="AI49" s="13"/>
      <c r="AJ49" s="13"/>
      <c r="AK49" s="39">
        <v>0</v>
      </c>
      <c r="AL49" s="39">
        <v>0</v>
      </c>
      <c r="AM49" s="39">
        <v>0</v>
      </c>
      <c r="AN49" s="39">
        <v>0</v>
      </c>
      <c r="AO49" s="39">
        <v>0</v>
      </c>
      <c r="AP49" s="39">
        <v>38881.600000000006</v>
      </c>
      <c r="AQ49" s="39">
        <v>0</v>
      </c>
      <c r="AR49" s="39">
        <v>0</v>
      </c>
      <c r="AS49" s="39">
        <v>11419.396517983208</v>
      </c>
      <c r="AT49" s="39">
        <v>13173.361332334276</v>
      </c>
      <c r="AU49" s="39">
        <v>11880.799528230664</v>
      </c>
      <c r="AV49" s="39">
        <v>9512.8502321148899</v>
      </c>
      <c r="AW49" s="45">
        <f t="shared" si="5"/>
        <v>84868.007610663044</v>
      </c>
    </row>
    <row r="50" spans="1:49" outlineLevel="1">
      <c r="A50" s="13" t="s">
        <v>296</v>
      </c>
      <c r="B50" s="41" t="s">
        <v>64</v>
      </c>
      <c r="C50" s="41" t="s">
        <v>64</v>
      </c>
      <c r="D50" s="37"/>
      <c r="E50" s="40">
        <v>5462.4</v>
      </c>
      <c r="F50" s="420">
        <v>0</v>
      </c>
      <c r="G50" s="420">
        <v>0</v>
      </c>
      <c r="H50" s="420">
        <v>2409.6</v>
      </c>
      <c r="I50" s="420">
        <v>1514.8799999999999</v>
      </c>
      <c r="J50" s="420">
        <v>1452.48</v>
      </c>
      <c r="K50" s="420">
        <v>0</v>
      </c>
      <c r="L50" s="420">
        <v>0</v>
      </c>
      <c r="M50" s="420">
        <v>806.40000000000009</v>
      </c>
      <c r="N50" s="39">
        <v>0</v>
      </c>
      <c r="O50" s="39">
        <v>0</v>
      </c>
      <c r="P50" s="39">
        <v>1500</v>
      </c>
      <c r="Q50" s="39">
        <v>0</v>
      </c>
      <c r="R50" s="39">
        <f t="shared" si="3"/>
        <v>7683.3599999999988</v>
      </c>
      <c r="S50" s="39"/>
      <c r="T50" s="39"/>
      <c r="U50" s="40"/>
      <c r="V50" s="39">
        <v>0</v>
      </c>
      <c r="W50" s="39">
        <v>0</v>
      </c>
      <c r="X50" s="39">
        <v>2500</v>
      </c>
      <c r="Y50" s="39">
        <v>0</v>
      </c>
      <c r="Z50" s="39">
        <v>0</v>
      </c>
      <c r="AA50" s="39">
        <v>2500</v>
      </c>
      <c r="AB50" s="39">
        <v>0</v>
      </c>
      <c r="AC50" s="39">
        <v>0</v>
      </c>
      <c r="AD50" s="39">
        <v>2500</v>
      </c>
      <c r="AE50" s="39">
        <v>1000</v>
      </c>
      <c r="AF50" s="39">
        <v>0</v>
      </c>
      <c r="AG50" s="39">
        <v>0</v>
      </c>
      <c r="AH50" s="45">
        <f t="shared" si="4"/>
        <v>8500</v>
      </c>
      <c r="AI50" s="13"/>
      <c r="AJ50" s="13"/>
      <c r="AK50" s="39">
        <v>0</v>
      </c>
      <c r="AL50" s="39">
        <v>0</v>
      </c>
      <c r="AM50" s="39">
        <v>2409.6</v>
      </c>
      <c r="AN50" s="39">
        <v>1514.8799999999999</v>
      </c>
      <c r="AO50" s="39">
        <v>1452.48</v>
      </c>
      <c r="AP50" s="39">
        <v>0</v>
      </c>
      <c r="AQ50" s="39">
        <v>0</v>
      </c>
      <c r="AR50" s="39">
        <v>806.40000000000009</v>
      </c>
      <c r="AS50" s="39">
        <v>0</v>
      </c>
      <c r="AT50" s="39">
        <v>0</v>
      </c>
      <c r="AU50" s="39">
        <v>0</v>
      </c>
      <c r="AV50" s="39">
        <v>0</v>
      </c>
      <c r="AW50" s="45">
        <f t="shared" si="5"/>
        <v>6183.3599999999988</v>
      </c>
    </row>
    <row r="51" spans="1:49" s="479" customFormat="1" outlineLevel="1">
      <c r="A51" s="401" t="s">
        <v>297</v>
      </c>
      <c r="B51" s="402" t="s">
        <v>267</v>
      </c>
      <c r="C51" s="402" t="s">
        <v>67</v>
      </c>
      <c r="D51" s="37"/>
      <c r="E51" s="481">
        <v>44303.07</v>
      </c>
      <c r="F51" s="421">
        <v>0</v>
      </c>
      <c r="G51" s="421">
        <v>0</v>
      </c>
      <c r="H51" s="421">
        <v>0</v>
      </c>
      <c r="I51" s="421">
        <v>0</v>
      </c>
      <c r="J51" s="420">
        <v>0</v>
      </c>
      <c r="K51" s="421">
        <v>0</v>
      </c>
      <c r="L51" s="421">
        <v>0</v>
      </c>
      <c r="M51" s="421">
        <v>0</v>
      </c>
      <c r="N51" s="39">
        <v>0</v>
      </c>
      <c r="O51" s="39">
        <v>0</v>
      </c>
      <c r="P51" s="39">
        <v>0</v>
      </c>
      <c r="Q51" s="39">
        <v>0</v>
      </c>
      <c r="R51" s="404">
        <f t="shared" si="3"/>
        <v>0</v>
      </c>
      <c r="S51" s="39"/>
      <c r="T51" s="481">
        <v>50991.655499999993</v>
      </c>
      <c r="U51" s="40"/>
      <c r="V51" s="39">
        <v>0</v>
      </c>
      <c r="W51" s="39">
        <v>0</v>
      </c>
      <c r="X51" s="39">
        <v>0</v>
      </c>
      <c r="Y51" s="39">
        <v>0</v>
      </c>
      <c r="Z51" s="39">
        <v>0</v>
      </c>
      <c r="AA51" s="39">
        <v>0</v>
      </c>
      <c r="AB51" s="39">
        <v>0</v>
      </c>
      <c r="AC51" s="39">
        <v>0</v>
      </c>
      <c r="AD51" s="39">
        <v>0</v>
      </c>
      <c r="AE51" s="39">
        <v>0</v>
      </c>
      <c r="AF51" s="39">
        <v>0</v>
      </c>
      <c r="AG51" s="39">
        <v>0</v>
      </c>
      <c r="AH51" s="405">
        <f t="shared" si="4"/>
        <v>0</v>
      </c>
      <c r="AI51" s="181"/>
      <c r="AJ51" s="181"/>
      <c r="AK51" s="404">
        <v>0</v>
      </c>
      <c r="AL51" s="404">
        <v>0</v>
      </c>
      <c r="AM51" s="404">
        <v>0</v>
      </c>
      <c r="AN51" s="404">
        <v>0</v>
      </c>
      <c r="AO51" s="404">
        <v>0</v>
      </c>
      <c r="AP51" s="404">
        <v>0</v>
      </c>
      <c r="AQ51" s="404">
        <v>0</v>
      </c>
      <c r="AR51" s="404">
        <v>0</v>
      </c>
      <c r="AS51" s="404">
        <v>0</v>
      </c>
      <c r="AT51" s="404">
        <v>0</v>
      </c>
      <c r="AU51" s="404">
        <v>0</v>
      </c>
      <c r="AV51" s="404">
        <v>0</v>
      </c>
      <c r="AW51" s="405">
        <f t="shared" si="5"/>
        <v>0</v>
      </c>
    </row>
    <row r="52" spans="1:49" s="479" customFormat="1" outlineLevel="1">
      <c r="A52" s="401" t="s">
        <v>298</v>
      </c>
      <c r="B52" s="402" t="s">
        <v>299</v>
      </c>
      <c r="C52" s="402" t="s">
        <v>67</v>
      </c>
      <c r="D52" s="37"/>
      <c r="E52" s="481">
        <v>104129.7</v>
      </c>
      <c r="F52" s="421">
        <v>0</v>
      </c>
      <c r="G52" s="421">
        <v>0</v>
      </c>
      <c r="H52" s="421">
        <v>0</v>
      </c>
      <c r="I52" s="421">
        <v>0</v>
      </c>
      <c r="J52" s="420">
        <v>0</v>
      </c>
      <c r="K52" s="421">
        <v>0</v>
      </c>
      <c r="L52" s="421">
        <v>0</v>
      </c>
      <c r="M52" s="421">
        <v>0</v>
      </c>
      <c r="N52" s="39">
        <v>0</v>
      </c>
      <c r="O52" s="39">
        <v>0</v>
      </c>
      <c r="P52" s="39">
        <v>0</v>
      </c>
      <c r="Q52" s="39">
        <v>0</v>
      </c>
      <c r="R52" s="404">
        <f t="shared" si="3"/>
        <v>0</v>
      </c>
      <c r="S52" s="39"/>
      <c r="T52" s="481">
        <v>89000</v>
      </c>
      <c r="U52" s="40"/>
      <c r="V52" s="39">
        <v>0</v>
      </c>
      <c r="W52" s="39">
        <v>0</v>
      </c>
      <c r="X52" s="39">
        <v>0</v>
      </c>
      <c r="Y52" s="39">
        <v>0</v>
      </c>
      <c r="Z52" s="39">
        <v>0</v>
      </c>
      <c r="AA52" s="39">
        <v>0</v>
      </c>
      <c r="AB52" s="39">
        <v>0</v>
      </c>
      <c r="AC52" s="39">
        <v>0</v>
      </c>
      <c r="AD52" s="39">
        <v>0</v>
      </c>
      <c r="AE52" s="39">
        <v>0</v>
      </c>
      <c r="AF52" s="39">
        <v>0</v>
      </c>
      <c r="AG52" s="39">
        <v>0</v>
      </c>
      <c r="AH52" s="405">
        <f t="shared" si="4"/>
        <v>0</v>
      </c>
      <c r="AI52" s="181"/>
      <c r="AJ52" s="181"/>
      <c r="AK52" s="404">
        <v>0</v>
      </c>
      <c r="AL52" s="404">
        <v>0</v>
      </c>
      <c r="AM52" s="404">
        <v>0</v>
      </c>
      <c r="AN52" s="404">
        <v>0</v>
      </c>
      <c r="AO52" s="404">
        <v>0</v>
      </c>
      <c r="AP52" s="404">
        <v>0</v>
      </c>
      <c r="AQ52" s="404">
        <v>0</v>
      </c>
      <c r="AR52" s="404">
        <v>0</v>
      </c>
      <c r="AS52" s="404">
        <v>0</v>
      </c>
      <c r="AT52" s="404">
        <v>0</v>
      </c>
      <c r="AU52" s="404">
        <v>0</v>
      </c>
      <c r="AV52" s="404">
        <v>0</v>
      </c>
      <c r="AW52" s="405">
        <f t="shared" si="5"/>
        <v>0</v>
      </c>
    </row>
    <row r="53" spans="1:49" outlineLevel="1">
      <c r="A53" s="37" t="s">
        <v>300</v>
      </c>
      <c r="B53" s="41" t="s">
        <v>64</v>
      </c>
      <c r="C53" s="41" t="s">
        <v>64</v>
      </c>
      <c r="D53" s="37"/>
      <c r="E53" s="40"/>
      <c r="F53" s="420">
        <v>0</v>
      </c>
      <c r="G53" s="420">
        <v>0</v>
      </c>
      <c r="H53" s="420">
        <v>0</v>
      </c>
      <c r="I53" s="420">
        <v>0</v>
      </c>
      <c r="J53" s="420">
        <v>5980.7599999999993</v>
      </c>
      <c r="K53" s="420">
        <v>0</v>
      </c>
      <c r="L53" s="420">
        <v>513.52</v>
      </c>
      <c r="M53" s="420">
        <v>0</v>
      </c>
      <c r="N53" s="39">
        <v>513.52</v>
      </c>
      <c r="O53" s="39">
        <v>0</v>
      </c>
      <c r="P53" s="39">
        <v>0</v>
      </c>
      <c r="Q53" s="39">
        <v>0</v>
      </c>
      <c r="R53" s="39">
        <f t="shared" si="3"/>
        <v>7007.7999999999993</v>
      </c>
      <c r="S53" s="39"/>
      <c r="T53" s="40"/>
      <c r="U53" s="40"/>
      <c r="V53" s="39">
        <v>1000</v>
      </c>
      <c r="W53" s="39">
        <v>1050</v>
      </c>
      <c r="X53" s="39">
        <v>1050</v>
      </c>
      <c r="Y53" s="39">
        <v>1050</v>
      </c>
      <c r="Z53" s="39">
        <v>1050</v>
      </c>
      <c r="AA53" s="39">
        <v>1050</v>
      </c>
      <c r="AB53" s="39">
        <v>1050</v>
      </c>
      <c r="AC53" s="39">
        <v>1050</v>
      </c>
      <c r="AD53" s="39">
        <v>1050</v>
      </c>
      <c r="AE53" s="39">
        <v>1050</v>
      </c>
      <c r="AF53" s="39">
        <v>1050</v>
      </c>
      <c r="AG53" s="39">
        <v>1050</v>
      </c>
      <c r="AH53" s="45">
        <f t="shared" si="4"/>
        <v>12550</v>
      </c>
      <c r="AI53" s="13"/>
      <c r="AJ53" s="13"/>
      <c r="AK53" s="39">
        <v>0</v>
      </c>
      <c r="AL53" s="39">
        <v>0</v>
      </c>
      <c r="AM53" s="39">
        <v>0</v>
      </c>
      <c r="AN53" s="39">
        <v>0</v>
      </c>
      <c r="AO53" s="39">
        <v>0</v>
      </c>
      <c r="AP53" s="39">
        <v>0</v>
      </c>
      <c r="AQ53" s="39">
        <v>513.52</v>
      </c>
      <c r="AR53" s="39">
        <v>0</v>
      </c>
      <c r="AS53" s="39">
        <v>0</v>
      </c>
      <c r="AT53" s="39">
        <v>0</v>
      </c>
      <c r="AU53" s="39">
        <v>0</v>
      </c>
      <c r="AV53" s="39">
        <v>0</v>
      </c>
      <c r="AW53" s="45">
        <f t="shared" si="5"/>
        <v>513.52</v>
      </c>
    </row>
    <row r="54" spans="1:49" outlineLevel="1">
      <c r="A54" s="37" t="s">
        <v>301</v>
      </c>
      <c r="B54" s="41" t="s">
        <v>263</v>
      </c>
      <c r="C54" s="41" t="s">
        <v>65</v>
      </c>
      <c r="D54" s="37"/>
      <c r="E54" s="40">
        <v>127173.13999999991</v>
      </c>
      <c r="F54" s="420">
        <v>24579.16</v>
      </c>
      <c r="G54" s="420">
        <v>34516.19999999999</v>
      </c>
      <c r="H54" s="420">
        <v>-337.44</v>
      </c>
      <c r="I54" s="420">
        <v>39808.789999999994</v>
      </c>
      <c r="J54" s="420">
        <v>38432.339999999997</v>
      </c>
      <c r="K54" s="420">
        <v>17884.98</v>
      </c>
      <c r="L54" s="420">
        <v>3491.3499999999995</v>
      </c>
      <c r="M54" s="420">
        <v>17206.14</v>
      </c>
      <c r="N54" s="39">
        <v>30255.200000000004</v>
      </c>
      <c r="O54" s="39">
        <v>35000</v>
      </c>
      <c r="P54" s="39">
        <v>0</v>
      </c>
      <c r="Q54" s="39">
        <v>25000</v>
      </c>
      <c r="R54" s="39">
        <f t="shared" si="3"/>
        <v>265836.72000000003</v>
      </c>
      <c r="S54" s="39"/>
      <c r="T54" s="40">
        <v>126720.70299999999</v>
      </c>
      <c r="U54" s="40"/>
      <c r="V54" s="39">
        <v>24579.16</v>
      </c>
      <c r="W54" s="39">
        <v>25887.149999999994</v>
      </c>
      <c r="X54" s="39">
        <v>-337.44</v>
      </c>
      <c r="Y54" s="39">
        <v>29856.592499999995</v>
      </c>
      <c r="Z54" s="39">
        <v>28824.254999999997</v>
      </c>
      <c r="AA54" s="39">
        <v>22884.98</v>
      </c>
      <c r="AB54" s="39">
        <v>8491.3499999999985</v>
      </c>
      <c r="AC54" s="39">
        <v>22206.14</v>
      </c>
      <c r="AD54" s="39">
        <v>30255.200000000004</v>
      </c>
      <c r="AE54" s="39">
        <v>12771.707104957899</v>
      </c>
      <c r="AF54" s="39">
        <v>16018.30433049684</v>
      </c>
      <c r="AG54" s="39">
        <v>11224.331265530886</v>
      </c>
      <c r="AH54" s="45">
        <f t="shared" si="4"/>
        <v>232661.73020098565</v>
      </c>
      <c r="AI54" s="13"/>
      <c r="AJ54" s="13"/>
      <c r="AK54" s="39">
        <v>13000</v>
      </c>
      <c r="AL54" s="39">
        <v>13000</v>
      </c>
      <c r="AM54" s="39">
        <v>13000</v>
      </c>
      <c r="AN54" s="39">
        <v>13000</v>
      </c>
      <c r="AO54" s="39">
        <v>38508.229999999996</v>
      </c>
      <c r="AP54" s="39">
        <v>17884.98</v>
      </c>
      <c r="AQ54" s="39">
        <v>3491.3499999999995</v>
      </c>
      <c r="AR54" s="39">
        <v>17206.14</v>
      </c>
      <c r="AS54" s="39">
        <v>13473.889133414608</v>
      </c>
      <c r="AT54" s="39">
        <v>15543.414209915782</v>
      </c>
      <c r="AU54" s="39">
        <v>14018.30433049684</v>
      </c>
      <c r="AV54" s="39">
        <v>11224.331265530886</v>
      </c>
      <c r="AW54" s="45">
        <f t="shared" si="5"/>
        <v>183350.63893935815</v>
      </c>
    </row>
    <row r="55" spans="1:49" outlineLevel="1">
      <c r="A55" s="37" t="s">
        <v>302</v>
      </c>
      <c r="B55" s="41" t="s">
        <v>267</v>
      </c>
      <c r="C55" s="41" t="s">
        <v>67</v>
      </c>
      <c r="D55" s="37"/>
      <c r="E55" s="40"/>
      <c r="F55" s="420">
        <v>0</v>
      </c>
      <c r="G55" s="420">
        <v>0</v>
      </c>
      <c r="H55" s="420">
        <v>0</v>
      </c>
      <c r="I55" s="420">
        <v>0</v>
      </c>
      <c r="J55" s="420">
        <v>0</v>
      </c>
      <c r="K55" s="420">
        <v>2897.64</v>
      </c>
      <c r="L55" s="420">
        <v>0</v>
      </c>
      <c r="M55" s="420">
        <v>0</v>
      </c>
      <c r="N55" s="39">
        <v>0</v>
      </c>
      <c r="O55" s="39">
        <v>0</v>
      </c>
      <c r="P55" s="39">
        <v>0</v>
      </c>
      <c r="Q55" s="39">
        <v>0</v>
      </c>
      <c r="R55" s="39">
        <f t="shared" si="3"/>
        <v>2897.64</v>
      </c>
      <c r="S55" s="39"/>
      <c r="T55" s="40"/>
      <c r="U55" s="40"/>
      <c r="V55" s="39">
        <v>0</v>
      </c>
      <c r="W55" s="39">
        <v>0</v>
      </c>
      <c r="X55" s="39">
        <v>3000</v>
      </c>
      <c r="Y55" s="39">
        <v>0</v>
      </c>
      <c r="Z55" s="39">
        <v>0</v>
      </c>
      <c r="AA55" s="39">
        <v>2897.64</v>
      </c>
      <c r="AB55" s="39">
        <v>0</v>
      </c>
      <c r="AC55" s="39">
        <v>0</v>
      </c>
      <c r="AD55" s="39">
        <v>3000</v>
      </c>
      <c r="AE55" s="39">
        <v>0</v>
      </c>
      <c r="AF55" s="39">
        <v>0</v>
      </c>
      <c r="AG55" s="39">
        <v>0</v>
      </c>
      <c r="AH55" s="45">
        <f t="shared" si="4"/>
        <v>8897.64</v>
      </c>
      <c r="AI55" s="13"/>
      <c r="AJ55" s="13"/>
      <c r="AK55" s="39">
        <v>0</v>
      </c>
      <c r="AL55" s="39">
        <v>0</v>
      </c>
      <c r="AM55" s="39">
        <v>0</v>
      </c>
      <c r="AN55" s="39">
        <v>0</v>
      </c>
      <c r="AO55" s="39">
        <v>0</v>
      </c>
      <c r="AP55" s="39">
        <v>2897.64</v>
      </c>
      <c r="AQ55" s="39">
        <v>0</v>
      </c>
      <c r="AR55" s="39">
        <v>0</v>
      </c>
      <c r="AS55" s="39">
        <v>0</v>
      </c>
      <c r="AT55" s="39">
        <v>0</v>
      </c>
      <c r="AU55" s="39">
        <v>0</v>
      </c>
      <c r="AV55" s="39">
        <v>0</v>
      </c>
      <c r="AW55" s="45">
        <f t="shared" si="5"/>
        <v>2897.64</v>
      </c>
    </row>
    <row r="56" spans="1:49" outlineLevel="1">
      <c r="A56" s="13" t="s">
        <v>303</v>
      </c>
      <c r="B56" s="41" t="s">
        <v>64</v>
      </c>
      <c r="C56" s="41" t="s">
        <v>64</v>
      </c>
      <c r="D56" s="37"/>
      <c r="E56" s="40">
        <v>34782.960000000006</v>
      </c>
      <c r="F56" s="420">
        <v>3894.9000000000005</v>
      </c>
      <c r="G56" s="420">
        <v>1753.2600000000002</v>
      </c>
      <c r="H56" s="420">
        <v>4537</v>
      </c>
      <c r="I56" s="420">
        <v>520.32000000000005</v>
      </c>
      <c r="J56" s="420">
        <v>2059.1999999999998</v>
      </c>
      <c r="K56" s="420">
        <v>755.7</v>
      </c>
      <c r="L56" s="420">
        <v>714.48</v>
      </c>
      <c r="M56" s="420">
        <v>961.8</v>
      </c>
      <c r="N56" s="39">
        <v>2349.6</v>
      </c>
      <c r="O56" s="39">
        <v>1706.4199999999998</v>
      </c>
      <c r="P56" s="39">
        <v>1700.5649999999998</v>
      </c>
      <c r="Q56" s="39">
        <v>1346.0106250000001</v>
      </c>
      <c r="R56" s="39">
        <f t="shared" si="3"/>
        <v>22299.255624999994</v>
      </c>
      <c r="S56" s="39"/>
      <c r="T56" s="39"/>
      <c r="U56" s="40"/>
      <c r="V56" s="39">
        <v>3992.2725</v>
      </c>
      <c r="W56" s="39">
        <v>1797.0915</v>
      </c>
      <c r="X56" s="39">
        <v>4650.4249999999993</v>
      </c>
      <c r="Y56" s="39">
        <v>533.32799999999997</v>
      </c>
      <c r="Z56" s="39">
        <v>2110.6799999999998</v>
      </c>
      <c r="AA56" s="39">
        <v>774.59249999999997</v>
      </c>
      <c r="AB56" s="39">
        <v>732.34199999999998</v>
      </c>
      <c r="AC56" s="39">
        <v>985.84500000000025</v>
      </c>
      <c r="AD56" s="39">
        <v>2408.3399999999997</v>
      </c>
      <c r="AE56" s="39">
        <v>1749.0804999999998</v>
      </c>
      <c r="AF56" s="39">
        <v>1743.0791249999997</v>
      </c>
      <c r="AG56" s="39">
        <v>1379.6608906250001</v>
      </c>
      <c r="AH56" s="45">
        <f t="shared" si="4"/>
        <v>22856.737015625</v>
      </c>
      <c r="AI56" s="13"/>
      <c r="AJ56" s="13"/>
      <c r="AK56" s="39">
        <v>3894.9000000000005</v>
      </c>
      <c r="AL56" s="39">
        <v>1753.2600000000002</v>
      </c>
      <c r="AM56" s="39">
        <v>4537</v>
      </c>
      <c r="AN56" s="39">
        <v>520.32000000000005</v>
      </c>
      <c r="AO56" s="39">
        <v>2059.1999999999998</v>
      </c>
      <c r="AP56" s="39">
        <v>755.7</v>
      </c>
      <c r="AQ56" s="39">
        <v>714.48</v>
      </c>
      <c r="AR56" s="39">
        <v>961.8</v>
      </c>
      <c r="AS56" s="39">
        <v>0</v>
      </c>
      <c r="AT56" s="39">
        <v>0</v>
      </c>
      <c r="AU56" s="39">
        <v>0</v>
      </c>
      <c r="AV56" s="39">
        <v>0</v>
      </c>
      <c r="AW56" s="45">
        <f t="shared" si="5"/>
        <v>15196.66</v>
      </c>
    </row>
    <row r="57" spans="1:49" outlineLevel="1">
      <c r="A57" s="37" t="s">
        <v>304</v>
      </c>
      <c r="B57" s="41" t="s">
        <v>305</v>
      </c>
      <c r="C57" s="41" t="s">
        <v>67</v>
      </c>
      <c r="D57" s="37"/>
      <c r="E57" s="40"/>
      <c r="F57" s="420">
        <v>0</v>
      </c>
      <c r="G57" s="420">
        <v>0</v>
      </c>
      <c r="H57" s="420">
        <v>0</v>
      </c>
      <c r="I57" s="420">
        <v>0</v>
      </c>
      <c r="J57" s="420">
        <v>0</v>
      </c>
      <c r="K57" s="420">
        <v>0</v>
      </c>
      <c r="L57" s="420">
        <v>62541.200000000004</v>
      </c>
      <c r="M57" s="420">
        <v>0</v>
      </c>
      <c r="N57" s="39">
        <v>0</v>
      </c>
      <c r="O57" s="39">
        <v>0</v>
      </c>
      <c r="P57" s="39">
        <v>0</v>
      </c>
      <c r="Q57" s="39">
        <v>0</v>
      </c>
      <c r="R57" s="39">
        <f t="shared" si="3"/>
        <v>62541.200000000004</v>
      </c>
      <c r="S57" s="39"/>
      <c r="T57" s="40"/>
      <c r="U57" s="40"/>
      <c r="V57" s="39">
        <v>0</v>
      </c>
      <c r="W57" s="39">
        <v>0</v>
      </c>
      <c r="X57" s="39">
        <v>50000</v>
      </c>
      <c r="Y57" s="39">
        <v>0</v>
      </c>
      <c r="Z57" s="39">
        <v>0</v>
      </c>
      <c r="AA57" s="39">
        <v>25000</v>
      </c>
      <c r="AB57" s="39">
        <v>25000</v>
      </c>
      <c r="AC57" s="39">
        <v>20000</v>
      </c>
      <c r="AD57" s="39">
        <v>0</v>
      </c>
      <c r="AE57" s="39">
        <v>0</v>
      </c>
      <c r="AF57" s="39">
        <v>0</v>
      </c>
      <c r="AG57" s="39">
        <v>0</v>
      </c>
      <c r="AH57" s="45">
        <f t="shared" si="4"/>
        <v>120000</v>
      </c>
      <c r="AI57" s="13"/>
      <c r="AJ57" s="13"/>
      <c r="AK57" s="39">
        <v>0</v>
      </c>
      <c r="AL57" s="39">
        <v>0</v>
      </c>
      <c r="AM57" s="39">
        <v>0</v>
      </c>
      <c r="AN57" s="39">
        <v>0</v>
      </c>
      <c r="AO57" s="39">
        <v>0</v>
      </c>
      <c r="AP57" s="39">
        <v>0</v>
      </c>
      <c r="AQ57" s="39">
        <v>62541.200000000004</v>
      </c>
      <c r="AR57" s="39">
        <v>0</v>
      </c>
      <c r="AS57" s="39">
        <v>0</v>
      </c>
      <c r="AT57" s="39">
        <v>0</v>
      </c>
      <c r="AU57" s="39">
        <v>0</v>
      </c>
      <c r="AV57" s="39">
        <v>0</v>
      </c>
      <c r="AW57" s="45">
        <f t="shared" si="5"/>
        <v>62541.200000000004</v>
      </c>
    </row>
    <row r="58" spans="1:49" outlineLevel="1">
      <c r="A58" s="13" t="s">
        <v>306</v>
      </c>
      <c r="B58" s="41" t="s">
        <v>267</v>
      </c>
      <c r="C58" s="41" t="s">
        <v>67</v>
      </c>
      <c r="D58" s="37"/>
      <c r="E58" s="40"/>
      <c r="F58" s="420">
        <v>596.4</v>
      </c>
      <c r="G58" s="420">
        <v>10344.120000000001</v>
      </c>
      <c r="H58" s="420">
        <v>0</v>
      </c>
      <c r="I58" s="420">
        <v>9217.92</v>
      </c>
      <c r="J58" s="420">
        <v>10718.7</v>
      </c>
      <c r="K58" s="420">
        <v>0</v>
      </c>
      <c r="L58" s="420">
        <v>16094.220000000001</v>
      </c>
      <c r="M58" s="420">
        <v>44647.179999999993</v>
      </c>
      <c r="N58" s="39">
        <v>0</v>
      </c>
      <c r="O58" s="39">
        <v>15000</v>
      </c>
      <c r="P58" s="39">
        <v>0</v>
      </c>
      <c r="Q58" s="39">
        <v>15000</v>
      </c>
      <c r="R58" s="39">
        <f t="shared" si="3"/>
        <v>121618.54</v>
      </c>
      <c r="S58" s="39"/>
      <c r="T58" s="40"/>
      <c r="U58" s="40"/>
      <c r="V58" s="39">
        <v>715.68</v>
      </c>
      <c r="W58" s="39">
        <v>12412.944000000001</v>
      </c>
      <c r="X58" s="39">
        <v>0</v>
      </c>
      <c r="Y58" s="39">
        <v>11061.504000000001</v>
      </c>
      <c r="Z58" s="39">
        <v>12862.44</v>
      </c>
      <c r="AA58" s="39">
        <v>0</v>
      </c>
      <c r="AB58" s="39">
        <v>19313.064000000002</v>
      </c>
      <c r="AC58" s="39">
        <v>53576.615999999995</v>
      </c>
      <c r="AD58" s="39">
        <v>0</v>
      </c>
      <c r="AE58" s="39">
        <v>18000</v>
      </c>
      <c r="AF58" s="39">
        <v>0</v>
      </c>
      <c r="AG58" s="39">
        <v>0</v>
      </c>
      <c r="AH58" s="45">
        <f t="shared" si="4"/>
        <v>127942.24800000001</v>
      </c>
      <c r="AI58" s="13"/>
      <c r="AJ58" s="13"/>
      <c r="AK58" s="39">
        <v>596.4</v>
      </c>
      <c r="AL58" s="39">
        <v>10344.120000000001</v>
      </c>
      <c r="AM58" s="39">
        <v>0</v>
      </c>
      <c r="AN58" s="39">
        <v>9217.92</v>
      </c>
      <c r="AO58" s="39">
        <v>10718.7</v>
      </c>
      <c r="AP58" s="39">
        <v>0</v>
      </c>
      <c r="AQ58" s="39">
        <v>16094.220000000001</v>
      </c>
      <c r="AR58" s="39">
        <v>44647.179999999993</v>
      </c>
      <c r="AS58" s="39">
        <v>0</v>
      </c>
      <c r="AT58" s="39">
        <v>0</v>
      </c>
      <c r="AU58" s="39">
        <v>0</v>
      </c>
      <c r="AV58" s="39">
        <v>0</v>
      </c>
      <c r="AW58" s="45">
        <f t="shared" si="5"/>
        <v>91618.54</v>
      </c>
    </row>
    <row r="59" spans="1:49" outlineLevel="1">
      <c r="A59" s="37" t="s">
        <v>307</v>
      </c>
      <c r="B59" s="41" t="s">
        <v>263</v>
      </c>
      <c r="C59" s="41" t="s">
        <v>65</v>
      </c>
      <c r="D59" s="37"/>
      <c r="E59" s="40">
        <v>134232.71999999991</v>
      </c>
      <c r="F59" s="420">
        <v>16161.519999999993</v>
      </c>
      <c r="G59" s="420">
        <v>22659.919999999998</v>
      </c>
      <c r="H59" s="420">
        <v>0</v>
      </c>
      <c r="I59" s="420">
        <v>3267.9399999999996</v>
      </c>
      <c r="J59" s="420">
        <v>24253.33</v>
      </c>
      <c r="K59" s="420">
        <v>0</v>
      </c>
      <c r="L59" s="420">
        <v>8121.43</v>
      </c>
      <c r="M59" s="420">
        <v>11179.550000000001</v>
      </c>
      <c r="N59" s="39">
        <v>7561.93</v>
      </c>
      <c r="O59" s="39">
        <v>14844.860503911696</v>
      </c>
      <c r="P59" s="39">
        <v>12000</v>
      </c>
      <c r="Q59" s="39">
        <v>10719.886225524671</v>
      </c>
      <c r="R59" s="39">
        <f t="shared" si="3"/>
        <v>130770.36672943635</v>
      </c>
      <c r="S59" s="39"/>
      <c r="T59" s="40">
        <v>129490.8775</v>
      </c>
      <c r="U59" s="40"/>
      <c r="V59" s="39">
        <v>16161.519999999993</v>
      </c>
      <c r="W59" s="39">
        <v>12659.919999999998</v>
      </c>
      <c r="X59" s="39">
        <v>-5000</v>
      </c>
      <c r="Y59" s="39">
        <v>267.9399999999996</v>
      </c>
      <c r="Z59" s="39">
        <v>29859.663250000001</v>
      </c>
      <c r="AA59" s="39">
        <v>2500</v>
      </c>
      <c r="AB59" s="39">
        <v>8324.4657499999994</v>
      </c>
      <c r="AC59" s="39">
        <v>16459.03875</v>
      </c>
      <c r="AD59" s="39">
        <v>7750.9782500000001</v>
      </c>
      <c r="AE59" s="39">
        <v>20215.982016509486</v>
      </c>
      <c r="AF59" s="39">
        <v>13722.999574876074</v>
      </c>
      <c r="AG59" s="39">
        <v>10987.883381162788</v>
      </c>
      <c r="AH59" s="45">
        <f t="shared" si="4"/>
        <v>133910.39097254834</v>
      </c>
      <c r="AI59" s="13"/>
      <c r="AJ59" s="13"/>
      <c r="AK59" s="39">
        <v>5500</v>
      </c>
      <c r="AL59" s="39">
        <v>5500</v>
      </c>
      <c r="AM59" s="39">
        <v>5500</v>
      </c>
      <c r="AN59" s="39">
        <v>5500</v>
      </c>
      <c r="AO59" s="39">
        <v>5500</v>
      </c>
      <c r="AP59" s="39">
        <v>5500</v>
      </c>
      <c r="AQ59" s="39">
        <v>5500</v>
      </c>
      <c r="AR59" s="39">
        <v>5500</v>
      </c>
      <c r="AS59" s="39">
        <v>5500</v>
      </c>
      <c r="AT59" s="39">
        <v>5500</v>
      </c>
      <c r="AU59" s="39">
        <v>5500</v>
      </c>
      <c r="AV59" s="39">
        <v>5500</v>
      </c>
      <c r="AW59" s="45">
        <f t="shared" si="5"/>
        <v>66000</v>
      </c>
    </row>
    <row r="60" spans="1:49" outlineLevel="1">
      <c r="A60" s="13" t="s">
        <v>308</v>
      </c>
      <c r="B60" s="41" t="s">
        <v>64</v>
      </c>
      <c r="C60" s="41" t="s">
        <v>64</v>
      </c>
      <c r="D60" s="37"/>
      <c r="E60" s="40">
        <v>9462.8100000000013</v>
      </c>
      <c r="F60" s="420">
        <v>0</v>
      </c>
      <c r="G60" s="420">
        <v>3366.96</v>
      </c>
      <c r="H60" s="420">
        <v>-88.320000000000022</v>
      </c>
      <c r="I60" s="420">
        <v>0</v>
      </c>
      <c r="J60" s="420">
        <v>0</v>
      </c>
      <c r="K60" s="420">
        <v>0</v>
      </c>
      <c r="L60" s="420">
        <v>0</v>
      </c>
      <c r="M60" s="420">
        <v>0</v>
      </c>
      <c r="N60" s="39">
        <v>0</v>
      </c>
      <c r="O60" s="39">
        <v>0</v>
      </c>
      <c r="P60" s="39">
        <v>0</v>
      </c>
      <c r="Q60" s="39">
        <v>0</v>
      </c>
      <c r="R60" s="39">
        <f t="shared" si="3"/>
        <v>3278.64</v>
      </c>
      <c r="S60" s="39"/>
      <c r="T60" s="39"/>
      <c r="U60" s="40"/>
      <c r="V60" s="39">
        <v>0</v>
      </c>
      <c r="W60" s="39">
        <v>0</v>
      </c>
      <c r="X60" s="39">
        <v>0</v>
      </c>
      <c r="Y60" s="39">
        <v>0</v>
      </c>
      <c r="Z60" s="39">
        <v>0</v>
      </c>
      <c r="AA60" s="39">
        <v>0</v>
      </c>
      <c r="AB60" s="39">
        <v>0</v>
      </c>
      <c r="AC60" s="39">
        <v>0</v>
      </c>
      <c r="AD60" s="39">
        <v>0</v>
      </c>
      <c r="AE60" s="39">
        <v>0</v>
      </c>
      <c r="AF60" s="39">
        <v>0</v>
      </c>
      <c r="AG60" s="39">
        <v>0</v>
      </c>
      <c r="AH60" s="45">
        <f t="shared" si="4"/>
        <v>0</v>
      </c>
      <c r="AI60" s="13"/>
      <c r="AJ60" s="13"/>
      <c r="AK60" s="39">
        <v>0</v>
      </c>
      <c r="AL60" s="39">
        <v>3366.96</v>
      </c>
      <c r="AM60" s="39">
        <v>-88.320000000000022</v>
      </c>
      <c r="AN60" s="39">
        <v>0</v>
      </c>
      <c r="AO60" s="39">
        <v>0</v>
      </c>
      <c r="AP60" s="39">
        <v>0</v>
      </c>
      <c r="AQ60" s="39">
        <v>0</v>
      </c>
      <c r="AR60" s="39">
        <v>0</v>
      </c>
      <c r="AS60" s="39">
        <v>0</v>
      </c>
      <c r="AT60" s="39">
        <v>0</v>
      </c>
      <c r="AU60" s="39">
        <v>0</v>
      </c>
      <c r="AV60" s="39">
        <v>0</v>
      </c>
      <c r="AW60" s="45">
        <f t="shared" si="5"/>
        <v>3278.64</v>
      </c>
    </row>
    <row r="61" spans="1:49" outlineLevel="1">
      <c r="A61" s="13" t="s">
        <v>309</v>
      </c>
      <c r="B61" s="41" t="s">
        <v>236</v>
      </c>
      <c r="C61" s="41" t="s">
        <v>65</v>
      </c>
      <c r="D61" s="37"/>
      <c r="E61" s="40"/>
      <c r="F61" s="420">
        <v>579.66000000000008</v>
      </c>
      <c r="G61" s="420">
        <v>1527.6899999999998</v>
      </c>
      <c r="H61" s="420">
        <v>1401.96</v>
      </c>
      <c r="I61" s="420">
        <v>1288.42</v>
      </c>
      <c r="J61" s="420">
        <v>1380.8799999999999</v>
      </c>
      <c r="K61" s="420">
        <v>1769.6599999999999</v>
      </c>
      <c r="L61" s="420">
        <v>798.24</v>
      </c>
      <c r="M61" s="420">
        <v>0</v>
      </c>
      <c r="N61" s="39">
        <v>0</v>
      </c>
      <c r="O61" s="39">
        <v>1020.8562499999999</v>
      </c>
      <c r="P61" s="39">
        <v>957.50203124999996</v>
      </c>
      <c r="Q61" s="39">
        <v>901.94478515624996</v>
      </c>
      <c r="R61" s="39">
        <f t="shared" si="3"/>
        <v>11626.813066406252</v>
      </c>
      <c r="S61" s="39"/>
      <c r="T61" s="40"/>
      <c r="U61" s="40"/>
      <c r="V61" s="39">
        <v>1000</v>
      </c>
      <c r="W61" s="39">
        <v>1000</v>
      </c>
      <c r="X61" s="39">
        <v>1000</v>
      </c>
      <c r="Y61" s="39">
        <v>1000</v>
      </c>
      <c r="Z61" s="39">
        <v>3000</v>
      </c>
      <c r="AA61" s="39">
        <v>1000</v>
      </c>
      <c r="AB61" s="39">
        <v>1000</v>
      </c>
      <c r="AC61" s="39">
        <v>1000</v>
      </c>
      <c r="AD61" s="39">
        <v>1000</v>
      </c>
      <c r="AE61" s="39">
        <v>3000</v>
      </c>
      <c r="AF61" s="39">
        <v>1000</v>
      </c>
      <c r="AG61" s="39">
        <v>1000</v>
      </c>
      <c r="AH61" s="45">
        <f t="shared" si="4"/>
        <v>16000</v>
      </c>
      <c r="AI61" s="13"/>
      <c r="AJ61" s="13"/>
      <c r="AK61" s="39">
        <v>579.66000000000008</v>
      </c>
      <c r="AL61" s="39">
        <v>1527.6899999999998</v>
      </c>
      <c r="AM61" s="39">
        <v>1401.96</v>
      </c>
      <c r="AN61" s="39">
        <v>1288.42</v>
      </c>
      <c r="AO61" s="39">
        <v>1380.8799999999999</v>
      </c>
      <c r="AP61" s="39">
        <v>1769.6599999999999</v>
      </c>
      <c r="AQ61" s="39">
        <v>798.24</v>
      </c>
      <c r="AR61" s="39">
        <v>0</v>
      </c>
      <c r="AS61" s="39">
        <v>0</v>
      </c>
      <c r="AT61" s="39">
        <v>0</v>
      </c>
      <c r="AU61" s="39">
        <v>0</v>
      </c>
      <c r="AV61" s="39">
        <v>0</v>
      </c>
      <c r="AW61" s="45">
        <f t="shared" si="5"/>
        <v>8746.51</v>
      </c>
    </row>
    <row r="62" spans="1:49" outlineLevel="1">
      <c r="A62" s="13" t="s">
        <v>310</v>
      </c>
      <c r="B62" s="41" t="s">
        <v>311</v>
      </c>
      <c r="C62" s="41" t="s">
        <v>66</v>
      </c>
      <c r="D62" s="37"/>
      <c r="E62" s="40"/>
      <c r="F62" s="420">
        <v>827.6</v>
      </c>
      <c r="G62" s="420">
        <v>0</v>
      </c>
      <c r="H62" s="420">
        <v>772.31999999999994</v>
      </c>
      <c r="I62" s="420">
        <v>500.64</v>
      </c>
      <c r="J62" s="420">
        <v>818.18999999999983</v>
      </c>
      <c r="K62" s="420">
        <v>0</v>
      </c>
      <c r="L62" s="420">
        <v>0</v>
      </c>
      <c r="M62" s="420">
        <v>0</v>
      </c>
      <c r="N62" s="39">
        <v>0</v>
      </c>
      <c r="O62" s="39">
        <v>0</v>
      </c>
      <c r="P62" s="39">
        <v>0</v>
      </c>
      <c r="Q62" s="39">
        <v>0</v>
      </c>
      <c r="R62" s="39">
        <f t="shared" si="3"/>
        <v>2918.75</v>
      </c>
      <c r="S62" s="39"/>
      <c r="T62" s="40"/>
      <c r="U62" s="40"/>
      <c r="V62" s="39">
        <v>500</v>
      </c>
      <c r="W62" s="39">
        <v>500</v>
      </c>
      <c r="X62" s="39">
        <v>500</v>
      </c>
      <c r="Y62" s="39">
        <v>500</v>
      </c>
      <c r="Z62" s="39">
        <v>500</v>
      </c>
      <c r="AA62" s="39">
        <v>500</v>
      </c>
      <c r="AB62" s="39">
        <v>500</v>
      </c>
      <c r="AC62" s="39">
        <v>500</v>
      </c>
      <c r="AD62" s="39">
        <v>500</v>
      </c>
      <c r="AE62" s="39">
        <v>500</v>
      </c>
      <c r="AF62" s="39">
        <v>500</v>
      </c>
      <c r="AG62" s="39">
        <v>500</v>
      </c>
      <c r="AH62" s="45">
        <f t="shared" si="4"/>
        <v>6000</v>
      </c>
      <c r="AI62" s="13"/>
      <c r="AJ62" s="13"/>
      <c r="AK62" s="39">
        <v>827.6</v>
      </c>
      <c r="AL62" s="39">
        <v>0</v>
      </c>
      <c r="AM62" s="39">
        <v>772.31999999999994</v>
      </c>
      <c r="AN62" s="39">
        <v>500.64</v>
      </c>
      <c r="AO62" s="39">
        <v>818.18999999999983</v>
      </c>
      <c r="AP62" s="39">
        <v>0</v>
      </c>
      <c r="AQ62" s="39">
        <v>0</v>
      </c>
      <c r="AR62" s="39">
        <v>0</v>
      </c>
      <c r="AS62" s="39">
        <v>0</v>
      </c>
      <c r="AT62" s="39">
        <v>0</v>
      </c>
      <c r="AU62" s="39">
        <v>0</v>
      </c>
      <c r="AV62" s="39">
        <v>0</v>
      </c>
      <c r="AW62" s="45">
        <f t="shared" si="5"/>
        <v>2918.75</v>
      </c>
    </row>
    <row r="63" spans="1:49" outlineLevel="1">
      <c r="A63" s="37" t="s">
        <v>312</v>
      </c>
      <c r="B63" s="41" t="s">
        <v>313</v>
      </c>
      <c r="C63" s="41" t="s">
        <v>65</v>
      </c>
      <c r="D63" s="37"/>
      <c r="E63" s="40">
        <v>55754.119999999995</v>
      </c>
      <c r="F63" s="420">
        <v>0</v>
      </c>
      <c r="G63" s="420">
        <v>4945.0600000000004</v>
      </c>
      <c r="H63" s="420">
        <v>3619.1299999999997</v>
      </c>
      <c r="I63" s="420">
        <v>0</v>
      </c>
      <c r="J63" s="420">
        <v>0</v>
      </c>
      <c r="K63" s="420">
        <v>4803.54</v>
      </c>
      <c r="L63" s="420">
        <v>0</v>
      </c>
      <c r="M63" s="420">
        <v>0</v>
      </c>
      <c r="N63" s="39">
        <v>5890.61</v>
      </c>
      <c r="O63" s="39">
        <v>1093.1014274632985</v>
      </c>
      <c r="P63" s="39">
        <v>985.84701323249749</v>
      </c>
      <c r="Q63" s="39">
        <v>789.35891194649059</v>
      </c>
      <c r="R63" s="39">
        <f t="shared" si="3"/>
        <v>22126.647352642289</v>
      </c>
      <c r="S63" s="39"/>
      <c r="T63" s="40">
        <v>10000</v>
      </c>
      <c r="U63" s="40"/>
      <c r="V63" s="39">
        <v>0</v>
      </c>
      <c r="W63" s="39">
        <v>5000</v>
      </c>
      <c r="X63" s="39">
        <v>1000</v>
      </c>
      <c r="Y63" s="39">
        <v>1000</v>
      </c>
      <c r="Z63" s="39">
        <v>0</v>
      </c>
      <c r="AA63" s="39">
        <v>5000</v>
      </c>
      <c r="AB63" s="39">
        <v>1000</v>
      </c>
      <c r="AC63" s="39">
        <v>0</v>
      </c>
      <c r="AD63" s="39">
        <v>5000</v>
      </c>
      <c r="AE63" s="39">
        <v>5000</v>
      </c>
      <c r="AF63" s="39">
        <v>0</v>
      </c>
      <c r="AG63" s="39">
        <v>0</v>
      </c>
      <c r="AH63" s="45">
        <f t="shared" si="4"/>
        <v>23000</v>
      </c>
      <c r="AI63" s="13"/>
      <c r="AJ63" s="13"/>
      <c r="AK63" s="39">
        <v>0</v>
      </c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45">
        <f t="shared" si="5"/>
        <v>0</v>
      </c>
    </row>
    <row r="64" spans="1:49" outlineLevel="1">
      <c r="A64" s="13" t="s">
        <v>314</v>
      </c>
      <c r="B64" s="41" t="s">
        <v>64</v>
      </c>
      <c r="C64" s="41" t="s">
        <v>64</v>
      </c>
      <c r="D64" s="37"/>
      <c r="E64" s="40">
        <v>33764.149999999994</v>
      </c>
      <c r="F64" s="420">
        <v>4502.6399999999985</v>
      </c>
      <c r="G64" s="420">
        <v>502.5</v>
      </c>
      <c r="H64" s="420">
        <v>962.21</v>
      </c>
      <c r="I64" s="420">
        <v>843.84</v>
      </c>
      <c r="J64" s="420">
        <v>1462.4800000000005</v>
      </c>
      <c r="K64" s="420">
        <v>2459.4700000000003</v>
      </c>
      <c r="L64" s="420">
        <v>1584.04</v>
      </c>
      <c r="M64" s="420">
        <v>672.36</v>
      </c>
      <c r="N64" s="39">
        <v>1298.1600000000003</v>
      </c>
      <c r="O64" s="39">
        <v>6223.1324999999997</v>
      </c>
      <c r="P64" s="39">
        <v>1313.2115625000001</v>
      </c>
      <c r="Q64" s="39">
        <v>1357.0867578125001</v>
      </c>
      <c r="R64" s="39">
        <f t="shared" si="3"/>
        <v>23181.130820312501</v>
      </c>
      <c r="S64" s="39"/>
      <c r="T64" s="39"/>
      <c r="U64" s="40"/>
      <c r="V64" s="39">
        <v>7502.6399999999985</v>
      </c>
      <c r="W64" s="39">
        <v>2502.5</v>
      </c>
      <c r="X64" s="39">
        <v>962.21</v>
      </c>
      <c r="Y64" s="39">
        <v>843.84</v>
      </c>
      <c r="Z64" s="39">
        <v>1535.6040000000005</v>
      </c>
      <c r="AA64" s="39">
        <v>2582.4435000000003</v>
      </c>
      <c r="AB64" s="39">
        <v>1663.242</v>
      </c>
      <c r="AC64" s="39">
        <v>705.97799999999916</v>
      </c>
      <c r="AD64" s="39">
        <v>6363.0680000000002</v>
      </c>
      <c r="AE64" s="39">
        <v>11534.289124999999</v>
      </c>
      <c r="AF64" s="39">
        <v>1378.8721406250002</v>
      </c>
      <c r="AG64" s="39">
        <v>1424.941095703125</v>
      </c>
      <c r="AH64" s="45">
        <f t="shared" si="4"/>
        <v>38999.627861328117</v>
      </c>
      <c r="AI64" s="13"/>
      <c r="AJ64" s="13"/>
      <c r="AK64" s="39">
        <v>4502.6399999999985</v>
      </c>
      <c r="AL64" s="39">
        <v>502.5</v>
      </c>
      <c r="AM64" s="39">
        <v>962.21</v>
      </c>
      <c r="AN64" s="39">
        <v>843.84</v>
      </c>
      <c r="AO64" s="39">
        <v>1462.4800000000005</v>
      </c>
      <c r="AP64" s="39">
        <v>2459.4700000000003</v>
      </c>
      <c r="AQ64" s="39">
        <v>1584.04</v>
      </c>
      <c r="AR64" s="39">
        <v>672.36</v>
      </c>
      <c r="AS64" s="39">
        <v>0</v>
      </c>
      <c r="AT64" s="39">
        <v>0</v>
      </c>
      <c r="AU64" s="39">
        <v>0</v>
      </c>
      <c r="AV64" s="39">
        <v>0</v>
      </c>
      <c r="AW64" s="45">
        <f t="shared" si="5"/>
        <v>12989.54</v>
      </c>
    </row>
    <row r="65" spans="1:49" outlineLevel="1">
      <c r="A65" s="13" t="s">
        <v>315</v>
      </c>
      <c r="B65" s="41" t="s">
        <v>64</v>
      </c>
      <c r="C65" s="41" t="s">
        <v>64</v>
      </c>
      <c r="D65" s="37"/>
      <c r="E65" s="40"/>
      <c r="F65" s="420">
        <v>0</v>
      </c>
      <c r="G65" s="420">
        <v>11125.35</v>
      </c>
      <c r="H65" s="420">
        <v>0</v>
      </c>
      <c r="I65" s="420">
        <v>0</v>
      </c>
      <c r="J65" s="420">
        <v>0</v>
      </c>
      <c r="K65" s="420">
        <v>0</v>
      </c>
      <c r="L65" s="420">
        <v>0</v>
      </c>
      <c r="M65" s="420">
        <v>0</v>
      </c>
      <c r="N65" s="39">
        <v>0</v>
      </c>
      <c r="O65" s="39">
        <v>0</v>
      </c>
      <c r="P65" s="39">
        <v>7000</v>
      </c>
      <c r="Q65" s="39">
        <v>0</v>
      </c>
      <c r="R65" s="39">
        <f t="shared" si="3"/>
        <v>18125.349999999999</v>
      </c>
      <c r="S65" s="39"/>
      <c r="T65" s="40"/>
      <c r="U65" s="40"/>
      <c r="V65" s="39">
        <v>0</v>
      </c>
      <c r="W65" s="39">
        <v>10000</v>
      </c>
      <c r="X65" s="39">
        <v>0</v>
      </c>
      <c r="Y65" s="39">
        <v>0</v>
      </c>
      <c r="Z65" s="39">
        <v>0</v>
      </c>
      <c r="AA65" s="39">
        <v>0</v>
      </c>
      <c r="AB65" s="39">
        <v>0</v>
      </c>
      <c r="AC65" s="39">
        <v>10000</v>
      </c>
      <c r="AD65" s="39">
        <v>0</v>
      </c>
      <c r="AE65" s="39">
        <v>0</v>
      </c>
      <c r="AF65" s="39">
        <v>0</v>
      </c>
      <c r="AG65" s="39">
        <v>0</v>
      </c>
      <c r="AH65" s="45">
        <f t="shared" si="4"/>
        <v>20000</v>
      </c>
      <c r="AI65" s="13"/>
      <c r="AJ65" s="13"/>
      <c r="AK65" s="39">
        <v>0</v>
      </c>
      <c r="AL65" s="39">
        <v>11125.35</v>
      </c>
      <c r="AM65" s="39">
        <v>0</v>
      </c>
      <c r="AN65" s="39">
        <v>0</v>
      </c>
      <c r="AO65" s="39">
        <v>0</v>
      </c>
      <c r="AP65" s="39">
        <v>0</v>
      </c>
      <c r="AQ65" s="39">
        <v>0</v>
      </c>
      <c r="AR65" s="39">
        <v>0</v>
      </c>
      <c r="AS65" s="39">
        <v>0</v>
      </c>
      <c r="AT65" s="39">
        <v>0</v>
      </c>
      <c r="AU65" s="39">
        <v>0</v>
      </c>
      <c r="AV65" s="39">
        <v>0</v>
      </c>
      <c r="AW65" s="45">
        <f t="shared" si="5"/>
        <v>11125.35</v>
      </c>
    </row>
    <row r="66" spans="1:49" outlineLevel="1">
      <c r="A66" s="13" t="s">
        <v>316</v>
      </c>
      <c r="B66" s="41" t="s">
        <v>64</v>
      </c>
      <c r="C66" s="41" t="s">
        <v>64</v>
      </c>
      <c r="D66" s="37"/>
      <c r="E66" s="40">
        <v>4978.54</v>
      </c>
      <c r="F66" s="420">
        <v>0</v>
      </c>
      <c r="G66" s="420">
        <v>0</v>
      </c>
      <c r="H66" s="420">
        <v>0</v>
      </c>
      <c r="I66" s="420">
        <v>1593.96</v>
      </c>
      <c r="J66" s="420">
        <v>686.40000000000009</v>
      </c>
      <c r="K66" s="420">
        <v>867.6</v>
      </c>
      <c r="L66" s="420">
        <v>0</v>
      </c>
      <c r="M66" s="420">
        <v>0</v>
      </c>
      <c r="N66" s="39">
        <v>0</v>
      </c>
      <c r="O66" s="39">
        <v>0</v>
      </c>
      <c r="P66" s="39">
        <v>0</v>
      </c>
      <c r="Q66" s="39">
        <v>0</v>
      </c>
      <c r="R66" s="39">
        <f t="shared" si="3"/>
        <v>3147.96</v>
      </c>
      <c r="S66" s="39"/>
      <c r="T66" s="39"/>
      <c r="U66" s="40"/>
      <c r="V66" s="39">
        <v>500</v>
      </c>
      <c r="W66" s="39">
        <v>600</v>
      </c>
      <c r="X66" s="39">
        <v>700</v>
      </c>
      <c r="Y66" s="39">
        <v>800</v>
      </c>
      <c r="Z66" s="39">
        <v>900</v>
      </c>
      <c r="AA66" s="39">
        <v>1000</v>
      </c>
      <c r="AB66" s="39">
        <v>1100</v>
      </c>
      <c r="AC66" s="39">
        <v>1200</v>
      </c>
      <c r="AD66" s="39">
        <v>1300</v>
      </c>
      <c r="AE66" s="39">
        <v>1400</v>
      </c>
      <c r="AF66" s="39">
        <v>1500</v>
      </c>
      <c r="AG66" s="39">
        <v>1600</v>
      </c>
      <c r="AH66" s="45">
        <f t="shared" si="4"/>
        <v>12600</v>
      </c>
      <c r="AI66" s="13"/>
      <c r="AJ66" s="13"/>
      <c r="AK66" s="39">
        <v>0</v>
      </c>
      <c r="AL66" s="39">
        <v>0</v>
      </c>
      <c r="AM66" s="39">
        <v>0</v>
      </c>
      <c r="AN66" s="39">
        <v>1593.96</v>
      </c>
      <c r="AO66" s="39">
        <v>686.40000000000009</v>
      </c>
      <c r="AP66" s="39">
        <v>867.6</v>
      </c>
      <c r="AQ66" s="39">
        <v>0</v>
      </c>
      <c r="AR66" s="39">
        <v>0</v>
      </c>
      <c r="AS66" s="39">
        <v>0</v>
      </c>
      <c r="AT66" s="39">
        <v>0</v>
      </c>
      <c r="AU66" s="39">
        <v>0</v>
      </c>
      <c r="AV66" s="39">
        <v>0</v>
      </c>
      <c r="AW66" s="45">
        <f t="shared" si="5"/>
        <v>3147.96</v>
      </c>
    </row>
    <row r="67" spans="1:49" outlineLevel="1">
      <c r="A67" s="13" t="s">
        <v>317</v>
      </c>
      <c r="B67" s="41" t="s">
        <v>265</v>
      </c>
      <c r="C67" s="41" t="s">
        <v>65</v>
      </c>
      <c r="D67" s="37"/>
      <c r="E67" s="40"/>
      <c r="F67" s="420">
        <v>0</v>
      </c>
      <c r="G67" s="420">
        <v>0</v>
      </c>
      <c r="H67" s="420">
        <v>0</v>
      </c>
      <c r="I67" s="420">
        <v>6608.7400000000007</v>
      </c>
      <c r="J67" s="420">
        <v>0</v>
      </c>
      <c r="K67" s="420">
        <v>0</v>
      </c>
      <c r="L67" s="420">
        <v>0</v>
      </c>
      <c r="M67" s="420">
        <v>0</v>
      </c>
      <c r="N67" s="39">
        <v>2768.4399999999996</v>
      </c>
      <c r="O67" s="39">
        <v>0</v>
      </c>
      <c r="P67" s="39">
        <v>0</v>
      </c>
      <c r="Q67" s="39">
        <v>0</v>
      </c>
      <c r="R67" s="39">
        <f t="shared" si="3"/>
        <v>9377.18</v>
      </c>
      <c r="S67" s="39"/>
      <c r="T67" s="40"/>
      <c r="U67" s="40"/>
      <c r="V67" s="39">
        <v>0</v>
      </c>
      <c r="W67" s="39">
        <v>0</v>
      </c>
      <c r="X67" s="39">
        <v>0</v>
      </c>
      <c r="Y67" s="39">
        <v>0</v>
      </c>
      <c r="Z67" s="39">
        <v>0</v>
      </c>
      <c r="AA67" s="39">
        <v>0</v>
      </c>
      <c r="AB67" s="39">
        <v>0</v>
      </c>
      <c r="AC67" s="39">
        <v>0</v>
      </c>
      <c r="AD67" s="39">
        <v>0</v>
      </c>
      <c r="AE67" s="39">
        <v>0</v>
      </c>
      <c r="AF67" s="39">
        <v>0</v>
      </c>
      <c r="AG67" s="39">
        <v>0</v>
      </c>
      <c r="AH67" s="45">
        <f t="shared" si="4"/>
        <v>0</v>
      </c>
      <c r="AI67" s="13"/>
      <c r="AJ67" s="13"/>
      <c r="AK67" s="39">
        <v>0</v>
      </c>
      <c r="AL67" s="39">
        <v>0</v>
      </c>
      <c r="AM67" s="39">
        <v>0</v>
      </c>
      <c r="AN67" s="39">
        <v>6608.7400000000007</v>
      </c>
      <c r="AO67" s="39">
        <v>0</v>
      </c>
      <c r="AP67" s="39">
        <v>0</v>
      </c>
      <c r="AQ67" s="39">
        <v>0</v>
      </c>
      <c r="AR67" s="39">
        <v>0</v>
      </c>
      <c r="AS67" s="39">
        <v>0</v>
      </c>
      <c r="AT67" s="39">
        <v>0</v>
      </c>
      <c r="AU67" s="39">
        <v>0</v>
      </c>
      <c r="AV67" s="39">
        <v>0</v>
      </c>
      <c r="AW67" s="45">
        <f t="shared" si="5"/>
        <v>6608.7400000000007</v>
      </c>
    </row>
    <row r="68" spans="1:49" outlineLevel="1">
      <c r="A68" s="13" t="s">
        <v>318</v>
      </c>
      <c r="B68" s="41" t="s">
        <v>64</v>
      </c>
      <c r="C68" s="41" t="s">
        <v>64</v>
      </c>
      <c r="D68" s="37"/>
      <c r="E68" s="40"/>
      <c r="F68" s="420"/>
      <c r="G68" s="420"/>
      <c r="H68" s="420"/>
      <c r="I68" s="420">
        <v>2124.3599999999997</v>
      </c>
      <c r="J68" s="420">
        <v>0</v>
      </c>
      <c r="K68" s="420">
        <v>0</v>
      </c>
      <c r="L68" s="420">
        <v>0</v>
      </c>
      <c r="M68" s="420">
        <v>0</v>
      </c>
      <c r="N68" s="39">
        <v>0</v>
      </c>
      <c r="O68" s="39">
        <v>0</v>
      </c>
      <c r="P68" s="39">
        <v>0</v>
      </c>
      <c r="Q68" s="39">
        <v>0</v>
      </c>
      <c r="R68" s="39">
        <f t="shared" ref="R68:R87" si="6">SUM(F68:Q68)</f>
        <v>2124.3599999999997</v>
      </c>
      <c r="S68" s="39"/>
      <c r="T68" s="40"/>
      <c r="U68" s="40"/>
      <c r="V68" s="39">
        <v>0</v>
      </c>
      <c r="W68" s="39">
        <v>0</v>
      </c>
      <c r="X68" s="39">
        <v>0</v>
      </c>
      <c r="Y68" s="39">
        <v>2000</v>
      </c>
      <c r="Z68" s="39">
        <v>0</v>
      </c>
      <c r="AA68" s="39">
        <v>0</v>
      </c>
      <c r="AB68" s="39">
        <v>0</v>
      </c>
      <c r="AC68" s="39">
        <v>2000</v>
      </c>
      <c r="AD68" s="39">
        <v>0</v>
      </c>
      <c r="AE68" s="39">
        <v>0</v>
      </c>
      <c r="AF68" s="39">
        <v>0</v>
      </c>
      <c r="AG68" s="39">
        <v>0</v>
      </c>
      <c r="AH68" s="45">
        <f t="shared" ref="AH68:AH87" si="7">SUM(V68:AG68)</f>
        <v>4000</v>
      </c>
      <c r="AI68" s="13"/>
      <c r="AJ68" s="13"/>
      <c r="AK68" s="39"/>
      <c r="AL68" s="39"/>
      <c r="AM68" s="39"/>
      <c r="AN68" s="39">
        <v>2124.3599999999997</v>
      </c>
      <c r="AO68" s="39"/>
      <c r="AP68" s="39">
        <v>0</v>
      </c>
      <c r="AQ68" s="39">
        <v>0</v>
      </c>
      <c r="AR68" s="39">
        <v>0</v>
      </c>
      <c r="AS68" s="39">
        <v>0</v>
      </c>
      <c r="AT68" s="39">
        <v>0</v>
      </c>
      <c r="AU68" s="39">
        <v>0</v>
      </c>
      <c r="AV68" s="39">
        <v>0</v>
      </c>
      <c r="AW68" s="45">
        <f t="shared" ref="AW68:AW87" si="8">SUM(AK68:AV68)</f>
        <v>2124.3599999999997</v>
      </c>
    </row>
    <row r="69" spans="1:49" outlineLevel="1">
      <c r="A69" s="37" t="s">
        <v>319</v>
      </c>
      <c r="B69" s="41" t="s">
        <v>320</v>
      </c>
      <c r="C69" s="41" t="s">
        <v>65</v>
      </c>
      <c r="D69" s="37"/>
      <c r="E69" s="40"/>
      <c r="F69" s="420">
        <v>0</v>
      </c>
      <c r="G69" s="420">
        <v>0</v>
      </c>
      <c r="H69" s="420">
        <v>0</v>
      </c>
      <c r="I69" s="420">
        <v>0</v>
      </c>
      <c r="J69" s="420">
        <v>0</v>
      </c>
      <c r="K69" s="420">
        <v>0</v>
      </c>
      <c r="L69" s="420">
        <v>1953.0400000000002</v>
      </c>
      <c r="M69" s="420">
        <v>0</v>
      </c>
      <c r="N69" s="39">
        <v>0</v>
      </c>
      <c r="O69" s="39">
        <v>0</v>
      </c>
      <c r="P69" s="39">
        <v>0</v>
      </c>
      <c r="Q69" s="39">
        <v>0</v>
      </c>
      <c r="R69" s="39">
        <f t="shared" si="6"/>
        <v>1953.0400000000002</v>
      </c>
      <c r="S69" s="39"/>
      <c r="T69" s="40"/>
      <c r="U69" s="40"/>
      <c r="V69" s="39">
        <v>0</v>
      </c>
      <c r="W69" s="39">
        <v>0</v>
      </c>
      <c r="X69" s="39">
        <v>0</v>
      </c>
      <c r="Y69" s="39">
        <v>0</v>
      </c>
      <c r="Z69" s="39">
        <v>0</v>
      </c>
      <c r="AA69" s="39">
        <v>0</v>
      </c>
      <c r="AB69" s="39">
        <v>0</v>
      </c>
      <c r="AC69" s="39">
        <v>0</v>
      </c>
      <c r="AD69" s="39">
        <v>0</v>
      </c>
      <c r="AE69" s="39">
        <v>0</v>
      </c>
      <c r="AF69" s="39">
        <v>0</v>
      </c>
      <c r="AG69" s="39">
        <v>0</v>
      </c>
      <c r="AH69" s="45">
        <f t="shared" si="7"/>
        <v>0</v>
      </c>
      <c r="AI69" s="13"/>
      <c r="AJ69" s="13"/>
      <c r="AK69" s="39">
        <v>0</v>
      </c>
      <c r="AL69" s="39">
        <v>0</v>
      </c>
      <c r="AM69" s="39">
        <v>0</v>
      </c>
      <c r="AN69" s="39">
        <v>0</v>
      </c>
      <c r="AO69" s="39">
        <v>0</v>
      </c>
      <c r="AP69" s="39">
        <v>0</v>
      </c>
      <c r="AQ69" s="39"/>
      <c r="AR69" s="39">
        <v>0</v>
      </c>
      <c r="AS69" s="39">
        <v>0</v>
      </c>
      <c r="AT69" s="39">
        <v>0</v>
      </c>
      <c r="AU69" s="39">
        <v>0</v>
      </c>
      <c r="AV69" s="39">
        <v>0</v>
      </c>
      <c r="AW69" s="45">
        <f t="shared" si="8"/>
        <v>0</v>
      </c>
    </row>
    <row r="70" spans="1:49" outlineLevel="1">
      <c r="A70" s="13" t="s">
        <v>321</v>
      </c>
      <c r="B70" s="41" t="s">
        <v>322</v>
      </c>
      <c r="C70" s="41" t="s">
        <v>66</v>
      </c>
      <c r="D70" s="37"/>
      <c r="E70" s="40"/>
      <c r="F70" s="420">
        <v>0</v>
      </c>
      <c r="G70" s="420">
        <v>0</v>
      </c>
      <c r="H70" s="420">
        <v>3798.119999999999</v>
      </c>
      <c r="I70" s="420">
        <v>0</v>
      </c>
      <c r="J70" s="420">
        <v>0</v>
      </c>
      <c r="K70" s="420">
        <v>0</v>
      </c>
      <c r="L70" s="420">
        <v>2391.8199999999997</v>
      </c>
      <c r="M70" s="420">
        <v>0</v>
      </c>
      <c r="N70" s="39">
        <v>0</v>
      </c>
      <c r="O70" s="39">
        <v>0</v>
      </c>
      <c r="P70" s="39">
        <v>0</v>
      </c>
      <c r="Q70" s="39">
        <v>0</v>
      </c>
      <c r="R70" s="39">
        <f t="shared" si="6"/>
        <v>6189.9399999999987</v>
      </c>
      <c r="S70" s="39"/>
      <c r="T70" s="40"/>
      <c r="U70" s="40"/>
      <c r="V70" s="39">
        <v>0</v>
      </c>
      <c r="W70" s="39">
        <v>0</v>
      </c>
      <c r="X70" s="39">
        <v>0</v>
      </c>
      <c r="Y70" s="39">
        <v>0</v>
      </c>
      <c r="Z70" s="39">
        <v>0</v>
      </c>
      <c r="AA70" s="39">
        <v>0</v>
      </c>
      <c r="AB70" s="39">
        <v>0</v>
      </c>
      <c r="AC70" s="39">
        <v>0</v>
      </c>
      <c r="AD70" s="39">
        <v>0</v>
      </c>
      <c r="AE70" s="39">
        <v>0</v>
      </c>
      <c r="AF70" s="39">
        <v>0</v>
      </c>
      <c r="AG70" s="39">
        <v>0</v>
      </c>
      <c r="AH70" s="45">
        <f t="shared" si="7"/>
        <v>0</v>
      </c>
      <c r="AI70" s="13"/>
      <c r="AJ70" s="13"/>
      <c r="AK70" s="39">
        <v>0</v>
      </c>
      <c r="AL70" s="39">
        <v>0</v>
      </c>
      <c r="AM70" s="39">
        <v>3798.119999999999</v>
      </c>
      <c r="AN70" s="39">
        <v>0</v>
      </c>
      <c r="AO70" s="39">
        <v>0</v>
      </c>
      <c r="AP70" s="39">
        <v>0</v>
      </c>
      <c r="AQ70" s="39">
        <v>2391.8199999999997</v>
      </c>
      <c r="AR70" s="39">
        <v>0</v>
      </c>
      <c r="AS70" s="39">
        <v>0</v>
      </c>
      <c r="AT70" s="39">
        <v>0</v>
      </c>
      <c r="AU70" s="39">
        <v>0</v>
      </c>
      <c r="AV70" s="39">
        <v>0</v>
      </c>
      <c r="AW70" s="45">
        <f t="shared" si="8"/>
        <v>6189.9399999999987</v>
      </c>
    </row>
    <row r="71" spans="1:49" outlineLevel="1">
      <c r="A71" s="37" t="s">
        <v>323</v>
      </c>
      <c r="B71" s="41" t="s">
        <v>324</v>
      </c>
      <c r="C71" s="41" t="s">
        <v>65</v>
      </c>
      <c r="D71" s="37"/>
      <c r="E71" s="40">
        <v>12104.829999999998</v>
      </c>
      <c r="F71" s="420">
        <v>0</v>
      </c>
      <c r="G71" s="420">
        <v>0</v>
      </c>
      <c r="H71" s="420">
        <v>0</v>
      </c>
      <c r="I71" s="420">
        <v>0</v>
      </c>
      <c r="J71" s="420">
        <v>0</v>
      </c>
      <c r="K71" s="420">
        <v>0</v>
      </c>
      <c r="L71" s="420">
        <v>0</v>
      </c>
      <c r="M71" s="420">
        <v>0</v>
      </c>
      <c r="N71" s="39">
        <v>0</v>
      </c>
      <c r="O71" s="39">
        <v>0</v>
      </c>
      <c r="P71" s="39">
        <v>0</v>
      </c>
      <c r="Q71" s="39">
        <v>0</v>
      </c>
      <c r="R71" s="39">
        <f t="shared" si="6"/>
        <v>0</v>
      </c>
      <c r="S71" s="39"/>
      <c r="T71" s="40">
        <v>13920.554499999997</v>
      </c>
      <c r="U71" s="40"/>
      <c r="V71" s="39">
        <v>0</v>
      </c>
      <c r="W71" s="39">
        <v>0</v>
      </c>
      <c r="X71" s="39">
        <v>0</v>
      </c>
      <c r="Y71" s="39">
        <v>0</v>
      </c>
      <c r="Z71" s="39">
        <v>0</v>
      </c>
      <c r="AA71" s="39">
        <v>0</v>
      </c>
      <c r="AB71" s="39">
        <v>0</v>
      </c>
      <c r="AC71" s="39">
        <v>0</v>
      </c>
      <c r="AD71" s="39">
        <v>0</v>
      </c>
      <c r="AE71" s="39">
        <v>0</v>
      </c>
      <c r="AF71" s="39">
        <v>0</v>
      </c>
      <c r="AG71" s="39">
        <v>0</v>
      </c>
      <c r="AH71" s="45">
        <f t="shared" si="7"/>
        <v>0</v>
      </c>
      <c r="AI71" s="13"/>
      <c r="AJ71" s="13"/>
      <c r="AK71" s="39">
        <v>0</v>
      </c>
      <c r="AL71" s="39">
        <v>0</v>
      </c>
      <c r="AM71" s="39">
        <v>0</v>
      </c>
      <c r="AN71" s="39">
        <v>0</v>
      </c>
      <c r="AO71" s="39">
        <v>0</v>
      </c>
      <c r="AP71" s="39">
        <v>0</v>
      </c>
      <c r="AQ71" s="39">
        <v>0</v>
      </c>
      <c r="AR71" s="39">
        <v>0</v>
      </c>
      <c r="AS71" s="39">
        <v>2049.5585586438392</v>
      </c>
      <c r="AT71" s="39">
        <v>2364.3609732155919</v>
      </c>
      <c r="AU71" s="39">
        <v>2132.3713839229563</v>
      </c>
      <c r="AV71" s="39">
        <v>1707.3707511271807</v>
      </c>
      <c r="AW71" s="45">
        <f t="shared" si="8"/>
        <v>8253.6616669095674</v>
      </c>
    </row>
    <row r="72" spans="1:49" outlineLevel="1">
      <c r="A72" s="37" t="s">
        <v>325</v>
      </c>
      <c r="B72" s="41" t="s">
        <v>227</v>
      </c>
      <c r="C72" s="41" t="s">
        <v>67</v>
      </c>
      <c r="D72" s="37"/>
      <c r="E72" s="40">
        <v>11790.460000000001</v>
      </c>
      <c r="F72" s="420">
        <v>0</v>
      </c>
      <c r="G72" s="420">
        <v>0</v>
      </c>
      <c r="H72" s="420">
        <v>0</v>
      </c>
      <c r="I72" s="420">
        <v>0</v>
      </c>
      <c r="J72" s="420">
        <v>0</v>
      </c>
      <c r="K72" s="420">
        <v>1436.76</v>
      </c>
      <c r="L72" s="420">
        <v>0</v>
      </c>
      <c r="M72" s="420">
        <v>0</v>
      </c>
      <c r="N72" s="39">
        <v>0</v>
      </c>
      <c r="O72" s="39">
        <v>0</v>
      </c>
      <c r="P72" s="39">
        <v>0</v>
      </c>
      <c r="Q72" s="39">
        <v>0</v>
      </c>
      <c r="R72" s="39">
        <f t="shared" si="6"/>
        <v>1436.76</v>
      </c>
      <c r="S72" s="39"/>
      <c r="T72" s="40">
        <v>13559.028999999999</v>
      </c>
      <c r="U72" s="40"/>
      <c r="V72" s="39">
        <v>0</v>
      </c>
      <c r="W72" s="39">
        <v>0</v>
      </c>
      <c r="X72" s="39">
        <v>0</v>
      </c>
      <c r="Y72" s="39">
        <v>0</v>
      </c>
      <c r="Z72" s="39">
        <v>0</v>
      </c>
      <c r="AA72" s="39">
        <v>0</v>
      </c>
      <c r="AB72" s="39">
        <v>0</v>
      </c>
      <c r="AC72" s="39">
        <v>0</v>
      </c>
      <c r="AD72" s="39">
        <v>0</v>
      </c>
      <c r="AE72" s="39">
        <v>0</v>
      </c>
      <c r="AF72" s="39">
        <v>0</v>
      </c>
      <c r="AG72" s="39">
        <v>0</v>
      </c>
      <c r="AH72" s="45">
        <f t="shared" si="7"/>
        <v>0</v>
      </c>
      <c r="AI72" s="13"/>
      <c r="AJ72" s="13"/>
      <c r="AK72" s="39">
        <v>0</v>
      </c>
      <c r="AL72" s="39">
        <v>0</v>
      </c>
      <c r="AM72" s="39">
        <v>0</v>
      </c>
      <c r="AN72" s="39">
        <v>0</v>
      </c>
      <c r="AO72" s="39">
        <v>0</v>
      </c>
      <c r="AP72" s="39">
        <v>1436.76</v>
      </c>
      <c r="AQ72" s="39">
        <v>0</v>
      </c>
      <c r="AR72" s="39">
        <v>0</v>
      </c>
      <c r="AS72" s="39">
        <v>1996.3302420065249</v>
      </c>
      <c r="AT72" s="39">
        <v>2302.9570411364316</v>
      </c>
      <c r="AU72" s="39">
        <v>2076.9923664593607</v>
      </c>
      <c r="AV72" s="39">
        <v>1663.0292657009625</v>
      </c>
      <c r="AW72" s="45">
        <f t="shared" si="8"/>
        <v>9476.0689153032799</v>
      </c>
    </row>
    <row r="73" spans="1:49" outlineLevel="1">
      <c r="A73" s="37" t="s">
        <v>326</v>
      </c>
      <c r="B73" s="41" t="s">
        <v>327</v>
      </c>
      <c r="C73" s="41" t="s">
        <v>66</v>
      </c>
      <c r="D73" s="37"/>
      <c r="E73" s="40"/>
      <c r="F73" s="420">
        <v>0</v>
      </c>
      <c r="G73" s="420">
        <v>0</v>
      </c>
      <c r="H73" s="420">
        <v>0</v>
      </c>
      <c r="I73" s="420">
        <v>0</v>
      </c>
      <c r="J73" s="420">
        <v>0</v>
      </c>
      <c r="K73" s="420">
        <v>0</v>
      </c>
      <c r="L73" s="420">
        <v>48349.8</v>
      </c>
      <c r="M73" s="420">
        <v>0</v>
      </c>
      <c r="N73" s="39">
        <v>14919.6</v>
      </c>
      <c r="O73" s="39">
        <v>15000</v>
      </c>
      <c r="P73" s="39">
        <v>0</v>
      </c>
      <c r="Q73" s="39">
        <v>10000</v>
      </c>
      <c r="R73" s="39">
        <f t="shared" si="6"/>
        <v>88269.4</v>
      </c>
      <c r="S73" s="39"/>
      <c r="T73" s="40"/>
      <c r="U73" s="40"/>
      <c r="V73" s="39">
        <v>0</v>
      </c>
      <c r="W73" s="39">
        <v>15000</v>
      </c>
      <c r="X73" s="39">
        <v>0</v>
      </c>
      <c r="Y73" s="39">
        <v>0</v>
      </c>
      <c r="Z73" s="39">
        <v>15000</v>
      </c>
      <c r="AA73" s="39">
        <v>0</v>
      </c>
      <c r="AB73" s="39">
        <v>0</v>
      </c>
      <c r="AC73" s="39">
        <v>15000</v>
      </c>
      <c r="AD73" s="39">
        <v>0</v>
      </c>
      <c r="AE73" s="39">
        <v>15000</v>
      </c>
      <c r="AF73" s="39">
        <v>0</v>
      </c>
      <c r="AG73" s="39">
        <v>0</v>
      </c>
      <c r="AH73" s="45">
        <f t="shared" si="7"/>
        <v>60000</v>
      </c>
      <c r="AI73" s="13"/>
      <c r="AJ73" s="13"/>
      <c r="AK73" s="39">
        <v>0</v>
      </c>
      <c r="AL73" s="39">
        <v>0</v>
      </c>
      <c r="AM73" s="39">
        <v>0</v>
      </c>
      <c r="AN73" s="39">
        <v>0</v>
      </c>
      <c r="AO73" s="39">
        <v>0</v>
      </c>
      <c r="AP73" s="39">
        <v>0</v>
      </c>
      <c r="AQ73" s="39">
        <v>48349.8</v>
      </c>
      <c r="AR73" s="39">
        <v>0</v>
      </c>
      <c r="AS73" s="39">
        <v>0</v>
      </c>
      <c r="AT73" s="39">
        <v>0</v>
      </c>
      <c r="AU73" s="39">
        <v>0</v>
      </c>
      <c r="AV73" s="39">
        <v>0</v>
      </c>
      <c r="AW73" s="45">
        <f t="shared" si="8"/>
        <v>48349.8</v>
      </c>
    </row>
    <row r="74" spans="1:49" outlineLevel="1">
      <c r="A74" s="13" t="s">
        <v>328</v>
      </c>
      <c r="B74" s="41" t="s">
        <v>329</v>
      </c>
      <c r="C74" s="41" t="s">
        <v>67</v>
      </c>
      <c r="D74" s="37"/>
      <c r="E74" s="40"/>
      <c r="F74" s="420"/>
      <c r="G74" s="420"/>
      <c r="H74" s="420"/>
      <c r="I74" s="420">
        <v>4540.8600000000006</v>
      </c>
      <c r="J74" s="420">
        <v>0</v>
      </c>
      <c r="K74" s="420">
        <v>0</v>
      </c>
      <c r="L74" s="420">
        <v>0</v>
      </c>
      <c r="M74" s="420">
        <v>0</v>
      </c>
      <c r="N74" s="39">
        <v>0</v>
      </c>
      <c r="O74" s="39">
        <v>0</v>
      </c>
      <c r="P74" s="39">
        <v>0</v>
      </c>
      <c r="Q74" s="39">
        <v>0</v>
      </c>
      <c r="R74" s="39">
        <f t="shared" si="6"/>
        <v>4540.8600000000006</v>
      </c>
      <c r="S74" s="39"/>
      <c r="T74" s="40"/>
      <c r="U74" s="40"/>
      <c r="V74" s="39">
        <v>0</v>
      </c>
      <c r="W74" s="39">
        <v>0</v>
      </c>
      <c r="X74" s="39">
        <v>0</v>
      </c>
      <c r="Y74" s="39">
        <v>0</v>
      </c>
      <c r="Z74" s="39">
        <v>0</v>
      </c>
      <c r="AA74" s="39">
        <v>0</v>
      </c>
      <c r="AB74" s="39">
        <v>0</v>
      </c>
      <c r="AC74" s="39">
        <v>0</v>
      </c>
      <c r="AD74" s="39">
        <v>0</v>
      </c>
      <c r="AE74" s="39">
        <v>0</v>
      </c>
      <c r="AF74" s="39">
        <v>0</v>
      </c>
      <c r="AG74" s="39">
        <v>0</v>
      </c>
      <c r="AH74" s="45">
        <f t="shared" si="7"/>
        <v>0</v>
      </c>
      <c r="AI74" s="13"/>
      <c r="AJ74" s="13"/>
      <c r="AK74" s="39"/>
      <c r="AL74" s="39"/>
      <c r="AM74" s="39"/>
      <c r="AN74" s="39">
        <v>4540.8600000000006</v>
      </c>
      <c r="AO74" s="39"/>
      <c r="AP74" s="39">
        <v>0</v>
      </c>
      <c r="AQ74" s="39">
        <v>0</v>
      </c>
      <c r="AR74" s="39">
        <v>0</v>
      </c>
      <c r="AS74" s="39">
        <v>0</v>
      </c>
      <c r="AT74" s="39">
        <v>0</v>
      </c>
      <c r="AU74" s="39">
        <v>0</v>
      </c>
      <c r="AV74" s="39">
        <v>0</v>
      </c>
      <c r="AW74" s="45">
        <f t="shared" si="8"/>
        <v>4540.8600000000006</v>
      </c>
    </row>
    <row r="75" spans="1:49" outlineLevel="1">
      <c r="A75" s="37" t="s">
        <v>330</v>
      </c>
      <c r="B75" s="41" t="s">
        <v>64</v>
      </c>
      <c r="C75" s="41" t="s">
        <v>64</v>
      </c>
      <c r="D75" s="37"/>
      <c r="E75" s="40">
        <v>243905.6399999999</v>
      </c>
      <c r="F75" s="420">
        <v>17897.899999999998</v>
      </c>
      <c r="G75" s="420">
        <v>47354.539999999994</v>
      </c>
      <c r="H75" s="420">
        <v>29937.739999999998</v>
      </c>
      <c r="I75" s="420">
        <v>9342</v>
      </c>
      <c r="J75" s="420">
        <v>950.78</v>
      </c>
      <c r="K75" s="420">
        <v>0</v>
      </c>
      <c r="L75" s="420">
        <v>6655.49</v>
      </c>
      <c r="M75" s="420">
        <v>39924.86</v>
      </c>
      <c r="N75" s="39">
        <v>7281.5</v>
      </c>
      <c r="O75" s="39">
        <v>11422</v>
      </c>
      <c r="P75" s="39">
        <v>14708.0680488003</v>
      </c>
      <c r="Q75" s="39">
        <v>8921.1912185320507</v>
      </c>
      <c r="R75" s="39">
        <f t="shared" si="6"/>
        <v>194396.06926733235</v>
      </c>
      <c r="S75" s="39"/>
      <c r="T75" s="39">
        <v>250004.89409037496</v>
      </c>
      <c r="U75" s="40"/>
      <c r="V75" s="39">
        <v>15000</v>
      </c>
      <c r="W75" s="39">
        <v>34500</v>
      </c>
      <c r="X75" s="39">
        <v>0</v>
      </c>
      <c r="Y75" s="39">
        <v>10000</v>
      </c>
      <c r="Z75" s="39">
        <v>9758</v>
      </c>
      <c r="AA75" s="39">
        <v>7280</v>
      </c>
      <c r="AB75" s="39">
        <v>6937</v>
      </c>
      <c r="AC75" s="39">
        <v>15903</v>
      </c>
      <c r="AD75" s="39">
        <v>8472</v>
      </c>
      <c r="AE75" s="39">
        <v>32854</v>
      </c>
      <c r="AF75" s="39">
        <v>27375</v>
      </c>
      <c r="AG75" s="39">
        <v>22132</v>
      </c>
      <c r="AH75" s="45">
        <f t="shared" si="7"/>
        <v>190211</v>
      </c>
      <c r="AI75" s="13"/>
      <c r="AJ75" s="13"/>
      <c r="AK75" s="39">
        <v>17897.899999999998</v>
      </c>
      <c r="AL75" s="39">
        <v>47354.539999999994</v>
      </c>
      <c r="AM75" s="39">
        <v>29937.739999999998</v>
      </c>
      <c r="AN75" s="39">
        <v>9342</v>
      </c>
      <c r="AO75" s="39"/>
      <c r="AP75" s="39">
        <v>0</v>
      </c>
      <c r="AQ75" s="39">
        <v>6655.49</v>
      </c>
      <c r="AR75" s="39">
        <v>39924.86</v>
      </c>
      <c r="AS75" s="39">
        <v>21418.316792845882</v>
      </c>
      <c r="AT75" s="39">
        <v>24708.068048800254</v>
      </c>
      <c r="AU75" s="39">
        <v>22283.728185390995</v>
      </c>
      <c r="AV75" s="39">
        <v>17842.382437064069</v>
      </c>
      <c r="AW75" s="45">
        <f t="shared" si="8"/>
        <v>237365.0254641012</v>
      </c>
    </row>
    <row r="76" spans="1:49" outlineLevel="1">
      <c r="A76" s="13" t="s">
        <v>331</v>
      </c>
      <c r="B76" s="41" t="s">
        <v>64</v>
      </c>
      <c r="C76" s="41" t="s">
        <v>64</v>
      </c>
      <c r="D76" s="37"/>
      <c r="E76" s="40"/>
      <c r="F76" s="420"/>
      <c r="G76" s="420"/>
      <c r="H76" s="420"/>
      <c r="I76" s="420">
        <v>541.66999999999996</v>
      </c>
      <c r="J76" s="420">
        <v>0</v>
      </c>
      <c r="K76" s="420">
        <v>0</v>
      </c>
      <c r="L76" s="420">
        <v>0</v>
      </c>
      <c r="M76" s="420">
        <v>0</v>
      </c>
      <c r="N76" s="39">
        <v>0</v>
      </c>
      <c r="O76" s="39">
        <v>0</v>
      </c>
      <c r="P76" s="39">
        <v>0</v>
      </c>
      <c r="Q76" s="39">
        <v>0</v>
      </c>
      <c r="R76" s="39">
        <f t="shared" si="6"/>
        <v>541.66999999999996</v>
      </c>
      <c r="S76" s="39"/>
      <c r="T76" s="40"/>
      <c r="U76" s="40"/>
      <c r="V76" s="39">
        <v>0</v>
      </c>
      <c r="W76" s="39">
        <v>0</v>
      </c>
      <c r="X76" s="39">
        <v>0</v>
      </c>
      <c r="Y76" s="39">
        <v>0</v>
      </c>
      <c r="Z76" s="39">
        <v>0</v>
      </c>
      <c r="AA76" s="39">
        <v>0</v>
      </c>
      <c r="AB76" s="39">
        <v>0</v>
      </c>
      <c r="AC76" s="39">
        <v>0</v>
      </c>
      <c r="AD76" s="39">
        <v>0</v>
      </c>
      <c r="AE76" s="39">
        <v>0</v>
      </c>
      <c r="AF76" s="39">
        <v>0</v>
      </c>
      <c r="AG76" s="39">
        <v>0</v>
      </c>
      <c r="AH76" s="45">
        <f t="shared" si="7"/>
        <v>0</v>
      </c>
      <c r="AI76" s="13"/>
      <c r="AJ76" s="13"/>
      <c r="AK76" s="39"/>
      <c r="AL76" s="39"/>
      <c r="AM76" s="39"/>
      <c r="AN76" s="39">
        <v>541.66999999999996</v>
      </c>
      <c r="AO76" s="39"/>
      <c r="AP76" s="39">
        <v>0</v>
      </c>
      <c r="AQ76" s="39">
        <v>0</v>
      </c>
      <c r="AR76" s="39">
        <v>0</v>
      </c>
      <c r="AS76" s="39">
        <v>0</v>
      </c>
      <c r="AT76" s="39">
        <v>0</v>
      </c>
      <c r="AU76" s="39">
        <v>0</v>
      </c>
      <c r="AV76" s="39">
        <v>0</v>
      </c>
      <c r="AW76" s="45">
        <f t="shared" si="8"/>
        <v>541.66999999999996</v>
      </c>
    </row>
    <row r="77" spans="1:49" outlineLevel="1">
      <c r="A77" s="37" t="s">
        <v>332</v>
      </c>
      <c r="B77" s="41" t="s">
        <v>64</v>
      </c>
      <c r="C77" s="41" t="s">
        <v>64</v>
      </c>
      <c r="D77" s="37"/>
      <c r="E77" s="40">
        <v>292065.56000000011</v>
      </c>
      <c r="F77" s="420">
        <v>16407.3</v>
      </c>
      <c r="G77" s="420">
        <v>7910.8199999999979</v>
      </c>
      <c r="H77" s="420">
        <v>12654.309999999998</v>
      </c>
      <c r="I77" s="420">
        <v>14807.339999999998</v>
      </c>
      <c r="J77" s="420">
        <v>16946.310000000001</v>
      </c>
      <c r="K77" s="420">
        <v>9207.36</v>
      </c>
      <c r="L77" s="420">
        <v>11036.189999999999</v>
      </c>
      <c r="M77" s="420">
        <v>11680.660000000003</v>
      </c>
      <c r="N77" s="39">
        <v>39946.18</v>
      </c>
      <c r="O77" s="39">
        <v>15320.40857142857</v>
      </c>
      <c r="P77" s="39">
        <v>13378.921224489801</v>
      </c>
      <c r="Q77" s="39">
        <v>13911.008542274099</v>
      </c>
      <c r="R77" s="39">
        <f t="shared" si="6"/>
        <v>183206.80833819247</v>
      </c>
      <c r="S77" s="39"/>
      <c r="T77" s="39">
        <v>299997.40592977416</v>
      </c>
      <c r="U77" s="40"/>
      <c r="V77" s="39">
        <v>16407.3</v>
      </c>
      <c r="W77" s="39">
        <v>7910.8199999999979</v>
      </c>
      <c r="X77" s="39">
        <v>12654.309999999998</v>
      </c>
      <c r="Y77" s="39">
        <v>14807.339999999998</v>
      </c>
      <c r="Z77" s="39">
        <v>41946.31</v>
      </c>
      <c r="AA77" s="39">
        <v>8746.9920000000002</v>
      </c>
      <c r="AB77" s="39">
        <v>10484.380499999999</v>
      </c>
      <c r="AC77" s="39">
        <v>11096.627000000008</v>
      </c>
      <c r="AD77" s="39">
        <v>47948.870999999999</v>
      </c>
      <c r="AE77" s="39">
        <v>24554.38814285714</v>
      </c>
      <c r="AF77" s="39">
        <v>12709.975163265311</v>
      </c>
      <c r="AG77" s="39">
        <v>13215.458115160394</v>
      </c>
      <c r="AH77" s="45">
        <f t="shared" si="7"/>
        <v>222482.77192128284</v>
      </c>
      <c r="AI77" s="13"/>
      <c r="AJ77" s="13"/>
      <c r="AK77" s="39">
        <v>16407.3</v>
      </c>
      <c r="AL77" s="39">
        <v>7910.8199999999979</v>
      </c>
      <c r="AM77" s="39">
        <v>12654.309999999998</v>
      </c>
      <c r="AN77" s="39">
        <v>14807.339999999998</v>
      </c>
      <c r="AO77" s="39"/>
      <c r="AP77" s="39">
        <v>9207.36</v>
      </c>
      <c r="AQ77" s="39">
        <v>11036.189999999999</v>
      </c>
      <c r="AR77" s="39">
        <v>11680.660000000003</v>
      </c>
      <c r="AS77" s="39">
        <v>35226.264382898909</v>
      </c>
      <c r="AT77" s="39">
        <v>40636.85050024173</v>
      </c>
      <c r="AU77" s="39">
        <v>36649.588671572681</v>
      </c>
      <c r="AV77" s="39">
        <v>29344.998817028827</v>
      </c>
      <c r="AW77" s="45">
        <f t="shared" si="8"/>
        <v>225561.68237174215</v>
      </c>
    </row>
    <row r="78" spans="1:49" outlineLevel="1">
      <c r="A78" s="37" t="s">
        <v>333</v>
      </c>
      <c r="B78" s="41" t="s">
        <v>265</v>
      </c>
      <c r="C78" s="41" t="s">
        <v>65</v>
      </c>
      <c r="D78" s="37"/>
      <c r="E78" s="40">
        <v>0</v>
      </c>
      <c r="F78" s="420">
        <v>0</v>
      </c>
      <c r="G78" s="420">
        <v>0</v>
      </c>
      <c r="H78" s="420">
        <v>6544.08</v>
      </c>
      <c r="I78" s="420">
        <v>0</v>
      </c>
      <c r="J78" s="420">
        <v>16582.239999999998</v>
      </c>
      <c r="K78" s="420">
        <v>0</v>
      </c>
      <c r="L78" s="420">
        <v>0</v>
      </c>
      <c r="M78" s="420">
        <v>0</v>
      </c>
      <c r="N78" s="39">
        <v>0</v>
      </c>
      <c r="O78" s="39">
        <v>5716</v>
      </c>
      <c r="P78" s="39">
        <v>0</v>
      </c>
      <c r="Q78" s="39">
        <v>10000</v>
      </c>
      <c r="R78" s="39">
        <f t="shared" si="6"/>
        <v>38842.32</v>
      </c>
      <c r="S78" s="39"/>
      <c r="T78" s="40">
        <v>40765.9015</v>
      </c>
      <c r="U78" s="40"/>
      <c r="V78" s="39">
        <v>0</v>
      </c>
      <c r="W78" s="39">
        <v>0</v>
      </c>
      <c r="X78" s="39">
        <v>0</v>
      </c>
      <c r="Y78" s="39">
        <v>0</v>
      </c>
      <c r="Z78" s="39">
        <v>0</v>
      </c>
      <c r="AA78" s="39">
        <v>0</v>
      </c>
      <c r="AB78" s="39">
        <v>0</v>
      </c>
      <c r="AC78" s="39">
        <v>0</v>
      </c>
      <c r="AD78" s="39">
        <v>0</v>
      </c>
      <c r="AE78" s="39">
        <v>0</v>
      </c>
      <c r="AF78" s="39">
        <v>0</v>
      </c>
      <c r="AG78" s="39">
        <v>0</v>
      </c>
      <c r="AH78" s="45">
        <f t="shared" si="7"/>
        <v>0</v>
      </c>
      <c r="AI78" s="13"/>
      <c r="AJ78" s="13"/>
      <c r="AK78" s="39">
        <v>0</v>
      </c>
      <c r="AL78" s="39">
        <v>0</v>
      </c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45">
        <f t="shared" si="8"/>
        <v>0</v>
      </c>
    </row>
    <row r="79" spans="1:49" outlineLevel="1">
      <c r="A79" s="37" t="s">
        <v>334</v>
      </c>
      <c r="B79" s="41" t="s">
        <v>335</v>
      </c>
      <c r="C79" s="41" t="s">
        <v>66</v>
      </c>
      <c r="D79" s="37"/>
      <c r="E79" s="40"/>
      <c r="F79" s="420">
        <v>0</v>
      </c>
      <c r="G79" s="420">
        <v>0</v>
      </c>
      <c r="H79" s="420">
        <v>0</v>
      </c>
      <c r="I79" s="420">
        <v>0</v>
      </c>
      <c r="J79" s="420">
        <v>0</v>
      </c>
      <c r="K79" s="420">
        <v>8590.16</v>
      </c>
      <c r="L79" s="420">
        <v>0</v>
      </c>
      <c r="M79" s="420">
        <v>0</v>
      </c>
      <c r="N79" s="39">
        <v>8658.4800000000014</v>
      </c>
      <c r="O79" s="39">
        <v>0</v>
      </c>
      <c r="P79" s="39">
        <v>0</v>
      </c>
      <c r="Q79" s="39">
        <v>0</v>
      </c>
      <c r="R79" s="39">
        <f t="shared" si="6"/>
        <v>17248.64</v>
      </c>
      <c r="S79" s="39"/>
      <c r="T79" s="40"/>
      <c r="U79" s="40"/>
      <c r="V79" s="39">
        <v>0</v>
      </c>
      <c r="W79" s="39">
        <v>0</v>
      </c>
      <c r="X79" s="39">
        <v>0</v>
      </c>
      <c r="Y79" s="39">
        <v>0</v>
      </c>
      <c r="Z79" s="39">
        <v>0</v>
      </c>
      <c r="AA79" s="39">
        <v>0</v>
      </c>
      <c r="AB79" s="39">
        <v>0</v>
      </c>
      <c r="AC79" s="39">
        <v>0</v>
      </c>
      <c r="AD79" s="39">
        <v>0</v>
      </c>
      <c r="AE79" s="39">
        <v>0</v>
      </c>
      <c r="AF79" s="39">
        <v>0</v>
      </c>
      <c r="AG79" s="39">
        <v>0</v>
      </c>
      <c r="AH79" s="45">
        <f t="shared" si="7"/>
        <v>0</v>
      </c>
      <c r="AI79" s="13"/>
      <c r="AJ79" s="13"/>
      <c r="AK79" s="39">
        <v>0</v>
      </c>
      <c r="AL79" s="39">
        <v>0</v>
      </c>
      <c r="AM79" s="39">
        <v>0</v>
      </c>
      <c r="AN79" s="39">
        <v>0</v>
      </c>
      <c r="AO79" s="39">
        <v>0</v>
      </c>
      <c r="AP79" s="39">
        <v>8590.16</v>
      </c>
      <c r="AQ79" s="39">
        <v>0</v>
      </c>
      <c r="AR79" s="39">
        <v>0</v>
      </c>
      <c r="AS79" s="39">
        <v>0</v>
      </c>
      <c r="AT79" s="39">
        <v>0</v>
      </c>
      <c r="AU79" s="39">
        <v>0</v>
      </c>
      <c r="AV79" s="39">
        <v>0</v>
      </c>
      <c r="AW79" s="45">
        <f t="shared" si="8"/>
        <v>8590.16</v>
      </c>
    </row>
    <row r="80" spans="1:49" outlineLevel="1">
      <c r="A80" s="13" t="s">
        <v>336</v>
      </c>
      <c r="B80" s="41" t="s">
        <v>64</v>
      </c>
      <c r="C80" s="41" t="s">
        <v>64</v>
      </c>
      <c r="D80" s="37"/>
      <c r="E80" s="40">
        <v>1018.92</v>
      </c>
      <c r="F80" s="420">
        <v>1154.8799999999999</v>
      </c>
      <c r="G80" s="420">
        <v>0</v>
      </c>
      <c r="H80" s="420">
        <v>0</v>
      </c>
      <c r="I80" s="420">
        <v>0</v>
      </c>
      <c r="J80" s="420">
        <v>0</v>
      </c>
      <c r="K80" s="420">
        <v>0</v>
      </c>
      <c r="L80" s="420">
        <v>0</v>
      </c>
      <c r="M80" s="420">
        <v>0</v>
      </c>
      <c r="N80" s="39">
        <v>650.33999999999992</v>
      </c>
      <c r="O80" s="39">
        <v>0</v>
      </c>
      <c r="P80" s="39">
        <v>0</v>
      </c>
      <c r="Q80" s="39">
        <v>0</v>
      </c>
      <c r="R80" s="39">
        <f t="shared" si="6"/>
        <v>1805.2199999999998</v>
      </c>
      <c r="S80" s="39"/>
      <c r="T80" s="39"/>
      <c r="U80" s="40"/>
      <c r="V80" s="39">
        <v>0</v>
      </c>
      <c r="W80" s="39">
        <v>0</v>
      </c>
      <c r="X80" s="39">
        <v>0</v>
      </c>
      <c r="Y80" s="39">
        <v>0</v>
      </c>
      <c r="Z80" s="39">
        <v>0</v>
      </c>
      <c r="AA80" s="39">
        <v>0</v>
      </c>
      <c r="AB80" s="39">
        <v>0</v>
      </c>
      <c r="AC80" s="39">
        <v>0</v>
      </c>
      <c r="AD80" s="39">
        <v>0</v>
      </c>
      <c r="AE80" s="39">
        <v>0</v>
      </c>
      <c r="AF80" s="39">
        <v>0</v>
      </c>
      <c r="AG80" s="39">
        <v>0</v>
      </c>
      <c r="AH80" s="45">
        <f t="shared" si="7"/>
        <v>0</v>
      </c>
      <c r="AI80" s="13"/>
      <c r="AJ80" s="13"/>
      <c r="AK80" s="39">
        <v>1154.8799999999999</v>
      </c>
      <c r="AL80" s="39">
        <v>0</v>
      </c>
      <c r="AM80" s="39">
        <v>0</v>
      </c>
      <c r="AN80" s="39">
        <v>0</v>
      </c>
      <c r="AO80" s="39">
        <v>0</v>
      </c>
      <c r="AP80" s="39">
        <v>0</v>
      </c>
      <c r="AQ80" s="39">
        <v>0</v>
      </c>
      <c r="AR80" s="39">
        <v>0</v>
      </c>
      <c r="AS80" s="39">
        <v>0</v>
      </c>
      <c r="AT80" s="39">
        <v>0</v>
      </c>
      <c r="AU80" s="39">
        <v>0</v>
      </c>
      <c r="AV80" s="39">
        <v>0</v>
      </c>
      <c r="AW80" s="45">
        <f t="shared" si="8"/>
        <v>1154.8799999999999</v>
      </c>
    </row>
    <row r="81" spans="1:49" s="479" customFormat="1" outlineLevel="1">
      <c r="A81" s="401" t="s">
        <v>337</v>
      </c>
      <c r="B81" s="402" t="s">
        <v>338</v>
      </c>
      <c r="C81" s="402" t="s">
        <v>67</v>
      </c>
      <c r="D81" s="37"/>
      <c r="E81" s="481">
        <v>12135.869999999999</v>
      </c>
      <c r="F81" s="421">
        <v>0</v>
      </c>
      <c r="G81" s="421">
        <v>0</v>
      </c>
      <c r="H81" s="421">
        <v>0</v>
      </c>
      <c r="I81" s="421">
        <v>0</v>
      </c>
      <c r="J81" s="420">
        <v>0</v>
      </c>
      <c r="K81" s="421">
        <v>0</v>
      </c>
      <c r="L81" s="421">
        <v>0</v>
      </c>
      <c r="M81" s="421">
        <v>0</v>
      </c>
      <c r="N81" s="39">
        <v>0</v>
      </c>
      <c r="O81" s="39">
        <v>0</v>
      </c>
      <c r="P81" s="39">
        <v>0</v>
      </c>
      <c r="Q81" s="39">
        <v>0</v>
      </c>
      <c r="R81" s="404">
        <f t="shared" si="6"/>
        <v>0</v>
      </c>
      <c r="S81" s="39"/>
      <c r="T81" s="481">
        <v>13956.250499999998</v>
      </c>
      <c r="U81" s="40"/>
      <c r="V81" s="39">
        <v>0</v>
      </c>
      <c r="W81" s="39">
        <v>0</v>
      </c>
      <c r="X81" s="39">
        <v>2000</v>
      </c>
      <c r="Y81" s="39">
        <v>2000</v>
      </c>
      <c r="Z81" s="39">
        <v>2000</v>
      </c>
      <c r="AA81" s="39">
        <v>2000</v>
      </c>
      <c r="AB81" s="39">
        <v>2000</v>
      </c>
      <c r="AC81" s="39">
        <v>2000</v>
      </c>
      <c r="AD81" s="39">
        <v>2000</v>
      </c>
      <c r="AE81" s="39">
        <v>2000</v>
      </c>
      <c r="AF81" s="39">
        <v>2000</v>
      </c>
      <c r="AG81" s="39">
        <v>2000</v>
      </c>
      <c r="AH81" s="405">
        <f t="shared" si="7"/>
        <v>20000</v>
      </c>
      <c r="AI81" s="181"/>
      <c r="AJ81" s="181"/>
      <c r="AK81" s="404">
        <v>0</v>
      </c>
      <c r="AL81" s="404">
        <v>0</v>
      </c>
      <c r="AM81" s="404">
        <v>0</v>
      </c>
      <c r="AN81" s="404">
        <v>0</v>
      </c>
      <c r="AO81" s="404">
        <v>0</v>
      </c>
      <c r="AP81" s="404">
        <v>0</v>
      </c>
      <c r="AQ81" s="404">
        <v>0</v>
      </c>
      <c r="AR81" s="404">
        <v>0</v>
      </c>
      <c r="AS81" s="404">
        <v>1027.40708564635</v>
      </c>
      <c r="AT81" s="404">
        <v>1185.2119114443537</v>
      </c>
      <c r="AU81" s="404">
        <v>1068.9196753283231</v>
      </c>
      <c r="AV81" s="404">
        <v>855.87445166441091</v>
      </c>
      <c r="AW81" s="405">
        <f t="shared" si="8"/>
        <v>4137.4131240834377</v>
      </c>
    </row>
    <row r="82" spans="1:49" outlineLevel="1">
      <c r="A82" s="13" t="s">
        <v>339</v>
      </c>
      <c r="B82" s="41" t="s">
        <v>64</v>
      </c>
      <c r="C82" s="41" t="s">
        <v>64</v>
      </c>
      <c r="D82" s="37"/>
      <c r="E82" s="40">
        <v>1217.76</v>
      </c>
      <c r="F82" s="420">
        <v>330.12</v>
      </c>
      <c r="G82" s="420">
        <v>0</v>
      </c>
      <c r="H82" s="420">
        <v>0</v>
      </c>
      <c r="I82" s="420">
        <v>330.12</v>
      </c>
      <c r="J82" s="420">
        <v>0</v>
      </c>
      <c r="K82" s="420">
        <v>0</v>
      </c>
      <c r="L82" s="420">
        <v>0</v>
      </c>
      <c r="M82" s="420">
        <v>330.12</v>
      </c>
      <c r="N82" s="39">
        <v>0</v>
      </c>
      <c r="O82" s="39">
        <v>0</v>
      </c>
      <c r="P82" s="39">
        <v>0</v>
      </c>
      <c r="Q82" s="39">
        <v>0</v>
      </c>
      <c r="R82" s="39">
        <f t="shared" si="6"/>
        <v>990.36</v>
      </c>
      <c r="S82" s="39"/>
      <c r="T82" s="39"/>
      <c r="U82" s="40"/>
      <c r="V82" s="39">
        <v>0</v>
      </c>
      <c r="W82" s="39">
        <v>0</v>
      </c>
      <c r="X82" s="39">
        <v>0</v>
      </c>
      <c r="Y82" s="39">
        <v>0</v>
      </c>
      <c r="Z82" s="39">
        <v>0</v>
      </c>
      <c r="AA82" s="39">
        <v>0</v>
      </c>
      <c r="AB82" s="39">
        <v>0</v>
      </c>
      <c r="AC82" s="39">
        <v>0</v>
      </c>
      <c r="AD82" s="39">
        <v>0</v>
      </c>
      <c r="AE82" s="39">
        <v>0</v>
      </c>
      <c r="AF82" s="39">
        <v>0</v>
      </c>
      <c r="AG82" s="39">
        <v>0</v>
      </c>
      <c r="AH82" s="45">
        <f t="shared" si="7"/>
        <v>0</v>
      </c>
      <c r="AI82" s="13"/>
      <c r="AJ82" s="13"/>
      <c r="AK82" s="39">
        <v>330.12</v>
      </c>
      <c r="AL82" s="39">
        <v>0</v>
      </c>
      <c r="AM82" s="39">
        <v>0</v>
      </c>
      <c r="AN82" s="39">
        <v>330.12</v>
      </c>
      <c r="AO82" s="39">
        <v>0</v>
      </c>
      <c r="AP82" s="39">
        <v>0</v>
      </c>
      <c r="AQ82" s="39">
        <v>0</v>
      </c>
      <c r="AR82" s="39">
        <v>330.12</v>
      </c>
      <c r="AS82" s="39">
        <v>0</v>
      </c>
      <c r="AT82" s="39">
        <v>0</v>
      </c>
      <c r="AU82" s="39">
        <v>0</v>
      </c>
      <c r="AV82" s="39">
        <v>0</v>
      </c>
      <c r="AW82" s="45">
        <f t="shared" si="8"/>
        <v>990.36</v>
      </c>
    </row>
    <row r="83" spans="1:49" outlineLevel="1">
      <c r="A83" s="37" t="s">
        <v>340</v>
      </c>
      <c r="B83" s="41" t="s">
        <v>311</v>
      </c>
      <c r="C83" s="41" t="s">
        <v>66</v>
      </c>
      <c r="D83" s="37"/>
      <c r="E83" s="40">
        <v>133251.78999999998</v>
      </c>
      <c r="F83" s="420">
        <v>31007.040000000001</v>
      </c>
      <c r="G83" s="420">
        <v>43784.990000000005</v>
      </c>
      <c r="H83" s="420">
        <v>0</v>
      </c>
      <c r="I83" s="420">
        <v>0</v>
      </c>
      <c r="J83" s="420">
        <v>2412.1799999999998</v>
      </c>
      <c r="K83" s="420">
        <v>3122.69</v>
      </c>
      <c r="L83" s="420">
        <v>5197.3999999999996</v>
      </c>
      <c r="M83" s="420">
        <v>20076.009999999998</v>
      </c>
      <c r="N83" s="39">
        <v>0</v>
      </c>
      <c r="O83" s="39">
        <v>13324.057948310745</v>
      </c>
      <c r="P83" s="39">
        <v>12016.709888451682</v>
      </c>
      <c r="Q83" s="39">
        <v>9621.672445527649</v>
      </c>
      <c r="R83" s="39">
        <f t="shared" si="6"/>
        <v>140562.75028229007</v>
      </c>
      <c r="S83" s="39"/>
      <c r="T83" s="40">
        <v>153239.55849999998</v>
      </c>
      <c r="U83" s="40"/>
      <c r="V83" s="39">
        <v>10000</v>
      </c>
      <c r="W83" s="39">
        <v>25000</v>
      </c>
      <c r="X83" s="39">
        <v>17000</v>
      </c>
      <c r="Y83" s="39">
        <v>25000</v>
      </c>
      <c r="Z83" s="39">
        <v>10000</v>
      </c>
      <c r="AA83" s="39">
        <v>2000</v>
      </c>
      <c r="AB83" s="39">
        <v>20000</v>
      </c>
      <c r="AC83" s="39">
        <v>17000</v>
      </c>
      <c r="AD83" s="39">
        <v>2000</v>
      </c>
      <c r="AE83" s="39">
        <v>25000</v>
      </c>
      <c r="AF83" s="39">
        <v>2000</v>
      </c>
      <c r="AG83" s="39">
        <v>2000</v>
      </c>
      <c r="AH83" s="45">
        <f t="shared" si="7"/>
        <v>157000</v>
      </c>
      <c r="AI83" s="13"/>
      <c r="AJ83" s="13"/>
      <c r="AK83" s="39">
        <v>31007.040000000001</v>
      </c>
      <c r="AL83" s="39">
        <v>43784.990000000005</v>
      </c>
      <c r="AM83" s="39">
        <v>0</v>
      </c>
      <c r="AN83" s="39">
        <v>0</v>
      </c>
      <c r="AO83" s="39">
        <v>2412.1799999999998</v>
      </c>
      <c r="AP83" s="39">
        <v>3122.69</v>
      </c>
      <c r="AQ83" s="39">
        <v>5197.3999999999996</v>
      </c>
      <c r="AR83" s="39">
        <v>20076.009999999998</v>
      </c>
      <c r="AS83" s="39">
        <v>11550.028660254267</v>
      </c>
      <c r="AT83" s="39">
        <v>13324.057948310745</v>
      </c>
      <c r="AU83" s="39">
        <v>12016.709888451682</v>
      </c>
      <c r="AV83" s="39">
        <v>9621.672445527649</v>
      </c>
      <c r="AW83" s="45">
        <f t="shared" si="8"/>
        <v>152112.77894254433</v>
      </c>
    </row>
    <row r="84" spans="1:49" outlineLevel="1">
      <c r="A84" s="13" t="s">
        <v>341</v>
      </c>
      <c r="B84" s="41" t="s">
        <v>267</v>
      </c>
      <c r="C84" s="41" t="s">
        <v>67</v>
      </c>
      <c r="D84" s="37"/>
      <c r="E84" s="40"/>
      <c r="F84" s="420">
        <v>0</v>
      </c>
      <c r="G84" s="420">
        <v>0</v>
      </c>
      <c r="H84" s="420">
        <v>6173.0400000000009</v>
      </c>
      <c r="I84" s="420">
        <v>0</v>
      </c>
      <c r="J84" s="420">
        <v>0</v>
      </c>
      <c r="K84" s="420">
        <v>-275.10000000000002</v>
      </c>
      <c r="L84" s="420">
        <v>0</v>
      </c>
      <c r="M84" s="420">
        <v>5786.58</v>
      </c>
      <c r="N84" s="39">
        <v>0</v>
      </c>
      <c r="O84" s="39">
        <v>0</v>
      </c>
      <c r="P84" s="39">
        <v>0</v>
      </c>
      <c r="Q84" s="39">
        <v>0</v>
      </c>
      <c r="R84" s="39">
        <f t="shared" si="6"/>
        <v>11684.52</v>
      </c>
      <c r="S84" s="39"/>
      <c r="T84" s="40"/>
      <c r="U84" s="40"/>
      <c r="V84" s="39">
        <v>0</v>
      </c>
      <c r="W84" s="39">
        <v>0</v>
      </c>
      <c r="X84" s="39">
        <v>0</v>
      </c>
      <c r="Y84" s="39">
        <v>0</v>
      </c>
      <c r="Z84" s="39">
        <v>0</v>
      </c>
      <c r="AA84" s="39">
        <v>0</v>
      </c>
      <c r="AB84" s="39">
        <v>0</v>
      </c>
      <c r="AC84" s="39">
        <v>0</v>
      </c>
      <c r="AD84" s="39">
        <v>0</v>
      </c>
      <c r="AE84" s="39">
        <v>0</v>
      </c>
      <c r="AF84" s="39">
        <v>0</v>
      </c>
      <c r="AG84" s="39">
        <v>0</v>
      </c>
      <c r="AH84" s="45">
        <f t="shared" si="7"/>
        <v>0</v>
      </c>
      <c r="AI84" s="13"/>
      <c r="AJ84" s="13"/>
      <c r="AK84" s="39">
        <v>0</v>
      </c>
      <c r="AL84" s="39">
        <v>0</v>
      </c>
      <c r="AM84" s="39">
        <v>6173.0400000000009</v>
      </c>
      <c r="AN84" s="39">
        <v>0</v>
      </c>
      <c r="AO84" s="39">
        <v>0</v>
      </c>
      <c r="AP84" s="39">
        <v>-275.10000000000002</v>
      </c>
      <c r="AQ84" s="39">
        <v>0</v>
      </c>
      <c r="AR84" s="39">
        <v>5786.58</v>
      </c>
      <c r="AS84" s="39">
        <v>0</v>
      </c>
      <c r="AT84" s="39">
        <v>0</v>
      </c>
      <c r="AU84" s="39">
        <v>0</v>
      </c>
      <c r="AV84" s="39">
        <v>0</v>
      </c>
      <c r="AW84" s="45">
        <f t="shared" si="8"/>
        <v>11684.52</v>
      </c>
    </row>
    <row r="85" spans="1:49" outlineLevel="1">
      <c r="A85" s="37" t="s">
        <v>342</v>
      </c>
      <c r="B85" s="41" t="s">
        <v>335</v>
      </c>
      <c r="C85" s="41" t="s">
        <v>66</v>
      </c>
      <c r="D85" s="37"/>
      <c r="E85" s="40">
        <v>32815.919999999991</v>
      </c>
      <c r="F85" s="420">
        <v>4456.7199999999993</v>
      </c>
      <c r="G85" s="420">
        <v>3086.2800000000007</v>
      </c>
      <c r="H85" s="420">
        <v>4451.33</v>
      </c>
      <c r="I85" s="420">
        <v>3430.2700000000004</v>
      </c>
      <c r="J85" s="420">
        <v>6144.2699999999995</v>
      </c>
      <c r="K85" s="420">
        <v>828.59000000000015</v>
      </c>
      <c r="L85" s="420">
        <v>0</v>
      </c>
      <c r="M85" s="420">
        <v>1429.65</v>
      </c>
      <c r="N85" s="39">
        <v>3044.8700000000003</v>
      </c>
      <c r="O85" s="39">
        <v>2896.0611361525084</v>
      </c>
      <c r="P85" s="39">
        <v>2611.9014663079147</v>
      </c>
      <c r="Q85" s="39">
        <v>2091.3262117577979</v>
      </c>
      <c r="R85" s="39">
        <f t="shared" si="6"/>
        <v>34471.268814218216</v>
      </c>
      <c r="S85" s="39"/>
      <c r="T85" s="40">
        <v>29045.354500000001</v>
      </c>
      <c r="U85" s="40"/>
      <c r="V85" s="39">
        <v>2500</v>
      </c>
      <c r="W85" s="39">
        <v>2500</v>
      </c>
      <c r="X85" s="39">
        <v>2500</v>
      </c>
      <c r="Y85" s="39">
        <v>2500</v>
      </c>
      <c r="Z85" s="39">
        <v>7500</v>
      </c>
      <c r="AA85" s="39">
        <v>2500</v>
      </c>
      <c r="AB85" s="39">
        <v>2500</v>
      </c>
      <c r="AC85" s="39">
        <v>2500</v>
      </c>
      <c r="AD85" s="39">
        <v>4000</v>
      </c>
      <c r="AE85" s="39">
        <v>4000</v>
      </c>
      <c r="AF85" s="39">
        <v>2500</v>
      </c>
      <c r="AG85" s="39">
        <v>2500</v>
      </c>
      <c r="AH85" s="45">
        <f t="shared" si="7"/>
        <v>38000</v>
      </c>
      <c r="AI85" s="13"/>
      <c r="AJ85" s="13"/>
      <c r="AK85" s="39">
        <v>28000</v>
      </c>
      <c r="AL85" s="39">
        <v>28000</v>
      </c>
      <c r="AM85" s="39">
        <v>28000</v>
      </c>
      <c r="AN85" s="39">
        <v>28000</v>
      </c>
      <c r="AO85" s="39">
        <v>28000</v>
      </c>
      <c r="AP85" s="39">
        <v>28000</v>
      </c>
      <c r="AQ85" s="39">
        <v>28000</v>
      </c>
      <c r="AR85" s="39">
        <v>28000</v>
      </c>
      <c r="AS85" s="39">
        <v>28000</v>
      </c>
      <c r="AT85" s="39">
        <v>28000</v>
      </c>
      <c r="AU85" s="39">
        <v>28000</v>
      </c>
      <c r="AV85" s="39">
        <v>28000</v>
      </c>
      <c r="AW85" s="45">
        <f t="shared" si="8"/>
        <v>336000</v>
      </c>
    </row>
    <row r="86" spans="1:49" outlineLevel="1">
      <c r="A86" s="37" t="s">
        <v>343</v>
      </c>
      <c r="B86" s="41" t="s">
        <v>64</v>
      </c>
      <c r="C86" s="41" t="s">
        <v>64</v>
      </c>
      <c r="D86" s="37"/>
      <c r="E86" s="40">
        <v>56645.639999999978</v>
      </c>
      <c r="F86" s="420">
        <v>1817.2800000000002</v>
      </c>
      <c r="G86" s="420">
        <v>10409.380000000001</v>
      </c>
      <c r="H86" s="420">
        <v>7466.4</v>
      </c>
      <c r="I86" s="420">
        <v>4885.92</v>
      </c>
      <c r="J86" s="420">
        <v>12363.56</v>
      </c>
      <c r="K86" s="420">
        <v>709.8</v>
      </c>
      <c r="L86" s="420">
        <v>779.2</v>
      </c>
      <c r="M86" s="420">
        <v>8824.7999999999993</v>
      </c>
      <c r="N86" s="39">
        <v>7859.9599999999991</v>
      </c>
      <c r="O86" s="39">
        <v>5598.6483080431308</v>
      </c>
      <c r="P86" s="39">
        <v>5049.3125102142585</v>
      </c>
      <c r="Q86" s="39">
        <v>4042.9394983626703</v>
      </c>
      <c r="R86" s="39">
        <f t="shared" si="6"/>
        <v>69807.200316620045</v>
      </c>
      <c r="S86" s="39"/>
      <c r="T86" s="39">
        <v>66000</v>
      </c>
      <c r="U86" s="40"/>
      <c r="V86" s="39">
        <v>2538</v>
      </c>
      <c r="W86" s="39">
        <v>5430</v>
      </c>
      <c r="X86" s="39">
        <v>14000</v>
      </c>
      <c r="Y86" s="39">
        <v>5068</v>
      </c>
      <c r="Z86" s="39">
        <v>8372</v>
      </c>
      <c r="AA86" s="39">
        <v>15000</v>
      </c>
      <c r="AB86" s="39">
        <v>8190</v>
      </c>
      <c r="AC86" s="39">
        <v>9503</v>
      </c>
      <c r="AD86" s="39">
        <v>8093</v>
      </c>
      <c r="AE86" s="39">
        <v>4539</v>
      </c>
      <c r="AF86" s="39">
        <v>2120</v>
      </c>
      <c r="AG86" s="39">
        <v>4000</v>
      </c>
      <c r="AH86" s="45">
        <f t="shared" si="7"/>
        <v>86853</v>
      </c>
      <c r="AI86" s="13"/>
      <c r="AJ86" s="13"/>
      <c r="AK86" s="39">
        <v>22000</v>
      </c>
      <c r="AL86" s="39">
        <v>22000</v>
      </c>
      <c r="AM86" s="39">
        <v>22000</v>
      </c>
      <c r="AN86" s="39">
        <v>22000</v>
      </c>
      <c r="AO86" s="39">
        <v>22000</v>
      </c>
      <c r="AP86" s="39">
        <v>22000</v>
      </c>
      <c r="AQ86" s="39">
        <v>22000</v>
      </c>
      <c r="AR86" s="39">
        <v>22000</v>
      </c>
      <c r="AS86" s="39">
        <v>22000</v>
      </c>
      <c r="AT86" s="39">
        <v>22000</v>
      </c>
      <c r="AU86" s="39">
        <v>22000</v>
      </c>
      <c r="AV86" s="39">
        <v>22000</v>
      </c>
      <c r="AW86" s="45">
        <f t="shared" si="8"/>
        <v>264000</v>
      </c>
    </row>
    <row r="87" spans="1:49" s="479" customFormat="1" outlineLevel="1">
      <c r="A87" s="401" t="s">
        <v>344</v>
      </c>
      <c r="B87" s="402" t="s">
        <v>238</v>
      </c>
      <c r="C87" s="402" t="s">
        <v>67</v>
      </c>
      <c r="D87" s="37"/>
      <c r="E87" s="481">
        <v>159811.84999999989</v>
      </c>
      <c r="F87" s="421">
        <v>2858.96</v>
      </c>
      <c r="G87" s="421">
        <v>15490.08</v>
      </c>
      <c r="H87" s="421">
        <v>1095.5999999999999</v>
      </c>
      <c r="I87" s="421">
        <v>0</v>
      </c>
      <c r="J87" s="420">
        <v>0</v>
      </c>
      <c r="K87" s="421">
        <v>-10164.900000000001</v>
      </c>
      <c r="L87" s="421">
        <v>0</v>
      </c>
      <c r="M87" s="421">
        <v>0</v>
      </c>
      <c r="N87" s="39">
        <v>0</v>
      </c>
      <c r="O87" s="39">
        <v>0</v>
      </c>
      <c r="P87" s="39">
        <v>0</v>
      </c>
      <c r="Q87" s="39">
        <v>0</v>
      </c>
      <c r="R87" s="404">
        <f t="shared" si="6"/>
        <v>9279.739999999998</v>
      </c>
      <c r="S87" s="39"/>
      <c r="T87" s="481">
        <v>26184.647499999999</v>
      </c>
      <c r="U87" s="40"/>
      <c r="V87" s="39">
        <v>0</v>
      </c>
      <c r="W87" s="39">
        <v>0</v>
      </c>
      <c r="X87" s="39">
        <v>0</v>
      </c>
      <c r="Y87" s="39">
        <v>0</v>
      </c>
      <c r="Z87" s="39">
        <v>0</v>
      </c>
      <c r="AA87" s="39">
        <v>0</v>
      </c>
      <c r="AB87" s="39">
        <v>0</v>
      </c>
      <c r="AC87" s="39">
        <v>0</v>
      </c>
      <c r="AD87" s="39">
        <v>0</v>
      </c>
      <c r="AE87" s="39">
        <v>0</v>
      </c>
      <c r="AF87" s="39">
        <v>0</v>
      </c>
      <c r="AG87" s="39">
        <v>0</v>
      </c>
      <c r="AH87" s="405">
        <f t="shared" si="7"/>
        <v>0</v>
      </c>
      <c r="AI87" s="181"/>
      <c r="AJ87" s="181"/>
      <c r="AK87" s="404">
        <v>25000</v>
      </c>
      <c r="AL87" s="404">
        <v>25000</v>
      </c>
      <c r="AM87" s="404">
        <v>25000</v>
      </c>
      <c r="AN87" s="404">
        <v>25000</v>
      </c>
      <c r="AO87" s="404">
        <v>25000</v>
      </c>
      <c r="AP87" s="404">
        <v>25000</v>
      </c>
      <c r="AQ87" s="404">
        <v>25000</v>
      </c>
      <c r="AR87" s="404">
        <v>25000</v>
      </c>
      <c r="AS87" s="404">
        <v>25000</v>
      </c>
      <c r="AT87" s="404">
        <v>25000</v>
      </c>
      <c r="AU87" s="404">
        <v>25000</v>
      </c>
      <c r="AV87" s="404">
        <v>25000</v>
      </c>
      <c r="AW87" s="405">
        <f t="shared" si="8"/>
        <v>300000</v>
      </c>
    </row>
    <row r="88" spans="1:49" outlineLevel="1">
      <c r="A88" s="13" t="s">
        <v>397</v>
      </c>
      <c r="B88" s="13"/>
      <c r="C88" s="13"/>
      <c r="D88" s="13"/>
      <c r="E88" s="40"/>
      <c r="F88" s="13"/>
      <c r="G88" s="13"/>
      <c r="H88" s="13"/>
      <c r="I88" s="13"/>
      <c r="J88" s="13"/>
      <c r="K88" s="13"/>
      <c r="L88" s="13"/>
      <c r="M88" s="13"/>
      <c r="N88" s="39"/>
      <c r="O88" s="13"/>
      <c r="P88" s="13"/>
      <c r="Q88" s="13"/>
      <c r="R88" s="13"/>
      <c r="S88" s="39"/>
      <c r="T88" s="40"/>
      <c r="U88" s="40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</row>
    <row r="89" spans="1:49" outlineLevel="1">
      <c r="A89" s="42" t="s">
        <v>345</v>
      </c>
      <c r="B89" s="44"/>
      <c r="C89" s="13"/>
      <c r="D89" s="42"/>
      <c r="E89" s="43">
        <f>SUM(E4:E87)</f>
        <v>6975572.5900000008</v>
      </c>
      <c r="F89" s="43">
        <f t="shared" ref="F89:Q89" si="9">SUM(F4:F88)</f>
        <v>664598.43000000028</v>
      </c>
      <c r="G89" s="43">
        <f t="shared" si="9"/>
        <v>511858.31</v>
      </c>
      <c r="H89" s="43">
        <f t="shared" si="9"/>
        <v>289271.34999999998</v>
      </c>
      <c r="I89" s="43">
        <f t="shared" si="9"/>
        <v>519227.72</v>
      </c>
      <c r="J89" s="43">
        <f t="shared" si="9"/>
        <v>592669.88000000012</v>
      </c>
      <c r="K89" s="43">
        <f t="shared" si="9"/>
        <v>418370.15999999986</v>
      </c>
      <c r="L89" s="43">
        <f t="shared" si="9"/>
        <v>329766.21000000008</v>
      </c>
      <c r="M89" s="43">
        <f t="shared" si="9"/>
        <v>506223.07999999996</v>
      </c>
      <c r="N89" s="43">
        <f t="shared" si="9"/>
        <v>633730.92999999982</v>
      </c>
      <c r="O89" s="43">
        <f t="shared" si="9"/>
        <v>714393.90158095781</v>
      </c>
      <c r="P89" s="43">
        <f t="shared" si="9"/>
        <v>669341.20963277039</v>
      </c>
      <c r="Q89" s="43">
        <f t="shared" si="9"/>
        <v>527888.3798229011</v>
      </c>
      <c r="R89" s="43">
        <f>SUM(R4:R87)</f>
        <v>6377339.5610366296</v>
      </c>
      <c r="S89" s="39"/>
      <c r="T89" s="43">
        <f>SUM(T4:T87)</f>
        <v>7193130.8120613042</v>
      </c>
      <c r="U89" s="43"/>
      <c r="V89" s="43">
        <f t="shared" ref="V89:AH89" si="10">SUM(V4:V87)</f>
        <v>444360.45440000005</v>
      </c>
      <c r="W89" s="43">
        <f t="shared" si="10"/>
        <v>469370.75789999997</v>
      </c>
      <c r="X89" s="43">
        <f t="shared" si="10"/>
        <v>463383.53220000002</v>
      </c>
      <c r="Y89" s="43">
        <f t="shared" si="10"/>
        <v>500509.58830000006</v>
      </c>
      <c r="Z89" s="43">
        <f t="shared" si="10"/>
        <v>574732.12225000001</v>
      </c>
      <c r="AA89" s="43">
        <f t="shared" si="10"/>
        <v>356476.54840000003</v>
      </c>
      <c r="AB89" s="43">
        <f t="shared" si="10"/>
        <v>507421.02985000005</v>
      </c>
      <c r="AC89" s="43">
        <f t="shared" si="10"/>
        <v>584016.25654999993</v>
      </c>
      <c r="AD89" s="43">
        <f t="shared" si="10"/>
        <v>775194.24104999995</v>
      </c>
      <c r="AE89" s="43">
        <f t="shared" si="10"/>
        <v>584510.02510603773</v>
      </c>
      <c r="AF89" s="43">
        <f t="shared" si="10"/>
        <v>444890.11124467914</v>
      </c>
      <c r="AG89" s="43">
        <f t="shared" si="10"/>
        <v>435094.23144449468</v>
      </c>
      <c r="AH89" s="43">
        <f t="shared" si="10"/>
        <v>6139958.8986952109</v>
      </c>
      <c r="AI89" s="13"/>
      <c r="AJ89" s="13"/>
      <c r="AK89" s="43">
        <f t="shared" ref="AK89:AW89" si="11">SUM(AK4:AK87)</f>
        <v>705259.4700000002</v>
      </c>
      <c r="AL89" s="43">
        <f t="shared" si="11"/>
        <v>510494.70999999996</v>
      </c>
      <c r="AM89" s="43">
        <f t="shared" si="11"/>
        <v>359888.45999999996</v>
      </c>
      <c r="AN89" s="43">
        <f t="shared" si="11"/>
        <v>551040.16999999993</v>
      </c>
      <c r="AO89" s="43">
        <f t="shared" si="11"/>
        <v>238488.67</v>
      </c>
      <c r="AP89" s="43">
        <f t="shared" si="11"/>
        <v>483575.66999999993</v>
      </c>
      <c r="AQ89" s="43">
        <f t="shared" si="11"/>
        <v>398977.9200000001</v>
      </c>
      <c r="AR89" s="43">
        <f t="shared" si="11"/>
        <v>566129.47</v>
      </c>
      <c r="AS89" s="43">
        <f t="shared" si="11"/>
        <v>816038.78188575211</v>
      </c>
      <c r="AT89" s="43">
        <f t="shared" si="11"/>
        <v>929014.02895652282</v>
      </c>
      <c r="AU89" s="43">
        <f t="shared" si="11"/>
        <v>845758.37412351882</v>
      </c>
      <c r="AV89" s="43">
        <f t="shared" si="11"/>
        <v>693235.55576885596</v>
      </c>
      <c r="AW89" s="43">
        <f t="shared" si="11"/>
        <v>7097901.2807346489</v>
      </c>
    </row>
    <row r="90" spans="1:49" outlineLevel="1">
      <c r="A90" s="42"/>
      <c r="B90" s="44"/>
      <c r="C90" s="13"/>
      <c r="D90" s="42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39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13"/>
      <c r="AJ90" s="13"/>
      <c r="AK90" s="43"/>
      <c r="AL90" s="43"/>
      <c r="AM90" s="43"/>
      <c r="AN90" s="43"/>
      <c r="AO90" s="43"/>
      <c r="AP90" s="43"/>
      <c r="AQ90" s="43"/>
      <c r="AR90" s="43"/>
      <c r="AS90" s="43"/>
      <c r="AT90" s="43"/>
      <c r="AU90" s="43"/>
      <c r="AV90" s="43"/>
      <c r="AW90" s="43"/>
    </row>
    <row r="91" spans="1:49" outlineLevel="1">
      <c r="A91" s="408" t="s">
        <v>420</v>
      </c>
      <c r="B91" s="371"/>
      <c r="C91" s="369"/>
      <c r="D91" s="408"/>
      <c r="E91" s="411"/>
      <c r="F91" s="411"/>
      <c r="G91" s="411"/>
      <c r="H91" s="411"/>
      <c r="I91" s="411"/>
      <c r="J91" s="411"/>
      <c r="K91" s="411"/>
      <c r="L91" s="411"/>
      <c r="M91" s="411"/>
      <c r="N91" s="411"/>
      <c r="O91" s="411"/>
      <c r="P91" s="411"/>
      <c r="Q91" s="411"/>
      <c r="R91" s="411"/>
      <c r="S91" s="398"/>
      <c r="T91" s="411"/>
      <c r="U91" s="411"/>
      <c r="V91" s="411"/>
      <c r="W91" s="411"/>
      <c r="X91" s="411"/>
      <c r="Y91" s="411"/>
      <c r="Z91" s="411"/>
      <c r="AA91" s="411"/>
      <c r="AB91" s="411"/>
      <c r="AC91" s="411"/>
      <c r="AD91" s="411"/>
      <c r="AE91" s="411"/>
      <c r="AF91" s="411"/>
      <c r="AG91" s="411"/>
      <c r="AH91" s="411"/>
      <c r="AI91" s="369"/>
      <c r="AJ91" s="369"/>
      <c r="AK91" s="411"/>
      <c r="AL91" s="411"/>
      <c r="AM91" s="411"/>
      <c r="AN91" s="411"/>
      <c r="AO91" s="411"/>
      <c r="AP91" s="411"/>
      <c r="AQ91" s="411"/>
      <c r="AR91" s="411"/>
      <c r="AS91" s="411"/>
      <c r="AT91" s="411"/>
      <c r="AU91" s="411"/>
      <c r="AV91" s="411"/>
      <c r="AW91" s="411"/>
    </row>
    <row r="92" spans="1:49" outlineLevel="1">
      <c r="A92" s="37" t="s">
        <v>346</v>
      </c>
      <c r="B92" s="41" t="s">
        <v>265</v>
      </c>
      <c r="C92" s="41" t="s">
        <v>65</v>
      </c>
      <c r="D92" s="37"/>
      <c r="E92" s="40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>
        <f>SUM(F92:Q92)</f>
        <v>0</v>
      </c>
      <c r="S92" s="39"/>
      <c r="T92" s="40"/>
      <c r="U92" s="40"/>
      <c r="V92" s="40">
        <v>11790.393013100436</v>
      </c>
      <c r="W92" s="40">
        <v>19650.655021834064</v>
      </c>
      <c r="X92" s="40">
        <v>14148.471615720524</v>
      </c>
      <c r="Y92" s="40">
        <v>17685.589519650654</v>
      </c>
      <c r="Z92" s="40">
        <v>21222.707423580785</v>
      </c>
      <c r="AA92" s="40">
        <v>10611.353711790392</v>
      </c>
      <c r="AB92" s="40">
        <v>14148.471615720524</v>
      </c>
      <c r="AC92" s="40">
        <v>7074.235807860262</v>
      </c>
      <c r="AD92" s="40">
        <v>14148.471615720524</v>
      </c>
      <c r="AE92" s="40">
        <v>21222.707423580785</v>
      </c>
      <c r="AF92" s="40">
        <v>14148.471615720524</v>
      </c>
      <c r="AG92" s="40">
        <v>14148.471615720524</v>
      </c>
      <c r="AH92" s="43">
        <f>SUM(U92:AG92)</f>
        <v>179999.99999999997</v>
      </c>
      <c r="AI92" s="13"/>
      <c r="AJ92" s="13"/>
      <c r="AK92" s="39"/>
      <c r="AL92" s="39"/>
      <c r="AM92" s="39"/>
      <c r="AN92" s="39"/>
      <c r="AO92" s="39"/>
      <c r="AP92" s="39"/>
      <c r="AQ92" s="39"/>
      <c r="AR92" s="39"/>
      <c r="AS92" s="39"/>
      <c r="AT92" s="39"/>
      <c r="AU92" s="39"/>
      <c r="AV92" s="39"/>
      <c r="AW92" s="40"/>
    </row>
    <row r="93" spans="1:49" outlineLevel="1">
      <c r="A93" s="37" t="s">
        <v>348</v>
      </c>
      <c r="B93" s="41" t="s">
        <v>295</v>
      </c>
      <c r="C93" s="41" t="s">
        <v>67</v>
      </c>
      <c r="D93" s="37"/>
      <c r="E93" s="40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>
        <v>42000</v>
      </c>
      <c r="R93" s="39">
        <f>SUM(F93:Q93)</f>
        <v>42000</v>
      </c>
      <c r="S93" s="39"/>
      <c r="T93" s="40"/>
      <c r="U93" s="40"/>
      <c r="V93" s="39">
        <v>0</v>
      </c>
      <c r="W93" s="39">
        <v>0</v>
      </c>
      <c r="X93" s="39">
        <v>0</v>
      </c>
      <c r="Y93" s="39">
        <v>0</v>
      </c>
      <c r="Z93" s="39">
        <v>0</v>
      </c>
      <c r="AA93" s="39">
        <v>50000</v>
      </c>
      <c r="AB93" s="39">
        <v>0</v>
      </c>
      <c r="AC93" s="39">
        <v>0</v>
      </c>
      <c r="AD93" s="39">
        <v>0</v>
      </c>
      <c r="AE93" s="39">
        <v>0</v>
      </c>
      <c r="AF93" s="39">
        <v>0</v>
      </c>
      <c r="AG93" s="39">
        <v>0</v>
      </c>
      <c r="AH93" s="43">
        <f>SUM(U93:AG93)</f>
        <v>50000</v>
      </c>
      <c r="AI93" s="13"/>
      <c r="AJ93" s="13"/>
      <c r="AK93" s="39"/>
      <c r="AL93" s="39"/>
      <c r="AM93" s="39"/>
      <c r="AN93" s="39"/>
      <c r="AO93" s="39"/>
      <c r="AP93" s="39"/>
      <c r="AQ93" s="39"/>
      <c r="AR93" s="39"/>
      <c r="AS93" s="39"/>
      <c r="AT93" s="39"/>
      <c r="AU93" s="39"/>
      <c r="AV93" s="39"/>
      <c r="AW93" s="40"/>
    </row>
    <row r="94" spans="1:49" outlineLevel="1">
      <c r="A94" s="37" t="s">
        <v>349</v>
      </c>
      <c r="B94" s="41" t="s">
        <v>274</v>
      </c>
      <c r="C94" s="41" t="s">
        <v>66</v>
      </c>
      <c r="D94" s="37"/>
      <c r="E94" s="40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>
        <v>30000</v>
      </c>
      <c r="R94" s="39">
        <f>SUM(F94:Q94)</f>
        <v>30000</v>
      </c>
      <c r="S94" s="39"/>
      <c r="T94" s="40"/>
      <c r="U94" s="40"/>
      <c r="V94" s="39">
        <v>3000</v>
      </c>
      <c r="W94" s="39">
        <v>4000</v>
      </c>
      <c r="X94" s="39">
        <v>4000</v>
      </c>
      <c r="Y94" s="39">
        <v>3000</v>
      </c>
      <c r="Z94" s="39">
        <v>4000</v>
      </c>
      <c r="AA94" s="39">
        <v>4000</v>
      </c>
      <c r="AB94" s="39">
        <v>3000</v>
      </c>
      <c r="AC94" s="39">
        <v>3000</v>
      </c>
      <c r="AD94" s="39">
        <v>4000</v>
      </c>
      <c r="AE94" s="39">
        <v>6000</v>
      </c>
      <c r="AF94" s="39">
        <v>5000</v>
      </c>
      <c r="AG94" s="39">
        <v>3000</v>
      </c>
      <c r="AH94" s="43">
        <f>SUM(U94:AG94)</f>
        <v>46000</v>
      </c>
      <c r="AI94" s="13"/>
      <c r="AJ94" s="13"/>
      <c r="AK94" s="39"/>
      <c r="AL94" s="39"/>
      <c r="AM94" s="39"/>
      <c r="AN94" s="39"/>
      <c r="AO94" s="39"/>
      <c r="AP94" s="39"/>
      <c r="AQ94" s="39"/>
      <c r="AR94" s="39"/>
      <c r="AS94" s="39"/>
      <c r="AT94" s="39"/>
      <c r="AU94" s="39"/>
      <c r="AV94" s="39"/>
      <c r="AW94" s="40"/>
    </row>
    <row r="95" spans="1:49" outlineLevel="1">
      <c r="A95" s="37" t="s">
        <v>413</v>
      </c>
      <c r="B95" s="41" t="s">
        <v>247</v>
      </c>
      <c r="C95" s="41" t="s">
        <v>65</v>
      </c>
      <c r="D95" s="37"/>
      <c r="E95" s="40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>
        <f>SUM(F95:Q95)</f>
        <v>0</v>
      </c>
      <c r="S95" s="39"/>
      <c r="T95" s="40"/>
      <c r="U95" s="40"/>
      <c r="V95" s="39">
        <v>0</v>
      </c>
      <c r="W95" s="39">
        <v>247500</v>
      </c>
      <c r="X95" s="39">
        <v>54000</v>
      </c>
      <c r="Y95" s="39">
        <v>36000</v>
      </c>
      <c r="Z95" s="39">
        <v>40500</v>
      </c>
      <c r="AA95" s="39">
        <v>27000</v>
      </c>
      <c r="AB95" s="39">
        <v>22500</v>
      </c>
      <c r="AC95" s="39">
        <v>27000</v>
      </c>
      <c r="AD95" s="39">
        <v>18000</v>
      </c>
      <c r="AE95" s="39">
        <v>36000</v>
      </c>
      <c r="AF95" s="39">
        <v>18000</v>
      </c>
      <c r="AG95" s="39">
        <v>18000</v>
      </c>
      <c r="AH95" s="43">
        <f>SUM(U95:AG95)</f>
        <v>544500</v>
      </c>
      <c r="AI95" s="13"/>
      <c r="AJ95" s="13"/>
      <c r="AK95" s="39"/>
      <c r="AL95" s="39"/>
      <c r="AM95" s="39"/>
      <c r="AN95" s="39"/>
      <c r="AO95" s="39"/>
      <c r="AP95" s="39"/>
      <c r="AQ95" s="39"/>
      <c r="AR95" s="39"/>
      <c r="AS95" s="39"/>
      <c r="AT95" s="39"/>
      <c r="AU95" s="39"/>
      <c r="AV95" s="39"/>
      <c r="AW95" s="40"/>
    </row>
    <row r="96" spans="1:49" ht="39" outlineLevel="1">
      <c r="A96" s="410" t="s">
        <v>351</v>
      </c>
      <c r="B96" s="41" t="s">
        <v>67</v>
      </c>
      <c r="C96" s="41" t="s">
        <v>67</v>
      </c>
      <c r="D96" s="37"/>
      <c r="E96" s="40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>
        <f>SUM(F96:Q96)</f>
        <v>0</v>
      </c>
      <c r="S96" s="39"/>
      <c r="T96" s="40"/>
      <c r="U96" s="40"/>
      <c r="V96" s="39">
        <v>0</v>
      </c>
      <c r="W96" s="39">
        <v>0</v>
      </c>
      <c r="X96" s="39">
        <v>0</v>
      </c>
      <c r="Y96" s="39">
        <v>0</v>
      </c>
      <c r="Z96" s="39">
        <v>0</v>
      </c>
      <c r="AA96" s="39">
        <v>0</v>
      </c>
      <c r="AB96" s="39">
        <v>0</v>
      </c>
      <c r="AC96" s="39">
        <v>0</v>
      </c>
      <c r="AD96" s="39">
        <v>0</v>
      </c>
      <c r="AE96" s="39">
        <v>0</v>
      </c>
      <c r="AF96" s="39">
        <v>0</v>
      </c>
      <c r="AG96" s="39">
        <v>0</v>
      </c>
      <c r="AH96" s="43">
        <f>SUM(U96:AG96)</f>
        <v>0</v>
      </c>
      <c r="AI96" s="13"/>
      <c r="AJ96" s="13"/>
      <c r="AK96" s="39"/>
      <c r="AL96" s="39"/>
      <c r="AM96" s="39"/>
      <c r="AN96" s="39"/>
      <c r="AO96" s="39"/>
      <c r="AP96" s="39"/>
      <c r="AQ96" s="39"/>
      <c r="AR96" s="39"/>
      <c r="AS96" s="39"/>
      <c r="AT96" s="39"/>
      <c r="AU96" s="39"/>
      <c r="AV96" s="39"/>
      <c r="AW96" s="40"/>
    </row>
    <row r="97" spans="1:49" outlineLevel="1">
      <c r="A97" s="408" t="s">
        <v>397</v>
      </c>
      <c r="B97" s="371"/>
      <c r="C97" s="369"/>
      <c r="D97" s="408"/>
      <c r="E97" s="411"/>
      <c r="F97" s="411"/>
      <c r="G97" s="411"/>
      <c r="H97" s="411"/>
      <c r="I97" s="411"/>
      <c r="J97" s="411"/>
      <c r="K97" s="411"/>
      <c r="L97" s="411"/>
      <c r="M97" s="411"/>
      <c r="N97" s="411"/>
      <c r="O97" s="411"/>
      <c r="P97" s="411"/>
      <c r="Q97" s="411"/>
      <c r="R97" s="411"/>
      <c r="S97" s="398"/>
      <c r="T97" s="411"/>
      <c r="U97" s="411"/>
      <c r="V97" s="411"/>
      <c r="W97" s="411"/>
      <c r="X97" s="411"/>
      <c r="Y97" s="411"/>
      <c r="Z97" s="411"/>
      <c r="AA97" s="411"/>
      <c r="AB97" s="411"/>
      <c r="AC97" s="411"/>
      <c r="AD97" s="411"/>
      <c r="AE97" s="411"/>
      <c r="AF97" s="411"/>
      <c r="AG97" s="411"/>
      <c r="AH97" s="411"/>
      <c r="AI97" s="369"/>
      <c r="AJ97" s="369"/>
      <c r="AK97" s="411"/>
      <c r="AL97" s="411"/>
      <c r="AM97" s="411"/>
      <c r="AN97" s="411"/>
      <c r="AO97" s="411"/>
      <c r="AP97" s="411"/>
      <c r="AQ97" s="411"/>
      <c r="AR97" s="411"/>
      <c r="AS97" s="411"/>
      <c r="AT97" s="411"/>
      <c r="AU97" s="411"/>
      <c r="AV97" s="411"/>
      <c r="AW97" s="411"/>
    </row>
    <row r="98" spans="1:49" outlineLevel="1">
      <c r="A98" s="401" t="s">
        <v>352</v>
      </c>
      <c r="B98" s="41" t="s">
        <v>67</v>
      </c>
      <c r="C98" s="41" t="s">
        <v>67</v>
      </c>
      <c r="D98" s="37"/>
      <c r="E98" s="40"/>
      <c r="F98" s="420"/>
      <c r="G98" s="420"/>
      <c r="H98" s="420"/>
      <c r="I98" s="420"/>
      <c r="J98" s="420"/>
      <c r="K98" s="420"/>
      <c r="L98" s="420"/>
      <c r="M98" s="420"/>
      <c r="N98" s="420"/>
      <c r="O98" s="39"/>
      <c r="P98" s="39"/>
      <c r="Q98" s="39"/>
      <c r="R98" s="39"/>
      <c r="S98" s="39"/>
      <c r="T98" s="40">
        <v>53930</v>
      </c>
      <c r="U98" s="40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40"/>
      <c r="AI98" s="13"/>
      <c r="AJ98" s="13"/>
      <c r="AK98" s="39"/>
      <c r="AL98" s="39"/>
      <c r="AM98" s="39"/>
      <c r="AN98" s="39"/>
      <c r="AO98" s="39"/>
      <c r="AP98" s="39"/>
      <c r="AQ98" s="39"/>
      <c r="AR98" s="39"/>
      <c r="AS98" s="39"/>
      <c r="AT98" s="39"/>
      <c r="AU98" s="39"/>
      <c r="AV98" s="39"/>
      <c r="AW98" s="40"/>
    </row>
    <row r="99" spans="1:49" outlineLevel="1">
      <c r="A99" s="401" t="s">
        <v>353</v>
      </c>
      <c r="B99" s="41" t="s">
        <v>64</v>
      </c>
      <c r="C99" s="41" t="s">
        <v>64</v>
      </c>
      <c r="D99" s="37"/>
      <c r="E99" s="40">
        <v>0</v>
      </c>
      <c r="F99" s="420"/>
      <c r="G99" s="420"/>
      <c r="H99" s="420"/>
      <c r="I99" s="420"/>
      <c r="J99" s="420"/>
      <c r="K99" s="420"/>
      <c r="L99" s="420"/>
      <c r="M99" s="420"/>
      <c r="N99" s="420">
        <v>59965</v>
      </c>
      <c r="O99" s="39">
        <v>44111.061880253896</v>
      </c>
      <c r="P99" s="39">
        <v>37978.770360834809</v>
      </c>
      <c r="Q99" s="39">
        <v>26744.525823448505</v>
      </c>
      <c r="R99" s="39">
        <f>SUM(F99:Q99)</f>
        <v>168799.3580645372</v>
      </c>
      <c r="S99" s="39"/>
      <c r="T99" s="39">
        <v>450000</v>
      </c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13"/>
      <c r="AJ99" s="13"/>
      <c r="AK99" s="39"/>
      <c r="AL99" s="39"/>
      <c r="AM99" s="39"/>
      <c r="AN99" s="39"/>
      <c r="AO99" s="39"/>
      <c r="AP99" s="39"/>
      <c r="AQ99" s="39"/>
      <c r="AR99" s="39"/>
      <c r="AS99" s="39"/>
      <c r="AT99" s="39"/>
      <c r="AU99" s="39"/>
      <c r="AV99" s="39"/>
      <c r="AW99" s="39"/>
    </row>
    <row r="100" spans="1:49" outlineLevel="1">
      <c r="A100" s="401"/>
      <c r="B100" s="41"/>
      <c r="C100" s="41"/>
      <c r="D100" s="37"/>
      <c r="E100" s="40"/>
      <c r="F100" s="420"/>
      <c r="G100" s="420"/>
      <c r="H100" s="420"/>
      <c r="I100" s="420"/>
      <c r="J100" s="420"/>
      <c r="K100" s="420"/>
      <c r="L100" s="420"/>
      <c r="M100" s="420"/>
      <c r="N100" s="420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  <c r="AG100" s="39"/>
      <c r="AH100" s="39"/>
      <c r="AI100" s="13"/>
      <c r="AJ100" s="13"/>
      <c r="AK100" s="39"/>
      <c r="AL100" s="39"/>
      <c r="AM100" s="39"/>
      <c r="AN100" s="39"/>
      <c r="AO100" s="39"/>
      <c r="AP100" s="39"/>
      <c r="AQ100" s="39"/>
      <c r="AR100" s="39"/>
      <c r="AS100" s="39"/>
      <c r="AT100" s="39"/>
      <c r="AU100" s="39"/>
      <c r="AV100" s="39"/>
      <c r="AW100" s="39"/>
    </row>
    <row r="101" spans="1:49" ht="13" customHeight="1" outlineLevel="1">
      <c r="A101" s="408" t="s">
        <v>354</v>
      </c>
      <c r="B101" s="369"/>
      <c r="C101" s="369"/>
      <c r="D101" s="408"/>
      <c r="E101" s="369"/>
      <c r="F101" s="409">
        <f t="shared" ref="F101:R101" si="12">SUM(F89:F99)</f>
        <v>664598.43000000028</v>
      </c>
      <c r="G101" s="409">
        <f t="shared" si="12"/>
        <v>511858.31</v>
      </c>
      <c r="H101" s="409">
        <f t="shared" si="12"/>
        <v>289271.34999999998</v>
      </c>
      <c r="I101" s="409">
        <f t="shared" si="12"/>
        <v>519227.72</v>
      </c>
      <c r="J101" s="409">
        <f t="shared" si="12"/>
        <v>592669.88000000012</v>
      </c>
      <c r="K101" s="409">
        <f t="shared" si="12"/>
        <v>418370.15999999986</v>
      </c>
      <c r="L101" s="409">
        <f t="shared" si="12"/>
        <v>329766.21000000008</v>
      </c>
      <c r="M101" s="409">
        <f t="shared" si="12"/>
        <v>506223.07999999996</v>
      </c>
      <c r="N101" s="409">
        <f t="shared" si="12"/>
        <v>693695.92999999982</v>
      </c>
      <c r="O101" s="409">
        <f t="shared" si="12"/>
        <v>758504.96346121165</v>
      </c>
      <c r="P101" s="409">
        <f t="shared" si="12"/>
        <v>707319.97999360517</v>
      </c>
      <c r="Q101" s="409">
        <f t="shared" si="12"/>
        <v>626632.90564634965</v>
      </c>
      <c r="R101" s="409">
        <f t="shared" si="12"/>
        <v>6618138.9191011665</v>
      </c>
      <c r="S101" s="412"/>
      <c r="T101" s="409">
        <f>SUM(T89:T98)</f>
        <v>7247060.8120613042</v>
      </c>
      <c r="U101" s="369"/>
      <c r="V101" s="409">
        <f t="shared" ref="V101:AG101" si="13">SUM(V89:V99)</f>
        <v>459150.84741310048</v>
      </c>
      <c r="W101" s="409">
        <f t="shared" si="13"/>
        <v>740521.41292183404</v>
      </c>
      <c r="X101" s="409">
        <f t="shared" si="13"/>
        <v>535532.00381572056</v>
      </c>
      <c r="Y101" s="409">
        <f t="shared" si="13"/>
        <v>557195.17781965074</v>
      </c>
      <c r="Z101" s="409">
        <f t="shared" si="13"/>
        <v>640454.82967358083</v>
      </c>
      <c r="AA101" s="409">
        <f t="shared" si="13"/>
        <v>448087.90211179043</v>
      </c>
      <c r="AB101" s="409">
        <f t="shared" si="13"/>
        <v>547069.50146572059</v>
      </c>
      <c r="AC101" s="409">
        <f t="shared" si="13"/>
        <v>621090.4923578602</v>
      </c>
      <c r="AD101" s="409">
        <f t="shared" si="13"/>
        <v>811342.71266572049</v>
      </c>
      <c r="AE101" s="409">
        <f t="shared" si="13"/>
        <v>647732.73252961854</v>
      </c>
      <c r="AF101" s="409">
        <f t="shared" si="13"/>
        <v>482038.58286039968</v>
      </c>
      <c r="AG101" s="409">
        <f t="shared" si="13"/>
        <v>470242.70306021522</v>
      </c>
      <c r="AH101" s="409">
        <f>SUM(AH89:AH98)</f>
        <v>6960458.8986952109</v>
      </c>
      <c r="AI101" s="369"/>
      <c r="AJ101" s="369"/>
      <c r="AK101" s="407">
        <f t="shared" ref="AK101:AV101" si="14">SUM(AK89:AK99)</f>
        <v>705259.4700000002</v>
      </c>
      <c r="AL101" s="407">
        <f t="shared" si="14"/>
        <v>510494.70999999996</v>
      </c>
      <c r="AM101" s="407">
        <f t="shared" si="14"/>
        <v>359888.45999999996</v>
      </c>
      <c r="AN101" s="407">
        <f t="shared" si="14"/>
        <v>551040.16999999993</v>
      </c>
      <c r="AO101" s="407">
        <f t="shared" si="14"/>
        <v>238488.67</v>
      </c>
      <c r="AP101" s="407">
        <f t="shared" si="14"/>
        <v>483575.66999999993</v>
      </c>
      <c r="AQ101" s="407">
        <f t="shared" si="14"/>
        <v>398977.9200000001</v>
      </c>
      <c r="AR101" s="407">
        <f t="shared" si="14"/>
        <v>566129.47</v>
      </c>
      <c r="AS101" s="407">
        <f t="shared" si="14"/>
        <v>816038.78188575211</v>
      </c>
      <c r="AT101" s="407">
        <f t="shared" si="14"/>
        <v>929014.02895652282</v>
      </c>
      <c r="AU101" s="407">
        <f t="shared" si="14"/>
        <v>845758.37412351882</v>
      </c>
      <c r="AV101" s="407">
        <f t="shared" si="14"/>
        <v>693235.55576885596</v>
      </c>
      <c r="AW101" s="407">
        <f>SUM(AW89:AW98)</f>
        <v>7097901.2807346489</v>
      </c>
    </row>
    <row r="102" spans="1:49">
      <c r="A102" s="181" t="s">
        <v>355</v>
      </c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39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</row>
    <row r="103" spans="1:49">
      <c r="A103" s="13" t="s">
        <v>356</v>
      </c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9">
        <f>N92/N89</f>
        <v>0</v>
      </c>
      <c r="O103" s="139">
        <f>O92/O89</f>
        <v>0</v>
      </c>
      <c r="P103" s="139">
        <f>P92/P89</f>
        <v>0</v>
      </c>
      <c r="Q103" s="139">
        <f>Q92/Q89</f>
        <v>0</v>
      </c>
      <c r="R103" s="13"/>
      <c r="S103" s="39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</row>
    <row r="104" spans="1:49">
      <c r="A104" s="13"/>
      <c r="B104" s="13"/>
      <c r="C104" s="13"/>
      <c r="D104" s="13"/>
      <c r="E104" s="13"/>
      <c r="F104" s="45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</row>
    <row r="105" spans="1:49" outlineLevel="1">
      <c r="A105" s="161" t="s">
        <v>357</v>
      </c>
      <c r="B105" s="13"/>
      <c r="C105" s="13"/>
      <c r="D105" s="13"/>
      <c r="E105" s="13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15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</row>
    <row r="106" spans="1:49" outlineLevel="1">
      <c r="A106" s="50">
        <v>0.03</v>
      </c>
      <c r="B106" s="50"/>
      <c r="C106" s="50"/>
      <c r="D106" s="50"/>
      <c r="E106" s="50"/>
      <c r="F106" s="168">
        <v>0</v>
      </c>
      <c r="G106" s="168">
        <v>0</v>
      </c>
      <c r="H106" s="168">
        <v>0</v>
      </c>
      <c r="I106" s="168">
        <v>0</v>
      </c>
      <c r="J106" s="168">
        <v>5512.4795999999997</v>
      </c>
      <c r="K106" s="168">
        <v>6313.7589368580839</v>
      </c>
      <c r="L106" s="168">
        <v>6949.6414935991588</v>
      </c>
      <c r="M106" s="168">
        <v>8181.0481421153772</v>
      </c>
      <c r="N106" s="168">
        <v>9869.401552018955</v>
      </c>
      <c r="O106" s="168">
        <v>11471.362771272521</v>
      </c>
      <c r="P106" s="168">
        <v>10811.309613098732</v>
      </c>
      <c r="Q106" s="168">
        <v>8872.3977116687383</v>
      </c>
      <c r="R106" s="15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</row>
    <row r="107" spans="1:49" outlineLevel="1">
      <c r="A107" s="106">
        <v>5.0000000000000001E-3</v>
      </c>
      <c r="B107" s="106"/>
      <c r="C107" s="106"/>
      <c r="D107" s="106"/>
      <c r="E107" s="106"/>
      <c r="F107" s="168">
        <v>0</v>
      </c>
      <c r="G107" s="168">
        <v>0</v>
      </c>
      <c r="H107" s="168">
        <v>0</v>
      </c>
      <c r="I107" s="168">
        <v>0</v>
      </c>
      <c r="J107" s="168">
        <v>2042.9932000000003</v>
      </c>
      <c r="K107" s="168">
        <v>1673.5302791335394</v>
      </c>
      <c r="L107" s="168">
        <v>1882.7805373754243</v>
      </c>
      <c r="M107" s="168">
        <v>2235.7427472393169</v>
      </c>
      <c r="N107" s="168">
        <v>2705.0333245680235</v>
      </c>
      <c r="O107" s="168">
        <v>3120.5135354064632</v>
      </c>
      <c r="P107" s="168">
        <v>2814.3307394366502</v>
      </c>
      <c r="Q107" s="168">
        <v>2253.4095255359512</v>
      </c>
      <c r="R107" s="15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</row>
    <row r="108" spans="1:49" outlineLevel="1">
      <c r="A108" s="106"/>
      <c r="B108" s="106"/>
      <c r="C108" s="106"/>
      <c r="D108" s="106"/>
      <c r="E108" s="106"/>
      <c r="F108" s="104"/>
      <c r="G108" s="104"/>
      <c r="H108" s="104"/>
      <c r="I108" s="104"/>
      <c r="J108" s="104"/>
      <c r="K108" s="104"/>
      <c r="L108" s="104"/>
      <c r="M108" s="104"/>
      <c r="N108" s="104"/>
      <c r="O108" s="104"/>
      <c r="P108" s="104"/>
      <c r="Q108" s="104"/>
      <c r="R108" s="15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</row>
    <row r="109" spans="1:49" outlineLevel="1">
      <c r="A109" s="13"/>
      <c r="B109" s="11"/>
      <c r="C109" s="11"/>
      <c r="D109" s="11"/>
      <c r="E109" s="11"/>
      <c r="F109" s="105"/>
      <c r="G109" s="105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5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</row>
    <row r="110" spans="1:49" outlineLevel="1">
      <c r="A110" s="471" t="s">
        <v>128</v>
      </c>
      <c r="B110" s="369"/>
      <c r="C110" s="369"/>
      <c r="D110" s="369"/>
      <c r="E110" s="369"/>
      <c r="F110" s="472"/>
      <c r="G110" s="472"/>
      <c r="H110" s="472"/>
      <c r="I110" s="472"/>
      <c r="J110" s="472"/>
      <c r="K110" s="472"/>
      <c r="L110" s="472"/>
      <c r="M110" s="472"/>
      <c r="N110" s="472"/>
      <c r="O110" s="472"/>
      <c r="P110" s="472"/>
      <c r="Q110" s="472"/>
      <c r="R110" s="369"/>
      <c r="S110" s="369"/>
      <c r="T110" s="369"/>
      <c r="U110" s="369"/>
      <c r="V110" s="476"/>
      <c r="W110" s="476"/>
      <c r="X110" s="476"/>
      <c r="Y110" s="476"/>
      <c r="Z110" s="476"/>
      <c r="AA110" s="476"/>
      <c r="AB110" s="476"/>
      <c r="AC110" s="476"/>
      <c r="AD110" s="476"/>
      <c r="AE110" s="476"/>
      <c r="AF110" s="476"/>
      <c r="AG110" s="476"/>
      <c r="AH110" s="476"/>
      <c r="AI110" s="476"/>
      <c r="AJ110" s="476"/>
      <c r="AK110" s="476"/>
      <c r="AL110" s="476"/>
      <c r="AM110" s="476"/>
      <c r="AN110" s="476"/>
      <c r="AO110" s="476"/>
      <c r="AP110" s="476"/>
      <c r="AQ110" s="476"/>
      <c r="AR110" s="476"/>
      <c r="AS110" s="476"/>
      <c r="AT110" s="476"/>
      <c r="AU110" s="476"/>
      <c r="AV110" s="476"/>
      <c r="AW110" s="369"/>
    </row>
    <row r="111" spans="1:49" outlineLevel="1">
      <c r="A111" s="13" t="s">
        <v>277</v>
      </c>
      <c r="B111" s="13" t="s">
        <v>64</v>
      </c>
      <c r="C111" s="13" t="str">
        <f t="shared" ref="C111:C124" si="15">_xlfn.XLOOKUP($A111,$A$3:$A$101,$C$3:$C$101)</f>
        <v>UK</v>
      </c>
      <c r="D111" s="13" t="s">
        <v>375</v>
      </c>
      <c r="E111" s="139">
        <v>0.33</v>
      </c>
      <c r="F111" s="40">
        <f t="shared" ref="F111:Q124" si="16">SUMIF($A$3:$A$101,$A111,F$3:F$101)*$E111</f>
        <v>62748.952200000014</v>
      </c>
      <c r="G111" s="40">
        <f t="shared" si="16"/>
        <v>34140.2952</v>
      </c>
      <c r="H111" s="40">
        <f t="shared" si="16"/>
        <v>24303.648599999997</v>
      </c>
      <c r="I111" s="40">
        <f t="shared" si="16"/>
        <v>55132.829400000002</v>
      </c>
      <c r="J111" s="40">
        <f t="shared" si="16"/>
        <v>101615.91</v>
      </c>
      <c r="K111" s="40">
        <f t="shared" si="16"/>
        <v>37717.676699999996</v>
      </c>
      <c r="L111" s="40">
        <f t="shared" si="16"/>
        <v>6289.5888000000004</v>
      </c>
      <c r="M111" s="40">
        <f t="shared" si="16"/>
        <v>42383.840400000001</v>
      </c>
      <c r="N111" s="40">
        <f t="shared" si="16"/>
        <v>117085.6764</v>
      </c>
      <c r="O111" s="40">
        <f t="shared" si="16"/>
        <v>73431.469513930439</v>
      </c>
      <c r="P111" s="40">
        <f t="shared" si="16"/>
        <v>47304.586145429646</v>
      </c>
      <c r="Q111" s="40">
        <f t="shared" si="16"/>
        <v>69526.904385864094</v>
      </c>
      <c r="R111" s="40">
        <f t="shared" ref="R111:R124" si="17">SUM(F111:Q111)</f>
        <v>671681.37774522416</v>
      </c>
      <c r="S111" s="13"/>
      <c r="T111" s="13"/>
      <c r="U111" s="50">
        <v>0.33</v>
      </c>
      <c r="V111" s="40">
        <f t="shared" ref="V111:AG124" si="18">SUMIF($A$3:$A$101,$A111,V$3:V$101)*$U111</f>
        <v>71432.811912000005</v>
      </c>
      <c r="W111" s="40">
        <f t="shared" si="18"/>
        <v>41204.388191999999</v>
      </c>
      <c r="X111" s="40">
        <f t="shared" si="18"/>
        <v>28410.394056000001</v>
      </c>
      <c r="Y111" s="40">
        <f t="shared" si="18"/>
        <v>40694.686824000004</v>
      </c>
      <c r="Z111" s="40">
        <f t="shared" si="18"/>
        <v>63585.363599999997</v>
      </c>
      <c r="AA111" s="40">
        <f t="shared" si="18"/>
        <v>38751.292931999997</v>
      </c>
      <c r="AB111" s="40">
        <f t="shared" si="18"/>
        <v>33350.006448</v>
      </c>
      <c r="AC111" s="40">
        <f t="shared" si="18"/>
        <v>45725.646384</v>
      </c>
      <c r="AD111" s="40">
        <f t="shared" si="18"/>
        <v>120834.05294400001</v>
      </c>
      <c r="AE111" s="40">
        <f t="shared" si="18"/>
        <v>65549.951219442781</v>
      </c>
      <c r="AF111" s="40">
        <f t="shared" si="18"/>
        <v>68744.976554182824</v>
      </c>
      <c r="AG111" s="40">
        <f t="shared" si="18"/>
        <v>68144.503824565443</v>
      </c>
      <c r="AH111" s="40">
        <f t="shared" ref="AH111:AH124" si="19">SUM(V111:AG111)</f>
        <v>686428.07489019108</v>
      </c>
      <c r="AI111" s="171"/>
      <c r="AJ111" s="50">
        <v>0.25</v>
      </c>
      <c r="AK111" s="40">
        <f t="shared" ref="AK111:AV124" si="20">SUMIF($A$3:$A$101,$A111,AK$3:AK$101)*$AJ111</f>
        <v>47537.085000000006</v>
      </c>
      <c r="AL111" s="40">
        <f t="shared" si="20"/>
        <v>25863.86</v>
      </c>
      <c r="AM111" s="40">
        <f t="shared" si="20"/>
        <v>18411.854999999996</v>
      </c>
      <c r="AN111" s="40">
        <f t="shared" si="20"/>
        <v>41767.294999999998</v>
      </c>
      <c r="AO111" s="40">
        <f t="shared" si="20"/>
        <v>0</v>
      </c>
      <c r="AP111" s="40">
        <f t="shared" si="20"/>
        <v>28573.997499999998</v>
      </c>
      <c r="AQ111" s="40">
        <f t="shared" si="20"/>
        <v>4764.84</v>
      </c>
      <c r="AR111" s="40">
        <f t="shared" si="20"/>
        <v>32108.969999999998</v>
      </c>
      <c r="AS111" s="40">
        <f t="shared" si="20"/>
        <v>72334.602015386481</v>
      </c>
      <c r="AT111" s="40">
        <f t="shared" si="20"/>
        <v>83444.851720375504</v>
      </c>
      <c r="AU111" s="40">
        <f t="shared" si="20"/>
        <v>75257.296140456179</v>
      </c>
      <c r="AV111" s="40">
        <f t="shared" si="20"/>
        <v>60257.84589302753</v>
      </c>
      <c r="AW111" s="40">
        <f t="shared" ref="AW111:AW124" si="21">SUM(AK111:AV111)</f>
        <v>490322.49826924573</v>
      </c>
    </row>
    <row r="112" spans="1:49" outlineLevel="1">
      <c r="A112" s="13" t="s">
        <v>248</v>
      </c>
      <c r="B112" s="13" t="s">
        <v>64</v>
      </c>
      <c r="C112" s="13" t="str">
        <f t="shared" si="15"/>
        <v>UK</v>
      </c>
      <c r="D112" s="13" t="s">
        <v>375</v>
      </c>
      <c r="E112" s="139">
        <v>0.24</v>
      </c>
      <c r="F112" s="40">
        <f t="shared" si="16"/>
        <v>14906.373599999997</v>
      </c>
      <c r="G112" s="40">
        <f t="shared" si="16"/>
        <v>8371.4880000000012</v>
      </c>
      <c r="H112" s="40">
        <f t="shared" si="16"/>
        <v>15710.9568</v>
      </c>
      <c r="I112" s="40">
        <f t="shared" si="16"/>
        <v>13586.731199999998</v>
      </c>
      <c r="J112" s="40">
        <f t="shared" si="16"/>
        <v>10044.489599999999</v>
      </c>
      <c r="K112" s="40">
        <f t="shared" si="16"/>
        <v>12486.0672</v>
      </c>
      <c r="L112" s="40">
        <f t="shared" si="16"/>
        <v>13320.019200000001</v>
      </c>
      <c r="M112" s="40">
        <f t="shared" si="16"/>
        <v>12859.185600000001</v>
      </c>
      <c r="N112" s="40">
        <f t="shared" si="16"/>
        <v>17183.404799999997</v>
      </c>
      <c r="O112" s="40">
        <f t="shared" si="16"/>
        <v>20493.48830320908</v>
      </c>
      <c r="P112" s="40">
        <f t="shared" si="16"/>
        <v>23998.166781714001</v>
      </c>
      <c r="Q112" s="40">
        <f t="shared" si="16"/>
        <v>15465.810620595121</v>
      </c>
      <c r="R112" s="40">
        <f t="shared" si="17"/>
        <v>178426.18170551819</v>
      </c>
      <c r="S112" s="13"/>
      <c r="T112" s="13"/>
      <c r="U112" s="50">
        <v>0.24</v>
      </c>
      <c r="V112" s="40">
        <f t="shared" si="18"/>
        <v>14161.054919999997</v>
      </c>
      <c r="W112" s="40">
        <f t="shared" si="18"/>
        <v>7952.9135999999999</v>
      </c>
      <c r="X112" s="40">
        <f t="shared" si="18"/>
        <v>14925.408959999999</v>
      </c>
      <c r="Y112" s="40">
        <f t="shared" si="18"/>
        <v>12907.394639999999</v>
      </c>
      <c r="Z112" s="40">
        <f t="shared" si="18"/>
        <v>10044.489599999999</v>
      </c>
      <c r="AA112" s="40">
        <f t="shared" si="18"/>
        <v>12486.0672</v>
      </c>
      <c r="AB112" s="40">
        <f t="shared" si="18"/>
        <v>37320.019200000002</v>
      </c>
      <c r="AC112" s="40">
        <f t="shared" si="18"/>
        <v>36859.185599999997</v>
      </c>
      <c r="AD112" s="40">
        <f t="shared" si="18"/>
        <v>13746.723839999999</v>
      </c>
      <c r="AE112" s="40">
        <f t="shared" si="18"/>
        <v>16394.790642567266</v>
      </c>
      <c r="AF112" s="40">
        <f t="shared" si="18"/>
        <v>19198.533425371203</v>
      </c>
      <c r="AG112" s="40">
        <f t="shared" si="18"/>
        <v>12372.648496476097</v>
      </c>
      <c r="AH112" s="40">
        <f t="shared" si="19"/>
        <v>208369.23012441455</v>
      </c>
      <c r="AI112" s="171"/>
      <c r="AJ112" s="50">
        <v>0.15</v>
      </c>
      <c r="AK112" s="40">
        <f t="shared" si="20"/>
        <v>9316.4834999999985</v>
      </c>
      <c r="AL112" s="40">
        <f t="shared" si="20"/>
        <v>5232.18</v>
      </c>
      <c r="AM112" s="40">
        <f t="shared" si="20"/>
        <v>9819.348</v>
      </c>
      <c r="AN112" s="40">
        <f t="shared" si="20"/>
        <v>8491.7069999999985</v>
      </c>
      <c r="AO112" s="40">
        <f t="shared" si="20"/>
        <v>0</v>
      </c>
      <c r="AP112" s="40">
        <f t="shared" si="20"/>
        <v>7803.7919999999995</v>
      </c>
      <c r="AQ112" s="40">
        <f t="shared" si="20"/>
        <v>8325.0120000000006</v>
      </c>
      <c r="AR112" s="40">
        <f t="shared" si="20"/>
        <v>8036.991</v>
      </c>
      <c r="AS112" s="40">
        <f t="shared" si="20"/>
        <v>19605.542590398938</v>
      </c>
      <c r="AT112" s="40">
        <f t="shared" si="20"/>
        <v>22616.860379011308</v>
      </c>
      <c r="AU112" s="40">
        <f t="shared" si="20"/>
        <v>20397.708477142518</v>
      </c>
      <c r="AV112" s="40">
        <f t="shared" si="20"/>
        <v>16332.263275743895</v>
      </c>
      <c r="AW112" s="40">
        <f t="shared" si="21"/>
        <v>135977.88822229666</v>
      </c>
    </row>
    <row r="113" spans="1:49" outlineLevel="1">
      <c r="A113" s="13" t="s">
        <v>332</v>
      </c>
      <c r="B113" s="13" t="s">
        <v>64</v>
      </c>
      <c r="C113" s="13" t="str">
        <f t="shared" si="15"/>
        <v>UK</v>
      </c>
      <c r="D113" s="13" t="s">
        <v>375</v>
      </c>
      <c r="E113" s="139">
        <v>0.18</v>
      </c>
      <c r="F113" s="40">
        <f t="shared" si="16"/>
        <v>2953.3139999999999</v>
      </c>
      <c r="G113" s="40">
        <f t="shared" si="16"/>
        <v>1423.9475999999995</v>
      </c>
      <c r="H113" s="40">
        <f t="shared" si="16"/>
        <v>2277.7757999999994</v>
      </c>
      <c r="I113" s="40">
        <f t="shared" si="16"/>
        <v>2665.3211999999994</v>
      </c>
      <c r="J113" s="40">
        <f t="shared" si="16"/>
        <v>3050.3358000000003</v>
      </c>
      <c r="K113" s="40">
        <f t="shared" si="16"/>
        <v>1657.3248000000001</v>
      </c>
      <c r="L113" s="40">
        <f t="shared" si="16"/>
        <v>1986.5141999999996</v>
      </c>
      <c r="M113" s="40">
        <f t="shared" si="16"/>
        <v>2102.5188000000007</v>
      </c>
      <c r="N113" s="40">
        <f t="shared" si="16"/>
        <v>7190.3123999999998</v>
      </c>
      <c r="O113" s="40">
        <f t="shared" si="16"/>
        <v>2757.6735428571424</v>
      </c>
      <c r="P113" s="40">
        <f t="shared" si="16"/>
        <v>2408.2058204081641</v>
      </c>
      <c r="Q113" s="40">
        <f t="shared" si="16"/>
        <v>2503.9815376093379</v>
      </c>
      <c r="R113" s="40">
        <f t="shared" si="17"/>
        <v>32977.225500874643</v>
      </c>
      <c r="S113" s="13"/>
      <c r="T113" s="13"/>
      <c r="U113" s="50">
        <v>0.18</v>
      </c>
      <c r="V113" s="40">
        <f t="shared" si="18"/>
        <v>2953.3139999999999</v>
      </c>
      <c r="W113" s="40">
        <f t="shared" si="18"/>
        <v>1423.9475999999995</v>
      </c>
      <c r="X113" s="40">
        <f t="shared" si="18"/>
        <v>2277.7757999999994</v>
      </c>
      <c r="Y113" s="40">
        <f t="shared" si="18"/>
        <v>2665.3211999999994</v>
      </c>
      <c r="Z113" s="40">
        <f t="shared" si="18"/>
        <v>7550.3357999999989</v>
      </c>
      <c r="AA113" s="40">
        <f t="shared" si="18"/>
        <v>1574.45856</v>
      </c>
      <c r="AB113" s="40">
        <f t="shared" si="18"/>
        <v>1887.1884899999998</v>
      </c>
      <c r="AC113" s="40">
        <f t="shared" si="18"/>
        <v>1997.3928600000013</v>
      </c>
      <c r="AD113" s="40">
        <f t="shared" si="18"/>
        <v>8630.7967799999988</v>
      </c>
      <c r="AE113" s="40">
        <f t="shared" si="18"/>
        <v>4419.789865714285</v>
      </c>
      <c r="AF113" s="40">
        <f t="shared" si="18"/>
        <v>2287.7955293877558</v>
      </c>
      <c r="AG113" s="40">
        <f t="shared" si="18"/>
        <v>2378.7824607288708</v>
      </c>
      <c r="AH113" s="40">
        <f t="shared" si="19"/>
        <v>40046.898945830908</v>
      </c>
      <c r="AI113" s="171"/>
      <c r="AJ113" s="50">
        <v>0.15</v>
      </c>
      <c r="AK113" s="40">
        <f t="shared" si="20"/>
        <v>2461.0949999999998</v>
      </c>
      <c r="AL113" s="40">
        <f t="shared" si="20"/>
        <v>1186.6229999999996</v>
      </c>
      <c r="AM113" s="40">
        <f t="shared" si="20"/>
        <v>1898.1464999999996</v>
      </c>
      <c r="AN113" s="40">
        <f t="shared" si="20"/>
        <v>2221.1009999999997</v>
      </c>
      <c r="AO113" s="40">
        <f t="shared" si="20"/>
        <v>0</v>
      </c>
      <c r="AP113" s="40">
        <f t="shared" si="20"/>
        <v>1381.104</v>
      </c>
      <c r="AQ113" s="40">
        <f t="shared" si="20"/>
        <v>1655.4284999999998</v>
      </c>
      <c r="AR113" s="40">
        <f t="shared" si="20"/>
        <v>1752.0990000000004</v>
      </c>
      <c r="AS113" s="40">
        <f t="shared" si="20"/>
        <v>5283.9396574348366</v>
      </c>
      <c r="AT113" s="40">
        <f t="shared" si="20"/>
        <v>6095.5275750362589</v>
      </c>
      <c r="AU113" s="40">
        <f t="shared" si="20"/>
        <v>5497.438300735902</v>
      </c>
      <c r="AV113" s="40">
        <f t="shared" si="20"/>
        <v>4401.7498225543241</v>
      </c>
      <c r="AW113" s="40">
        <f t="shared" si="21"/>
        <v>33834.252355761317</v>
      </c>
    </row>
    <row r="114" spans="1:49" outlineLevel="1">
      <c r="A114" s="13" t="s">
        <v>330</v>
      </c>
      <c r="B114" s="13" t="s">
        <v>64</v>
      </c>
      <c r="C114" s="13" t="str">
        <f t="shared" si="15"/>
        <v>UK</v>
      </c>
      <c r="D114" s="13" t="s">
        <v>375</v>
      </c>
      <c r="E114" s="139">
        <v>0.23</v>
      </c>
      <c r="F114" s="40">
        <f t="shared" si="16"/>
        <v>4116.5169999999998</v>
      </c>
      <c r="G114" s="40">
        <f t="shared" si="16"/>
        <v>10891.544199999998</v>
      </c>
      <c r="H114" s="40">
        <f t="shared" si="16"/>
        <v>6885.6801999999998</v>
      </c>
      <c r="I114" s="40">
        <f t="shared" si="16"/>
        <v>2148.6600000000003</v>
      </c>
      <c r="J114" s="40">
        <f t="shared" si="16"/>
        <v>218.67940000000002</v>
      </c>
      <c r="K114" s="40">
        <f t="shared" si="16"/>
        <v>0</v>
      </c>
      <c r="L114" s="40">
        <f t="shared" si="16"/>
        <v>1530.7627</v>
      </c>
      <c r="M114" s="40">
        <f t="shared" si="16"/>
        <v>9182.7178000000004</v>
      </c>
      <c r="N114" s="40">
        <f t="shared" si="16"/>
        <v>1674.7450000000001</v>
      </c>
      <c r="O114" s="40">
        <f t="shared" si="16"/>
        <v>2627.06</v>
      </c>
      <c r="P114" s="40">
        <f t="shared" si="16"/>
        <v>3382.8556512240693</v>
      </c>
      <c r="Q114" s="40">
        <f t="shared" si="16"/>
        <v>2051.8739802623718</v>
      </c>
      <c r="R114" s="40">
        <f t="shared" si="17"/>
        <v>44711.095931486445</v>
      </c>
      <c r="S114" s="13"/>
      <c r="T114" s="13"/>
      <c r="U114" s="50">
        <v>0.23</v>
      </c>
      <c r="V114" s="40">
        <f t="shared" si="18"/>
        <v>3450</v>
      </c>
      <c r="W114" s="40">
        <f t="shared" si="18"/>
        <v>7935</v>
      </c>
      <c r="X114" s="40">
        <f t="shared" si="18"/>
        <v>0</v>
      </c>
      <c r="Y114" s="40">
        <f t="shared" si="18"/>
        <v>2300</v>
      </c>
      <c r="Z114" s="40">
        <f t="shared" si="18"/>
        <v>2244.34</v>
      </c>
      <c r="AA114" s="40">
        <f t="shared" si="18"/>
        <v>1674.4</v>
      </c>
      <c r="AB114" s="40">
        <f t="shared" si="18"/>
        <v>1595.51</v>
      </c>
      <c r="AC114" s="40">
        <f t="shared" si="18"/>
        <v>3657.69</v>
      </c>
      <c r="AD114" s="40">
        <f t="shared" si="18"/>
        <v>1948.5600000000002</v>
      </c>
      <c r="AE114" s="40">
        <f t="shared" si="18"/>
        <v>7556.42</v>
      </c>
      <c r="AF114" s="40">
        <f t="shared" si="18"/>
        <v>6296.25</v>
      </c>
      <c r="AG114" s="40">
        <f t="shared" si="18"/>
        <v>5090.3600000000006</v>
      </c>
      <c r="AH114" s="40">
        <f t="shared" si="19"/>
        <v>43748.53</v>
      </c>
      <c r="AI114" s="171"/>
      <c r="AJ114" s="50">
        <v>0.15</v>
      </c>
      <c r="AK114" s="40">
        <f t="shared" si="20"/>
        <v>2684.6849999999995</v>
      </c>
      <c r="AL114" s="40">
        <f t="shared" si="20"/>
        <v>7103.1809999999987</v>
      </c>
      <c r="AM114" s="40">
        <f t="shared" si="20"/>
        <v>4490.6609999999991</v>
      </c>
      <c r="AN114" s="40">
        <f t="shared" si="20"/>
        <v>1401.3</v>
      </c>
      <c r="AO114" s="40">
        <f t="shared" si="20"/>
        <v>0</v>
      </c>
      <c r="AP114" s="40">
        <f t="shared" si="20"/>
        <v>0</v>
      </c>
      <c r="AQ114" s="40">
        <f t="shared" si="20"/>
        <v>998.32349999999997</v>
      </c>
      <c r="AR114" s="40">
        <f t="shared" si="20"/>
        <v>5988.7290000000003</v>
      </c>
      <c r="AS114" s="40">
        <f t="shared" si="20"/>
        <v>3212.7475189268821</v>
      </c>
      <c r="AT114" s="40">
        <f t="shared" si="20"/>
        <v>3706.2102073200381</v>
      </c>
      <c r="AU114" s="40">
        <f t="shared" si="20"/>
        <v>3342.5592278086492</v>
      </c>
      <c r="AV114" s="40">
        <f t="shared" si="20"/>
        <v>2676.3573655596101</v>
      </c>
      <c r="AW114" s="40">
        <f t="shared" si="21"/>
        <v>35604.753819615173</v>
      </c>
    </row>
    <row r="115" spans="1:49" outlineLevel="1">
      <c r="A115" s="13" t="s">
        <v>264</v>
      </c>
      <c r="B115" s="13" t="s">
        <v>73</v>
      </c>
      <c r="C115" s="13" t="str">
        <f t="shared" si="15"/>
        <v>CE</v>
      </c>
      <c r="D115" s="13" t="s">
        <v>375</v>
      </c>
      <c r="E115" s="139">
        <v>0.05</v>
      </c>
      <c r="F115" s="40">
        <f t="shared" si="16"/>
        <v>3492.0915000000005</v>
      </c>
      <c r="G115" s="40">
        <f t="shared" si="16"/>
        <v>2446.5825</v>
      </c>
      <c r="H115" s="40">
        <f t="shared" si="16"/>
        <v>0</v>
      </c>
      <c r="I115" s="40">
        <f t="shared" si="16"/>
        <v>3353.3190000000004</v>
      </c>
      <c r="J115" s="40">
        <f t="shared" si="16"/>
        <v>2941.0520000000006</v>
      </c>
      <c r="K115" s="40">
        <f t="shared" si="16"/>
        <v>1723.0020000000002</v>
      </c>
      <c r="L115" s="40">
        <f t="shared" si="16"/>
        <v>2256.5245</v>
      </c>
      <c r="M115" s="40">
        <f t="shared" si="16"/>
        <v>-42.019500000000001</v>
      </c>
      <c r="N115" s="40">
        <f t="shared" si="16"/>
        <v>0</v>
      </c>
      <c r="O115" s="40">
        <f t="shared" si="16"/>
        <v>5700</v>
      </c>
      <c r="P115" s="40">
        <f t="shared" si="16"/>
        <v>2000</v>
      </c>
      <c r="Q115" s="40">
        <f t="shared" si="16"/>
        <v>2020.3088160243269</v>
      </c>
      <c r="R115" s="40">
        <f t="shared" si="17"/>
        <v>25890.860816024331</v>
      </c>
      <c r="S115" s="13"/>
      <c r="T115" s="13"/>
      <c r="U115" s="50">
        <v>0.05</v>
      </c>
      <c r="V115" s="40">
        <f t="shared" si="18"/>
        <v>1500</v>
      </c>
      <c r="W115" s="40">
        <f t="shared" si="18"/>
        <v>2500</v>
      </c>
      <c r="X115" s="40">
        <f t="shared" si="18"/>
        <v>2300</v>
      </c>
      <c r="Y115" s="40">
        <f t="shared" si="18"/>
        <v>2250</v>
      </c>
      <c r="Z115" s="40">
        <f t="shared" si="18"/>
        <v>2700</v>
      </c>
      <c r="AA115" s="40">
        <f t="shared" si="18"/>
        <v>1350</v>
      </c>
      <c r="AB115" s="40">
        <f t="shared" si="18"/>
        <v>1800</v>
      </c>
      <c r="AC115" s="40">
        <f t="shared" si="18"/>
        <v>900</v>
      </c>
      <c r="AD115" s="40">
        <f t="shared" si="18"/>
        <v>2300</v>
      </c>
      <c r="AE115" s="40">
        <f t="shared" si="18"/>
        <v>2700</v>
      </c>
      <c r="AF115" s="40">
        <f t="shared" si="18"/>
        <v>1800</v>
      </c>
      <c r="AG115" s="40">
        <f t="shared" si="18"/>
        <v>1800</v>
      </c>
      <c r="AH115" s="40">
        <f t="shared" si="19"/>
        <v>23900</v>
      </c>
      <c r="AI115" s="171"/>
      <c r="AJ115" s="50">
        <v>0.05</v>
      </c>
      <c r="AK115" s="40">
        <f t="shared" si="20"/>
        <v>3492.0915000000005</v>
      </c>
      <c r="AL115" s="40">
        <f t="shared" si="20"/>
        <v>2446.5825</v>
      </c>
      <c r="AM115" s="40">
        <f t="shared" si="20"/>
        <v>0</v>
      </c>
      <c r="AN115" s="40">
        <f t="shared" si="20"/>
        <v>3353.3190000000004</v>
      </c>
      <c r="AO115" s="40">
        <f t="shared" si="20"/>
        <v>2941.0520000000006</v>
      </c>
      <c r="AP115" s="40">
        <f t="shared" si="20"/>
        <v>1723.0020000000002</v>
      </c>
      <c r="AQ115" s="40">
        <f t="shared" si="20"/>
        <v>2256.5245</v>
      </c>
      <c r="AR115" s="40">
        <f t="shared" si="20"/>
        <v>0</v>
      </c>
      <c r="AS115" s="40">
        <f t="shared" si="20"/>
        <v>3637.8225604362169</v>
      </c>
      <c r="AT115" s="40">
        <f t="shared" si="20"/>
        <v>4196.5747468419941</v>
      </c>
      <c r="AU115" s="40">
        <f t="shared" si="20"/>
        <v>3784.8095117596149</v>
      </c>
      <c r="AV115" s="40">
        <f t="shared" si="20"/>
        <v>3030.463224036489</v>
      </c>
      <c r="AW115" s="40">
        <f t="shared" si="21"/>
        <v>30862.241543074313</v>
      </c>
    </row>
    <row r="116" spans="1:49" outlineLevel="1">
      <c r="A116" s="13" t="s">
        <v>291</v>
      </c>
      <c r="B116" s="13" t="s">
        <v>72</v>
      </c>
      <c r="C116" s="13" t="str">
        <f t="shared" si="15"/>
        <v>EE</v>
      </c>
      <c r="D116" s="13" t="s">
        <v>375</v>
      </c>
      <c r="E116" s="139">
        <v>0.1</v>
      </c>
      <c r="F116" s="40">
        <f t="shared" si="16"/>
        <v>458.25</v>
      </c>
      <c r="G116" s="40">
        <f t="shared" si="16"/>
        <v>0</v>
      </c>
      <c r="H116" s="40">
        <f t="shared" si="16"/>
        <v>0</v>
      </c>
      <c r="I116" s="40">
        <f t="shared" si="16"/>
        <v>1007.1599999999999</v>
      </c>
      <c r="J116" s="40">
        <f t="shared" si="16"/>
        <v>1219.836</v>
      </c>
      <c r="K116" s="40">
        <f t="shared" si="16"/>
        <v>1027.7700000000002</v>
      </c>
      <c r="L116" s="40">
        <f t="shared" si="16"/>
        <v>0</v>
      </c>
      <c r="M116" s="40">
        <f t="shared" si="16"/>
        <v>0</v>
      </c>
      <c r="N116" s="40">
        <f t="shared" si="16"/>
        <v>2505.5500000000002</v>
      </c>
      <c r="O116" s="40">
        <f t="shared" si="16"/>
        <v>4000</v>
      </c>
      <c r="P116" s="40">
        <f t="shared" si="16"/>
        <v>1500</v>
      </c>
      <c r="Q116" s="40">
        <f t="shared" si="16"/>
        <v>1500</v>
      </c>
      <c r="R116" s="40">
        <f t="shared" si="17"/>
        <v>13218.566000000001</v>
      </c>
      <c r="S116" s="13"/>
      <c r="T116" s="13"/>
      <c r="U116" s="50">
        <v>0</v>
      </c>
      <c r="V116" s="40">
        <f t="shared" si="18"/>
        <v>0</v>
      </c>
      <c r="W116" s="40">
        <f t="shared" si="18"/>
        <v>0</v>
      </c>
      <c r="X116" s="40">
        <f t="shared" si="18"/>
        <v>0</v>
      </c>
      <c r="Y116" s="40">
        <f t="shared" si="18"/>
        <v>0</v>
      </c>
      <c r="Z116" s="40">
        <f t="shared" si="18"/>
        <v>0</v>
      </c>
      <c r="AA116" s="40">
        <f t="shared" si="18"/>
        <v>0</v>
      </c>
      <c r="AB116" s="40">
        <f t="shared" si="18"/>
        <v>0</v>
      </c>
      <c r="AC116" s="40">
        <f t="shared" si="18"/>
        <v>0</v>
      </c>
      <c r="AD116" s="40">
        <f t="shared" si="18"/>
        <v>0</v>
      </c>
      <c r="AE116" s="40">
        <f t="shared" si="18"/>
        <v>0</v>
      </c>
      <c r="AF116" s="40">
        <f t="shared" si="18"/>
        <v>0</v>
      </c>
      <c r="AG116" s="40">
        <f t="shared" si="18"/>
        <v>0</v>
      </c>
      <c r="AH116" s="40">
        <f t="shared" si="19"/>
        <v>0</v>
      </c>
      <c r="AI116" s="171"/>
      <c r="AJ116" s="50">
        <v>0</v>
      </c>
      <c r="AK116" s="40">
        <f t="shared" si="20"/>
        <v>0</v>
      </c>
      <c r="AL116" s="40">
        <f t="shared" si="20"/>
        <v>0</v>
      </c>
      <c r="AM116" s="40">
        <f t="shared" si="20"/>
        <v>0</v>
      </c>
      <c r="AN116" s="40">
        <f t="shared" si="20"/>
        <v>0</v>
      </c>
      <c r="AO116" s="40">
        <f t="shared" si="20"/>
        <v>0</v>
      </c>
      <c r="AP116" s="40">
        <f t="shared" si="20"/>
        <v>0</v>
      </c>
      <c r="AQ116" s="40">
        <f t="shared" si="20"/>
        <v>0</v>
      </c>
      <c r="AR116" s="40">
        <f t="shared" si="20"/>
        <v>0</v>
      </c>
      <c r="AS116" s="40">
        <f t="shared" si="20"/>
        <v>0</v>
      </c>
      <c r="AT116" s="40">
        <f t="shared" si="20"/>
        <v>0</v>
      </c>
      <c r="AU116" s="40">
        <f t="shared" si="20"/>
        <v>0</v>
      </c>
      <c r="AV116" s="40">
        <f t="shared" si="20"/>
        <v>0</v>
      </c>
      <c r="AW116" s="40">
        <f t="shared" si="21"/>
        <v>0</v>
      </c>
    </row>
    <row r="117" spans="1:49" outlineLevel="1">
      <c r="A117" s="13" t="s">
        <v>273</v>
      </c>
      <c r="B117" s="13" t="s">
        <v>70</v>
      </c>
      <c r="C117" s="13" t="str">
        <f t="shared" si="15"/>
        <v>EE</v>
      </c>
      <c r="D117" s="13" t="s">
        <v>375</v>
      </c>
      <c r="E117" s="139">
        <v>0.05</v>
      </c>
      <c r="F117" s="40">
        <f t="shared" si="16"/>
        <v>0</v>
      </c>
      <c r="G117" s="40">
        <f t="shared" si="16"/>
        <v>1190.97</v>
      </c>
      <c r="H117" s="40">
        <f t="shared" si="16"/>
        <v>1516.93</v>
      </c>
      <c r="I117" s="40">
        <f t="shared" si="16"/>
        <v>1261.3500000000004</v>
      </c>
      <c r="J117" s="40">
        <f t="shared" si="16"/>
        <v>0</v>
      </c>
      <c r="K117" s="40">
        <f t="shared" si="16"/>
        <v>752.13000000000011</v>
      </c>
      <c r="L117" s="40">
        <f t="shared" si="16"/>
        <v>1197.4400000000003</v>
      </c>
      <c r="M117" s="40">
        <f t="shared" si="16"/>
        <v>0</v>
      </c>
      <c r="N117" s="40">
        <f t="shared" si="16"/>
        <v>1306.2050000000002</v>
      </c>
      <c r="O117" s="40">
        <f t="shared" si="16"/>
        <v>3500</v>
      </c>
      <c r="P117" s="40">
        <f t="shared" si="16"/>
        <v>1000</v>
      </c>
      <c r="Q117" s="40">
        <f t="shared" si="16"/>
        <v>1500</v>
      </c>
      <c r="R117" s="40">
        <f t="shared" si="17"/>
        <v>13225.025000000001</v>
      </c>
      <c r="S117" s="13"/>
      <c r="T117" s="13"/>
      <c r="U117" s="50">
        <v>0</v>
      </c>
      <c r="V117" s="40">
        <f t="shared" si="18"/>
        <v>0</v>
      </c>
      <c r="W117" s="40">
        <f t="shared" si="18"/>
        <v>0</v>
      </c>
      <c r="X117" s="40">
        <f t="shared" si="18"/>
        <v>0</v>
      </c>
      <c r="Y117" s="40">
        <f t="shared" si="18"/>
        <v>0</v>
      </c>
      <c r="Z117" s="40">
        <f t="shared" si="18"/>
        <v>0</v>
      </c>
      <c r="AA117" s="40">
        <f t="shared" si="18"/>
        <v>0</v>
      </c>
      <c r="AB117" s="40">
        <f t="shared" si="18"/>
        <v>0</v>
      </c>
      <c r="AC117" s="40">
        <f t="shared" si="18"/>
        <v>0</v>
      </c>
      <c r="AD117" s="40">
        <f t="shared" si="18"/>
        <v>0</v>
      </c>
      <c r="AE117" s="40">
        <f t="shared" si="18"/>
        <v>0</v>
      </c>
      <c r="AF117" s="40">
        <f t="shared" si="18"/>
        <v>0</v>
      </c>
      <c r="AG117" s="40">
        <f t="shared" si="18"/>
        <v>0</v>
      </c>
      <c r="AH117" s="40">
        <f t="shared" si="19"/>
        <v>0</v>
      </c>
      <c r="AI117" s="171"/>
      <c r="AJ117" s="50">
        <v>0</v>
      </c>
      <c r="AK117" s="40">
        <f t="shared" si="20"/>
        <v>0</v>
      </c>
      <c r="AL117" s="40">
        <f t="shared" si="20"/>
        <v>0</v>
      </c>
      <c r="AM117" s="40">
        <f t="shared" si="20"/>
        <v>0</v>
      </c>
      <c r="AN117" s="40">
        <f t="shared" si="20"/>
        <v>0</v>
      </c>
      <c r="AO117" s="40">
        <f t="shared" si="20"/>
        <v>0</v>
      </c>
      <c r="AP117" s="40">
        <f t="shared" si="20"/>
        <v>0</v>
      </c>
      <c r="AQ117" s="40">
        <f t="shared" si="20"/>
        <v>0</v>
      </c>
      <c r="AR117" s="40">
        <f t="shared" si="20"/>
        <v>0</v>
      </c>
      <c r="AS117" s="40">
        <f t="shared" si="20"/>
        <v>0</v>
      </c>
      <c r="AT117" s="40">
        <f t="shared" si="20"/>
        <v>0</v>
      </c>
      <c r="AU117" s="40">
        <f t="shared" si="20"/>
        <v>0</v>
      </c>
      <c r="AV117" s="40">
        <f t="shared" si="20"/>
        <v>0</v>
      </c>
      <c r="AW117" s="40">
        <f t="shared" si="21"/>
        <v>0</v>
      </c>
    </row>
    <row r="118" spans="1:49" outlineLevel="1">
      <c r="A118" s="13" t="s">
        <v>340</v>
      </c>
      <c r="B118" s="13" t="s">
        <v>68</v>
      </c>
      <c r="C118" s="13" t="str">
        <f t="shared" si="15"/>
        <v>EE</v>
      </c>
      <c r="D118" s="13" t="s">
        <v>375</v>
      </c>
      <c r="E118" s="139"/>
      <c r="F118" s="40">
        <f t="shared" si="16"/>
        <v>0</v>
      </c>
      <c r="G118" s="40">
        <f t="shared" si="16"/>
        <v>0</v>
      </c>
      <c r="H118" s="40">
        <f t="shared" si="16"/>
        <v>0</v>
      </c>
      <c r="I118" s="40">
        <f t="shared" si="16"/>
        <v>0</v>
      </c>
      <c r="J118" s="40">
        <f t="shared" si="16"/>
        <v>0</v>
      </c>
      <c r="K118" s="40">
        <f t="shared" si="16"/>
        <v>0</v>
      </c>
      <c r="L118" s="40">
        <f t="shared" si="16"/>
        <v>0</v>
      </c>
      <c r="M118" s="40">
        <f t="shared" si="16"/>
        <v>0</v>
      </c>
      <c r="N118" s="40">
        <f t="shared" si="16"/>
        <v>0</v>
      </c>
      <c r="O118" s="40">
        <f t="shared" si="16"/>
        <v>0</v>
      </c>
      <c r="P118" s="40">
        <f t="shared" si="16"/>
        <v>0</v>
      </c>
      <c r="Q118" s="40">
        <f t="shared" si="16"/>
        <v>0</v>
      </c>
      <c r="R118" s="40">
        <f t="shared" si="17"/>
        <v>0</v>
      </c>
      <c r="S118" s="13"/>
      <c r="T118" s="13"/>
      <c r="U118" s="50">
        <v>0.05</v>
      </c>
      <c r="V118" s="40">
        <f t="shared" si="18"/>
        <v>500</v>
      </c>
      <c r="W118" s="40">
        <f t="shared" si="18"/>
        <v>1250</v>
      </c>
      <c r="X118" s="40">
        <f t="shared" si="18"/>
        <v>850</v>
      </c>
      <c r="Y118" s="40">
        <f t="shared" si="18"/>
        <v>1250</v>
      </c>
      <c r="Z118" s="40">
        <f t="shared" si="18"/>
        <v>500</v>
      </c>
      <c r="AA118" s="40">
        <f t="shared" si="18"/>
        <v>100</v>
      </c>
      <c r="AB118" s="40">
        <f t="shared" si="18"/>
        <v>1000</v>
      </c>
      <c r="AC118" s="40">
        <f t="shared" si="18"/>
        <v>850</v>
      </c>
      <c r="AD118" s="40">
        <f t="shared" si="18"/>
        <v>100</v>
      </c>
      <c r="AE118" s="40">
        <f t="shared" si="18"/>
        <v>1250</v>
      </c>
      <c r="AF118" s="40">
        <f t="shared" si="18"/>
        <v>100</v>
      </c>
      <c r="AG118" s="40">
        <f t="shared" si="18"/>
        <v>100</v>
      </c>
      <c r="AH118" s="40">
        <f t="shared" si="19"/>
        <v>7850</v>
      </c>
      <c r="AI118" s="171"/>
      <c r="AJ118" s="50">
        <v>0.05</v>
      </c>
      <c r="AK118" s="40">
        <f t="shared" si="20"/>
        <v>1550.3520000000001</v>
      </c>
      <c r="AL118" s="40">
        <f t="shared" si="20"/>
        <v>2189.2495000000004</v>
      </c>
      <c r="AM118" s="40">
        <f t="shared" si="20"/>
        <v>0</v>
      </c>
      <c r="AN118" s="40">
        <f t="shared" si="20"/>
        <v>0</v>
      </c>
      <c r="AO118" s="40">
        <f t="shared" si="20"/>
        <v>120.60899999999999</v>
      </c>
      <c r="AP118" s="40">
        <f t="shared" si="20"/>
        <v>156.1345</v>
      </c>
      <c r="AQ118" s="40">
        <f t="shared" si="20"/>
        <v>259.87</v>
      </c>
      <c r="AR118" s="40">
        <f t="shared" si="20"/>
        <v>1003.8004999999999</v>
      </c>
      <c r="AS118" s="40">
        <f t="shared" si="20"/>
        <v>577.50143301271339</v>
      </c>
      <c r="AT118" s="40">
        <f t="shared" si="20"/>
        <v>666.20289741553734</v>
      </c>
      <c r="AU118" s="40">
        <f t="shared" si="20"/>
        <v>600.83549442258413</v>
      </c>
      <c r="AV118" s="40">
        <f t="shared" si="20"/>
        <v>481.08362227638247</v>
      </c>
      <c r="AW118" s="40">
        <f t="shared" si="21"/>
        <v>7605.6389471272187</v>
      </c>
    </row>
    <row r="119" spans="1:49" outlineLevel="1">
      <c r="A119" s="13" t="s">
        <v>269</v>
      </c>
      <c r="B119" s="13" t="s">
        <v>64</v>
      </c>
      <c r="C119" s="13" t="str">
        <f t="shared" si="15"/>
        <v>UK</v>
      </c>
      <c r="D119" s="13" t="s">
        <v>375</v>
      </c>
      <c r="E119" s="139"/>
      <c r="F119" s="40">
        <f t="shared" si="16"/>
        <v>0</v>
      </c>
      <c r="G119" s="40">
        <f t="shared" si="16"/>
        <v>0</v>
      </c>
      <c r="H119" s="40">
        <f t="shared" si="16"/>
        <v>0</v>
      </c>
      <c r="I119" s="40">
        <f t="shared" si="16"/>
        <v>0</v>
      </c>
      <c r="J119" s="40">
        <f t="shared" si="16"/>
        <v>0</v>
      </c>
      <c r="K119" s="40">
        <f t="shared" si="16"/>
        <v>0</v>
      </c>
      <c r="L119" s="40">
        <f t="shared" si="16"/>
        <v>0</v>
      </c>
      <c r="M119" s="40">
        <f t="shared" si="16"/>
        <v>0</v>
      </c>
      <c r="N119" s="40">
        <f t="shared" si="16"/>
        <v>0</v>
      </c>
      <c r="O119" s="40">
        <f t="shared" si="16"/>
        <v>0</v>
      </c>
      <c r="P119" s="40">
        <f t="shared" si="16"/>
        <v>0</v>
      </c>
      <c r="Q119" s="40">
        <f t="shared" si="16"/>
        <v>0</v>
      </c>
      <c r="R119" s="40">
        <f t="shared" si="17"/>
        <v>0</v>
      </c>
      <c r="S119" s="13"/>
      <c r="T119" s="13"/>
      <c r="U119" s="50">
        <v>0.05</v>
      </c>
      <c r="V119" s="40">
        <f t="shared" si="18"/>
        <v>50</v>
      </c>
      <c r="W119" s="40">
        <f t="shared" si="18"/>
        <v>50</v>
      </c>
      <c r="X119" s="40">
        <f t="shared" si="18"/>
        <v>175</v>
      </c>
      <c r="Y119" s="40">
        <f t="shared" si="18"/>
        <v>175</v>
      </c>
      <c r="Z119" s="40">
        <f t="shared" si="18"/>
        <v>50</v>
      </c>
      <c r="AA119" s="40">
        <f t="shared" si="18"/>
        <v>50</v>
      </c>
      <c r="AB119" s="40">
        <f t="shared" si="18"/>
        <v>50</v>
      </c>
      <c r="AC119" s="40">
        <f t="shared" si="18"/>
        <v>50</v>
      </c>
      <c r="AD119" s="40">
        <f t="shared" si="18"/>
        <v>50</v>
      </c>
      <c r="AE119" s="40">
        <f t="shared" si="18"/>
        <v>50</v>
      </c>
      <c r="AF119" s="40">
        <f t="shared" si="18"/>
        <v>50</v>
      </c>
      <c r="AG119" s="40">
        <f t="shared" si="18"/>
        <v>50</v>
      </c>
      <c r="AH119" s="40">
        <f t="shared" si="19"/>
        <v>850</v>
      </c>
      <c r="AI119" s="171"/>
      <c r="AJ119" s="50">
        <v>0.05</v>
      </c>
      <c r="AK119" s="40">
        <f t="shared" si="20"/>
        <v>0</v>
      </c>
      <c r="AL119" s="40">
        <f t="shared" si="20"/>
        <v>112.05900000000003</v>
      </c>
      <c r="AM119" s="40">
        <f t="shared" si="20"/>
        <v>312.17699999999996</v>
      </c>
      <c r="AN119" s="40">
        <f t="shared" si="20"/>
        <v>97.437000000000012</v>
      </c>
      <c r="AO119" s="40">
        <f t="shared" si="20"/>
        <v>57.305999999999997</v>
      </c>
      <c r="AP119" s="40">
        <f t="shared" si="20"/>
        <v>38.895000000000003</v>
      </c>
      <c r="AQ119" s="40">
        <f t="shared" si="20"/>
        <v>66.341999999999999</v>
      </c>
      <c r="AR119" s="40">
        <f t="shared" si="20"/>
        <v>204.27600000000004</v>
      </c>
      <c r="AS119" s="40">
        <f t="shared" si="20"/>
        <v>46.9326238989741</v>
      </c>
      <c r="AT119" s="40">
        <f t="shared" si="20"/>
        <v>54.141250977851541</v>
      </c>
      <c r="AU119" s="40">
        <f t="shared" si="20"/>
        <v>48.828945995478612</v>
      </c>
      <c r="AV119" s="40">
        <f t="shared" si="20"/>
        <v>39.096901613673616</v>
      </c>
      <c r="AW119" s="40">
        <f t="shared" si="21"/>
        <v>1077.491722485978</v>
      </c>
    </row>
    <row r="120" spans="1:49" outlineLevel="1">
      <c r="A120" s="13" t="s">
        <v>314</v>
      </c>
      <c r="B120" s="13" t="s">
        <v>64</v>
      </c>
      <c r="C120" s="13" t="str">
        <f t="shared" si="15"/>
        <v>UK</v>
      </c>
      <c r="D120" s="13" t="s">
        <v>375</v>
      </c>
      <c r="E120" s="139"/>
      <c r="F120" s="40">
        <f t="shared" si="16"/>
        <v>0</v>
      </c>
      <c r="G120" s="40">
        <f t="shared" si="16"/>
        <v>0</v>
      </c>
      <c r="H120" s="40">
        <f t="shared" si="16"/>
        <v>0</v>
      </c>
      <c r="I120" s="40">
        <f t="shared" si="16"/>
        <v>0</v>
      </c>
      <c r="J120" s="40">
        <f t="shared" si="16"/>
        <v>0</v>
      </c>
      <c r="K120" s="40">
        <f t="shared" si="16"/>
        <v>0</v>
      </c>
      <c r="L120" s="40">
        <f t="shared" si="16"/>
        <v>0</v>
      </c>
      <c r="M120" s="40">
        <f t="shared" si="16"/>
        <v>0</v>
      </c>
      <c r="N120" s="40">
        <f t="shared" si="16"/>
        <v>0</v>
      </c>
      <c r="O120" s="40">
        <f t="shared" si="16"/>
        <v>0</v>
      </c>
      <c r="P120" s="40">
        <f t="shared" si="16"/>
        <v>0</v>
      </c>
      <c r="Q120" s="40">
        <f t="shared" si="16"/>
        <v>0</v>
      </c>
      <c r="R120" s="40">
        <f t="shared" si="17"/>
        <v>0</v>
      </c>
      <c r="S120" s="13"/>
      <c r="T120" s="13"/>
      <c r="U120" s="50">
        <v>0.05</v>
      </c>
      <c r="V120" s="40">
        <f t="shared" si="18"/>
        <v>375.13199999999995</v>
      </c>
      <c r="W120" s="40">
        <f t="shared" si="18"/>
        <v>125.125</v>
      </c>
      <c r="X120" s="40">
        <f t="shared" si="18"/>
        <v>48.110500000000002</v>
      </c>
      <c r="Y120" s="40">
        <f t="shared" si="18"/>
        <v>42.192000000000007</v>
      </c>
      <c r="Z120" s="40">
        <f t="shared" si="18"/>
        <v>76.780200000000036</v>
      </c>
      <c r="AA120" s="40">
        <f t="shared" si="18"/>
        <v>129.12217500000003</v>
      </c>
      <c r="AB120" s="40">
        <f t="shared" si="18"/>
        <v>83.162100000000009</v>
      </c>
      <c r="AC120" s="40">
        <f t="shared" si="18"/>
        <v>35.298899999999961</v>
      </c>
      <c r="AD120" s="40">
        <f t="shared" si="18"/>
        <v>318.15340000000003</v>
      </c>
      <c r="AE120" s="40">
        <f t="shared" si="18"/>
        <v>576.71445625000001</v>
      </c>
      <c r="AF120" s="40">
        <f t="shared" si="18"/>
        <v>68.943607031250011</v>
      </c>
      <c r="AG120" s="40">
        <f t="shared" si="18"/>
        <v>71.247054785156251</v>
      </c>
      <c r="AH120" s="40">
        <f t="shared" si="19"/>
        <v>1949.9813930664061</v>
      </c>
      <c r="AI120" s="171"/>
      <c r="AJ120" s="50">
        <v>0.05</v>
      </c>
      <c r="AK120" s="40">
        <f t="shared" si="20"/>
        <v>225.13199999999995</v>
      </c>
      <c r="AL120" s="40">
        <f t="shared" si="20"/>
        <v>25.125</v>
      </c>
      <c r="AM120" s="40">
        <f t="shared" si="20"/>
        <v>48.110500000000002</v>
      </c>
      <c r="AN120" s="40">
        <f t="shared" si="20"/>
        <v>42.192000000000007</v>
      </c>
      <c r="AO120" s="40">
        <f t="shared" si="20"/>
        <v>73.124000000000024</v>
      </c>
      <c r="AP120" s="40">
        <f t="shared" si="20"/>
        <v>122.97350000000002</v>
      </c>
      <c r="AQ120" s="40">
        <f t="shared" si="20"/>
        <v>79.201999999999998</v>
      </c>
      <c r="AR120" s="40">
        <f t="shared" si="20"/>
        <v>33.618000000000002</v>
      </c>
      <c r="AS120" s="40">
        <f t="shared" si="20"/>
        <v>0</v>
      </c>
      <c r="AT120" s="40">
        <f t="shared" si="20"/>
        <v>0</v>
      </c>
      <c r="AU120" s="40">
        <f t="shared" si="20"/>
        <v>0</v>
      </c>
      <c r="AV120" s="40">
        <f t="shared" si="20"/>
        <v>0</v>
      </c>
      <c r="AW120" s="40">
        <f t="shared" si="21"/>
        <v>649.47700000000009</v>
      </c>
    </row>
    <row r="121" spans="1:49" outlineLevel="1">
      <c r="A121" s="13" t="s">
        <v>301</v>
      </c>
      <c r="B121" s="13" t="s">
        <v>69</v>
      </c>
      <c r="C121" s="13" t="str">
        <f t="shared" si="15"/>
        <v>CE</v>
      </c>
      <c r="D121" s="13" t="s">
        <v>375</v>
      </c>
      <c r="E121" s="139"/>
      <c r="F121" s="40">
        <f t="shared" si="16"/>
        <v>0</v>
      </c>
      <c r="G121" s="40">
        <f t="shared" si="16"/>
        <v>0</v>
      </c>
      <c r="H121" s="40">
        <f t="shared" si="16"/>
        <v>0</v>
      </c>
      <c r="I121" s="40">
        <f t="shared" si="16"/>
        <v>0</v>
      </c>
      <c r="J121" s="40">
        <f t="shared" si="16"/>
        <v>0</v>
      </c>
      <c r="K121" s="40">
        <f t="shared" si="16"/>
        <v>0</v>
      </c>
      <c r="L121" s="40">
        <f t="shared" si="16"/>
        <v>0</v>
      </c>
      <c r="M121" s="40">
        <f t="shared" si="16"/>
        <v>0</v>
      </c>
      <c r="N121" s="40">
        <f t="shared" si="16"/>
        <v>0</v>
      </c>
      <c r="O121" s="40">
        <f t="shared" si="16"/>
        <v>0</v>
      </c>
      <c r="P121" s="40">
        <f t="shared" si="16"/>
        <v>0</v>
      </c>
      <c r="Q121" s="40">
        <f t="shared" si="16"/>
        <v>0</v>
      </c>
      <c r="R121" s="40">
        <f t="shared" si="17"/>
        <v>0</v>
      </c>
      <c r="S121" s="13"/>
      <c r="T121" s="13"/>
      <c r="U121" s="50">
        <v>0.05</v>
      </c>
      <c r="V121" s="40">
        <f t="shared" si="18"/>
        <v>1228.9580000000001</v>
      </c>
      <c r="W121" s="40">
        <f t="shared" si="18"/>
        <v>1294.3574999999998</v>
      </c>
      <c r="X121" s="40">
        <f t="shared" si="18"/>
        <v>-16.872</v>
      </c>
      <c r="Y121" s="40">
        <f t="shared" si="18"/>
        <v>1492.8296249999999</v>
      </c>
      <c r="Z121" s="40">
        <f t="shared" si="18"/>
        <v>1441.2127499999999</v>
      </c>
      <c r="AA121" s="40">
        <f t="shared" si="18"/>
        <v>1144.249</v>
      </c>
      <c r="AB121" s="40">
        <f t="shared" si="18"/>
        <v>424.56749999999994</v>
      </c>
      <c r="AC121" s="40">
        <f t="shared" si="18"/>
        <v>1110.307</v>
      </c>
      <c r="AD121" s="40">
        <f t="shared" si="18"/>
        <v>1512.7600000000002</v>
      </c>
      <c r="AE121" s="40">
        <f t="shared" si="18"/>
        <v>638.585355247895</v>
      </c>
      <c r="AF121" s="40">
        <f t="shared" si="18"/>
        <v>800.91521652484198</v>
      </c>
      <c r="AG121" s="40">
        <f t="shared" si="18"/>
        <v>561.21656327654432</v>
      </c>
      <c r="AH121" s="40">
        <f t="shared" si="19"/>
        <v>11633.086510049279</v>
      </c>
      <c r="AI121" s="171"/>
      <c r="AJ121" s="50">
        <v>0.05</v>
      </c>
      <c r="AK121" s="40">
        <f t="shared" si="20"/>
        <v>650</v>
      </c>
      <c r="AL121" s="40">
        <f t="shared" si="20"/>
        <v>650</v>
      </c>
      <c r="AM121" s="40">
        <f t="shared" si="20"/>
        <v>650</v>
      </c>
      <c r="AN121" s="40">
        <f t="shared" si="20"/>
        <v>650</v>
      </c>
      <c r="AO121" s="40">
        <f t="shared" si="20"/>
        <v>1925.4114999999999</v>
      </c>
      <c r="AP121" s="40">
        <f t="shared" si="20"/>
        <v>894.24900000000002</v>
      </c>
      <c r="AQ121" s="40">
        <f t="shared" si="20"/>
        <v>174.5675</v>
      </c>
      <c r="AR121" s="40">
        <f t="shared" si="20"/>
        <v>860.30700000000002</v>
      </c>
      <c r="AS121" s="40">
        <f t="shared" si="20"/>
        <v>673.69445667073046</v>
      </c>
      <c r="AT121" s="40">
        <f t="shared" si="20"/>
        <v>777.17071049578908</v>
      </c>
      <c r="AU121" s="40">
        <f t="shared" si="20"/>
        <v>700.91521652484198</v>
      </c>
      <c r="AV121" s="40">
        <f t="shared" si="20"/>
        <v>561.21656327654432</v>
      </c>
      <c r="AW121" s="40">
        <f t="shared" si="21"/>
        <v>9167.5319469679052</v>
      </c>
    </row>
    <row r="122" spans="1:49" outlineLevel="1">
      <c r="A122" s="13" t="s">
        <v>346</v>
      </c>
      <c r="B122" s="13" t="s">
        <v>73</v>
      </c>
      <c r="C122" s="13" t="str">
        <f t="shared" si="15"/>
        <v>CE</v>
      </c>
      <c r="D122" s="13" t="s">
        <v>375</v>
      </c>
      <c r="E122" s="139"/>
      <c r="F122" s="40">
        <f t="shared" si="16"/>
        <v>0</v>
      </c>
      <c r="G122" s="40">
        <f t="shared" si="16"/>
        <v>0</v>
      </c>
      <c r="H122" s="40">
        <f t="shared" si="16"/>
        <v>0</v>
      </c>
      <c r="I122" s="40">
        <f t="shared" si="16"/>
        <v>0</v>
      </c>
      <c r="J122" s="40">
        <f t="shared" si="16"/>
        <v>0</v>
      </c>
      <c r="K122" s="40">
        <f t="shared" si="16"/>
        <v>0</v>
      </c>
      <c r="L122" s="40">
        <f t="shared" si="16"/>
        <v>0</v>
      </c>
      <c r="M122" s="40">
        <f t="shared" si="16"/>
        <v>0</v>
      </c>
      <c r="N122" s="40">
        <f t="shared" si="16"/>
        <v>0</v>
      </c>
      <c r="O122" s="40">
        <f t="shared" si="16"/>
        <v>0</v>
      </c>
      <c r="P122" s="40">
        <f t="shared" si="16"/>
        <v>0</v>
      </c>
      <c r="Q122" s="40">
        <f t="shared" si="16"/>
        <v>0</v>
      </c>
      <c r="R122" s="40">
        <f t="shared" si="17"/>
        <v>0</v>
      </c>
      <c r="S122" s="13"/>
      <c r="T122" s="13"/>
      <c r="U122" s="50">
        <v>0.05</v>
      </c>
      <c r="V122" s="40">
        <f t="shared" si="18"/>
        <v>589.51965065502179</v>
      </c>
      <c r="W122" s="40">
        <f t="shared" si="18"/>
        <v>982.53275109170318</v>
      </c>
      <c r="X122" s="40">
        <f t="shared" si="18"/>
        <v>707.42358078602626</v>
      </c>
      <c r="Y122" s="40">
        <f t="shared" si="18"/>
        <v>884.27947598253274</v>
      </c>
      <c r="Z122" s="40">
        <f t="shared" si="18"/>
        <v>1061.1353711790393</v>
      </c>
      <c r="AA122" s="40">
        <f t="shared" si="18"/>
        <v>530.56768558951967</v>
      </c>
      <c r="AB122" s="40">
        <f t="shared" si="18"/>
        <v>707.42358078602626</v>
      </c>
      <c r="AC122" s="40">
        <f t="shared" si="18"/>
        <v>353.71179039301313</v>
      </c>
      <c r="AD122" s="40">
        <f t="shared" si="18"/>
        <v>707.42358078602626</v>
      </c>
      <c r="AE122" s="40">
        <f t="shared" si="18"/>
        <v>1061.1353711790393</v>
      </c>
      <c r="AF122" s="40">
        <f t="shared" si="18"/>
        <v>707.42358078602626</v>
      </c>
      <c r="AG122" s="40">
        <f t="shared" si="18"/>
        <v>707.42358078602626</v>
      </c>
      <c r="AH122" s="40">
        <f t="shared" si="19"/>
        <v>9000</v>
      </c>
      <c r="AI122" s="171"/>
      <c r="AJ122" s="50">
        <v>0.05</v>
      </c>
      <c r="AK122" s="40">
        <f t="shared" si="20"/>
        <v>0</v>
      </c>
      <c r="AL122" s="40">
        <f t="shared" si="20"/>
        <v>0</v>
      </c>
      <c r="AM122" s="40">
        <f t="shared" si="20"/>
        <v>0</v>
      </c>
      <c r="AN122" s="40">
        <f t="shared" si="20"/>
        <v>0</v>
      </c>
      <c r="AO122" s="40">
        <f t="shared" si="20"/>
        <v>0</v>
      </c>
      <c r="AP122" s="40">
        <f t="shared" si="20"/>
        <v>0</v>
      </c>
      <c r="AQ122" s="40">
        <f t="shared" si="20"/>
        <v>0</v>
      </c>
      <c r="AR122" s="40">
        <f t="shared" si="20"/>
        <v>0</v>
      </c>
      <c r="AS122" s="40">
        <f t="shared" si="20"/>
        <v>0</v>
      </c>
      <c r="AT122" s="40">
        <f t="shared" si="20"/>
        <v>0</v>
      </c>
      <c r="AU122" s="40">
        <f t="shared" si="20"/>
        <v>0</v>
      </c>
      <c r="AV122" s="40">
        <f t="shared" si="20"/>
        <v>0</v>
      </c>
      <c r="AW122" s="40">
        <f t="shared" si="21"/>
        <v>0</v>
      </c>
    </row>
    <row r="123" spans="1:49" outlineLevel="1">
      <c r="A123" s="13" t="s">
        <v>413</v>
      </c>
      <c r="B123" s="13" t="s">
        <v>73</v>
      </c>
      <c r="C123" s="13" t="str">
        <f t="shared" si="15"/>
        <v>CE</v>
      </c>
      <c r="D123" s="13" t="s">
        <v>375</v>
      </c>
      <c r="E123" s="139">
        <v>0.1</v>
      </c>
      <c r="F123" s="40">
        <f t="shared" si="16"/>
        <v>0</v>
      </c>
      <c r="G123" s="40">
        <f t="shared" si="16"/>
        <v>0</v>
      </c>
      <c r="H123" s="40">
        <f t="shared" si="16"/>
        <v>0</v>
      </c>
      <c r="I123" s="40">
        <f t="shared" si="16"/>
        <v>0</v>
      </c>
      <c r="J123" s="40">
        <f t="shared" si="16"/>
        <v>0</v>
      </c>
      <c r="K123" s="40">
        <f t="shared" si="16"/>
        <v>0</v>
      </c>
      <c r="L123" s="40">
        <f t="shared" si="16"/>
        <v>0</v>
      </c>
      <c r="M123" s="40">
        <f t="shared" si="16"/>
        <v>0</v>
      </c>
      <c r="N123" s="40">
        <f t="shared" si="16"/>
        <v>0</v>
      </c>
      <c r="O123" s="40">
        <f t="shared" si="16"/>
        <v>0</v>
      </c>
      <c r="P123" s="40">
        <f t="shared" si="16"/>
        <v>0</v>
      </c>
      <c r="Q123" s="40">
        <f t="shared" si="16"/>
        <v>0</v>
      </c>
      <c r="R123" s="40">
        <f t="shared" si="17"/>
        <v>0</v>
      </c>
      <c r="S123" s="13"/>
      <c r="T123" s="13"/>
      <c r="U123" s="50">
        <v>0.05</v>
      </c>
      <c r="V123" s="40">
        <f t="shared" si="18"/>
        <v>0</v>
      </c>
      <c r="W123" s="40">
        <f t="shared" si="18"/>
        <v>12375</v>
      </c>
      <c r="X123" s="40">
        <f t="shared" si="18"/>
        <v>2700</v>
      </c>
      <c r="Y123" s="40">
        <f t="shared" si="18"/>
        <v>1800</v>
      </c>
      <c r="Z123" s="40">
        <f t="shared" si="18"/>
        <v>2025</v>
      </c>
      <c r="AA123" s="40">
        <f t="shared" si="18"/>
        <v>1350</v>
      </c>
      <c r="AB123" s="40">
        <f t="shared" si="18"/>
        <v>1125</v>
      </c>
      <c r="AC123" s="40">
        <f t="shared" si="18"/>
        <v>1350</v>
      </c>
      <c r="AD123" s="40">
        <f t="shared" si="18"/>
        <v>900</v>
      </c>
      <c r="AE123" s="40">
        <f t="shared" si="18"/>
        <v>1800</v>
      </c>
      <c r="AF123" s="40">
        <f t="shared" si="18"/>
        <v>900</v>
      </c>
      <c r="AG123" s="40">
        <f t="shared" si="18"/>
        <v>900</v>
      </c>
      <c r="AH123" s="40">
        <f t="shared" si="19"/>
        <v>27225</v>
      </c>
      <c r="AI123" s="171"/>
      <c r="AJ123" s="50">
        <v>0.05</v>
      </c>
      <c r="AK123" s="40">
        <f t="shared" si="20"/>
        <v>0</v>
      </c>
      <c r="AL123" s="40">
        <f t="shared" si="20"/>
        <v>0</v>
      </c>
      <c r="AM123" s="40">
        <f t="shared" si="20"/>
        <v>0</v>
      </c>
      <c r="AN123" s="40">
        <f t="shared" si="20"/>
        <v>0</v>
      </c>
      <c r="AO123" s="40">
        <f t="shared" si="20"/>
        <v>0</v>
      </c>
      <c r="AP123" s="40">
        <f t="shared" si="20"/>
        <v>0</v>
      </c>
      <c r="AQ123" s="40">
        <f t="shared" si="20"/>
        <v>0</v>
      </c>
      <c r="AR123" s="40">
        <f t="shared" si="20"/>
        <v>0</v>
      </c>
      <c r="AS123" s="40">
        <f t="shared" si="20"/>
        <v>0</v>
      </c>
      <c r="AT123" s="40">
        <f t="shared" si="20"/>
        <v>0</v>
      </c>
      <c r="AU123" s="40">
        <f t="shared" si="20"/>
        <v>0</v>
      </c>
      <c r="AV123" s="40">
        <f t="shared" si="20"/>
        <v>0</v>
      </c>
      <c r="AW123" s="40">
        <f t="shared" si="21"/>
        <v>0</v>
      </c>
    </row>
    <row r="124" spans="1:49" outlineLevel="1">
      <c r="A124" s="13" t="s">
        <v>353</v>
      </c>
      <c r="B124" s="13" t="s">
        <v>64</v>
      </c>
      <c r="C124" s="13" t="str">
        <f t="shared" si="15"/>
        <v>UK</v>
      </c>
      <c r="D124" s="13" t="s">
        <v>375</v>
      </c>
      <c r="E124" s="13"/>
      <c r="F124" s="40">
        <f t="shared" si="16"/>
        <v>0</v>
      </c>
      <c r="G124" s="40">
        <f t="shared" si="16"/>
        <v>0</v>
      </c>
      <c r="H124" s="40">
        <f t="shared" si="16"/>
        <v>0</v>
      </c>
      <c r="I124" s="40">
        <f t="shared" si="16"/>
        <v>0</v>
      </c>
      <c r="J124" s="40">
        <f t="shared" si="16"/>
        <v>0</v>
      </c>
      <c r="K124" s="40">
        <f t="shared" si="16"/>
        <v>0</v>
      </c>
      <c r="L124" s="40">
        <f t="shared" si="16"/>
        <v>0</v>
      </c>
      <c r="M124" s="40">
        <f t="shared" si="16"/>
        <v>0</v>
      </c>
      <c r="N124" s="40">
        <f t="shared" si="16"/>
        <v>0</v>
      </c>
      <c r="O124" s="40">
        <f t="shared" si="16"/>
        <v>0</v>
      </c>
      <c r="P124" s="40">
        <f t="shared" si="16"/>
        <v>0</v>
      </c>
      <c r="Q124" s="40">
        <f t="shared" si="16"/>
        <v>0</v>
      </c>
      <c r="R124" s="40">
        <f t="shared" si="17"/>
        <v>0</v>
      </c>
      <c r="S124" s="13"/>
      <c r="T124" s="13"/>
      <c r="U124" s="13"/>
      <c r="V124" s="40">
        <f t="shared" si="18"/>
        <v>0</v>
      </c>
      <c r="W124" s="40">
        <f t="shared" si="18"/>
        <v>0</v>
      </c>
      <c r="X124" s="40">
        <f t="shared" si="18"/>
        <v>0</v>
      </c>
      <c r="Y124" s="40">
        <f t="shared" si="18"/>
        <v>0</v>
      </c>
      <c r="Z124" s="40">
        <f t="shared" si="18"/>
        <v>0</v>
      </c>
      <c r="AA124" s="40">
        <f t="shared" si="18"/>
        <v>0</v>
      </c>
      <c r="AB124" s="40">
        <f t="shared" si="18"/>
        <v>0</v>
      </c>
      <c r="AC124" s="40">
        <f t="shared" si="18"/>
        <v>0</v>
      </c>
      <c r="AD124" s="40">
        <f t="shared" si="18"/>
        <v>0</v>
      </c>
      <c r="AE124" s="40">
        <f t="shared" si="18"/>
        <v>0</v>
      </c>
      <c r="AF124" s="40">
        <f t="shared" si="18"/>
        <v>0</v>
      </c>
      <c r="AG124" s="40">
        <f t="shared" si="18"/>
        <v>0</v>
      </c>
      <c r="AH124" s="40">
        <f t="shared" si="19"/>
        <v>0</v>
      </c>
      <c r="AI124" s="171"/>
      <c r="AJ124" s="13"/>
      <c r="AK124" s="40">
        <f t="shared" si="20"/>
        <v>0</v>
      </c>
      <c r="AL124" s="40">
        <f t="shared" si="20"/>
        <v>0</v>
      </c>
      <c r="AM124" s="40">
        <f t="shared" si="20"/>
        <v>0</v>
      </c>
      <c r="AN124" s="40">
        <f t="shared" si="20"/>
        <v>0</v>
      </c>
      <c r="AO124" s="40">
        <f t="shared" si="20"/>
        <v>0</v>
      </c>
      <c r="AP124" s="40">
        <f t="shared" si="20"/>
        <v>0</v>
      </c>
      <c r="AQ124" s="40">
        <f t="shared" si="20"/>
        <v>0</v>
      </c>
      <c r="AR124" s="40">
        <f t="shared" si="20"/>
        <v>0</v>
      </c>
      <c r="AS124" s="40">
        <f t="shared" si="20"/>
        <v>0</v>
      </c>
      <c r="AT124" s="40">
        <f t="shared" si="20"/>
        <v>0</v>
      </c>
      <c r="AU124" s="40">
        <f t="shared" si="20"/>
        <v>0</v>
      </c>
      <c r="AV124" s="40">
        <f t="shared" si="20"/>
        <v>0</v>
      </c>
      <c r="AW124" s="40">
        <f t="shared" si="21"/>
        <v>0</v>
      </c>
    </row>
    <row r="125" spans="1:49" outlineLevel="1">
      <c r="A125" s="484" t="s">
        <v>438</v>
      </c>
      <c r="B125" s="475"/>
      <c r="C125" s="475"/>
      <c r="D125" s="475"/>
      <c r="E125" s="475"/>
      <c r="F125" s="475">
        <f t="shared" ref="F125:R125" si="22">SUM(F110:F124)</f>
        <v>88675.498299999992</v>
      </c>
      <c r="G125" s="475">
        <f t="shared" si="22"/>
        <v>58464.827499999999</v>
      </c>
      <c r="H125" s="475">
        <f t="shared" si="22"/>
        <v>50694.991400000006</v>
      </c>
      <c r="I125" s="475">
        <f t="shared" si="22"/>
        <v>79155.370800000019</v>
      </c>
      <c r="J125" s="475">
        <f t="shared" si="22"/>
        <v>119090.30279999999</v>
      </c>
      <c r="K125" s="475">
        <f t="shared" si="22"/>
        <v>55363.970699999991</v>
      </c>
      <c r="L125" s="475">
        <f t="shared" si="22"/>
        <v>26580.849399999996</v>
      </c>
      <c r="M125" s="475">
        <f t="shared" si="22"/>
        <v>66486.243100000007</v>
      </c>
      <c r="N125" s="475">
        <f t="shared" si="22"/>
        <v>146945.89359999995</v>
      </c>
      <c r="O125" s="475">
        <f t="shared" si="22"/>
        <v>112509.69135999665</v>
      </c>
      <c r="P125" s="475">
        <f t="shared" si="22"/>
        <v>81593.814398775896</v>
      </c>
      <c r="Q125" s="475">
        <f t="shared" si="22"/>
        <v>94568.879340355241</v>
      </c>
      <c r="R125" s="475">
        <f t="shared" si="22"/>
        <v>980130.33269912784</v>
      </c>
      <c r="S125" s="13"/>
      <c r="T125" s="13"/>
      <c r="U125" s="13"/>
      <c r="V125" s="475">
        <f t="shared" ref="V125:AH125" si="23">SUM(V110:V124)</f>
        <v>96240.790482655022</v>
      </c>
      <c r="W125" s="475">
        <f t="shared" si="23"/>
        <v>77093.264643091708</v>
      </c>
      <c r="X125" s="475">
        <f t="shared" si="23"/>
        <v>52377.240896786017</v>
      </c>
      <c r="Y125" s="475">
        <f t="shared" si="23"/>
        <v>66461.703764982536</v>
      </c>
      <c r="Z125" s="475">
        <f t="shared" si="23"/>
        <v>91278.657321179038</v>
      </c>
      <c r="AA125" s="475">
        <f t="shared" si="23"/>
        <v>59140.157552589517</v>
      </c>
      <c r="AB125" s="475">
        <f t="shared" si="23"/>
        <v>79342.877318786035</v>
      </c>
      <c r="AC125" s="475">
        <f t="shared" si="23"/>
        <v>92889.232534393013</v>
      </c>
      <c r="AD125" s="475">
        <f t="shared" si="23"/>
        <v>151048.47054478608</v>
      </c>
      <c r="AE125" s="475">
        <f t="shared" si="23"/>
        <v>101997.38691040127</v>
      </c>
      <c r="AF125" s="475">
        <f t="shared" si="23"/>
        <v>100954.8379132839</v>
      </c>
      <c r="AG125" s="475">
        <f t="shared" si="23"/>
        <v>92176.181980618116</v>
      </c>
      <c r="AH125" s="475">
        <f t="shared" si="23"/>
        <v>1061000.8018635521</v>
      </c>
      <c r="AI125" s="171"/>
      <c r="AJ125" s="13"/>
      <c r="AK125" s="475">
        <f t="shared" ref="AK125:AW125" si="24">SUM(AK110:AK124)</f>
        <v>67916.924000000014</v>
      </c>
      <c r="AL125" s="475">
        <f t="shared" si="24"/>
        <v>44808.859999999993</v>
      </c>
      <c r="AM125" s="475">
        <f t="shared" si="24"/>
        <v>35630.297999999995</v>
      </c>
      <c r="AN125" s="475">
        <f t="shared" si="24"/>
        <v>58024.351000000002</v>
      </c>
      <c r="AO125" s="475">
        <f t="shared" si="24"/>
        <v>5117.5025000000005</v>
      </c>
      <c r="AP125" s="475">
        <f t="shared" si="24"/>
        <v>40694.147499999999</v>
      </c>
      <c r="AQ125" s="475">
        <f t="shared" si="24"/>
        <v>18580.110000000004</v>
      </c>
      <c r="AR125" s="475">
        <f t="shared" si="24"/>
        <v>49988.790499999996</v>
      </c>
      <c r="AS125" s="475">
        <f t="shared" si="24"/>
        <v>105372.78285616578</v>
      </c>
      <c r="AT125" s="475">
        <f t="shared" si="24"/>
        <v>121557.53948747429</v>
      </c>
      <c r="AU125" s="475">
        <f t="shared" si="24"/>
        <v>109630.39131484577</v>
      </c>
      <c r="AV125" s="475">
        <f t="shared" si="24"/>
        <v>87780.076668088441</v>
      </c>
      <c r="AW125" s="475">
        <f t="shared" si="24"/>
        <v>745101.77382657444</v>
      </c>
    </row>
    <row r="126" spans="1:49" outlineLevel="1">
      <c r="A126" s="13"/>
      <c r="B126" s="11"/>
      <c r="C126" s="11"/>
      <c r="D126" s="11"/>
      <c r="E126" s="11"/>
      <c r="F126" s="105"/>
      <c r="G126" s="105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3"/>
      <c r="S126" s="13"/>
      <c r="T126" s="13"/>
      <c r="U126" s="13"/>
      <c r="V126" s="171"/>
      <c r="W126" s="171"/>
      <c r="X126" s="171"/>
      <c r="Y126" s="171"/>
      <c r="Z126" s="171"/>
      <c r="AA126" s="171"/>
      <c r="AB126" s="171"/>
      <c r="AC126" s="171"/>
      <c r="AD126" s="171"/>
      <c r="AE126" s="171"/>
      <c r="AF126" s="171"/>
      <c r="AG126" s="171"/>
      <c r="AH126" s="171"/>
      <c r="AI126" s="171"/>
      <c r="AJ126" s="171"/>
      <c r="AK126" s="171"/>
      <c r="AL126" s="171"/>
      <c r="AM126" s="171"/>
      <c r="AN126" s="171"/>
      <c r="AO126" s="171"/>
      <c r="AP126" s="171"/>
      <c r="AQ126" s="171"/>
      <c r="AR126" s="171"/>
      <c r="AS126" s="171"/>
      <c r="AT126" s="171"/>
      <c r="AU126" s="171"/>
      <c r="AV126" s="171"/>
      <c r="AW126" s="13"/>
    </row>
    <row r="127" spans="1:49" outlineLevel="1">
      <c r="A127" s="11" t="s">
        <v>127</v>
      </c>
      <c r="B127" s="13"/>
      <c r="C127" s="13"/>
      <c r="D127" s="13"/>
      <c r="E127" s="13"/>
      <c r="F127" s="104"/>
      <c r="G127" s="104"/>
      <c r="H127" s="104"/>
      <c r="I127" s="104"/>
      <c r="J127" s="104"/>
      <c r="K127" s="104"/>
      <c r="L127" s="104"/>
      <c r="M127" s="104"/>
      <c r="N127" s="104"/>
      <c r="O127" s="104"/>
      <c r="P127" s="104"/>
      <c r="Q127" s="104"/>
      <c r="R127" s="13"/>
      <c r="S127" s="13"/>
      <c r="T127" s="13"/>
      <c r="U127" s="13"/>
      <c r="V127" s="171">
        <v>29117</v>
      </c>
      <c r="W127" s="171">
        <v>29117</v>
      </c>
      <c r="X127" s="171">
        <v>29117</v>
      </c>
      <c r="Y127" s="171">
        <v>29117</v>
      </c>
      <c r="Z127" s="171">
        <v>29117</v>
      </c>
      <c r="AA127" s="171">
        <v>29117</v>
      </c>
      <c r="AB127" s="171">
        <v>29117</v>
      </c>
      <c r="AC127" s="171">
        <v>29117</v>
      </c>
      <c r="AD127" s="171">
        <v>29117</v>
      </c>
      <c r="AE127" s="171">
        <v>29117</v>
      </c>
      <c r="AF127" s="171">
        <v>29117</v>
      </c>
      <c r="AG127" s="171">
        <v>29117</v>
      </c>
      <c r="AH127" s="171"/>
      <c r="AI127" s="171"/>
      <c r="AJ127" s="171"/>
      <c r="AK127" s="171">
        <v>29117</v>
      </c>
      <c r="AL127" s="171">
        <v>29117</v>
      </c>
      <c r="AM127" s="171">
        <v>29117</v>
      </c>
      <c r="AN127" s="171">
        <v>29117</v>
      </c>
      <c r="AO127" s="171">
        <v>29117</v>
      </c>
      <c r="AP127" s="171">
        <v>29117</v>
      </c>
      <c r="AQ127" s="171">
        <v>29117</v>
      </c>
      <c r="AR127" s="171">
        <v>29117</v>
      </c>
      <c r="AS127" s="171">
        <v>29117</v>
      </c>
      <c r="AT127" s="171">
        <v>29117</v>
      </c>
      <c r="AU127" s="171">
        <v>29117</v>
      </c>
      <c r="AV127" s="171">
        <v>29117</v>
      </c>
      <c r="AW127" s="13"/>
    </row>
    <row r="128" spans="1:49" outlineLevel="1">
      <c r="A128" s="13" t="s">
        <v>277</v>
      </c>
      <c r="B128" s="13" t="s">
        <v>64</v>
      </c>
      <c r="C128" s="13" t="str">
        <f t="shared" ref="C128:C141" si="25">_xlfn.XLOOKUP($A128,$A$3:$A$101,$C$3:$C$101)</f>
        <v>UK</v>
      </c>
      <c r="D128" s="13" t="s">
        <v>127</v>
      </c>
      <c r="E128" s="139">
        <v>0.02</v>
      </c>
      <c r="F128" s="40">
        <f>SUMIF($A$3:$A$101,$A128,F$3:F$101)*$E128</f>
        <v>3802.9668000000006</v>
      </c>
      <c r="G128" s="104">
        <v>4000</v>
      </c>
      <c r="H128" s="104">
        <v>4000</v>
      </c>
      <c r="I128" s="104">
        <v>4000</v>
      </c>
      <c r="J128" s="104">
        <v>4000</v>
      </c>
      <c r="K128" s="104">
        <v>4000</v>
      </c>
      <c r="L128" s="104">
        <v>4000</v>
      </c>
      <c r="M128" s="104">
        <v>4000</v>
      </c>
      <c r="N128" s="104">
        <v>4000</v>
      </c>
      <c r="O128" s="104">
        <v>4000</v>
      </c>
      <c r="P128" s="104">
        <v>4000</v>
      </c>
      <c r="Q128" s="104">
        <v>4000</v>
      </c>
      <c r="R128" s="13"/>
      <c r="S128" s="13"/>
      <c r="T128" s="13"/>
      <c r="U128" s="13"/>
      <c r="V128" s="171">
        <v>4000</v>
      </c>
      <c r="W128" s="171">
        <v>4000</v>
      </c>
      <c r="X128" s="171">
        <v>4000</v>
      </c>
      <c r="Y128" s="171">
        <v>4000</v>
      </c>
      <c r="Z128" s="171">
        <v>4000</v>
      </c>
      <c r="AA128" s="171">
        <v>4000</v>
      </c>
      <c r="AB128" s="171">
        <v>4000</v>
      </c>
      <c r="AC128" s="171">
        <v>4000</v>
      </c>
      <c r="AD128" s="171">
        <v>4000</v>
      </c>
      <c r="AE128" s="171">
        <v>4000</v>
      </c>
      <c r="AF128" s="171">
        <v>4000</v>
      </c>
      <c r="AG128" s="171">
        <v>4000</v>
      </c>
      <c r="AH128" s="171"/>
      <c r="AI128" s="171"/>
      <c r="AJ128" s="171"/>
      <c r="AK128" s="171">
        <v>4000</v>
      </c>
      <c r="AL128" s="171">
        <v>4000</v>
      </c>
      <c r="AM128" s="171">
        <v>4000</v>
      </c>
      <c r="AN128" s="171">
        <v>4000</v>
      </c>
      <c r="AO128" s="171">
        <v>4000</v>
      </c>
      <c r="AP128" s="171">
        <v>4000</v>
      </c>
      <c r="AQ128" s="171">
        <v>4000</v>
      </c>
      <c r="AR128" s="171">
        <v>4000</v>
      </c>
      <c r="AS128" s="171">
        <v>4000</v>
      </c>
      <c r="AT128" s="171">
        <v>4000</v>
      </c>
      <c r="AU128" s="171">
        <v>4000</v>
      </c>
      <c r="AV128" s="171">
        <v>4000</v>
      </c>
      <c r="AW128" s="13"/>
    </row>
    <row r="129" spans="1:49" outlineLevel="1">
      <c r="A129" s="13" t="s">
        <v>248</v>
      </c>
      <c r="B129" s="13" t="s">
        <v>64</v>
      </c>
      <c r="C129" s="13" t="str">
        <f t="shared" si="25"/>
        <v>UK</v>
      </c>
      <c r="D129" s="13" t="s">
        <v>127</v>
      </c>
      <c r="E129" s="139">
        <v>0.13</v>
      </c>
      <c r="F129" s="104">
        <v>1000</v>
      </c>
      <c r="G129" s="104">
        <v>1000</v>
      </c>
      <c r="H129" s="104">
        <v>1000</v>
      </c>
      <c r="I129" s="104">
        <v>1000</v>
      </c>
      <c r="J129" s="104">
        <v>1000</v>
      </c>
      <c r="K129" s="104">
        <v>1000</v>
      </c>
      <c r="L129" s="104">
        <v>1000</v>
      </c>
      <c r="M129" s="104">
        <v>1000</v>
      </c>
      <c r="N129" s="104">
        <v>1000</v>
      </c>
      <c r="O129" s="104">
        <v>1000</v>
      </c>
      <c r="P129" s="104">
        <v>1000</v>
      </c>
      <c r="Q129" s="104">
        <v>1000</v>
      </c>
      <c r="R129" s="13"/>
      <c r="S129" s="13"/>
      <c r="T129" s="13"/>
      <c r="U129" s="13"/>
      <c r="V129" s="171">
        <v>1000</v>
      </c>
      <c r="W129" s="171">
        <v>1000</v>
      </c>
      <c r="X129" s="171">
        <v>1000</v>
      </c>
      <c r="Y129" s="171">
        <v>1000</v>
      </c>
      <c r="Z129" s="171">
        <v>1000</v>
      </c>
      <c r="AA129" s="171">
        <v>1000</v>
      </c>
      <c r="AB129" s="171">
        <v>1000</v>
      </c>
      <c r="AC129" s="171">
        <v>1000</v>
      </c>
      <c r="AD129" s="171">
        <v>1000</v>
      </c>
      <c r="AE129" s="171">
        <v>1000</v>
      </c>
      <c r="AF129" s="171">
        <v>1000</v>
      </c>
      <c r="AG129" s="171">
        <v>1000</v>
      </c>
      <c r="AH129" s="171"/>
      <c r="AI129" s="171"/>
      <c r="AJ129" s="171"/>
      <c r="AK129" s="171">
        <v>1000</v>
      </c>
      <c r="AL129" s="171">
        <v>1000</v>
      </c>
      <c r="AM129" s="171">
        <v>1000</v>
      </c>
      <c r="AN129" s="171">
        <v>1000</v>
      </c>
      <c r="AO129" s="171">
        <v>1000</v>
      </c>
      <c r="AP129" s="171">
        <v>1000</v>
      </c>
      <c r="AQ129" s="171">
        <v>1000</v>
      </c>
      <c r="AR129" s="171">
        <v>1000</v>
      </c>
      <c r="AS129" s="171">
        <v>1000</v>
      </c>
      <c r="AT129" s="171">
        <v>1000</v>
      </c>
      <c r="AU129" s="171">
        <v>1000</v>
      </c>
      <c r="AV129" s="171">
        <v>1000</v>
      </c>
      <c r="AW129" s="13"/>
    </row>
    <row r="130" spans="1:49" outlineLevel="1">
      <c r="A130" s="13" t="s">
        <v>332</v>
      </c>
      <c r="B130" s="13" t="s">
        <v>64</v>
      </c>
      <c r="C130" s="13" t="str">
        <f t="shared" si="25"/>
        <v>UK</v>
      </c>
      <c r="D130" s="13" t="s">
        <v>127</v>
      </c>
      <c r="E130" s="139">
        <v>0.14000000000000001</v>
      </c>
      <c r="F130" s="104"/>
      <c r="G130" s="104"/>
      <c r="H130" s="104"/>
      <c r="I130" s="104"/>
      <c r="J130" s="104"/>
      <c r="K130" s="104"/>
      <c r="L130" s="104"/>
      <c r="M130" s="104"/>
      <c r="N130" s="104">
        <v>3333.3333333333335</v>
      </c>
      <c r="O130" s="104">
        <v>3333.3333333333335</v>
      </c>
      <c r="P130" s="104">
        <v>3333.3333333333335</v>
      </c>
      <c r="Q130" s="104"/>
      <c r="R130" s="13"/>
      <c r="S130" s="13"/>
      <c r="T130" s="13"/>
      <c r="U130" s="13"/>
      <c r="V130" s="171"/>
      <c r="W130" s="171"/>
      <c r="X130" s="171"/>
      <c r="Y130" s="171"/>
      <c r="Z130" s="171"/>
      <c r="AA130" s="171"/>
      <c r="AB130" s="171"/>
      <c r="AC130" s="171"/>
      <c r="AD130" s="171">
        <v>3333.3333333333335</v>
      </c>
      <c r="AE130" s="171">
        <v>3333.3333333333335</v>
      </c>
      <c r="AF130" s="171">
        <v>3333.3333333333335</v>
      </c>
      <c r="AG130" s="171"/>
      <c r="AH130" s="171"/>
      <c r="AI130" s="171"/>
      <c r="AJ130" s="171"/>
      <c r="AK130" s="171"/>
      <c r="AL130" s="171"/>
      <c r="AM130" s="171"/>
      <c r="AN130" s="171"/>
      <c r="AO130" s="171"/>
      <c r="AP130" s="171"/>
      <c r="AQ130" s="171"/>
      <c r="AR130" s="171"/>
      <c r="AS130" s="171">
        <v>3333.3333333333335</v>
      </c>
      <c r="AT130" s="171">
        <v>3333.3333333333335</v>
      </c>
      <c r="AU130" s="171">
        <v>3333.3333333333335</v>
      </c>
      <c r="AV130" s="171"/>
      <c r="AW130" s="13"/>
    </row>
    <row r="131" spans="1:49" outlineLevel="1">
      <c r="A131" s="13" t="s">
        <v>330</v>
      </c>
      <c r="B131" s="13" t="s">
        <v>64</v>
      </c>
      <c r="C131" s="13" t="str">
        <f t="shared" si="25"/>
        <v>UK</v>
      </c>
      <c r="D131" s="13" t="s">
        <v>127</v>
      </c>
      <c r="E131" s="139">
        <v>7.0000000000000007E-2</v>
      </c>
      <c r="F131" s="104"/>
      <c r="G131" s="104"/>
      <c r="H131" s="104"/>
      <c r="I131" s="104"/>
      <c r="J131" s="104"/>
      <c r="K131" s="104"/>
      <c r="L131" s="104"/>
      <c r="M131" s="104"/>
      <c r="N131" s="104"/>
      <c r="O131" s="104"/>
      <c r="P131" s="104"/>
      <c r="Q131" s="104"/>
      <c r="R131" s="13"/>
      <c r="S131" s="13"/>
      <c r="T131" s="13"/>
      <c r="U131" s="13"/>
      <c r="V131" s="171"/>
      <c r="W131" s="171"/>
      <c r="X131" s="171"/>
      <c r="Y131" s="171"/>
      <c r="Z131" s="171"/>
      <c r="AA131" s="171"/>
      <c r="AB131" s="171"/>
      <c r="AC131" s="171"/>
      <c r="AD131" s="171"/>
      <c r="AE131" s="171"/>
      <c r="AF131" s="171"/>
      <c r="AG131" s="171"/>
      <c r="AH131" s="171"/>
      <c r="AI131" s="171"/>
      <c r="AJ131" s="171"/>
      <c r="AK131" s="171"/>
      <c r="AL131" s="171"/>
      <c r="AM131" s="171"/>
      <c r="AN131" s="171"/>
      <c r="AO131" s="171"/>
      <c r="AP131" s="171"/>
      <c r="AQ131" s="171"/>
      <c r="AR131" s="171"/>
      <c r="AS131" s="171"/>
      <c r="AT131" s="171"/>
      <c r="AU131" s="171"/>
      <c r="AV131" s="171"/>
      <c r="AW131" s="13"/>
    </row>
    <row r="132" spans="1:49" outlineLevel="1">
      <c r="A132" s="13" t="s">
        <v>264</v>
      </c>
      <c r="B132" s="13" t="s">
        <v>73</v>
      </c>
      <c r="C132" s="13" t="str">
        <f t="shared" si="25"/>
        <v>CE</v>
      </c>
      <c r="D132" s="13" t="s">
        <v>127</v>
      </c>
      <c r="E132" s="139">
        <v>0.1</v>
      </c>
      <c r="F132" s="104"/>
      <c r="G132" s="104"/>
      <c r="H132" s="104"/>
      <c r="I132" s="104"/>
      <c r="J132" s="104"/>
      <c r="K132" s="104"/>
      <c r="L132" s="104"/>
      <c r="M132" s="104"/>
      <c r="N132" s="104"/>
      <c r="O132" s="104"/>
      <c r="P132" s="104"/>
      <c r="Q132" s="104"/>
      <c r="R132" s="13"/>
      <c r="S132" s="13"/>
      <c r="T132" s="13"/>
      <c r="U132" s="13"/>
      <c r="V132" s="171"/>
      <c r="W132" s="171"/>
      <c r="X132" s="171"/>
      <c r="Y132" s="171"/>
      <c r="Z132" s="171"/>
      <c r="AA132" s="171"/>
      <c r="AB132" s="171"/>
      <c r="AC132" s="171"/>
      <c r="AD132" s="171"/>
      <c r="AE132" s="171"/>
      <c r="AF132" s="171"/>
      <c r="AG132" s="171"/>
      <c r="AH132" s="171"/>
      <c r="AI132" s="171"/>
      <c r="AJ132" s="171"/>
      <c r="AK132" s="171"/>
      <c r="AL132" s="171"/>
      <c r="AM132" s="171"/>
      <c r="AN132" s="171"/>
      <c r="AO132" s="171"/>
      <c r="AP132" s="171"/>
      <c r="AQ132" s="171"/>
      <c r="AR132" s="171"/>
      <c r="AS132" s="171"/>
      <c r="AT132" s="171"/>
      <c r="AU132" s="171"/>
      <c r="AV132" s="171"/>
      <c r="AW132" s="13"/>
    </row>
    <row r="133" spans="1:49" outlineLevel="1">
      <c r="A133" s="13" t="s">
        <v>291</v>
      </c>
      <c r="B133" s="13" t="s">
        <v>72</v>
      </c>
      <c r="C133" s="13" t="str">
        <f t="shared" si="25"/>
        <v>EE</v>
      </c>
      <c r="D133" s="13" t="s">
        <v>127</v>
      </c>
      <c r="E133" s="139"/>
      <c r="F133" s="104"/>
      <c r="G133" s="104"/>
      <c r="H133" s="104"/>
      <c r="I133" s="104"/>
      <c r="J133" s="104"/>
      <c r="K133" s="104"/>
      <c r="L133" s="104"/>
      <c r="M133" s="104"/>
      <c r="N133" s="104"/>
      <c r="O133" s="104"/>
      <c r="P133" s="104"/>
      <c r="Q133" s="104"/>
      <c r="R133" s="13"/>
      <c r="S133" s="13"/>
      <c r="T133" s="13"/>
      <c r="U133" s="13"/>
      <c r="V133" s="171"/>
      <c r="W133" s="171"/>
      <c r="X133" s="171"/>
      <c r="Y133" s="171"/>
      <c r="Z133" s="171"/>
      <c r="AA133" s="171"/>
      <c r="AB133" s="171"/>
      <c r="AC133" s="171"/>
      <c r="AD133" s="171"/>
      <c r="AE133" s="171"/>
      <c r="AF133" s="171"/>
      <c r="AG133" s="171"/>
      <c r="AH133" s="171"/>
      <c r="AI133" s="171"/>
      <c r="AJ133" s="171"/>
      <c r="AK133" s="171"/>
      <c r="AL133" s="171"/>
      <c r="AM133" s="171"/>
      <c r="AN133" s="171"/>
      <c r="AO133" s="171"/>
      <c r="AP133" s="171"/>
      <c r="AQ133" s="171"/>
      <c r="AR133" s="171"/>
      <c r="AS133" s="171"/>
      <c r="AT133" s="171"/>
      <c r="AU133" s="171"/>
      <c r="AV133" s="171"/>
      <c r="AW133" s="13"/>
    </row>
    <row r="134" spans="1:49" outlineLevel="1">
      <c r="A134" s="13" t="s">
        <v>273</v>
      </c>
      <c r="B134" s="13" t="s">
        <v>70</v>
      </c>
      <c r="C134" s="13" t="str">
        <f t="shared" si="25"/>
        <v>EE</v>
      </c>
      <c r="D134" s="13" t="s">
        <v>127</v>
      </c>
      <c r="E134" s="139"/>
      <c r="F134" s="104"/>
      <c r="G134" s="104"/>
      <c r="H134" s="104"/>
      <c r="I134" s="104"/>
      <c r="J134" s="104"/>
      <c r="K134" s="104"/>
      <c r="L134" s="104"/>
      <c r="M134" s="104"/>
      <c r="N134" s="104"/>
      <c r="O134" s="104"/>
      <c r="P134" s="104"/>
      <c r="Q134" s="104"/>
      <c r="R134" s="13"/>
      <c r="S134" s="13"/>
      <c r="T134" s="13"/>
      <c r="U134" s="13"/>
      <c r="V134" s="171"/>
      <c r="W134" s="171"/>
      <c r="X134" s="171"/>
      <c r="Y134" s="171"/>
      <c r="Z134" s="171"/>
      <c r="AA134" s="171"/>
      <c r="AB134" s="171"/>
      <c r="AC134" s="171"/>
      <c r="AD134" s="171"/>
      <c r="AE134" s="171"/>
      <c r="AF134" s="171"/>
      <c r="AG134" s="171"/>
      <c r="AH134" s="171"/>
      <c r="AI134" s="171"/>
      <c r="AJ134" s="171"/>
      <c r="AK134" s="171"/>
      <c r="AL134" s="171"/>
      <c r="AM134" s="171"/>
      <c r="AN134" s="171"/>
      <c r="AO134" s="171"/>
      <c r="AP134" s="171"/>
      <c r="AQ134" s="171"/>
      <c r="AR134" s="171"/>
      <c r="AS134" s="171"/>
      <c r="AT134" s="171"/>
      <c r="AU134" s="171"/>
      <c r="AV134" s="171"/>
      <c r="AW134" s="13"/>
    </row>
    <row r="135" spans="1:49" outlineLevel="1">
      <c r="A135" s="13" t="s">
        <v>340</v>
      </c>
      <c r="B135" s="13" t="s">
        <v>68</v>
      </c>
      <c r="C135" s="13" t="str">
        <f t="shared" si="25"/>
        <v>EE</v>
      </c>
      <c r="D135" s="13" t="s">
        <v>127</v>
      </c>
      <c r="E135" s="139"/>
      <c r="F135" s="104"/>
      <c r="G135" s="104"/>
      <c r="H135" s="104"/>
      <c r="I135" s="104"/>
      <c r="J135" s="104"/>
      <c r="K135" s="104"/>
      <c r="L135" s="104"/>
      <c r="M135" s="104"/>
      <c r="N135" s="104"/>
      <c r="O135" s="104"/>
      <c r="P135" s="104"/>
      <c r="Q135" s="104"/>
      <c r="R135" s="13"/>
      <c r="S135" s="13"/>
      <c r="T135" s="13"/>
      <c r="U135" s="13"/>
      <c r="V135" s="171"/>
      <c r="W135" s="171"/>
      <c r="X135" s="171"/>
      <c r="Y135" s="171"/>
      <c r="Z135" s="171"/>
      <c r="AA135" s="171"/>
      <c r="AB135" s="171"/>
      <c r="AC135" s="171"/>
      <c r="AD135" s="171"/>
      <c r="AE135" s="171"/>
      <c r="AF135" s="171"/>
      <c r="AG135" s="171"/>
      <c r="AH135" s="171"/>
      <c r="AI135" s="171"/>
      <c r="AJ135" s="171"/>
      <c r="AK135" s="171"/>
      <c r="AL135" s="171"/>
      <c r="AM135" s="171"/>
      <c r="AN135" s="171"/>
      <c r="AO135" s="171"/>
      <c r="AP135" s="171"/>
      <c r="AQ135" s="171"/>
      <c r="AR135" s="171"/>
      <c r="AS135" s="171"/>
      <c r="AT135" s="171"/>
      <c r="AU135" s="171"/>
      <c r="AV135" s="171"/>
      <c r="AW135" s="13"/>
    </row>
    <row r="136" spans="1:49" outlineLevel="1">
      <c r="A136" s="13" t="s">
        <v>269</v>
      </c>
      <c r="B136" s="13" t="s">
        <v>64</v>
      </c>
      <c r="C136" s="13" t="str">
        <f t="shared" si="25"/>
        <v>UK</v>
      </c>
      <c r="D136" s="13" t="s">
        <v>127</v>
      </c>
      <c r="E136" s="139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3"/>
      <c r="S136" s="13"/>
      <c r="T136" s="13"/>
      <c r="U136" s="13"/>
      <c r="V136" s="171"/>
      <c r="W136" s="171"/>
      <c r="X136" s="171"/>
      <c r="Y136" s="171"/>
      <c r="Z136" s="171"/>
      <c r="AA136" s="171"/>
      <c r="AB136" s="171"/>
      <c r="AC136" s="171"/>
      <c r="AD136" s="171"/>
      <c r="AE136" s="171"/>
      <c r="AF136" s="171"/>
      <c r="AG136" s="171"/>
      <c r="AH136" s="171"/>
      <c r="AI136" s="171"/>
      <c r="AJ136" s="171"/>
      <c r="AK136" s="171"/>
      <c r="AL136" s="171"/>
      <c r="AM136" s="171"/>
      <c r="AN136" s="171"/>
      <c r="AO136" s="171"/>
      <c r="AP136" s="171"/>
      <c r="AQ136" s="171"/>
      <c r="AR136" s="171"/>
      <c r="AS136" s="171"/>
      <c r="AT136" s="171"/>
      <c r="AU136" s="171"/>
      <c r="AV136" s="171"/>
      <c r="AW136" s="13"/>
    </row>
    <row r="137" spans="1:49" outlineLevel="1">
      <c r="A137" s="13" t="s">
        <v>314</v>
      </c>
      <c r="B137" s="13" t="s">
        <v>64</v>
      </c>
      <c r="C137" s="13" t="str">
        <f t="shared" si="25"/>
        <v>UK</v>
      </c>
      <c r="D137" s="13" t="s">
        <v>127</v>
      </c>
      <c r="E137" s="139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3"/>
      <c r="S137" s="13"/>
      <c r="T137" s="13"/>
      <c r="U137" s="13"/>
      <c r="V137" s="171"/>
      <c r="W137" s="171"/>
      <c r="X137" s="171"/>
      <c r="Y137" s="171"/>
      <c r="Z137" s="171"/>
      <c r="AA137" s="171"/>
      <c r="AB137" s="171"/>
      <c r="AC137" s="171"/>
      <c r="AD137" s="171"/>
      <c r="AE137" s="171"/>
      <c r="AF137" s="171"/>
      <c r="AG137" s="171"/>
      <c r="AH137" s="171"/>
      <c r="AI137" s="171"/>
      <c r="AJ137" s="171"/>
      <c r="AK137" s="171"/>
      <c r="AL137" s="171"/>
      <c r="AM137" s="171"/>
      <c r="AN137" s="171"/>
      <c r="AO137" s="171"/>
      <c r="AP137" s="171"/>
      <c r="AQ137" s="171"/>
      <c r="AR137" s="171"/>
      <c r="AS137" s="171"/>
      <c r="AT137" s="171"/>
      <c r="AU137" s="171"/>
      <c r="AV137" s="171"/>
      <c r="AW137" s="13"/>
    </row>
    <row r="138" spans="1:49" outlineLevel="1">
      <c r="A138" s="13" t="s">
        <v>301</v>
      </c>
      <c r="B138" s="13" t="s">
        <v>69</v>
      </c>
      <c r="C138" s="13" t="str">
        <f t="shared" si="25"/>
        <v>CE</v>
      </c>
      <c r="D138" s="13" t="s">
        <v>127</v>
      </c>
      <c r="E138" s="139"/>
      <c r="F138" s="104"/>
      <c r="G138" s="104"/>
      <c r="H138" s="104"/>
      <c r="I138" s="104"/>
      <c r="J138" s="104"/>
      <c r="K138" s="104"/>
      <c r="L138" s="104"/>
      <c r="M138" s="104"/>
      <c r="N138" s="104"/>
      <c r="O138" s="104"/>
      <c r="P138" s="104"/>
      <c r="Q138" s="104"/>
      <c r="R138" s="13"/>
      <c r="S138" s="13"/>
      <c r="T138" s="13"/>
      <c r="U138" s="13"/>
      <c r="V138" s="171"/>
      <c r="W138" s="171"/>
      <c r="X138" s="171"/>
      <c r="Y138" s="171"/>
      <c r="Z138" s="171"/>
      <c r="AA138" s="171"/>
      <c r="AB138" s="171"/>
      <c r="AC138" s="171"/>
      <c r="AD138" s="171"/>
      <c r="AE138" s="171"/>
      <c r="AF138" s="171"/>
      <c r="AG138" s="171"/>
      <c r="AH138" s="171"/>
      <c r="AI138" s="171"/>
      <c r="AJ138" s="171"/>
      <c r="AK138" s="171"/>
      <c r="AL138" s="171"/>
      <c r="AM138" s="171"/>
      <c r="AN138" s="171"/>
      <c r="AO138" s="171"/>
      <c r="AP138" s="171"/>
      <c r="AQ138" s="171"/>
      <c r="AR138" s="171"/>
      <c r="AS138" s="171"/>
      <c r="AT138" s="171"/>
      <c r="AU138" s="171"/>
      <c r="AV138" s="171"/>
      <c r="AW138" s="13"/>
    </row>
    <row r="139" spans="1:49" outlineLevel="1">
      <c r="A139" s="13" t="s">
        <v>346</v>
      </c>
      <c r="B139" s="13" t="s">
        <v>73</v>
      </c>
      <c r="C139" s="13" t="str">
        <f t="shared" si="25"/>
        <v>CE</v>
      </c>
      <c r="D139" s="13" t="s">
        <v>127</v>
      </c>
      <c r="E139" s="139"/>
      <c r="F139" s="104"/>
      <c r="G139" s="104"/>
      <c r="H139" s="104"/>
      <c r="I139" s="104"/>
      <c r="J139" s="104"/>
      <c r="K139" s="104"/>
      <c r="L139" s="104"/>
      <c r="M139" s="104"/>
      <c r="N139" s="104"/>
      <c r="O139" s="104"/>
      <c r="P139" s="104"/>
      <c r="Q139" s="104"/>
      <c r="R139" s="13"/>
      <c r="S139" s="13"/>
      <c r="T139" s="13"/>
      <c r="U139" s="13"/>
      <c r="V139" s="171"/>
      <c r="W139" s="171"/>
      <c r="X139" s="171"/>
      <c r="Y139" s="171"/>
      <c r="Z139" s="171"/>
      <c r="AA139" s="171"/>
      <c r="AB139" s="171"/>
      <c r="AC139" s="171"/>
      <c r="AD139" s="171"/>
      <c r="AE139" s="171"/>
      <c r="AF139" s="171"/>
      <c r="AG139" s="171"/>
      <c r="AH139" s="171"/>
      <c r="AI139" s="171"/>
      <c r="AJ139" s="171"/>
      <c r="AK139" s="171"/>
      <c r="AL139" s="171"/>
      <c r="AM139" s="171"/>
      <c r="AN139" s="171"/>
      <c r="AO139" s="171"/>
      <c r="AP139" s="171"/>
      <c r="AQ139" s="171"/>
      <c r="AR139" s="171"/>
      <c r="AS139" s="171"/>
      <c r="AT139" s="171"/>
      <c r="AU139" s="171"/>
      <c r="AV139" s="171"/>
      <c r="AW139" s="13"/>
    </row>
    <row r="140" spans="1:49" outlineLevel="1">
      <c r="A140" s="13" t="s">
        <v>413</v>
      </c>
      <c r="B140" s="13" t="s">
        <v>73</v>
      </c>
      <c r="C140" s="13" t="str">
        <f t="shared" si="25"/>
        <v>CE</v>
      </c>
      <c r="D140" s="13" t="s">
        <v>127</v>
      </c>
      <c r="E140" s="139"/>
      <c r="F140" s="104"/>
      <c r="G140" s="104"/>
      <c r="H140" s="104"/>
      <c r="I140" s="104"/>
      <c r="J140" s="104"/>
      <c r="K140" s="104"/>
      <c r="L140" s="104"/>
      <c r="M140" s="104"/>
      <c r="N140" s="104"/>
      <c r="O140" s="104"/>
      <c r="P140" s="104"/>
      <c r="Q140" s="104"/>
      <c r="R140" s="13"/>
      <c r="S140" s="13"/>
      <c r="T140" s="13"/>
      <c r="U140" s="13"/>
      <c r="V140" s="171"/>
      <c r="W140" s="171"/>
      <c r="X140" s="171"/>
      <c r="Y140" s="171"/>
      <c r="Z140" s="171"/>
      <c r="AA140" s="171"/>
      <c r="AB140" s="171"/>
      <c r="AC140" s="171"/>
      <c r="AD140" s="171"/>
      <c r="AE140" s="171"/>
      <c r="AF140" s="171"/>
      <c r="AG140" s="171"/>
      <c r="AH140" s="171"/>
      <c r="AI140" s="171"/>
      <c r="AJ140" s="171"/>
      <c r="AK140" s="171"/>
      <c r="AL140" s="171"/>
      <c r="AM140" s="171"/>
      <c r="AN140" s="171"/>
      <c r="AO140" s="171"/>
      <c r="AP140" s="171"/>
      <c r="AQ140" s="171"/>
      <c r="AR140" s="171"/>
      <c r="AS140" s="171"/>
      <c r="AT140" s="171"/>
      <c r="AU140" s="171"/>
      <c r="AV140" s="171"/>
      <c r="AW140" s="13"/>
    </row>
    <row r="141" spans="1:49" outlineLevel="1">
      <c r="A141" s="13" t="s">
        <v>353</v>
      </c>
      <c r="B141" s="13" t="s">
        <v>64</v>
      </c>
      <c r="C141" s="13" t="str">
        <f t="shared" si="25"/>
        <v>UK</v>
      </c>
      <c r="D141" s="13" t="s">
        <v>127</v>
      </c>
      <c r="E141" s="13"/>
      <c r="F141" s="104"/>
      <c r="G141" s="104"/>
      <c r="H141" s="104"/>
      <c r="I141" s="104"/>
      <c r="J141" s="104"/>
      <c r="K141" s="104"/>
      <c r="L141" s="104"/>
      <c r="M141" s="104"/>
      <c r="N141" s="104"/>
      <c r="O141" s="104"/>
      <c r="P141" s="104"/>
      <c r="Q141" s="104"/>
      <c r="R141" s="13"/>
      <c r="S141" s="13"/>
      <c r="T141" s="13"/>
      <c r="U141" s="13"/>
      <c r="V141" s="171"/>
      <c r="W141" s="171"/>
      <c r="X141" s="171"/>
      <c r="Y141" s="171"/>
      <c r="Z141" s="171"/>
      <c r="AA141" s="171"/>
      <c r="AB141" s="171"/>
      <c r="AC141" s="171"/>
      <c r="AD141" s="171"/>
      <c r="AE141" s="171"/>
      <c r="AF141" s="171"/>
      <c r="AG141" s="171"/>
      <c r="AH141" s="171"/>
      <c r="AI141" s="171"/>
      <c r="AJ141" s="171"/>
      <c r="AK141" s="171"/>
      <c r="AL141" s="171"/>
      <c r="AM141" s="171"/>
      <c r="AN141" s="171"/>
      <c r="AO141" s="171"/>
      <c r="AP141" s="171"/>
      <c r="AQ141" s="171"/>
      <c r="AR141" s="171"/>
      <c r="AS141" s="171"/>
      <c r="AT141" s="171"/>
      <c r="AU141" s="171"/>
      <c r="AV141" s="171"/>
      <c r="AW141" s="13"/>
    </row>
    <row r="142" spans="1:49" outlineLevel="1">
      <c r="A142" s="484" t="s">
        <v>439</v>
      </c>
      <c r="B142" s="475"/>
      <c r="C142" s="475"/>
      <c r="D142" s="475"/>
      <c r="E142" s="475"/>
      <c r="F142" s="475">
        <f t="shared" ref="F142:R142" si="26">SUM(F127:F141)</f>
        <v>4802.9668000000001</v>
      </c>
      <c r="G142" s="475">
        <f t="shared" si="26"/>
        <v>5000</v>
      </c>
      <c r="H142" s="475">
        <f t="shared" si="26"/>
        <v>5000</v>
      </c>
      <c r="I142" s="475">
        <f t="shared" si="26"/>
        <v>5000</v>
      </c>
      <c r="J142" s="475">
        <f t="shared" si="26"/>
        <v>5000</v>
      </c>
      <c r="K142" s="475">
        <f t="shared" si="26"/>
        <v>5000</v>
      </c>
      <c r="L142" s="475">
        <f t="shared" si="26"/>
        <v>5000</v>
      </c>
      <c r="M142" s="475">
        <f t="shared" si="26"/>
        <v>5000</v>
      </c>
      <c r="N142" s="475">
        <f t="shared" si="26"/>
        <v>8333.3333333333339</v>
      </c>
      <c r="O142" s="475">
        <f t="shared" si="26"/>
        <v>8333.3333333333339</v>
      </c>
      <c r="P142" s="475">
        <f t="shared" si="26"/>
        <v>8333.3333333333339</v>
      </c>
      <c r="Q142" s="475">
        <f t="shared" si="26"/>
        <v>5000</v>
      </c>
      <c r="R142" s="475">
        <f t="shared" si="26"/>
        <v>0</v>
      </c>
      <c r="S142" s="13"/>
      <c r="T142" s="13"/>
      <c r="U142" s="13"/>
      <c r="V142" s="475">
        <f t="shared" ref="V142:AH142" si="27">SUM(V127:V141)</f>
        <v>34117</v>
      </c>
      <c r="W142" s="475">
        <f t="shared" si="27"/>
        <v>34117</v>
      </c>
      <c r="X142" s="475">
        <f t="shared" si="27"/>
        <v>34117</v>
      </c>
      <c r="Y142" s="475">
        <f t="shared" si="27"/>
        <v>34117</v>
      </c>
      <c r="Z142" s="475">
        <f t="shared" si="27"/>
        <v>34117</v>
      </c>
      <c r="AA142" s="475">
        <f t="shared" si="27"/>
        <v>34117</v>
      </c>
      <c r="AB142" s="475">
        <f t="shared" si="27"/>
        <v>34117</v>
      </c>
      <c r="AC142" s="475">
        <f t="shared" si="27"/>
        <v>34117</v>
      </c>
      <c r="AD142" s="475">
        <f t="shared" si="27"/>
        <v>37450.333333333336</v>
      </c>
      <c r="AE142" s="475">
        <f t="shared" si="27"/>
        <v>37450.333333333336</v>
      </c>
      <c r="AF142" s="475">
        <f t="shared" si="27"/>
        <v>37450.333333333336</v>
      </c>
      <c r="AG142" s="475">
        <f t="shared" si="27"/>
        <v>34117</v>
      </c>
      <c r="AH142" s="475">
        <f t="shared" si="27"/>
        <v>0</v>
      </c>
      <c r="AI142" s="171"/>
      <c r="AJ142" s="13"/>
      <c r="AK142" s="475">
        <f t="shared" ref="AK142:AW142" si="28">SUM(AK127:AK141)</f>
        <v>34117</v>
      </c>
      <c r="AL142" s="475">
        <f t="shared" si="28"/>
        <v>34117</v>
      </c>
      <c r="AM142" s="475">
        <f t="shared" si="28"/>
        <v>34117</v>
      </c>
      <c r="AN142" s="475">
        <f t="shared" si="28"/>
        <v>34117</v>
      </c>
      <c r="AO142" s="475">
        <f t="shared" si="28"/>
        <v>34117</v>
      </c>
      <c r="AP142" s="475">
        <f t="shared" si="28"/>
        <v>34117</v>
      </c>
      <c r="AQ142" s="475">
        <f t="shared" si="28"/>
        <v>34117</v>
      </c>
      <c r="AR142" s="475">
        <f t="shared" si="28"/>
        <v>34117</v>
      </c>
      <c r="AS142" s="475">
        <f t="shared" si="28"/>
        <v>37450.333333333336</v>
      </c>
      <c r="AT142" s="475">
        <f t="shared" si="28"/>
        <v>37450.333333333336</v>
      </c>
      <c r="AU142" s="475">
        <f t="shared" si="28"/>
        <v>37450.333333333336</v>
      </c>
      <c r="AV142" s="475">
        <f t="shared" si="28"/>
        <v>34117</v>
      </c>
      <c r="AW142" s="475">
        <f t="shared" si="28"/>
        <v>0</v>
      </c>
    </row>
    <row r="143" spans="1:49" outlineLevel="1">
      <c r="A143" s="11"/>
      <c r="B143" s="13"/>
      <c r="C143" s="13"/>
      <c r="D143" s="13"/>
      <c r="E143" s="13"/>
      <c r="F143" s="104"/>
      <c r="G143" s="104"/>
      <c r="H143" s="104"/>
      <c r="I143" s="104"/>
      <c r="J143" s="104"/>
      <c r="K143" s="104"/>
      <c r="L143" s="104"/>
      <c r="M143" s="104"/>
      <c r="N143" s="104"/>
      <c r="O143" s="104"/>
      <c r="P143" s="104"/>
      <c r="Q143" s="104"/>
      <c r="R143" s="13"/>
      <c r="S143" s="13"/>
      <c r="T143" s="13"/>
      <c r="U143" s="13"/>
      <c r="V143" s="171"/>
      <c r="W143" s="171"/>
      <c r="X143" s="171"/>
      <c r="Y143" s="171"/>
      <c r="Z143" s="171"/>
      <c r="AA143" s="171"/>
      <c r="AB143" s="171"/>
      <c r="AC143" s="171"/>
      <c r="AD143" s="171"/>
      <c r="AE143" s="171"/>
      <c r="AF143" s="171"/>
      <c r="AG143" s="171"/>
      <c r="AH143" s="171"/>
      <c r="AI143" s="171"/>
      <c r="AJ143" s="171"/>
      <c r="AK143" s="171"/>
      <c r="AL143" s="171"/>
      <c r="AM143" s="171"/>
      <c r="AN143" s="171"/>
      <c r="AO143" s="171"/>
      <c r="AP143" s="171"/>
      <c r="AQ143" s="171"/>
      <c r="AR143" s="171"/>
      <c r="AS143" s="171"/>
      <c r="AT143" s="171"/>
      <c r="AU143" s="171"/>
      <c r="AV143" s="171"/>
      <c r="AW143" s="13"/>
    </row>
    <row r="144" spans="1:49" outlineLevel="1">
      <c r="A144" s="11" t="s">
        <v>127</v>
      </c>
      <c r="B144" s="13" t="s">
        <v>70</v>
      </c>
      <c r="C144" s="13" t="s">
        <v>66</v>
      </c>
      <c r="D144" s="13"/>
      <c r="E144" s="13"/>
      <c r="F144" s="104"/>
      <c r="G144" s="104"/>
      <c r="H144" s="104"/>
      <c r="I144" s="104"/>
      <c r="J144" s="104"/>
      <c r="K144" s="104"/>
      <c r="L144" s="104"/>
      <c r="M144" s="104">
        <v>4000</v>
      </c>
      <c r="N144" s="104">
        <v>4000</v>
      </c>
      <c r="O144" s="104">
        <v>4000</v>
      </c>
      <c r="P144" s="104"/>
      <c r="Q144" s="104"/>
      <c r="R144" s="13" t="s">
        <v>362</v>
      </c>
      <c r="S144" s="13"/>
      <c r="T144" s="13"/>
      <c r="U144" s="13"/>
      <c r="V144" s="171"/>
      <c r="W144" s="171"/>
      <c r="X144" s="171"/>
      <c r="Y144" s="171"/>
      <c r="Z144" s="171"/>
      <c r="AA144" s="171"/>
      <c r="AB144" s="171"/>
      <c r="AC144" s="171">
        <v>4000</v>
      </c>
      <c r="AD144" s="171">
        <v>4000</v>
      </c>
      <c r="AE144" s="171">
        <v>4000</v>
      </c>
      <c r="AF144" s="171"/>
      <c r="AG144" s="171"/>
      <c r="AH144" s="171"/>
      <c r="AI144" s="171"/>
      <c r="AJ144" s="171"/>
      <c r="AK144" s="171"/>
      <c r="AL144" s="171"/>
      <c r="AM144" s="171"/>
      <c r="AN144" s="171"/>
      <c r="AO144" s="171"/>
      <c r="AP144" s="171"/>
      <c r="AQ144" s="171"/>
      <c r="AR144" s="171">
        <v>4000</v>
      </c>
      <c r="AS144" s="171">
        <v>4000</v>
      </c>
      <c r="AT144" s="171">
        <v>4000</v>
      </c>
      <c r="AU144" s="171"/>
      <c r="AV144" s="171"/>
      <c r="AW144" s="13"/>
    </row>
    <row r="145" spans="1:49" outlineLevel="1">
      <c r="A145" s="11" t="s">
        <v>127</v>
      </c>
      <c r="B145" s="13" t="s">
        <v>68</v>
      </c>
      <c r="C145" s="13" t="s">
        <v>66</v>
      </c>
      <c r="D145" s="13"/>
      <c r="E145" s="13"/>
      <c r="F145" s="104"/>
      <c r="G145" s="104"/>
      <c r="H145" s="104"/>
      <c r="I145" s="104"/>
      <c r="J145" s="104"/>
      <c r="K145" s="104"/>
      <c r="L145" s="104"/>
      <c r="M145" s="104">
        <v>4000</v>
      </c>
      <c r="N145" s="104">
        <v>4000</v>
      </c>
      <c r="O145" s="104">
        <v>4000</v>
      </c>
      <c r="P145" s="104"/>
      <c r="Q145" s="104"/>
      <c r="R145" s="13" t="s">
        <v>363</v>
      </c>
      <c r="S145" s="13"/>
      <c r="T145" s="13"/>
      <c r="U145" s="13"/>
      <c r="V145" s="171"/>
      <c r="W145" s="171"/>
      <c r="X145" s="171"/>
      <c r="Y145" s="171"/>
      <c r="Z145" s="171"/>
      <c r="AA145" s="171"/>
      <c r="AB145" s="171"/>
      <c r="AC145" s="171">
        <v>4000</v>
      </c>
      <c r="AD145" s="171">
        <v>4000</v>
      </c>
      <c r="AE145" s="171">
        <v>4000</v>
      </c>
      <c r="AF145" s="171"/>
      <c r="AG145" s="171"/>
      <c r="AH145" s="171"/>
      <c r="AI145" s="171"/>
      <c r="AJ145" s="171"/>
      <c r="AK145" s="171"/>
      <c r="AL145" s="171"/>
      <c r="AM145" s="171"/>
      <c r="AN145" s="171"/>
      <c r="AO145" s="171"/>
      <c r="AP145" s="171"/>
      <c r="AQ145" s="171"/>
      <c r="AR145" s="171">
        <v>4000</v>
      </c>
      <c r="AS145" s="171">
        <v>4000</v>
      </c>
      <c r="AT145" s="171">
        <v>4000</v>
      </c>
      <c r="AU145" s="171"/>
      <c r="AV145" s="171"/>
      <c r="AW145" s="13"/>
    </row>
    <row r="146" spans="1:49" outlineLevel="1">
      <c r="A146" s="13"/>
      <c r="B146" s="13"/>
      <c r="C146" s="13"/>
      <c r="D146" s="13"/>
      <c r="E146" s="13"/>
      <c r="F146" s="475">
        <f t="shared" ref="F146:Q146" si="29">SUM(F127:F145)</f>
        <v>9605.9336000000003</v>
      </c>
      <c r="G146" s="475">
        <f t="shared" si="29"/>
        <v>10000</v>
      </c>
      <c r="H146" s="475">
        <f t="shared" si="29"/>
        <v>10000</v>
      </c>
      <c r="I146" s="475">
        <f t="shared" si="29"/>
        <v>10000</v>
      </c>
      <c r="J146" s="475">
        <f t="shared" si="29"/>
        <v>10000</v>
      </c>
      <c r="K146" s="475">
        <f t="shared" si="29"/>
        <v>10000</v>
      </c>
      <c r="L146" s="475">
        <f t="shared" si="29"/>
        <v>10000</v>
      </c>
      <c r="M146" s="475">
        <f t="shared" si="29"/>
        <v>18000</v>
      </c>
      <c r="N146" s="475">
        <f t="shared" si="29"/>
        <v>24666.666666666668</v>
      </c>
      <c r="O146" s="475">
        <f t="shared" si="29"/>
        <v>24666.666666666668</v>
      </c>
      <c r="P146" s="475">
        <f t="shared" si="29"/>
        <v>16666.666666666668</v>
      </c>
      <c r="Q146" s="475">
        <f t="shared" si="29"/>
        <v>10000</v>
      </c>
      <c r="R146" s="104"/>
      <c r="S146" s="13"/>
      <c r="T146" s="13"/>
      <c r="U146" s="13"/>
      <c r="V146" s="171">
        <v>34117</v>
      </c>
      <c r="W146" s="171">
        <v>34117</v>
      </c>
      <c r="X146" s="171">
        <v>34117</v>
      </c>
      <c r="Y146" s="171">
        <v>34117</v>
      </c>
      <c r="Z146" s="171">
        <v>34117</v>
      </c>
      <c r="AA146" s="171">
        <v>34117</v>
      </c>
      <c r="AB146" s="171">
        <v>34117</v>
      </c>
      <c r="AC146" s="171">
        <v>42117</v>
      </c>
      <c r="AD146" s="171">
        <v>45450.333333333336</v>
      </c>
      <c r="AE146" s="171">
        <v>45450.333333333336</v>
      </c>
      <c r="AF146" s="171">
        <v>37450.333333333336</v>
      </c>
      <c r="AG146" s="171">
        <v>34117</v>
      </c>
      <c r="AH146" s="171"/>
      <c r="AI146" s="171"/>
      <c r="AJ146" s="171"/>
      <c r="AK146" s="171">
        <v>34117</v>
      </c>
      <c r="AL146" s="171">
        <v>34117</v>
      </c>
      <c r="AM146" s="171">
        <v>34117</v>
      </c>
      <c r="AN146" s="171">
        <v>34117</v>
      </c>
      <c r="AO146" s="171">
        <v>34117</v>
      </c>
      <c r="AP146" s="171">
        <v>34117</v>
      </c>
      <c r="AQ146" s="171">
        <v>34117</v>
      </c>
      <c r="AR146" s="171">
        <v>42117</v>
      </c>
      <c r="AS146" s="171">
        <v>45450.333333333336</v>
      </c>
      <c r="AT146" s="171">
        <v>45450.333333333336</v>
      </c>
      <c r="AU146" s="171">
        <v>37450.333333333336</v>
      </c>
      <c r="AV146" s="171">
        <v>34117</v>
      </c>
      <c r="AW146" s="13"/>
    </row>
    <row r="147" spans="1:49" outlineLevel="1">
      <c r="A147" s="13"/>
      <c r="B147" s="13"/>
      <c r="C147" s="13"/>
      <c r="D147" s="13"/>
      <c r="E147" s="13"/>
      <c r="F147" s="104"/>
      <c r="G147" s="104"/>
      <c r="H147" s="104"/>
      <c r="I147" s="104"/>
      <c r="J147" s="104"/>
      <c r="K147" s="104"/>
      <c r="L147" s="104"/>
      <c r="M147" s="104"/>
      <c r="N147" s="104"/>
      <c r="O147" s="104"/>
      <c r="P147" s="104"/>
      <c r="Q147" s="104"/>
      <c r="R147" s="15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</row>
    <row r="148" spans="1:49" outlineLevel="1">
      <c r="A148" s="13"/>
      <c r="B148" s="13"/>
      <c r="C148" s="13"/>
      <c r="D148" s="13"/>
      <c r="E148" s="13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15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</row>
    <row r="149" spans="1:49" outlineLevel="1">
      <c r="A149" s="11" t="s">
        <v>129</v>
      </c>
      <c r="B149" s="13" t="s">
        <v>65</v>
      </c>
      <c r="C149" s="13" t="s">
        <v>65</v>
      </c>
      <c r="D149" s="13"/>
      <c r="E149" s="13"/>
      <c r="F149" s="104">
        <v>8500</v>
      </c>
      <c r="G149" s="104">
        <v>17000</v>
      </c>
      <c r="H149" s="49"/>
      <c r="I149" s="104">
        <v>14000</v>
      </c>
      <c r="J149" s="49"/>
      <c r="K149" s="49"/>
      <c r="L149" s="49"/>
      <c r="M149" s="104"/>
      <c r="N149" s="13"/>
      <c r="O149" s="49"/>
      <c r="P149" s="49"/>
      <c r="Q149" s="49"/>
      <c r="R149" s="15"/>
      <c r="S149" s="13"/>
      <c r="T149" s="13"/>
      <c r="U149" s="13"/>
      <c r="V149" s="104">
        <v>8500</v>
      </c>
      <c r="W149" s="104">
        <v>17000</v>
      </c>
      <c r="X149" s="49"/>
      <c r="Y149" s="104">
        <v>14000</v>
      </c>
      <c r="Z149" s="49"/>
      <c r="AA149" s="49"/>
      <c r="AB149" s="49"/>
      <c r="AC149" s="104"/>
      <c r="AD149" s="13"/>
      <c r="AE149" s="13"/>
      <c r="AF149" s="13"/>
      <c r="AG149" s="13"/>
      <c r="AH149" s="13"/>
      <c r="AI149" s="13"/>
      <c r="AJ149" s="13"/>
      <c r="AK149" s="104">
        <v>8500</v>
      </c>
      <c r="AL149" s="104">
        <v>17000</v>
      </c>
      <c r="AM149" s="49"/>
      <c r="AN149" s="104">
        <v>14000</v>
      </c>
      <c r="AO149" s="49"/>
      <c r="AP149" s="49"/>
      <c r="AQ149" s="49"/>
      <c r="AR149" s="104"/>
      <c r="AS149" s="13"/>
      <c r="AT149" s="13"/>
      <c r="AU149" s="13"/>
      <c r="AV149" s="13"/>
      <c r="AW149" s="13"/>
    </row>
    <row r="150" spans="1:49" outlineLevel="1">
      <c r="A150" s="11" t="s">
        <v>129</v>
      </c>
      <c r="B150" s="13" t="s">
        <v>67</v>
      </c>
      <c r="C150" s="13" t="s">
        <v>67</v>
      </c>
      <c r="D150" s="13"/>
      <c r="E150" s="13"/>
      <c r="F150" s="49"/>
      <c r="G150" s="49"/>
      <c r="H150" s="49"/>
      <c r="I150" s="49"/>
      <c r="J150" s="49"/>
      <c r="K150" s="49"/>
      <c r="L150" s="49"/>
      <c r="M150" s="49"/>
      <c r="N150" s="104">
        <v>15000</v>
      </c>
      <c r="O150" s="104"/>
      <c r="P150" s="49"/>
      <c r="Q150" s="49"/>
      <c r="R150" s="15"/>
      <c r="S150" s="13"/>
      <c r="T150" s="13"/>
      <c r="U150" s="13"/>
      <c r="V150" s="49"/>
      <c r="W150" s="49"/>
      <c r="X150" s="49"/>
      <c r="Y150" s="49"/>
      <c r="Z150" s="49"/>
      <c r="AA150" s="49"/>
      <c r="AB150" s="49"/>
      <c r="AC150" s="49"/>
      <c r="AD150" s="104">
        <v>15000</v>
      </c>
      <c r="AE150" s="13"/>
      <c r="AF150" s="13"/>
      <c r="AG150" s="13"/>
      <c r="AH150" s="13"/>
      <c r="AI150" s="13"/>
      <c r="AJ150" s="13"/>
      <c r="AK150" s="49"/>
      <c r="AL150" s="49"/>
      <c r="AM150" s="49"/>
      <c r="AN150" s="49"/>
      <c r="AO150" s="49"/>
      <c r="AP150" s="49"/>
      <c r="AQ150" s="49"/>
      <c r="AR150" s="49"/>
      <c r="AS150" s="104">
        <v>15000</v>
      </c>
      <c r="AT150" s="13"/>
      <c r="AU150" s="13"/>
      <c r="AV150" s="13"/>
      <c r="AW150" s="13"/>
    </row>
    <row r="151" spans="1:49" outlineLevel="1">
      <c r="A151" s="13" t="s">
        <v>129</v>
      </c>
      <c r="B151" s="13"/>
      <c r="C151" s="13"/>
      <c r="D151" s="13"/>
      <c r="E151" s="13"/>
      <c r="F151" s="49" t="s">
        <v>364</v>
      </c>
      <c r="G151" s="49" t="s">
        <v>263</v>
      </c>
      <c r="H151" s="49"/>
      <c r="I151" s="49" t="s">
        <v>365</v>
      </c>
      <c r="J151" s="49"/>
      <c r="K151" s="49"/>
      <c r="L151" s="49"/>
      <c r="M151" s="49"/>
      <c r="N151" s="49" t="s">
        <v>366</v>
      </c>
      <c r="O151" s="49"/>
      <c r="P151" s="49"/>
      <c r="Q151" s="49"/>
      <c r="R151" s="15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</row>
    <row r="152" spans="1:49" outlineLevel="1">
      <c r="A152" s="13" t="s">
        <v>367</v>
      </c>
      <c r="B152" s="13"/>
      <c r="C152" s="13"/>
      <c r="D152" s="13"/>
      <c r="E152" s="13"/>
      <c r="F152" s="49" t="s">
        <v>368</v>
      </c>
      <c r="G152" s="49" t="s">
        <v>369</v>
      </c>
      <c r="H152" s="49"/>
      <c r="I152" s="49" t="s">
        <v>370</v>
      </c>
      <c r="J152" s="49"/>
      <c r="K152" s="49"/>
      <c r="L152" s="49"/>
      <c r="M152" s="49"/>
      <c r="N152" s="49" t="s">
        <v>371</v>
      </c>
      <c r="O152" s="49"/>
      <c r="P152" s="49"/>
      <c r="Q152" s="49"/>
      <c r="R152" s="15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</row>
    <row r="153" spans="1:49" outlineLevel="1">
      <c r="A153" s="13"/>
      <c r="B153" s="13"/>
      <c r="C153" s="13"/>
      <c r="D153" s="13"/>
      <c r="E153" s="13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15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</row>
    <row r="154" spans="1:49" outlineLevel="1">
      <c r="A154" s="13" t="s">
        <v>372</v>
      </c>
      <c r="B154" s="13"/>
      <c r="C154" s="13"/>
      <c r="D154" s="13"/>
      <c r="E154" s="13"/>
      <c r="F154" s="49" t="s">
        <v>373</v>
      </c>
      <c r="G154" s="49" t="s">
        <v>373</v>
      </c>
      <c r="H154" s="49"/>
      <c r="I154" s="49" t="s">
        <v>373</v>
      </c>
      <c r="J154" s="49"/>
      <c r="K154" s="49"/>
      <c r="L154" s="49"/>
      <c r="M154" s="49"/>
      <c r="N154" s="49" t="s">
        <v>373</v>
      </c>
      <c r="O154" s="49"/>
      <c r="P154" s="49"/>
      <c r="Q154" s="49"/>
      <c r="R154" s="15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</row>
    <row r="155" spans="1:49" outlineLevel="1">
      <c r="A155" s="13"/>
      <c r="B155" s="13"/>
      <c r="C155" s="13"/>
      <c r="D155" s="13"/>
      <c r="E155" s="13"/>
      <c r="F155" s="49"/>
      <c r="G155" s="167" t="s">
        <v>374</v>
      </c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15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</row>
    <row r="156" spans="1:49" outlineLevel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49"/>
      <c r="P156" s="49"/>
      <c r="Q156" s="49"/>
      <c r="R156" s="15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</row>
    <row r="157" spans="1:49" outlineLevel="1">
      <c r="A157" s="13"/>
      <c r="B157" s="13"/>
      <c r="C157" s="13"/>
      <c r="D157" s="13"/>
      <c r="E157" s="13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15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</row>
    <row r="158" spans="1:49" outlineLevel="1">
      <c r="A158" s="13"/>
      <c r="B158" s="13"/>
      <c r="C158" s="13"/>
      <c r="D158" s="13"/>
      <c r="E158" s="13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15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</row>
    <row r="159" spans="1:49" outlineLevel="1">
      <c r="A159" s="13"/>
      <c r="B159" s="13"/>
      <c r="C159" s="13"/>
      <c r="D159" s="13"/>
      <c r="E159" s="13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15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</row>
    <row r="160" spans="1:49" outlineLevel="1">
      <c r="A160" s="485" t="s">
        <v>923</v>
      </c>
      <c r="B160" s="485"/>
      <c r="C160" s="485"/>
      <c r="D160" s="485"/>
      <c r="E160" s="485"/>
      <c r="F160" s="486">
        <f t="shared" ref="F160:R160" si="30">F3</f>
        <v>45689</v>
      </c>
      <c r="G160" s="486">
        <f t="shared" si="30"/>
        <v>45717</v>
      </c>
      <c r="H160" s="486">
        <f t="shared" si="30"/>
        <v>45748</v>
      </c>
      <c r="I160" s="486">
        <f t="shared" si="30"/>
        <v>45808</v>
      </c>
      <c r="J160" s="486">
        <f t="shared" si="30"/>
        <v>45838</v>
      </c>
      <c r="K160" s="486">
        <f t="shared" si="30"/>
        <v>45869</v>
      </c>
      <c r="L160" s="486">
        <f t="shared" si="30"/>
        <v>45900</v>
      </c>
      <c r="M160" s="486">
        <f t="shared" si="30"/>
        <v>45930</v>
      </c>
      <c r="N160" s="486">
        <f t="shared" si="30"/>
        <v>45961</v>
      </c>
      <c r="O160" s="486">
        <f t="shared" si="30"/>
        <v>45991</v>
      </c>
      <c r="P160" s="486">
        <f t="shared" si="30"/>
        <v>46022</v>
      </c>
      <c r="Q160" s="486">
        <f t="shared" si="30"/>
        <v>46053</v>
      </c>
      <c r="R160" s="486" t="str">
        <f t="shared" si="30"/>
        <v>FY26 Revised Total</v>
      </c>
      <c r="S160" s="486"/>
      <c r="T160" s="486"/>
      <c r="U160" s="486"/>
      <c r="V160" s="486">
        <f t="shared" ref="V160:AH160" si="31">V3</f>
        <v>46054</v>
      </c>
      <c r="W160" s="486">
        <f t="shared" si="31"/>
        <v>46082</v>
      </c>
      <c r="X160" s="486">
        <f t="shared" si="31"/>
        <v>46113</v>
      </c>
      <c r="Y160" s="486">
        <f t="shared" si="31"/>
        <v>46143</v>
      </c>
      <c r="Z160" s="486">
        <f t="shared" si="31"/>
        <v>46174</v>
      </c>
      <c r="AA160" s="486">
        <f t="shared" si="31"/>
        <v>46204</v>
      </c>
      <c r="AB160" s="486">
        <f t="shared" si="31"/>
        <v>46235</v>
      </c>
      <c r="AC160" s="486">
        <f t="shared" si="31"/>
        <v>46266</v>
      </c>
      <c r="AD160" s="486">
        <f t="shared" si="31"/>
        <v>46296</v>
      </c>
      <c r="AE160" s="486">
        <f t="shared" si="31"/>
        <v>46327</v>
      </c>
      <c r="AF160" s="486">
        <f t="shared" si="31"/>
        <v>46357</v>
      </c>
      <c r="AG160" s="486">
        <f t="shared" si="31"/>
        <v>46388</v>
      </c>
      <c r="AH160" s="486" t="str">
        <f t="shared" si="31"/>
        <v>FY27 Total</v>
      </c>
      <c r="AI160" s="486"/>
      <c r="AJ160" s="486"/>
      <c r="AK160" s="486"/>
      <c r="AL160" s="486"/>
      <c r="AM160" s="486"/>
      <c r="AN160" s="486"/>
      <c r="AO160" s="486"/>
      <c r="AP160" s="486"/>
      <c r="AQ160" s="486"/>
      <c r="AR160" s="486"/>
      <c r="AS160" s="486"/>
      <c r="AT160" s="486"/>
      <c r="AU160" s="486"/>
      <c r="AV160" s="486"/>
      <c r="AW160" s="486"/>
    </row>
    <row r="161" spans="1:34" outlineLevel="1">
      <c r="A161" s="13" t="s">
        <v>277</v>
      </c>
      <c r="B161" s="13"/>
      <c r="C161" s="13"/>
      <c r="D161" s="13"/>
      <c r="E161" s="13"/>
      <c r="F161" s="40">
        <f t="shared" ref="F161:Q174" si="32">SUMIF($A$3:$A$101,$A161,F$3:F$101)</f>
        <v>190148.34000000003</v>
      </c>
      <c r="G161" s="40">
        <f t="shared" si="32"/>
        <v>103455.44</v>
      </c>
      <c r="H161" s="40">
        <f t="shared" si="32"/>
        <v>73647.419999999984</v>
      </c>
      <c r="I161" s="40">
        <f t="shared" si="32"/>
        <v>167069.18</v>
      </c>
      <c r="J161" s="40">
        <f t="shared" si="32"/>
        <v>307927</v>
      </c>
      <c r="K161" s="40">
        <f t="shared" si="32"/>
        <v>114295.98999999999</v>
      </c>
      <c r="L161" s="40">
        <f t="shared" si="32"/>
        <v>19059.36</v>
      </c>
      <c r="M161" s="40">
        <f t="shared" si="32"/>
        <v>128435.87999999999</v>
      </c>
      <c r="N161" s="40">
        <f t="shared" si="32"/>
        <v>354805.07999999996</v>
      </c>
      <c r="O161" s="40">
        <f t="shared" si="32"/>
        <v>222519.604587668</v>
      </c>
      <c r="P161" s="40">
        <f t="shared" si="32"/>
        <v>143347.23074372619</v>
      </c>
      <c r="Q161" s="40">
        <f t="shared" si="32"/>
        <v>210687.58904807299</v>
      </c>
      <c r="R161" s="40">
        <f t="shared" ref="R161:R175" si="33">SUM(F161:Q161)</f>
        <v>2035398.1143794672</v>
      </c>
      <c r="S161" s="40"/>
      <c r="T161" s="13"/>
      <c r="U161" s="13"/>
      <c r="V161" s="40">
        <f t="shared" ref="V161:AG174" si="34">SUMIF($A$3:$A$101,$A161,V$3:V$101)</f>
        <v>216463.06640000001</v>
      </c>
      <c r="W161" s="40">
        <f t="shared" si="34"/>
        <v>124861.7824</v>
      </c>
      <c r="X161" s="40">
        <f t="shared" si="34"/>
        <v>86092.103199999998</v>
      </c>
      <c r="Y161" s="40">
        <f t="shared" si="34"/>
        <v>123317.2328</v>
      </c>
      <c r="Z161" s="40">
        <f t="shared" si="34"/>
        <v>192682.91999999998</v>
      </c>
      <c r="AA161" s="40">
        <f t="shared" si="34"/>
        <v>117428.16039999999</v>
      </c>
      <c r="AB161" s="40">
        <f t="shared" si="34"/>
        <v>101060.6256</v>
      </c>
      <c r="AC161" s="40">
        <f t="shared" si="34"/>
        <v>138562.56479999999</v>
      </c>
      <c r="AD161" s="40">
        <f t="shared" si="34"/>
        <v>366163.79680000001</v>
      </c>
      <c r="AE161" s="40">
        <f t="shared" si="34"/>
        <v>198636.21581649326</v>
      </c>
      <c r="AF161" s="40">
        <f t="shared" si="34"/>
        <v>208318.11077025096</v>
      </c>
      <c r="AG161" s="40">
        <f t="shared" si="34"/>
        <v>206498.49643807707</v>
      </c>
      <c r="AH161" s="40">
        <f t="shared" ref="AH161:AH175" si="35">SUM(V161:AG161)</f>
        <v>2080085.0754248211</v>
      </c>
    </row>
    <row r="162" spans="1:34" outlineLevel="1">
      <c r="A162" s="13" t="s">
        <v>248</v>
      </c>
      <c r="B162" s="13"/>
      <c r="C162" s="13"/>
      <c r="D162" s="13"/>
      <c r="E162" s="13"/>
      <c r="F162" s="40">
        <f t="shared" si="32"/>
        <v>62109.889999999992</v>
      </c>
      <c r="G162" s="40">
        <f t="shared" si="32"/>
        <v>34881.200000000004</v>
      </c>
      <c r="H162" s="40">
        <f t="shared" si="32"/>
        <v>65462.32</v>
      </c>
      <c r="I162" s="40">
        <f t="shared" si="32"/>
        <v>56611.38</v>
      </c>
      <c r="J162" s="40">
        <f t="shared" si="32"/>
        <v>41852.039999999994</v>
      </c>
      <c r="K162" s="40">
        <f t="shared" si="32"/>
        <v>52025.279999999999</v>
      </c>
      <c r="L162" s="40">
        <f t="shared" si="32"/>
        <v>55500.08</v>
      </c>
      <c r="M162" s="40">
        <f t="shared" si="32"/>
        <v>53579.94</v>
      </c>
      <c r="N162" s="40">
        <f t="shared" si="32"/>
        <v>71597.51999999999</v>
      </c>
      <c r="O162" s="40">
        <f t="shared" si="32"/>
        <v>85389.5345967045</v>
      </c>
      <c r="P162" s="40">
        <f t="shared" si="32"/>
        <v>99992.361590475004</v>
      </c>
      <c r="Q162" s="40">
        <f t="shared" si="32"/>
        <v>64440.877585813003</v>
      </c>
      <c r="R162" s="40">
        <f t="shared" si="33"/>
        <v>743442.42377299257</v>
      </c>
      <c r="S162" s="40"/>
      <c r="T162" s="13"/>
      <c r="U162" s="13"/>
      <c r="V162" s="40">
        <f t="shared" si="34"/>
        <v>59004.395499999991</v>
      </c>
      <c r="W162" s="40">
        <f t="shared" si="34"/>
        <v>33137.14</v>
      </c>
      <c r="X162" s="40">
        <f t="shared" si="34"/>
        <v>62189.203999999998</v>
      </c>
      <c r="Y162" s="40">
        <f t="shared" si="34"/>
        <v>53780.810999999994</v>
      </c>
      <c r="Z162" s="40">
        <f t="shared" si="34"/>
        <v>41852.039999999994</v>
      </c>
      <c r="AA162" s="40">
        <f t="shared" si="34"/>
        <v>52025.279999999999</v>
      </c>
      <c r="AB162" s="40">
        <f t="shared" si="34"/>
        <v>155500.08000000002</v>
      </c>
      <c r="AC162" s="40">
        <f t="shared" si="34"/>
        <v>153579.94</v>
      </c>
      <c r="AD162" s="40">
        <f t="shared" si="34"/>
        <v>57278.015999999996</v>
      </c>
      <c r="AE162" s="40">
        <f t="shared" si="34"/>
        <v>68311.627677363605</v>
      </c>
      <c r="AF162" s="40">
        <f t="shared" si="34"/>
        <v>79993.889272380009</v>
      </c>
      <c r="AG162" s="40">
        <f t="shared" si="34"/>
        <v>51552.702068650404</v>
      </c>
      <c r="AH162" s="40">
        <f t="shared" si="35"/>
        <v>868205.12551839394</v>
      </c>
    </row>
    <row r="163" spans="1:34" outlineLevel="1">
      <c r="A163" s="13" t="s">
        <v>332</v>
      </c>
      <c r="B163" s="13"/>
      <c r="C163" s="13"/>
      <c r="D163" s="13"/>
      <c r="E163" s="13"/>
      <c r="F163" s="40">
        <f t="shared" si="32"/>
        <v>16407.3</v>
      </c>
      <c r="G163" s="40">
        <f t="shared" si="32"/>
        <v>7910.8199999999979</v>
      </c>
      <c r="H163" s="40">
        <f t="shared" si="32"/>
        <v>12654.309999999998</v>
      </c>
      <c r="I163" s="40">
        <f t="shared" si="32"/>
        <v>14807.339999999998</v>
      </c>
      <c r="J163" s="40">
        <f t="shared" si="32"/>
        <v>16946.310000000001</v>
      </c>
      <c r="K163" s="40">
        <f t="shared" si="32"/>
        <v>9207.36</v>
      </c>
      <c r="L163" s="40">
        <f t="shared" si="32"/>
        <v>11036.189999999999</v>
      </c>
      <c r="M163" s="40">
        <f t="shared" si="32"/>
        <v>11680.660000000003</v>
      </c>
      <c r="N163" s="40">
        <f t="shared" si="32"/>
        <v>39946.18</v>
      </c>
      <c r="O163" s="40">
        <f t="shared" si="32"/>
        <v>15320.40857142857</v>
      </c>
      <c r="P163" s="40">
        <f t="shared" si="32"/>
        <v>13378.921224489801</v>
      </c>
      <c r="Q163" s="40">
        <f t="shared" si="32"/>
        <v>13911.008542274099</v>
      </c>
      <c r="R163" s="40">
        <f t="shared" si="33"/>
        <v>183206.80833819247</v>
      </c>
      <c r="S163" s="40"/>
      <c r="T163" s="13"/>
      <c r="U163" s="13"/>
      <c r="V163" s="40">
        <f t="shared" si="34"/>
        <v>16407.3</v>
      </c>
      <c r="W163" s="40">
        <f t="shared" si="34"/>
        <v>7910.8199999999979</v>
      </c>
      <c r="X163" s="40">
        <f t="shared" si="34"/>
        <v>12654.309999999998</v>
      </c>
      <c r="Y163" s="40">
        <f t="shared" si="34"/>
        <v>14807.339999999998</v>
      </c>
      <c r="Z163" s="40">
        <f t="shared" si="34"/>
        <v>41946.31</v>
      </c>
      <c r="AA163" s="40">
        <f t="shared" si="34"/>
        <v>8746.9920000000002</v>
      </c>
      <c r="AB163" s="40">
        <f t="shared" si="34"/>
        <v>10484.380499999999</v>
      </c>
      <c r="AC163" s="40">
        <f t="shared" si="34"/>
        <v>11096.627000000008</v>
      </c>
      <c r="AD163" s="40">
        <f t="shared" si="34"/>
        <v>47948.870999999999</v>
      </c>
      <c r="AE163" s="40">
        <f t="shared" si="34"/>
        <v>24554.38814285714</v>
      </c>
      <c r="AF163" s="40">
        <f t="shared" si="34"/>
        <v>12709.975163265311</v>
      </c>
      <c r="AG163" s="40">
        <f t="shared" si="34"/>
        <v>13215.458115160394</v>
      </c>
      <c r="AH163" s="40">
        <f t="shared" si="35"/>
        <v>222482.77192128284</v>
      </c>
    </row>
    <row r="164" spans="1:34" outlineLevel="1">
      <c r="A164" s="13" t="s">
        <v>330</v>
      </c>
      <c r="B164" s="13"/>
      <c r="C164" s="13"/>
      <c r="D164" s="13"/>
      <c r="E164" s="13"/>
      <c r="F164" s="40">
        <f t="shared" si="32"/>
        <v>17897.899999999998</v>
      </c>
      <c r="G164" s="40">
        <f t="shared" si="32"/>
        <v>47354.539999999994</v>
      </c>
      <c r="H164" s="40">
        <f t="shared" si="32"/>
        <v>29937.739999999998</v>
      </c>
      <c r="I164" s="40">
        <f t="shared" si="32"/>
        <v>9342</v>
      </c>
      <c r="J164" s="40">
        <f t="shared" si="32"/>
        <v>950.78</v>
      </c>
      <c r="K164" s="40">
        <f t="shared" si="32"/>
        <v>0</v>
      </c>
      <c r="L164" s="40">
        <f t="shared" si="32"/>
        <v>6655.49</v>
      </c>
      <c r="M164" s="40">
        <f t="shared" si="32"/>
        <v>39924.86</v>
      </c>
      <c r="N164" s="40">
        <f t="shared" si="32"/>
        <v>7281.5</v>
      </c>
      <c r="O164" s="40">
        <f t="shared" si="32"/>
        <v>11422</v>
      </c>
      <c r="P164" s="40">
        <f t="shared" si="32"/>
        <v>14708.0680488003</v>
      </c>
      <c r="Q164" s="40">
        <f t="shared" si="32"/>
        <v>8921.1912185320507</v>
      </c>
      <c r="R164" s="40">
        <f t="shared" si="33"/>
        <v>194396.06926733235</v>
      </c>
      <c r="S164" s="40"/>
      <c r="T164" s="13"/>
      <c r="U164" s="13"/>
      <c r="V164" s="40">
        <f t="shared" si="34"/>
        <v>15000</v>
      </c>
      <c r="W164" s="40">
        <f t="shared" si="34"/>
        <v>34500</v>
      </c>
      <c r="X164" s="40">
        <f t="shared" si="34"/>
        <v>0</v>
      </c>
      <c r="Y164" s="40">
        <f t="shared" si="34"/>
        <v>10000</v>
      </c>
      <c r="Z164" s="40">
        <f t="shared" si="34"/>
        <v>9758</v>
      </c>
      <c r="AA164" s="40">
        <f t="shared" si="34"/>
        <v>7280</v>
      </c>
      <c r="AB164" s="40">
        <f t="shared" si="34"/>
        <v>6937</v>
      </c>
      <c r="AC164" s="40">
        <f t="shared" si="34"/>
        <v>15903</v>
      </c>
      <c r="AD164" s="40">
        <f t="shared" si="34"/>
        <v>8472</v>
      </c>
      <c r="AE164" s="40">
        <f t="shared" si="34"/>
        <v>32854</v>
      </c>
      <c r="AF164" s="40">
        <f t="shared" si="34"/>
        <v>27375</v>
      </c>
      <c r="AG164" s="40">
        <f t="shared" si="34"/>
        <v>22132</v>
      </c>
      <c r="AH164" s="40">
        <f t="shared" si="35"/>
        <v>190211</v>
      </c>
    </row>
    <row r="165" spans="1:34" outlineLevel="1">
      <c r="A165" s="13" t="s">
        <v>264</v>
      </c>
      <c r="B165" s="13"/>
      <c r="C165" s="13"/>
      <c r="D165" s="13"/>
      <c r="E165" s="13"/>
      <c r="F165" s="40">
        <f t="shared" si="32"/>
        <v>69841.83</v>
      </c>
      <c r="G165" s="40">
        <f t="shared" si="32"/>
        <v>48931.65</v>
      </c>
      <c r="H165" s="40">
        <f t="shared" si="32"/>
        <v>0</v>
      </c>
      <c r="I165" s="40">
        <f t="shared" si="32"/>
        <v>67066.38</v>
      </c>
      <c r="J165" s="40">
        <f t="shared" si="32"/>
        <v>58821.040000000008</v>
      </c>
      <c r="K165" s="40">
        <f t="shared" si="32"/>
        <v>34460.04</v>
      </c>
      <c r="L165" s="40">
        <f t="shared" si="32"/>
        <v>45130.49</v>
      </c>
      <c r="M165" s="40">
        <f t="shared" si="32"/>
        <v>-840.39</v>
      </c>
      <c r="N165" s="40">
        <f t="shared" si="32"/>
        <v>0</v>
      </c>
      <c r="O165" s="40">
        <f t="shared" si="32"/>
        <v>114000</v>
      </c>
      <c r="P165" s="40">
        <f t="shared" si="32"/>
        <v>40000</v>
      </c>
      <c r="Q165" s="40">
        <f t="shared" si="32"/>
        <v>40406.176320486535</v>
      </c>
      <c r="R165" s="40">
        <f t="shared" si="33"/>
        <v>517817.21632048651</v>
      </c>
      <c r="S165" s="40"/>
      <c r="T165" s="13"/>
      <c r="U165" s="13"/>
      <c r="V165" s="40">
        <f t="shared" si="34"/>
        <v>30000</v>
      </c>
      <c r="W165" s="40">
        <f t="shared" si="34"/>
        <v>50000</v>
      </c>
      <c r="X165" s="40">
        <f t="shared" si="34"/>
        <v>46000</v>
      </c>
      <c r="Y165" s="40">
        <f t="shared" si="34"/>
        <v>45000</v>
      </c>
      <c r="Z165" s="40">
        <f t="shared" si="34"/>
        <v>54000</v>
      </c>
      <c r="AA165" s="40">
        <f t="shared" si="34"/>
        <v>27000</v>
      </c>
      <c r="AB165" s="40">
        <f t="shared" si="34"/>
        <v>36000</v>
      </c>
      <c r="AC165" s="40">
        <f t="shared" si="34"/>
        <v>18000</v>
      </c>
      <c r="AD165" s="40">
        <f t="shared" si="34"/>
        <v>46000</v>
      </c>
      <c r="AE165" s="40">
        <f t="shared" si="34"/>
        <v>54000</v>
      </c>
      <c r="AF165" s="40">
        <f t="shared" si="34"/>
        <v>36000</v>
      </c>
      <c r="AG165" s="40">
        <f t="shared" si="34"/>
        <v>36000</v>
      </c>
      <c r="AH165" s="40">
        <f t="shared" si="35"/>
        <v>478000</v>
      </c>
    </row>
    <row r="166" spans="1:34" outlineLevel="1">
      <c r="A166" s="13" t="s">
        <v>291</v>
      </c>
      <c r="B166" s="13"/>
      <c r="C166" s="13"/>
      <c r="D166" s="13"/>
      <c r="E166" s="13"/>
      <c r="F166" s="40">
        <f t="shared" si="32"/>
        <v>4582.5</v>
      </c>
      <c r="G166" s="40">
        <f t="shared" si="32"/>
        <v>0</v>
      </c>
      <c r="H166" s="40">
        <f t="shared" si="32"/>
        <v>0</v>
      </c>
      <c r="I166" s="40">
        <f t="shared" si="32"/>
        <v>10071.599999999999</v>
      </c>
      <c r="J166" s="40">
        <f t="shared" si="32"/>
        <v>12198.36</v>
      </c>
      <c r="K166" s="40">
        <f t="shared" si="32"/>
        <v>10277.700000000001</v>
      </c>
      <c r="L166" s="40">
        <f t="shared" si="32"/>
        <v>0</v>
      </c>
      <c r="M166" s="40">
        <f t="shared" si="32"/>
        <v>0</v>
      </c>
      <c r="N166" s="40">
        <f t="shared" si="32"/>
        <v>25055.5</v>
      </c>
      <c r="O166" s="40">
        <f t="shared" si="32"/>
        <v>40000</v>
      </c>
      <c r="P166" s="40">
        <f t="shared" si="32"/>
        <v>15000</v>
      </c>
      <c r="Q166" s="40">
        <f t="shared" si="32"/>
        <v>15000</v>
      </c>
      <c r="R166" s="40">
        <f t="shared" si="33"/>
        <v>132185.66</v>
      </c>
      <c r="S166" s="40"/>
      <c r="T166" s="13"/>
      <c r="U166" s="13"/>
      <c r="V166" s="40">
        <f t="shared" si="34"/>
        <v>10000</v>
      </c>
      <c r="W166" s="40">
        <f t="shared" si="34"/>
        <v>0</v>
      </c>
      <c r="X166" s="40">
        <f t="shared" si="34"/>
        <v>0</v>
      </c>
      <c r="Y166" s="40">
        <f t="shared" si="34"/>
        <v>10000</v>
      </c>
      <c r="Z166" s="40">
        <f t="shared" si="34"/>
        <v>0</v>
      </c>
      <c r="AA166" s="40">
        <f t="shared" si="34"/>
        <v>10000</v>
      </c>
      <c r="AB166" s="40">
        <f t="shared" si="34"/>
        <v>0</v>
      </c>
      <c r="AC166" s="40">
        <f t="shared" si="34"/>
        <v>0</v>
      </c>
      <c r="AD166" s="40">
        <f t="shared" si="34"/>
        <v>30000</v>
      </c>
      <c r="AE166" s="40">
        <f t="shared" si="34"/>
        <v>20000</v>
      </c>
      <c r="AF166" s="40">
        <f t="shared" si="34"/>
        <v>0</v>
      </c>
      <c r="AG166" s="40">
        <f t="shared" si="34"/>
        <v>10000</v>
      </c>
      <c r="AH166" s="40">
        <f t="shared" si="35"/>
        <v>90000</v>
      </c>
    </row>
    <row r="167" spans="1:34" outlineLevel="1">
      <c r="A167" s="13" t="s">
        <v>343</v>
      </c>
      <c r="B167" s="13"/>
      <c r="C167" s="13"/>
      <c r="D167" s="13"/>
      <c r="E167" s="13"/>
      <c r="F167" s="40">
        <f t="shared" si="32"/>
        <v>1817.2800000000002</v>
      </c>
      <c r="G167" s="40">
        <f t="shared" si="32"/>
        <v>10409.380000000001</v>
      </c>
      <c r="H167" s="40">
        <f t="shared" si="32"/>
        <v>7466.4</v>
      </c>
      <c r="I167" s="40">
        <f t="shared" si="32"/>
        <v>4885.92</v>
      </c>
      <c r="J167" s="40">
        <f t="shared" si="32"/>
        <v>12363.56</v>
      </c>
      <c r="K167" s="40">
        <f t="shared" si="32"/>
        <v>709.8</v>
      </c>
      <c r="L167" s="40">
        <f t="shared" si="32"/>
        <v>779.2</v>
      </c>
      <c r="M167" s="40">
        <f t="shared" si="32"/>
        <v>8824.7999999999993</v>
      </c>
      <c r="N167" s="40">
        <f t="shared" si="32"/>
        <v>7859.9599999999991</v>
      </c>
      <c r="O167" s="40">
        <f t="shared" si="32"/>
        <v>5598.6483080431308</v>
      </c>
      <c r="P167" s="40">
        <f t="shared" si="32"/>
        <v>5049.3125102142585</v>
      </c>
      <c r="Q167" s="40">
        <f t="shared" si="32"/>
        <v>4042.9394983626703</v>
      </c>
      <c r="R167" s="40">
        <f t="shared" si="33"/>
        <v>69807.200316620045</v>
      </c>
      <c r="S167" s="40"/>
      <c r="T167" s="13"/>
      <c r="U167" s="13"/>
      <c r="V167" s="40">
        <f t="shared" si="34"/>
        <v>2538</v>
      </c>
      <c r="W167" s="40">
        <f t="shared" si="34"/>
        <v>5430</v>
      </c>
      <c r="X167" s="40">
        <f t="shared" si="34"/>
        <v>14000</v>
      </c>
      <c r="Y167" s="40">
        <f t="shared" si="34"/>
        <v>5068</v>
      </c>
      <c r="Z167" s="40">
        <f t="shared" si="34"/>
        <v>8372</v>
      </c>
      <c r="AA167" s="40">
        <f t="shared" si="34"/>
        <v>15000</v>
      </c>
      <c r="AB167" s="40">
        <f t="shared" si="34"/>
        <v>8190</v>
      </c>
      <c r="AC167" s="40">
        <f t="shared" si="34"/>
        <v>9503</v>
      </c>
      <c r="AD167" s="40">
        <f t="shared" si="34"/>
        <v>8093</v>
      </c>
      <c r="AE167" s="40">
        <f t="shared" si="34"/>
        <v>4539</v>
      </c>
      <c r="AF167" s="40">
        <f t="shared" si="34"/>
        <v>2120</v>
      </c>
      <c r="AG167" s="40">
        <f t="shared" si="34"/>
        <v>4000</v>
      </c>
      <c r="AH167" s="40">
        <f t="shared" si="35"/>
        <v>86853</v>
      </c>
    </row>
    <row r="168" spans="1:34" outlineLevel="1">
      <c r="A168" s="13" t="s">
        <v>273</v>
      </c>
      <c r="B168" s="13"/>
      <c r="C168" s="13"/>
      <c r="D168" s="13"/>
      <c r="E168" s="13"/>
      <c r="F168" s="40">
        <f t="shared" si="32"/>
        <v>0</v>
      </c>
      <c r="G168" s="40">
        <f t="shared" si="32"/>
        <v>23819.399999999998</v>
      </c>
      <c r="H168" s="40">
        <f t="shared" si="32"/>
        <v>30338.6</v>
      </c>
      <c r="I168" s="40">
        <f t="shared" si="32"/>
        <v>25227.000000000004</v>
      </c>
      <c r="J168" s="40">
        <f t="shared" si="32"/>
        <v>0</v>
      </c>
      <c r="K168" s="40">
        <f t="shared" si="32"/>
        <v>15042.6</v>
      </c>
      <c r="L168" s="40">
        <f t="shared" si="32"/>
        <v>23948.800000000003</v>
      </c>
      <c r="M168" s="40">
        <f t="shared" si="32"/>
        <v>0</v>
      </c>
      <c r="N168" s="40">
        <f t="shared" si="32"/>
        <v>26124.100000000002</v>
      </c>
      <c r="O168" s="40">
        <f t="shared" si="32"/>
        <v>70000</v>
      </c>
      <c r="P168" s="40">
        <f t="shared" si="32"/>
        <v>20000</v>
      </c>
      <c r="Q168" s="40">
        <f t="shared" si="32"/>
        <v>30000</v>
      </c>
      <c r="R168" s="40">
        <f t="shared" si="33"/>
        <v>264500.5</v>
      </c>
      <c r="S168" s="40"/>
      <c r="T168" s="13"/>
      <c r="U168" s="13"/>
      <c r="V168" s="40">
        <f t="shared" si="34"/>
        <v>0</v>
      </c>
      <c r="W168" s="40">
        <f t="shared" si="34"/>
        <v>23819.399999999998</v>
      </c>
      <c r="X168" s="40">
        <f t="shared" si="34"/>
        <v>30338.6</v>
      </c>
      <c r="Y168" s="40">
        <f t="shared" si="34"/>
        <v>25227.000000000004</v>
      </c>
      <c r="Z168" s="40">
        <f t="shared" si="34"/>
        <v>10000</v>
      </c>
      <c r="AA168" s="40">
        <f t="shared" si="34"/>
        <v>15042.6</v>
      </c>
      <c r="AB168" s="40">
        <f t="shared" si="34"/>
        <v>23948.800000000003</v>
      </c>
      <c r="AC168" s="40">
        <f t="shared" si="34"/>
        <v>0</v>
      </c>
      <c r="AD168" s="40">
        <f t="shared" si="34"/>
        <v>26124.100000000002</v>
      </c>
      <c r="AE168" s="40">
        <f t="shared" si="34"/>
        <v>30000</v>
      </c>
      <c r="AF168" s="40">
        <f t="shared" si="34"/>
        <v>10000</v>
      </c>
      <c r="AG168" s="40">
        <f t="shared" si="34"/>
        <v>31727.401217727871</v>
      </c>
      <c r="AH168" s="40">
        <f t="shared" si="35"/>
        <v>226227.90121772786</v>
      </c>
    </row>
    <row r="169" spans="1:34" outlineLevel="1">
      <c r="A169" s="13" t="s">
        <v>340</v>
      </c>
      <c r="B169" s="13"/>
      <c r="C169" s="13"/>
      <c r="D169" s="13"/>
      <c r="E169" s="13"/>
      <c r="F169" s="40">
        <f t="shared" si="32"/>
        <v>31007.040000000001</v>
      </c>
      <c r="G169" s="40">
        <f t="shared" si="32"/>
        <v>43784.990000000005</v>
      </c>
      <c r="H169" s="40">
        <f t="shared" si="32"/>
        <v>0</v>
      </c>
      <c r="I169" s="40">
        <f t="shared" si="32"/>
        <v>0</v>
      </c>
      <c r="J169" s="40">
        <f t="shared" si="32"/>
        <v>2412.1799999999998</v>
      </c>
      <c r="K169" s="40">
        <f t="shared" si="32"/>
        <v>3122.69</v>
      </c>
      <c r="L169" s="40">
        <f t="shared" si="32"/>
        <v>5197.3999999999996</v>
      </c>
      <c r="M169" s="40">
        <f t="shared" si="32"/>
        <v>20076.009999999998</v>
      </c>
      <c r="N169" s="40">
        <f t="shared" si="32"/>
        <v>0</v>
      </c>
      <c r="O169" s="40">
        <f t="shared" si="32"/>
        <v>13324.057948310745</v>
      </c>
      <c r="P169" s="40">
        <f t="shared" si="32"/>
        <v>12016.709888451682</v>
      </c>
      <c r="Q169" s="40">
        <f t="shared" si="32"/>
        <v>9621.672445527649</v>
      </c>
      <c r="R169" s="40">
        <f t="shared" si="33"/>
        <v>140562.75028229007</v>
      </c>
      <c r="S169" s="40"/>
      <c r="T169" s="13"/>
      <c r="U169" s="13"/>
      <c r="V169" s="40">
        <f t="shared" si="34"/>
        <v>10000</v>
      </c>
      <c r="W169" s="40">
        <f t="shared" si="34"/>
        <v>25000</v>
      </c>
      <c r="X169" s="40">
        <f t="shared" si="34"/>
        <v>17000</v>
      </c>
      <c r="Y169" s="40">
        <f t="shared" si="34"/>
        <v>25000</v>
      </c>
      <c r="Z169" s="40">
        <f t="shared" si="34"/>
        <v>10000</v>
      </c>
      <c r="AA169" s="40">
        <f t="shared" si="34"/>
        <v>2000</v>
      </c>
      <c r="AB169" s="40">
        <f t="shared" si="34"/>
        <v>20000</v>
      </c>
      <c r="AC169" s="40">
        <f t="shared" si="34"/>
        <v>17000</v>
      </c>
      <c r="AD169" s="40">
        <f t="shared" si="34"/>
        <v>2000</v>
      </c>
      <c r="AE169" s="40">
        <f t="shared" si="34"/>
        <v>25000</v>
      </c>
      <c r="AF169" s="40">
        <f t="shared" si="34"/>
        <v>2000</v>
      </c>
      <c r="AG169" s="40">
        <f t="shared" si="34"/>
        <v>2000</v>
      </c>
      <c r="AH169" s="40">
        <f t="shared" si="35"/>
        <v>157000</v>
      </c>
    </row>
    <row r="170" spans="1:34" outlineLevel="1">
      <c r="A170" s="13" t="s">
        <v>269</v>
      </c>
      <c r="B170" s="13"/>
      <c r="C170" s="13"/>
      <c r="D170" s="13"/>
      <c r="E170" s="13"/>
      <c r="F170" s="40">
        <f t="shared" si="32"/>
        <v>0</v>
      </c>
      <c r="G170" s="40">
        <f t="shared" si="32"/>
        <v>2241.1800000000003</v>
      </c>
      <c r="H170" s="40">
        <f t="shared" si="32"/>
        <v>6243.5399999999991</v>
      </c>
      <c r="I170" s="40">
        <f t="shared" si="32"/>
        <v>1948.74</v>
      </c>
      <c r="J170" s="40">
        <f t="shared" si="32"/>
        <v>1762.7999999999997</v>
      </c>
      <c r="K170" s="40">
        <f t="shared" si="32"/>
        <v>777.9</v>
      </c>
      <c r="L170" s="40">
        <f t="shared" si="32"/>
        <v>1326.84</v>
      </c>
      <c r="M170" s="40">
        <f t="shared" si="32"/>
        <v>4085.5200000000004</v>
      </c>
      <c r="N170" s="40">
        <f t="shared" si="32"/>
        <v>544.91999999999996</v>
      </c>
      <c r="O170" s="40">
        <f t="shared" si="32"/>
        <v>1082.8250195570299</v>
      </c>
      <c r="P170" s="40">
        <f t="shared" si="32"/>
        <v>976.57891990957216</v>
      </c>
      <c r="Q170" s="40">
        <f t="shared" si="32"/>
        <v>781.93803227347223</v>
      </c>
      <c r="R170" s="40">
        <f t="shared" si="33"/>
        <v>21772.781971740067</v>
      </c>
      <c r="S170" s="40"/>
      <c r="T170" s="13"/>
      <c r="U170" s="13"/>
      <c r="V170" s="40">
        <f t="shared" si="34"/>
        <v>1000</v>
      </c>
      <c r="W170" s="40">
        <f t="shared" si="34"/>
        <v>1000</v>
      </c>
      <c r="X170" s="40">
        <f t="shared" si="34"/>
        <v>3500</v>
      </c>
      <c r="Y170" s="40">
        <f t="shared" si="34"/>
        <v>3500</v>
      </c>
      <c r="Z170" s="40">
        <f t="shared" si="34"/>
        <v>1000</v>
      </c>
      <c r="AA170" s="40">
        <f t="shared" si="34"/>
        <v>1000</v>
      </c>
      <c r="AB170" s="40">
        <f t="shared" si="34"/>
        <v>1000</v>
      </c>
      <c r="AC170" s="40">
        <f t="shared" si="34"/>
        <v>1000</v>
      </c>
      <c r="AD170" s="40">
        <f t="shared" si="34"/>
        <v>1000</v>
      </c>
      <c r="AE170" s="40">
        <f t="shared" si="34"/>
        <v>1000</v>
      </c>
      <c r="AF170" s="40">
        <f t="shared" si="34"/>
        <v>1000</v>
      </c>
      <c r="AG170" s="40">
        <f t="shared" si="34"/>
        <v>1000</v>
      </c>
      <c r="AH170" s="40">
        <f t="shared" si="35"/>
        <v>17000</v>
      </c>
    </row>
    <row r="171" spans="1:34" outlineLevel="1">
      <c r="A171" s="13" t="s">
        <v>314</v>
      </c>
      <c r="B171" s="13"/>
      <c r="C171" s="13"/>
      <c r="D171" s="13"/>
      <c r="E171" s="13"/>
      <c r="F171" s="40">
        <f t="shared" si="32"/>
        <v>4502.6399999999985</v>
      </c>
      <c r="G171" s="40">
        <f t="shared" si="32"/>
        <v>502.5</v>
      </c>
      <c r="H171" s="40">
        <f t="shared" si="32"/>
        <v>962.21</v>
      </c>
      <c r="I171" s="40">
        <f t="shared" si="32"/>
        <v>843.84</v>
      </c>
      <c r="J171" s="40">
        <f t="shared" si="32"/>
        <v>1462.4800000000005</v>
      </c>
      <c r="K171" s="40">
        <f t="shared" si="32"/>
        <v>2459.4700000000003</v>
      </c>
      <c r="L171" s="40">
        <f t="shared" si="32"/>
        <v>1584.04</v>
      </c>
      <c r="M171" s="40">
        <f t="shared" si="32"/>
        <v>672.36</v>
      </c>
      <c r="N171" s="40">
        <f t="shared" si="32"/>
        <v>1298.1600000000003</v>
      </c>
      <c r="O171" s="40">
        <f t="shared" si="32"/>
        <v>6223.1324999999997</v>
      </c>
      <c r="P171" s="40">
        <f t="shared" si="32"/>
        <v>1313.2115625000001</v>
      </c>
      <c r="Q171" s="40">
        <f t="shared" si="32"/>
        <v>1357.0867578125001</v>
      </c>
      <c r="R171" s="40">
        <f t="shared" si="33"/>
        <v>23181.130820312501</v>
      </c>
      <c r="S171" s="40"/>
      <c r="T171" s="13"/>
      <c r="U171" s="13"/>
      <c r="V171" s="40">
        <f t="shared" si="34"/>
        <v>7502.6399999999985</v>
      </c>
      <c r="W171" s="40">
        <f t="shared" si="34"/>
        <v>2502.5</v>
      </c>
      <c r="X171" s="40">
        <f t="shared" si="34"/>
        <v>962.21</v>
      </c>
      <c r="Y171" s="40">
        <f t="shared" si="34"/>
        <v>843.84</v>
      </c>
      <c r="Z171" s="40">
        <f t="shared" si="34"/>
        <v>1535.6040000000005</v>
      </c>
      <c r="AA171" s="40">
        <f t="shared" si="34"/>
        <v>2582.4435000000003</v>
      </c>
      <c r="AB171" s="40">
        <f t="shared" si="34"/>
        <v>1663.242</v>
      </c>
      <c r="AC171" s="40">
        <f t="shared" si="34"/>
        <v>705.97799999999916</v>
      </c>
      <c r="AD171" s="40">
        <f t="shared" si="34"/>
        <v>6363.0680000000002</v>
      </c>
      <c r="AE171" s="40">
        <f t="shared" si="34"/>
        <v>11534.289124999999</v>
      </c>
      <c r="AF171" s="40">
        <f t="shared" si="34"/>
        <v>1378.8721406250002</v>
      </c>
      <c r="AG171" s="40">
        <f t="shared" si="34"/>
        <v>1424.941095703125</v>
      </c>
      <c r="AH171" s="40">
        <f t="shared" si="35"/>
        <v>38999.627861328117</v>
      </c>
    </row>
    <row r="172" spans="1:34" outlineLevel="1">
      <c r="A172" s="13" t="s">
        <v>301</v>
      </c>
      <c r="B172" s="13"/>
      <c r="C172" s="13"/>
      <c r="D172" s="13"/>
      <c r="E172" s="13"/>
      <c r="F172" s="40">
        <f t="shared" si="32"/>
        <v>24579.16</v>
      </c>
      <c r="G172" s="40">
        <f t="shared" si="32"/>
        <v>34516.19999999999</v>
      </c>
      <c r="H172" s="40">
        <f t="shared" si="32"/>
        <v>-337.44</v>
      </c>
      <c r="I172" s="40">
        <f t="shared" si="32"/>
        <v>39808.789999999994</v>
      </c>
      <c r="J172" s="40">
        <f t="shared" si="32"/>
        <v>38432.339999999997</v>
      </c>
      <c r="K172" s="40">
        <f t="shared" si="32"/>
        <v>17884.98</v>
      </c>
      <c r="L172" s="40">
        <f t="shared" si="32"/>
        <v>3491.3499999999995</v>
      </c>
      <c r="M172" s="40">
        <f t="shared" si="32"/>
        <v>17206.14</v>
      </c>
      <c r="N172" s="40">
        <f t="shared" si="32"/>
        <v>30255.200000000004</v>
      </c>
      <c r="O172" s="40">
        <f t="shared" si="32"/>
        <v>35000</v>
      </c>
      <c r="P172" s="40">
        <f t="shared" si="32"/>
        <v>0</v>
      </c>
      <c r="Q172" s="40">
        <f t="shared" si="32"/>
        <v>25000</v>
      </c>
      <c r="R172" s="40">
        <f t="shared" si="33"/>
        <v>265836.72000000003</v>
      </c>
      <c r="S172" s="40"/>
      <c r="T172" s="13"/>
      <c r="U172" s="13"/>
      <c r="V172" s="40">
        <f t="shared" si="34"/>
        <v>24579.16</v>
      </c>
      <c r="W172" s="40">
        <f t="shared" si="34"/>
        <v>25887.149999999994</v>
      </c>
      <c r="X172" s="40">
        <f t="shared" si="34"/>
        <v>-337.44</v>
      </c>
      <c r="Y172" s="40">
        <f t="shared" si="34"/>
        <v>29856.592499999995</v>
      </c>
      <c r="Z172" s="40">
        <f t="shared" si="34"/>
        <v>28824.254999999997</v>
      </c>
      <c r="AA172" s="40">
        <f t="shared" si="34"/>
        <v>22884.98</v>
      </c>
      <c r="AB172" s="40">
        <f t="shared" si="34"/>
        <v>8491.3499999999985</v>
      </c>
      <c r="AC172" s="40">
        <f t="shared" si="34"/>
        <v>22206.14</v>
      </c>
      <c r="AD172" s="40">
        <f t="shared" si="34"/>
        <v>30255.200000000004</v>
      </c>
      <c r="AE172" s="40">
        <f t="shared" si="34"/>
        <v>12771.707104957899</v>
      </c>
      <c r="AF172" s="40">
        <f t="shared" si="34"/>
        <v>16018.30433049684</v>
      </c>
      <c r="AG172" s="40">
        <f t="shared" si="34"/>
        <v>11224.331265530886</v>
      </c>
      <c r="AH172" s="40">
        <f t="shared" si="35"/>
        <v>232661.73020098565</v>
      </c>
    </row>
    <row r="173" spans="1:34" outlineLevel="1">
      <c r="A173" s="13" t="s">
        <v>346</v>
      </c>
      <c r="B173" s="13"/>
      <c r="C173" s="13"/>
      <c r="D173" s="13"/>
      <c r="E173" s="13"/>
      <c r="F173" s="40">
        <f t="shared" si="32"/>
        <v>0</v>
      </c>
      <c r="G173" s="40">
        <f t="shared" si="32"/>
        <v>0</v>
      </c>
      <c r="H173" s="40">
        <f t="shared" si="32"/>
        <v>0</v>
      </c>
      <c r="I173" s="40">
        <f t="shared" si="32"/>
        <v>0</v>
      </c>
      <c r="J173" s="40">
        <f t="shared" si="32"/>
        <v>0</v>
      </c>
      <c r="K173" s="40">
        <f t="shared" si="32"/>
        <v>0</v>
      </c>
      <c r="L173" s="40">
        <f t="shared" si="32"/>
        <v>0</v>
      </c>
      <c r="M173" s="40">
        <f t="shared" si="32"/>
        <v>0</v>
      </c>
      <c r="N173" s="40">
        <f t="shared" si="32"/>
        <v>0</v>
      </c>
      <c r="O173" s="40">
        <f t="shared" si="32"/>
        <v>0</v>
      </c>
      <c r="P173" s="40">
        <f t="shared" si="32"/>
        <v>0</v>
      </c>
      <c r="Q173" s="40">
        <f t="shared" si="32"/>
        <v>0</v>
      </c>
      <c r="R173" s="40">
        <f t="shared" si="33"/>
        <v>0</v>
      </c>
      <c r="S173" s="40"/>
      <c r="T173" s="13"/>
      <c r="U173" s="13"/>
      <c r="V173" s="40">
        <f t="shared" si="34"/>
        <v>11790.393013100436</v>
      </c>
      <c r="W173" s="40">
        <f t="shared" si="34"/>
        <v>19650.655021834064</v>
      </c>
      <c r="X173" s="40">
        <f t="shared" si="34"/>
        <v>14148.471615720524</v>
      </c>
      <c r="Y173" s="40">
        <f t="shared" si="34"/>
        <v>17685.589519650654</v>
      </c>
      <c r="Z173" s="40">
        <f t="shared" si="34"/>
        <v>21222.707423580785</v>
      </c>
      <c r="AA173" s="40">
        <f t="shared" si="34"/>
        <v>10611.353711790392</v>
      </c>
      <c r="AB173" s="40">
        <f t="shared" si="34"/>
        <v>14148.471615720524</v>
      </c>
      <c r="AC173" s="40">
        <f t="shared" si="34"/>
        <v>7074.235807860262</v>
      </c>
      <c r="AD173" s="40">
        <f t="shared" si="34"/>
        <v>14148.471615720524</v>
      </c>
      <c r="AE173" s="40">
        <f t="shared" si="34"/>
        <v>21222.707423580785</v>
      </c>
      <c r="AF173" s="40">
        <f t="shared" si="34"/>
        <v>14148.471615720524</v>
      </c>
      <c r="AG173" s="40">
        <f t="shared" si="34"/>
        <v>14148.471615720524</v>
      </c>
      <c r="AH173" s="40">
        <f t="shared" si="35"/>
        <v>179999.99999999997</v>
      </c>
    </row>
    <row r="174" spans="1:34" outlineLevel="1">
      <c r="A174" s="13" t="s">
        <v>413</v>
      </c>
      <c r="B174" s="13"/>
      <c r="C174" s="13"/>
      <c r="D174" s="13"/>
      <c r="E174" s="13"/>
      <c r="F174" s="40">
        <f t="shared" si="32"/>
        <v>0</v>
      </c>
      <c r="G174" s="40">
        <f t="shared" si="32"/>
        <v>0</v>
      </c>
      <c r="H174" s="40">
        <f t="shared" si="32"/>
        <v>0</v>
      </c>
      <c r="I174" s="40">
        <f t="shared" si="32"/>
        <v>0</v>
      </c>
      <c r="J174" s="40">
        <f t="shared" si="32"/>
        <v>0</v>
      </c>
      <c r="K174" s="40">
        <f t="shared" si="32"/>
        <v>0</v>
      </c>
      <c r="L174" s="40">
        <f t="shared" si="32"/>
        <v>0</v>
      </c>
      <c r="M174" s="40">
        <f t="shared" si="32"/>
        <v>0</v>
      </c>
      <c r="N174" s="40">
        <f t="shared" si="32"/>
        <v>0</v>
      </c>
      <c r="O174" s="40">
        <f t="shared" si="32"/>
        <v>0</v>
      </c>
      <c r="P174" s="40">
        <f t="shared" si="32"/>
        <v>0</v>
      </c>
      <c r="Q174" s="40">
        <f t="shared" si="32"/>
        <v>0</v>
      </c>
      <c r="R174" s="40">
        <f t="shared" si="33"/>
        <v>0</v>
      </c>
      <c r="S174" s="40"/>
      <c r="T174" s="13"/>
      <c r="U174" s="13"/>
      <c r="V174" s="40">
        <f t="shared" si="34"/>
        <v>0</v>
      </c>
      <c r="W174" s="40">
        <f t="shared" si="34"/>
        <v>247500</v>
      </c>
      <c r="X174" s="40">
        <f t="shared" si="34"/>
        <v>54000</v>
      </c>
      <c r="Y174" s="40">
        <f t="shared" si="34"/>
        <v>36000</v>
      </c>
      <c r="Z174" s="40">
        <f t="shared" si="34"/>
        <v>40500</v>
      </c>
      <c r="AA174" s="40">
        <f t="shared" si="34"/>
        <v>27000</v>
      </c>
      <c r="AB174" s="40">
        <f t="shared" si="34"/>
        <v>22500</v>
      </c>
      <c r="AC174" s="40">
        <f t="shared" si="34"/>
        <v>27000</v>
      </c>
      <c r="AD174" s="40">
        <f t="shared" si="34"/>
        <v>18000</v>
      </c>
      <c r="AE174" s="40">
        <f t="shared" si="34"/>
        <v>36000</v>
      </c>
      <c r="AF174" s="40">
        <f t="shared" si="34"/>
        <v>18000</v>
      </c>
      <c r="AG174" s="40">
        <f t="shared" si="34"/>
        <v>18000</v>
      </c>
      <c r="AH174" s="40">
        <f t="shared" si="35"/>
        <v>544500</v>
      </c>
    </row>
    <row r="175" spans="1:34" outlineLevel="1">
      <c r="A175" s="13" t="s">
        <v>353</v>
      </c>
      <c r="B175" s="13"/>
      <c r="C175" s="13"/>
      <c r="D175" s="13"/>
      <c r="E175" s="13"/>
      <c r="F175" s="40">
        <v>20663.759999999998</v>
      </c>
      <c r="G175" s="40">
        <v>24373.8</v>
      </c>
      <c r="H175" s="40">
        <v>25736.249999999996</v>
      </c>
      <c r="I175" s="40">
        <v>33800</v>
      </c>
      <c r="J175" s="40">
        <v>36900</v>
      </c>
      <c r="K175" s="40">
        <v>27900</v>
      </c>
      <c r="L175" s="40">
        <v>18920.080000000002</v>
      </c>
      <c r="M175" s="40">
        <v>67537.52</v>
      </c>
      <c r="N175" s="40">
        <v>49700</v>
      </c>
      <c r="O175" s="40">
        <v>42555.8</v>
      </c>
      <c r="P175" s="40">
        <v>20600</v>
      </c>
      <c r="Q175" s="40">
        <v>27300</v>
      </c>
      <c r="R175" s="40">
        <f t="shared" si="33"/>
        <v>395987.21</v>
      </c>
      <c r="S175" s="40"/>
      <c r="T175" s="13"/>
      <c r="U175" s="13"/>
      <c r="V175" s="40">
        <v>20663.759999999998</v>
      </c>
      <c r="W175" s="40">
        <v>24373.8</v>
      </c>
      <c r="X175" s="40">
        <v>25736.249999999996</v>
      </c>
      <c r="Y175" s="40">
        <v>33800</v>
      </c>
      <c r="Z175" s="40">
        <v>36900</v>
      </c>
      <c r="AA175" s="40">
        <v>27900</v>
      </c>
      <c r="AB175" s="40">
        <v>18920.080000000002</v>
      </c>
      <c r="AC175" s="40">
        <v>67537.52</v>
      </c>
      <c r="AD175" s="40">
        <v>49700</v>
      </c>
      <c r="AE175" s="40">
        <v>42555.8</v>
      </c>
      <c r="AF175" s="40">
        <v>20600</v>
      </c>
      <c r="AG175" s="40">
        <v>27300</v>
      </c>
      <c r="AH175" s="40">
        <f t="shared" si="35"/>
        <v>395987.21</v>
      </c>
    </row>
    <row r="176" spans="1:34" outlineLevel="1">
      <c r="A176" s="11" t="s">
        <v>207</v>
      </c>
      <c r="B176" s="11"/>
      <c r="C176" s="11"/>
      <c r="D176" s="11"/>
      <c r="E176" s="11"/>
      <c r="F176" s="43">
        <f t="shared" ref="F176:R176" si="36">SUM(F161:F175)</f>
        <v>443557.64000000007</v>
      </c>
      <c r="G176" s="43">
        <f t="shared" si="36"/>
        <v>382181.1</v>
      </c>
      <c r="H176" s="43">
        <f t="shared" si="36"/>
        <v>252111.34999999998</v>
      </c>
      <c r="I176" s="43">
        <f t="shared" si="36"/>
        <v>431482.17</v>
      </c>
      <c r="J176" s="43">
        <f t="shared" si="36"/>
        <v>532028.89</v>
      </c>
      <c r="K176" s="43">
        <f t="shared" si="36"/>
        <v>288163.81000000006</v>
      </c>
      <c r="L176" s="43">
        <f t="shared" si="36"/>
        <v>192629.32000000007</v>
      </c>
      <c r="M176" s="43">
        <f t="shared" si="36"/>
        <v>351183.30000000005</v>
      </c>
      <c r="N176" s="43">
        <f t="shared" si="36"/>
        <v>614468.12</v>
      </c>
      <c r="O176" s="43">
        <f t="shared" si="36"/>
        <v>662436.01153171202</v>
      </c>
      <c r="P176" s="43">
        <f t="shared" si="36"/>
        <v>386382.39448856679</v>
      </c>
      <c r="Q176" s="43">
        <f t="shared" si="36"/>
        <v>451470.47944915493</v>
      </c>
      <c r="R176" s="43">
        <f t="shared" si="36"/>
        <v>4988094.585469434</v>
      </c>
      <c r="S176" s="40"/>
      <c r="T176" s="13"/>
      <c r="U176" s="13"/>
      <c r="V176" s="43">
        <f t="shared" ref="V176:AH176" si="37">SUM(V161:V175)</f>
        <v>424948.71491310041</v>
      </c>
      <c r="W176" s="43">
        <f t="shared" si="37"/>
        <v>625573.24742183415</v>
      </c>
      <c r="X176" s="43">
        <f t="shared" si="37"/>
        <v>366283.70881572051</v>
      </c>
      <c r="Y176" s="43">
        <f t="shared" si="37"/>
        <v>433886.40581965068</v>
      </c>
      <c r="Z176" s="43">
        <f t="shared" si="37"/>
        <v>498593.83642358077</v>
      </c>
      <c r="AA176" s="43">
        <f t="shared" si="37"/>
        <v>346501.80961179041</v>
      </c>
      <c r="AB176" s="43">
        <f t="shared" si="37"/>
        <v>428844.02971572056</v>
      </c>
      <c r="AC176" s="43">
        <f t="shared" si="37"/>
        <v>489169.00560786028</v>
      </c>
      <c r="AD176" s="43">
        <f t="shared" si="37"/>
        <v>711546.52341572044</v>
      </c>
      <c r="AE176" s="43">
        <f t="shared" si="37"/>
        <v>582979.73529025272</v>
      </c>
      <c r="AF176" s="43">
        <f t="shared" si="37"/>
        <v>449662.62329273863</v>
      </c>
      <c r="AG176" s="43">
        <f t="shared" si="37"/>
        <v>450223.80181657028</v>
      </c>
      <c r="AH176" s="43">
        <f t="shared" si="37"/>
        <v>5808213.4421445392</v>
      </c>
    </row>
    <row r="177" spans="1:34" outlineLevel="1">
      <c r="A177" s="13"/>
      <c r="B177" s="13"/>
      <c r="C177" s="13"/>
      <c r="D177" s="13"/>
      <c r="E177" s="13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13"/>
      <c r="U177" s="13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</row>
    <row r="178" spans="1:34" outlineLevel="1">
      <c r="A178" s="13"/>
      <c r="B178" s="13"/>
      <c r="C178" s="13"/>
      <c r="D178" s="13"/>
      <c r="E178" s="13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13"/>
      <c r="U178" s="13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</row>
    <row r="179" spans="1:34" outlineLevel="1">
      <c r="A179" s="413" t="s">
        <v>375</v>
      </c>
      <c r="B179" s="413"/>
      <c r="C179" s="413"/>
      <c r="D179" s="413"/>
      <c r="E179" s="413"/>
      <c r="F179" s="397"/>
      <c r="G179" s="397"/>
      <c r="H179" s="397"/>
      <c r="I179" s="397"/>
      <c r="J179" s="397"/>
      <c r="K179" s="397"/>
      <c r="L179" s="397"/>
      <c r="M179" s="397"/>
      <c r="N179" s="397"/>
      <c r="O179" s="397"/>
      <c r="P179" s="397"/>
      <c r="Q179" s="397"/>
      <c r="R179" s="397"/>
      <c r="S179" s="40"/>
      <c r="T179" s="13"/>
      <c r="U179" s="13"/>
      <c r="V179" s="397"/>
      <c r="W179" s="397"/>
      <c r="X179" s="397"/>
      <c r="Y179" s="397"/>
      <c r="Z179" s="397"/>
      <c r="AA179" s="397"/>
      <c r="AB179" s="397"/>
      <c r="AC179" s="397"/>
      <c r="AD179" s="397"/>
      <c r="AE179" s="397"/>
      <c r="AF179" s="397"/>
      <c r="AG179" s="397"/>
      <c r="AH179" s="397"/>
    </row>
    <row r="180" spans="1:34" outlineLevel="1">
      <c r="A180" s="13" t="s">
        <v>277</v>
      </c>
      <c r="B180" s="139">
        <v>0.33</v>
      </c>
      <c r="C180" s="13" t="str">
        <f t="shared" ref="C180:C193" si="38">_xlfn.XLOOKUP($A180,$A$3:$A$101,$C$3:$C$101)</f>
        <v>UK</v>
      </c>
      <c r="D180" s="13"/>
      <c r="E180" s="13"/>
      <c r="F180" s="40">
        <f t="shared" ref="F180:Q193" si="39">_xlfn.XLOOKUP($A180,$A$161:$A$176,F$161:F$176)*$B180</f>
        <v>62748.952200000014</v>
      </c>
      <c r="G180" s="40">
        <f t="shared" si="39"/>
        <v>34140.2952</v>
      </c>
      <c r="H180" s="40">
        <f t="shared" si="39"/>
        <v>24303.648599999997</v>
      </c>
      <c r="I180" s="40">
        <f t="shared" si="39"/>
        <v>55132.829400000002</v>
      </c>
      <c r="J180" s="40">
        <f t="shared" si="39"/>
        <v>101615.91</v>
      </c>
      <c r="K180" s="40">
        <f t="shared" si="39"/>
        <v>37717.676699999996</v>
      </c>
      <c r="L180" s="40">
        <f t="shared" si="39"/>
        <v>6289.5888000000004</v>
      </c>
      <c r="M180" s="40">
        <f t="shared" si="39"/>
        <v>42383.840400000001</v>
      </c>
      <c r="N180" s="40">
        <f t="shared" si="39"/>
        <v>117085.6764</v>
      </c>
      <c r="O180" s="40">
        <f t="shared" si="39"/>
        <v>73431.469513930439</v>
      </c>
      <c r="P180" s="40">
        <f t="shared" si="39"/>
        <v>47304.586145429646</v>
      </c>
      <c r="Q180" s="40">
        <f t="shared" si="39"/>
        <v>69526.904385864094</v>
      </c>
      <c r="R180" s="40">
        <f t="shared" ref="R180:R193" si="40">SUM(F180:Q180)</f>
        <v>671681.37774522416</v>
      </c>
      <c r="S180" s="40"/>
      <c r="T180" s="13"/>
      <c r="U180" s="50">
        <v>0.33</v>
      </c>
      <c r="V180" s="40">
        <f t="shared" ref="V180:AG193" si="41">_xlfn.XLOOKUP($A180,$A$161:$A$176,V$161:V$176)*$U180</f>
        <v>71432.811912000005</v>
      </c>
      <c r="W180" s="40">
        <f t="shared" si="41"/>
        <v>41204.388191999999</v>
      </c>
      <c r="X180" s="40">
        <f t="shared" si="41"/>
        <v>28410.394056000001</v>
      </c>
      <c r="Y180" s="40">
        <f t="shared" si="41"/>
        <v>40694.686824000004</v>
      </c>
      <c r="Z180" s="40">
        <f t="shared" si="41"/>
        <v>63585.363599999997</v>
      </c>
      <c r="AA180" s="40">
        <f t="shared" si="41"/>
        <v>38751.292931999997</v>
      </c>
      <c r="AB180" s="40">
        <f t="shared" si="41"/>
        <v>33350.006448</v>
      </c>
      <c r="AC180" s="40">
        <f t="shared" si="41"/>
        <v>45725.646384</v>
      </c>
      <c r="AD180" s="40">
        <f t="shared" si="41"/>
        <v>120834.05294400001</v>
      </c>
      <c r="AE180" s="40">
        <f t="shared" si="41"/>
        <v>65549.951219442781</v>
      </c>
      <c r="AF180" s="40">
        <f t="shared" si="41"/>
        <v>68744.976554182824</v>
      </c>
      <c r="AG180" s="40">
        <f t="shared" si="41"/>
        <v>68144.503824565443</v>
      </c>
      <c r="AH180" s="40">
        <f t="shared" ref="AH180:AH193" si="42">SUM(V180:AG180)</f>
        <v>686428.07489019108</v>
      </c>
    </row>
    <row r="181" spans="1:34" outlineLevel="1">
      <c r="A181" s="13" t="s">
        <v>248</v>
      </c>
      <c r="B181" s="139">
        <v>0.24</v>
      </c>
      <c r="C181" s="13" t="str">
        <f t="shared" si="38"/>
        <v>UK</v>
      </c>
      <c r="D181" s="13"/>
      <c r="E181" s="13"/>
      <c r="F181" s="40">
        <f t="shared" si="39"/>
        <v>14906.373599999997</v>
      </c>
      <c r="G181" s="40">
        <f t="shared" si="39"/>
        <v>8371.4880000000012</v>
      </c>
      <c r="H181" s="40">
        <f t="shared" si="39"/>
        <v>15710.9568</v>
      </c>
      <c r="I181" s="40">
        <f t="shared" si="39"/>
        <v>13586.731199999998</v>
      </c>
      <c r="J181" s="40">
        <f t="shared" si="39"/>
        <v>10044.489599999999</v>
      </c>
      <c r="K181" s="40">
        <f t="shared" si="39"/>
        <v>12486.0672</v>
      </c>
      <c r="L181" s="40">
        <f t="shared" si="39"/>
        <v>13320.019200000001</v>
      </c>
      <c r="M181" s="40">
        <f t="shared" si="39"/>
        <v>12859.185600000001</v>
      </c>
      <c r="N181" s="40">
        <f t="shared" si="39"/>
        <v>17183.404799999997</v>
      </c>
      <c r="O181" s="40">
        <f t="shared" si="39"/>
        <v>20493.48830320908</v>
      </c>
      <c r="P181" s="40">
        <f t="shared" si="39"/>
        <v>23998.166781714001</v>
      </c>
      <c r="Q181" s="40">
        <f t="shared" si="39"/>
        <v>15465.810620595121</v>
      </c>
      <c r="R181" s="40">
        <f t="shared" si="40"/>
        <v>178426.18170551819</v>
      </c>
      <c r="S181" s="40"/>
      <c r="T181" s="13"/>
      <c r="U181" s="50">
        <v>0.24</v>
      </c>
      <c r="V181" s="40">
        <f t="shared" si="41"/>
        <v>14161.054919999997</v>
      </c>
      <c r="W181" s="40">
        <f t="shared" si="41"/>
        <v>7952.9135999999999</v>
      </c>
      <c r="X181" s="40">
        <f t="shared" si="41"/>
        <v>14925.408959999999</v>
      </c>
      <c r="Y181" s="40">
        <f t="shared" si="41"/>
        <v>12907.394639999999</v>
      </c>
      <c r="Z181" s="40">
        <f t="shared" si="41"/>
        <v>10044.489599999999</v>
      </c>
      <c r="AA181" s="40">
        <f t="shared" si="41"/>
        <v>12486.0672</v>
      </c>
      <c r="AB181" s="40">
        <f t="shared" si="41"/>
        <v>37320.019200000002</v>
      </c>
      <c r="AC181" s="40">
        <f t="shared" si="41"/>
        <v>36859.185599999997</v>
      </c>
      <c r="AD181" s="40">
        <f t="shared" si="41"/>
        <v>13746.723839999999</v>
      </c>
      <c r="AE181" s="40">
        <f t="shared" si="41"/>
        <v>16394.790642567266</v>
      </c>
      <c r="AF181" s="40">
        <f t="shared" si="41"/>
        <v>19198.533425371203</v>
      </c>
      <c r="AG181" s="40">
        <f t="shared" si="41"/>
        <v>12372.648496476097</v>
      </c>
      <c r="AH181" s="40">
        <f t="shared" si="42"/>
        <v>208369.23012441455</v>
      </c>
    </row>
    <row r="182" spans="1:34" outlineLevel="1">
      <c r="A182" s="13" t="s">
        <v>332</v>
      </c>
      <c r="B182" s="139">
        <v>0.18</v>
      </c>
      <c r="C182" s="13" t="str">
        <f t="shared" si="38"/>
        <v>UK</v>
      </c>
      <c r="D182" s="13"/>
      <c r="E182" s="13"/>
      <c r="F182" s="40">
        <f t="shared" si="39"/>
        <v>2953.3139999999999</v>
      </c>
      <c r="G182" s="40">
        <f t="shared" si="39"/>
        <v>1423.9475999999995</v>
      </c>
      <c r="H182" s="40">
        <f t="shared" si="39"/>
        <v>2277.7757999999994</v>
      </c>
      <c r="I182" s="40">
        <f t="shared" si="39"/>
        <v>2665.3211999999994</v>
      </c>
      <c r="J182" s="40">
        <f t="shared" si="39"/>
        <v>3050.3358000000003</v>
      </c>
      <c r="K182" s="40">
        <f t="shared" si="39"/>
        <v>1657.3248000000001</v>
      </c>
      <c r="L182" s="40">
        <f t="shared" si="39"/>
        <v>1986.5141999999996</v>
      </c>
      <c r="M182" s="40">
        <f t="shared" si="39"/>
        <v>2102.5188000000007</v>
      </c>
      <c r="N182" s="40">
        <f t="shared" si="39"/>
        <v>7190.3123999999998</v>
      </c>
      <c r="O182" s="40">
        <f t="shared" si="39"/>
        <v>2757.6735428571424</v>
      </c>
      <c r="P182" s="40">
        <f t="shared" si="39"/>
        <v>2408.2058204081641</v>
      </c>
      <c r="Q182" s="40">
        <f t="shared" si="39"/>
        <v>2503.9815376093379</v>
      </c>
      <c r="R182" s="40">
        <f t="shared" si="40"/>
        <v>32977.225500874643</v>
      </c>
      <c r="S182" s="40"/>
      <c r="T182" s="13"/>
      <c r="U182" s="50">
        <v>0.18</v>
      </c>
      <c r="V182" s="40">
        <f t="shared" si="41"/>
        <v>2953.3139999999999</v>
      </c>
      <c r="W182" s="40">
        <f t="shared" si="41"/>
        <v>1423.9475999999995</v>
      </c>
      <c r="X182" s="40">
        <f t="shared" si="41"/>
        <v>2277.7757999999994</v>
      </c>
      <c r="Y182" s="40">
        <f t="shared" si="41"/>
        <v>2665.3211999999994</v>
      </c>
      <c r="Z182" s="40">
        <f t="shared" si="41"/>
        <v>7550.3357999999989</v>
      </c>
      <c r="AA182" s="40">
        <f t="shared" si="41"/>
        <v>1574.45856</v>
      </c>
      <c r="AB182" s="40">
        <f t="shared" si="41"/>
        <v>1887.1884899999998</v>
      </c>
      <c r="AC182" s="40">
        <f t="shared" si="41"/>
        <v>1997.3928600000013</v>
      </c>
      <c r="AD182" s="40">
        <f t="shared" si="41"/>
        <v>8630.7967799999988</v>
      </c>
      <c r="AE182" s="40">
        <f t="shared" si="41"/>
        <v>4419.789865714285</v>
      </c>
      <c r="AF182" s="40">
        <f t="shared" si="41"/>
        <v>2287.7955293877558</v>
      </c>
      <c r="AG182" s="40">
        <f t="shared" si="41"/>
        <v>2378.7824607288708</v>
      </c>
      <c r="AH182" s="40">
        <f t="shared" si="42"/>
        <v>40046.898945830908</v>
      </c>
    </row>
    <row r="183" spans="1:34" outlineLevel="1">
      <c r="A183" s="13" t="s">
        <v>330</v>
      </c>
      <c r="B183" s="139">
        <v>0.23</v>
      </c>
      <c r="C183" s="13" t="str">
        <f t="shared" si="38"/>
        <v>UK</v>
      </c>
      <c r="D183" s="13"/>
      <c r="E183" s="13"/>
      <c r="F183" s="40">
        <f t="shared" si="39"/>
        <v>4116.5169999999998</v>
      </c>
      <c r="G183" s="40">
        <f t="shared" si="39"/>
        <v>10891.544199999998</v>
      </c>
      <c r="H183" s="40">
        <f t="shared" si="39"/>
        <v>6885.6801999999998</v>
      </c>
      <c r="I183" s="40">
        <f t="shared" si="39"/>
        <v>2148.6600000000003</v>
      </c>
      <c r="J183" s="40">
        <f t="shared" si="39"/>
        <v>218.67940000000002</v>
      </c>
      <c r="K183" s="40">
        <f t="shared" si="39"/>
        <v>0</v>
      </c>
      <c r="L183" s="40">
        <f t="shared" si="39"/>
        <v>1530.7627</v>
      </c>
      <c r="M183" s="40">
        <f t="shared" si="39"/>
        <v>9182.7178000000004</v>
      </c>
      <c r="N183" s="40">
        <f t="shared" si="39"/>
        <v>1674.7450000000001</v>
      </c>
      <c r="O183" s="40">
        <f t="shared" si="39"/>
        <v>2627.06</v>
      </c>
      <c r="P183" s="40">
        <f t="shared" si="39"/>
        <v>3382.8556512240693</v>
      </c>
      <c r="Q183" s="40">
        <f t="shared" si="39"/>
        <v>2051.8739802623718</v>
      </c>
      <c r="R183" s="40">
        <f t="shared" si="40"/>
        <v>44711.095931486445</v>
      </c>
      <c r="S183" s="40"/>
      <c r="T183" s="13"/>
      <c r="U183" s="50">
        <v>0.23</v>
      </c>
      <c r="V183" s="40">
        <f t="shared" si="41"/>
        <v>3450</v>
      </c>
      <c r="W183" s="40">
        <f t="shared" si="41"/>
        <v>7935</v>
      </c>
      <c r="X183" s="40">
        <f t="shared" si="41"/>
        <v>0</v>
      </c>
      <c r="Y183" s="40">
        <f t="shared" si="41"/>
        <v>2300</v>
      </c>
      <c r="Z183" s="40">
        <f t="shared" si="41"/>
        <v>2244.34</v>
      </c>
      <c r="AA183" s="40">
        <f t="shared" si="41"/>
        <v>1674.4</v>
      </c>
      <c r="AB183" s="40">
        <f t="shared" si="41"/>
        <v>1595.51</v>
      </c>
      <c r="AC183" s="40">
        <f t="shared" si="41"/>
        <v>3657.69</v>
      </c>
      <c r="AD183" s="40">
        <f t="shared" si="41"/>
        <v>1948.5600000000002</v>
      </c>
      <c r="AE183" s="40">
        <f t="shared" si="41"/>
        <v>7556.42</v>
      </c>
      <c r="AF183" s="40">
        <f t="shared" si="41"/>
        <v>6296.25</v>
      </c>
      <c r="AG183" s="40">
        <f t="shared" si="41"/>
        <v>5090.3600000000006</v>
      </c>
      <c r="AH183" s="40">
        <f t="shared" si="42"/>
        <v>43748.53</v>
      </c>
    </row>
    <row r="184" spans="1:34" outlineLevel="1">
      <c r="A184" s="13" t="s">
        <v>264</v>
      </c>
      <c r="B184" s="139">
        <v>0.05</v>
      </c>
      <c r="C184" s="13" t="str">
        <f t="shared" si="38"/>
        <v>CE</v>
      </c>
      <c r="D184" s="13"/>
      <c r="E184" s="13"/>
      <c r="F184" s="40">
        <f t="shared" si="39"/>
        <v>3492.0915000000005</v>
      </c>
      <c r="G184" s="40">
        <f t="shared" si="39"/>
        <v>2446.5825</v>
      </c>
      <c r="H184" s="40">
        <f t="shared" si="39"/>
        <v>0</v>
      </c>
      <c r="I184" s="40">
        <f t="shared" si="39"/>
        <v>3353.3190000000004</v>
      </c>
      <c r="J184" s="40">
        <f t="shared" si="39"/>
        <v>2941.0520000000006</v>
      </c>
      <c r="K184" s="40">
        <f t="shared" si="39"/>
        <v>1723.0020000000002</v>
      </c>
      <c r="L184" s="40">
        <f t="shared" si="39"/>
        <v>2256.5245</v>
      </c>
      <c r="M184" s="40">
        <f t="shared" si="39"/>
        <v>-42.019500000000001</v>
      </c>
      <c r="N184" s="40">
        <f t="shared" si="39"/>
        <v>0</v>
      </c>
      <c r="O184" s="40">
        <f t="shared" si="39"/>
        <v>5700</v>
      </c>
      <c r="P184" s="40">
        <f t="shared" si="39"/>
        <v>2000</v>
      </c>
      <c r="Q184" s="40">
        <f t="shared" si="39"/>
        <v>2020.3088160243269</v>
      </c>
      <c r="R184" s="40">
        <f t="shared" si="40"/>
        <v>25890.860816024331</v>
      </c>
      <c r="S184" s="40"/>
      <c r="T184" s="13"/>
      <c r="U184" s="50">
        <v>0.05</v>
      </c>
      <c r="V184" s="40">
        <f t="shared" si="41"/>
        <v>1500</v>
      </c>
      <c r="W184" s="40">
        <f t="shared" si="41"/>
        <v>2500</v>
      </c>
      <c r="X184" s="40">
        <f t="shared" si="41"/>
        <v>2300</v>
      </c>
      <c r="Y184" s="40">
        <f t="shared" si="41"/>
        <v>2250</v>
      </c>
      <c r="Z184" s="40">
        <f t="shared" si="41"/>
        <v>2700</v>
      </c>
      <c r="AA184" s="40">
        <f t="shared" si="41"/>
        <v>1350</v>
      </c>
      <c r="AB184" s="40">
        <f t="shared" si="41"/>
        <v>1800</v>
      </c>
      <c r="AC184" s="40">
        <f t="shared" si="41"/>
        <v>900</v>
      </c>
      <c r="AD184" s="40">
        <f t="shared" si="41"/>
        <v>2300</v>
      </c>
      <c r="AE184" s="40">
        <f t="shared" si="41"/>
        <v>2700</v>
      </c>
      <c r="AF184" s="40">
        <f t="shared" si="41"/>
        <v>1800</v>
      </c>
      <c r="AG184" s="40">
        <f t="shared" si="41"/>
        <v>1800</v>
      </c>
      <c r="AH184" s="40">
        <f t="shared" si="42"/>
        <v>23900</v>
      </c>
    </row>
    <row r="185" spans="1:34" outlineLevel="1">
      <c r="A185" s="13" t="s">
        <v>291</v>
      </c>
      <c r="B185" s="139">
        <v>0.1</v>
      </c>
      <c r="C185" s="13" t="str">
        <f t="shared" si="38"/>
        <v>EE</v>
      </c>
      <c r="D185" s="13"/>
      <c r="E185" s="13"/>
      <c r="F185" s="40">
        <f t="shared" si="39"/>
        <v>458.25</v>
      </c>
      <c r="G185" s="40">
        <f t="shared" si="39"/>
        <v>0</v>
      </c>
      <c r="H185" s="40">
        <f t="shared" si="39"/>
        <v>0</v>
      </c>
      <c r="I185" s="40">
        <f t="shared" si="39"/>
        <v>1007.1599999999999</v>
      </c>
      <c r="J185" s="40">
        <f t="shared" si="39"/>
        <v>1219.836</v>
      </c>
      <c r="K185" s="40">
        <f t="shared" si="39"/>
        <v>1027.7700000000002</v>
      </c>
      <c r="L185" s="40">
        <f t="shared" si="39"/>
        <v>0</v>
      </c>
      <c r="M185" s="40">
        <f t="shared" si="39"/>
        <v>0</v>
      </c>
      <c r="N185" s="40">
        <f t="shared" si="39"/>
        <v>2505.5500000000002</v>
      </c>
      <c r="O185" s="40">
        <f t="shared" si="39"/>
        <v>4000</v>
      </c>
      <c r="P185" s="40">
        <f t="shared" si="39"/>
        <v>1500</v>
      </c>
      <c r="Q185" s="40">
        <f t="shared" si="39"/>
        <v>1500</v>
      </c>
      <c r="R185" s="40">
        <f t="shared" si="40"/>
        <v>13218.566000000001</v>
      </c>
      <c r="S185" s="40"/>
      <c r="T185" s="13"/>
      <c r="U185" s="50">
        <v>0</v>
      </c>
      <c r="V185" s="40">
        <f t="shared" si="41"/>
        <v>0</v>
      </c>
      <c r="W185" s="40">
        <f t="shared" si="41"/>
        <v>0</v>
      </c>
      <c r="X185" s="40">
        <f t="shared" si="41"/>
        <v>0</v>
      </c>
      <c r="Y185" s="40">
        <f t="shared" si="41"/>
        <v>0</v>
      </c>
      <c r="Z185" s="40">
        <f t="shared" si="41"/>
        <v>0</v>
      </c>
      <c r="AA185" s="40">
        <f t="shared" si="41"/>
        <v>0</v>
      </c>
      <c r="AB185" s="40">
        <f t="shared" si="41"/>
        <v>0</v>
      </c>
      <c r="AC185" s="40">
        <f t="shared" si="41"/>
        <v>0</v>
      </c>
      <c r="AD185" s="40">
        <f t="shared" si="41"/>
        <v>0</v>
      </c>
      <c r="AE185" s="40">
        <f t="shared" si="41"/>
        <v>0</v>
      </c>
      <c r="AF185" s="40">
        <f t="shared" si="41"/>
        <v>0</v>
      </c>
      <c r="AG185" s="40">
        <f t="shared" si="41"/>
        <v>0</v>
      </c>
      <c r="AH185" s="40">
        <f t="shared" si="42"/>
        <v>0</v>
      </c>
    </row>
    <row r="186" spans="1:34" outlineLevel="1">
      <c r="A186" s="13" t="s">
        <v>273</v>
      </c>
      <c r="B186" s="139">
        <v>0.05</v>
      </c>
      <c r="C186" s="13" t="str">
        <f t="shared" si="38"/>
        <v>EE</v>
      </c>
      <c r="D186" s="13"/>
      <c r="E186" s="13"/>
      <c r="F186" s="40">
        <f t="shared" si="39"/>
        <v>0</v>
      </c>
      <c r="G186" s="40">
        <f t="shared" si="39"/>
        <v>1190.97</v>
      </c>
      <c r="H186" s="40">
        <f t="shared" si="39"/>
        <v>1516.93</v>
      </c>
      <c r="I186" s="40">
        <f t="shared" si="39"/>
        <v>1261.3500000000004</v>
      </c>
      <c r="J186" s="40">
        <f t="shared" si="39"/>
        <v>0</v>
      </c>
      <c r="K186" s="40">
        <f t="shared" si="39"/>
        <v>752.13000000000011</v>
      </c>
      <c r="L186" s="40">
        <f t="shared" si="39"/>
        <v>1197.4400000000003</v>
      </c>
      <c r="M186" s="40">
        <f t="shared" si="39"/>
        <v>0</v>
      </c>
      <c r="N186" s="40">
        <f t="shared" si="39"/>
        <v>1306.2050000000002</v>
      </c>
      <c r="O186" s="40">
        <f t="shared" si="39"/>
        <v>3500</v>
      </c>
      <c r="P186" s="40">
        <f t="shared" si="39"/>
        <v>1000</v>
      </c>
      <c r="Q186" s="40">
        <f t="shared" si="39"/>
        <v>1500</v>
      </c>
      <c r="R186" s="40">
        <f t="shared" si="40"/>
        <v>13225.025000000001</v>
      </c>
      <c r="S186" s="40"/>
      <c r="T186" s="13"/>
      <c r="U186" s="50">
        <v>0</v>
      </c>
      <c r="V186" s="40">
        <f t="shared" si="41"/>
        <v>0</v>
      </c>
      <c r="W186" s="40">
        <f t="shared" si="41"/>
        <v>0</v>
      </c>
      <c r="X186" s="40">
        <f t="shared" si="41"/>
        <v>0</v>
      </c>
      <c r="Y186" s="40">
        <f t="shared" si="41"/>
        <v>0</v>
      </c>
      <c r="Z186" s="40">
        <f t="shared" si="41"/>
        <v>0</v>
      </c>
      <c r="AA186" s="40">
        <f t="shared" si="41"/>
        <v>0</v>
      </c>
      <c r="AB186" s="40">
        <f t="shared" si="41"/>
        <v>0</v>
      </c>
      <c r="AC186" s="40">
        <f t="shared" si="41"/>
        <v>0</v>
      </c>
      <c r="AD186" s="40">
        <f t="shared" si="41"/>
        <v>0</v>
      </c>
      <c r="AE186" s="40">
        <f t="shared" si="41"/>
        <v>0</v>
      </c>
      <c r="AF186" s="40">
        <f t="shared" si="41"/>
        <v>0</v>
      </c>
      <c r="AG186" s="40">
        <f t="shared" si="41"/>
        <v>0</v>
      </c>
      <c r="AH186" s="40">
        <f t="shared" si="42"/>
        <v>0</v>
      </c>
    </row>
    <row r="187" spans="1:34" outlineLevel="1">
      <c r="A187" s="13" t="s">
        <v>340</v>
      </c>
      <c r="B187" s="139"/>
      <c r="C187" s="13" t="str">
        <f t="shared" si="38"/>
        <v>EE</v>
      </c>
      <c r="D187" s="13"/>
      <c r="E187" s="13"/>
      <c r="F187" s="40">
        <f t="shared" si="39"/>
        <v>0</v>
      </c>
      <c r="G187" s="40">
        <f t="shared" si="39"/>
        <v>0</v>
      </c>
      <c r="H187" s="40">
        <f t="shared" si="39"/>
        <v>0</v>
      </c>
      <c r="I187" s="40">
        <f t="shared" si="39"/>
        <v>0</v>
      </c>
      <c r="J187" s="40">
        <f t="shared" si="39"/>
        <v>0</v>
      </c>
      <c r="K187" s="40">
        <f t="shared" si="39"/>
        <v>0</v>
      </c>
      <c r="L187" s="40">
        <f t="shared" si="39"/>
        <v>0</v>
      </c>
      <c r="M187" s="40">
        <f t="shared" si="39"/>
        <v>0</v>
      </c>
      <c r="N187" s="40">
        <f t="shared" si="39"/>
        <v>0</v>
      </c>
      <c r="O187" s="40">
        <f t="shared" si="39"/>
        <v>0</v>
      </c>
      <c r="P187" s="40">
        <f t="shared" si="39"/>
        <v>0</v>
      </c>
      <c r="Q187" s="40">
        <f t="shared" si="39"/>
        <v>0</v>
      </c>
      <c r="R187" s="40">
        <f t="shared" si="40"/>
        <v>0</v>
      </c>
      <c r="S187" s="40"/>
      <c r="T187" s="13"/>
      <c r="U187" s="50">
        <v>0.05</v>
      </c>
      <c r="V187" s="40">
        <f t="shared" si="41"/>
        <v>500</v>
      </c>
      <c r="W187" s="40">
        <f t="shared" si="41"/>
        <v>1250</v>
      </c>
      <c r="X187" s="40">
        <f t="shared" si="41"/>
        <v>850</v>
      </c>
      <c r="Y187" s="40">
        <f t="shared" si="41"/>
        <v>1250</v>
      </c>
      <c r="Z187" s="40">
        <f t="shared" si="41"/>
        <v>500</v>
      </c>
      <c r="AA187" s="40">
        <f t="shared" si="41"/>
        <v>100</v>
      </c>
      <c r="AB187" s="40">
        <f t="shared" si="41"/>
        <v>1000</v>
      </c>
      <c r="AC187" s="40">
        <f t="shared" si="41"/>
        <v>850</v>
      </c>
      <c r="AD187" s="40">
        <f t="shared" si="41"/>
        <v>100</v>
      </c>
      <c r="AE187" s="40">
        <f t="shared" si="41"/>
        <v>1250</v>
      </c>
      <c r="AF187" s="40">
        <f t="shared" si="41"/>
        <v>100</v>
      </c>
      <c r="AG187" s="40">
        <f t="shared" si="41"/>
        <v>100</v>
      </c>
      <c r="AH187" s="40">
        <f t="shared" si="42"/>
        <v>7850</v>
      </c>
    </row>
    <row r="188" spans="1:34" outlineLevel="1">
      <c r="A188" s="13" t="s">
        <v>269</v>
      </c>
      <c r="B188" s="139"/>
      <c r="C188" s="13" t="str">
        <f t="shared" si="38"/>
        <v>UK</v>
      </c>
      <c r="D188" s="13"/>
      <c r="E188" s="13"/>
      <c r="F188" s="40">
        <f t="shared" si="39"/>
        <v>0</v>
      </c>
      <c r="G188" s="40">
        <f t="shared" si="39"/>
        <v>0</v>
      </c>
      <c r="H188" s="40">
        <f t="shared" si="39"/>
        <v>0</v>
      </c>
      <c r="I188" s="40">
        <f t="shared" si="39"/>
        <v>0</v>
      </c>
      <c r="J188" s="40">
        <f t="shared" si="39"/>
        <v>0</v>
      </c>
      <c r="K188" s="40">
        <f t="shared" si="39"/>
        <v>0</v>
      </c>
      <c r="L188" s="40">
        <f t="shared" si="39"/>
        <v>0</v>
      </c>
      <c r="M188" s="40">
        <f t="shared" si="39"/>
        <v>0</v>
      </c>
      <c r="N188" s="40">
        <f t="shared" si="39"/>
        <v>0</v>
      </c>
      <c r="O188" s="40">
        <f t="shared" si="39"/>
        <v>0</v>
      </c>
      <c r="P188" s="40">
        <f t="shared" si="39"/>
        <v>0</v>
      </c>
      <c r="Q188" s="40">
        <f t="shared" si="39"/>
        <v>0</v>
      </c>
      <c r="R188" s="40">
        <f t="shared" si="40"/>
        <v>0</v>
      </c>
      <c r="S188" s="40"/>
      <c r="T188" s="13"/>
      <c r="U188" s="50">
        <v>0.05</v>
      </c>
      <c r="V188" s="40">
        <f t="shared" si="41"/>
        <v>50</v>
      </c>
      <c r="W188" s="40">
        <f t="shared" si="41"/>
        <v>50</v>
      </c>
      <c r="X188" s="40">
        <f t="shared" si="41"/>
        <v>175</v>
      </c>
      <c r="Y188" s="40">
        <f t="shared" si="41"/>
        <v>175</v>
      </c>
      <c r="Z188" s="40">
        <f t="shared" si="41"/>
        <v>50</v>
      </c>
      <c r="AA188" s="40">
        <f t="shared" si="41"/>
        <v>50</v>
      </c>
      <c r="AB188" s="40">
        <f t="shared" si="41"/>
        <v>50</v>
      </c>
      <c r="AC188" s="40">
        <f t="shared" si="41"/>
        <v>50</v>
      </c>
      <c r="AD188" s="40">
        <f t="shared" si="41"/>
        <v>50</v>
      </c>
      <c r="AE188" s="40">
        <f t="shared" si="41"/>
        <v>50</v>
      </c>
      <c r="AF188" s="40">
        <f t="shared" si="41"/>
        <v>50</v>
      </c>
      <c r="AG188" s="40">
        <f t="shared" si="41"/>
        <v>50</v>
      </c>
      <c r="AH188" s="40">
        <f t="shared" si="42"/>
        <v>850</v>
      </c>
    </row>
    <row r="189" spans="1:34" outlineLevel="1">
      <c r="A189" s="13" t="s">
        <v>314</v>
      </c>
      <c r="B189" s="139"/>
      <c r="C189" s="13" t="str">
        <f t="shared" si="38"/>
        <v>UK</v>
      </c>
      <c r="D189" s="13"/>
      <c r="E189" s="13"/>
      <c r="F189" s="40">
        <f t="shared" si="39"/>
        <v>0</v>
      </c>
      <c r="G189" s="40">
        <f t="shared" si="39"/>
        <v>0</v>
      </c>
      <c r="H189" s="40">
        <f t="shared" si="39"/>
        <v>0</v>
      </c>
      <c r="I189" s="40">
        <f t="shared" si="39"/>
        <v>0</v>
      </c>
      <c r="J189" s="40">
        <f t="shared" si="39"/>
        <v>0</v>
      </c>
      <c r="K189" s="40">
        <f t="shared" si="39"/>
        <v>0</v>
      </c>
      <c r="L189" s="40">
        <f t="shared" si="39"/>
        <v>0</v>
      </c>
      <c r="M189" s="40">
        <f t="shared" si="39"/>
        <v>0</v>
      </c>
      <c r="N189" s="40">
        <f t="shared" si="39"/>
        <v>0</v>
      </c>
      <c r="O189" s="40">
        <f t="shared" si="39"/>
        <v>0</v>
      </c>
      <c r="P189" s="40">
        <f t="shared" si="39"/>
        <v>0</v>
      </c>
      <c r="Q189" s="40">
        <f t="shared" si="39"/>
        <v>0</v>
      </c>
      <c r="R189" s="40">
        <f t="shared" si="40"/>
        <v>0</v>
      </c>
      <c r="S189" s="40"/>
      <c r="T189" s="13"/>
      <c r="U189" s="50">
        <v>0.05</v>
      </c>
      <c r="V189" s="40">
        <f t="shared" si="41"/>
        <v>375.13199999999995</v>
      </c>
      <c r="W189" s="40">
        <f t="shared" si="41"/>
        <v>125.125</v>
      </c>
      <c r="X189" s="40">
        <f t="shared" si="41"/>
        <v>48.110500000000002</v>
      </c>
      <c r="Y189" s="40">
        <f t="shared" si="41"/>
        <v>42.192000000000007</v>
      </c>
      <c r="Z189" s="40">
        <f t="shared" si="41"/>
        <v>76.780200000000036</v>
      </c>
      <c r="AA189" s="40">
        <f t="shared" si="41"/>
        <v>129.12217500000003</v>
      </c>
      <c r="AB189" s="40">
        <f t="shared" si="41"/>
        <v>83.162100000000009</v>
      </c>
      <c r="AC189" s="40">
        <f t="shared" si="41"/>
        <v>35.298899999999961</v>
      </c>
      <c r="AD189" s="40">
        <f t="shared" si="41"/>
        <v>318.15340000000003</v>
      </c>
      <c r="AE189" s="40">
        <f t="shared" si="41"/>
        <v>576.71445625000001</v>
      </c>
      <c r="AF189" s="40">
        <f t="shared" si="41"/>
        <v>68.943607031250011</v>
      </c>
      <c r="AG189" s="40">
        <f t="shared" si="41"/>
        <v>71.247054785156251</v>
      </c>
      <c r="AH189" s="40">
        <f t="shared" si="42"/>
        <v>1949.9813930664061</v>
      </c>
    </row>
    <row r="190" spans="1:34" outlineLevel="1">
      <c r="A190" s="13" t="s">
        <v>301</v>
      </c>
      <c r="B190" s="139"/>
      <c r="C190" s="13" t="str">
        <f t="shared" si="38"/>
        <v>CE</v>
      </c>
      <c r="D190" s="13"/>
      <c r="E190" s="13"/>
      <c r="F190" s="40">
        <f t="shared" si="39"/>
        <v>0</v>
      </c>
      <c r="G190" s="40">
        <f t="shared" si="39"/>
        <v>0</v>
      </c>
      <c r="H190" s="40">
        <f t="shared" si="39"/>
        <v>0</v>
      </c>
      <c r="I190" s="40">
        <f t="shared" si="39"/>
        <v>0</v>
      </c>
      <c r="J190" s="40">
        <f t="shared" si="39"/>
        <v>0</v>
      </c>
      <c r="K190" s="40">
        <f t="shared" si="39"/>
        <v>0</v>
      </c>
      <c r="L190" s="40">
        <f t="shared" si="39"/>
        <v>0</v>
      </c>
      <c r="M190" s="40">
        <f t="shared" si="39"/>
        <v>0</v>
      </c>
      <c r="N190" s="40">
        <f t="shared" si="39"/>
        <v>0</v>
      </c>
      <c r="O190" s="40">
        <f t="shared" si="39"/>
        <v>0</v>
      </c>
      <c r="P190" s="40">
        <f t="shared" si="39"/>
        <v>0</v>
      </c>
      <c r="Q190" s="40">
        <f t="shared" si="39"/>
        <v>0</v>
      </c>
      <c r="R190" s="40">
        <f t="shared" si="40"/>
        <v>0</v>
      </c>
      <c r="S190" s="40"/>
      <c r="T190" s="13"/>
      <c r="U190" s="50">
        <v>0.05</v>
      </c>
      <c r="V190" s="40">
        <f t="shared" si="41"/>
        <v>1228.9580000000001</v>
      </c>
      <c r="W190" s="40">
        <f t="shared" si="41"/>
        <v>1294.3574999999998</v>
      </c>
      <c r="X190" s="40">
        <f t="shared" si="41"/>
        <v>-16.872</v>
      </c>
      <c r="Y190" s="40">
        <f t="shared" si="41"/>
        <v>1492.8296249999999</v>
      </c>
      <c r="Z190" s="40">
        <f t="shared" si="41"/>
        <v>1441.2127499999999</v>
      </c>
      <c r="AA190" s="40">
        <f t="shared" si="41"/>
        <v>1144.249</v>
      </c>
      <c r="AB190" s="40">
        <f t="shared" si="41"/>
        <v>424.56749999999994</v>
      </c>
      <c r="AC190" s="40">
        <f t="shared" si="41"/>
        <v>1110.307</v>
      </c>
      <c r="AD190" s="40">
        <f t="shared" si="41"/>
        <v>1512.7600000000002</v>
      </c>
      <c r="AE190" s="40">
        <f t="shared" si="41"/>
        <v>638.585355247895</v>
      </c>
      <c r="AF190" s="40">
        <f t="shared" si="41"/>
        <v>800.91521652484198</v>
      </c>
      <c r="AG190" s="40">
        <f t="shared" si="41"/>
        <v>561.21656327654432</v>
      </c>
      <c r="AH190" s="40">
        <f t="shared" si="42"/>
        <v>11633.086510049279</v>
      </c>
    </row>
    <row r="191" spans="1:34" outlineLevel="1">
      <c r="A191" s="13" t="s">
        <v>346</v>
      </c>
      <c r="B191" s="139"/>
      <c r="C191" s="13" t="str">
        <f t="shared" si="38"/>
        <v>CE</v>
      </c>
      <c r="D191" s="13"/>
      <c r="E191" s="13"/>
      <c r="F191" s="40">
        <f t="shared" si="39"/>
        <v>0</v>
      </c>
      <c r="G191" s="40">
        <f t="shared" si="39"/>
        <v>0</v>
      </c>
      <c r="H191" s="40">
        <f t="shared" si="39"/>
        <v>0</v>
      </c>
      <c r="I191" s="40">
        <f t="shared" si="39"/>
        <v>0</v>
      </c>
      <c r="J191" s="40">
        <f t="shared" si="39"/>
        <v>0</v>
      </c>
      <c r="K191" s="40">
        <f t="shared" si="39"/>
        <v>0</v>
      </c>
      <c r="L191" s="40">
        <f t="shared" si="39"/>
        <v>0</v>
      </c>
      <c r="M191" s="40">
        <f t="shared" si="39"/>
        <v>0</v>
      </c>
      <c r="N191" s="40">
        <f t="shared" si="39"/>
        <v>0</v>
      </c>
      <c r="O191" s="40">
        <f t="shared" si="39"/>
        <v>0</v>
      </c>
      <c r="P191" s="40">
        <f t="shared" si="39"/>
        <v>0</v>
      </c>
      <c r="Q191" s="40">
        <f t="shared" si="39"/>
        <v>0</v>
      </c>
      <c r="R191" s="40">
        <f t="shared" si="40"/>
        <v>0</v>
      </c>
      <c r="S191" s="40"/>
      <c r="T191" s="13"/>
      <c r="U191" s="50">
        <v>0.05</v>
      </c>
      <c r="V191" s="40">
        <f t="shared" si="41"/>
        <v>589.51965065502179</v>
      </c>
      <c r="W191" s="40">
        <f t="shared" si="41"/>
        <v>982.53275109170318</v>
      </c>
      <c r="X191" s="40">
        <f t="shared" si="41"/>
        <v>707.42358078602626</v>
      </c>
      <c r="Y191" s="40">
        <f t="shared" si="41"/>
        <v>884.27947598253274</v>
      </c>
      <c r="Z191" s="40">
        <f t="shared" si="41"/>
        <v>1061.1353711790393</v>
      </c>
      <c r="AA191" s="40">
        <f t="shared" si="41"/>
        <v>530.56768558951967</v>
      </c>
      <c r="AB191" s="40">
        <f t="shared" si="41"/>
        <v>707.42358078602626</v>
      </c>
      <c r="AC191" s="40">
        <f t="shared" si="41"/>
        <v>353.71179039301313</v>
      </c>
      <c r="AD191" s="40">
        <f t="shared" si="41"/>
        <v>707.42358078602626</v>
      </c>
      <c r="AE191" s="40">
        <f t="shared" si="41"/>
        <v>1061.1353711790393</v>
      </c>
      <c r="AF191" s="40">
        <f t="shared" si="41"/>
        <v>707.42358078602626</v>
      </c>
      <c r="AG191" s="40">
        <f t="shared" si="41"/>
        <v>707.42358078602626</v>
      </c>
      <c r="AH191" s="40">
        <f t="shared" si="42"/>
        <v>9000</v>
      </c>
    </row>
    <row r="192" spans="1:34" outlineLevel="1">
      <c r="A192" s="13" t="s">
        <v>413</v>
      </c>
      <c r="B192" s="139">
        <v>0.1</v>
      </c>
      <c r="C192" s="13" t="str">
        <f t="shared" si="38"/>
        <v>CE</v>
      </c>
      <c r="D192" s="13"/>
      <c r="E192" s="13"/>
      <c r="F192" s="40">
        <f t="shared" si="39"/>
        <v>0</v>
      </c>
      <c r="G192" s="40">
        <f t="shared" si="39"/>
        <v>0</v>
      </c>
      <c r="H192" s="40">
        <f t="shared" si="39"/>
        <v>0</v>
      </c>
      <c r="I192" s="40">
        <f t="shared" si="39"/>
        <v>0</v>
      </c>
      <c r="J192" s="40">
        <f t="shared" si="39"/>
        <v>0</v>
      </c>
      <c r="K192" s="40">
        <f t="shared" si="39"/>
        <v>0</v>
      </c>
      <c r="L192" s="40">
        <f t="shared" si="39"/>
        <v>0</v>
      </c>
      <c r="M192" s="40">
        <f t="shared" si="39"/>
        <v>0</v>
      </c>
      <c r="N192" s="40">
        <f t="shared" si="39"/>
        <v>0</v>
      </c>
      <c r="O192" s="40">
        <f t="shared" si="39"/>
        <v>0</v>
      </c>
      <c r="P192" s="40">
        <f t="shared" si="39"/>
        <v>0</v>
      </c>
      <c r="Q192" s="40">
        <f t="shared" si="39"/>
        <v>0</v>
      </c>
      <c r="R192" s="40">
        <f t="shared" si="40"/>
        <v>0</v>
      </c>
      <c r="S192" s="40"/>
      <c r="T192" s="13"/>
      <c r="U192" s="50">
        <v>0.05</v>
      </c>
      <c r="V192" s="40">
        <f t="shared" si="41"/>
        <v>0</v>
      </c>
      <c r="W192" s="40">
        <f t="shared" si="41"/>
        <v>12375</v>
      </c>
      <c r="X192" s="40">
        <f t="shared" si="41"/>
        <v>2700</v>
      </c>
      <c r="Y192" s="40">
        <f t="shared" si="41"/>
        <v>1800</v>
      </c>
      <c r="Z192" s="40">
        <f t="shared" si="41"/>
        <v>2025</v>
      </c>
      <c r="AA192" s="40">
        <f t="shared" si="41"/>
        <v>1350</v>
      </c>
      <c r="AB192" s="40">
        <f t="shared" si="41"/>
        <v>1125</v>
      </c>
      <c r="AC192" s="40">
        <f t="shared" si="41"/>
        <v>1350</v>
      </c>
      <c r="AD192" s="40">
        <f t="shared" si="41"/>
        <v>900</v>
      </c>
      <c r="AE192" s="40">
        <f t="shared" si="41"/>
        <v>1800</v>
      </c>
      <c r="AF192" s="40">
        <f t="shared" si="41"/>
        <v>900</v>
      </c>
      <c r="AG192" s="40">
        <f t="shared" si="41"/>
        <v>900</v>
      </c>
      <c r="AH192" s="40">
        <f t="shared" si="42"/>
        <v>27225</v>
      </c>
    </row>
    <row r="193" spans="1:34" outlineLevel="1">
      <c r="A193" s="13" t="s">
        <v>353</v>
      </c>
      <c r="B193" s="13"/>
      <c r="C193" s="13" t="str">
        <f t="shared" si="38"/>
        <v>UK</v>
      </c>
      <c r="D193" s="13"/>
      <c r="E193" s="13"/>
      <c r="F193" s="40">
        <f t="shared" si="39"/>
        <v>0</v>
      </c>
      <c r="G193" s="40">
        <f t="shared" si="39"/>
        <v>0</v>
      </c>
      <c r="H193" s="40">
        <f t="shared" si="39"/>
        <v>0</v>
      </c>
      <c r="I193" s="40">
        <f t="shared" si="39"/>
        <v>0</v>
      </c>
      <c r="J193" s="40">
        <f t="shared" si="39"/>
        <v>0</v>
      </c>
      <c r="K193" s="40">
        <f t="shared" si="39"/>
        <v>0</v>
      </c>
      <c r="L193" s="40">
        <f t="shared" si="39"/>
        <v>0</v>
      </c>
      <c r="M193" s="40">
        <f t="shared" si="39"/>
        <v>0</v>
      </c>
      <c r="N193" s="40">
        <f t="shared" si="39"/>
        <v>0</v>
      </c>
      <c r="O193" s="40">
        <f t="shared" si="39"/>
        <v>0</v>
      </c>
      <c r="P193" s="40">
        <f t="shared" si="39"/>
        <v>0</v>
      </c>
      <c r="Q193" s="40">
        <f t="shared" si="39"/>
        <v>0</v>
      </c>
      <c r="R193" s="40">
        <f t="shared" si="40"/>
        <v>0</v>
      </c>
      <c r="S193" s="40"/>
      <c r="T193" s="13"/>
      <c r="U193" s="13"/>
      <c r="V193" s="40">
        <f t="shared" si="41"/>
        <v>0</v>
      </c>
      <c r="W193" s="40">
        <f t="shared" si="41"/>
        <v>0</v>
      </c>
      <c r="X193" s="40">
        <f t="shared" si="41"/>
        <v>0</v>
      </c>
      <c r="Y193" s="40">
        <f t="shared" si="41"/>
        <v>0</v>
      </c>
      <c r="Z193" s="40">
        <f t="shared" si="41"/>
        <v>0</v>
      </c>
      <c r="AA193" s="40">
        <f t="shared" si="41"/>
        <v>0</v>
      </c>
      <c r="AB193" s="40">
        <f t="shared" si="41"/>
        <v>0</v>
      </c>
      <c r="AC193" s="40">
        <f t="shared" si="41"/>
        <v>0</v>
      </c>
      <c r="AD193" s="40">
        <f t="shared" si="41"/>
        <v>0</v>
      </c>
      <c r="AE193" s="40">
        <f t="shared" si="41"/>
        <v>0</v>
      </c>
      <c r="AF193" s="40">
        <f t="shared" si="41"/>
        <v>0</v>
      </c>
      <c r="AG193" s="40">
        <f t="shared" si="41"/>
        <v>0</v>
      </c>
      <c r="AH193" s="40">
        <f t="shared" si="42"/>
        <v>0</v>
      </c>
    </row>
    <row r="194" spans="1:34" outlineLevel="1">
      <c r="A194" s="11" t="s">
        <v>207</v>
      </c>
      <c r="B194" s="11"/>
      <c r="C194" s="11"/>
      <c r="D194" s="11"/>
      <c r="E194" s="11"/>
      <c r="F194" s="43">
        <f t="shared" ref="F194:R194" si="43">SUM(F180:F193)</f>
        <v>88675.498299999992</v>
      </c>
      <c r="G194" s="43">
        <f t="shared" si="43"/>
        <v>58464.827499999999</v>
      </c>
      <c r="H194" s="43">
        <f t="shared" si="43"/>
        <v>50694.991400000006</v>
      </c>
      <c r="I194" s="43">
        <f t="shared" si="43"/>
        <v>79155.370800000019</v>
      </c>
      <c r="J194" s="43">
        <f t="shared" si="43"/>
        <v>119090.30279999999</v>
      </c>
      <c r="K194" s="43">
        <f t="shared" si="43"/>
        <v>55363.970699999991</v>
      </c>
      <c r="L194" s="43">
        <f t="shared" si="43"/>
        <v>26580.849399999996</v>
      </c>
      <c r="M194" s="43">
        <f t="shared" si="43"/>
        <v>66486.243100000007</v>
      </c>
      <c r="N194" s="43">
        <f t="shared" si="43"/>
        <v>146945.89359999995</v>
      </c>
      <c r="O194" s="43">
        <f t="shared" si="43"/>
        <v>112509.69135999665</v>
      </c>
      <c r="P194" s="43">
        <f t="shared" si="43"/>
        <v>81593.814398775896</v>
      </c>
      <c r="Q194" s="43">
        <f t="shared" si="43"/>
        <v>94568.879340355241</v>
      </c>
      <c r="R194" s="43">
        <f t="shared" si="43"/>
        <v>980130.33269912784</v>
      </c>
      <c r="S194" s="40"/>
      <c r="T194" s="13"/>
      <c r="U194" s="13"/>
      <c r="V194" s="43">
        <f t="shared" ref="V194:AH194" si="44">SUM(V180:V193)</f>
        <v>96240.790482655022</v>
      </c>
      <c r="W194" s="43">
        <f t="shared" si="44"/>
        <v>77093.264643091708</v>
      </c>
      <c r="X194" s="43">
        <f t="shared" si="44"/>
        <v>52377.240896786017</v>
      </c>
      <c r="Y194" s="43">
        <f t="shared" si="44"/>
        <v>66461.703764982536</v>
      </c>
      <c r="Z194" s="43">
        <f t="shared" si="44"/>
        <v>91278.657321179038</v>
      </c>
      <c r="AA194" s="43">
        <f t="shared" si="44"/>
        <v>59140.157552589517</v>
      </c>
      <c r="AB194" s="43">
        <f t="shared" si="44"/>
        <v>79342.877318786035</v>
      </c>
      <c r="AC194" s="43">
        <f t="shared" si="44"/>
        <v>92889.232534393013</v>
      </c>
      <c r="AD194" s="43">
        <f t="shared" si="44"/>
        <v>151048.47054478608</v>
      </c>
      <c r="AE194" s="43">
        <f t="shared" si="44"/>
        <v>101997.38691040127</v>
      </c>
      <c r="AF194" s="43">
        <f t="shared" si="44"/>
        <v>100954.8379132839</v>
      </c>
      <c r="AG194" s="43">
        <f t="shared" si="44"/>
        <v>92176.181980618116</v>
      </c>
      <c r="AH194" s="43">
        <f t="shared" si="44"/>
        <v>1061000.8018635521</v>
      </c>
    </row>
    <row r="195" spans="1:34" outlineLevel="1">
      <c r="A195" s="11"/>
      <c r="B195" s="11"/>
      <c r="C195" s="11"/>
      <c r="D195" s="11"/>
      <c r="E195" s="11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0"/>
      <c r="T195" s="13"/>
      <c r="U195" s="1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43"/>
      <c r="AH195" s="43"/>
    </row>
    <row r="196" spans="1:34" outlineLevel="1">
      <c r="A196" s="413" t="s">
        <v>380</v>
      </c>
      <c r="B196" s="413"/>
      <c r="C196" s="413"/>
      <c r="D196" s="413"/>
      <c r="E196" s="413"/>
      <c r="F196" s="397"/>
      <c r="G196" s="397"/>
      <c r="H196" s="397"/>
      <c r="I196" s="397"/>
      <c r="J196" s="397"/>
      <c r="K196" s="397"/>
      <c r="L196" s="397"/>
      <c r="M196" s="397"/>
      <c r="N196" s="397"/>
      <c r="O196" s="397"/>
      <c r="P196" s="397"/>
      <c r="Q196" s="397"/>
      <c r="R196" s="397"/>
      <c r="S196" s="40"/>
      <c r="T196" s="13"/>
      <c r="U196" s="13"/>
      <c r="V196" s="397"/>
      <c r="W196" s="397"/>
      <c r="X196" s="397"/>
      <c r="Y196" s="397"/>
      <c r="Z196" s="397"/>
      <c r="AA196" s="397"/>
      <c r="AB196" s="397"/>
      <c r="AC196" s="397"/>
      <c r="AD196" s="397"/>
      <c r="AE196" s="397"/>
      <c r="AF196" s="397"/>
      <c r="AG196" s="397"/>
      <c r="AH196" s="397"/>
    </row>
    <row r="197" spans="1:34" outlineLevel="1">
      <c r="A197" s="13" t="s">
        <v>277</v>
      </c>
      <c r="B197" s="139">
        <v>0.02</v>
      </c>
      <c r="C197" s="13" t="str">
        <f t="shared" ref="C197:C210" si="45">_xlfn.XLOOKUP($A197,$A$3:$A$101,$C$3:$C$101)</f>
        <v>UK</v>
      </c>
      <c r="D197" s="13"/>
      <c r="E197" s="13"/>
      <c r="F197" s="40">
        <f t="shared" ref="F197:Q210" si="46">_xlfn.XLOOKUP($A197,$A$161:$A$176,F$161:F$176)*$B197</f>
        <v>3802.9668000000006</v>
      </c>
      <c r="G197" s="40">
        <f t="shared" si="46"/>
        <v>2069.1088</v>
      </c>
      <c r="H197" s="40">
        <f t="shared" si="46"/>
        <v>1472.9483999999998</v>
      </c>
      <c r="I197" s="40">
        <f t="shared" si="46"/>
        <v>3341.3836000000001</v>
      </c>
      <c r="J197" s="40">
        <f t="shared" si="46"/>
        <v>6158.54</v>
      </c>
      <c r="K197" s="40">
        <f t="shared" si="46"/>
        <v>2285.9197999999997</v>
      </c>
      <c r="L197" s="40">
        <f t="shared" si="46"/>
        <v>381.18720000000002</v>
      </c>
      <c r="M197" s="40">
        <f t="shared" si="46"/>
        <v>2568.7175999999999</v>
      </c>
      <c r="N197" s="40">
        <f t="shared" si="46"/>
        <v>7096.1015999999991</v>
      </c>
      <c r="O197" s="40">
        <f t="shared" si="46"/>
        <v>4450.3920917533605</v>
      </c>
      <c r="P197" s="40">
        <f t="shared" si="46"/>
        <v>2866.9446148745237</v>
      </c>
      <c r="Q197" s="40">
        <f t="shared" si="46"/>
        <v>4213.7517809614601</v>
      </c>
      <c r="R197" s="40">
        <f t="shared" ref="R197:R211" si="47">SUM(F197:Q197)</f>
        <v>40707.96228758934</v>
      </c>
      <c r="S197" s="40"/>
      <c r="T197" s="13"/>
      <c r="U197" s="50">
        <v>0.02</v>
      </c>
      <c r="V197" s="40">
        <f t="shared" ref="V197:AG210" si="48">_xlfn.XLOOKUP($A197,$A$161:$A$176,V$161:V$176)*$U197</f>
        <v>4329.2613280000005</v>
      </c>
      <c r="W197" s="40">
        <f t="shared" si="48"/>
        <v>2497.2356479999999</v>
      </c>
      <c r="X197" s="40">
        <f t="shared" si="48"/>
        <v>1721.8420639999999</v>
      </c>
      <c r="Y197" s="40">
        <f t="shared" si="48"/>
        <v>2466.3446560000002</v>
      </c>
      <c r="Z197" s="40">
        <f t="shared" si="48"/>
        <v>3853.6583999999998</v>
      </c>
      <c r="AA197" s="40">
        <f t="shared" si="48"/>
        <v>2348.563208</v>
      </c>
      <c r="AB197" s="40">
        <f t="shared" si="48"/>
        <v>2021.2125120000001</v>
      </c>
      <c r="AC197" s="40">
        <f t="shared" si="48"/>
        <v>2771.2512959999999</v>
      </c>
      <c r="AD197" s="40">
        <f t="shared" si="48"/>
        <v>7323.275936</v>
      </c>
      <c r="AE197" s="40">
        <f t="shared" si="48"/>
        <v>3972.7243163298654</v>
      </c>
      <c r="AF197" s="40">
        <f t="shared" si="48"/>
        <v>4166.362215405019</v>
      </c>
      <c r="AG197" s="40">
        <f t="shared" si="48"/>
        <v>4129.9699287615413</v>
      </c>
      <c r="AH197" s="40">
        <f t="shared" ref="AH197:AH211" si="49">SUM(V197:AG197)</f>
        <v>41601.701508496422</v>
      </c>
    </row>
    <row r="198" spans="1:34" outlineLevel="1">
      <c r="A198" s="13" t="s">
        <v>248</v>
      </c>
      <c r="B198" s="139">
        <v>0.13</v>
      </c>
      <c r="C198" s="13" t="str">
        <f t="shared" si="45"/>
        <v>UK</v>
      </c>
      <c r="D198" s="13"/>
      <c r="E198" s="13"/>
      <c r="F198" s="40">
        <f t="shared" si="46"/>
        <v>8074.2856999999995</v>
      </c>
      <c r="G198" s="40">
        <f t="shared" si="46"/>
        <v>4534.5560000000005</v>
      </c>
      <c r="H198" s="40">
        <f t="shared" si="46"/>
        <v>8510.1016</v>
      </c>
      <c r="I198" s="40">
        <f t="shared" si="46"/>
        <v>7359.4794000000002</v>
      </c>
      <c r="J198" s="40">
        <f t="shared" si="46"/>
        <v>5440.7651999999989</v>
      </c>
      <c r="K198" s="40">
        <f t="shared" si="46"/>
        <v>6763.2864</v>
      </c>
      <c r="L198" s="40">
        <f t="shared" si="46"/>
        <v>7215.0104000000001</v>
      </c>
      <c r="M198" s="40">
        <f t="shared" si="46"/>
        <v>6965.3922000000002</v>
      </c>
      <c r="N198" s="40">
        <f t="shared" si="46"/>
        <v>9307.6775999999991</v>
      </c>
      <c r="O198" s="40">
        <f t="shared" si="46"/>
        <v>11100.639497571585</v>
      </c>
      <c r="P198" s="40">
        <f t="shared" si="46"/>
        <v>12999.007006761751</v>
      </c>
      <c r="Q198" s="40">
        <f t="shared" si="46"/>
        <v>8377.3140861556913</v>
      </c>
      <c r="R198" s="40">
        <f t="shared" si="47"/>
        <v>96647.515090489018</v>
      </c>
      <c r="S198" s="40"/>
      <c r="T198" s="13"/>
      <c r="U198" s="50">
        <v>0.13</v>
      </c>
      <c r="V198" s="40">
        <f t="shared" si="48"/>
        <v>7670.5714149999994</v>
      </c>
      <c r="W198" s="40">
        <f t="shared" si="48"/>
        <v>4307.8281999999999</v>
      </c>
      <c r="X198" s="40">
        <f t="shared" si="48"/>
        <v>8084.5965200000001</v>
      </c>
      <c r="Y198" s="40">
        <f t="shared" si="48"/>
        <v>6991.5054299999993</v>
      </c>
      <c r="Z198" s="40">
        <f t="shared" si="48"/>
        <v>5440.7651999999989</v>
      </c>
      <c r="AA198" s="40">
        <f t="shared" si="48"/>
        <v>6763.2864</v>
      </c>
      <c r="AB198" s="40">
        <f t="shared" si="48"/>
        <v>20215.010400000003</v>
      </c>
      <c r="AC198" s="40">
        <f t="shared" si="48"/>
        <v>19965.392200000002</v>
      </c>
      <c r="AD198" s="40">
        <f t="shared" si="48"/>
        <v>7446.1420799999996</v>
      </c>
      <c r="AE198" s="40">
        <f t="shared" si="48"/>
        <v>8880.5115980572682</v>
      </c>
      <c r="AF198" s="40">
        <f t="shared" si="48"/>
        <v>10399.205605409401</v>
      </c>
      <c r="AG198" s="40">
        <f t="shared" si="48"/>
        <v>6701.8512689245526</v>
      </c>
      <c r="AH198" s="40">
        <f t="shared" si="49"/>
        <v>112866.66631739124</v>
      </c>
    </row>
    <row r="199" spans="1:34" outlineLevel="1">
      <c r="A199" s="13" t="s">
        <v>332</v>
      </c>
      <c r="B199" s="139">
        <v>0.14000000000000001</v>
      </c>
      <c r="C199" s="13" t="str">
        <f t="shared" si="45"/>
        <v>UK</v>
      </c>
      <c r="D199" s="13"/>
      <c r="E199" s="13"/>
      <c r="F199" s="40">
        <f t="shared" si="46"/>
        <v>2297.0219999999999</v>
      </c>
      <c r="G199" s="40">
        <f t="shared" si="46"/>
        <v>1107.5147999999999</v>
      </c>
      <c r="H199" s="40">
        <f t="shared" si="46"/>
        <v>1771.6033999999997</v>
      </c>
      <c r="I199" s="40">
        <f t="shared" si="46"/>
        <v>2073.0275999999999</v>
      </c>
      <c r="J199" s="40">
        <f t="shared" si="46"/>
        <v>2372.4834000000005</v>
      </c>
      <c r="K199" s="40">
        <f t="shared" si="46"/>
        <v>1289.0304000000001</v>
      </c>
      <c r="L199" s="40">
        <f t="shared" si="46"/>
        <v>1545.0665999999999</v>
      </c>
      <c r="M199" s="40">
        <f t="shared" si="46"/>
        <v>1635.2924000000007</v>
      </c>
      <c r="N199" s="40">
        <f t="shared" si="46"/>
        <v>5592.4652000000006</v>
      </c>
      <c r="O199" s="40">
        <f t="shared" si="46"/>
        <v>2144.8571999999999</v>
      </c>
      <c r="P199" s="40">
        <f t="shared" si="46"/>
        <v>1873.0489714285723</v>
      </c>
      <c r="Q199" s="40">
        <f t="shared" si="46"/>
        <v>1947.5411959183741</v>
      </c>
      <c r="R199" s="40">
        <f t="shared" si="47"/>
        <v>25648.953167346943</v>
      </c>
      <c r="S199" s="40"/>
      <c r="T199" s="13"/>
      <c r="U199" s="50">
        <v>0.14000000000000001</v>
      </c>
      <c r="V199" s="40">
        <f t="shared" si="48"/>
        <v>2297.0219999999999</v>
      </c>
      <c r="W199" s="40">
        <f t="shared" si="48"/>
        <v>1107.5147999999999</v>
      </c>
      <c r="X199" s="40">
        <f t="shared" si="48"/>
        <v>1771.6033999999997</v>
      </c>
      <c r="Y199" s="40">
        <f t="shared" si="48"/>
        <v>2073.0275999999999</v>
      </c>
      <c r="Z199" s="40">
        <f t="shared" si="48"/>
        <v>5872.4834000000001</v>
      </c>
      <c r="AA199" s="40">
        <f t="shared" si="48"/>
        <v>1224.5788800000003</v>
      </c>
      <c r="AB199" s="40">
        <f t="shared" si="48"/>
        <v>1467.8132700000001</v>
      </c>
      <c r="AC199" s="40">
        <f t="shared" si="48"/>
        <v>1553.5277800000013</v>
      </c>
      <c r="AD199" s="40">
        <f t="shared" si="48"/>
        <v>6712.8419400000002</v>
      </c>
      <c r="AE199" s="40">
        <f t="shared" si="48"/>
        <v>3437.6143400000001</v>
      </c>
      <c r="AF199" s="40">
        <f t="shared" si="48"/>
        <v>1779.3965228571437</v>
      </c>
      <c r="AG199" s="40">
        <f t="shared" si="48"/>
        <v>1850.1641361224554</v>
      </c>
      <c r="AH199" s="40">
        <f t="shared" si="49"/>
        <v>31147.588068979599</v>
      </c>
    </row>
    <row r="200" spans="1:34" outlineLevel="1">
      <c r="A200" s="13" t="s">
        <v>330</v>
      </c>
      <c r="B200" s="139">
        <v>7.0000000000000007E-2</v>
      </c>
      <c r="C200" s="13" t="str">
        <f t="shared" si="45"/>
        <v>UK</v>
      </c>
      <c r="D200" s="13"/>
      <c r="E200" s="13"/>
      <c r="F200" s="40">
        <f t="shared" si="46"/>
        <v>1252.8530000000001</v>
      </c>
      <c r="G200" s="40">
        <f t="shared" si="46"/>
        <v>3314.8177999999998</v>
      </c>
      <c r="H200" s="40">
        <f t="shared" si="46"/>
        <v>2095.6417999999999</v>
      </c>
      <c r="I200" s="40">
        <f t="shared" si="46"/>
        <v>653.94000000000005</v>
      </c>
      <c r="J200" s="40">
        <f t="shared" si="46"/>
        <v>66.554600000000008</v>
      </c>
      <c r="K200" s="40">
        <f t="shared" si="46"/>
        <v>0</v>
      </c>
      <c r="L200" s="40">
        <f t="shared" si="46"/>
        <v>465.88430000000005</v>
      </c>
      <c r="M200" s="40">
        <f t="shared" si="46"/>
        <v>2794.7402000000002</v>
      </c>
      <c r="N200" s="40">
        <f t="shared" si="46"/>
        <v>509.70500000000004</v>
      </c>
      <c r="O200" s="40">
        <f t="shared" si="46"/>
        <v>799.54000000000008</v>
      </c>
      <c r="P200" s="40">
        <f t="shared" si="46"/>
        <v>1029.5647634160212</v>
      </c>
      <c r="Q200" s="40">
        <f t="shared" si="46"/>
        <v>624.48338529724356</v>
      </c>
      <c r="R200" s="40">
        <f t="shared" si="47"/>
        <v>13607.724848713267</v>
      </c>
      <c r="S200" s="40"/>
      <c r="T200" s="13"/>
      <c r="U200" s="50">
        <v>7.0000000000000007E-2</v>
      </c>
      <c r="V200" s="40">
        <f t="shared" si="48"/>
        <v>1050</v>
      </c>
      <c r="W200" s="40">
        <f t="shared" si="48"/>
        <v>2415.0000000000005</v>
      </c>
      <c r="X200" s="40">
        <f t="shared" si="48"/>
        <v>0</v>
      </c>
      <c r="Y200" s="40">
        <f t="shared" si="48"/>
        <v>700.00000000000011</v>
      </c>
      <c r="Z200" s="40">
        <f t="shared" si="48"/>
        <v>683.06000000000006</v>
      </c>
      <c r="AA200" s="40">
        <f t="shared" si="48"/>
        <v>509.6</v>
      </c>
      <c r="AB200" s="40">
        <f t="shared" si="48"/>
        <v>485.59000000000003</v>
      </c>
      <c r="AC200" s="40">
        <f t="shared" si="48"/>
        <v>1113.21</v>
      </c>
      <c r="AD200" s="40">
        <f t="shared" si="48"/>
        <v>593.04000000000008</v>
      </c>
      <c r="AE200" s="40">
        <f t="shared" si="48"/>
        <v>2299.7800000000002</v>
      </c>
      <c r="AF200" s="40">
        <f t="shared" si="48"/>
        <v>1916.2500000000002</v>
      </c>
      <c r="AG200" s="40">
        <f t="shared" si="48"/>
        <v>1549.2400000000002</v>
      </c>
      <c r="AH200" s="40">
        <f t="shared" si="49"/>
        <v>13314.770000000002</v>
      </c>
    </row>
    <row r="201" spans="1:34" outlineLevel="1">
      <c r="A201" s="13" t="s">
        <v>264</v>
      </c>
      <c r="B201" s="139">
        <v>0.1</v>
      </c>
      <c r="C201" s="13" t="str">
        <f t="shared" si="45"/>
        <v>CE</v>
      </c>
      <c r="D201" s="13"/>
      <c r="E201" s="13"/>
      <c r="F201" s="40">
        <f t="shared" si="46"/>
        <v>6984.1830000000009</v>
      </c>
      <c r="G201" s="40">
        <f t="shared" si="46"/>
        <v>4893.165</v>
      </c>
      <c r="H201" s="40">
        <f t="shared" si="46"/>
        <v>0</v>
      </c>
      <c r="I201" s="40">
        <f t="shared" si="46"/>
        <v>6706.6380000000008</v>
      </c>
      <c r="J201" s="40">
        <f t="shared" si="46"/>
        <v>5882.1040000000012</v>
      </c>
      <c r="K201" s="40">
        <f t="shared" si="46"/>
        <v>3446.0040000000004</v>
      </c>
      <c r="L201" s="40">
        <f t="shared" si="46"/>
        <v>4513.049</v>
      </c>
      <c r="M201" s="40">
        <f t="shared" si="46"/>
        <v>-84.039000000000001</v>
      </c>
      <c r="N201" s="40">
        <f t="shared" si="46"/>
        <v>0</v>
      </c>
      <c r="O201" s="40">
        <f t="shared" si="46"/>
        <v>11400</v>
      </c>
      <c r="P201" s="40">
        <f t="shared" si="46"/>
        <v>4000</v>
      </c>
      <c r="Q201" s="40">
        <f t="shared" si="46"/>
        <v>4040.6176320486538</v>
      </c>
      <c r="R201" s="40">
        <f t="shared" si="47"/>
        <v>51781.721632048662</v>
      </c>
      <c r="S201" s="40"/>
      <c r="T201" s="13"/>
      <c r="U201" s="50">
        <v>0.1</v>
      </c>
      <c r="V201" s="40">
        <f t="shared" si="48"/>
        <v>3000</v>
      </c>
      <c r="W201" s="40">
        <f t="shared" si="48"/>
        <v>5000</v>
      </c>
      <c r="X201" s="40">
        <f t="shared" si="48"/>
        <v>4600</v>
      </c>
      <c r="Y201" s="40">
        <f t="shared" si="48"/>
        <v>4500</v>
      </c>
      <c r="Z201" s="40">
        <f t="shared" si="48"/>
        <v>5400</v>
      </c>
      <c r="AA201" s="40">
        <f t="shared" si="48"/>
        <v>2700</v>
      </c>
      <c r="AB201" s="40">
        <f t="shared" si="48"/>
        <v>3600</v>
      </c>
      <c r="AC201" s="40">
        <f t="shared" si="48"/>
        <v>1800</v>
      </c>
      <c r="AD201" s="40">
        <f t="shared" si="48"/>
        <v>4600</v>
      </c>
      <c r="AE201" s="40">
        <f t="shared" si="48"/>
        <v>5400</v>
      </c>
      <c r="AF201" s="40">
        <f t="shared" si="48"/>
        <v>3600</v>
      </c>
      <c r="AG201" s="40">
        <f t="shared" si="48"/>
        <v>3600</v>
      </c>
      <c r="AH201" s="40">
        <f t="shared" si="49"/>
        <v>47800</v>
      </c>
    </row>
    <row r="202" spans="1:34" outlineLevel="1">
      <c r="A202" s="13" t="s">
        <v>291</v>
      </c>
      <c r="B202" s="13"/>
      <c r="C202" s="13" t="str">
        <f t="shared" si="45"/>
        <v>EE</v>
      </c>
      <c r="D202" s="13"/>
      <c r="E202" s="13"/>
      <c r="F202" s="40">
        <f t="shared" si="46"/>
        <v>0</v>
      </c>
      <c r="G202" s="40">
        <f t="shared" si="46"/>
        <v>0</v>
      </c>
      <c r="H202" s="40">
        <f t="shared" si="46"/>
        <v>0</v>
      </c>
      <c r="I202" s="40">
        <f t="shared" si="46"/>
        <v>0</v>
      </c>
      <c r="J202" s="40">
        <f t="shared" si="46"/>
        <v>0</v>
      </c>
      <c r="K202" s="40">
        <f t="shared" si="46"/>
        <v>0</v>
      </c>
      <c r="L202" s="40">
        <f t="shared" si="46"/>
        <v>0</v>
      </c>
      <c r="M202" s="40">
        <f t="shared" si="46"/>
        <v>0</v>
      </c>
      <c r="N202" s="40">
        <f t="shared" si="46"/>
        <v>0</v>
      </c>
      <c r="O202" s="40">
        <f t="shared" si="46"/>
        <v>0</v>
      </c>
      <c r="P202" s="40">
        <f t="shared" si="46"/>
        <v>0</v>
      </c>
      <c r="Q202" s="40">
        <f t="shared" si="46"/>
        <v>0</v>
      </c>
      <c r="R202" s="40">
        <f t="shared" si="47"/>
        <v>0</v>
      </c>
      <c r="S202" s="40"/>
      <c r="T202" s="13"/>
      <c r="U202" s="50"/>
      <c r="V202" s="40">
        <f t="shared" si="48"/>
        <v>0</v>
      </c>
      <c r="W202" s="40">
        <f t="shared" si="48"/>
        <v>0</v>
      </c>
      <c r="X202" s="40">
        <f t="shared" si="48"/>
        <v>0</v>
      </c>
      <c r="Y202" s="40">
        <f t="shared" si="48"/>
        <v>0</v>
      </c>
      <c r="Z202" s="40">
        <f t="shared" si="48"/>
        <v>0</v>
      </c>
      <c r="AA202" s="40">
        <f t="shared" si="48"/>
        <v>0</v>
      </c>
      <c r="AB202" s="40">
        <f t="shared" si="48"/>
        <v>0</v>
      </c>
      <c r="AC202" s="40">
        <f t="shared" si="48"/>
        <v>0</v>
      </c>
      <c r="AD202" s="40">
        <f t="shared" si="48"/>
        <v>0</v>
      </c>
      <c r="AE202" s="40">
        <f t="shared" si="48"/>
        <v>0</v>
      </c>
      <c r="AF202" s="40">
        <f t="shared" si="48"/>
        <v>0</v>
      </c>
      <c r="AG202" s="40">
        <f t="shared" si="48"/>
        <v>0</v>
      </c>
      <c r="AH202" s="40">
        <f t="shared" si="49"/>
        <v>0</v>
      </c>
    </row>
    <row r="203" spans="1:34" outlineLevel="1">
      <c r="A203" s="13" t="s">
        <v>273</v>
      </c>
      <c r="B203" s="13"/>
      <c r="C203" s="13" t="str">
        <f t="shared" si="45"/>
        <v>EE</v>
      </c>
      <c r="D203" s="13"/>
      <c r="E203" s="13"/>
      <c r="F203" s="40">
        <f t="shared" si="46"/>
        <v>0</v>
      </c>
      <c r="G203" s="40">
        <f t="shared" si="46"/>
        <v>0</v>
      </c>
      <c r="H203" s="40">
        <f t="shared" si="46"/>
        <v>0</v>
      </c>
      <c r="I203" s="40">
        <f t="shared" si="46"/>
        <v>0</v>
      </c>
      <c r="J203" s="40">
        <f t="shared" si="46"/>
        <v>0</v>
      </c>
      <c r="K203" s="40">
        <f t="shared" si="46"/>
        <v>0</v>
      </c>
      <c r="L203" s="40">
        <f t="shared" si="46"/>
        <v>0</v>
      </c>
      <c r="M203" s="40">
        <f t="shared" si="46"/>
        <v>0</v>
      </c>
      <c r="N203" s="40">
        <f t="shared" si="46"/>
        <v>0</v>
      </c>
      <c r="O203" s="40">
        <f t="shared" si="46"/>
        <v>0</v>
      </c>
      <c r="P203" s="40">
        <f t="shared" si="46"/>
        <v>0</v>
      </c>
      <c r="Q203" s="40">
        <f t="shared" si="46"/>
        <v>0</v>
      </c>
      <c r="R203" s="40">
        <f t="shared" si="47"/>
        <v>0</v>
      </c>
      <c r="S203" s="40"/>
      <c r="T203" s="13"/>
      <c r="U203" s="50"/>
      <c r="V203" s="40">
        <f t="shared" si="48"/>
        <v>0</v>
      </c>
      <c r="W203" s="40">
        <f t="shared" si="48"/>
        <v>0</v>
      </c>
      <c r="X203" s="40">
        <f t="shared" si="48"/>
        <v>0</v>
      </c>
      <c r="Y203" s="40">
        <f t="shared" si="48"/>
        <v>0</v>
      </c>
      <c r="Z203" s="40">
        <f t="shared" si="48"/>
        <v>0</v>
      </c>
      <c r="AA203" s="40">
        <f t="shared" si="48"/>
        <v>0</v>
      </c>
      <c r="AB203" s="40">
        <f t="shared" si="48"/>
        <v>0</v>
      </c>
      <c r="AC203" s="40">
        <f t="shared" si="48"/>
        <v>0</v>
      </c>
      <c r="AD203" s="40">
        <f t="shared" si="48"/>
        <v>0</v>
      </c>
      <c r="AE203" s="40">
        <f t="shared" si="48"/>
        <v>0</v>
      </c>
      <c r="AF203" s="40">
        <f t="shared" si="48"/>
        <v>0</v>
      </c>
      <c r="AG203" s="40">
        <f t="shared" si="48"/>
        <v>0</v>
      </c>
      <c r="AH203" s="40">
        <f t="shared" si="49"/>
        <v>0</v>
      </c>
    </row>
    <row r="204" spans="1:34" outlineLevel="1">
      <c r="A204" s="13" t="s">
        <v>340</v>
      </c>
      <c r="B204" s="13"/>
      <c r="C204" s="13" t="str">
        <f t="shared" si="45"/>
        <v>EE</v>
      </c>
      <c r="D204" s="13"/>
      <c r="E204" s="13"/>
      <c r="F204" s="40">
        <f t="shared" si="46"/>
        <v>0</v>
      </c>
      <c r="G204" s="40">
        <f t="shared" si="46"/>
        <v>0</v>
      </c>
      <c r="H204" s="40">
        <f t="shared" si="46"/>
        <v>0</v>
      </c>
      <c r="I204" s="40">
        <f t="shared" si="46"/>
        <v>0</v>
      </c>
      <c r="J204" s="40">
        <f t="shared" si="46"/>
        <v>0</v>
      </c>
      <c r="K204" s="40">
        <f t="shared" si="46"/>
        <v>0</v>
      </c>
      <c r="L204" s="40">
        <f t="shared" si="46"/>
        <v>0</v>
      </c>
      <c r="M204" s="40">
        <f t="shared" si="46"/>
        <v>0</v>
      </c>
      <c r="N204" s="40">
        <f t="shared" si="46"/>
        <v>0</v>
      </c>
      <c r="O204" s="40">
        <f t="shared" si="46"/>
        <v>0</v>
      </c>
      <c r="P204" s="40">
        <f t="shared" si="46"/>
        <v>0</v>
      </c>
      <c r="Q204" s="40">
        <f t="shared" si="46"/>
        <v>0</v>
      </c>
      <c r="R204" s="40">
        <f t="shared" si="47"/>
        <v>0</v>
      </c>
      <c r="S204" s="40"/>
      <c r="T204" s="13"/>
      <c r="U204" s="50"/>
      <c r="V204" s="40">
        <f t="shared" si="48"/>
        <v>0</v>
      </c>
      <c r="W204" s="40">
        <f t="shared" si="48"/>
        <v>0</v>
      </c>
      <c r="X204" s="40">
        <f t="shared" si="48"/>
        <v>0</v>
      </c>
      <c r="Y204" s="40">
        <f t="shared" si="48"/>
        <v>0</v>
      </c>
      <c r="Z204" s="40">
        <f t="shared" si="48"/>
        <v>0</v>
      </c>
      <c r="AA204" s="40">
        <f t="shared" si="48"/>
        <v>0</v>
      </c>
      <c r="AB204" s="40">
        <f t="shared" si="48"/>
        <v>0</v>
      </c>
      <c r="AC204" s="40">
        <f t="shared" si="48"/>
        <v>0</v>
      </c>
      <c r="AD204" s="40">
        <f t="shared" si="48"/>
        <v>0</v>
      </c>
      <c r="AE204" s="40">
        <f t="shared" si="48"/>
        <v>0</v>
      </c>
      <c r="AF204" s="40">
        <f t="shared" si="48"/>
        <v>0</v>
      </c>
      <c r="AG204" s="40">
        <f t="shared" si="48"/>
        <v>0</v>
      </c>
      <c r="AH204" s="40">
        <f t="shared" si="49"/>
        <v>0</v>
      </c>
    </row>
    <row r="205" spans="1:34" outlineLevel="1">
      <c r="A205" s="13" t="s">
        <v>269</v>
      </c>
      <c r="B205" s="13"/>
      <c r="C205" s="13" t="str">
        <f t="shared" si="45"/>
        <v>UK</v>
      </c>
      <c r="D205" s="13"/>
      <c r="E205" s="13"/>
      <c r="F205" s="40">
        <f t="shared" si="46"/>
        <v>0</v>
      </c>
      <c r="G205" s="40">
        <f t="shared" si="46"/>
        <v>0</v>
      </c>
      <c r="H205" s="40">
        <f t="shared" si="46"/>
        <v>0</v>
      </c>
      <c r="I205" s="40">
        <f t="shared" si="46"/>
        <v>0</v>
      </c>
      <c r="J205" s="40">
        <f t="shared" si="46"/>
        <v>0</v>
      </c>
      <c r="K205" s="40">
        <f t="shared" si="46"/>
        <v>0</v>
      </c>
      <c r="L205" s="40">
        <f t="shared" si="46"/>
        <v>0</v>
      </c>
      <c r="M205" s="40">
        <f t="shared" si="46"/>
        <v>0</v>
      </c>
      <c r="N205" s="40">
        <f t="shared" si="46"/>
        <v>0</v>
      </c>
      <c r="O205" s="40">
        <f t="shared" si="46"/>
        <v>0</v>
      </c>
      <c r="P205" s="40">
        <f t="shared" si="46"/>
        <v>0</v>
      </c>
      <c r="Q205" s="40">
        <f t="shared" si="46"/>
        <v>0</v>
      </c>
      <c r="R205" s="40">
        <f t="shared" si="47"/>
        <v>0</v>
      </c>
      <c r="S205" s="40"/>
      <c r="T205" s="13"/>
      <c r="U205" s="50">
        <v>0.1</v>
      </c>
      <c r="V205" s="40">
        <f t="shared" si="48"/>
        <v>100</v>
      </c>
      <c r="W205" s="40">
        <f t="shared" si="48"/>
        <v>100</v>
      </c>
      <c r="X205" s="40">
        <f t="shared" si="48"/>
        <v>350</v>
      </c>
      <c r="Y205" s="40">
        <f t="shared" si="48"/>
        <v>350</v>
      </c>
      <c r="Z205" s="40">
        <f t="shared" si="48"/>
        <v>100</v>
      </c>
      <c r="AA205" s="40">
        <f t="shared" si="48"/>
        <v>100</v>
      </c>
      <c r="AB205" s="40">
        <f t="shared" si="48"/>
        <v>100</v>
      </c>
      <c r="AC205" s="40">
        <f t="shared" si="48"/>
        <v>100</v>
      </c>
      <c r="AD205" s="40">
        <f t="shared" si="48"/>
        <v>100</v>
      </c>
      <c r="AE205" s="40">
        <f t="shared" si="48"/>
        <v>100</v>
      </c>
      <c r="AF205" s="40">
        <f t="shared" si="48"/>
        <v>100</v>
      </c>
      <c r="AG205" s="40">
        <f t="shared" si="48"/>
        <v>100</v>
      </c>
      <c r="AH205" s="40">
        <f t="shared" si="49"/>
        <v>1700</v>
      </c>
    </row>
    <row r="206" spans="1:34" outlineLevel="1">
      <c r="A206" s="13" t="s">
        <v>314</v>
      </c>
      <c r="B206" s="13"/>
      <c r="C206" s="13" t="str">
        <f t="shared" si="45"/>
        <v>UK</v>
      </c>
      <c r="D206" s="13"/>
      <c r="E206" s="13"/>
      <c r="F206" s="40">
        <f t="shared" si="46"/>
        <v>0</v>
      </c>
      <c r="G206" s="40">
        <f t="shared" si="46"/>
        <v>0</v>
      </c>
      <c r="H206" s="40">
        <f t="shared" si="46"/>
        <v>0</v>
      </c>
      <c r="I206" s="40">
        <f t="shared" si="46"/>
        <v>0</v>
      </c>
      <c r="J206" s="40">
        <f t="shared" si="46"/>
        <v>0</v>
      </c>
      <c r="K206" s="40">
        <f t="shared" si="46"/>
        <v>0</v>
      </c>
      <c r="L206" s="40">
        <f t="shared" si="46"/>
        <v>0</v>
      </c>
      <c r="M206" s="40">
        <f t="shared" si="46"/>
        <v>0</v>
      </c>
      <c r="N206" s="40">
        <f t="shared" si="46"/>
        <v>0</v>
      </c>
      <c r="O206" s="40">
        <f t="shared" si="46"/>
        <v>0</v>
      </c>
      <c r="P206" s="40">
        <f t="shared" si="46"/>
        <v>0</v>
      </c>
      <c r="Q206" s="40">
        <f t="shared" si="46"/>
        <v>0</v>
      </c>
      <c r="R206" s="40">
        <f t="shared" si="47"/>
        <v>0</v>
      </c>
      <c r="S206" s="40"/>
      <c r="T206" s="13"/>
      <c r="U206" s="50">
        <v>0.1</v>
      </c>
      <c r="V206" s="40">
        <f t="shared" si="48"/>
        <v>750.2639999999999</v>
      </c>
      <c r="W206" s="40">
        <f t="shared" si="48"/>
        <v>250.25</v>
      </c>
      <c r="X206" s="40">
        <f t="shared" si="48"/>
        <v>96.221000000000004</v>
      </c>
      <c r="Y206" s="40">
        <f t="shared" si="48"/>
        <v>84.384000000000015</v>
      </c>
      <c r="Z206" s="40">
        <f t="shared" si="48"/>
        <v>153.56040000000007</v>
      </c>
      <c r="AA206" s="40">
        <f t="shared" si="48"/>
        <v>258.24435000000005</v>
      </c>
      <c r="AB206" s="40">
        <f t="shared" si="48"/>
        <v>166.32420000000002</v>
      </c>
      <c r="AC206" s="40">
        <f t="shared" si="48"/>
        <v>70.597799999999921</v>
      </c>
      <c r="AD206" s="40">
        <f t="shared" si="48"/>
        <v>636.30680000000007</v>
      </c>
      <c r="AE206" s="40">
        <f t="shared" si="48"/>
        <v>1153.4289125</v>
      </c>
      <c r="AF206" s="40">
        <f t="shared" si="48"/>
        <v>137.88721406250002</v>
      </c>
      <c r="AG206" s="40">
        <f t="shared" si="48"/>
        <v>142.4941095703125</v>
      </c>
      <c r="AH206" s="40">
        <f t="shared" si="49"/>
        <v>3899.9627861328122</v>
      </c>
    </row>
    <row r="207" spans="1:34" outlineLevel="1">
      <c r="A207" s="13" t="s">
        <v>301</v>
      </c>
      <c r="B207" s="13"/>
      <c r="C207" s="13" t="str">
        <f t="shared" si="45"/>
        <v>CE</v>
      </c>
      <c r="D207" s="13"/>
      <c r="E207" s="13"/>
      <c r="F207" s="40">
        <f t="shared" si="46"/>
        <v>0</v>
      </c>
      <c r="G207" s="40">
        <f t="shared" si="46"/>
        <v>0</v>
      </c>
      <c r="H207" s="40">
        <f t="shared" si="46"/>
        <v>0</v>
      </c>
      <c r="I207" s="40">
        <f t="shared" si="46"/>
        <v>0</v>
      </c>
      <c r="J207" s="40">
        <f t="shared" si="46"/>
        <v>0</v>
      </c>
      <c r="K207" s="40">
        <f t="shared" si="46"/>
        <v>0</v>
      </c>
      <c r="L207" s="40">
        <f t="shared" si="46"/>
        <v>0</v>
      </c>
      <c r="M207" s="40">
        <f t="shared" si="46"/>
        <v>0</v>
      </c>
      <c r="N207" s="40">
        <f t="shared" si="46"/>
        <v>0</v>
      </c>
      <c r="O207" s="40">
        <f t="shared" si="46"/>
        <v>0</v>
      </c>
      <c r="P207" s="40">
        <f t="shared" si="46"/>
        <v>0</v>
      </c>
      <c r="Q207" s="40">
        <f t="shared" si="46"/>
        <v>0</v>
      </c>
      <c r="R207" s="40">
        <f t="shared" si="47"/>
        <v>0</v>
      </c>
      <c r="S207" s="40"/>
      <c r="T207" s="13"/>
      <c r="U207" s="50">
        <v>0.1</v>
      </c>
      <c r="V207" s="40">
        <f t="shared" si="48"/>
        <v>2457.9160000000002</v>
      </c>
      <c r="W207" s="40">
        <f t="shared" si="48"/>
        <v>2588.7149999999997</v>
      </c>
      <c r="X207" s="40">
        <f t="shared" si="48"/>
        <v>-33.744</v>
      </c>
      <c r="Y207" s="40">
        <f t="shared" si="48"/>
        <v>2985.6592499999997</v>
      </c>
      <c r="Z207" s="40">
        <f t="shared" si="48"/>
        <v>2882.4254999999998</v>
      </c>
      <c r="AA207" s="40">
        <f t="shared" si="48"/>
        <v>2288.498</v>
      </c>
      <c r="AB207" s="40">
        <f t="shared" si="48"/>
        <v>849.13499999999988</v>
      </c>
      <c r="AC207" s="40">
        <f t="shared" si="48"/>
        <v>2220.614</v>
      </c>
      <c r="AD207" s="40">
        <f t="shared" si="48"/>
        <v>3025.5200000000004</v>
      </c>
      <c r="AE207" s="40">
        <f t="shared" si="48"/>
        <v>1277.17071049579</v>
      </c>
      <c r="AF207" s="40">
        <f t="shared" si="48"/>
        <v>1601.830433049684</v>
      </c>
      <c r="AG207" s="40">
        <f t="shared" si="48"/>
        <v>1122.4331265530886</v>
      </c>
      <c r="AH207" s="40">
        <f t="shared" si="49"/>
        <v>23266.173020098558</v>
      </c>
    </row>
    <row r="208" spans="1:34" outlineLevel="1">
      <c r="A208" s="13" t="s">
        <v>346</v>
      </c>
      <c r="B208" s="13"/>
      <c r="C208" s="13" t="str">
        <f t="shared" si="45"/>
        <v>CE</v>
      </c>
      <c r="D208" s="13"/>
      <c r="E208" s="13"/>
      <c r="F208" s="40">
        <f t="shared" si="46"/>
        <v>0</v>
      </c>
      <c r="G208" s="40">
        <f t="shared" si="46"/>
        <v>0</v>
      </c>
      <c r="H208" s="40">
        <f t="shared" si="46"/>
        <v>0</v>
      </c>
      <c r="I208" s="40">
        <f t="shared" si="46"/>
        <v>0</v>
      </c>
      <c r="J208" s="40">
        <f t="shared" si="46"/>
        <v>0</v>
      </c>
      <c r="K208" s="40">
        <f t="shared" si="46"/>
        <v>0</v>
      </c>
      <c r="L208" s="40">
        <f t="shared" si="46"/>
        <v>0</v>
      </c>
      <c r="M208" s="40">
        <f t="shared" si="46"/>
        <v>0</v>
      </c>
      <c r="N208" s="40">
        <f t="shared" si="46"/>
        <v>0</v>
      </c>
      <c r="O208" s="40">
        <f t="shared" si="46"/>
        <v>0</v>
      </c>
      <c r="P208" s="40">
        <f t="shared" si="46"/>
        <v>0</v>
      </c>
      <c r="Q208" s="40">
        <f t="shared" si="46"/>
        <v>0</v>
      </c>
      <c r="R208" s="40">
        <f t="shared" si="47"/>
        <v>0</v>
      </c>
      <c r="S208" s="40"/>
      <c r="T208" s="13"/>
      <c r="U208" s="50">
        <v>0.05</v>
      </c>
      <c r="V208" s="40">
        <f t="shared" si="48"/>
        <v>589.51965065502179</v>
      </c>
      <c r="W208" s="40">
        <f t="shared" si="48"/>
        <v>982.53275109170318</v>
      </c>
      <c r="X208" s="40">
        <f t="shared" si="48"/>
        <v>707.42358078602626</v>
      </c>
      <c r="Y208" s="40">
        <f t="shared" si="48"/>
        <v>884.27947598253274</v>
      </c>
      <c r="Z208" s="40">
        <f t="shared" si="48"/>
        <v>1061.1353711790393</v>
      </c>
      <c r="AA208" s="40">
        <f t="shared" si="48"/>
        <v>530.56768558951967</v>
      </c>
      <c r="AB208" s="40">
        <f t="shared" si="48"/>
        <v>707.42358078602626</v>
      </c>
      <c r="AC208" s="40">
        <f t="shared" si="48"/>
        <v>353.71179039301313</v>
      </c>
      <c r="AD208" s="40">
        <f t="shared" si="48"/>
        <v>707.42358078602626</v>
      </c>
      <c r="AE208" s="40">
        <f t="shared" si="48"/>
        <v>1061.1353711790393</v>
      </c>
      <c r="AF208" s="40">
        <f t="shared" si="48"/>
        <v>707.42358078602626</v>
      </c>
      <c r="AG208" s="40">
        <f t="shared" si="48"/>
        <v>707.42358078602626</v>
      </c>
      <c r="AH208" s="40">
        <f t="shared" si="49"/>
        <v>9000</v>
      </c>
    </row>
    <row r="209" spans="1:34" outlineLevel="1">
      <c r="A209" s="13" t="s">
        <v>413</v>
      </c>
      <c r="B209" s="13"/>
      <c r="C209" s="13" t="str">
        <f t="shared" si="45"/>
        <v>CE</v>
      </c>
      <c r="D209" s="13"/>
      <c r="E209" s="13"/>
      <c r="F209" s="40">
        <f t="shared" si="46"/>
        <v>0</v>
      </c>
      <c r="G209" s="40">
        <f t="shared" si="46"/>
        <v>0</v>
      </c>
      <c r="H209" s="40">
        <f t="shared" si="46"/>
        <v>0</v>
      </c>
      <c r="I209" s="40">
        <f t="shared" si="46"/>
        <v>0</v>
      </c>
      <c r="J209" s="40">
        <f t="shared" si="46"/>
        <v>0</v>
      </c>
      <c r="K209" s="40">
        <f t="shared" si="46"/>
        <v>0</v>
      </c>
      <c r="L209" s="40">
        <f t="shared" si="46"/>
        <v>0</v>
      </c>
      <c r="M209" s="40">
        <f t="shared" si="46"/>
        <v>0</v>
      </c>
      <c r="N209" s="40">
        <f t="shared" si="46"/>
        <v>0</v>
      </c>
      <c r="O209" s="40">
        <f t="shared" si="46"/>
        <v>0</v>
      </c>
      <c r="P209" s="40">
        <f t="shared" si="46"/>
        <v>0</v>
      </c>
      <c r="Q209" s="40">
        <f t="shared" si="46"/>
        <v>0</v>
      </c>
      <c r="R209" s="40">
        <f t="shared" si="47"/>
        <v>0</v>
      </c>
      <c r="S209" s="40"/>
      <c r="T209" s="13"/>
      <c r="U209" s="50">
        <v>0.05</v>
      </c>
      <c r="V209" s="40">
        <f t="shared" si="48"/>
        <v>0</v>
      </c>
      <c r="W209" s="40">
        <f t="shared" si="48"/>
        <v>12375</v>
      </c>
      <c r="X209" s="40">
        <f t="shared" si="48"/>
        <v>2700</v>
      </c>
      <c r="Y209" s="40">
        <f t="shared" si="48"/>
        <v>1800</v>
      </c>
      <c r="Z209" s="40">
        <f t="shared" si="48"/>
        <v>2025</v>
      </c>
      <c r="AA209" s="40">
        <f t="shared" si="48"/>
        <v>1350</v>
      </c>
      <c r="AB209" s="40">
        <f t="shared" si="48"/>
        <v>1125</v>
      </c>
      <c r="AC209" s="40">
        <f t="shared" si="48"/>
        <v>1350</v>
      </c>
      <c r="AD209" s="40">
        <f t="shared" si="48"/>
        <v>900</v>
      </c>
      <c r="AE209" s="40">
        <f t="shared" si="48"/>
        <v>1800</v>
      </c>
      <c r="AF209" s="40">
        <f t="shared" si="48"/>
        <v>900</v>
      </c>
      <c r="AG209" s="40">
        <f t="shared" si="48"/>
        <v>900</v>
      </c>
      <c r="AH209" s="40">
        <f t="shared" si="49"/>
        <v>27225</v>
      </c>
    </row>
    <row r="210" spans="1:34" outlineLevel="1">
      <c r="A210" s="13" t="s">
        <v>353</v>
      </c>
      <c r="B210" s="13"/>
      <c r="C210" s="13" t="str">
        <f t="shared" si="45"/>
        <v>UK</v>
      </c>
      <c r="D210" s="13"/>
      <c r="E210" s="13"/>
      <c r="F210" s="40">
        <f t="shared" si="46"/>
        <v>0</v>
      </c>
      <c r="G210" s="40">
        <f t="shared" si="46"/>
        <v>0</v>
      </c>
      <c r="H210" s="40">
        <f t="shared" si="46"/>
        <v>0</v>
      </c>
      <c r="I210" s="40">
        <f t="shared" si="46"/>
        <v>0</v>
      </c>
      <c r="J210" s="40">
        <f t="shared" si="46"/>
        <v>0</v>
      </c>
      <c r="K210" s="40">
        <f t="shared" si="46"/>
        <v>0</v>
      </c>
      <c r="L210" s="40">
        <f t="shared" si="46"/>
        <v>0</v>
      </c>
      <c r="M210" s="40">
        <f t="shared" si="46"/>
        <v>0</v>
      </c>
      <c r="N210" s="40">
        <f t="shared" si="46"/>
        <v>0</v>
      </c>
      <c r="O210" s="40">
        <f t="shared" si="46"/>
        <v>0</v>
      </c>
      <c r="P210" s="40">
        <f t="shared" si="46"/>
        <v>0</v>
      </c>
      <c r="Q210" s="40">
        <f t="shared" si="46"/>
        <v>0</v>
      </c>
      <c r="R210" s="40">
        <f t="shared" si="47"/>
        <v>0</v>
      </c>
      <c r="S210" s="40"/>
      <c r="T210" s="13"/>
      <c r="U210" s="13"/>
      <c r="V210" s="40">
        <f t="shared" si="48"/>
        <v>0</v>
      </c>
      <c r="W210" s="40">
        <f t="shared" si="48"/>
        <v>0</v>
      </c>
      <c r="X210" s="40">
        <f t="shared" si="48"/>
        <v>0</v>
      </c>
      <c r="Y210" s="40">
        <f t="shared" si="48"/>
        <v>0</v>
      </c>
      <c r="Z210" s="40">
        <f t="shared" si="48"/>
        <v>0</v>
      </c>
      <c r="AA210" s="40">
        <f t="shared" si="48"/>
        <v>0</v>
      </c>
      <c r="AB210" s="40">
        <f t="shared" si="48"/>
        <v>0</v>
      </c>
      <c r="AC210" s="40">
        <f t="shared" si="48"/>
        <v>0</v>
      </c>
      <c r="AD210" s="40">
        <f t="shared" si="48"/>
        <v>0</v>
      </c>
      <c r="AE210" s="40">
        <f t="shared" si="48"/>
        <v>0</v>
      </c>
      <c r="AF210" s="40">
        <f t="shared" si="48"/>
        <v>0</v>
      </c>
      <c r="AG210" s="40">
        <f t="shared" si="48"/>
        <v>0</v>
      </c>
      <c r="AH210" s="40">
        <f t="shared" si="49"/>
        <v>0</v>
      </c>
    </row>
    <row r="211" spans="1:34" outlineLevel="1">
      <c r="A211" s="11" t="s">
        <v>207</v>
      </c>
      <c r="B211" s="11"/>
      <c r="C211" s="11"/>
      <c r="D211" s="11"/>
      <c r="E211" s="11"/>
      <c r="F211" s="43">
        <f t="shared" ref="F211:Q211" si="50">SUM(F197:F210)</f>
        <v>22411.3105</v>
      </c>
      <c r="G211" s="43">
        <f t="shared" si="50"/>
        <v>15919.162400000001</v>
      </c>
      <c r="H211" s="43">
        <f t="shared" si="50"/>
        <v>13850.295199999999</v>
      </c>
      <c r="I211" s="43">
        <f t="shared" si="50"/>
        <v>20134.4686</v>
      </c>
      <c r="J211" s="43">
        <f t="shared" si="50"/>
        <v>19920.447200000002</v>
      </c>
      <c r="K211" s="43">
        <f t="shared" si="50"/>
        <v>13784.240600000001</v>
      </c>
      <c r="L211" s="43">
        <f t="shared" si="50"/>
        <v>14120.197499999998</v>
      </c>
      <c r="M211" s="43">
        <f t="shared" si="50"/>
        <v>13880.1034</v>
      </c>
      <c r="N211" s="43">
        <f t="shared" si="50"/>
        <v>22505.949399999998</v>
      </c>
      <c r="O211" s="43">
        <f t="shared" si="50"/>
        <v>29895.428789324946</v>
      </c>
      <c r="P211" s="43">
        <f t="shared" si="50"/>
        <v>22768.565356480867</v>
      </c>
      <c r="Q211" s="43">
        <f t="shared" si="50"/>
        <v>19203.708080381424</v>
      </c>
      <c r="R211" s="43">
        <f t="shared" si="47"/>
        <v>228393.8770261872</v>
      </c>
      <c r="S211" s="40"/>
      <c r="T211" s="13"/>
      <c r="U211" s="13"/>
      <c r="V211" s="43">
        <f t="shared" ref="V211:AG211" si="51">SUM(V197:V210)</f>
        <v>22244.55439365502</v>
      </c>
      <c r="W211" s="43">
        <f t="shared" si="51"/>
        <v>31624.076399091704</v>
      </c>
      <c r="X211" s="43">
        <f t="shared" si="51"/>
        <v>19997.94256478603</v>
      </c>
      <c r="Y211" s="43">
        <f t="shared" si="51"/>
        <v>22835.200411982532</v>
      </c>
      <c r="Z211" s="43">
        <f t="shared" si="51"/>
        <v>27472.088271179036</v>
      </c>
      <c r="AA211" s="43">
        <f t="shared" si="51"/>
        <v>18073.338523589522</v>
      </c>
      <c r="AB211" s="43">
        <f t="shared" si="51"/>
        <v>30737.508962786029</v>
      </c>
      <c r="AC211" s="43">
        <f t="shared" si="51"/>
        <v>31298.304866393013</v>
      </c>
      <c r="AD211" s="43">
        <f t="shared" si="51"/>
        <v>32044.550336786029</v>
      </c>
      <c r="AE211" s="43">
        <f t="shared" si="51"/>
        <v>29382.36524856196</v>
      </c>
      <c r="AF211" s="43">
        <f t="shared" si="51"/>
        <v>25308.355571569773</v>
      </c>
      <c r="AG211" s="43">
        <f t="shared" si="51"/>
        <v>20803.576150717978</v>
      </c>
      <c r="AH211" s="43">
        <f t="shared" si="49"/>
        <v>311821.86170109862</v>
      </c>
    </row>
    <row r="212" spans="1:34" outlineLevel="1">
      <c r="A212" s="13"/>
      <c r="B212" s="13"/>
      <c r="C212" s="13"/>
      <c r="D212" s="13"/>
      <c r="E212" s="13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13"/>
      <c r="U212" s="13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</row>
    <row r="213" spans="1:34" outlineLevel="1">
      <c r="A213" s="413" t="s">
        <v>924</v>
      </c>
      <c r="B213" s="413"/>
      <c r="C213" s="413"/>
      <c r="D213" s="413"/>
      <c r="E213" s="413"/>
      <c r="F213" s="397"/>
      <c r="G213" s="397"/>
      <c r="H213" s="397"/>
      <c r="I213" s="397"/>
      <c r="J213" s="397"/>
      <c r="K213" s="397"/>
      <c r="L213" s="397"/>
      <c r="M213" s="397"/>
      <c r="N213" s="397"/>
      <c r="O213" s="397"/>
      <c r="P213" s="397"/>
      <c r="Q213" s="397"/>
      <c r="R213" s="397"/>
      <c r="S213" s="40"/>
      <c r="T213" s="13"/>
      <c r="U213" s="13"/>
      <c r="V213" s="397"/>
      <c r="W213" s="397"/>
      <c r="X213" s="397"/>
      <c r="Y213" s="397"/>
      <c r="Z213" s="397"/>
      <c r="AA213" s="397"/>
      <c r="AB213" s="397"/>
      <c r="AC213" s="397"/>
      <c r="AD213" s="397"/>
      <c r="AE213" s="397"/>
      <c r="AF213" s="397"/>
      <c r="AG213" s="397"/>
      <c r="AH213" s="397"/>
    </row>
    <row r="214" spans="1:34" outlineLevel="1">
      <c r="A214" s="13" t="s">
        <v>277</v>
      </c>
      <c r="B214" s="139"/>
      <c r="C214" s="13" t="str">
        <f t="shared" ref="C214:C227" si="52">_xlfn.XLOOKUP($A214,$A$3:$A$101,$C$3:$C$101)</f>
        <v>UK</v>
      </c>
      <c r="D214" s="13"/>
      <c r="E214" s="13"/>
      <c r="F214" s="40">
        <f t="shared" ref="F214:Q227" si="53">_xlfn.XLOOKUP($A214,$A$161:$A$176,F$161:F$176)*$B214</f>
        <v>0</v>
      </c>
      <c r="G214" s="40">
        <f t="shared" si="53"/>
        <v>0</v>
      </c>
      <c r="H214" s="40">
        <f t="shared" si="53"/>
        <v>0</v>
      </c>
      <c r="I214" s="40">
        <f t="shared" si="53"/>
        <v>0</v>
      </c>
      <c r="J214" s="40">
        <f t="shared" si="53"/>
        <v>0</v>
      </c>
      <c r="K214" s="40">
        <f t="shared" si="53"/>
        <v>0</v>
      </c>
      <c r="L214" s="40">
        <f t="shared" si="53"/>
        <v>0</v>
      </c>
      <c r="M214" s="40">
        <f t="shared" si="53"/>
        <v>0</v>
      </c>
      <c r="N214" s="40">
        <f t="shared" si="53"/>
        <v>0</v>
      </c>
      <c r="O214" s="40">
        <f t="shared" si="53"/>
        <v>0</v>
      </c>
      <c r="P214" s="40">
        <f t="shared" si="53"/>
        <v>0</v>
      </c>
      <c r="Q214" s="40">
        <f t="shared" si="53"/>
        <v>0</v>
      </c>
      <c r="R214" s="40">
        <f t="shared" ref="R214:R228" si="54">SUM(F214:Q214)</f>
        <v>0</v>
      </c>
      <c r="S214" s="40"/>
      <c r="T214" s="13"/>
      <c r="U214" s="50">
        <v>0.05</v>
      </c>
      <c r="V214" s="40">
        <f t="shared" ref="V214:AG227" si="55">_xlfn.XLOOKUP($A214,$A$161:$A$176,V$161:V$176)*$U214</f>
        <v>10823.153320000001</v>
      </c>
      <c r="W214" s="40">
        <f t="shared" si="55"/>
        <v>6243.0891200000005</v>
      </c>
      <c r="X214" s="40">
        <f t="shared" si="55"/>
        <v>4304.6051600000001</v>
      </c>
      <c r="Y214" s="40">
        <f t="shared" si="55"/>
        <v>6165.8616400000001</v>
      </c>
      <c r="Z214" s="40">
        <f t="shared" si="55"/>
        <v>9634.1459999999988</v>
      </c>
      <c r="AA214" s="40">
        <f t="shared" si="55"/>
        <v>5871.4080199999999</v>
      </c>
      <c r="AB214" s="40">
        <f t="shared" si="55"/>
        <v>5053.0312800000002</v>
      </c>
      <c r="AC214" s="40">
        <f t="shared" si="55"/>
        <v>6928.12824</v>
      </c>
      <c r="AD214" s="40">
        <f t="shared" si="55"/>
        <v>18308.189840000003</v>
      </c>
      <c r="AE214" s="40">
        <f t="shared" si="55"/>
        <v>9931.8107908246639</v>
      </c>
      <c r="AF214" s="40">
        <f t="shared" si="55"/>
        <v>10415.905538512548</v>
      </c>
      <c r="AG214" s="40">
        <f t="shared" si="55"/>
        <v>10324.924821903855</v>
      </c>
      <c r="AH214" s="40">
        <f t="shared" ref="AH214:AH228" si="56">SUM(V214:AG214)</f>
        <v>104004.25377124107</v>
      </c>
    </row>
    <row r="215" spans="1:34" outlineLevel="1">
      <c r="A215" s="13" t="s">
        <v>248</v>
      </c>
      <c r="B215" s="139"/>
      <c r="C215" s="13" t="str">
        <f t="shared" si="52"/>
        <v>UK</v>
      </c>
      <c r="D215" s="13"/>
      <c r="E215" s="13"/>
      <c r="F215" s="40">
        <f t="shared" si="53"/>
        <v>0</v>
      </c>
      <c r="G215" s="40">
        <f t="shared" si="53"/>
        <v>0</v>
      </c>
      <c r="H215" s="40">
        <f t="shared" si="53"/>
        <v>0</v>
      </c>
      <c r="I215" s="40">
        <f t="shared" si="53"/>
        <v>0</v>
      </c>
      <c r="J215" s="40">
        <f t="shared" si="53"/>
        <v>0</v>
      </c>
      <c r="K215" s="40">
        <f t="shared" si="53"/>
        <v>0</v>
      </c>
      <c r="L215" s="40">
        <f t="shared" si="53"/>
        <v>0</v>
      </c>
      <c r="M215" s="40">
        <f t="shared" si="53"/>
        <v>0</v>
      </c>
      <c r="N215" s="40">
        <f t="shared" si="53"/>
        <v>0</v>
      </c>
      <c r="O215" s="40">
        <f t="shared" si="53"/>
        <v>0</v>
      </c>
      <c r="P215" s="40">
        <f t="shared" si="53"/>
        <v>0</v>
      </c>
      <c r="Q215" s="40">
        <f t="shared" si="53"/>
        <v>0</v>
      </c>
      <c r="R215" s="40">
        <f t="shared" si="54"/>
        <v>0</v>
      </c>
      <c r="S215" s="40"/>
      <c r="T215" s="13"/>
      <c r="U215" s="50">
        <v>0.05</v>
      </c>
      <c r="V215" s="40">
        <f t="shared" si="55"/>
        <v>2950.2197749999996</v>
      </c>
      <c r="W215" s="40">
        <f t="shared" si="55"/>
        <v>1656.857</v>
      </c>
      <c r="X215" s="40">
        <f t="shared" si="55"/>
        <v>3109.4602</v>
      </c>
      <c r="Y215" s="40">
        <f t="shared" si="55"/>
        <v>2689.0405499999997</v>
      </c>
      <c r="Z215" s="40">
        <f t="shared" si="55"/>
        <v>2092.6019999999999</v>
      </c>
      <c r="AA215" s="40">
        <f t="shared" si="55"/>
        <v>2601.2640000000001</v>
      </c>
      <c r="AB215" s="40">
        <f t="shared" si="55"/>
        <v>7775.0040000000008</v>
      </c>
      <c r="AC215" s="40">
        <f t="shared" si="55"/>
        <v>7678.9970000000003</v>
      </c>
      <c r="AD215" s="40">
        <f t="shared" si="55"/>
        <v>2863.9007999999999</v>
      </c>
      <c r="AE215" s="40">
        <f t="shared" si="55"/>
        <v>3415.5813838681806</v>
      </c>
      <c r="AF215" s="40">
        <f t="shared" si="55"/>
        <v>3999.6944636190005</v>
      </c>
      <c r="AG215" s="40">
        <f t="shared" si="55"/>
        <v>2577.6351034325203</v>
      </c>
      <c r="AH215" s="40">
        <f t="shared" si="56"/>
        <v>43410.256275919703</v>
      </c>
    </row>
    <row r="216" spans="1:34" outlineLevel="1">
      <c r="A216" s="13" t="s">
        <v>332</v>
      </c>
      <c r="B216" s="139"/>
      <c r="C216" s="13" t="str">
        <f t="shared" si="52"/>
        <v>UK</v>
      </c>
      <c r="D216" s="13"/>
      <c r="E216" s="13"/>
      <c r="F216" s="40">
        <f t="shared" si="53"/>
        <v>0</v>
      </c>
      <c r="G216" s="40">
        <f t="shared" si="53"/>
        <v>0</v>
      </c>
      <c r="H216" s="40">
        <f t="shared" si="53"/>
        <v>0</v>
      </c>
      <c r="I216" s="40">
        <f t="shared" si="53"/>
        <v>0</v>
      </c>
      <c r="J216" s="40">
        <f t="shared" si="53"/>
        <v>0</v>
      </c>
      <c r="K216" s="40">
        <f t="shared" si="53"/>
        <v>0</v>
      </c>
      <c r="L216" s="40">
        <f t="shared" si="53"/>
        <v>0</v>
      </c>
      <c r="M216" s="40">
        <f t="shared" si="53"/>
        <v>0</v>
      </c>
      <c r="N216" s="40">
        <f t="shared" si="53"/>
        <v>0</v>
      </c>
      <c r="O216" s="40">
        <f t="shared" si="53"/>
        <v>0</v>
      </c>
      <c r="P216" s="40">
        <f t="shared" si="53"/>
        <v>0</v>
      </c>
      <c r="Q216" s="40">
        <f t="shared" si="53"/>
        <v>0</v>
      </c>
      <c r="R216" s="40">
        <f t="shared" si="54"/>
        <v>0</v>
      </c>
      <c r="S216" s="40"/>
      <c r="T216" s="13"/>
      <c r="U216" s="50">
        <v>0.05</v>
      </c>
      <c r="V216" s="40">
        <f t="shared" si="55"/>
        <v>820.36500000000001</v>
      </c>
      <c r="W216" s="40">
        <f t="shared" si="55"/>
        <v>395.54099999999994</v>
      </c>
      <c r="X216" s="40">
        <f t="shared" si="55"/>
        <v>632.71549999999991</v>
      </c>
      <c r="Y216" s="40">
        <f t="shared" si="55"/>
        <v>740.36699999999996</v>
      </c>
      <c r="Z216" s="40">
        <f t="shared" si="55"/>
        <v>2097.3155000000002</v>
      </c>
      <c r="AA216" s="40">
        <f t="shared" si="55"/>
        <v>437.34960000000001</v>
      </c>
      <c r="AB216" s="40">
        <f t="shared" si="55"/>
        <v>524.21902499999999</v>
      </c>
      <c r="AC216" s="40">
        <f t="shared" si="55"/>
        <v>554.83135000000038</v>
      </c>
      <c r="AD216" s="40">
        <f t="shared" si="55"/>
        <v>2397.44355</v>
      </c>
      <c r="AE216" s="40">
        <f t="shared" si="55"/>
        <v>1227.7194071428571</v>
      </c>
      <c r="AF216" s="40">
        <f t="shared" si="55"/>
        <v>635.49875816326562</v>
      </c>
      <c r="AG216" s="40">
        <f t="shared" si="55"/>
        <v>660.77290575801976</v>
      </c>
      <c r="AH216" s="40">
        <f t="shared" si="56"/>
        <v>11124.138596064142</v>
      </c>
    </row>
    <row r="217" spans="1:34" outlineLevel="1">
      <c r="A217" s="13" t="s">
        <v>330</v>
      </c>
      <c r="B217" s="139"/>
      <c r="C217" s="13" t="str">
        <f t="shared" si="52"/>
        <v>UK</v>
      </c>
      <c r="D217" s="13"/>
      <c r="E217" s="13"/>
      <c r="F217" s="40">
        <f t="shared" si="53"/>
        <v>0</v>
      </c>
      <c r="G217" s="40">
        <f t="shared" si="53"/>
        <v>0</v>
      </c>
      <c r="H217" s="40">
        <f t="shared" si="53"/>
        <v>0</v>
      </c>
      <c r="I217" s="40">
        <f t="shared" si="53"/>
        <v>0</v>
      </c>
      <c r="J217" s="40">
        <f t="shared" si="53"/>
        <v>0</v>
      </c>
      <c r="K217" s="40">
        <f t="shared" si="53"/>
        <v>0</v>
      </c>
      <c r="L217" s="40">
        <f t="shared" si="53"/>
        <v>0</v>
      </c>
      <c r="M217" s="40">
        <f t="shared" si="53"/>
        <v>0</v>
      </c>
      <c r="N217" s="40">
        <f t="shared" si="53"/>
        <v>0</v>
      </c>
      <c r="O217" s="40">
        <f t="shared" si="53"/>
        <v>0</v>
      </c>
      <c r="P217" s="40">
        <f t="shared" si="53"/>
        <v>0</v>
      </c>
      <c r="Q217" s="40">
        <f t="shared" si="53"/>
        <v>0</v>
      </c>
      <c r="R217" s="40">
        <f t="shared" si="54"/>
        <v>0</v>
      </c>
      <c r="S217" s="40"/>
      <c r="T217" s="13"/>
      <c r="U217" s="50">
        <v>0.05</v>
      </c>
      <c r="V217" s="40">
        <f t="shared" si="55"/>
        <v>750</v>
      </c>
      <c r="W217" s="40">
        <f t="shared" si="55"/>
        <v>1725</v>
      </c>
      <c r="X217" s="40">
        <f t="shared" si="55"/>
        <v>0</v>
      </c>
      <c r="Y217" s="40">
        <f t="shared" si="55"/>
        <v>500</v>
      </c>
      <c r="Z217" s="40">
        <f t="shared" si="55"/>
        <v>487.90000000000003</v>
      </c>
      <c r="AA217" s="40">
        <f t="shared" si="55"/>
        <v>364</v>
      </c>
      <c r="AB217" s="40">
        <f t="shared" si="55"/>
        <v>346.85</v>
      </c>
      <c r="AC217" s="40">
        <f t="shared" si="55"/>
        <v>795.15000000000009</v>
      </c>
      <c r="AD217" s="40">
        <f t="shared" si="55"/>
        <v>423.6</v>
      </c>
      <c r="AE217" s="40">
        <f t="shared" si="55"/>
        <v>1642.7</v>
      </c>
      <c r="AF217" s="40">
        <f t="shared" si="55"/>
        <v>1368.75</v>
      </c>
      <c r="AG217" s="40">
        <f t="shared" si="55"/>
        <v>1106.6000000000001</v>
      </c>
      <c r="AH217" s="40">
        <f t="shared" si="56"/>
        <v>9510.5500000000011</v>
      </c>
    </row>
    <row r="218" spans="1:34" outlineLevel="1">
      <c r="A218" s="13" t="s">
        <v>264</v>
      </c>
      <c r="B218" s="139"/>
      <c r="C218" s="13" t="str">
        <f t="shared" si="52"/>
        <v>CE</v>
      </c>
      <c r="D218" s="13"/>
      <c r="E218" s="13"/>
      <c r="F218" s="40">
        <f t="shared" si="53"/>
        <v>0</v>
      </c>
      <c r="G218" s="40">
        <f t="shared" si="53"/>
        <v>0</v>
      </c>
      <c r="H218" s="40">
        <f t="shared" si="53"/>
        <v>0</v>
      </c>
      <c r="I218" s="40">
        <f t="shared" si="53"/>
        <v>0</v>
      </c>
      <c r="J218" s="40">
        <f t="shared" si="53"/>
        <v>0</v>
      </c>
      <c r="K218" s="40">
        <f t="shared" si="53"/>
        <v>0</v>
      </c>
      <c r="L218" s="40">
        <f t="shared" si="53"/>
        <v>0</v>
      </c>
      <c r="M218" s="40">
        <f t="shared" si="53"/>
        <v>0</v>
      </c>
      <c r="N218" s="40">
        <f t="shared" si="53"/>
        <v>0</v>
      </c>
      <c r="O218" s="40">
        <f t="shared" si="53"/>
        <v>0</v>
      </c>
      <c r="P218" s="40">
        <f t="shared" si="53"/>
        <v>0</v>
      </c>
      <c r="Q218" s="40">
        <f t="shared" si="53"/>
        <v>0</v>
      </c>
      <c r="R218" s="40">
        <f t="shared" si="54"/>
        <v>0</v>
      </c>
      <c r="S218" s="40"/>
      <c r="T218" s="13"/>
      <c r="U218" s="50">
        <v>0.05</v>
      </c>
      <c r="V218" s="40">
        <f t="shared" si="55"/>
        <v>1500</v>
      </c>
      <c r="W218" s="40">
        <f t="shared" si="55"/>
        <v>2500</v>
      </c>
      <c r="X218" s="40">
        <f t="shared" si="55"/>
        <v>2300</v>
      </c>
      <c r="Y218" s="40">
        <f t="shared" si="55"/>
        <v>2250</v>
      </c>
      <c r="Z218" s="40">
        <f t="shared" si="55"/>
        <v>2700</v>
      </c>
      <c r="AA218" s="40">
        <f t="shared" si="55"/>
        <v>1350</v>
      </c>
      <c r="AB218" s="40">
        <f t="shared" si="55"/>
        <v>1800</v>
      </c>
      <c r="AC218" s="40">
        <f t="shared" si="55"/>
        <v>900</v>
      </c>
      <c r="AD218" s="40">
        <f t="shared" si="55"/>
        <v>2300</v>
      </c>
      <c r="AE218" s="40">
        <f t="shared" si="55"/>
        <v>2700</v>
      </c>
      <c r="AF218" s="40">
        <f t="shared" si="55"/>
        <v>1800</v>
      </c>
      <c r="AG218" s="40">
        <f t="shared" si="55"/>
        <v>1800</v>
      </c>
      <c r="AH218" s="40">
        <f t="shared" si="56"/>
        <v>23900</v>
      </c>
    </row>
    <row r="219" spans="1:34" outlineLevel="1">
      <c r="A219" s="13" t="s">
        <v>291</v>
      </c>
      <c r="B219" s="13"/>
      <c r="C219" s="13" t="str">
        <f t="shared" si="52"/>
        <v>EE</v>
      </c>
      <c r="D219" s="13"/>
      <c r="E219" s="13"/>
      <c r="F219" s="40">
        <f t="shared" si="53"/>
        <v>0</v>
      </c>
      <c r="G219" s="40">
        <f t="shared" si="53"/>
        <v>0</v>
      </c>
      <c r="H219" s="40">
        <f t="shared" si="53"/>
        <v>0</v>
      </c>
      <c r="I219" s="40">
        <f t="shared" si="53"/>
        <v>0</v>
      </c>
      <c r="J219" s="40">
        <f t="shared" si="53"/>
        <v>0</v>
      </c>
      <c r="K219" s="40">
        <f t="shared" si="53"/>
        <v>0</v>
      </c>
      <c r="L219" s="40">
        <f t="shared" si="53"/>
        <v>0</v>
      </c>
      <c r="M219" s="40">
        <f t="shared" si="53"/>
        <v>0</v>
      </c>
      <c r="N219" s="40">
        <f t="shared" si="53"/>
        <v>0</v>
      </c>
      <c r="O219" s="40">
        <f t="shared" si="53"/>
        <v>0</v>
      </c>
      <c r="P219" s="40">
        <f t="shared" si="53"/>
        <v>0</v>
      </c>
      <c r="Q219" s="40">
        <f t="shared" si="53"/>
        <v>0</v>
      </c>
      <c r="R219" s="40">
        <f t="shared" si="54"/>
        <v>0</v>
      </c>
      <c r="S219" s="40"/>
      <c r="T219" s="13"/>
      <c r="U219" s="50">
        <v>0.05</v>
      </c>
      <c r="V219" s="40">
        <f t="shared" si="55"/>
        <v>500</v>
      </c>
      <c r="W219" s="40">
        <f t="shared" si="55"/>
        <v>0</v>
      </c>
      <c r="X219" s="40">
        <f t="shared" si="55"/>
        <v>0</v>
      </c>
      <c r="Y219" s="40">
        <f t="shared" si="55"/>
        <v>500</v>
      </c>
      <c r="Z219" s="40">
        <f t="shared" si="55"/>
        <v>0</v>
      </c>
      <c r="AA219" s="40">
        <f t="shared" si="55"/>
        <v>500</v>
      </c>
      <c r="AB219" s="40">
        <f t="shared" si="55"/>
        <v>0</v>
      </c>
      <c r="AC219" s="40">
        <f t="shared" si="55"/>
        <v>0</v>
      </c>
      <c r="AD219" s="40">
        <f t="shared" si="55"/>
        <v>1500</v>
      </c>
      <c r="AE219" s="40">
        <f t="shared" si="55"/>
        <v>1000</v>
      </c>
      <c r="AF219" s="40">
        <f t="shared" si="55"/>
        <v>0</v>
      </c>
      <c r="AG219" s="40">
        <f t="shared" si="55"/>
        <v>500</v>
      </c>
      <c r="AH219" s="40">
        <f t="shared" si="56"/>
        <v>4500</v>
      </c>
    </row>
    <row r="220" spans="1:34" outlineLevel="1">
      <c r="A220" s="13" t="s">
        <v>273</v>
      </c>
      <c r="B220" s="13"/>
      <c r="C220" s="13" t="str">
        <f t="shared" si="52"/>
        <v>EE</v>
      </c>
      <c r="D220" s="13"/>
      <c r="E220" s="13"/>
      <c r="F220" s="40">
        <f t="shared" si="53"/>
        <v>0</v>
      </c>
      <c r="G220" s="40">
        <f t="shared" si="53"/>
        <v>0</v>
      </c>
      <c r="H220" s="40">
        <f t="shared" si="53"/>
        <v>0</v>
      </c>
      <c r="I220" s="40">
        <f t="shared" si="53"/>
        <v>0</v>
      </c>
      <c r="J220" s="40">
        <f t="shared" si="53"/>
        <v>0</v>
      </c>
      <c r="K220" s="40">
        <f t="shared" si="53"/>
        <v>0</v>
      </c>
      <c r="L220" s="40">
        <f t="shared" si="53"/>
        <v>0</v>
      </c>
      <c r="M220" s="40">
        <f t="shared" si="53"/>
        <v>0</v>
      </c>
      <c r="N220" s="40">
        <f t="shared" si="53"/>
        <v>0</v>
      </c>
      <c r="O220" s="40">
        <f t="shared" si="53"/>
        <v>0</v>
      </c>
      <c r="P220" s="40">
        <f t="shared" si="53"/>
        <v>0</v>
      </c>
      <c r="Q220" s="40">
        <f t="shared" si="53"/>
        <v>0</v>
      </c>
      <c r="R220" s="40">
        <f t="shared" si="54"/>
        <v>0</v>
      </c>
      <c r="S220" s="40"/>
      <c r="T220" s="13"/>
      <c r="U220" s="50">
        <v>0.05</v>
      </c>
      <c r="V220" s="40">
        <f t="shared" si="55"/>
        <v>0</v>
      </c>
      <c r="W220" s="40">
        <f t="shared" si="55"/>
        <v>1190.97</v>
      </c>
      <c r="X220" s="40">
        <f t="shared" si="55"/>
        <v>1516.93</v>
      </c>
      <c r="Y220" s="40">
        <f t="shared" si="55"/>
        <v>1261.3500000000004</v>
      </c>
      <c r="Z220" s="40">
        <f t="shared" si="55"/>
        <v>500</v>
      </c>
      <c r="AA220" s="40">
        <f t="shared" si="55"/>
        <v>752.13000000000011</v>
      </c>
      <c r="AB220" s="40">
        <f t="shared" si="55"/>
        <v>1197.4400000000003</v>
      </c>
      <c r="AC220" s="40">
        <f t="shared" si="55"/>
        <v>0</v>
      </c>
      <c r="AD220" s="40">
        <f t="shared" si="55"/>
        <v>1306.2050000000002</v>
      </c>
      <c r="AE220" s="40">
        <f t="shared" si="55"/>
        <v>1500</v>
      </c>
      <c r="AF220" s="40">
        <f t="shared" si="55"/>
        <v>500</v>
      </c>
      <c r="AG220" s="40">
        <f t="shared" si="55"/>
        <v>1586.3700608863937</v>
      </c>
      <c r="AH220" s="40">
        <f t="shared" si="56"/>
        <v>11311.395060886396</v>
      </c>
    </row>
    <row r="221" spans="1:34" outlineLevel="1">
      <c r="A221" s="13" t="s">
        <v>340</v>
      </c>
      <c r="B221" s="13"/>
      <c r="C221" s="13" t="str">
        <f t="shared" si="52"/>
        <v>EE</v>
      </c>
      <c r="D221" s="13"/>
      <c r="E221" s="13"/>
      <c r="F221" s="40">
        <f t="shared" si="53"/>
        <v>0</v>
      </c>
      <c r="G221" s="40">
        <f t="shared" si="53"/>
        <v>0</v>
      </c>
      <c r="H221" s="40">
        <f t="shared" si="53"/>
        <v>0</v>
      </c>
      <c r="I221" s="40">
        <f t="shared" si="53"/>
        <v>0</v>
      </c>
      <c r="J221" s="40">
        <f t="shared" si="53"/>
        <v>0</v>
      </c>
      <c r="K221" s="40">
        <f t="shared" si="53"/>
        <v>0</v>
      </c>
      <c r="L221" s="40">
        <f t="shared" si="53"/>
        <v>0</v>
      </c>
      <c r="M221" s="40">
        <f t="shared" si="53"/>
        <v>0</v>
      </c>
      <c r="N221" s="40">
        <f t="shared" si="53"/>
        <v>0</v>
      </c>
      <c r="O221" s="40">
        <f t="shared" si="53"/>
        <v>0</v>
      </c>
      <c r="P221" s="40">
        <f t="shared" si="53"/>
        <v>0</v>
      </c>
      <c r="Q221" s="40">
        <f t="shared" si="53"/>
        <v>0</v>
      </c>
      <c r="R221" s="40">
        <f t="shared" si="54"/>
        <v>0</v>
      </c>
      <c r="S221" s="40"/>
      <c r="T221" s="13"/>
      <c r="U221" s="50">
        <v>0.05</v>
      </c>
      <c r="V221" s="40">
        <f t="shared" si="55"/>
        <v>500</v>
      </c>
      <c r="W221" s="40">
        <f t="shared" si="55"/>
        <v>1250</v>
      </c>
      <c r="X221" s="40">
        <f t="shared" si="55"/>
        <v>850</v>
      </c>
      <c r="Y221" s="40">
        <f t="shared" si="55"/>
        <v>1250</v>
      </c>
      <c r="Z221" s="40">
        <f t="shared" si="55"/>
        <v>500</v>
      </c>
      <c r="AA221" s="40">
        <f t="shared" si="55"/>
        <v>100</v>
      </c>
      <c r="AB221" s="40">
        <f t="shared" si="55"/>
        <v>1000</v>
      </c>
      <c r="AC221" s="40">
        <f t="shared" si="55"/>
        <v>850</v>
      </c>
      <c r="AD221" s="40">
        <f t="shared" si="55"/>
        <v>100</v>
      </c>
      <c r="AE221" s="40">
        <f t="shared" si="55"/>
        <v>1250</v>
      </c>
      <c r="AF221" s="40">
        <f t="shared" si="55"/>
        <v>100</v>
      </c>
      <c r="AG221" s="40">
        <f t="shared" si="55"/>
        <v>100</v>
      </c>
      <c r="AH221" s="40">
        <f t="shared" si="56"/>
        <v>7850</v>
      </c>
    </row>
    <row r="222" spans="1:34" outlineLevel="1">
      <c r="A222" s="13" t="s">
        <v>269</v>
      </c>
      <c r="B222" s="13"/>
      <c r="C222" s="13" t="str">
        <f t="shared" si="52"/>
        <v>UK</v>
      </c>
      <c r="D222" s="13"/>
      <c r="E222" s="13"/>
      <c r="F222" s="40">
        <f t="shared" si="53"/>
        <v>0</v>
      </c>
      <c r="G222" s="40">
        <f t="shared" si="53"/>
        <v>0</v>
      </c>
      <c r="H222" s="40">
        <f t="shared" si="53"/>
        <v>0</v>
      </c>
      <c r="I222" s="40">
        <f t="shared" si="53"/>
        <v>0</v>
      </c>
      <c r="J222" s="40">
        <f t="shared" si="53"/>
        <v>0</v>
      </c>
      <c r="K222" s="40">
        <f t="shared" si="53"/>
        <v>0</v>
      </c>
      <c r="L222" s="40">
        <f t="shared" si="53"/>
        <v>0</v>
      </c>
      <c r="M222" s="40">
        <f t="shared" si="53"/>
        <v>0</v>
      </c>
      <c r="N222" s="40">
        <f t="shared" si="53"/>
        <v>0</v>
      </c>
      <c r="O222" s="40">
        <f t="shared" si="53"/>
        <v>0</v>
      </c>
      <c r="P222" s="40">
        <f t="shared" si="53"/>
        <v>0</v>
      </c>
      <c r="Q222" s="40">
        <f t="shared" si="53"/>
        <v>0</v>
      </c>
      <c r="R222" s="40">
        <f t="shared" si="54"/>
        <v>0</v>
      </c>
      <c r="S222" s="40"/>
      <c r="T222" s="13"/>
      <c r="U222" s="50">
        <v>0.05</v>
      </c>
      <c r="V222" s="40">
        <f t="shared" si="55"/>
        <v>50</v>
      </c>
      <c r="W222" s="40">
        <f t="shared" si="55"/>
        <v>50</v>
      </c>
      <c r="X222" s="40">
        <f t="shared" si="55"/>
        <v>175</v>
      </c>
      <c r="Y222" s="40">
        <f t="shared" si="55"/>
        <v>175</v>
      </c>
      <c r="Z222" s="40">
        <f t="shared" si="55"/>
        <v>50</v>
      </c>
      <c r="AA222" s="40">
        <f t="shared" si="55"/>
        <v>50</v>
      </c>
      <c r="AB222" s="40">
        <f t="shared" si="55"/>
        <v>50</v>
      </c>
      <c r="AC222" s="40">
        <f t="shared" si="55"/>
        <v>50</v>
      </c>
      <c r="AD222" s="40">
        <f t="shared" si="55"/>
        <v>50</v>
      </c>
      <c r="AE222" s="40">
        <f t="shared" si="55"/>
        <v>50</v>
      </c>
      <c r="AF222" s="40">
        <f t="shared" si="55"/>
        <v>50</v>
      </c>
      <c r="AG222" s="40">
        <f t="shared" si="55"/>
        <v>50</v>
      </c>
      <c r="AH222" s="40">
        <f t="shared" si="56"/>
        <v>850</v>
      </c>
    </row>
    <row r="223" spans="1:34" outlineLevel="1">
      <c r="A223" s="13" t="s">
        <v>314</v>
      </c>
      <c r="B223" s="13"/>
      <c r="C223" s="13" t="str">
        <f t="shared" si="52"/>
        <v>UK</v>
      </c>
      <c r="D223" s="13"/>
      <c r="E223" s="13"/>
      <c r="F223" s="40">
        <f t="shared" si="53"/>
        <v>0</v>
      </c>
      <c r="G223" s="40">
        <f t="shared" si="53"/>
        <v>0</v>
      </c>
      <c r="H223" s="40">
        <f t="shared" si="53"/>
        <v>0</v>
      </c>
      <c r="I223" s="40">
        <f t="shared" si="53"/>
        <v>0</v>
      </c>
      <c r="J223" s="40">
        <f t="shared" si="53"/>
        <v>0</v>
      </c>
      <c r="K223" s="40">
        <f t="shared" si="53"/>
        <v>0</v>
      </c>
      <c r="L223" s="40">
        <f t="shared" si="53"/>
        <v>0</v>
      </c>
      <c r="M223" s="40">
        <f t="shared" si="53"/>
        <v>0</v>
      </c>
      <c r="N223" s="40">
        <f t="shared" si="53"/>
        <v>0</v>
      </c>
      <c r="O223" s="40">
        <f t="shared" si="53"/>
        <v>0</v>
      </c>
      <c r="P223" s="40">
        <f t="shared" si="53"/>
        <v>0</v>
      </c>
      <c r="Q223" s="40">
        <f t="shared" si="53"/>
        <v>0</v>
      </c>
      <c r="R223" s="40">
        <f t="shared" si="54"/>
        <v>0</v>
      </c>
      <c r="S223" s="40"/>
      <c r="T223" s="13"/>
      <c r="U223" s="50">
        <v>0.05</v>
      </c>
      <c r="V223" s="40">
        <f t="shared" si="55"/>
        <v>375.13199999999995</v>
      </c>
      <c r="W223" s="40">
        <f t="shared" si="55"/>
        <v>125.125</v>
      </c>
      <c r="X223" s="40">
        <f t="shared" si="55"/>
        <v>48.110500000000002</v>
      </c>
      <c r="Y223" s="40">
        <f t="shared" si="55"/>
        <v>42.192000000000007</v>
      </c>
      <c r="Z223" s="40">
        <f t="shared" si="55"/>
        <v>76.780200000000036</v>
      </c>
      <c r="AA223" s="40">
        <f t="shared" si="55"/>
        <v>129.12217500000003</v>
      </c>
      <c r="AB223" s="40">
        <f t="shared" si="55"/>
        <v>83.162100000000009</v>
      </c>
      <c r="AC223" s="40">
        <f t="shared" si="55"/>
        <v>35.298899999999961</v>
      </c>
      <c r="AD223" s="40">
        <f t="shared" si="55"/>
        <v>318.15340000000003</v>
      </c>
      <c r="AE223" s="40">
        <f t="shared" si="55"/>
        <v>576.71445625000001</v>
      </c>
      <c r="AF223" s="40">
        <f t="shared" si="55"/>
        <v>68.943607031250011</v>
      </c>
      <c r="AG223" s="40">
        <f t="shared" si="55"/>
        <v>71.247054785156251</v>
      </c>
      <c r="AH223" s="40">
        <f t="shared" si="56"/>
        <v>1949.9813930664061</v>
      </c>
    </row>
    <row r="224" spans="1:34" outlineLevel="1">
      <c r="A224" s="13" t="s">
        <v>301</v>
      </c>
      <c r="B224" s="13"/>
      <c r="C224" s="13" t="str">
        <f t="shared" si="52"/>
        <v>CE</v>
      </c>
      <c r="D224" s="13"/>
      <c r="E224" s="13"/>
      <c r="F224" s="40">
        <f t="shared" si="53"/>
        <v>0</v>
      </c>
      <c r="G224" s="40">
        <f t="shared" si="53"/>
        <v>0</v>
      </c>
      <c r="H224" s="40">
        <f t="shared" si="53"/>
        <v>0</v>
      </c>
      <c r="I224" s="40">
        <f t="shared" si="53"/>
        <v>0</v>
      </c>
      <c r="J224" s="40">
        <f t="shared" si="53"/>
        <v>0</v>
      </c>
      <c r="K224" s="40">
        <f t="shared" si="53"/>
        <v>0</v>
      </c>
      <c r="L224" s="40">
        <f t="shared" si="53"/>
        <v>0</v>
      </c>
      <c r="M224" s="40">
        <f t="shared" si="53"/>
        <v>0</v>
      </c>
      <c r="N224" s="40">
        <f t="shared" si="53"/>
        <v>0</v>
      </c>
      <c r="O224" s="40">
        <f t="shared" si="53"/>
        <v>0</v>
      </c>
      <c r="P224" s="40">
        <f t="shared" si="53"/>
        <v>0</v>
      </c>
      <c r="Q224" s="40">
        <f t="shared" si="53"/>
        <v>0</v>
      </c>
      <c r="R224" s="40">
        <f t="shared" si="54"/>
        <v>0</v>
      </c>
      <c r="S224" s="40"/>
      <c r="T224" s="13"/>
      <c r="U224" s="50">
        <v>0.05</v>
      </c>
      <c r="V224" s="40">
        <f t="shared" si="55"/>
        <v>1228.9580000000001</v>
      </c>
      <c r="W224" s="40">
        <f t="shared" si="55"/>
        <v>1294.3574999999998</v>
      </c>
      <c r="X224" s="40">
        <f t="shared" si="55"/>
        <v>-16.872</v>
      </c>
      <c r="Y224" s="40">
        <f t="shared" si="55"/>
        <v>1492.8296249999999</v>
      </c>
      <c r="Z224" s="40">
        <f t="shared" si="55"/>
        <v>1441.2127499999999</v>
      </c>
      <c r="AA224" s="40">
        <f t="shared" si="55"/>
        <v>1144.249</v>
      </c>
      <c r="AB224" s="40">
        <f t="shared" si="55"/>
        <v>424.56749999999994</v>
      </c>
      <c r="AC224" s="40">
        <f t="shared" si="55"/>
        <v>1110.307</v>
      </c>
      <c r="AD224" s="40">
        <f t="shared" si="55"/>
        <v>1512.7600000000002</v>
      </c>
      <c r="AE224" s="40">
        <f t="shared" si="55"/>
        <v>638.585355247895</v>
      </c>
      <c r="AF224" s="40">
        <f t="shared" si="55"/>
        <v>800.91521652484198</v>
      </c>
      <c r="AG224" s="40">
        <f t="shared" si="55"/>
        <v>561.21656327654432</v>
      </c>
      <c r="AH224" s="40">
        <f t="shared" si="56"/>
        <v>11633.086510049279</v>
      </c>
    </row>
    <row r="225" spans="1:49" outlineLevel="1">
      <c r="A225" s="13" t="s">
        <v>346</v>
      </c>
      <c r="B225" s="13"/>
      <c r="C225" s="13" t="str">
        <f t="shared" si="52"/>
        <v>CE</v>
      </c>
      <c r="D225" s="13"/>
      <c r="E225" s="13"/>
      <c r="F225" s="40">
        <f t="shared" si="53"/>
        <v>0</v>
      </c>
      <c r="G225" s="40">
        <f t="shared" si="53"/>
        <v>0</v>
      </c>
      <c r="H225" s="40">
        <f t="shared" si="53"/>
        <v>0</v>
      </c>
      <c r="I225" s="40">
        <f t="shared" si="53"/>
        <v>0</v>
      </c>
      <c r="J225" s="40">
        <f t="shared" si="53"/>
        <v>0</v>
      </c>
      <c r="K225" s="40">
        <f t="shared" si="53"/>
        <v>0</v>
      </c>
      <c r="L225" s="40">
        <f t="shared" si="53"/>
        <v>0</v>
      </c>
      <c r="M225" s="40">
        <f t="shared" si="53"/>
        <v>0</v>
      </c>
      <c r="N225" s="40">
        <f t="shared" si="53"/>
        <v>0</v>
      </c>
      <c r="O225" s="40">
        <f t="shared" si="53"/>
        <v>0</v>
      </c>
      <c r="P225" s="40">
        <f t="shared" si="53"/>
        <v>0</v>
      </c>
      <c r="Q225" s="40">
        <f t="shared" si="53"/>
        <v>0</v>
      </c>
      <c r="R225" s="40">
        <f t="shared" si="54"/>
        <v>0</v>
      </c>
      <c r="S225" s="40"/>
      <c r="T225" s="13"/>
      <c r="U225" s="50">
        <v>0.05</v>
      </c>
      <c r="V225" s="40">
        <f t="shared" si="55"/>
        <v>589.51965065502179</v>
      </c>
      <c r="W225" s="40">
        <f t="shared" si="55"/>
        <v>982.53275109170318</v>
      </c>
      <c r="X225" s="40">
        <f t="shared" si="55"/>
        <v>707.42358078602626</v>
      </c>
      <c r="Y225" s="40">
        <f t="shared" si="55"/>
        <v>884.27947598253274</v>
      </c>
      <c r="Z225" s="40">
        <f t="shared" si="55"/>
        <v>1061.1353711790393</v>
      </c>
      <c r="AA225" s="40">
        <f t="shared" si="55"/>
        <v>530.56768558951967</v>
      </c>
      <c r="AB225" s="40">
        <f t="shared" si="55"/>
        <v>707.42358078602626</v>
      </c>
      <c r="AC225" s="40">
        <f t="shared" si="55"/>
        <v>353.71179039301313</v>
      </c>
      <c r="AD225" s="40">
        <f t="shared" si="55"/>
        <v>707.42358078602626</v>
      </c>
      <c r="AE225" s="40">
        <f t="shared" si="55"/>
        <v>1061.1353711790393</v>
      </c>
      <c r="AF225" s="40">
        <f t="shared" si="55"/>
        <v>707.42358078602626</v>
      </c>
      <c r="AG225" s="40">
        <f t="shared" si="55"/>
        <v>707.42358078602626</v>
      </c>
      <c r="AH225" s="40">
        <f t="shared" si="56"/>
        <v>9000</v>
      </c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</row>
    <row r="226" spans="1:49" outlineLevel="1">
      <c r="A226" s="13" t="s">
        <v>413</v>
      </c>
      <c r="B226" s="13"/>
      <c r="C226" s="13" t="str">
        <f t="shared" si="52"/>
        <v>CE</v>
      </c>
      <c r="D226" s="13"/>
      <c r="E226" s="13"/>
      <c r="F226" s="40">
        <f t="shared" si="53"/>
        <v>0</v>
      </c>
      <c r="G226" s="40">
        <f t="shared" si="53"/>
        <v>0</v>
      </c>
      <c r="H226" s="40">
        <f t="shared" si="53"/>
        <v>0</v>
      </c>
      <c r="I226" s="40">
        <f t="shared" si="53"/>
        <v>0</v>
      </c>
      <c r="J226" s="40">
        <f t="shared" si="53"/>
        <v>0</v>
      </c>
      <c r="K226" s="40">
        <f t="shared" si="53"/>
        <v>0</v>
      </c>
      <c r="L226" s="40">
        <f t="shared" si="53"/>
        <v>0</v>
      </c>
      <c r="M226" s="40">
        <f t="shared" si="53"/>
        <v>0</v>
      </c>
      <c r="N226" s="40">
        <f t="shared" si="53"/>
        <v>0</v>
      </c>
      <c r="O226" s="40">
        <f t="shared" si="53"/>
        <v>0</v>
      </c>
      <c r="P226" s="40">
        <f t="shared" si="53"/>
        <v>0</v>
      </c>
      <c r="Q226" s="40">
        <f t="shared" si="53"/>
        <v>0</v>
      </c>
      <c r="R226" s="40">
        <f t="shared" si="54"/>
        <v>0</v>
      </c>
      <c r="S226" s="40"/>
      <c r="T226" s="13"/>
      <c r="U226" s="50">
        <v>0.05</v>
      </c>
      <c r="V226" s="40">
        <f t="shared" si="55"/>
        <v>0</v>
      </c>
      <c r="W226" s="40">
        <f t="shared" si="55"/>
        <v>12375</v>
      </c>
      <c r="X226" s="40">
        <f t="shared" si="55"/>
        <v>2700</v>
      </c>
      <c r="Y226" s="40">
        <f t="shared" si="55"/>
        <v>1800</v>
      </c>
      <c r="Z226" s="40">
        <f t="shared" si="55"/>
        <v>2025</v>
      </c>
      <c r="AA226" s="40">
        <f t="shared" si="55"/>
        <v>1350</v>
      </c>
      <c r="AB226" s="40">
        <f t="shared" si="55"/>
        <v>1125</v>
      </c>
      <c r="AC226" s="40">
        <f t="shared" si="55"/>
        <v>1350</v>
      </c>
      <c r="AD226" s="40">
        <f t="shared" si="55"/>
        <v>900</v>
      </c>
      <c r="AE226" s="40">
        <f t="shared" si="55"/>
        <v>1800</v>
      </c>
      <c r="AF226" s="40">
        <f t="shared" si="55"/>
        <v>900</v>
      </c>
      <c r="AG226" s="40">
        <f t="shared" si="55"/>
        <v>900</v>
      </c>
      <c r="AH226" s="40">
        <f t="shared" si="56"/>
        <v>27225</v>
      </c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</row>
    <row r="227" spans="1:49" outlineLevel="1">
      <c r="A227" s="13" t="s">
        <v>353</v>
      </c>
      <c r="B227" s="13"/>
      <c r="C227" s="13" t="str">
        <f t="shared" si="52"/>
        <v>UK</v>
      </c>
      <c r="D227" s="13"/>
      <c r="E227" s="13"/>
      <c r="F227" s="40">
        <f t="shared" si="53"/>
        <v>0</v>
      </c>
      <c r="G227" s="40">
        <f t="shared" si="53"/>
        <v>0</v>
      </c>
      <c r="H227" s="40">
        <f t="shared" si="53"/>
        <v>0</v>
      </c>
      <c r="I227" s="40">
        <f t="shared" si="53"/>
        <v>0</v>
      </c>
      <c r="J227" s="40">
        <f t="shared" si="53"/>
        <v>0</v>
      </c>
      <c r="K227" s="40">
        <f t="shared" si="53"/>
        <v>0</v>
      </c>
      <c r="L227" s="40">
        <f t="shared" si="53"/>
        <v>0</v>
      </c>
      <c r="M227" s="40">
        <f t="shared" si="53"/>
        <v>0</v>
      </c>
      <c r="N227" s="40">
        <f t="shared" si="53"/>
        <v>0</v>
      </c>
      <c r="O227" s="40">
        <f t="shared" si="53"/>
        <v>0</v>
      </c>
      <c r="P227" s="40">
        <f t="shared" si="53"/>
        <v>0</v>
      </c>
      <c r="Q227" s="40">
        <f t="shared" si="53"/>
        <v>0</v>
      </c>
      <c r="R227" s="40">
        <f t="shared" si="54"/>
        <v>0</v>
      </c>
      <c r="S227" s="40"/>
      <c r="T227" s="13"/>
      <c r="U227" s="13"/>
      <c r="V227" s="40">
        <f t="shared" si="55"/>
        <v>0</v>
      </c>
      <c r="W227" s="40">
        <f t="shared" si="55"/>
        <v>0</v>
      </c>
      <c r="X227" s="40">
        <f t="shared" si="55"/>
        <v>0</v>
      </c>
      <c r="Y227" s="40">
        <f t="shared" si="55"/>
        <v>0</v>
      </c>
      <c r="Z227" s="40">
        <f t="shared" si="55"/>
        <v>0</v>
      </c>
      <c r="AA227" s="40">
        <f t="shared" si="55"/>
        <v>0</v>
      </c>
      <c r="AB227" s="40">
        <f t="shared" si="55"/>
        <v>0</v>
      </c>
      <c r="AC227" s="40">
        <f t="shared" si="55"/>
        <v>0</v>
      </c>
      <c r="AD227" s="40">
        <f t="shared" si="55"/>
        <v>0</v>
      </c>
      <c r="AE227" s="40">
        <f t="shared" si="55"/>
        <v>0</v>
      </c>
      <c r="AF227" s="40">
        <f t="shared" si="55"/>
        <v>0</v>
      </c>
      <c r="AG227" s="40">
        <f t="shared" si="55"/>
        <v>0</v>
      </c>
      <c r="AH227" s="40">
        <f t="shared" si="56"/>
        <v>0</v>
      </c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</row>
    <row r="228" spans="1:49" outlineLevel="1">
      <c r="A228" s="11" t="s">
        <v>207</v>
      </c>
      <c r="B228" s="11"/>
      <c r="C228" s="11"/>
      <c r="D228" s="11"/>
      <c r="E228" s="11"/>
      <c r="F228" s="43">
        <f t="shared" ref="F228:Q228" si="57">SUM(F214:F227)</f>
        <v>0</v>
      </c>
      <c r="G228" s="43">
        <f t="shared" si="57"/>
        <v>0</v>
      </c>
      <c r="H228" s="43">
        <f t="shared" si="57"/>
        <v>0</v>
      </c>
      <c r="I228" s="43">
        <f t="shared" si="57"/>
        <v>0</v>
      </c>
      <c r="J228" s="43">
        <f t="shared" si="57"/>
        <v>0</v>
      </c>
      <c r="K228" s="43">
        <f t="shared" si="57"/>
        <v>0</v>
      </c>
      <c r="L228" s="43">
        <f t="shared" si="57"/>
        <v>0</v>
      </c>
      <c r="M228" s="43">
        <f t="shared" si="57"/>
        <v>0</v>
      </c>
      <c r="N228" s="43">
        <f t="shared" si="57"/>
        <v>0</v>
      </c>
      <c r="O228" s="43">
        <f t="shared" si="57"/>
        <v>0</v>
      </c>
      <c r="P228" s="43">
        <f t="shared" si="57"/>
        <v>0</v>
      </c>
      <c r="Q228" s="43">
        <f t="shared" si="57"/>
        <v>0</v>
      </c>
      <c r="R228" s="43">
        <f t="shared" si="54"/>
        <v>0</v>
      </c>
      <c r="S228" s="40"/>
      <c r="T228" s="13"/>
      <c r="U228" s="13"/>
      <c r="V228" s="43">
        <f t="shared" ref="V228:AG228" si="58">SUM(V214:V227)</f>
        <v>20087.347745655021</v>
      </c>
      <c r="W228" s="43">
        <f t="shared" si="58"/>
        <v>29788.472371091702</v>
      </c>
      <c r="X228" s="43">
        <f t="shared" si="58"/>
        <v>16327.372940786028</v>
      </c>
      <c r="Y228" s="43">
        <f t="shared" si="58"/>
        <v>19750.920290982533</v>
      </c>
      <c r="Z228" s="43">
        <f t="shared" si="58"/>
        <v>22666.091821179038</v>
      </c>
      <c r="AA228" s="43">
        <f t="shared" si="58"/>
        <v>15180.090480589521</v>
      </c>
      <c r="AB228" s="43">
        <f t="shared" si="58"/>
        <v>20086.69748578603</v>
      </c>
      <c r="AC228" s="43">
        <f t="shared" si="58"/>
        <v>20606.424280393017</v>
      </c>
      <c r="AD228" s="43">
        <f t="shared" si="58"/>
        <v>32687.676170786031</v>
      </c>
      <c r="AE228" s="43">
        <f t="shared" si="58"/>
        <v>26794.246764512638</v>
      </c>
      <c r="AF228" s="43">
        <f t="shared" si="58"/>
        <v>21347.131164636936</v>
      </c>
      <c r="AG228" s="43">
        <f t="shared" si="58"/>
        <v>20946.190090828517</v>
      </c>
      <c r="AH228" s="43">
        <f t="shared" si="56"/>
        <v>266268.661607227</v>
      </c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</row>
    <row r="229" spans="1:49" outlineLevel="1">
      <c r="A229" s="13"/>
      <c r="B229" s="13"/>
      <c r="C229" s="13"/>
      <c r="D229" s="13"/>
      <c r="E229" s="13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</row>
    <row r="230" spans="1:49" outlineLevel="1">
      <c r="A230" s="13"/>
      <c r="B230" s="13"/>
      <c r="C230" s="13"/>
      <c r="D230" s="13"/>
      <c r="E230" s="13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</row>
    <row r="231" spans="1:49" ht="24" customHeight="1">
      <c r="A231" s="182" t="s">
        <v>385</v>
      </c>
      <c r="B231" s="13"/>
      <c r="C231" s="183" t="s">
        <v>219</v>
      </c>
      <c r="D231" s="13"/>
      <c r="E231" s="13"/>
      <c r="F231" s="179">
        <v>45716</v>
      </c>
      <c r="G231" s="179">
        <v>45747</v>
      </c>
      <c r="H231" s="179">
        <v>45777</v>
      </c>
      <c r="I231" s="179">
        <v>45808</v>
      </c>
      <c r="J231" s="179">
        <v>45838</v>
      </c>
      <c r="K231" s="179">
        <v>45869</v>
      </c>
      <c r="L231" s="179">
        <v>45900</v>
      </c>
      <c r="M231" s="179">
        <v>45930</v>
      </c>
      <c r="N231" s="179">
        <v>45961</v>
      </c>
      <c r="O231" s="179">
        <v>45991</v>
      </c>
      <c r="P231" s="179">
        <v>46022</v>
      </c>
      <c r="Q231" s="179">
        <v>46053</v>
      </c>
      <c r="R231" s="179" t="s">
        <v>222</v>
      </c>
      <c r="S231" s="34"/>
      <c r="T231" s="13"/>
      <c r="U231" s="34"/>
      <c r="V231" s="179">
        <v>46054</v>
      </c>
      <c r="W231" s="179">
        <v>46082</v>
      </c>
      <c r="X231" s="179">
        <v>46113</v>
      </c>
      <c r="Y231" s="179">
        <v>46143</v>
      </c>
      <c r="Z231" s="179">
        <v>46174</v>
      </c>
      <c r="AA231" s="179">
        <v>46204</v>
      </c>
      <c r="AB231" s="179">
        <v>46235</v>
      </c>
      <c r="AC231" s="179">
        <v>46266</v>
      </c>
      <c r="AD231" s="179">
        <v>46296</v>
      </c>
      <c r="AE231" s="179">
        <v>46327</v>
      </c>
      <c r="AF231" s="179">
        <v>46357</v>
      </c>
      <c r="AG231" s="179">
        <v>46388</v>
      </c>
      <c r="AH231" s="179" t="s">
        <v>224</v>
      </c>
      <c r="AI231" s="34"/>
      <c r="AJ231" s="34"/>
      <c r="AK231" s="179">
        <v>46419</v>
      </c>
      <c r="AL231" s="179">
        <v>46447</v>
      </c>
      <c r="AM231" s="179">
        <v>46478</v>
      </c>
      <c r="AN231" s="179">
        <v>46508</v>
      </c>
      <c r="AO231" s="179">
        <v>46539</v>
      </c>
      <c r="AP231" s="179">
        <v>46569</v>
      </c>
      <c r="AQ231" s="179">
        <v>46600</v>
      </c>
      <c r="AR231" s="179">
        <v>46631</v>
      </c>
      <c r="AS231" s="179">
        <v>46661</v>
      </c>
      <c r="AT231" s="179">
        <v>46692</v>
      </c>
      <c r="AU231" s="179">
        <v>46722</v>
      </c>
      <c r="AV231" s="179">
        <v>46753</v>
      </c>
      <c r="AW231" s="179" t="s">
        <v>225</v>
      </c>
    </row>
    <row r="233" spans="1:49">
      <c r="A233" s="17"/>
      <c r="B233" s="13"/>
      <c r="C233" s="41" t="s">
        <v>65</v>
      </c>
      <c r="D233" s="13"/>
      <c r="E233" s="13"/>
      <c r="F233" s="171">
        <f t="shared" ref="F233:Q233" si="59">SUMIF($C$4:$C$99,$C$233,F4:F99)</f>
        <v>124448.01999999999</v>
      </c>
      <c r="G233" s="171">
        <f t="shared" si="59"/>
        <v>121054.39</v>
      </c>
      <c r="H233" s="171">
        <f t="shared" si="59"/>
        <v>16647.439999999999</v>
      </c>
      <c r="I233" s="171">
        <f t="shared" si="59"/>
        <v>131427.44</v>
      </c>
      <c r="J233" s="171">
        <f t="shared" si="59"/>
        <v>144056.04</v>
      </c>
      <c r="K233" s="171">
        <f t="shared" si="59"/>
        <v>86666.42</v>
      </c>
      <c r="L233" s="171">
        <f t="shared" si="59"/>
        <v>61612.689999999995</v>
      </c>
      <c r="M233" s="171">
        <f t="shared" si="59"/>
        <v>39150.720000000001</v>
      </c>
      <c r="N233" s="171">
        <f t="shared" si="59"/>
        <v>53530.600000000006</v>
      </c>
      <c r="O233" s="171">
        <f t="shared" si="59"/>
        <v>188752.22412345745</v>
      </c>
      <c r="P233" s="171">
        <f t="shared" si="59"/>
        <v>70349.521343906948</v>
      </c>
      <c r="Q233" s="171">
        <f t="shared" si="59"/>
        <v>103492.740658792</v>
      </c>
      <c r="R233" s="21">
        <f>SUM(F233:Q233)</f>
        <v>1141188.2461261563</v>
      </c>
      <c r="S233" s="13"/>
      <c r="T233" s="13"/>
      <c r="U233" s="41" t="s">
        <v>65</v>
      </c>
      <c r="V233" s="171">
        <f t="shared" ref="V233:AG233" si="60">SUMIF($C$4:$C$99,$C$233,V4:V99)</f>
        <v>90721.873013100427</v>
      </c>
      <c r="W233" s="171">
        <f t="shared" si="60"/>
        <v>372558.67502183409</v>
      </c>
      <c r="X233" s="171">
        <f t="shared" si="60"/>
        <v>138349.35161572054</v>
      </c>
      <c r="Y233" s="171">
        <f t="shared" si="60"/>
        <v>136541.24201965064</v>
      </c>
      <c r="Z233" s="171">
        <f t="shared" si="60"/>
        <v>188492.83567358079</v>
      </c>
      <c r="AA233" s="171">
        <f t="shared" si="60"/>
        <v>105804.31371179038</v>
      </c>
      <c r="AB233" s="171">
        <f t="shared" si="60"/>
        <v>95365.267365720531</v>
      </c>
      <c r="AC233" s="171">
        <f t="shared" si="60"/>
        <v>112911.67455786026</v>
      </c>
      <c r="AD233" s="171">
        <f t="shared" si="60"/>
        <v>139001.82986572053</v>
      </c>
      <c r="AE233" s="171">
        <f t="shared" si="60"/>
        <v>158604.13126790454</v>
      </c>
      <c r="AF233" s="171">
        <f t="shared" si="60"/>
        <v>106924.65638887839</v>
      </c>
      <c r="AG233" s="171">
        <f t="shared" si="60"/>
        <v>101237.04323427135</v>
      </c>
      <c r="AH233" s="21">
        <f>SUM(V233:AG233)</f>
        <v>1746512.8937360323</v>
      </c>
      <c r="AI233" s="41" t="s">
        <v>65</v>
      </c>
      <c r="AJ233" s="41"/>
      <c r="AK233" s="171">
        <f t="shared" ref="AK233:AV233" si="61">SUMIF($C$4:$C$99,$C$233,AK4:AK99)</f>
        <v>99242.02</v>
      </c>
      <c r="AL233" s="171">
        <f t="shared" si="61"/>
        <v>73676.53</v>
      </c>
      <c r="AM233" s="171">
        <f t="shared" si="61"/>
        <v>25277.879999999997</v>
      </c>
      <c r="AN233" s="171">
        <f t="shared" si="61"/>
        <v>96556.08</v>
      </c>
      <c r="AO233" s="171">
        <f t="shared" si="61"/>
        <v>107470.59000000001</v>
      </c>
      <c r="AP233" s="171">
        <f t="shared" si="61"/>
        <v>68245.42</v>
      </c>
      <c r="AQ233" s="171">
        <f t="shared" si="61"/>
        <v>56603.599999999991</v>
      </c>
      <c r="AR233" s="171">
        <f t="shared" si="61"/>
        <v>34311.56</v>
      </c>
      <c r="AS233" s="171">
        <f t="shared" si="61"/>
        <v>98570.084764401894</v>
      </c>
      <c r="AT233" s="171">
        <f t="shared" si="61"/>
        <v>112865.20567454457</v>
      </c>
      <c r="AU233" s="171">
        <f t="shared" si="61"/>
        <v>102330.60023530746</v>
      </c>
      <c r="AV233" s="171">
        <f t="shared" si="61"/>
        <v>83031.398096189208</v>
      </c>
      <c r="AW233" s="21">
        <f>SUM(AK233:AV233)</f>
        <v>958180.96877044311</v>
      </c>
    </row>
    <row r="234" spans="1:49">
      <c r="A234" s="13"/>
      <c r="B234" s="13"/>
      <c r="C234" s="41" t="s">
        <v>67</v>
      </c>
      <c r="D234" s="13"/>
      <c r="E234" s="13"/>
      <c r="F234" s="171">
        <f t="shared" ref="F234:Q234" si="62">SUMIF($C$4:$C$99,$C$234,F4:F99)</f>
        <v>171532.06</v>
      </c>
      <c r="G234" s="171">
        <f t="shared" si="62"/>
        <v>77393.98</v>
      </c>
      <c r="H234" s="171">
        <f t="shared" si="62"/>
        <v>7268.6400000000012</v>
      </c>
      <c r="I234" s="171">
        <f t="shared" si="62"/>
        <v>47841.929999999993</v>
      </c>
      <c r="J234" s="171">
        <f t="shared" si="62"/>
        <v>10718.7</v>
      </c>
      <c r="K234" s="171">
        <f t="shared" si="62"/>
        <v>100741.6</v>
      </c>
      <c r="L234" s="171">
        <f t="shared" si="62"/>
        <v>78635.420000000013</v>
      </c>
      <c r="M234" s="171">
        <f t="shared" si="62"/>
        <v>167223.87999999998</v>
      </c>
      <c r="N234" s="171">
        <f t="shared" si="62"/>
        <v>-3209.6</v>
      </c>
      <c r="O234" s="171">
        <f t="shared" si="62"/>
        <v>15000</v>
      </c>
      <c r="P234" s="171">
        <f t="shared" si="62"/>
        <v>248000</v>
      </c>
      <c r="Q234" s="171">
        <f t="shared" si="62"/>
        <v>72000</v>
      </c>
      <c r="R234" s="21">
        <f>SUM(F234:Q234)</f>
        <v>993146.6100000001</v>
      </c>
      <c r="S234" s="13"/>
      <c r="T234" s="13"/>
      <c r="U234" s="41" t="s">
        <v>67</v>
      </c>
      <c r="V234" s="171">
        <f t="shared" ref="V234:AG234" si="63">SUMIF($C$4:$C$99,$C$234,V4:V99)</f>
        <v>715.68</v>
      </c>
      <c r="W234" s="171">
        <f t="shared" si="63"/>
        <v>52340.244000000006</v>
      </c>
      <c r="X234" s="171">
        <f t="shared" si="63"/>
        <v>135000</v>
      </c>
      <c r="Y234" s="171">
        <f t="shared" si="63"/>
        <v>118061.504</v>
      </c>
      <c r="Z234" s="171">
        <f t="shared" si="63"/>
        <v>84862.44</v>
      </c>
      <c r="AA234" s="171">
        <f t="shared" si="63"/>
        <v>79897.64</v>
      </c>
      <c r="AB234" s="171">
        <f t="shared" si="63"/>
        <v>96313.063999999998</v>
      </c>
      <c r="AC234" s="171">
        <f t="shared" si="63"/>
        <v>99426.73599999999</v>
      </c>
      <c r="AD234" s="171">
        <f t="shared" si="63"/>
        <v>80000</v>
      </c>
      <c r="AE234" s="171">
        <f t="shared" si="63"/>
        <v>20000</v>
      </c>
      <c r="AF234" s="171">
        <f t="shared" si="63"/>
        <v>2000</v>
      </c>
      <c r="AG234" s="171">
        <f t="shared" si="63"/>
        <v>2000</v>
      </c>
      <c r="AH234" s="21">
        <f>SUM(V234:AG234)</f>
        <v>770617.30800000008</v>
      </c>
      <c r="AI234" s="41" t="s">
        <v>67</v>
      </c>
      <c r="AJ234" s="41"/>
      <c r="AK234" s="171">
        <f t="shared" ref="AK234:AV234" si="64">SUMIF($C$4:$C$99,$C$234,AK4:AK99)</f>
        <v>193673.1</v>
      </c>
      <c r="AL234" s="171">
        <f t="shared" si="64"/>
        <v>86903.9</v>
      </c>
      <c r="AM234" s="171">
        <f t="shared" si="64"/>
        <v>31173.040000000001</v>
      </c>
      <c r="AN234" s="171">
        <f t="shared" si="64"/>
        <v>72841.929999999993</v>
      </c>
      <c r="AO234" s="171">
        <f t="shared" si="64"/>
        <v>35718.699999999997</v>
      </c>
      <c r="AP234" s="171">
        <f t="shared" si="64"/>
        <v>135906.5</v>
      </c>
      <c r="AQ234" s="171">
        <f t="shared" si="64"/>
        <v>103635.42000000001</v>
      </c>
      <c r="AR234" s="171">
        <f t="shared" si="64"/>
        <v>192223.87999999998</v>
      </c>
      <c r="AS234" s="171">
        <f t="shared" si="64"/>
        <v>109025.26169606483</v>
      </c>
      <c r="AT234" s="171">
        <f t="shared" si="64"/>
        <v>121931.14094278765</v>
      </c>
      <c r="AU234" s="171">
        <f t="shared" si="64"/>
        <v>112420.31927396228</v>
      </c>
      <c r="AV234" s="171">
        <f t="shared" si="64"/>
        <v>94996.670049083594</v>
      </c>
      <c r="AW234" s="21">
        <f>SUM(AK234:AV234)</f>
        <v>1290449.8619618984</v>
      </c>
    </row>
    <row r="235" spans="1:49">
      <c r="A235" s="13"/>
      <c r="B235" s="13"/>
      <c r="C235" s="41" t="s">
        <v>66</v>
      </c>
      <c r="D235" s="13"/>
      <c r="E235" s="13"/>
      <c r="F235" s="171">
        <f t="shared" ref="F235:Q235" si="65">SUMIF($C$4:$C$99,$C$235,F4:F99)</f>
        <v>57365.08</v>
      </c>
      <c r="G235" s="171">
        <f t="shared" si="65"/>
        <v>72274.25</v>
      </c>
      <c r="H235" s="171">
        <f t="shared" si="65"/>
        <v>41709.25</v>
      </c>
      <c r="I235" s="171">
        <f t="shared" si="65"/>
        <v>56168.880000000005</v>
      </c>
      <c r="J235" s="171">
        <f t="shared" si="65"/>
        <v>20555.400000000001</v>
      </c>
      <c r="K235" s="171">
        <f t="shared" si="65"/>
        <v>38808.58</v>
      </c>
      <c r="L235" s="171">
        <f t="shared" si="65"/>
        <v>81003.820000000007</v>
      </c>
      <c r="M235" s="171">
        <f t="shared" si="65"/>
        <v>31392.78</v>
      </c>
      <c r="N235" s="171">
        <f t="shared" si="65"/>
        <v>79859.33</v>
      </c>
      <c r="O235" s="171">
        <f t="shared" si="65"/>
        <v>146621.02840644537</v>
      </c>
      <c r="P235" s="171">
        <f t="shared" si="65"/>
        <v>50556.439344010352</v>
      </c>
      <c r="Q235" s="171">
        <f t="shared" si="65"/>
        <v>100613.14533975294</v>
      </c>
      <c r="R235" s="21">
        <f>SUM(F235:Q235)</f>
        <v>776927.98309020861</v>
      </c>
      <c r="S235" s="13"/>
      <c r="T235" s="13"/>
      <c r="U235" s="41" t="s">
        <v>66</v>
      </c>
      <c r="V235" s="171">
        <f t="shared" ref="V235:AG235" si="66">SUMIF($C$4:$C$99,$C$235,V4:V99)</f>
        <v>31500</v>
      </c>
      <c r="W235" s="171">
        <f t="shared" si="66"/>
        <v>76319.399999999994</v>
      </c>
      <c r="X235" s="171">
        <f t="shared" si="66"/>
        <v>59838.6</v>
      </c>
      <c r="Y235" s="171">
        <f t="shared" si="66"/>
        <v>71727</v>
      </c>
      <c r="Z235" s="171">
        <f t="shared" si="66"/>
        <v>52500</v>
      </c>
      <c r="AA235" s="171">
        <f t="shared" si="66"/>
        <v>39542.6</v>
      </c>
      <c r="AB235" s="171">
        <f t="shared" si="66"/>
        <v>55448.800000000003</v>
      </c>
      <c r="AC235" s="171">
        <f t="shared" si="66"/>
        <v>45000</v>
      </c>
      <c r="AD235" s="171">
        <f t="shared" si="66"/>
        <v>73624.100000000006</v>
      </c>
      <c r="AE235" s="171">
        <f t="shared" si="66"/>
        <v>107500</v>
      </c>
      <c r="AF235" s="171">
        <f t="shared" si="66"/>
        <v>25500</v>
      </c>
      <c r="AG235" s="171">
        <f t="shared" si="66"/>
        <v>55227.401217727871</v>
      </c>
      <c r="AH235" s="21">
        <f>SUM(V235:AG235)</f>
        <v>693727.90121772792</v>
      </c>
      <c r="AI235" s="41" t="s">
        <v>66</v>
      </c>
      <c r="AJ235" s="41"/>
      <c r="AK235" s="171">
        <f t="shared" ref="AK235:AV235" si="67">SUMIF($C$4:$C$99,$C$235,AK4:AK99)</f>
        <v>80908.36</v>
      </c>
      <c r="AL235" s="171">
        <f t="shared" si="67"/>
        <v>97187.97</v>
      </c>
      <c r="AM235" s="171">
        <f t="shared" si="67"/>
        <v>65257.919999999998</v>
      </c>
      <c r="AN235" s="171">
        <f t="shared" si="67"/>
        <v>80738.61</v>
      </c>
      <c r="AO235" s="171">
        <f t="shared" si="67"/>
        <v>43392.130000000005</v>
      </c>
      <c r="AP235" s="171">
        <f t="shared" si="67"/>
        <v>65979.990000000005</v>
      </c>
      <c r="AQ235" s="171">
        <f t="shared" si="67"/>
        <v>109003.82</v>
      </c>
      <c r="AR235" s="171">
        <f t="shared" si="67"/>
        <v>57963.13</v>
      </c>
      <c r="AS235" s="171">
        <f t="shared" si="67"/>
        <v>106065.55542599861</v>
      </c>
      <c r="AT235" s="171">
        <f t="shared" si="67"/>
        <v>118056.05222802724</v>
      </c>
      <c r="AU235" s="171">
        <f t="shared" si="67"/>
        <v>109219.80987486301</v>
      </c>
      <c r="AV235" s="171">
        <f t="shared" si="67"/>
        <v>93031.977467890276</v>
      </c>
      <c r="AW235" s="21">
        <f>SUM(AK235:AV235)</f>
        <v>1026805.3249967792</v>
      </c>
    </row>
    <row r="236" spans="1:49">
      <c r="A236" s="13"/>
      <c r="B236" s="13"/>
      <c r="C236" s="41" t="s">
        <v>64</v>
      </c>
      <c r="D236" s="13"/>
      <c r="E236" s="13"/>
      <c r="F236" s="171">
        <f t="shared" ref="F236:Q236" si="68">SUMIF($C$4:$C$99,$C$236,F4:F99)</f>
        <v>311253.27000000008</v>
      </c>
      <c r="G236" s="171">
        <f t="shared" si="68"/>
        <v>241135.69</v>
      </c>
      <c r="H236" s="171">
        <f t="shared" si="68"/>
        <v>223646.01999999996</v>
      </c>
      <c r="I236" s="171">
        <f t="shared" si="68"/>
        <v>283789.46999999991</v>
      </c>
      <c r="J236" s="171">
        <f t="shared" si="68"/>
        <v>417339.74000000005</v>
      </c>
      <c r="K236" s="171">
        <f t="shared" si="68"/>
        <v>192153.56</v>
      </c>
      <c r="L236" s="171">
        <f t="shared" si="68"/>
        <v>108514.27999999998</v>
      </c>
      <c r="M236" s="171">
        <f t="shared" si="68"/>
        <v>268455.7</v>
      </c>
      <c r="N236" s="171">
        <f t="shared" si="68"/>
        <v>563515.59999999986</v>
      </c>
      <c r="O236" s="171">
        <f t="shared" si="68"/>
        <v>408131.7109313088</v>
      </c>
      <c r="P236" s="171">
        <f t="shared" si="68"/>
        <v>338414.01930568775</v>
      </c>
      <c r="Q236" s="171">
        <f t="shared" si="68"/>
        <v>350527.01964780467</v>
      </c>
      <c r="R236" s="21">
        <f>SUM(F236:Q236)</f>
        <v>3706876.0798848011</v>
      </c>
      <c r="S236" s="13"/>
      <c r="T236" s="13"/>
      <c r="U236" s="41" t="s">
        <v>64</v>
      </c>
      <c r="V236" s="171">
        <f t="shared" ref="V236:AG236" si="69">SUMIF($C$4:$C$99,$C$236,V4:V99)</f>
        <v>336213.29440000001</v>
      </c>
      <c r="W236" s="171">
        <f t="shared" si="69"/>
        <v>239303.09390000001</v>
      </c>
      <c r="X236" s="171">
        <f t="shared" si="69"/>
        <v>202344.05219999998</v>
      </c>
      <c r="Y236" s="171">
        <f t="shared" si="69"/>
        <v>230865.43179999999</v>
      </c>
      <c r="Z236" s="171">
        <f t="shared" si="69"/>
        <v>314599.55399999995</v>
      </c>
      <c r="AA236" s="171">
        <f t="shared" si="69"/>
        <v>222843.34839999996</v>
      </c>
      <c r="AB236" s="171">
        <f t="shared" si="69"/>
        <v>299942.37010000006</v>
      </c>
      <c r="AC236" s="171">
        <f t="shared" si="69"/>
        <v>363752.08179999993</v>
      </c>
      <c r="AD236" s="171">
        <f t="shared" si="69"/>
        <v>518716.78280000004</v>
      </c>
      <c r="AE236" s="171">
        <f t="shared" si="69"/>
        <v>361628.60126171395</v>
      </c>
      <c r="AF236" s="171">
        <f t="shared" si="69"/>
        <v>347613.92647152126</v>
      </c>
      <c r="AG236" s="171">
        <f t="shared" si="69"/>
        <v>311778.25860821595</v>
      </c>
      <c r="AH236" s="21">
        <f>SUM(V236:AG236)</f>
        <v>3749600.795741451</v>
      </c>
      <c r="AI236" s="41" t="s">
        <v>64</v>
      </c>
      <c r="AJ236" s="41"/>
      <c r="AK236" s="171">
        <f t="shared" ref="AK236:AV236" si="70">SUMIF($C$4:$C$99,$C$236,AK4:AK99)</f>
        <v>331435.99000000005</v>
      </c>
      <c r="AL236" s="171">
        <f t="shared" si="70"/>
        <v>252726.31</v>
      </c>
      <c r="AM236" s="171">
        <f t="shared" si="70"/>
        <v>238179.61999999997</v>
      </c>
      <c r="AN236" s="171">
        <f t="shared" si="70"/>
        <v>300903.54999999993</v>
      </c>
      <c r="AO236" s="171">
        <f t="shared" si="70"/>
        <v>51907.25</v>
      </c>
      <c r="AP236" s="171">
        <f t="shared" si="70"/>
        <v>213443.76</v>
      </c>
      <c r="AQ236" s="171">
        <f t="shared" si="70"/>
        <v>129735.07999999999</v>
      </c>
      <c r="AR236" s="171">
        <f t="shared" si="70"/>
        <v>281630.90000000002</v>
      </c>
      <c r="AS236" s="171">
        <f t="shared" si="70"/>
        <v>502377.87999928679</v>
      </c>
      <c r="AT236" s="171">
        <f t="shared" si="70"/>
        <v>576161.63011116348</v>
      </c>
      <c r="AU236" s="171">
        <f t="shared" si="70"/>
        <v>521787.64473938593</v>
      </c>
      <c r="AV236" s="171">
        <f t="shared" si="70"/>
        <v>422175.51015569293</v>
      </c>
      <c r="AW236" s="21">
        <f>SUM(AK236:AV236)</f>
        <v>3822465.1250055293</v>
      </c>
    </row>
    <row r="238" spans="1:49">
      <c r="A238" s="13"/>
      <c r="B238" s="13"/>
      <c r="C238" s="13"/>
      <c r="D238" s="13"/>
      <c r="E238" s="13"/>
      <c r="F238" s="21">
        <f t="shared" ref="F238:Q238" si="71">SUM(F233:F236)</f>
        <v>664598.43000000005</v>
      </c>
      <c r="G238" s="21">
        <f t="shared" si="71"/>
        <v>511858.31</v>
      </c>
      <c r="H238" s="21">
        <f t="shared" si="71"/>
        <v>289271.34999999998</v>
      </c>
      <c r="I238" s="21">
        <f t="shared" si="71"/>
        <v>519227.71999999991</v>
      </c>
      <c r="J238" s="21">
        <f t="shared" si="71"/>
        <v>592669.88000000012</v>
      </c>
      <c r="K238" s="21">
        <f t="shared" si="71"/>
        <v>418370.16000000003</v>
      </c>
      <c r="L238" s="21">
        <f t="shared" si="71"/>
        <v>329766.21000000002</v>
      </c>
      <c r="M238" s="21">
        <f t="shared" si="71"/>
        <v>506223.07999999996</v>
      </c>
      <c r="N238" s="21">
        <f t="shared" si="71"/>
        <v>693695.92999999993</v>
      </c>
      <c r="O238" s="21">
        <f t="shared" si="71"/>
        <v>758504.96346121165</v>
      </c>
      <c r="P238" s="21">
        <f t="shared" si="71"/>
        <v>707319.97999360505</v>
      </c>
      <c r="Q238" s="21">
        <f t="shared" si="71"/>
        <v>626632.90564634954</v>
      </c>
      <c r="R238" s="21">
        <f>SUM(F238:Q238)</f>
        <v>6618138.9191011665</v>
      </c>
      <c r="S238" s="13"/>
      <c r="T238" s="13"/>
      <c r="U238" s="13"/>
      <c r="V238" s="21">
        <f t="shared" ref="V238:AG238" si="72">SUM(V233:V236)</f>
        <v>459150.84741310042</v>
      </c>
      <c r="W238" s="21">
        <f t="shared" si="72"/>
        <v>740521.41292183404</v>
      </c>
      <c r="X238" s="21">
        <f t="shared" si="72"/>
        <v>535532.00381572056</v>
      </c>
      <c r="Y238" s="21">
        <f t="shared" si="72"/>
        <v>557195.17781965062</v>
      </c>
      <c r="Z238" s="21">
        <f t="shared" si="72"/>
        <v>640454.82967358083</v>
      </c>
      <c r="AA238" s="21">
        <f t="shared" si="72"/>
        <v>448087.90211179038</v>
      </c>
      <c r="AB238" s="21">
        <f t="shared" si="72"/>
        <v>547069.50146572059</v>
      </c>
      <c r="AC238" s="21">
        <f t="shared" si="72"/>
        <v>621090.4923578602</v>
      </c>
      <c r="AD238" s="21">
        <f t="shared" si="72"/>
        <v>811342.71266572061</v>
      </c>
      <c r="AE238" s="21">
        <f t="shared" si="72"/>
        <v>647732.73252961854</v>
      </c>
      <c r="AF238" s="21">
        <f t="shared" si="72"/>
        <v>482038.58286039962</v>
      </c>
      <c r="AG238" s="21">
        <f t="shared" si="72"/>
        <v>470242.70306021516</v>
      </c>
      <c r="AH238" s="21">
        <f>SUM(V238:AG238)</f>
        <v>6960458.8986952119</v>
      </c>
      <c r="AI238" s="13"/>
      <c r="AJ238" s="13"/>
      <c r="AK238" s="21">
        <f t="shared" ref="AK238:AV238" si="73">SUM(AK233:AK236)</f>
        <v>705259.47</v>
      </c>
      <c r="AL238" s="21">
        <f t="shared" si="73"/>
        <v>510494.70999999996</v>
      </c>
      <c r="AM238" s="21">
        <f t="shared" si="73"/>
        <v>359888.45999999996</v>
      </c>
      <c r="AN238" s="21">
        <f t="shared" si="73"/>
        <v>551040.16999999993</v>
      </c>
      <c r="AO238" s="21">
        <f t="shared" si="73"/>
        <v>238488.67</v>
      </c>
      <c r="AP238" s="21">
        <f t="shared" si="73"/>
        <v>483575.67</v>
      </c>
      <c r="AQ238" s="21">
        <f t="shared" si="73"/>
        <v>398977.92000000004</v>
      </c>
      <c r="AR238" s="21">
        <f t="shared" si="73"/>
        <v>566129.47</v>
      </c>
      <c r="AS238" s="21">
        <f t="shared" si="73"/>
        <v>816038.78188575222</v>
      </c>
      <c r="AT238" s="21">
        <f t="shared" si="73"/>
        <v>929014.02895652293</v>
      </c>
      <c r="AU238" s="21">
        <f t="shared" si="73"/>
        <v>845758.3741235187</v>
      </c>
      <c r="AV238" s="21">
        <f t="shared" si="73"/>
        <v>693235.55576885596</v>
      </c>
      <c r="AW238" s="21">
        <f>SUM(AK238:AV238)</f>
        <v>7097901.2807346489</v>
      </c>
    </row>
    <row r="241" spans="25:47">
      <c r="Y241" s="13"/>
      <c r="Z241" s="13" t="s">
        <v>925</v>
      </c>
      <c r="AA241" s="13" t="s">
        <v>926</v>
      </c>
      <c r="AB241" s="13" t="s">
        <v>75</v>
      </c>
      <c r="AC241" s="13" t="s">
        <v>927</v>
      </c>
      <c r="AD241" s="13" t="s">
        <v>928</v>
      </c>
      <c r="AE241" s="13" t="s">
        <v>929</v>
      </c>
      <c r="AF241" s="13" t="s">
        <v>930</v>
      </c>
      <c r="AG241" s="13" t="s">
        <v>931</v>
      </c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</row>
    <row r="242" spans="25:47">
      <c r="Y242" s="13" t="s">
        <v>386</v>
      </c>
      <c r="Z242" s="21">
        <v>3639369.4098848007</v>
      </c>
      <c r="AA242" s="21">
        <f>R236</f>
        <v>3706876.0798848011</v>
      </c>
      <c r="AB242" s="21">
        <f>AH236</f>
        <v>3749600.795741451</v>
      </c>
      <c r="AC242" s="139">
        <f>AB242/AA242</f>
        <v>1.0115258009536638</v>
      </c>
      <c r="AD242" s="139">
        <f>AB242/Z242</f>
        <v>1.0302885949300045</v>
      </c>
      <c r="AE242" s="21">
        <f>AB242</f>
        <v>3749600.795741451</v>
      </c>
      <c r="AF242" s="139">
        <f>AE242/AA242</f>
        <v>1.0115258009536638</v>
      </c>
      <c r="AG242" s="139">
        <f>AE242/Z242</f>
        <v>1.0302885949300045</v>
      </c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21"/>
      <c r="AS242" s="13"/>
      <c r="AT242" s="21"/>
      <c r="AU242" s="139"/>
    </row>
    <row r="243" spans="25:47">
      <c r="Y243" s="13" t="s">
        <v>387</v>
      </c>
      <c r="Z243" s="107">
        <v>1081822.9445070445</v>
      </c>
      <c r="AA243" s="21">
        <f>R233</f>
        <v>1141188.2461261563</v>
      </c>
      <c r="AB243" s="21">
        <f>AH233</f>
        <v>1746512.8937360323</v>
      </c>
      <c r="AC243" s="139">
        <f>AB243/AA243</f>
        <v>1.5304336507711966</v>
      </c>
      <c r="AD243" s="139">
        <f>AB243/Z243</f>
        <v>1.6144165758398366</v>
      </c>
      <c r="AE243" s="107">
        <f>AB243-AH92-AH95</f>
        <v>1022012.8937360323</v>
      </c>
      <c r="AF243" s="139">
        <f>AE243/AA243</f>
        <v>0.89556906777240908</v>
      </c>
      <c r="AG243" s="139">
        <f>AE243/Z243</f>
        <v>0.9447136418443538</v>
      </c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21"/>
      <c r="AS243" s="13"/>
      <c r="AT243" s="21"/>
      <c r="AU243" s="139"/>
    </row>
    <row r="244" spans="25:47">
      <c r="Y244" s="13" t="s">
        <v>388</v>
      </c>
      <c r="Z244" s="107">
        <v>645994.41776180652</v>
      </c>
      <c r="AA244" s="21">
        <f>R235</f>
        <v>776927.98309020861</v>
      </c>
      <c r="AB244" s="21">
        <f>AH235</f>
        <v>693727.90121772792</v>
      </c>
      <c r="AC244" s="139">
        <f>AB244/AA244</f>
        <v>0.89291146195873294</v>
      </c>
      <c r="AD244" s="139">
        <f>AB244/Z244</f>
        <v>1.0738914797767214</v>
      </c>
      <c r="AE244" s="107">
        <f>AB244-AH94</f>
        <v>647727.90121772792</v>
      </c>
      <c r="AF244" s="139">
        <f>AE244/AA244</f>
        <v>0.83370391505453167</v>
      </c>
      <c r="AG244" s="139">
        <f>AE244/Z244</f>
        <v>1.0026834341106654</v>
      </c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21"/>
      <c r="AS244" s="13"/>
      <c r="AT244" s="21"/>
      <c r="AU244" s="139"/>
    </row>
    <row r="245" spans="25:47">
      <c r="Y245" s="13" t="s">
        <v>389</v>
      </c>
      <c r="Z245" s="21">
        <v>882274.82401895302</v>
      </c>
      <c r="AA245" s="21">
        <f>R234</f>
        <v>993146.6100000001</v>
      </c>
      <c r="AB245" s="21">
        <f>AH234</f>
        <v>770617.30800000008</v>
      </c>
      <c r="AC245" s="139">
        <f>AB245/AA245</f>
        <v>0.77593509381258419</v>
      </c>
      <c r="AD245" s="139">
        <f>AB245/Z245</f>
        <v>0.87344361078974375</v>
      </c>
      <c r="AE245" s="21">
        <f>AB245</f>
        <v>770617.30800000008</v>
      </c>
      <c r="AF245" s="139">
        <f>AE245/AA245</f>
        <v>0.77593509381258419</v>
      </c>
      <c r="AG245" s="139">
        <f>AE245/Z245</f>
        <v>0.87344361078974375</v>
      </c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21"/>
      <c r="AS245" s="13"/>
      <c r="AT245" s="21"/>
      <c r="AU245" s="139"/>
    </row>
    <row r="246" spans="25:47"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21"/>
      <c r="AS246" s="13"/>
      <c r="AT246" s="21"/>
      <c r="AU246" s="139"/>
    </row>
    <row r="247" spans="25:47">
      <c r="Y247" s="13"/>
      <c r="Z247" s="21">
        <f>SUM(Z242:Z245)</f>
        <v>6249461.5961726047</v>
      </c>
      <c r="AA247" s="21">
        <f>SUM(AA242:AA245)</f>
        <v>6618138.9191011665</v>
      </c>
      <c r="AB247" s="21">
        <f>SUM(AB242:AB245)</f>
        <v>6960458.8986952109</v>
      </c>
      <c r="AC247" s="139">
        <f>AB247/AA247</f>
        <v>1.0517245080193234</v>
      </c>
      <c r="AD247" s="139">
        <f>AB247/Z247</f>
        <v>1.1137693690218124</v>
      </c>
      <c r="AE247" s="21">
        <f>SUM(AE242:AE245)</f>
        <v>6189958.8986952109</v>
      </c>
      <c r="AF247" s="139">
        <f>AE247/AA247</f>
        <v>0.93530205007178846</v>
      </c>
      <c r="AG247" s="139">
        <f>AE247/Z247</f>
        <v>0.99047874819907122</v>
      </c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21"/>
      <c r="AS247" s="13"/>
      <c r="AT247" s="21"/>
      <c r="AU247" s="139"/>
    </row>
    <row r="248" spans="25:47"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21"/>
      <c r="AS248" s="13"/>
      <c r="AT248" s="21"/>
      <c r="AU248" s="139"/>
    </row>
    <row r="249" spans="25:47">
      <c r="Y249" s="13"/>
      <c r="Z249" s="13"/>
      <c r="AA249" s="40"/>
      <c r="AB249" s="40">
        <f>AB247+SUM(B2B!AH114:AH121)</f>
        <v>8050458.8986952109</v>
      </c>
      <c r="AC249" s="139">
        <f>AB249/AA247</f>
        <v>1.2164233777958491</v>
      </c>
      <c r="AD249" s="139">
        <f>AB249/Z247</f>
        <v>1.2881843939365276</v>
      </c>
      <c r="AE249" s="21">
        <f>AE247+SUM(B2B!AH114:AH117)</f>
        <v>6999958.8986952109</v>
      </c>
      <c r="AF249" s="139">
        <f>AE249/AA247</f>
        <v>1.0576929533002157</v>
      </c>
      <c r="AG249" s="139">
        <f>AE249/Z247</f>
        <v>1.1200899135026667</v>
      </c>
      <c r="AH249" s="40"/>
      <c r="AI249" s="13"/>
      <c r="AJ249" s="13"/>
      <c r="AK249" s="13"/>
      <c r="AL249" s="13"/>
      <c r="AM249" s="13"/>
      <c r="AN249" s="13"/>
      <c r="AO249" s="13"/>
      <c r="AP249" s="13"/>
      <c r="AQ249" s="13"/>
      <c r="AR249" s="21"/>
      <c r="AS249" s="13"/>
      <c r="AT249" s="21"/>
      <c r="AU249" s="139"/>
    </row>
    <row r="250" spans="25:47"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21"/>
      <c r="AS250" s="13"/>
      <c r="AT250" s="21"/>
      <c r="AU250" s="139"/>
    </row>
    <row r="251" spans="25:47"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21"/>
      <c r="AS251" s="13"/>
      <c r="AT251" s="21"/>
      <c r="AU251" s="139"/>
    </row>
    <row r="252" spans="25:47"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21"/>
      <c r="AS252" s="13"/>
      <c r="AT252" s="21"/>
      <c r="AU252" s="139"/>
    </row>
    <row r="253" spans="25:47"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21"/>
      <c r="AS253" s="13"/>
      <c r="AT253" s="21"/>
      <c r="AU253" s="139"/>
    </row>
    <row r="254" spans="25:47"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21"/>
      <c r="AS254" s="13"/>
      <c r="AT254" s="21"/>
      <c r="AU254" s="139"/>
    </row>
    <row r="255" spans="25:47"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21"/>
      <c r="AS255" s="13"/>
      <c r="AT255" s="21"/>
      <c r="AU255" s="139"/>
    </row>
    <row r="256" spans="25:47"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21"/>
      <c r="AS256" s="13"/>
      <c r="AT256" s="21"/>
      <c r="AU256" s="139"/>
    </row>
    <row r="257" spans="1:50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1"/>
      <c r="Z257" s="172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21"/>
      <c r="AS257" s="13"/>
      <c r="AT257" s="21"/>
      <c r="AU257" s="139"/>
      <c r="AV257" s="13"/>
      <c r="AW257" s="13"/>
      <c r="AX257" s="13"/>
    </row>
    <row r="258" spans="1:50">
      <c r="A258" s="13"/>
      <c r="B258" s="13"/>
      <c r="C258" s="13"/>
      <c r="D258" s="13"/>
      <c r="E258" s="13"/>
      <c r="F258" s="45">
        <f t="shared" ref="F258:R258" si="74">F264-F101</f>
        <v>0</v>
      </c>
      <c r="G258" s="45">
        <f t="shared" si="74"/>
        <v>0</v>
      </c>
      <c r="H258" s="45">
        <f t="shared" si="74"/>
        <v>0</v>
      </c>
      <c r="I258" s="45">
        <f t="shared" si="74"/>
        <v>0</v>
      </c>
      <c r="J258" s="45">
        <f t="shared" si="74"/>
        <v>0</v>
      </c>
      <c r="K258" s="45">
        <f t="shared" si="74"/>
        <v>0</v>
      </c>
      <c r="L258" s="45">
        <f t="shared" si="74"/>
        <v>0</v>
      </c>
      <c r="M258" s="45">
        <f t="shared" si="74"/>
        <v>0</v>
      </c>
      <c r="N258" s="45">
        <f t="shared" si="74"/>
        <v>0</v>
      </c>
      <c r="O258" s="45">
        <f t="shared" si="74"/>
        <v>0</v>
      </c>
      <c r="P258" s="45">
        <f t="shared" si="74"/>
        <v>0</v>
      </c>
      <c r="Q258" s="45">
        <f t="shared" si="74"/>
        <v>0</v>
      </c>
      <c r="R258" s="45">
        <f t="shared" si="74"/>
        <v>0</v>
      </c>
      <c r="S258" s="13"/>
      <c r="T258" s="13"/>
      <c r="U258" s="13"/>
      <c r="V258" s="45">
        <f t="shared" ref="V258:AH258" si="75">V264-V101</f>
        <v>0</v>
      </c>
      <c r="W258" s="45">
        <f t="shared" si="75"/>
        <v>0</v>
      </c>
      <c r="X258" s="45">
        <f t="shared" si="75"/>
        <v>0</v>
      </c>
      <c r="Y258" s="45">
        <f t="shared" si="75"/>
        <v>0</v>
      </c>
      <c r="Z258" s="45">
        <f t="shared" si="75"/>
        <v>0</v>
      </c>
      <c r="AA258" s="45">
        <f t="shared" si="75"/>
        <v>0</v>
      </c>
      <c r="AB258" s="45">
        <f t="shared" si="75"/>
        <v>0</v>
      </c>
      <c r="AC258" s="45">
        <f t="shared" si="75"/>
        <v>0</v>
      </c>
      <c r="AD258" s="45">
        <f t="shared" si="75"/>
        <v>0</v>
      </c>
      <c r="AE258" s="45">
        <f t="shared" si="75"/>
        <v>0</v>
      </c>
      <c r="AF258" s="45">
        <f t="shared" si="75"/>
        <v>0</v>
      </c>
      <c r="AG258" s="45">
        <f t="shared" si="75"/>
        <v>0</v>
      </c>
      <c r="AH258" s="45">
        <f t="shared" si="75"/>
        <v>0</v>
      </c>
      <c r="AI258" s="13"/>
      <c r="AJ258" s="13"/>
      <c r="AK258" s="45">
        <f t="shared" ref="AK258:AW258" si="76">AK264-AK101</f>
        <v>0</v>
      </c>
      <c r="AL258" s="45">
        <f t="shared" si="76"/>
        <v>0</v>
      </c>
      <c r="AM258" s="45">
        <f t="shared" si="76"/>
        <v>0</v>
      </c>
      <c r="AN258" s="45">
        <f t="shared" si="76"/>
        <v>0</v>
      </c>
      <c r="AO258" s="45">
        <f t="shared" si="76"/>
        <v>0</v>
      </c>
      <c r="AP258" s="45">
        <f t="shared" si="76"/>
        <v>0</v>
      </c>
      <c r="AQ258" s="45">
        <f t="shared" si="76"/>
        <v>0</v>
      </c>
      <c r="AR258" s="45">
        <f t="shared" si="76"/>
        <v>0</v>
      </c>
      <c r="AS258" s="45">
        <f t="shared" si="76"/>
        <v>0</v>
      </c>
      <c r="AT258" s="45">
        <f t="shared" si="76"/>
        <v>0</v>
      </c>
      <c r="AU258" s="45">
        <f t="shared" si="76"/>
        <v>0</v>
      </c>
      <c r="AV258" s="45">
        <f t="shared" si="76"/>
        <v>0</v>
      </c>
      <c r="AW258" s="45">
        <f t="shared" si="76"/>
        <v>0</v>
      </c>
      <c r="AX258" s="13"/>
    </row>
    <row r="260" spans="1:50">
      <c r="A260" s="13" t="s">
        <v>64</v>
      </c>
      <c r="B260" s="13"/>
      <c r="C260" s="13"/>
      <c r="D260" s="13"/>
      <c r="E260" s="13"/>
      <c r="F260" s="40">
        <f t="shared" ref="F260:Q263" si="77">SUMIF($C$3:$C$101,$A260,F$3:F$101)</f>
        <v>311253.27000000008</v>
      </c>
      <c r="G260" s="40">
        <f t="shared" si="77"/>
        <v>241135.69</v>
      </c>
      <c r="H260" s="40">
        <f t="shared" si="77"/>
        <v>223646.01999999996</v>
      </c>
      <c r="I260" s="40">
        <f t="shared" si="77"/>
        <v>283789.46999999991</v>
      </c>
      <c r="J260" s="40">
        <f t="shared" si="77"/>
        <v>417339.74000000005</v>
      </c>
      <c r="K260" s="40">
        <f t="shared" si="77"/>
        <v>192153.56</v>
      </c>
      <c r="L260" s="40">
        <f t="shared" si="77"/>
        <v>108514.27999999998</v>
      </c>
      <c r="M260" s="40">
        <f t="shared" si="77"/>
        <v>268455.7</v>
      </c>
      <c r="N260" s="40">
        <f t="shared" si="77"/>
        <v>563515.59999999986</v>
      </c>
      <c r="O260" s="40">
        <f t="shared" si="77"/>
        <v>408131.7109313088</v>
      </c>
      <c r="P260" s="40">
        <f t="shared" si="77"/>
        <v>338414.01930568775</v>
      </c>
      <c r="Q260" s="40">
        <f t="shared" si="77"/>
        <v>350527.01964780467</v>
      </c>
      <c r="R260" s="40">
        <f>SUM(F260:Q260)</f>
        <v>3706876.0798848011</v>
      </c>
      <c r="S260" s="13"/>
      <c r="T260" s="13"/>
      <c r="U260" s="13"/>
      <c r="V260" s="40">
        <f t="shared" ref="V260:AG263" si="78">SUMIF($C$3:$C$101,$A260,V$3:V$101)</f>
        <v>336213.29440000001</v>
      </c>
      <c r="W260" s="40">
        <f t="shared" si="78"/>
        <v>239303.09390000001</v>
      </c>
      <c r="X260" s="40">
        <f t="shared" si="78"/>
        <v>202344.05219999998</v>
      </c>
      <c r="Y260" s="40">
        <f t="shared" si="78"/>
        <v>230865.43179999999</v>
      </c>
      <c r="Z260" s="40">
        <f t="shared" si="78"/>
        <v>314599.55399999995</v>
      </c>
      <c r="AA260" s="40">
        <f t="shared" si="78"/>
        <v>222843.34839999996</v>
      </c>
      <c r="AB260" s="40">
        <f t="shared" si="78"/>
        <v>299942.37010000006</v>
      </c>
      <c r="AC260" s="40">
        <f t="shared" si="78"/>
        <v>363752.08179999993</v>
      </c>
      <c r="AD260" s="40">
        <f t="shared" si="78"/>
        <v>518716.78280000004</v>
      </c>
      <c r="AE260" s="40">
        <f t="shared" si="78"/>
        <v>361628.60126171395</v>
      </c>
      <c r="AF260" s="40">
        <f t="shared" si="78"/>
        <v>347613.92647152126</v>
      </c>
      <c r="AG260" s="40">
        <f t="shared" si="78"/>
        <v>311778.25860821595</v>
      </c>
      <c r="AH260" s="40">
        <f>SUM(V260:AG260)</f>
        <v>3749600.795741451</v>
      </c>
      <c r="AI260" s="132">
        <f>IFERROR(AH260/R260-1,0)</f>
        <v>1.1525800953663845E-2</v>
      </c>
      <c r="AJ260" s="13"/>
      <c r="AK260" s="40">
        <f t="shared" ref="AK260:AV263" si="79">SUMIF($C$3:$C$101,$A260,AK$3:AK$101)</f>
        <v>331435.99000000005</v>
      </c>
      <c r="AL260" s="40">
        <f t="shared" si="79"/>
        <v>252726.31</v>
      </c>
      <c r="AM260" s="40">
        <f t="shared" si="79"/>
        <v>238179.61999999997</v>
      </c>
      <c r="AN260" s="40">
        <f t="shared" si="79"/>
        <v>300903.54999999993</v>
      </c>
      <c r="AO260" s="40">
        <f t="shared" si="79"/>
        <v>51907.25</v>
      </c>
      <c r="AP260" s="40">
        <f t="shared" si="79"/>
        <v>213443.76</v>
      </c>
      <c r="AQ260" s="40">
        <f t="shared" si="79"/>
        <v>129735.07999999999</v>
      </c>
      <c r="AR260" s="40">
        <f t="shared" si="79"/>
        <v>281630.90000000002</v>
      </c>
      <c r="AS260" s="40">
        <f t="shared" si="79"/>
        <v>502377.87999928679</v>
      </c>
      <c r="AT260" s="40">
        <f t="shared" si="79"/>
        <v>576161.63011116348</v>
      </c>
      <c r="AU260" s="40">
        <f t="shared" si="79"/>
        <v>521787.64473938593</v>
      </c>
      <c r="AV260" s="40">
        <f t="shared" si="79"/>
        <v>422175.51015569293</v>
      </c>
      <c r="AW260" s="40">
        <f>SUM(AK260:AV260)</f>
        <v>3822465.1250055293</v>
      </c>
      <c r="AX260" s="132">
        <f>IFERROR(AW260/AG260-1,0)</f>
        <v>11.260204229984112</v>
      </c>
    </row>
    <row r="261" spans="1:50">
      <c r="A261" s="13" t="s">
        <v>65</v>
      </c>
      <c r="B261" s="13"/>
      <c r="C261" s="13"/>
      <c r="D261" s="13"/>
      <c r="E261" s="13"/>
      <c r="F261" s="40">
        <f t="shared" si="77"/>
        <v>124448.01999999999</v>
      </c>
      <c r="G261" s="40">
        <f t="shared" si="77"/>
        <v>121054.39</v>
      </c>
      <c r="H261" s="40">
        <f t="shared" si="77"/>
        <v>16647.439999999999</v>
      </c>
      <c r="I261" s="40">
        <f t="shared" si="77"/>
        <v>131427.44</v>
      </c>
      <c r="J261" s="40">
        <f t="shared" si="77"/>
        <v>144056.04</v>
      </c>
      <c r="K261" s="40">
        <f t="shared" si="77"/>
        <v>86666.42</v>
      </c>
      <c r="L261" s="40">
        <f t="shared" si="77"/>
        <v>61612.689999999995</v>
      </c>
      <c r="M261" s="40">
        <f t="shared" si="77"/>
        <v>39150.720000000001</v>
      </c>
      <c r="N261" s="40">
        <f t="shared" si="77"/>
        <v>53530.600000000006</v>
      </c>
      <c r="O261" s="40">
        <f t="shared" si="77"/>
        <v>188752.22412345745</v>
      </c>
      <c r="P261" s="40">
        <f t="shared" si="77"/>
        <v>70349.521343906948</v>
      </c>
      <c r="Q261" s="40">
        <f t="shared" si="77"/>
        <v>103492.740658792</v>
      </c>
      <c r="R261" s="40">
        <f>SUM(F261:Q261)</f>
        <v>1141188.2461261563</v>
      </c>
      <c r="S261" s="13"/>
      <c r="T261" s="13"/>
      <c r="U261" s="13"/>
      <c r="V261" s="40">
        <f t="shared" si="78"/>
        <v>90721.873013100427</v>
      </c>
      <c r="W261" s="40">
        <f t="shared" si="78"/>
        <v>372558.67502183409</v>
      </c>
      <c r="X261" s="40">
        <f t="shared" si="78"/>
        <v>138349.35161572054</v>
      </c>
      <c r="Y261" s="40">
        <f t="shared" si="78"/>
        <v>136541.24201965064</v>
      </c>
      <c r="Z261" s="40">
        <f t="shared" si="78"/>
        <v>188492.83567358079</v>
      </c>
      <c r="AA261" s="40">
        <f t="shared" si="78"/>
        <v>105804.31371179038</v>
      </c>
      <c r="AB261" s="40">
        <f t="shared" si="78"/>
        <v>95365.267365720531</v>
      </c>
      <c r="AC261" s="40">
        <f t="shared" si="78"/>
        <v>112911.67455786026</v>
      </c>
      <c r="AD261" s="40">
        <f t="shared" si="78"/>
        <v>139001.82986572053</v>
      </c>
      <c r="AE261" s="40">
        <f t="shared" si="78"/>
        <v>158604.13126790454</v>
      </c>
      <c r="AF261" s="40">
        <f t="shared" si="78"/>
        <v>106924.65638887839</v>
      </c>
      <c r="AG261" s="40">
        <f t="shared" si="78"/>
        <v>101237.04323427135</v>
      </c>
      <c r="AH261" s="40">
        <f>SUM(V261:AG261)</f>
        <v>1746512.8937360323</v>
      </c>
      <c r="AI261" s="132">
        <f>IFERROR(AH261/R261-1,0)</f>
        <v>0.53043365077119664</v>
      </c>
      <c r="AJ261" s="13"/>
      <c r="AK261" s="40">
        <f t="shared" si="79"/>
        <v>99242.02</v>
      </c>
      <c r="AL261" s="40">
        <f t="shared" si="79"/>
        <v>73676.53</v>
      </c>
      <c r="AM261" s="40">
        <f t="shared" si="79"/>
        <v>25277.879999999997</v>
      </c>
      <c r="AN261" s="40">
        <f t="shared" si="79"/>
        <v>96556.08</v>
      </c>
      <c r="AO261" s="40">
        <f t="shared" si="79"/>
        <v>107470.59000000001</v>
      </c>
      <c r="AP261" s="40">
        <f t="shared" si="79"/>
        <v>68245.42</v>
      </c>
      <c r="AQ261" s="40">
        <f t="shared" si="79"/>
        <v>56603.599999999991</v>
      </c>
      <c r="AR261" s="40">
        <f t="shared" si="79"/>
        <v>34311.56</v>
      </c>
      <c r="AS261" s="40">
        <f t="shared" si="79"/>
        <v>98570.084764401894</v>
      </c>
      <c r="AT261" s="40">
        <f t="shared" si="79"/>
        <v>112865.20567454457</v>
      </c>
      <c r="AU261" s="40">
        <f t="shared" si="79"/>
        <v>102330.60023530746</v>
      </c>
      <c r="AV261" s="40">
        <f t="shared" si="79"/>
        <v>83031.398096189208</v>
      </c>
      <c r="AW261" s="40">
        <f>SUM(AK261:AV261)</f>
        <v>958180.96877044311</v>
      </c>
      <c r="AX261" s="132">
        <f>IFERROR(AW261/AG261-1,0)</f>
        <v>8.4647269236531208</v>
      </c>
    </row>
    <row r="262" spans="1:50">
      <c r="A262" s="13" t="s">
        <v>66</v>
      </c>
      <c r="B262" s="13"/>
      <c r="C262" s="13"/>
      <c r="D262" s="13"/>
      <c r="E262" s="13"/>
      <c r="F262" s="40">
        <f t="shared" si="77"/>
        <v>57365.08</v>
      </c>
      <c r="G262" s="40">
        <f t="shared" si="77"/>
        <v>72274.25</v>
      </c>
      <c r="H262" s="40">
        <f t="shared" si="77"/>
        <v>41709.25</v>
      </c>
      <c r="I262" s="40">
        <f t="shared" si="77"/>
        <v>56168.880000000005</v>
      </c>
      <c r="J262" s="40">
        <f t="shared" si="77"/>
        <v>20555.400000000001</v>
      </c>
      <c r="K262" s="40">
        <f t="shared" si="77"/>
        <v>38808.58</v>
      </c>
      <c r="L262" s="40">
        <f t="shared" si="77"/>
        <v>81003.820000000007</v>
      </c>
      <c r="M262" s="40">
        <f t="shared" si="77"/>
        <v>31392.78</v>
      </c>
      <c r="N262" s="40">
        <f t="shared" si="77"/>
        <v>79859.33</v>
      </c>
      <c r="O262" s="40">
        <f t="shared" si="77"/>
        <v>146621.02840644537</v>
      </c>
      <c r="P262" s="40">
        <f t="shared" si="77"/>
        <v>50556.439344010352</v>
      </c>
      <c r="Q262" s="40">
        <f t="shared" si="77"/>
        <v>100613.14533975294</v>
      </c>
      <c r="R262" s="40">
        <f>SUM(F262:Q262)</f>
        <v>776927.98309020861</v>
      </c>
      <c r="S262" s="13"/>
      <c r="T262" s="13"/>
      <c r="U262" s="13"/>
      <c r="V262" s="40">
        <f t="shared" si="78"/>
        <v>31500</v>
      </c>
      <c r="W262" s="40">
        <f t="shared" si="78"/>
        <v>76319.399999999994</v>
      </c>
      <c r="X262" s="40">
        <f t="shared" si="78"/>
        <v>59838.6</v>
      </c>
      <c r="Y262" s="40">
        <f t="shared" si="78"/>
        <v>71727</v>
      </c>
      <c r="Z262" s="40">
        <f t="shared" si="78"/>
        <v>52500</v>
      </c>
      <c r="AA262" s="40">
        <f t="shared" si="78"/>
        <v>39542.6</v>
      </c>
      <c r="AB262" s="40">
        <f t="shared" si="78"/>
        <v>55448.800000000003</v>
      </c>
      <c r="AC262" s="40">
        <f t="shared" si="78"/>
        <v>45000</v>
      </c>
      <c r="AD262" s="40">
        <f t="shared" si="78"/>
        <v>73624.100000000006</v>
      </c>
      <c r="AE262" s="40">
        <f t="shared" si="78"/>
        <v>107500</v>
      </c>
      <c r="AF262" s="40">
        <f t="shared" si="78"/>
        <v>25500</v>
      </c>
      <c r="AG262" s="40">
        <f t="shared" si="78"/>
        <v>55227.401217727871</v>
      </c>
      <c r="AH262" s="40">
        <f>SUM(V262:AG262)</f>
        <v>693727.90121772792</v>
      </c>
      <c r="AI262" s="132">
        <f>IFERROR(AH262/R262-1,0)</f>
        <v>-0.10708853804126706</v>
      </c>
      <c r="AJ262" s="13"/>
      <c r="AK262" s="40">
        <f t="shared" si="79"/>
        <v>80908.36</v>
      </c>
      <c r="AL262" s="40">
        <f t="shared" si="79"/>
        <v>97187.97</v>
      </c>
      <c r="AM262" s="40">
        <f t="shared" si="79"/>
        <v>65257.919999999998</v>
      </c>
      <c r="AN262" s="40">
        <f t="shared" si="79"/>
        <v>80738.61</v>
      </c>
      <c r="AO262" s="40">
        <f t="shared" si="79"/>
        <v>43392.130000000005</v>
      </c>
      <c r="AP262" s="40">
        <f t="shared" si="79"/>
        <v>65979.990000000005</v>
      </c>
      <c r="AQ262" s="40">
        <f t="shared" si="79"/>
        <v>109003.82</v>
      </c>
      <c r="AR262" s="40">
        <f t="shared" si="79"/>
        <v>57963.13</v>
      </c>
      <c r="AS262" s="40">
        <f t="shared" si="79"/>
        <v>106065.55542599861</v>
      </c>
      <c r="AT262" s="40">
        <f t="shared" si="79"/>
        <v>118056.05222802724</v>
      </c>
      <c r="AU262" s="40">
        <f t="shared" si="79"/>
        <v>109219.80987486301</v>
      </c>
      <c r="AV262" s="40">
        <f t="shared" si="79"/>
        <v>93031.977467890276</v>
      </c>
      <c r="AW262" s="40">
        <f>SUM(AK262:AV262)</f>
        <v>1026805.3249967792</v>
      </c>
      <c r="AX262" s="132">
        <f>IFERROR(AW262/AG262-1,0)</f>
        <v>17.592316537740274</v>
      </c>
    </row>
    <row r="263" spans="1:50">
      <c r="A263" s="13" t="s">
        <v>67</v>
      </c>
      <c r="B263" s="13"/>
      <c r="C263" s="13"/>
      <c r="D263" s="13"/>
      <c r="E263" s="13"/>
      <c r="F263" s="40">
        <f t="shared" si="77"/>
        <v>171532.06</v>
      </c>
      <c r="G263" s="40">
        <f t="shared" si="77"/>
        <v>77393.98</v>
      </c>
      <c r="H263" s="40">
        <f t="shared" si="77"/>
        <v>7268.6400000000012</v>
      </c>
      <c r="I263" s="40">
        <f t="shared" si="77"/>
        <v>47841.929999999993</v>
      </c>
      <c r="J263" s="40">
        <f t="shared" si="77"/>
        <v>10718.7</v>
      </c>
      <c r="K263" s="40">
        <f t="shared" si="77"/>
        <v>100741.6</v>
      </c>
      <c r="L263" s="40">
        <f t="shared" si="77"/>
        <v>78635.420000000013</v>
      </c>
      <c r="M263" s="40">
        <f t="shared" si="77"/>
        <v>167223.87999999998</v>
      </c>
      <c r="N263" s="40">
        <f t="shared" si="77"/>
        <v>-3209.6</v>
      </c>
      <c r="O263" s="40">
        <f t="shared" si="77"/>
        <v>15000</v>
      </c>
      <c r="P263" s="40">
        <f t="shared" si="77"/>
        <v>248000</v>
      </c>
      <c r="Q263" s="40">
        <f t="shared" si="77"/>
        <v>72000</v>
      </c>
      <c r="R263" s="40">
        <f>SUM(F263:Q263)</f>
        <v>993146.6100000001</v>
      </c>
      <c r="S263" s="13"/>
      <c r="T263" s="13"/>
      <c r="U263" s="13"/>
      <c r="V263" s="40">
        <f t="shared" si="78"/>
        <v>715.68</v>
      </c>
      <c r="W263" s="40">
        <f t="shared" si="78"/>
        <v>52340.244000000006</v>
      </c>
      <c r="X263" s="40">
        <f t="shared" si="78"/>
        <v>135000</v>
      </c>
      <c r="Y263" s="40">
        <f t="shared" si="78"/>
        <v>118061.504</v>
      </c>
      <c r="Z263" s="40">
        <f t="shared" si="78"/>
        <v>84862.44</v>
      </c>
      <c r="AA263" s="40">
        <f t="shared" si="78"/>
        <v>79897.64</v>
      </c>
      <c r="AB263" s="40">
        <f t="shared" si="78"/>
        <v>96313.063999999998</v>
      </c>
      <c r="AC263" s="40">
        <f t="shared" si="78"/>
        <v>99426.73599999999</v>
      </c>
      <c r="AD263" s="40">
        <f t="shared" si="78"/>
        <v>80000</v>
      </c>
      <c r="AE263" s="40">
        <f t="shared" si="78"/>
        <v>20000</v>
      </c>
      <c r="AF263" s="40">
        <f t="shared" si="78"/>
        <v>2000</v>
      </c>
      <c r="AG263" s="40">
        <f t="shared" si="78"/>
        <v>2000</v>
      </c>
      <c r="AH263" s="40">
        <f>SUM(V263:AG263)</f>
        <v>770617.30800000008</v>
      </c>
      <c r="AI263" s="132">
        <f>IFERROR(AH263/R263-1,0)</f>
        <v>-0.22406490618741581</v>
      </c>
      <c r="AJ263" s="13"/>
      <c r="AK263" s="40">
        <f t="shared" si="79"/>
        <v>193673.1</v>
      </c>
      <c r="AL263" s="40">
        <f t="shared" si="79"/>
        <v>86903.9</v>
      </c>
      <c r="AM263" s="40">
        <f t="shared" si="79"/>
        <v>31173.040000000001</v>
      </c>
      <c r="AN263" s="40">
        <f t="shared" si="79"/>
        <v>72841.929999999993</v>
      </c>
      <c r="AO263" s="40">
        <f t="shared" si="79"/>
        <v>35718.699999999997</v>
      </c>
      <c r="AP263" s="40">
        <f t="shared" si="79"/>
        <v>135906.5</v>
      </c>
      <c r="AQ263" s="40">
        <f t="shared" si="79"/>
        <v>103635.42000000001</v>
      </c>
      <c r="AR263" s="40">
        <f t="shared" si="79"/>
        <v>192223.87999999998</v>
      </c>
      <c r="AS263" s="40">
        <f t="shared" si="79"/>
        <v>109025.26169606483</v>
      </c>
      <c r="AT263" s="40">
        <f t="shared" si="79"/>
        <v>121931.14094278765</v>
      </c>
      <c r="AU263" s="40">
        <f t="shared" si="79"/>
        <v>112420.31927396228</v>
      </c>
      <c r="AV263" s="40">
        <f t="shared" si="79"/>
        <v>94996.670049083594</v>
      </c>
      <c r="AW263" s="40">
        <f>SUM(AK263:AV263)</f>
        <v>1290449.8619618984</v>
      </c>
      <c r="AX263" s="132">
        <f>IFERROR(AW263/AG263-1,0)</f>
        <v>644.22493098094924</v>
      </c>
    </row>
    <row r="264" spans="1:50">
      <c r="A264" s="413" t="s">
        <v>82</v>
      </c>
      <c r="B264" s="413"/>
      <c r="C264" s="413"/>
      <c r="D264" s="413"/>
      <c r="E264" s="413"/>
      <c r="F264" s="411">
        <f t="shared" ref="F264:Q264" si="80">SUM(F260:F263)</f>
        <v>664598.43000000005</v>
      </c>
      <c r="G264" s="411">
        <f t="shared" si="80"/>
        <v>511858.31</v>
      </c>
      <c r="H264" s="411">
        <f t="shared" si="80"/>
        <v>289271.34999999998</v>
      </c>
      <c r="I264" s="411">
        <f t="shared" si="80"/>
        <v>519227.71999999991</v>
      </c>
      <c r="J264" s="411">
        <f t="shared" si="80"/>
        <v>592669.88</v>
      </c>
      <c r="K264" s="411">
        <f t="shared" si="80"/>
        <v>418370.16000000003</v>
      </c>
      <c r="L264" s="411">
        <f t="shared" si="80"/>
        <v>329766.20999999996</v>
      </c>
      <c r="M264" s="411">
        <f t="shared" si="80"/>
        <v>506223.08000000007</v>
      </c>
      <c r="N264" s="411">
        <f t="shared" si="80"/>
        <v>693695.92999999982</v>
      </c>
      <c r="O264" s="411">
        <f t="shared" si="80"/>
        <v>758504.96346121165</v>
      </c>
      <c r="P264" s="411">
        <f t="shared" si="80"/>
        <v>707319.97999360505</v>
      </c>
      <c r="Q264" s="411">
        <f t="shared" si="80"/>
        <v>626632.90564634954</v>
      </c>
      <c r="R264" s="411">
        <f>SUM(F264:Q264)</f>
        <v>6618138.9191011665</v>
      </c>
      <c r="S264" s="40"/>
      <c r="T264" s="13"/>
      <c r="U264" s="13"/>
      <c r="V264" s="411">
        <f t="shared" ref="V264:AG264" si="81">SUM(V260:V263)</f>
        <v>459150.84741310042</v>
      </c>
      <c r="W264" s="411">
        <f t="shared" si="81"/>
        <v>740521.41292183404</v>
      </c>
      <c r="X264" s="411">
        <f t="shared" si="81"/>
        <v>535532.00381572056</v>
      </c>
      <c r="Y264" s="411">
        <f t="shared" si="81"/>
        <v>557195.17781965062</v>
      </c>
      <c r="Z264" s="411">
        <f t="shared" si="81"/>
        <v>640454.82967358083</v>
      </c>
      <c r="AA264" s="411">
        <f t="shared" si="81"/>
        <v>448087.90211179032</v>
      </c>
      <c r="AB264" s="411">
        <f t="shared" si="81"/>
        <v>547069.50146572059</v>
      </c>
      <c r="AC264" s="411">
        <f t="shared" si="81"/>
        <v>621090.4923578602</v>
      </c>
      <c r="AD264" s="411">
        <f t="shared" si="81"/>
        <v>811342.71266572049</v>
      </c>
      <c r="AE264" s="411">
        <f t="shared" si="81"/>
        <v>647732.73252961854</v>
      </c>
      <c r="AF264" s="411">
        <f t="shared" si="81"/>
        <v>482038.58286039962</v>
      </c>
      <c r="AG264" s="411">
        <f t="shared" si="81"/>
        <v>470242.70306021516</v>
      </c>
      <c r="AH264" s="411">
        <f>SUM(V264:AG264)</f>
        <v>6960458.8986952119</v>
      </c>
      <c r="AI264" s="422">
        <f>IFERROR(AH264/R264-1,0)</f>
        <v>5.1724508019323601E-2</v>
      </c>
      <c r="AJ264" s="13"/>
      <c r="AK264" s="411">
        <f t="shared" ref="AK264:AV264" si="82">SUM(AK260:AK263)</f>
        <v>705259.47000000009</v>
      </c>
      <c r="AL264" s="411">
        <f t="shared" si="82"/>
        <v>510494.70999999996</v>
      </c>
      <c r="AM264" s="411">
        <f t="shared" si="82"/>
        <v>359888.4599999999</v>
      </c>
      <c r="AN264" s="411">
        <f t="shared" si="82"/>
        <v>551040.16999999993</v>
      </c>
      <c r="AO264" s="411">
        <f t="shared" si="82"/>
        <v>238488.67000000004</v>
      </c>
      <c r="AP264" s="411">
        <f t="shared" si="82"/>
        <v>483575.67</v>
      </c>
      <c r="AQ264" s="411">
        <f t="shared" si="82"/>
        <v>398977.92000000004</v>
      </c>
      <c r="AR264" s="411">
        <f t="shared" si="82"/>
        <v>566129.47</v>
      </c>
      <c r="AS264" s="411">
        <f t="shared" si="82"/>
        <v>816038.78188575211</v>
      </c>
      <c r="AT264" s="411">
        <f t="shared" si="82"/>
        <v>929014.02895652293</v>
      </c>
      <c r="AU264" s="411">
        <f t="shared" si="82"/>
        <v>845758.3741235187</v>
      </c>
      <c r="AV264" s="411">
        <f t="shared" si="82"/>
        <v>693235.55576885608</v>
      </c>
      <c r="AW264" s="411">
        <f>SUM(AK264:AV264)</f>
        <v>7097901.2807346499</v>
      </c>
      <c r="AX264" s="422">
        <f>IFERROR(AW264/AG264-1,0)</f>
        <v>14.094123172020289</v>
      </c>
    </row>
    <row r="265" spans="1:50">
      <c r="A265" s="13"/>
      <c r="B265" s="13"/>
      <c r="C265" s="13"/>
      <c r="D265" s="13"/>
      <c r="E265" s="13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13"/>
      <c r="T265" s="13"/>
      <c r="U265" s="13"/>
      <c r="V265" s="45"/>
      <c r="W265" s="45"/>
      <c r="X265" s="45"/>
      <c r="Y265" s="45"/>
      <c r="Z265" s="45"/>
      <c r="AA265" s="45"/>
      <c r="AB265" s="45"/>
      <c r="AC265" s="45"/>
      <c r="AD265" s="45"/>
      <c r="AE265" s="45"/>
      <c r="AF265" s="45"/>
      <c r="AG265" s="45"/>
      <c r="AH265" s="45"/>
      <c r="AI265" s="13"/>
      <c r="AJ265" s="13"/>
      <c r="AK265" s="45"/>
      <c r="AL265" s="45"/>
      <c r="AM265" s="45"/>
      <c r="AN265" s="45"/>
      <c r="AO265" s="45"/>
      <c r="AP265" s="45"/>
      <c r="AQ265" s="45"/>
      <c r="AR265" s="45"/>
      <c r="AS265" s="45"/>
      <c r="AT265" s="45"/>
      <c r="AU265" s="45"/>
      <c r="AV265" s="45"/>
      <c r="AW265" s="45"/>
      <c r="AX265" s="13"/>
    </row>
    <row r="266" spans="1:50">
      <c r="A266" s="13" t="s">
        <v>442</v>
      </c>
      <c r="B266" s="139">
        <f>_xlfn.XLOOKUP("B2B CoGS",'UK P&amp;L'!$B:$B,'UK P&amp;L'!$C:$C)</f>
        <v>-0.25519999999999998</v>
      </c>
      <c r="C266" s="13"/>
      <c r="D266" s="13"/>
      <c r="E266" s="13"/>
      <c r="F266" s="40">
        <f t="shared" ref="F266:Q266" si="83">F$260*$B266</f>
        <v>-79431.834504000013</v>
      </c>
      <c r="G266" s="40">
        <f t="shared" si="83"/>
        <v>-61537.828087999995</v>
      </c>
      <c r="H266" s="40">
        <f t="shared" si="83"/>
        <v>-57074.464303999986</v>
      </c>
      <c r="I266" s="40">
        <f t="shared" si="83"/>
        <v>-72423.072743999976</v>
      </c>
      <c r="J266" s="40">
        <f t="shared" si="83"/>
        <v>-106505.10164800001</v>
      </c>
      <c r="K266" s="40">
        <f t="shared" si="83"/>
        <v>-49037.588511999995</v>
      </c>
      <c r="L266" s="40">
        <f t="shared" si="83"/>
        <v>-27692.844255999993</v>
      </c>
      <c r="M266" s="40">
        <f t="shared" si="83"/>
        <v>-68509.894639999999</v>
      </c>
      <c r="N266" s="40">
        <f t="shared" si="83"/>
        <v>-143809.18111999996</v>
      </c>
      <c r="O266" s="40">
        <f t="shared" si="83"/>
        <v>-104155.21262967</v>
      </c>
      <c r="P266" s="40">
        <f t="shared" si="83"/>
        <v>-86363.257726811513</v>
      </c>
      <c r="Q266" s="40">
        <f t="shared" si="83"/>
        <v>-89454.495414119752</v>
      </c>
      <c r="R266" s="40">
        <f>SUM(F266:Q266)</f>
        <v>-945994.77558660146</v>
      </c>
      <c r="S266" s="13"/>
      <c r="T266" s="13"/>
      <c r="U266" s="13"/>
      <c r="V266" s="40">
        <f t="shared" ref="V266:AG266" si="84">V$260*$B266</f>
        <v>-85801.632730879996</v>
      </c>
      <c r="W266" s="40">
        <f t="shared" si="84"/>
        <v>-61070.14956328</v>
      </c>
      <c r="X266" s="40">
        <f t="shared" si="84"/>
        <v>-51638.202121439994</v>
      </c>
      <c r="Y266" s="40">
        <f t="shared" si="84"/>
        <v>-58916.858195359993</v>
      </c>
      <c r="Z266" s="40">
        <f t="shared" si="84"/>
        <v>-80285.806180799977</v>
      </c>
      <c r="AA266" s="40">
        <f t="shared" si="84"/>
        <v>-56869.622511679983</v>
      </c>
      <c r="AB266" s="40">
        <f t="shared" si="84"/>
        <v>-76545.292849520003</v>
      </c>
      <c r="AC266" s="40">
        <f t="shared" si="84"/>
        <v>-92829.531275359972</v>
      </c>
      <c r="AD266" s="40">
        <f t="shared" si="84"/>
        <v>-132376.52297056001</v>
      </c>
      <c r="AE266" s="40">
        <f t="shared" si="84"/>
        <v>-92287.619041989397</v>
      </c>
      <c r="AF266" s="40">
        <f t="shared" si="84"/>
        <v>-88711.07403553222</v>
      </c>
      <c r="AG266" s="40">
        <f t="shared" si="84"/>
        <v>-79565.811596816711</v>
      </c>
      <c r="AH266" s="40">
        <f>SUM(V266:AG266)</f>
        <v>-956898.12307321827</v>
      </c>
      <c r="AI266" s="132">
        <f>IFERROR(AH266/R266-1,0)</f>
        <v>1.1525800953663623E-2</v>
      </c>
      <c r="AJ266" s="13"/>
      <c r="AK266" s="40">
        <f t="shared" ref="AK266:AV266" si="85">AK$260*$B266</f>
        <v>-84582.464648000008</v>
      </c>
      <c r="AL266" s="40">
        <f t="shared" si="85"/>
        <v>-64495.754311999997</v>
      </c>
      <c r="AM266" s="40">
        <f t="shared" si="85"/>
        <v>-60783.439023999985</v>
      </c>
      <c r="AN266" s="40">
        <f t="shared" si="85"/>
        <v>-76790.585959999982</v>
      </c>
      <c r="AO266" s="40">
        <f t="shared" si="85"/>
        <v>-13246.7302</v>
      </c>
      <c r="AP266" s="40">
        <f t="shared" si="85"/>
        <v>-54470.847551999999</v>
      </c>
      <c r="AQ266" s="40">
        <f t="shared" si="85"/>
        <v>-33108.392415999995</v>
      </c>
      <c r="AR266" s="40">
        <f t="shared" si="85"/>
        <v>-71872.205679999999</v>
      </c>
      <c r="AS266" s="40">
        <f t="shared" si="85"/>
        <v>-128206.83497581798</v>
      </c>
      <c r="AT266" s="40">
        <f t="shared" si="85"/>
        <v>-147036.4480043689</v>
      </c>
      <c r="AU266" s="40">
        <f t="shared" si="85"/>
        <v>-133160.20693749128</v>
      </c>
      <c r="AV266" s="40">
        <f t="shared" si="85"/>
        <v>-107739.19019173282</v>
      </c>
      <c r="AW266" s="40">
        <f>SUM(AK266:AV266)</f>
        <v>-975493.0999014111</v>
      </c>
      <c r="AX266" s="132">
        <f>IFERROR(AW266/AG266-1,0)</f>
        <v>11.260204229984112</v>
      </c>
    </row>
    <row r="267" spans="1:50">
      <c r="A267" s="13" t="s">
        <v>443</v>
      </c>
      <c r="B267" s="139">
        <f>_xlfn.XLOOKUP("B2B CoGS",'CE P&amp;L'!$B:$B,'CE P&amp;L'!$C:$C)</f>
        <v>-0.32</v>
      </c>
      <c r="C267" s="13"/>
      <c r="D267" s="13"/>
      <c r="E267" s="13"/>
      <c r="F267" s="40">
        <f t="shared" ref="F267:Q267" si="86">F$261*$B267</f>
        <v>-39823.366399999999</v>
      </c>
      <c r="G267" s="40">
        <f t="shared" si="86"/>
        <v>-38737.404800000004</v>
      </c>
      <c r="H267" s="40">
        <f t="shared" si="86"/>
        <v>-5327.1808000000001</v>
      </c>
      <c r="I267" s="40">
        <f t="shared" si="86"/>
        <v>-42056.7808</v>
      </c>
      <c r="J267" s="40">
        <f t="shared" si="86"/>
        <v>-46097.932800000002</v>
      </c>
      <c r="K267" s="40">
        <f t="shared" si="86"/>
        <v>-27733.254400000002</v>
      </c>
      <c r="L267" s="40">
        <f t="shared" si="86"/>
        <v>-19716.060799999999</v>
      </c>
      <c r="M267" s="40">
        <f t="shared" si="86"/>
        <v>-12528.2304</v>
      </c>
      <c r="N267" s="40">
        <f t="shared" si="86"/>
        <v>-17129.792000000001</v>
      </c>
      <c r="O267" s="40">
        <f t="shared" si="86"/>
        <v>-60400.711719506384</v>
      </c>
      <c r="P267" s="40">
        <f t="shared" si="86"/>
        <v>-22511.846830050225</v>
      </c>
      <c r="Q267" s="40">
        <f t="shared" si="86"/>
        <v>-33117.677010813437</v>
      </c>
      <c r="R267" s="40">
        <f>SUM(F267:Q267)</f>
        <v>-365180.23876037006</v>
      </c>
      <c r="S267" s="13"/>
      <c r="T267" s="13"/>
      <c r="U267" s="13"/>
      <c r="V267" s="40">
        <f t="shared" ref="V267:AG267" si="87">V$261*$B267</f>
        <v>-29030.999364192136</v>
      </c>
      <c r="W267" s="40">
        <f t="shared" si="87"/>
        <v>-119218.77600698691</v>
      </c>
      <c r="X267" s="40">
        <f t="shared" si="87"/>
        <v>-44271.792517030575</v>
      </c>
      <c r="Y267" s="40">
        <f t="shared" si="87"/>
        <v>-43693.197446288206</v>
      </c>
      <c r="Z267" s="40">
        <f t="shared" si="87"/>
        <v>-60317.707415545854</v>
      </c>
      <c r="AA267" s="40">
        <f t="shared" si="87"/>
        <v>-33857.380387772922</v>
      </c>
      <c r="AB267" s="40">
        <f t="shared" si="87"/>
        <v>-30516.885557030571</v>
      </c>
      <c r="AC267" s="40">
        <f t="shared" si="87"/>
        <v>-36131.735858515283</v>
      </c>
      <c r="AD267" s="40">
        <f t="shared" si="87"/>
        <v>-44480.585557030572</v>
      </c>
      <c r="AE267" s="40">
        <f t="shared" si="87"/>
        <v>-50753.322005729453</v>
      </c>
      <c r="AF267" s="40">
        <f t="shared" si="87"/>
        <v>-34215.890044441083</v>
      </c>
      <c r="AG267" s="40">
        <f t="shared" si="87"/>
        <v>-32395.853834966831</v>
      </c>
      <c r="AH267" s="40">
        <f>SUM(V267:AG267)</f>
        <v>-558884.1259955304</v>
      </c>
      <c r="AI267" s="132">
        <f>IFERROR(AH267/R267-1,0)</f>
        <v>0.53043365077119664</v>
      </c>
      <c r="AJ267" s="13"/>
      <c r="AK267" s="40">
        <f t="shared" ref="AK267:AV267" si="88">AK$261*$B267</f>
        <v>-31757.446400000001</v>
      </c>
      <c r="AL267" s="40">
        <f t="shared" si="88"/>
        <v>-23576.489600000001</v>
      </c>
      <c r="AM267" s="40">
        <f t="shared" si="88"/>
        <v>-8088.9215999999997</v>
      </c>
      <c r="AN267" s="40">
        <f t="shared" si="88"/>
        <v>-30897.945600000003</v>
      </c>
      <c r="AO267" s="40">
        <f t="shared" si="88"/>
        <v>-34390.588800000005</v>
      </c>
      <c r="AP267" s="40">
        <f t="shared" si="88"/>
        <v>-21838.5344</v>
      </c>
      <c r="AQ267" s="40">
        <f t="shared" si="88"/>
        <v>-18113.151999999998</v>
      </c>
      <c r="AR267" s="40">
        <f t="shared" si="88"/>
        <v>-10979.699199999999</v>
      </c>
      <c r="AS267" s="40">
        <f t="shared" si="88"/>
        <v>-31542.427124608606</v>
      </c>
      <c r="AT267" s="40">
        <f t="shared" si="88"/>
        <v>-36116.865815854268</v>
      </c>
      <c r="AU267" s="40">
        <f t="shared" si="88"/>
        <v>-32745.792075298388</v>
      </c>
      <c r="AV267" s="40">
        <f t="shared" si="88"/>
        <v>-26570.047390780546</v>
      </c>
      <c r="AW267" s="40">
        <f>SUM(AK267:AV267)</f>
        <v>-306617.91000654182</v>
      </c>
      <c r="AX267" s="132">
        <f>IFERROR(AW267/AG267-1,0)</f>
        <v>8.4647269236531226</v>
      </c>
    </row>
    <row r="268" spans="1:50">
      <c r="A268" s="13" t="s">
        <v>444</v>
      </c>
      <c r="B268" s="139">
        <f>_xlfn.XLOOKUP("B2B CoGS",'EE P&amp;L'!$B:$B,'EE P&amp;L'!$C:$C)</f>
        <v>-0.4</v>
      </c>
      <c r="C268" s="13"/>
      <c r="D268" s="13"/>
      <c r="E268" s="13"/>
      <c r="F268" s="40">
        <f t="shared" ref="F268:Q268" si="89">F$262*$B268</f>
        <v>-22946.032000000003</v>
      </c>
      <c r="G268" s="40">
        <f t="shared" si="89"/>
        <v>-28909.7</v>
      </c>
      <c r="H268" s="40">
        <f t="shared" si="89"/>
        <v>-16683.7</v>
      </c>
      <c r="I268" s="40">
        <f t="shared" si="89"/>
        <v>-22467.552000000003</v>
      </c>
      <c r="J268" s="40">
        <f t="shared" si="89"/>
        <v>-8222.1600000000017</v>
      </c>
      <c r="K268" s="40">
        <f t="shared" si="89"/>
        <v>-15523.432000000001</v>
      </c>
      <c r="L268" s="40">
        <f t="shared" si="89"/>
        <v>-32401.528000000006</v>
      </c>
      <c r="M268" s="40">
        <f t="shared" si="89"/>
        <v>-12557.112000000001</v>
      </c>
      <c r="N268" s="40">
        <f t="shared" si="89"/>
        <v>-31943.732000000004</v>
      </c>
      <c r="O268" s="40">
        <f t="shared" si="89"/>
        <v>-58648.411362578154</v>
      </c>
      <c r="P268" s="40">
        <f t="shared" si="89"/>
        <v>-20222.575737604144</v>
      </c>
      <c r="Q268" s="40">
        <f t="shared" si="89"/>
        <v>-40245.258135901182</v>
      </c>
      <c r="R268" s="40">
        <f>SUM(F268:Q268)</f>
        <v>-310771.19323608349</v>
      </c>
      <c r="S268" s="13"/>
      <c r="T268" s="13"/>
      <c r="U268" s="13"/>
      <c r="V268" s="40">
        <f t="shared" ref="V268:AG268" si="90">V$262*$B268</f>
        <v>-12600</v>
      </c>
      <c r="W268" s="40">
        <f t="shared" si="90"/>
        <v>-30527.759999999998</v>
      </c>
      <c r="X268" s="40">
        <f t="shared" si="90"/>
        <v>-23935.440000000002</v>
      </c>
      <c r="Y268" s="40">
        <f t="shared" si="90"/>
        <v>-28690.800000000003</v>
      </c>
      <c r="Z268" s="40">
        <f t="shared" si="90"/>
        <v>-21000</v>
      </c>
      <c r="AA268" s="40">
        <f t="shared" si="90"/>
        <v>-15817.04</v>
      </c>
      <c r="AB268" s="40">
        <f t="shared" si="90"/>
        <v>-22179.520000000004</v>
      </c>
      <c r="AC268" s="40">
        <f t="shared" si="90"/>
        <v>-18000</v>
      </c>
      <c r="AD268" s="40">
        <f t="shared" si="90"/>
        <v>-29449.640000000003</v>
      </c>
      <c r="AE268" s="40">
        <f t="shared" si="90"/>
        <v>-43000</v>
      </c>
      <c r="AF268" s="40">
        <f t="shared" si="90"/>
        <v>-10200</v>
      </c>
      <c r="AG268" s="40">
        <f t="shared" si="90"/>
        <v>-22090.96048709115</v>
      </c>
      <c r="AH268" s="40">
        <f>SUM(V268:AG268)</f>
        <v>-277491.16048709117</v>
      </c>
      <c r="AI268" s="132">
        <f>IFERROR(AH268/R268-1,0)</f>
        <v>-0.10708853804126717</v>
      </c>
      <c r="AJ268" s="13"/>
      <c r="AK268" s="40">
        <f t="shared" ref="AK268:AV268" si="91">AK$262*$B268</f>
        <v>-32363.344000000001</v>
      </c>
      <c r="AL268" s="40">
        <f t="shared" si="91"/>
        <v>-38875.188000000002</v>
      </c>
      <c r="AM268" s="40">
        <f t="shared" si="91"/>
        <v>-26103.168000000001</v>
      </c>
      <c r="AN268" s="40">
        <f t="shared" si="91"/>
        <v>-32295.444000000003</v>
      </c>
      <c r="AO268" s="40">
        <f t="shared" si="91"/>
        <v>-17356.852000000003</v>
      </c>
      <c r="AP268" s="40">
        <f t="shared" si="91"/>
        <v>-26391.996000000003</v>
      </c>
      <c r="AQ268" s="40">
        <f t="shared" si="91"/>
        <v>-43601.528000000006</v>
      </c>
      <c r="AR268" s="40">
        <f t="shared" si="91"/>
        <v>-23185.252</v>
      </c>
      <c r="AS268" s="40">
        <f t="shared" si="91"/>
        <v>-42426.222170399444</v>
      </c>
      <c r="AT268" s="40">
        <f t="shared" si="91"/>
        <v>-47222.420891210902</v>
      </c>
      <c r="AU268" s="40">
        <f t="shared" si="91"/>
        <v>-43687.923949945209</v>
      </c>
      <c r="AV268" s="40">
        <f t="shared" si="91"/>
        <v>-37212.790987156113</v>
      </c>
      <c r="AW268" s="40">
        <f>SUM(AK268:AV268)</f>
        <v>-410722.12999871169</v>
      </c>
      <c r="AX268" s="132">
        <f>IFERROR(AW268/AG268-1,0)</f>
        <v>17.592316537740274</v>
      </c>
    </row>
    <row r="269" spans="1:50">
      <c r="A269" s="13" t="s">
        <v>445</v>
      </c>
      <c r="B269" s="139">
        <f>_xlfn.XLOOKUP("B2B CoGS",'ROW P&amp;L'!$B:$B,'ROW P&amp;L'!$C:$C)</f>
        <v>-0.42</v>
      </c>
      <c r="C269" s="13"/>
      <c r="D269" s="13"/>
      <c r="E269" s="13"/>
      <c r="F269" s="40">
        <f t="shared" ref="F269:Q269" si="92">F$263*$B269</f>
        <v>-72043.465199999991</v>
      </c>
      <c r="G269" s="40">
        <f t="shared" si="92"/>
        <v>-32505.471599999997</v>
      </c>
      <c r="H269" s="40">
        <f t="shared" si="92"/>
        <v>-3052.8288000000002</v>
      </c>
      <c r="I269" s="40">
        <f t="shared" si="92"/>
        <v>-20093.610599999996</v>
      </c>
      <c r="J269" s="40">
        <f t="shared" si="92"/>
        <v>-4501.8540000000003</v>
      </c>
      <c r="K269" s="40">
        <f t="shared" si="92"/>
        <v>-42311.472000000002</v>
      </c>
      <c r="L269" s="40">
        <f t="shared" si="92"/>
        <v>-33026.876400000001</v>
      </c>
      <c r="M269" s="40">
        <f t="shared" si="92"/>
        <v>-70234.029599999994</v>
      </c>
      <c r="N269" s="40">
        <f t="shared" si="92"/>
        <v>1348.0319999999999</v>
      </c>
      <c r="O269" s="40">
        <f t="shared" si="92"/>
        <v>-6300</v>
      </c>
      <c r="P269" s="40">
        <f t="shared" si="92"/>
        <v>-104160</v>
      </c>
      <c r="Q269" s="40">
        <f t="shared" si="92"/>
        <v>-30240</v>
      </c>
      <c r="R269" s="40">
        <f>SUM(F269:Q269)</f>
        <v>-417121.57620000001</v>
      </c>
      <c r="S269" s="13"/>
      <c r="T269" s="13"/>
      <c r="U269" s="13"/>
      <c r="V269" s="40">
        <f t="shared" ref="V269:AG269" si="93">V$263*$B269</f>
        <v>-300.58559999999994</v>
      </c>
      <c r="W269" s="40">
        <f t="shared" si="93"/>
        <v>-21982.902480000001</v>
      </c>
      <c r="X269" s="40">
        <f t="shared" si="93"/>
        <v>-56700</v>
      </c>
      <c r="Y269" s="40">
        <f t="shared" si="93"/>
        <v>-49585.831679999996</v>
      </c>
      <c r="Z269" s="40">
        <f t="shared" si="93"/>
        <v>-35642.224799999996</v>
      </c>
      <c r="AA269" s="40">
        <f t="shared" si="93"/>
        <v>-33557.008799999996</v>
      </c>
      <c r="AB269" s="40">
        <f t="shared" si="93"/>
        <v>-40451.486879999997</v>
      </c>
      <c r="AC269" s="40">
        <f t="shared" si="93"/>
        <v>-41759.229119999996</v>
      </c>
      <c r="AD269" s="40">
        <f t="shared" si="93"/>
        <v>-33600</v>
      </c>
      <c r="AE269" s="40">
        <f t="shared" si="93"/>
        <v>-8400</v>
      </c>
      <c r="AF269" s="40">
        <f t="shared" si="93"/>
        <v>-840</v>
      </c>
      <c r="AG269" s="40">
        <f t="shared" si="93"/>
        <v>-840</v>
      </c>
      <c r="AH269" s="40">
        <f>SUM(V269:AG269)</f>
        <v>-323659.26935999992</v>
      </c>
      <c r="AI269" s="132">
        <f>IFERROR(AH269/R269-1,0)</f>
        <v>-0.22406490618741604</v>
      </c>
      <c r="AJ269" s="13"/>
      <c r="AK269" s="40">
        <f t="shared" ref="AK269:AV269" si="94">AK$263*$B269</f>
        <v>-81342.702000000005</v>
      </c>
      <c r="AL269" s="40">
        <f t="shared" si="94"/>
        <v>-36499.637999999999</v>
      </c>
      <c r="AM269" s="40">
        <f t="shared" si="94"/>
        <v>-13092.676799999999</v>
      </c>
      <c r="AN269" s="40">
        <f t="shared" si="94"/>
        <v>-30593.610599999996</v>
      </c>
      <c r="AO269" s="40">
        <f t="shared" si="94"/>
        <v>-15001.853999999998</v>
      </c>
      <c r="AP269" s="40">
        <f t="shared" si="94"/>
        <v>-57080.729999999996</v>
      </c>
      <c r="AQ269" s="40">
        <f t="shared" si="94"/>
        <v>-43526.876400000001</v>
      </c>
      <c r="AR269" s="40">
        <f t="shared" si="94"/>
        <v>-80734.02959999998</v>
      </c>
      <c r="AS269" s="40">
        <f t="shared" si="94"/>
        <v>-45790.60991234723</v>
      </c>
      <c r="AT269" s="40">
        <f t="shared" si="94"/>
        <v>-51211.079195970808</v>
      </c>
      <c r="AU269" s="40">
        <f t="shared" si="94"/>
        <v>-47216.534095064155</v>
      </c>
      <c r="AV269" s="40">
        <f t="shared" si="94"/>
        <v>-39898.601420615109</v>
      </c>
      <c r="AW269" s="40">
        <f>SUM(AK269:AV269)</f>
        <v>-541988.94202399731</v>
      </c>
      <c r="AX269" s="132">
        <f>IFERROR(AW269/AG269-1,0)</f>
        <v>644.22493098094913</v>
      </c>
    </row>
    <row r="270" spans="1:50">
      <c r="A270" s="413" t="s">
        <v>446</v>
      </c>
      <c r="B270" s="413"/>
      <c r="C270" s="413"/>
      <c r="D270" s="413"/>
      <c r="E270" s="413"/>
      <c r="F270" s="397">
        <f t="shared" ref="F270:Q270" si="95">SUM(F266:F269)</f>
        <v>-214244.69810400001</v>
      </c>
      <c r="G270" s="397">
        <f t="shared" si="95"/>
        <v>-161690.404488</v>
      </c>
      <c r="H270" s="397">
        <f t="shared" si="95"/>
        <v>-82138.173903999996</v>
      </c>
      <c r="I270" s="397">
        <f t="shared" si="95"/>
        <v>-157041.01614399996</v>
      </c>
      <c r="J270" s="397">
        <f t="shared" si="95"/>
        <v>-165327.04844800002</v>
      </c>
      <c r="K270" s="397">
        <f t="shared" si="95"/>
        <v>-134605.746912</v>
      </c>
      <c r="L270" s="397">
        <f t="shared" si="95"/>
        <v>-112837.30945599999</v>
      </c>
      <c r="M270" s="397">
        <f t="shared" si="95"/>
        <v>-163829.26663999999</v>
      </c>
      <c r="N270" s="397">
        <f t="shared" si="95"/>
        <v>-191534.67311999999</v>
      </c>
      <c r="O270" s="397">
        <f t="shared" si="95"/>
        <v>-229504.33571175454</v>
      </c>
      <c r="P270" s="397">
        <f t="shared" si="95"/>
        <v>-233257.68029446588</v>
      </c>
      <c r="Q270" s="397">
        <f t="shared" si="95"/>
        <v>-193057.43056083436</v>
      </c>
      <c r="R270" s="411">
        <f>SUM(F270:Q270)</f>
        <v>-2039067.7837830549</v>
      </c>
      <c r="S270" s="40"/>
      <c r="T270" s="13"/>
      <c r="U270" s="13"/>
      <c r="V270" s="397">
        <f t="shared" ref="V270:AG270" si="96">SUM(V266:V269)</f>
        <v>-127733.21769507213</v>
      </c>
      <c r="W270" s="397">
        <f t="shared" si="96"/>
        <v>-232799.5880502669</v>
      </c>
      <c r="X270" s="397">
        <f t="shared" si="96"/>
        <v>-176545.43463847059</v>
      </c>
      <c r="Y270" s="397">
        <f t="shared" si="96"/>
        <v>-180886.68732164821</v>
      </c>
      <c r="Z270" s="397">
        <f t="shared" si="96"/>
        <v>-197245.73839634584</v>
      </c>
      <c r="AA270" s="397">
        <f t="shared" si="96"/>
        <v>-140101.05169945292</v>
      </c>
      <c r="AB270" s="397">
        <f t="shared" si="96"/>
        <v>-169693.18528655058</v>
      </c>
      <c r="AC270" s="397">
        <f t="shared" si="96"/>
        <v>-188720.49625387526</v>
      </c>
      <c r="AD270" s="397">
        <f t="shared" si="96"/>
        <v>-239906.74852759059</v>
      </c>
      <c r="AE270" s="397">
        <f t="shared" si="96"/>
        <v>-194440.94104771886</v>
      </c>
      <c r="AF270" s="397">
        <f t="shared" si="96"/>
        <v>-133966.96407997329</v>
      </c>
      <c r="AG270" s="397">
        <f t="shared" si="96"/>
        <v>-134892.62591887469</v>
      </c>
      <c r="AH270" s="411">
        <f>SUM(V270:AG270)</f>
        <v>-2116932.6789158396</v>
      </c>
      <c r="AI270" s="422">
        <f>IFERROR(AH270/R270-1,0)</f>
        <v>3.818651628555636E-2</v>
      </c>
      <c r="AJ270" s="13"/>
      <c r="AK270" s="397">
        <f t="shared" ref="AK270:AV270" si="97">SUM(AK266:AK269)</f>
        <v>-230045.95704800001</v>
      </c>
      <c r="AL270" s="397">
        <f t="shared" si="97"/>
        <v>-163447.06991200001</v>
      </c>
      <c r="AM270" s="397">
        <f t="shared" si="97"/>
        <v>-108068.20542399999</v>
      </c>
      <c r="AN270" s="397">
        <f t="shared" si="97"/>
        <v>-170577.58615999998</v>
      </c>
      <c r="AO270" s="397">
        <f t="shared" si="97"/>
        <v>-79996.024999999994</v>
      </c>
      <c r="AP270" s="397">
        <f t="shared" si="97"/>
        <v>-159782.10795199999</v>
      </c>
      <c r="AQ270" s="397">
        <f t="shared" si="97"/>
        <v>-138349.94881599999</v>
      </c>
      <c r="AR270" s="397">
        <f t="shared" si="97"/>
        <v>-186771.18647999997</v>
      </c>
      <c r="AS270" s="397">
        <f t="shared" si="97"/>
        <v>-247966.09418317326</v>
      </c>
      <c r="AT270" s="397">
        <f t="shared" si="97"/>
        <v>-281586.81390740484</v>
      </c>
      <c r="AU270" s="397">
        <f t="shared" si="97"/>
        <v>-256810.45705779904</v>
      </c>
      <c r="AV270" s="397">
        <f t="shared" si="97"/>
        <v>-211420.62999028456</v>
      </c>
      <c r="AW270" s="411">
        <f>SUM(AK270:AV270)</f>
        <v>-2234822.0819306616</v>
      </c>
      <c r="AX270" s="422">
        <f>IFERROR(AW270/AG270-1,0)</f>
        <v>15.567414761980377</v>
      </c>
    </row>
    <row r="272" spans="1:50">
      <c r="A272" s="413" t="s">
        <v>447</v>
      </c>
      <c r="B272" s="413"/>
      <c r="C272" s="413"/>
      <c r="D272" s="413"/>
      <c r="E272" s="413"/>
      <c r="F272" s="411">
        <f t="shared" ref="F272:R272" si="98">F264+F270</f>
        <v>450353.73189600004</v>
      </c>
      <c r="G272" s="411">
        <f t="shared" si="98"/>
        <v>350167.90551199997</v>
      </c>
      <c r="H272" s="411">
        <f t="shared" si="98"/>
        <v>207133.17609599998</v>
      </c>
      <c r="I272" s="411">
        <f t="shared" si="98"/>
        <v>362186.70385599998</v>
      </c>
      <c r="J272" s="411">
        <f t="shared" si="98"/>
        <v>427342.83155200002</v>
      </c>
      <c r="K272" s="411">
        <f t="shared" si="98"/>
        <v>283764.41308800003</v>
      </c>
      <c r="L272" s="411">
        <f t="shared" si="98"/>
        <v>216928.90054399997</v>
      </c>
      <c r="M272" s="411">
        <f t="shared" si="98"/>
        <v>342393.81336000009</v>
      </c>
      <c r="N272" s="411">
        <f t="shared" si="98"/>
        <v>502161.25687999983</v>
      </c>
      <c r="O272" s="411">
        <f t="shared" si="98"/>
        <v>529000.62774945714</v>
      </c>
      <c r="P272" s="411">
        <f t="shared" si="98"/>
        <v>474062.2996991392</v>
      </c>
      <c r="Q272" s="411">
        <f t="shared" si="98"/>
        <v>433575.47508551518</v>
      </c>
      <c r="R272" s="411">
        <f t="shared" si="98"/>
        <v>4579071.1353181116</v>
      </c>
      <c r="S272" s="40"/>
      <c r="T272" s="13"/>
      <c r="U272" s="13"/>
      <c r="V272" s="411">
        <f t="shared" ref="V272:AH272" si="99">V264+V270</f>
        <v>331417.6297180283</v>
      </c>
      <c r="W272" s="411">
        <f t="shared" si="99"/>
        <v>507721.82487156714</v>
      </c>
      <c r="X272" s="411">
        <f t="shared" si="99"/>
        <v>358986.56917724997</v>
      </c>
      <c r="Y272" s="411">
        <f t="shared" si="99"/>
        <v>376308.49049800239</v>
      </c>
      <c r="Z272" s="411">
        <f t="shared" si="99"/>
        <v>443209.09127723495</v>
      </c>
      <c r="AA272" s="411">
        <f t="shared" si="99"/>
        <v>307986.8504123374</v>
      </c>
      <c r="AB272" s="411">
        <f t="shared" si="99"/>
        <v>377376.31617917004</v>
      </c>
      <c r="AC272" s="411">
        <f t="shared" si="99"/>
        <v>432369.99610398494</v>
      </c>
      <c r="AD272" s="411">
        <f t="shared" si="99"/>
        <v>571435.96413812996</v>
      </c>
      <c r="AE272" s="411">
        <f t="shared" si="99"/>
        <v>453291.79148189968</v>
      </c>
      <c r="AF272" s="411">
        <f t="shared" si="99"/>
        <v>348071.61878042633</v>
      </c>
      <c r="AG272" s="411">
        <f t="shared" si="99"/>
        <v>335350.07714134047</v>
      </c>
      <c r="AH272" s="411">
        <f t="shared" si="99"/>
        <v>4843526.2197793722</v>
      </c>
      <c r="AI272" s="422">
        <f>IFERROR(AH272/R272-1,0)</f>
        <v>5.7752997637781522E-2</v>
      </c>
      <c r="AJ272" s="13"/>
      <c r="AK272" s="411">
        <f t="shared" ref="AK272:AW272" si="100">AK264+AK270</f>
        <v>475213.51295200008</v>
      </c>
      <c r="AL272" s="411">
        <f t="shared" si="100"/>
        <v>347047.64008799999</v>
      </c>
      <c r="AM272" s="411">
        <f t="shared" si="100"/>
        <v>251820.25457599992</v>
      </c>
      <c r="AN272" s="411">
        <f t="shared" si="100"/>
        <v>380462.58383999998</v>
      </c>
      <c r="AO272" s="411">
        <f t="shared" si="100"/>
        <v>158492.64500000005</v>
      </c>
      <c r="AP272" s="411">
        <f t="shared" si="100"/>
        <v>323793.56204799999</v>
      </c>
      <c r="AQ272" s="411">
        <f t="shared" si="100"/>
        <v>260627.97118400005</v>
      </c>
      <c r="AR272" s="411">
        <f t="shared" si="100"/>
        <v>379358.28352</v>
      </c>
      <c r="AS272" s="411">
        <f t="shared" si="100"/>
        <v>568072.68770257884</v>
      </c>
      <c r="AT272" s="411">
        <f t="shared" si="100"/>
        <v>647427.21504911804</v>
      </c>
      <c r="AU272" s="411">
        <f t="shared" si="100"/>
        <v>588947.91706571961</v>
      </c>
      <c r="AV272" s="411">
        <f t="shared" si="100"/>
        <v>481814.92577857152</v>
      </c>
      <c r="AW272" s="411">
        <f t="shared" si="100"/>
        <v>4863079.1988039883</v>
      </c>
      <c r="AX272" s="422">
        <f>IFERROR(AW272/AG272-1,0)</f>
        <v>13.50150016442173</v>
      </c>
    </row>
    <row r="275" spans="1:50">
      <c r="A275" s="13" t="s">
        <v>448</v>
      </c>
      <c r="B275" s="139">
        <f>_xlfn.XLOOKUP("B2B FulFilment",'UK P&amp;L'!$B:$B,'UK P&amp;L'!$C:$C)</f>
        <v>-5.2146324326728707E-2</v>
      </c>
      <c r="C275" s="17"/>
      <c r="D275" s="17"/>
      <c r="E275" s="17"/>
      <c r="F275" s="40">
        <f t="shared" ref="F275:Q275" si="101">F$260*$B275</f>
        <v>-16230.713965174862</v>
      </c>
      <c r="G275" s="40">
        <f t="shared" si="101"/>
        <v>-12574.339897489512</v>
      </c>
      <c r="H275" s="40">
        <f t="shared" si="101"/>
        <v>-11662.317893302054</v>
      </c>
      <c r="I275" s="40">
        <f t="shared" si="101"/>
        <v>-14798.577743130441</v>
      </c>
      <c r="J275" s="40">
        <f t="shared" si="101"/>
        <v>-21762.733436472638</v>
      </c>
      <c r="K275" s="40">
        <f t="shared" si="101"/>
        <v>-10020.101860295525</v>
      </c>
      <c r="L275" s="40">
        <f t="shared" si="101"/>
        <v>-5658.6208389614494</v>
      </c>
      <c r="M275" s="40">
        <f t="shared" si="101"/>
        <v>-13998.977999558985</v>
      </c>
      <c r="N275" s="40">
        <f t="shared" si="101"/>
        <v>-29385.267240771118</v>
      </c>
      <c r="O275" s="40">
        <f t="shared" si="101"/>
        <v>-21282.568566246719</v>
      </c>
      <c r="P275" s="40">
        <f t="shared" si="101"/>
        <v>-17647.047207426225</v>
      </c>
      <c r="Q275" s="40">
        <f t="shared" si="101"/>
        <v>-18278.695651836028</v>
      </c>
      <c r="R275" s="40">
        <f>SUM(F275:Q275)</f>
        <v>-193299.96230066556</v>
      </c>
      <c r="S275" s="40"/>
      <c r="T275" s="13"/>
      <c r="U275" s="13"/>
      <c r="V275" s="40">
        <f t="shared" ref="V275:AG275" si="102">V$260*$B275</f>
        <v>-17532.287492740321</v>
      </c>
      <c r="W275" s="40">
        <f t="shared" si="102"/>
        <v>-12478.776746899015</v>
      </c>
      <c r="X275" s="40">
        <f t="shared" si="102"/>
        <v>-10551.498571605722</v>
      </c>
      <c r="Y275" s="40">
        <f t="shared" si="102"/>
        <v>-12038.783682473068</v>
      </c>
      <c r="Z275" s="40">
        <f t="shared" si="102"/>
        <v>-16405.2103759282</v>
      </c>
      <c r="AA275" s="40">
        <f t="shared" si="102"/>
        <v>-11620.461519720599</v>
      </c>
      <c r="AB275" s="40">
        <f t="shared" si="102"/>
        <v>-15640.892110562298</v>
      </c>
      <c r="AC275" s="40">
        <f t="shared" si="102"/>
        <v>-18968.334032065548</v>
      </c>
      <c r="AD275" s="40">
        <f t="shared" si="102"/>
        <v>-27049.173589606093</v>
      </c>
      <c r="AE275" s="40">
        <f t="shared" si="102"/>
        <v>-18857.60232721459</v>
      </c>
      <c r="AF275" s="40">
        <f t="shared" si="102"/>
        <v>-18126.788550271573</v>
      </c>
      <c r="AG275" s="40">
        <f t="shared" si="102"/>
        <v>-16258.090191406725</v>
      </c>
      <c r="AH275" s="40">
        <f>SUM(V275:AG275)</f>
        <v>-195527.89919049374</v>
      </c>
      <c r="AI275" s="132">
        <f>IFERROR(AH275/R275-1,0)</f>
        <v>1.1525800953663845E-2</v>
      </c>
      <c r="AJ275" s="13"/>
      <c r="AK275" s="40">
        <f t="shared" ref="AK275:AV275" si="103">AK$260*$B275</f>
        <v>-17283.168628090414</v>
      </c>
      <c r="AL275" s="40">
        <f t="shared" si="103"/>
        <v>-13178.74812715738</v>
      </c>
      <c r="AM275" s="40">
        <f t="shared" si="103"/>
        <v>-12420.191712536998</v>
      </c>
      <c r="AN275" s="40">
        <f t="shared" si="103"/>
        <v>-15691.014109364025</v>
      </c>
      <c r="AO275" s="40">
        <f t="shared" si="103"/>
        <v>-2706.7722934085887</v>
      </c>
      <c r="AP275" s="40">
        <f t="shared" si="103"/>
        <v>-11130.307534476444</v>
      </c>
      <c r="AQ275" s="40">
        <f t="shared" si="103"/>
        <v>-6765.207558234094</v>
      </c>
      <c r="AR275" s="40">
        <f t="shared" si="103"/>
        <v>-14686.016251828501</v>
      </c>
      <c r="AS275" s="40">
        <f t="shared" si="103"/>
        <v>-26197.159865017205</v>
      </c>
      <c r="AT275" s="40">
        <f t="shared" si="103"/>
        <v>-30044.711228393433</v>
      </c>
      <c r="AU275" s="40">
        <f t="shared" si="103"/>
        <v>-27209.307752259916</v>
      </c>
      <c r="AV275" s="40">
        <f t="shared" si="103"/>
        <v>-22014.901075380913</v>
      </c>
      <c r="AW275" s="40">
        <f>SUM(AK275:AV275)</f>
        <v>-199327.50613614795</v>
      </c>
      <c r="AX275" s="132">
        <f>IFERROR(AW275/AG275-1,0)</f>
        <v>11.260204229984113</v>
      </c>
    </row>
    <row r="276" spans="1:50">
      <c r="A276" s="13" t="s">
        <v>449</v>
      </c>
      <c r="B276" s="139">
        <f>_xlfn.XLOOKUP("B2B Fulfilment",'CE P&amp;L'!$B:$B,'CE P&amp;L'!$C:$C)</f>
        <v>-6.9695862933924754E-2</v>
      </c>
      <c r="C276" s="13"/>
      <c r="D276" s="13"/>
      <c r="E276" s="13"/>
      <c r="F276" s="40">
        <f t="shared" ref="F276:Q276" si="104">F$261*$B276</f>
        <v>-8673.5121443183252</v>
      </c>
      <c r="G276" s="40">
        <f t="shared" si="104"/>
        <v>-8436.990172989872</v>
      </c>
      <c r="H276" s="40">
        <f t="shared" si="104"/>
        <v>-1160.2576964407363</v>
      </c>
      <c r="I276" s="40">
        <f t="shared" si="104"/>
        <v>-9159.948843996619</v>
      </c>
      <c r="J276" s="40">
        <f t="shared" si="104"/>
        <v>-10040.110018643982</v>
      </c>
      <c r="K276" s="40">
        <f t="shared" si="104"/>
        <v>-6040.2909292939548</v>
      </c>
      <c r="L276" s="40">
        <f t="shared" si="104"/>
        <v>-4294.1495972303965</v>
      </c>
      <c r="M276" s="40">
        <f t="shared" si="104"/>
        <v>-2728.6432148844665</v>
      </c>
      <c r="N276" s="40">
        <f t="shared" si="104"/>
        <v>-3730.8613603707527</v>
      </c>
      <c r="O276" s="40">
        <f t="shared" si="104"/>
        <v>-13155.249140981936</v>
      </c>
      <c r="P276" s="40">
        <f t="shared" si="104"/>
        <v>-4903.0705970521531</v>
      </c>
      <c r="Q276" s="40">
        <f t="shared" si="104"/>
        <v>-7213.0158676113888</v>
      </c>
      <c r="R276" s="40">
        <f>SUM(F276:Q276)</f>
        <v>-79536.09958381459</v>
      </c>
      <c r="S276" s="13"/>
      <c r="T276" s="13"/>
      <c r="U276" s="13"/>
      <c r="V276" s="40">
        <f t="shared" ref="V276:AG276" si="105">V$261*$B276</f>
        <v>-6322.9392266299747</v>
      </c>
      <c r="W276" s="40">
        <f t="shared" si="105"/>
        <v>-25965.798349166365</v>
      </c>
      <c r="X276" s="40">
        <f t="shared" si="105"/>
        <v>-9642.3774472066198</v>
      </c>
      <c r="Y276" s="40">
        <f t="shared" si="105"/>
        <v>-9516.3596886294181</v>
      </c>
      <c r="Z276" s="40">
        <f t="shared" si="105"/>
        <v>-13137.170839132688</v>
      </c>
      <c r="AA276" s="40">
        <f t="shared" si="105"/>
        <v>-7374.1229462749179</v>
      </c>
      <c r="AB276" s="40">
        <f t="shared" si="105"/>
        <v>-6646.5646029783456</v>
      </c>
      <c r="AC276" s="40">
        <f t="shared" si="105"/>
        <v>-7869.4765936245476</v>
      </c>
      <c r="AD276" s="40">
        <f t="shared" si="105"/>
        <v>-9687.852481885986</v>
      </c>
      <c r="AE276" s="40">
        <f t="shared" si="105"/>
        <v>-11054.051793602084</v>
      </c>
      <c r="AF276" s="40">
        <f t="shared" si="105"/>
        <v>-7452.20619593627</v>
      </c>
      <c r="AG276" s="40">
        <f t="shared" si="105"/>
        <v>-7055.8030890915898</v>
      </c>
      <c r="AH276" s="40">
        <f>SUM(V276:AG276)</f>
        <v>-121724.7232541588</v>
      </c>
      <c r="AI276" s="132">
        <f>IFERROR(AH276/R276-1,0)</f>
        <v>0.53043365077119642</v>
      </c>
      <c r="AJ276" s="13"/>
      <c r="AK276" s="40">
        <f t="shared" ref="AK276:AV276" si="106">AK$261*$B276</f>
        <v>-6916.7582232058194</v>
      </c>
      <c r="AL276" s="40">
        <f t="shared" si="106"/>
        <v>-5134.9493363271949</v>
      </c>
      <c r="AM276" s="40">
        <f t="shared" si="106"/>
        <v>-1761.7636597401977</v>
      </c>
      <c r="AN276" s="40">
        <f t="shared" si="106"/>
        <v>-6729.5593171170731</v>
      </c>
      <c r="AO276" s="40">
        <f t="shared" si="106"/>
        <v>-7490.2555100680247</v>
      </c>
      <c r="AP276" s="40">
        <f t="shared" si="106"/>
        <v>-4756.423438188127</v>
      </c>
      <c r="AQ276" s="40">
        <f t="shared" si="106"/>
        <v>-3945.0367471667028</v>
      </c>
      <c r="AR276" s="40">
        <f t="shared" si="106"/>
        <v>-2391.3737828091353</v>
      </c>
      <c r="AS276" s="40">
        <f t="shared" si="106"/>
        <v>-6869.9271171250994</v>
      </c>
      <c r="AT276" s="40">
        <f t="shared" si="106"/>
        <v>-7866.2379047022851</v>
      </c>
      <c r="AU276" s="40">
        <f t="shared" si="106"/>
        <v>-7132.0194879462369</v>
      </c>
      <c r="AV276" s="40">
        <f t="shared" si="106"/>
        <v>-5786.9449409241442</v>
      </c>
      <c r="AW276" s="40">
        <f>SUM(AK276:AV276)</f>
        <v>-66781.249465320041</v>
      </c>
      <c r="AX276" s="132">
        <f>IFERROR(AW276/AG276-1,0)</f>
        <v>8.4647269236531226</v>
      </c>
    </row>
    <row r="277" spans="1:50">
      <c r="A277" s="13" t="s">
        <v>450</v>
      </c>
      <c r="B277" s="139">
        <f>_xlfn.XLOOKUP("B2B Fulfilment",'EE P&amp;L'!$B:$B,'EE P&amp;L'!$C:$C)</f>
        <v>-0.06</v>
      </c>
      <c r="C277" s="13"/>
      <c r="D277" s="13"/>
      <c r="E277" s="13"/>
      <c r="F277" s="40">
        <f t="shared" ref="F277:Q277" si="107">F$262*$B277</f>
        <v>-3441.9047999999998</v>
      </c>
      <c r="G277" s="40">
        <f t="shared" si="107"/>
        <v>-4336.4549999999999</v>
      </c>
      <c r="H277" s="40">
        <f t="shared" si="107"/>
        <v>-2502.5549999999998</v>
      </c>
      <c r="I277" s="40">
        <f t="shared" si="107"/>
        <v>-3370.1328000000003</v>
      </c>
      <c r="J277" s="40">
        <f t="shared" si="107"/>
        <v>-1233.3240000000001</v>
      </c>
      <c r="K277" s="40">
        <f t="shared" si="107"/>
        <v>-2328.5147999999999</v>
      </c>
      <c r="L277" s="40">
        <f t="shared" si="107"/>
        <v>-4860.2292000000007</v>
      </c>
      <c r="M277" s="40">
        <f t="shared" si="107"/>
        <v>-1883.5667999999998</v>
      </c>
      <c r="N277" s="40">
        <f t="shared" si="107"/>
        <v>-4791.5598</v>
      </c>
      <c r="O277" s="40">
        <f t="shared" si="107"/>
        <v>-8797.2617043867212</v>
      </c>
      <c r="P277" s="40">
        <f t="shared" si="107"/>
        <v>-3033.3863606406212</v>
      </c>
      <c r="Q277" s="40">
        <f t="shared" si="107"/>
        <v>-6036.788720385176</v>
      </c>
      <c r="R277" s="40">
        <f>SUM(F277:Q277)</f>
        <v>-46615.678985412531</v>
      </c>
      <c r="S277" s="13"/>
      <c r="T277" s="13"/>
      <c r="U277" s="13"/>
      <c r="V277" s="40">
        <f t="shared" ref="V277:AG277" si="108">V$262*$B277</f>
        <v>-1890</v>
      </c>
      <c r="W277" s="40">
        <f t="shared" si="108"/>
        <v>-4579.1639999999998</v>
      </c>
      <c r="X277" s="40">
        <f t="shared" si="108"/>
        <v>-3590.3159999999998</v>
      </c>
      <c r="Y277" s="40">
        <f t="shared" si="108"/>
        <v>-4303.62</v>
      </c>
      <c r="Z277" s="40">
        <f t="shared" si="108"/>
        <v>-3150</v>
      </c>
      <c r="AA277" s="40">
        <f t="shared" si="108"/>
        <v>-2372.556</v>
      </c>
      <c r="AB277" s="40">
        <f t="shared" si="108"/>
        <v>-3326.9279999999999</v>
      </c>
      <c r="AC277" s="40">
        <f t="shared" si="108"/>
        <v>-2700</v>
      </c>
      <c r="AD277" s="40">
        <f t="shared" si="108"/>
        <v>-4417.4459999999999</v>
      </c>
      <c r="AE277" s="40">
        <f t="shared" si="108"/>
        <v>-6450</v>
      </c>
      <c r="AF277" s="40">
        <f t="shared" si="108"/>
        <v>-1530</v>
      </c>
      <c r="AG277" s="40">
        <f t="shared" si="108"/>
        <v>-3313.6440730636723</v>
      </c>
      <c r="AH277" s="40">
        <f>SUM(V277:AG277)</f>
        <v>-41623.674073063674</v>
      </c>
      <c r="AI277" s="132">
        <f>IFERROR(AH277/R277-1,0)</f>
        <v>-0.10708853804126739</v>
      </c>
      <c r="AJ277" s="13"/>
      <c r="AK277" s="40">
        <f t="shared" ref="AK277:AV277" si="109">AK$262*$B277</f>
        <v>-4854.5015999999996</v>
      </c>
      <c r="AL277" s="40">
        <f t="shared" si="109"/>
        <v>-5831.2781999999997</v>
      </c>
      <c r="AM277" s="40">
        <f t="shared" si="109"/>
        <v>-3915.4751999999999</v>
      </c>
      <c r="AN277" s="40">
        <f t="shared" si="109"/>
        <v>-4844.3166000000001</v>
      </c>
      <c r="AO277" s="40">
        <f t="shared" si="109"/>
        <v>-2603.5278000000003</v>
      </c>
      <c r="AP277" s="40">
        <f t="shared" si="109"/>
        <v>-3958.7994000000003</v>
      </c>
      <c r="AQ277" s="40">
        <f t="shared" si="109"/>
        <v>-6540.2291999999998</v>
      </c>
      <c r="AR277" s="40">
        <f t="shared" si="109"/>
        <v>-3477.7877999999996</v>
      </c>
      <c r="AS277" s="40">
        <f t="shared" si="109"/>
        <v>-6363.9333255599167</v>
      </c>
      <c r="AT277" s="40">
        <f t="shared" si="109"/>
        <v>-7083.3631336816343</v>
      </c>
      <c r="AU277" s="40">
        <f t="shared" si="109"/>
        <v>-6553.1885924917806</v>
      </c>
      <c r="AV277" s="40">
        <f t="shared" si="109"/>
        <v>-5581.9186480734161</v>
      </c>
      <c r="AW277" s="40">
        <f>SUM(AK277:AV277)</f>
        <v>-61608.319499806748</v>
      </c>
      <c r="AX277" s="132">
        <f>IFERROR(AW277/AG277-1,0)</f>
        <v>17.59231653774027</v>
      </c>
    </row>
    <row r="278" spans="1:50">
      <c r="A278" s="13" t="s">
        <v>451</v>
      </c>
      <c r="B278" s="139">
        <f>_xlfn.XLOOKUP("B2B Fulfilment",'ROW P&amp;L'!$B:$B,'ROW P&amp;L'!$C:$C)</f>
        <v>-0.13837340763093953</v>
      </c>
      <c r="C278" s="13"/>
      <c r="D278" s="13"/>
      <c r="E278" s="13"/>
      <c r="F278" s="40">
        <f t="shared" ref="F278:Q278" si="110">F$263*$B278</f>
        <v>-23735.475660154778</v>
      </c>
      <c r="G278" s="40">
        <f t="shared" si="110"/>
        <v>-10709.26874272078</v>
      </c>
      <c r="H278" s="40">
        <f t="shared" si="110"/>
        <v>-1005.7864856425524</v>
      </c>
      <c r="I278" s="40">
        <f t="shared" si="110"/>
        <v>-6620.0508817408736</v>
      </c>
      <c r="J278" s="40">
        <f t="shared" si="110"/>
        <v>-1483.1830443737515</v>
      </c>
      <c r="K278" s="40">
        <f t="shared" si="110"/>
        <v>-13939.958482193058</v>
      </c>
      <c r="L278" s="40">
        <f t="shared" si="110"/>
        <v>-10881.051025890136</v>
      </c>
      <c r="M278" s="40">
        <f t="shared" si="110"/>
        <v>-23139.338112867314</v>
      </c>
      <c r="N278" s="40">
        <f t="shared" si="110"/>
        <v>444.12328913226349</v>
      </c>
      <c r="O278" s="40">
        <f t="shared" si="110"/>
        <v>-2075.6011144640929</v>
      </c>
      <c r="P278" s="40">
        <f t="shared" si="110"/>
        <v>-34316.605092473001</v>
      </c>
      <c r="Q278" s="40">
        <f t="shared" si="110"/>
        <v>-9962.8853494276464</v>
      </c>
      <c r="R278" s="40">
        <f>SUM(F278:Q278)</f>
        <v>-137425.0807028157</v>
      </c>
      <c r="S278" s="13"/>
      <c r="T278" s="13"/>
      <c r="U278" s="13"/>
      <c r="V278" s="40">
        <f t="shared" ref="V278:AG278" si="111">V$263*$B278</f>
        <v>-99.0310803733108</v>
      </c>
      <c r="W278" s="40">
        <f t="shared" si="111"/>
        <v>-7242.4979185148377</v>
      </c>
      <c r="X278" s="40">
        <f t="shared" si="111"/>
        <v>-18680.410030176838</v>
      </c>
      <c r="Y278" s="40">
        <f t="shared" si="111"/>
        <v>-16336.572618513797</v>
      </c>
      <c r="Z278" s="40">
        <f t="shared" si="111"/>
        <v>-11742.705002676148</v>
      </c>
      <c r="AA278" s="40">
        <f t="shared" si="111"/>
        <v>-11055.70870847006</v>
      </c>
      <c r="AB278" s="40">
        <f t="shared" si="111"/>
        <v>-13327.166865056766</v>
      </c>
      <c r="AC278" s="40">
        <f t="shared" si="111"/>
        <v>-13758.016269941809</v>
      </c>
      <c r="AD278" s="40">
        <f t="shared" si="111"/>
        <v>-11069.872610475162</v>
      </c>
      <c r="AE278" s="40">
        <f t="shared" si="111"/>
        <v>-2767.4681526187906</v>
      </c>
      <c r="AF278" s="40">
        <f t="shared" si="111"/>
        <v>-276.74681526187908</v>
      </c>
      <c r="AG278" s="40">
        <f t="shared" si="111"/>
        <v>-276.74681526187908</v>
      </c>
      <c r="AH278" s="40">
        <f>SUM(V278:AG278)</f>
        <v>-106632.94288734128</v>
      </c>
      <c r="AI278" s="132">
        <f>IFERROR(AH278/R278-1,0)</f>
        <v>-0.22406490618741559</v>
      </c>
      <c r="AJ278" s="13"/>
      <c r="AK278" s="40">
        <f t="shared" ref="AK278:AV278" si="112">AK$263*$B278</f>
        <v>-26799.206813447716</v>
      </c>
      <c r="AL278" s="40">
        <f t="shared" si="112"/>
        <v>-12025.188779418404</v>
      </c>
      <c r="AM278" s="40">
        <f t="shared" si="112"/>
        <v>-4313.5197710155835</v>
      </c>
      <c r="AN278" s="40">
        <f t="shared" si="112"/>
        <v>-10079.386072514362</v>
      </c>
      <c r="AO278" s="40">
        <f t="shared" si="112"/>
        <v>-4942.5182351472395</v>
      </c>
      <c r="AP278" s="40">
        <f t="shared" si="112"/>
        <v>-18805.845524194283</v>
      </c>
      <c r="AQ278" s="40">
        <f t="shared" si="112"/>
        <v>-14340.386216663625</v>
      </c>
      <c r="AR278" s="40">
        <f t="shared" si="112"/>
        <v>-26598.6733036408</v>
      </c>
      <c r="AS278" s="40">
        <f t="shared" si="112"/>
        <v>-15086.196978739436</v>
      </c>
      <c r="AT278" s="40">
        <f t="shared" si="112"/>
        <v>-16872.027468581895</v>
      </c>
      <c r="AU278" s="40">
        <f t="shared" si="112"/>
        <v>-15555.98266489635</v>
      </c>
      <c r="AV278" s="40">
        <f t="shared" si="112"/>
        <v>-13145.012948283707</v>
      </c>
      <c r="AW278" s="40">
        <f>SUM(AK278:AV278)</f>
        <v>-178563.94477654342</v>
      </c>
      <c r="AX278" s="132">
        <f>IFERROR(AW278/AG278-1,0)</f>
        <v>644.22493098094913</v>
      </c>
    </row>
    <row r="279" spans="1:50">
      <c r="A279" s="413" t="s">
        <v>110</v>
      </c>
      <c r="B279" s="413"/>
      <c r="C279" s="413"/>
      <c r="D279" s="413"/>
      <c r="E279" s="413"/>
      <c r="F279" s="397">
        <f t="shared" ref="F279:Q279" si="113">SUM(F274:F278)</f>
        <v>-52081.606569647964</v>
      </c>
      <c r="G279" s="397">
        <f t="shared" si="113"/>
        <v>-36057.05381320016</v>
      </c>
      <c r="H279" s="397">
        <f t="shared" si="113"/>
        <v>-16330.917075385343</v>
      </c>
      <c r="I279" s="397">
        <f t="shared" si="113"/>
        <v>-33948.71026886793</v>
      </c>
      <c r="J279" s="397">
        <f t="shared" si="113"/>
        <v>-34519.350499490371</v>
      </c>
      <c r="K279" s="397">
        <f t="shared" si="113"/>
        <v>-32328.866071782537</v>
      </c>
      <c r="L279" s="397">
        <f t="shared" si="113"/>
        <v>-25694.05066208198</v>
      </c>
      <c r="M279" s="397">
        <f t="shared" si="113"/>
        <v>-41750.526127310761</v>
      </c>
      <c r="N279" s="397">
        <f t="shared" si="113"/>
        <v>-37463.565112009608</v>
      </c>
      <c r="O279" s="397">
        <f t="shared" si="113"/>
        <v>-45310.680526079472</v>
      </c>
      <c r="P279" s="397">
        <f t="shared" si="113"/>
        <v>-59900.109257591997</v>
      </c>
      <c r="Q279" s="397">
        <f t="shared" si="113"/>
        <v>-41491.385589260237</v>
      </c>
      <c r="R279" s="411">
        <f>SUM(F279:Q279)</f>
        <v>-456876.82157270837</v>
      </c>
      <c r="S279" s="40"/>
      <c r="T279" s="13"/>
      <c r="U279" s="13"/>
      <c r="V279" s="397">
        <f t="shared" ref="V279:AG279" si="114">SUM(V274:V278)</f>
        <v>-25844.257799743606</v>
      </c>
      <c r="W279" s="397">
        <f t="shared" si="114"/>
        <v>-50266.23701458022</v>
      </c>
      <c r="X279" s="397">
        <f t="shared" si="114"/>
        <v>-42464.602048989182</v>
      </c>
      <c r="Y279" s="397">
        <f t="shared" si="114"/>
        <v>-42195.335989616287</v>
      </c>
      <c r="Z279" s="397">
        <f t="shared" si="114"/>
        <v>-44435.086217737036</v>
      </c>
      <c r="AA279" s="397">
        <f t="shared" si="114"/>
        <v>-32422.849174465577</v>
      </c>
      <c r="AB279" s="397">
        <f t="shared" si="114"/>
        <v>-38941.551578597413</v>
      </c>
      <c r="AC279" s="397">
        <f t="shared" si="114"/>
        <v>-43295.826895631901</v>
      </c>
      <c r="AD279" s="397">
        <f t="shared" si="114"/>
        <v>-52224.344681967246</v>
      </c>
      <c r="AE279" s="397">
        <f t="shared" si="114"/>
        <v>-39129.122273435467</v>
      </c>
      <c r="AF279" s="397">
        <f t="shared" si="114"/>
        <v>-27385.74156146972</v>
      </c>
      <c r="AG279" s="397">
        <f t="shared" si="114"/>
        <v>-26904.284168823866</v>
      </c>
      <c r="AH279" s="411">
        <f>SUM(V279:AG279)</f>
        <v>-465509.23940505751</v>
      </c>
      <c r="AI279" s="422">
        <f>IFERROR(AH279/R279-1,0)</f>
        <v>1.8894409663054779E-2</v>
      </c>
      <c r="AJ279" s="13"/>
      <c r="AK279" s="397">
        <f t="shared" ref="AK279:AV279" si="115">SUM(AK274:AK278)</f>
        <v>-55853.635264743949</v>
      </c>
      <c r="AL279" s="397">
        <f t="shared" si="115"/>
        <v>-36170.164442902984</v>
      </c>
      <c r="AM279" s="397">
        <f t="shared" si="115"/>
        <v>-22410.950343292781</v>
      </c>
      <c r="AN279" s="397">
        <f t="shared" si="115"/>
        <v>-37344.276098995455</v>
      </c>
      <c r="AO279" s="397">
        <f t="shared" si="115"/>
        <v>-17743.073838623852</v>
      </c>
      <c r="AP279" s="397">
        <f t="shared" si="115"/>
        <v>-38651.375896858852</v>
      </c>
      <c r="AQ279" s="397">
        <f t="shared" si="115"/>
        <v>-31590.859722064422</v>
      </c>
      <c r="AR279" s="397">
        <f t="shared" si="115"/>
        <v>-47153.851138278435</v>
      </c>
      <c r="AS279" s="397">
        <f t="shared" si="115"/>
        <v>-54517.217286441657</v>
      </c>
      <c r="AT279" s="397">
        <f t="shared" si="115"/>
        <v>-61866.339735359245</v>
      </c>
      <c r="AU279" s="397">
        <f t="shared" si="115"/>
        <v>-56450.498497594286</v>
      </c>
      <c r="AV279" s="397">
        <f t="shared" si="115"/>
        <v>-46528.777612662176</v>
      </c>
      <c r="AW279" s="411">
        <f>SUM(AK279:AV279)</f>
        <v>-506281.01987781806</v>
      </c>
      <c r="AX279" s="422">
        <f>IFERROR(AW279/AG279-1,0)</f>
        <v>17.817858773008581</v>
      </c>
    </row>
    <row r="281" spans="1:50">
      <c r="A281" s="413" t="s">
        <v>452</v>
      </c>
      <c r="B281" s="413"/>
      <c r="C281" s="413"/>
      <c r="D281" s="413"/>
      <c r="E281" s="413"/>
      <c r="F281" s="411">
        <f t="shared" ref="F281:R281" si="116">F272+F279</f>
        <v>398272.12532635208</v>
      </c>
      <c r="G281" s="411">
        <f t="shared" si="116"/>
        <v>314110.85169879982</v>
      </c>
      <c r="H281" s="411">
        <f t="shared" si="116"/>
        <v>190802.25902061464</v>
      </c>
      <c r="I281" s="411">
        <f t="shared" si="116"/>
        <v>328237.99358713208</v>
      </c>
      <c r="J281" s="411">
        <f t="shared" si="116"/>
        <v>392823.48105250963</v>
      </c>
      <c r="K281" s="411">
        <f t="shared" si="116"/>
        <v>251435.54701621749</v>
      </c>
      <c r="L281" s="411">
        <f t="shared" si="116"/>
        <v>191234.84988191799</v>
      </c>
      <c r="M281" s="411">
        <f t="shared" si="116"/>
        <v>300643.28723268933</v>
      </c>
      <c r="N281" s="411">
        <f t="shared" si="116"/>
        <v>464697.69176799024</v>
      </c>
      <c r="O281" s="411">
        <f t="shared" si="116"/>
        <v>483689.94722337765</v>
      </c>
      <c r="P281" s="411">
        <f t="shared" si="116"/>
        <v>414162.19044154719</v>
      </c>
      <c r="Q281" s="411">
        <f t="shared" si="116"/>
        <v>392084.08949625492</v>
      </c>
      <c r="R281" s="411">
        <f t="shared" si="116"/>
        <v>4122194.3137454032</v>
      </c>
      <c r="S281" s="40"/>
      <c r="T281" s="13"/>
      <c r="U281" s="13"/>
      <c r="V281" s="411">
        <f t="shared" ref="V281:AH281" si="117">V272+V279</f>
        <v>305573.37191828468</v>
      </c>
      <c r="W281" s="411">
        <f t="shared" si="117"/>
        <v>457455.58785698691</v>
      </c>
      <c r="X281" s="411">
        <f t="shared" si="117"/>
        <v>316521.96712826076</v>
      </c>
      <c r="Y281" s="411">
        <f t="shared" si="117"/>
        <v>334113.1545083861</v>
      </c>
      <c r="Z281" s="411">
        <f t="shared" si="117"/>
        <v>398774.0050594979</v>
      </c>
      <c r="AA281" s="411">
        <f t="shared" si="117"/>
        <v>275564.00123787182</v>
      </c>
      <c r="AB281" s="411">
        <f t="shared" si="117"/>
        <v>338434.76460057264</v>
      </c>
      <c r="AC281" s="411">
        <f t="shared" si="117"/>
        <v>389074.16920835304</v>
      </c>
      <c r="AD281" s="411">
        <f t="shared" si="117"/>
        <v>519211.61945616273</v>
      </c>
      <c r="AE281" s="411">
        <f t="shared" si="117"/>
        <v>414162.66920846421</v>
      </c>
      <c r="AF281" s="411">
        <f t="shared" si="117"/>
        <v>320685.87721895659</v>
      </c>
      <c r="AG281" s="411">
        <f t="shared" si="117"/>
        <v>308445.79297251662</v>
      </c>
      <c r="AH281" s="411">
        <f t="shared" si="117"/>
        <v>4378016.9803743148</v>
      </c>
      <c r="AI281" s="422">
        <f>IFERROR(AH281/R281-1,0)</f>
        <v>6.2059827159499648E-2</v>
      </c>
      <c r="AJ281" s="13"/>
      <c r="AK281" s="411">
        <f t="shared" ref="AK281:AW281" si="118">AK272+AK279</f>
        <v>419359.87768725614</v>
      </c>
      <c r="AL281" s="411">
        <f t="shared" si="118"/>
        <v>310877.47564509697</v>
      </c>
      <c r="AM281" s="411">
        <f t="shared" si="118"/>
        <v>229409.30423270713</v>
      </c>
      <c r="AN281" s="411">
        <f t="shared" si="118"/>
        <v>343118.30774100451</v>
      </c>
      <c r="AO281" s="411">
        <f t="shared" si="118"/>
        <v>140749.5711613762</v>
      </c>
      <c r="AP281" s="411">
        <f t="shared" si="118"/>
        <v>285142.18615114113</v>
      </c>
      <c r="AQ281" s="411">
        <f t="shared" si="118"/>
        <v>229037.11146193562</v>
      </c>
      <c r="AR281" s="411">
        <f t="shared" si="118"/>
        <v>332204.43238172156</v>
      </c>
      <c r="AS281" s="411">
        <f t="shared" si="118"/>
        <v>513555.47041613719</v>
      </c>
      <c r="AT281" s="411">
        <f t="shared" si="118"/>
        <v>585560.87531375885</v>
      </c>
      <c r="AU281" s="411">
        <f t="shared" si="118"/>
        <v>532497.41856812534</v>
      </c>
      <c r="AV281" s="411">
        <f t="shared" si="118"/>
        <v>435286.14816590934</v>
      </c>
      <c r="AW281" s="411">
        <f t="shared" si="118"/>
        <v>4356798.1789261699</v>
      </c>
      <c r="AX281" s="422">
        <f>IFERROR(AW281/AG281-1,0)</f>
        <v>13.125004387122157</v>
      </c>
    </row>
    <row r="283" spans="1:50">
      <c r="A283" s="7" t="s">
        <v>453</v>
      </c>
      <c r="B283" s="13"/>
      <c r="C283" s="13"/>
      <c r="D283" s="13"/>
      <c r="E283" s="13"/>
      <c r="F283" s="40">
        <f t="shared" ref="F283:Q283" si="119">SUMIF($C$196:$C$211,$A260,F$196:F$211)</f>
        <v>15427.127499999999</v>
      </c>
      <c r="G283" s="40">
        <f t="shared" si="119"/>
        <v>11025.9974</v>
      </c>
      <c r="H283" s="40">
        <f t="shared" si="119"/>
        <v>13850.295199999999</v>
      </c>
      <c r="I283" s="40">
        <f t="shared" si="119"/>
        <v>13427.830600000001</v>
      </c>
      <c r="J283" s="40">
        <f t="shared" si="119"/>
        <v>14038.343199999999</v>
      </c>
      <c r="K283" s="40">
        <f t="shared" si="119"/>
        <v>10338.2366</v>
      </c>
      <c r="L283" s="40">
        <f t="shared" si="119"/>
        <v>9607.1484999999993</v>
      </c>
      <c r="M283" s="40">
        <f t="shared" si="119"/>
        <v>13964.142400000001</v>
      </c>
      <c r="N283" s="40">
        <f t="shared" si="119"/>
        <v>22505.949399999998</v>
      </c>
      <c r="O283" s="40">
        <f t="shared" si="119"/>
        <v>18495.428789324946</v>
      </c>
      <c r="P283" s="40">
        <f t="shared" si="119"/>
        <v>18768.565356480867</v>
      </c>
      <c r="Q283" s="40">
        <f t="shared" si="119"/>
        <v>15163.09044833277</v>
      </c>
      <c r="R283" s="40">
        <f t="shared" ref="R283:R290" si="120">SUM(F283:Q283)</f>
        <v>176612.15539413856</v>
      </c>
      <c r="S283" s="13"/>
      <c r="T283" s="13"/>
      <c r="U283" s="13"/>
      <c r="V283" s="40">
        <f t="shared" ref="V283:AG283" si="121">SUMIF($C$196:$C$211,$A260,V$196:V$211)</f>
        <v>16197.118742999999</v>
      </c>
      <c r="W283" s="40">
        <f t="shared" si="121"/>
        <v>10677.828648000001</v>
      </c>
      <c r="X283" s="40">
        <f t="shared" si="121"/>
        <v>12024.262983999999</v>
      </c>
      <c r="Y283" s="40">
        <f t="shared" si="121"/>
        <v>12665.261685999998</v>
      </c>
      <c r="Z283" s="40">
        <f t="shared" si="121"/>
        <v>16103.527399999999</v>
      </c>
      <c r="AA283" s="40">
        <f t="shared" si="121"/>
        <v>11204.272838000003</v>
      </c>
      <c r="AB283" s="40">
        <f t="shared" si="121"/>
        <v>24455.950382000003</v>
      </c>
      <c r="AC283" s="40">
        <f t="shared" si="121"/>
        <v>25573.979076</v>
      </c>
      <c r="AD283" s="40">
        <f t="shared" si="121"/>
        <v>22811.606756000001</v>
      </c>
      <c r="AE283" s="40">
        <f t="shared" si="121"/>
        <v>19844.059166887131</v>
      </c>
      <c r="AF283" s="40">
        <f t="shared" si="121"/>
        <v>18499.101557734062</v>
      </c>
      <c r="AG283" s="40">
        <f t="shared" si="121"/>
        <v>14473.719443378863</v>
      </c>
      <c r="AH283" s="40">
        <f t="shared" ref="AH283:AH290" si="122">SUM(V283:AG283)</f>
        <v>204530.68868100009</v>
      </c>
      <c r="AI283" s="132">
        <f t="shared" ref="AI283:AI291" si="123">IFERROR(AH283/R283-1,0)</f>
        <v>0.1580782094219777</v>
      </c>
      <c r="AJ283" s="13"/>
      <c r="AK283" s="40">
        <f t="shared" ref="AK283:AV283" si="124">SUMIF($C$196:$C$211,$A260,AK$196:AK$211)</f>
        <v>0</v>
      </c>
      <c r="AL283" s="40">
        <f t="shared" si="124"/>
        <v>0</v>
      </c>
      <c r="AM283" s="40">
        <f t="shared" si="124"/>
        <v>0</v>
      </c>
      <c r="AN283" s="40">
        <f t="shared" si="124"/>
        <v>0</v>
      </c>
      <c r="AO283" s="40">
        <f t="shared" si="124"/>
        <v>0</v>
      </c>
      <c r="AP283" s="40">
        <f t="shared" si="124"/>
        <v>0</v>
      </c>
      <c r="AQ283" s="40">
        <f t="shared" si="124"/>
        <v>0</v>
      </c>
      <c r="AR283" s="40">
        <f t="shared" si="124"/>
        <v>0</v>
      </c>
      <c r="AS283" s="40">
        <f t="shared" si="124"/>
        <v>0</v>
      </c>
      <c r="AT283" s="40">
        <f t="shared" si="124"/>
        <v>0</v>
      </c>
      <c r="AU283" s="40">
        <f t="shared" si="124"/>
        <v>0</v>
      </c>
      <c r="AV283" s="40">
        <f t="shared" si="124"/>
        <v>0</v>
      </c>
      <c r="AW283" s="40">
        <f t="shared" ref="AW283:AW290" si="125">SUM(AK283:AV283)</f>
        <v>0</v>
      </c>
      <c r="AX283" s="132">
        <f t="shared" ref="AX283:AX291" si="126">IFERROR(AW283/AG283-1,0)</f>
        <v>-1</v>
      </c>
    </row>
    <row r="284" spans="1:50">
      <c r="A284" s="7" t="s">
        <v>454</v>
      </c>
      <c r="B284" s="13"/>
      <c r="C284" s="13"/>
      <c r="D284" s="13"/>
      <c r="E284" s="13"/>
      <c r="F284" s="40">
        <f t="shared" ref="F284:Q284" si="127">SUMIF($C$179:$C$194,$A260,F$179:F$194)</f>
        <v>84725.156799999997</v>
      </c>
      <c r="G284" s="40">
        <f t="shared" si="127"/>
        <v>54827.275000000001</v>
      </c>
      <c r="H284" s="40">
        <f t="shared" si="127"/>
        <v>49178.061400000006</v>
      </c>
      <c r="I284" s="40">
        <f t="shared" si="127"/>
        <v>73533.541800000006</v>
      </c>
      <c r="J284" s="40">
        <f t="shared" si="127"/>
        <v>114929.4148</v>
      </c>
      <c r="K284" s="40">
        <f t="shared" si="127"/>
        <v>51861.068699999996</v>
      </c>
      <c r="L284" s="40">
        <f t="shared" si="127"/>
        <v>23126.884899999997</v>
      </c>
      <c r="M284" s="40">
        <f t="shared" si="127"/>
        <v>66528.262600000002</v>
      </c>
      <c r="N284" s="40">
        <f t="shared" si="127"/>
        <v>143134.13859999998</v>
      </c>
      <c r="O284" s="40">
        <f t="shared" si="127"/>
        <v>99309.69135999665</v>
      </c>
      <c r="P284" s="40">
        <f t="shared" si="127"/>
        <v>77093.814398775896</v>
      </c>
      <c r="Q284" s="40">
        <f t="shared" si="127"/>
        <v>89548.57052433092</v>
      </c>
      <c r="R284" s="40">
        <f t="shared" si="120"/>
        <v>927795.88088310359</v>
      </c>
      <c r="S284" s="13"/>
      <c r="T284" s="13"/>
      <c r="U284" s="13"/>
      <c r="V284" s="40">
        <f t="shared" ref="V284:AG284" si="128">SUMIF($C$179:$C$194,$A260,V$179:V$194)</f>
        <v>92422.312831999996</v>
      </c>
      <c r="W284" s="40">
        <f t="shared" si="128"/>
        <v>58691.374391999998</v>
      </c>
      <c r="X284" s="40">
        <f t="shared" si="128"/>
        <v>45836.689315999996</v>
      </c>
      <c r="Y284" s="40">
        <f t="shared" si="128"/>
        <v>58784.594664000004</v>
      </c>
      <c r="Z284" s="40">
        <f t="shared" si="128"/>
        <v>83551.309199999989</v>
      </c>
      <c r="AA284" s="40">
        <f t="shared" si="128"/>
        <v>54665.340866999992</v>
      </c>
      <c r="AB284" s="40">
        <f t="shared" si="128"/>
        <v>74285.886238000006</v>
      </c>
      <c r="AC284" s="40">
        <f t="shared" si="128"/>
        <v>88325.213743999993</v>
      </c>
      <c r="AD284" s="40">
        <f t="shared" si="128"/>
        <v>145528.28696400003</v>
      </c>
      <c r="AE284" s="40">
        <f t="shared" si="128"/>
        <v>94547.666183974332</v>
      </c>
      <c r="AF284" s="40">
        <f t="shared" si="128"/>
        <v>96646.499115973042</v>
      </c>
      <c r="AG284" s="40">
        <f t="shared" si="128"/>
        <v>88107.541836555552</v>
      </c>
      <c r="AH284" s="40">
        <f t="shared" si="122"/>
        <v>981392.71535350289</v>
      </c>
      <c r="AI284" s="132">
        <f t="shared" si="123"/>
        <v>5.7767915955160509E-2</v>
      </c>
      <c r="AJ284" s="13"/>
      <c r="AK284" s="40">
        <f t="shared" ref="AK284:AV284" si="129">SUMIF($C$179:$C$194,$A260,AK$179:AK$194)</f>
        <v>0</v>
      </c>
      <c r="AL284" s="40">
        <f t="shared" si="129"/>
        <v>0</v>
      </c>
      <c r="AM284" s="40">
        <f t="shared" si="129"/>
        <v>0</v>
      </c>
      <c r="AN284" s="40">
        <f t="shared" si="129"/>
        <v>0</v>
      </c>
      <c r="AO284" s="40">
        <f t="shared" si="129"/>
        <v>0</v>
      </c>
      <c r="AP284" s="40">
        <f t="shared" si="129"/>
        <v>0</v>
      </c>
      <c r="AQ284" s="40">
        <f t="shared" si="129"/>
        <v>0</v>
      </c>
      <c r="AR284" s="40">
        <f t="shared" si="129"/>
        <v>0</v>
      </c>
      <c r="AS284" s="40">
        <f t="shared" si="129"/>
        <v>0</v>
      </c>
      <c r="AT284" s="40">
        <f t="shared" si="129"/>
        <v>0</v>
      </c>
      <c r="AU284" s="40">
        <f t="shared" si="129"/>
        <v>0</v>
      </c>
      <c r="AV284" s="40">
        <f t="shared" si="129"/>
        <v>0</v>
      </c>
      <c r="AW284" s="40">
        <f t="shared" si="125"/>
        <v>0</v>
      </c>
      <c r="AX284" s="132">
        <f t="shared" si="126"/>
        <v>-1</v>
      </c>
    </row>
    <row r="285" spans="1:50">
      <c r="A285" s="7" t="s">
        <v>455</v>
      </c>
      <c r="B285" s="13"/>
      <c r="C285" s="13"/>
      <c r="D285" s="13"/>
      <c r="E285" s="13"/>
      <c r="F285" s="40">
        <f t="shared" ref="F285:Q285" si="130">SUMIF($C$196:$C$211,$A261,F$196:F$211)</f>
        <v>6984.1830000000009</v>
      </c>
      <c r="G285" s="40">
        <f t="shared" si="130"/>
        <v>4893.165</v>
      </c>
      <c r="H285" s="40">
        <f t="shared" si="130"/>
        <v>0</v>
      </c>
      <c r="I285" s="40">
        <f t="shared" si="130"/>
        <v>6706.6380000000008</v>
      </c>
      <c r="J285" s="40">
        <f t="shared" si="130"/>
        <v>5882.1040000000012</v>
      </c>
      <c r="K285" s="40">
        <f t="shared" si="130"/>
        <v>3446.0040000000004</v>
      </c>
      <c r="L285" s="40">
        <f t="shared" si="130"/>
        <v>4513.049</v>
      </c>
      <c r="M285" s="40">
        <f t="shared" si="130"/>
        <v>-84.039000000000001</v>
      </c>
      <c r="N285" s="40">
        <f t="shared" si="130"/>
        <v>0</v>
      </c>
      <c r="O285" s="40">
        <f t="shared" si="130"/>
        <v>11400</v>
      </c>
      <c r="P285" s="40">
        <f t="shared" si="130"/>
        <v>4000</v>
      </c>
      <c r="Q285" s="40">
        <f t="shared" si="130"/>
        <v>4040.6176320486538</v>
      </c>
      <c r="R285" s="40">
        <f t="shared" si="120"/>
        <v>51781.721632048662</v>
      </c>
      <c r="S285" s="13"/>
      <c r="T285" s="13"/>
      <c r="U285" s="13"/>
      <c r="V285" s="40">
        <f t="shared" ref="V285:AG285" si="131">SUMIF($C$196:$C$211,$A261,V$196:V$211)</f>
        <v>6047.4356506550221</v>
      </c>
      <c r="W285" s="40">
        <f t="shared" si="131"/>
        <v>20946.247751091702</v>
      </c>
      <c r="X285" s="40">
        <f t="shared" si="131"/>
        <v>7973.6795807860262</v>
      </c>
      <c r="Y285" s="40">
        <f t="shared" si="131"/>
        <v>10169.938725982533</v>
      </c>
      <c r="Z285" s="40">
        <f t="shared" si="131"/>
        <v>11368.560871179039</v>
      </c>
      <c r="AA285" s="40">
        <f t="shared" si="131"/>
        <v>6869.0656855895195</v>
      </c>
      <c r="AB285" s="40">
        <f t="shared" si="131"/>
        <v>6281.5585807860261</v>
      </c>
      <c r="AC285" s="40">
        <f t="shared" si="131"/>
        <v>5724.3257903930134</v>
      </c>
      <c r="AD285" s="40">
        <f t="shared" si="131"/>
        <v>9232.9435807860264</v>
      </c>
      <c r="AE285" s="40">
        <f t="shared" si="131"/>
        <v>9538.3060816748293</v>
      </c>
      <c r="AF285" s="40">
        <f t="shared" si="131"/>
        <v>6809.2540138357099</v>
      </c>
      <c r="AG285" s="40">
        <f t="shared" si="131"/>
        <v>6329.856707339115</v>
      </c>
      <c r="AH285" s="40">
        <f t="shared" si="122"/>
        <v>107291.17302009858</v>
      </c>
      <c r="AI285" s="132">
        <f t="shared" si="123"/>
        <v>1.0719892973526415</v>
      </c>
      <c r="AJ285" s="13"/>
      <c r="AK285" s="40">
        <f t="shared" ref="AK285:AV285" si="132">SUMIF($C$196:$C$211,$A261,AK$196:AK$211)</f>
        <v>0</v>
      </c>
      <c r="AL285" s="40">
        <f t="shared" si="132"/>
        <v>0</v>
      </c>
      <c r="AM285" s="40">
        <f t="shared" si="132"/>
        <v>0</v>
      </c>
      <c r="AN285" s="40">
        <f t="shared" si="132"/>
        <v>0</v>
      </c>
      <c r="AO285" s="40">
        <f t="shared" si="132"/>
        <v>0</v>
      </c>
      <c r="AP285" s="40">
        <f t="shared" si="132"/>
        <v>0</v>
      </c>
      <c r="AQ285" s="40">
        <f t="shared" si="132"/>
        <v>0</v>
      </c>
      <c r="AR285" s="40">
        <f t="shared" si="132"/>
        <v>0</v>
      </c>
      <c r="AS285" s="40">
        <f t="shared" si="132"/>
        <v>0</v>
      </c>
      <c r="AT285" s="40">
        <f t="shared" si="132"/>
        <v>0</v>
      </c>
      <c r="AU285" s="40">
        <f t="shared" si="132"/>
        <v>0</v>
      </c>
      <c r="AV285" s="40">
        <f t="shared" si="132"/>
        <v>0</v>
      </c>
      <c r="AW285" s="40">
        <f t="shared" si="125"/>
        <v>0</v>
      </c>
      <c r="AX285" s="132">
        <f t="shared" si="126"/>
        <v>-1</v>
      </c>
    </row>
    <row r="286" spans="1:50">
      <c r="A286" s="7" t="s">
        <v>456</v>
      </c>
      <c r="B286" s="13"/>
      <c r="C286" s="13"/>
      <c r="D286" s="13"/>
      <c r="E286" s="13"/>
      <c r="F286" s="40">
        <f t="shared" ref="F286:Q286" si="133">SUMIF($C$179:$C$194,$A261,F$179:F$194)</f>
        <v>3492.0915000000005</v>
      </c>
      <c r="G286" s="40">
        <f t="shared" si="133"/>
        <v>2446.5825</v>
      </c>
      <c r="H286" s="40">
        <f t="shared" si="133"/>
        <v>0</v>
      </c>
      <c r="I286" s="40">
        <f t="shared" si="133"/>
        <v>3353.3190000000004</v>
      </c>
      <c r="J286" s="40">
        <f t="shared" si="133"/>
        <v>2941.0520000000006</v>
      </c>
      <c r="K286" s="40">
        <f t="shared" si="133"/>
        <v>1723.0020000000002</v>
      </c>
      <c r="L286" s="40">
        <f t="shared" si="133"/>
        <v>2256.5245</v>
      </c>
      <c r="M286" s="40">
        <f t="shared" si="133"/>
        <v>-42.019500000000001</v>
      </c>
      <c r="N286" s="40">
        <f t="shared" si="133"/>
        <v>0</v>
      </c>
      <c r="O286" s="40">
        <f t="shared" si="133"/>
        <v>5700</v>
      </c>
      <c r="P286" s="40">
        <f t="shared" si="133"/>
        <v>2000</v>
      </c>
      <c r="Q286" s="40">
        <f t="shared" si="133"/>
        <v>2020.3088160243269</v>
      </c>
      <c r="R286" s="40">
        <f t="shared" si="120"/>
        <v>25890.860816024331</v>
      </c>
      <c r="S286" s="13"/>
      <c r="T286" s="13"/>
      <c r="U286" s="13"/>
      <c r="V286" s="40">
        <f t="shared" ref="V286:AG286" si="134">SUMIF($C$179:$C$194,$A261,V$179:V$194)</f>
        <v>3318.477650655022</v>
      </c>
      <c r="W286" s="40">
        <f t="shared" si="134"/>
        <v>17151.890251091703</v>
      </c>
      <c r="X286" s="40">
        <f t="shared" si="134"/>
        <v>5690.5515807860265</v>
      </c>
      <c r="Y286" s="40">
        <f t="shared" si="134"/>
        <v>6427.1091009825323</v>
      </c>
      <c r="Z286" s="40">
        <f t="shared" si="134"/>
        <v>7227.3481211790386</v>
      </c>
      <c r="AA286" s="40">
        <f t="shared" si="134"/>
        <v>4374.8166855895197</v>
      </c>
      <c r="AB286" s="40">
        <f t="shared" si="134"/>
        <v>4056.9910807860265</v>
      </c>
      <c r="AC286" s="40">
        <f t="shared" si="134"/>
        <v>3714.0187903930132</v>
      </c>
      <c r="AD286" s="40">
        <f t="shared" si="134"/>
        <v>5420.1835807860261</v>
      </c>
      <c r="AE286" s="40">
        <f t="shared" si="134"/>
        <v>6199.7207264269346</v>
      </c>
      <c r="AF286" s="40">
        <f t="shared" si="134"/>
        <v>4208.3387973108684</v>
      </c>
      <c r="AG286" s="40">
        <f t="shared" si="134"/>
        <v>3968.6401440625709</v>
      </c>
      <c r="AH286" s="40">
        <f t="shared" si="122"/>
        <v>71758.086510049281</v>
      </c>
      <c r="AI286" s="132">
        <f t="shared" si="123"/>
        <v>1.7715604753333221</v>
      </c>
      <c r="AJ286" s="13"/>
      <c r="AK286" s="40">
        <f t="shared" ref="AK286:AV286" si="135">SUMIF($C$179:$C$194,$A261,AK$179:AK$194)</f>
        <v>0</v>
      </c>
      <c r="AL286" s="40">
        <f t="shared" si="135"/>
        <v>0</v>
      </c>
      <c r="AM286" s="40">
        <f t="shared" si="135"/>
        <v>0</v>
      </c>
      <c r="AN286" s="40">
        <f t="shared" si="135"/>
        <v>0</v>
      </c>
      <c r="AO286" s="40">
        <f t="shared" si="135"/>
        <v>0</v>
      </c>
      <c r="AP286" s="40">
        <f t="shared" si="135"/>
        <v>0</v>
      </c>
      <c r="AQ286" s="40">
        <f t="shared" si="135"/>
        <v>0</v>
      </c>
      <c r="AR286" s="40">
        <f t="shared" si="135"/>
        <v>0</v>
      </c>
      <c r="AS286" s="40">
        <f t="shared" si="135"/>
        <v>0</v>
      </c>
      <c r="AT286" s="40">
        <f t="shared" si="135"/>
        <v>0</v>
      </c>
      <c r="AU286" s="40">
        <f t="shared" si="135"/>
        <v>0</v>
      </c>
      <c r="AV286" s="40">
        <f t="shared" si="135"/>
        <v>0</v>
      </c>
      <c r="AW286" s="40">
        <f t="shared" si="125"/>
        <v>0</v>
      </c>
      <c r="AX286" s="132">
        <f t="shared" si="126"/>
        <v>-1</v>
      </c>
    </row>
    <row r="287" spans="1:50">
      <c r="A287" s="7" t="s">
        <v>457</v>
      </c>
      <c r="B287" s="13"/>
      <c r="C287" s="13"/>
      <c r="D287" s="13"/>
      <c r="E287" s="13"/>
      <c r="F287" s="40">
        <f t="shared" ref="F287:Q287" si="136">SUMIF($C$196:$C$211,$A262,F$196:F$211)</f>
        <v>0</v>
      </c>
      <c r="G287" s="40">
        <f t="shared" si="136"/>
        <v>0</v>
      </c>
      <c r="H287" s="40">
        <f t="shared" si="136"/>
        <v>0</v>
      </c>
      <c r="I287" s="40">
        <f t="shared" si="136"/>
        <v>0</v>
      </c>
      <c r="J287" s="40">
        <f t="shared" si="136"/>
        <v>0</v>
      </c>
      <c r="K287" s="40">
        <f t="shared" si="136"/>
        <v>0</v>
      </c>
      <c r="L287" s="40">
        <f t="shared" si="136"/>
        <v>0</v>
      </c>
      <c r="M287" s="40">
        <f t="shared" si="136"/>
        <v>0</v>
      </c>
      <c r="N287" s="40">
        <f t="shared" si="136"/>
        <v>0</v>
      </c>
      <c r="O287" s="40">
        <f t="shared" si="136"/>
        <v>0</v>
      </c>
      <c r="P287" s="40">
        <f t="shared" si="136"/>
        <v>0</v>
      </c>
      <c r="Q287" s="40">
        <f t="shared" si="136"/>
        <v>0</v>
      </c>
      <c r="R287" s="40">
        <f t="shared" si="120"/>
        <v>0</v>
      </c>
      <c r="S287" s="13"/>
      <c r="T287" s="13"/>
      <c r="U287" s="13"/>
      <c r="V287" s="40">
        <f t="shared" ref="V287:AG287" si="137">SUMIF($C$196:$C$211,$A262,V$196:V$211)</f>
        <v>0</v>
      </c>
      <c r="W287" s="40">
        <f t="shared" si="137"/>
        <v>0</v>
      </c>
      <c r="X287" s="40">
        <f t="shared" si="137"/>
        <v>0</v>
      </c>
      <c r="Y287" s="40">
        <f t="shared" si="137"/>
        <v>0</v>
      </c>
      <c r="Z287" s="40">
        <f t="shared" si="137"/>
        <v>0</v>
      </c>
      <c r="AA287" s="40">
        <f t="shared" si="137"/>
        <v>0</v>
      </c>
      <c r="AB287" s="40">
        <f t="shared" si="137"/>
        <v>0</v>
      </c>
      <c r="AC287" s="40">
        <f t="shared" si="137"/>
        <v>0</v>
      </c>
      <c r="AD287" s="40">
        <f t="shared" si="137"/>
        <v>0</v>
      </c>
      <c r="AE287" s="40">
        <f t="shared" si="137"/>
        <v>0</v>
      </c>
      <c r="AF287" s="40">
        <f t="shared" si="137"/>
        <v>0</v>
      </c>
      <c r="AG287" s="40">
        <f t="shared" si="137"/>
        <v>0</v>
      </c>
      <c r="AH287" s="40">
        <f t="shared" si="122"/>
        <v>0</v>
      </c>
      <c r="AI287" s="132">
        <f t="shared" si="123"/>
        <v>0</v>
      </c>
      <c r="AJ287" s="13"/>
      <c r="AK287" s="40">
        <f t="shared" ref="AK287:AV287" si="138">SUMIF($C$196:$C$211,$A262,AK$196:AK$211)</f>
        <v>0</v>
      </c>
      <c r="AL287" s="40">
        <f t="shared" si="138"/>
        <v>0</v>
      </c>
      <c r="AM287" s="40">
        <f t="shared" si="138"/>
        <v>0</v>
      </c>
      <c r="AN287" s="40">
        <f t="shared" si="138"/>
        <v>0</v>
      </c>
      <c r="AO287" s="40">
        <f t="shared" si="138"/>
        <v>0</v>
      </c>
      <c r="AP287" s="40">
        <f t="shared" si="138"/>
        <v>0</v>
      </c>
      <c r="AQ287" s="40">
        <f t="shared" si="138"/>
        <v>0</v>
      </c>
      <c r="AR287" s="40">
        <f t="shared" si="138"/>
        <v>0</v>
      </c>
      <c r="AS287" s="40">
        <f t="shared" si="138"/>
        <v>0</v>
      </c>
      <c r="AT287" s="40">
        <f t="shared" si="138"/>
        <v>0</v>
      </c>
      <c r="AU287" s="40">
        <f t="shared" si="138"/>
        <v>0</v>
      </c>
      <c r="AV287" s="40">
        <f t="shared" si="138"/>
        <v>0</v>
      </c>
      <c r="AW287" s="40">
        <f t="shared" si="125"/>
        <v>0</v>
      </c>
      <c r="AX287" s="132">
        <f t="shared" si="126"/>
        <v>0</v>
      </c>
    </row>
    <row r="288" spans="1:50">
      <c r="A288" s="7" t="s">
        <v>458</v>
      </c>
      <c r="B288" s="13"/>
      <c r="C288" s="13"/>
      <c r="D288" s="13"/>
      <c r="E288" s="13"/>
      <c r="F288" s="40">
        <f t="shared" ref="F288:Q288" si="139">SUMIF($C$179:$C$194,$A262,F$179:F$194)</f>
        <v>458.25</v>
      </c>
      <c r="G288" s="40">
        <f t="shared" si="139"/>
        <v>1190.97</v>
      </c>
      <c r="H288" s="40">
        <f t="shared" si="139"/>
        <v>1516.93</v>
      </c>
      <c r="I288" s="40">
        <f t="shared" si="139"/>
        <v>2268.5100000000002</v>
      </c>
      <c r="J288" s="40">
        <f t="shared" si="139"/>
        <v>1219.836</v>
      </c>
      <c r="K288" s="40">
        <f t="shared" si="139"/>
        <v>1779.9000000000003</v>
      </c>
      <c r="L288" s="40">
        <f t="shared" si="139"/>
        <v>1197.4400000000003</v>
      </c>
      <c r="M288" s="40">
        <f t="shared" si="139"/>
        <v>0</v>
      </c>
      <c r="N288" s="40">
        <f t="shared" si="139"/>
        <v>3811.7550000000001</v>
      </c>
      <c r="O288" s="40">
        <f t="shared" si="139"/>
        <v>7500</v>
      </c>
      <c r="P288" s="40">
        <f t="shared" si="139"/>
        <v>2500</v>
      </c>
      <c r="Q288" s="40">
        <f t="shared" si="139"/>
        <v>3000</v>
      </c>
      <c r="R288" s="40">
        <f t="shared" si="120"/>
        <v>26443.591</v>
      </c>
      <c r="S288" s="13"/>
      <c r="T288" s="13"/>
      <c r="U288" s="13"/>
      <c r="V288" s="40">
        <f t="shared" ref="V288:AG288" si="140">SUMIF($C$179:$C$194,$A262,V$179:V$194)</f>
        <v>500</v>
      </c>
      <c r="W288" s="40">
        <f t="shared" si="140"/>
        <v>1250</v>
      </c>
      <c r="X288" s="40">
        <f t="shared" si="140"/>
        <v>850</v>
      </c>
      <c r="Y288" s="40">
        <f t="shared" si="140"/>
        <v>1250</v>
      </c>
      <c r="Z288" s="40">
        <f t="shared" si="140"/>
        <v>500</v>
      </c>
      <c r="AA288" s="40">
        <f t="shared" si="140"/>
        <v>100</v>
      </c>
      <c r="AB288" s="40">
        <f t="shared" si="140"/>
        <v>1000</v>
      </c>
      <c r="AC288" s="40">
        <f t="shared" si="140"/>
        <v>850</v>
      </c>
      <c r="AD288" s="40">
        <f t="shared" si="140"/>
        <v>100</v>
      </c>
      <c r="AE288" s="40">
        <f t="shared" si="140"/>
        <v>1250</v>
      </c>
      <c r="AF288" s="40">
        <f t="shared" si="140"/>
        <v>100</v>
      </c>
      <c r="AG288" s="40">
        <f t="shared" si="140"/>
        <v>100</v>
      </c>
      <c r="AH288" s="40">
        <f t="shared" si="122"/>
        <v>7850</v>
      </c>
      <c r="AI288" s="132">
        <f t="shared" si="123"/>
        <v>-0.70314167996320931</v>
      </c>
      <c r="AJ288" s="13"/>
      <c r="AK288" s="40">
        <f t="shared" ref="AK288:AV288" si="141">SUMIF($C$179:$C$194,$A262,AK$179:AK$194)</f>
        <v>0</v>
      </c>
      <c r="AL288" s="40">
        <f t="shared" si="141"/>
        <v>0</v>
      </c>
      <c r="AM288" s="40">
        <f t="shared" si="141"/>
        <v>0</v>
      </c>
      <c r="AN288" s="40">
        <f t="shared" si="141"/>
        <v>0</v>
      </c>
      <c r="AO288" s="40">
        <f t="shared" si="141"/>
        <v>0</v>
      </c>
      <c r="AP288" s="40">
        <f t="shared" si="141"/>
        <v>0</v>
      </c>
      <c r="AQ288" s="40">
        <f t="shared" si="141"/>
        <v>0</v>
      </c>
      <c r="AR288" s="40">
        <f t="shared" si="141"/>
        <v>0</v>
      </c>
      <c r="AS288" s="40">
        <f t="shared" si="141"/>
        <v>0</v>
      </c>
      <c r="AT288" s="40">
        <f t="shared" si="141"/>
        <v>0</v>
      </c>
      <c r="AU288" s="40">
        <f t="shared" si="141"/>
        <v>0</v>
      </c>
      <c r="AV288" s="40">
        <f t="shared" si="141"/>
        <v>0</v>
      </c>
      <c r="AW288" s="40">
        <f t="shared" si="125"/>
        <v>0</v>
      </c>
      <c r="AX288" s="132">
        <f t="shared" si="126"/>
        <v>-1</v>
      </c>
    </row>
    <row r="289" spans="1:50">
      <c r="A289" s="7" t="s">
        <v>459</v>
      </c>
      <c r="B289" s="13"/>
      <c r="C289" s="13"/>
      <c r="D289" s="13"/>
      <c r="E289" s="13"/>
      <c r="F289" s="40">
        <f t="shared" ref="F289:Q289" si="142">SUMIF($C$196:$C$211,$A263,F$196:F$211)</f>
        <v>0</v>
      </c>
      <c r="G289" s="40">
        <f t="shared" si="142"/>
        <v>0</v>
      </c>
      <c r="H289" s="40">
        <f t="shared" si="142"/>
        <v>0</v>
      </c>
      <c r="I289" s="40">
        <f t="shared" si="142"/>
        <v>0</v>
      </c>
      <c r="J289" s="40">
        <f t="shared" si="142"/>
        <v>0</v>
      </c>
      <c r="K289" s="40">
        <f t="shared" si="142"/>
        <v>0</v>
      </c>
      <c r="L289" s="40">
        <f t="shared" si="142"/>
        <v>0</v>
      </c>
      <c r="M289" s="40">
        <f t="shared" si="142"/>
        <v>0</v>
      </c>
      <c r="N289" s="40">
        <f t="shared" si="142"/>
        <v>0</v>
      </c>
      <c r="O289" s="40">
        <f t="shared" si="142"/>
        <v>0</v>
      </c>
      <c r="P289" s="40">
        <f t="shared" si="142"/>
        <v>0</v>
      </c>
      <c r="Q289" s="40">
        <f t="shared" si="142"/>
        <v>0</v>
      </c>
      <c r="R289" s="40">
        <f t="shared" si="120"/>
        <v>0</v>
      </c>
      <c r="S289" s="13"/>
      <c r="T289" s="13"/>
      <c r="U289" s="13"/>
      <c r="V289" s="40">
        <f t="shared" ref="V289:AG289" si="143">SUMIF($C$196:$C$211,$A263,V$196:V$211)</f>
        <v>0</v>
      </c>
      <c r="W289" s="40">
        <f t="shared" si="143"/>
        <v>0</v>
      </c>
      <c r="X289" s="40">
        <f t="shared" si="143"/>
        <v>0</v>
      </c>
      <c r="Y289" s="40">
        <f t="shared" si="143"/>
        <v>0</v>
      </c>
      <c r="Z289" s="40">
        <f t="shared" si="143"/>
        <v>0</v>
      </c>
      <c r="AA289" s="40">
        <f t="shared" si="143"/>
        <v>0</v>
      </c>
      <c r="AB289" s="40">
        <f t="shared" si="143"/>
        <v>0</v>
      </c>
      <c r="AC289" s="40">
        <f t="shared" si="143"/>
        <v>0</v>
      </c>
      <c r="AD289" s="40">
        <f t="shared" si="143"/>
        <v>0</v>
      </c>
      <c r="AE289" s="40">
        <f t="shared" si="143"/>
        <v>0</v>
      </c>
      <c r="AF289" s="40">
        <f t="shared" si="143"/>
        <v>0</v>
      </c>
      <c r="AG289" s="40">
        <f t="shared" si="143"/>
        <v>0</v>
      </c>
      <c r="AH289" s="40">
        <f t="shared" si="122"/>
        <v>0</v>
      </c>
      <c r="AI289" s="132">
        <f t="shared" si="123"/>
        <v>0</v>
      </c>
      <c r="AJ289" s="13"/>
      <c r="AK289" s="40">
        <f t="shared" ref="AK289:AV289" si="144">SUMIF($C$196:$C$211,$A263,AK$196:AK$211)</f>
        <v>0</v>
      </c>
      <c r="AL289" s="40">
        <f t="shared" si="144"/>
        <v>0</v>
      </c>
      <c r="AM289" s="40">
        <f t="shared" si="144"/>
        <v>0</v>
      </c>
      <c r="AN289" s="40">
        <f t="shared" si="144"/>
        <v>0</v>
      </c>
      <c r="AO289" s="40">
        <f t="shared" si="144"/>
        <v>0</v>
      </c>
      <c r="AP289" s="40">
        <f t="shared" si="144"/>
        <v>0</v>
      </c>
      <c r="AQ289" s="40">
        <f t="shared" si="144"/>
        <v>0</v>
      </c>
      <c r="AR289" s="40">
        <f t="shared" si="144"/>
        <v>0</v>
      </c>
      <c r="AS289" s="40">
        <f t="shared" si="144"/>
        <v>0</v>
      </c>
      <c r="AT289" s="40">
        <f t="shared" si="144"/>
        <v>0</v>
      </c>
      <c r="AU289" s="40">
        <f t="shared" si="144"/>
        <v>0</v>
      </c>
      <c r="AV289" s="40">
        <f t="shared" si="144"/>
        <v>0</v>
      </c>
      <c r="AW289" s="40">
        <f t="shared" si="125"/>
        <v>0</v>
      </c>
      <c r="AX289" s="132">
        <f t="shared" si="126"/>
        <v>0</v>
      </c>
    </row>
    <row r="290" spans="1:50">
      <c r="A290" s="7" t="s">
        <v>460</v>
      </c>
      <c r="B290" s="13"/>
      <c r="C290" s="13"/>
      <c r="D290" s="13"/>
      <c r="E290" s="13"/>
      <c r="F290" s="40">
        <f t="shared" ref="F290:Q290" si="145">SUMIF($C$179:$C$194,$A263,F$179:F$194)</f>
        <v>0</v>
      </c>
      <c r="G290" s="40">
        <f t="shared" si="145"/>
        <v>0</v>
      </c>
      <c r="H290" s="40">
        <f t="shared" si="145"/>
        <v>0</v>
      </c>
      <c r="I290" s="40">
        <f t="shared" si="145"/>
        <v>0</v>
      </c>
      <c r="J290" s="40">
        <f t="shared" si="145"/>
        <v>0</v>
      </c>
      <c r="K290" s="40">
        <f t="shared" si="145"/>
        <v>0</v>
      </c>
      <c r="L290" s="40">
        <f t="shared" si="145"/>
        <v>0</v>
      </c>
      <c r="M290" s="40">
        <f t="shared" si="145"/>
        <v>0</v>
      </c>
      <c r="N290" s="40">
        <f t="shared" si="145"/>
        <v>0</v>
      </c>
      <c r="O290" s="40">
        <f t="shared" si="145"/>
        <v>0</v>
      </c>
      <c r="P290" s="40">
        <f t="shared" si="145"/>
        <v>0</v>
      </c>
      <c r="Q290" s="40">
        <f t="shared" si="145"/>
        <v>0</v>
      </c>
      <c r="R290" s="40">
        <f t="shared" si="120"/>
        <v>0</v>
      </c>
      <c r="S290" s="13"/>
      <c r="T290" s="13"/>
      <c r="U290" s="13"/>
      <c r="V290" s="40">
        <f t="shared" ref="V290:AG290" si="146">SUMIF($C$179:$C$194,$A263,V$179:V$194)</f>
        <v>0</v>
      </c>
      <c r="W290" s="40">
        <f t="shared" si="146"/>
        <v>0</v>
      </c>
      <c r="X290" s="40">
        <f t="shared" si="146"/>
        <v>0</v>
      </c>
      <c r="Y290" s="40">
        <f t="shared" si="146"/>
        <v>0</v>
      </c>
      <c r="Z290" s="40">
        <f t="shared" si="146"/>
        <v>0</v>
      </c>
      <c r="AA290" s="40">
        <f t="shared" si="146"/>
        <v>0</v>
      </c>
      <c r="AB290" s="40">
        <f t="shared" si="146"/>
        <v>0</v>
      </c>
      <c r="AC290" s="40">
        <f t="shared" si="146"/>
        <v>0</v>
      </c>
      <c r="AD290" s="40">
        <f t="shared" si="146"/>
        <v>0</v>
      </c>
      <c r="AE290" s="40">
        <f t="shared" si="146"/>
        <v>0</v>
      </c>
      <c r="AF290" s="40">
        <f t="shared" si="146"/>
        <v>0</v>
      </c>
      <c r="AG290" s="40">
        <f t="shared" si="146"/>
        <v>0</v>
      </c>
      <c r="AH290" s="40">
        <f t="shared" si="122"/>
        <v>0</v>
      </c>
      <c r="AI290" s="132">
        <f t="shared" si="123"/>
        <v>0</v>
      </c>
      <c r="AJ290" s="13"/>
      <c r="AK290" s="40">
        <f t="shared" ref="AK290:AV290" si="147">SUMIF($C$179:$C$194,$A263,AK$179:AK$194)</f>
        <v>0</v>
      </c>
      <c r="AL290" s="40">
        <f t="shared" si="147"/>
        <v>0</v>
      </c>
      <c r="AM290" s="40">
        <f t="shared" si="147"/>
        <v>0</v>
      </c>
      <c r="AN290" s="40">
        <f t="shared" si="147"/>
        <v>0</v>
      </c>
      <c r="AO290" s="40">
        <f t="shared" si="147"/>
        <v>0</v>
      </c>
      <c r="AP290" s="40">
        <f t="shared" si="147"/>
        <v>0</v>
      </c>
      <c r="AQ290" s="40">
        <f t="shared" si="147"/>
        <v>0</v>
      </c>
      <c r="AR290" s="40">
        <f t="shared" si="147"/>
        <v>0</v>
      </c>
      <c r="AS290" s="40">
        <f t="shared" si="147"/>
        <v>0</v>
      </c>
      <c r="AT290" s="40">
        <f t="shared" si="147"/>
        <v>0</v>
      </c>
      <c r="AU290" s="40">
        <f t="shared" si="147"/>
        <v>0</v>
      </c>
      <c r="AV290" s="40">
        <f t="shared" si="147"/>
        <v>0</v>
      </c>
      <c r="AW290" s="40">
        <f t="shared" si="125"/>
        <v>0</v>
      </c>
      <c r="AX290" s="132">
        <f t="shared" si="126"/>
        <v>0</v>
      </c>
    </row>
    <row r="291" spans="1:50">
      <c r="A291" s="413" t="s">
        <v>461</v>
      </c>
      <c r="B291" s="413"/>
      <c r="C291" s="413"/>
      <c r="D291" s="413"/>
      <c r="E291" s="413"/>
      <c r="F291" s="397">
        <f t="shared" ref="F291:R291" si="148">SUM(F283:F290)</f>
        <v>111086.8088</v>
      </c>
      <c r="G291" s="397">
        <f t="shared" si="148"/>
        <v>74383.9899</v>
      </c>
      <c r="H291" s="397">
        <f t="shared" si="148"/>
        <v>64545.286600000007</v>
      </c>
      <c r="I291" s="397">
        <f t="shared" si="148"/>
        <v>99289.839400000012</v>
      </c>
      <c r="J291" s="397">
        <f t="shared" si="148"/>
        <v>139010.75</v>
      </c>
      <c r="K291" s="397">
        <f t="shared" si="148"/>
        <v>69148.211299999981</v>
      </c>
      <c r="L291" s="397">
        <f t="shared" si="148"/>
        <v>40701.046900000001</v>
      </c>
      <c r="M291" s="397">
        <f t="shared" si="148"/>
        <v>80366.3465</v>
      </c>
      <c r="N291" s="397">
        <f t="shared" si="148"/>
        <v>169451.84299999999</v>
      </c>
      <c r="O291" s="397">
        <f t="shared" si="148"/>
        <v>142405.12014932159</v>
      </c>
      <c r="P291" s="397">
        <f t="shared" si="148"/>
        <v>104362.37975525676</v>
      </c>
      <c r="Q291" s="397">
        <f t="shared" si="148"/>
        <v>113772.58742073667</v>
      </c>
      <c r="R291" s="397">
        <f t="shared" si="148"/>
        <v>1208524.2097253152</v>
      </c>
      <c r="S291" s="40"/>
      <c r="T291" s="13"/>
      <c r="U291" s="13"/>
      <c r="V291" s="397">
        <f t="shared" ref="V291:AH291" si="149">SUM(V283:V290)</f>
        <v>118485.34487631005</v>
      </c>
      <c r="W291" s="397">
        <f t="shared" si="149"/>
        <v>108717.3410421834</v>
      </c>
      <c r="X291" s="397">
        <f t="shared" si="149"/>
        <v>72375.183461572044</v>
      </c>
      <c r="Y291" s="397">
        <f t="shared" si="149"/>
        <v>89296.904176965065</v>
      </c>
      <c r="Z291" s="397">
        <f t="shared" si="149"/>
        <v>118750.74559235806</v>
      </c>
      <c r="AA291" s="397">
        <f t="shared" si="149"/>
        <v>77213.496076179043</v>
      </c>
      <c r="AB291" s="397">
        <f t="shared" si="149"/>
        <v>110080.38628157206</v>
      </c>
      <c r="AC291" s="397">
        <f t="shared" si="149"/>
        <v>124187.53740078604</v>
      </c>
      <c r="AD291" s="397">
        <f t="shared" si="149"/>
        <v>183093.02088157207</v>
      </c>
      <c r="AE291" s="397">
        <f t="shared" si="149"/>
        <v>131379.75215896324</v>
      </c>
      <c r="AF291" s="397">
        <f t="shared" si="149"/>
        <v>126263.19348485368</v>
      </c>
      <c r="AG291" s="397">
        <f t="shared" si="149"/>
        <v>112979.75813133612</v>
      </c>
      <c r="AH291" s="397">
        <f t="shared" si="149"/>
        <v>1372822.6635646508</v>
      </c>
      <c r="AI291" s="422">
        <f t="shared" si="123"/>
        <v>0.13594965869709719</v>
      </c>
      <c r="AJ291" s="13"/>
      <c r="AK291" s="397">
        <f t="shared" ref="AK291:AW291" si="150">SUM(AK283:AK290)</f>
        <v>0</v>
      </c>
      <c r="AL291" s="397">
        <f t="shared" si="150"/>
        <v>0</v>
      </c>
      <c r="AM291" s="397">
        <f t="shared" si="150"/>
        <v>0</v>
      </c>
      <c r="AN291" s="397">
        <f t="shared" si="150"/>
        <v>0</v>
      </c>
      <c r="AO291" s="397">
        <f t="shared" si="150"/>
        <v>0</v>
      </c>
      <c r="AP291" s="397">
        <f t="shared" si="150"/>
        <v>0</v>
      </c>
      <c r="AQ291" s="397">
        <f t="shared" si="150"/>
        <v>0</v>
      </c>
      <c r="AR291" s="397">
        <f t="shared" si="150"/>
        <v>0</v>
      </c>
      <c r="AS291" s="397">
        <f t="shared" si="150"/>
        <v>0</v>
      </c>
      <c r="AT291" s="397">
        <f t="shared" si="150"/>
        <v>0</v>
      </c>
      <c r="AU291" s="397">
        <f t="shared" si="150"/>
        <v>0</v>
      </c>
      <c r="AV291" s="397">
        <f t="shared" si="150"/>
        <v>0</v>
      </c>
      <c r="AW291" s="397">
        <f t="shared" si="150"/>
        <v>0</v>
      </c>
      <c r="AX291" s="422">
        <f t="shared" si="126"/>
        <v>-1</v>
      </c>
    </row>
    <row r="293" spans="1:50">
      <c r="A293" s="413" t="s">
        <v>137</v>
      </c>
      <c r="B293" s="413"/>
      <c r="C293" s="413"/>
      <c r="D293" s="413"/>
      <c r="E293" s="413"/>
      <c r="F293" s="411">
        <f t="shared" ref="F293:R293" si="151">F281+F291</f>
        <v>509358.93412635208</v>
      </c>
      <c r="G293" s="411">
        <f t="shared" si="151"/>
        <v>388494.8415987998</v>
      </c>
      <c r="H293" s="411">
        <f t="shared" si="151"/>
        <v>255347.54562061466</v>
      </c>
      <c r="I293" s="411">
        <f t="shared" si="151"/>
        <v>427527.83298713207</v>
      </c>
      <c r="J293" s="411">
        <f t="shared" si="151"/>
        <v>531834.23105250963</v>
      </c>
      <c r="K293" s="411">
        <f t="shared" si="151"/>
        <v>320583.75831621746</v>
      </c>
      <c r="L293" s="411">
        <f t="shared" si="151"/>
        <v>231935.89678191801</v>
      </c>
      <c r="M293" s="411">
        <f t="shared" si="151"/>
        <v>381009.63373268931</v>
      </c>
      <c r="N293" s="411">
        <f t="shared" si="151"/>
        <v>634149.53476799023</v>
      </c>
      <c r="O293" s="411">
        <f t="shared" si="151"/>
        <v>626095.06737269927</v>
      </c>
      <c r="P293" s="411">
        <f t="shared" si="151"/>
        <v>518524.57019680395</v>
      </c>
      <c r="Q293" s="411">
        <f t="shared" si="151"/>
        <v>505856.67691699159</v>
      </c>
      <c r="R293" s="411">
        <f t="shared" si="151"/>
        <v>5330718.5234707184</v>
      </c>
      <c r="S293" s="40"/>
      <c r="T293" s="13"/>
      <c r="U293" s="13"/>
      <c r="V293" s="411">
        <f t="shared" ref="V293:AH293" si="152">V281+V291</f>
        <v>424058.71679459471</v>
      </c>
      <c r="W293" s="411">
        <f t="shared" si="152"/>
        <v>566172.92889917037</v>
      </c>
      <c r="X293" s="411">
        <f t="shared" si="152"/>
        <v>388897.1505898328</v>
      </c>
      <c r="Y293" s="411">
        <f t="shared" si="152"/>
        <v>423410.05868535116</v>
      </c>
      <c r="Z293" s="411">
        <f t="shared" si="152"/>
        <v>517524.75065185595</v>
      </c>
      <c r="AA293" s="411">
        <f t="shared" si="152"/>
        <v>352777.49731405085</v>
      </c>
      <c r="AB293" s="411">
        <f t="shared" si="152"/>
        <v>448515.15088214469</v>
      </c>
      <c r="AC293" s="411">
        <f t="shared" si="152"/>
        <v>513261.7066091391</v>
      </c>
      <c r="AD293" s="411">
        <f t="shared" si="152"/>
        <v>702304.64033773483</v>
      </c>
      <c r="AE293" s="411">
        <f t="shared" si="152"/>
        <v>545542.42136742745</v>
      </c>
      <c r="AF293" s="411">
        <f t="shared" si="152"/>
        <v>446949.07070381026</v>
      </c>
      <c r="AG293" s="411">
        <f t="shared" si="152"/>
        <v>421425.55110385275</v>
      </c>
      <c r="AH293" s="411">
        <f t="shared" si="152"/>
        <v>5750839.6439389661</v>
      </c>
      <c r="AI293" s="422">
        <f>IFERROR(AH293/R293-1,0)</f>
        <v>7.8811349467897918E-2</v>
      </c>
      <c r="AJ293" s="13"/>
      <c r="AK293" s="411">
        <f t="shared" ref="AK293:AW293" si="153">AK281+AK291</f>
        <v>419359.87768725614</v>
      </c>
      <c r="AL293" s="411">
        <f t="shared" si="153"/>
        <v>310877.47564509697</v>
      </c>
      <c r="AM293" s="411">
        <f t="shared" si="153"/>
        <v>229409.30423270713</v>
      </c>
      <c r="AN293" s="411">
        <f t="shared" si="153"/>
        <v>343118.30774100451</v>
      </c>
      <c r="AO293" s="411">
        <f t="shared" si="153"/>
        <v>140749.5711613762</v>
      </c>
      <c r="AP293" s="411">
        <f t="shared" si="153"/>
        <v>285142.18615114113</v>
      </c>
      <c r="AQ293" s="411">
        <f t="shared" si="153"/>
        <v>229037.11146193562</v>
      </c>
      <c r="AR293" s="411">
        <f t="shared" si="153"/>
        <v>332204.43238172156</v>
      </c>
      <c r="AS293" s="411">
        <f t="shared" si="153"/>
        <v>513555.47041613719</v>
      </c>
      <c r="AT293" s="411">
        <f t="shared" si="153"/>
        <v>585560.87531375885</v>
      </c>
      <c r="AU293" s="411">
        <f t="shared" si="153"/>
        <v>532497.41856812534</v>
      </c>
      <c r="AV293" s="411">
        <f t="shared" si="153"/>
        <v>435286.14816590934</v>
      </c>
      <c r="AW293" s="411">
        <f t="shared" si="153"/>
        <v>4356798.1789261699</v>
      </c>
      <c r="AX293" s="422">
        <f>IFERROR(AW293/AG293-1,0)</f>
        <v>9.3382392631729996</v>
      </c>
    </row>
  </sheetData>
  <conditionalFormatting sqref="E1">
    <cfRule type="cellIs" dxfId="4" priority="2" operator="greaterThan">
      <formula>200000</formula>
    </cfRule>
  </conditionalFormatting>
  <conditionalFormatting sqref="E4:E87">
    <cfRule type="cellIs" dxfId="3" priority="4" operator="greaterThan">
      <formula>200000</formula>
    </cfRule>
  </conditionalFormatting>
  <conditionalFormatting sqref="R1">
    <cfRule type="cellIs" dxfId="2" priority="3" operator="greaterThan">
      <formula>200000</formula>
    </cfRule>
  </conditionalFormatting>
  <conditionalFormatting sqref="R4:R87">
    <cfRule type="cellIs" dxfId="1" priority="5" operator="greaterThan">
      <formula>200000</formula>
    </cfRule>
  </conditionalFormatting>
  <conditionalFormatting sqref="R92:R96">
    <cfRule type="cellIs" dxfId="0" priority="1" operator="greaterThan">
      <formula>200000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D9CFC-54B4-485F-95F2-22C046601A9A}">
  <sheetPr codeName="Sheet34"/>
  <dimension ref="A1"/>
  <sheetViews>
    <sheetView workbookViewId="0"/>
  </sheetViews>
  <sheetFormatPr baseColWidth="10" defaultColWidth="8.83203125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D984315D7EA143A25D15D1586C73D3" ma:contentTypeVersion="3" ma:contentTypeDescription="Create a new document." ma:contentTypeScope="" ma:versionID="8e19fd289680731c563182ce5dc78a8b">
  <xsd:schema xmlns:xsd="http://www.w3.org/2001/XMLSchema" xmlns:xs="http://www.w3.org/2001/XMLSchema" xmlns:p="http://schemas.microsoft.com/office/2006/metadata/properties" xmlns:ns2="71425a22-ea4a-4c06-b5ab-56b50f679c93" targetNamespace="http://schemas.microsoft.com/office/2006/metadata/properties" ma:root="true" ma:fieldsID="9e11e29d698270ea5aeb08da99fcb623" ns2:_="">
    <xsd:import namespace="71425a22-ea4a-4c06-b5ab-56b50f679c9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425a22-ea4a-4c06-b5ab-56b50f679c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61CC720-777B-44B7-A1A9-2BC7744ED3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425a22-ea4a-4c06-b5ab-56b50f679c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EEAF57B-A214-457E-80AA-24022015DE84}">
  <ds:schemaRefs>
    <ds:schemaRef ds:uri="71425a22-ea4a-4c06-b5ab-56b50f679c93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purl.org/dc/terms/"/>
    <ds:schemaRef ds:uri="http://www.w3.org/XML/1998/namespace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1335D94-7B08-420B-BDF2-01042CEE23F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41</vt:i4>
      </vt:variant>
    </vt:vector>
  </HeadingPairs>
  <TitlesOfParts>
    <vt:vector size="41" baseType="lpstr">
      <vt:lpstr>Notes</vt:lpstr>
      <vt:lpstr>KPI Tracker</vt:lpstr>
      <vt:lpstr>FY26-FY27 Summary</vt:lpstr>
      <vt:lpstr>Scenario</vt:lpstr>
      <vt:lpstr>YoY Comp</vt:lpstr>
      <vt:lpstr>Combined P&amp;L</vt:lpstr>
      <vt:lpstr>Territory P&amp;Ls --&gt;</vt:lpstr>
      <vt:lpstr>UK P&amp;L</vt:lpstr>
      <vt:lpstr>CE P&amp;L</vt:lpstr>
      <vt:lpstr>EE P&amp;L</vt:lpstr>
      <vt:lpstr>ROW P&amp;L</vt:lpstr>
      <vt:lpstr>Non Rev P&amp;L</vt:lpstr>
      <vt:lpstr>ES P&amp;L</vt:lpstr>
      <vt:lpstr>DE P&amp;L</vt:lpstr>
      <vt:lpstr>IT P&amp;L</vt:lpstr>
      <vt:lpstr>RO P&amp;L</vt:lpstr>
      <vt:lpstr>CZ P&amp;L</vt:lpstr>
      <vt:lpstr>HU P&amp;L</vt:lpstr>
      <vt:lpstr>SK P&amp;L</vt:lpstr>
      <vt:lpstr>Input--&gt;</vt:lpstr>
      <vt:lpstr>OH Matrix</vt:lpstr>
      <vt:lpstr>B2B (2)</vt:lpstr>
      <vt:lpstr>PT_CP</vt:lpstr>
      <vt:lpstr>B2B</vt:lpstr>
      <vt:lpstr>PT_CP_B2B</vt:lpstr>
      <vt:lpstr>Amazon</vt:lpstr>
      <vt:lpstr>Overheads</vt:lpstr>
      <vt:lpstr>Payroll</vt:lpstr>
      <vt:lpstr>Fulfilment</vt:lpstr>
      <vt:lpstr>D2C Units</vt:lpstr>
      <vt:lpstr>DTC Inputs--&gt;</vt:lpstr>
      <vt:lpstr>UK</vt:lpstr>
      <vt:lpstr>ES</vt:lpstr>
      <vt:lpstr>RO</vt:lpstr>
      <vt:lpstr>CZ</vt:lpstr>
      <vt:lpstr>SK</vt:lpstr>
      <vt:lpstr>HU</vt:lpstr>
      <vt:lpstr>IT</vt:lpstr>
      <vt:lpstr>Other EU</vt:lpstr>
      <vt:lpstr>B2B (3)</vt:lpstr>
      <vt:lpstr>TikTok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Mia Vivian</dc:creator>
  <cp:keywords/>
  <dc:description/>
  <cp:lastModifiedBy>Rory Armitage Burns</cp:lastModifiedBy>
  <cp:revision/>
  <dcterms:created xsi:type="dcterms:W3CDTF">2025-06-30T10:50:33Z</dcterms:created>
  <dcterms:modified xsi:type="dcterms:W3CDTF">2026-01-09T13:46:23Z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0x01010000D984315D7EA143A25D15D1586C73D3</vt:lpwstr>
  </property>
  <property fmtid="{D5CDD505-2E9C-101B-9397-08002B2CF9AE}" pid="3" name="MediaServiceImageTags">
    <vt:lpwstr/>
  </property>
</Properties>
</file>